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codeName="ThisWorkbook" defaultThemeVersion="124226"/>
  <mc:AlternateContent xmlns:mc="http://schemas.openxmlformats.org/markup-compatibility/2006">
    <mc:Choice Requires="x15">
      <x15ac:absPath xmlns:x15ac="http://schemas.microsoft.com/office/spreadsheetml/2010/11/ac" url="C:\Users\ALIF\Downloads\PT Pos\28 september 2021\sicepat_tiki_wahana_jne_jnt_ptpos\"/>
    </mc:Choice>
  </mc:AlternateContent>
  <xr:revisionPtr revIDLastSave="0" documentId="8_{5F27C6CA-0EEE-4AB2-8E15-D101C45C11C6}" xr6:coauthVersionLast="47" xr6:coauthVersionMax="47" xr10:uidLastSave="{00000000-0000-0000-0000-000000000000}"/>
  <bookViews>
    <workbookView xWindow="-110" yWindow="-110" windowWidth="19420" windowHeight="10420" activeTab="1"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workbook>
</file>

<file path=xl/calcChain.xml><?xml version="1.0" encoding="utf-8"?>
<calcChain xmlns="http://schemas.openxmlformats.org/spreadsheetml/2006/main">
  <c r="AY3" i="3" l="1"/>
  <c r="AY4" i="3"/>
  <c r="AY5" i="3"/>
  <c r="AY6" i="3"/>
  <c r="AY7" i="3"/>
  <c r="AY8" i="3"/>
  <c r="AY9" i="3"/>
  <c r="AY10" i="3"/>
  <c r="AY11" i="3"/>
  <c r="AY12" i="3"/>
  <c r="AY13" i="3"/>
  <c r="AY14" i="3"/>
  <c r="AY15" i="3"/>
  <c r="AY16" i="3"/>
  <c r="AY17" i="3"/>
  <c r="AY18" i="3"/>
  <c r="AY19" i="3"/>
  <c r="AY20" i="3"/>
  <c r="AY21" i="3"/>
  <c r="AY22" i="3"/>
  <c r="AY23" i="3"/>
  <c r="AY24" i="3"/>
  <c r="AY25" i="3"/>
  <c r="AY26" i="3"/>
  <c r="AY27" i="3"/>
  <c r="AY28" i="3"/>
  <c r="AY29" i="3"/>
  <c r="AY30" i="3"/>
  <c r="AY31" i="3"/>
  <c r="AY32" i="3"/>
  <c r="AY33" i="3"/>
  <c r="AY34" i="3"/>
  <c r="AY35" i="3"/>
  <c r="AY36" i="3"/>
  <c r="AY37" i="3"/>
  <c r="AY38" i="3"/>
  <c r="AY39" i="3"/>
  <c r="AY40" i="3"/>
  <c r="AY41" i="3"/>
  <c r="AY42" i="3"/>
  <c r="AY43" i="3"/>
  <c r="AY44" i="3"/>
  <c r="AY45" i="3"/>
  <c r="AY46" i="3"/>
  <c r="AY47" i="3"/>
  <c r="AY48" i="3"/>
  <c r="AY49" i="3"/>
  <c r="AY50" i="3"/>
  <c r="AY51" i="3"/>
  <c r="AY52" i="3"/>
  <c r="AY53" i="3"/>
  <c r="AY54" i="3"/>
  <c r="AY55" i="3"/>
  <c r="AY56" i="3"/>
  <c r="AY57" i="3"/>
  <c r="AY58" i="3"/>
  <c r="AY59" i="3"/>
  <c r="AY60" i="3"/>
  <c r="AY61" i="3"/>
  <c r="AY62" i="3"/>
  <c r="AY63" i="3"/>
  <c r="AY64" i="3"/>
  <c r="AY65" i="3"/>
  <c r="AY66" i="3"/>
  <c r="AY67" i="3"/>
  <c r="AY68" i="3"/>
  <c r="AY69" i="3"/>
  <c r="AY70" i="3"/>
  <c r="AY71" i="3"/>
  <c r="AY72" i="3"/>
  <c r="AY73" i="3"/>
  <c r="AY74" i="3"/>
  <c r="AY75" i="3"/>
  <c r="AY76" i="3"/>
  <c r="AY77" i="3"/>
  <c r="AY78" i="3"/>
  <c r="AY79" i="3"/>
  <c r="AY80" i="3"/>
  <c r="AY81" i="3"/>
  <c r="AY82" i="3"/>
  <c r="AY83" i="3"/>
  <c r="AY84" i="3"/>
  <c r="AY85" i="3"/>
  <c r="AY86" i="3"/>
  <c r="AY87" i="3"/>
  <c r="AY88" i="3"/>
  <c r="AY89" i="3"/>
  <c r="AY90" i="3"/>
  <c r="AY91" i="3"/>
  <c r="AY92" i="3"/>
  <c r="AY93" i="3"/>
  <c r="AY94" i="3"/>
  <c r="AY95" i="3"/>
  <c r="AY96" i="3"/>
  <c r="AY97" i="3"/>
  <c r="AY98" i="3"/>
  <c r="AY99" i="3"/>
  <c r="AY100" i="3"/>
  <c r="AY101" i="3"/>
  <c r="AY102" i="3"/>
  <c r="AY103" i="3"/>
  <c r="AY104" i="3"/>
  <c r="AY105" i="3"/>
  <c r="AY106" i="3"/>
  <c r="AY107" i="3"/>
  <c r="AY108" i="3"/>
  <c r="AY109" i="3"/>
  <c r="AY110" i="3"/>
  <c r="AY111" i="3"/>
  <c r="AY112" i="3"/>
  <c r="AY113" i="3"/>
  <c r="AY114" i="3"/>
  <c r="AY115" i="3"/>
  <c r="AY116" i="3"/>
  <c r="AY117" i="3"/>
  <c r="AY118" i="3"/>
  <c r="AY119" i="3"/>
  <c r="AY120" i="3"/>
  <c r="AY121" i="3"/>
  <c r="AY122" i="3"/>
  <c r="AY123" i="3"/>
  <c r="AY124" i="3"/>
  <c r="AY125" i="3"/>
  <c r="AY126" i="3"/>
  <c r="AY127" i="3"/>
  <c r="AY128" i="3"/>
  <c r="AY129" i="3"/>
  <c r="AY130" i="3"/>
  <c r="AY131" i="3"/>
  <c r="AY132" i="3"/>
  <c r="AY133" i="3"/>
  <c r="AY134" i="3"/>
  <c r="AY135" i="3"/>
  <c r="AY136" i="3"/>
  <c r="AY137" i="3"/>
  <c r="AY138" i="3"/>
  <c r="AY139" i="3"/>
  <c r="AY140" i="3"/>
  <c r="AY141" i="3"/>
  <c r="AY142" i="3"/>
  <c r="AY143" i="3"/>
  <c r="AY144" i="3"/>
  <c r="AY145" i="3"/>
  <c r="AY146" i="3"/>
  <c r="AY147" i="3"/>
  <c r="AY148" i="3"/>
  <c r="AY149" i="3"/>
  <c r="AY150" i="3"/>
  <c r="AY151" i="3"/>
  <c r="AY152" i="3"/>
  <c r="AY153" i="3"/>
  <c r="AY154" i="3"/>
  <c r="AY155" i="3"/>
  <c r="AY156" i="3"/>
  <c r="AY157" i="3"/>
  <c r="AY158" i="3"/>
  <c r="AY159" i="3"/>
  <c r="AY160" i="3"/>
  <c r="AY161" i="3"/>
  <c r="AY162" i="3"/>
  <c r="AY163" i="3"/>
  <c r="AY164" i="3"/>
  <c r="AY165" i="3"/>
  <c r="AY166" i="3"/>
  <c r="AY167" i="3"/>
  <c r="AY168" i="3"/>
  <c r="AY169" i="3"/>
  <c r="AY170" i="3"/>
  <c r="AY171" i="3"/>
  <c r="AY172" i="3"/>
  <c r="AY173" i="3"/>
  <c r="AY174" i="3"/>
  <c r="AY175" i="3"/>
  <c r="AY176" i="3"/>
  <c r="AY177" i="3"/>
  <c r="AY178" i="3"/>
  <c r="AY179" i="3"/>
  <c r="AY180" i="3"/>
  <c r="AY181" i="3"/>
  <c r="AY182" i="3"/>
  <c r="AY183" i="3"/>
  <c r="AY184" i="3"/>
  <c r="AY185" i="3"/>
  <c r="AY186" i="3"/>
  <c r="AY187" i="3"/>
  <c r="AY188" i="3"/>
  <c r="AY189" i="3"/>
  <c r="AY190" i="3"/>
  <c r="AY191" i="3"/>
  <c r="AY192" i="3"/>
  <c r="AY193" i="3"/>
  <c r="AY194" i="3"/>
  <c r="AY195" i="3"/>
  <c r="AY196" i="3"/>
  <c r="AY197" i="3"/>
  <c r="AY198" i="3"/>
  <c r="AY199" i="3"/>
  <c r="AY200" i="3"/>
  <c r="AY201" i="3"/>
  <c r="AY202" i="3"/>
  <c r="AY203" i="3"/>
  <c r="AY204" i="3"/>
  <c r="AY205" i="3"/>
  <c r="AY206" i="3"/>
  <c r="AY207" i="3"/>
  <c r="AY208" i="3"/>
  <c r="AY209" i="3"/>
  <c r="AY210" i="3"/>
  <c r="AY211" i="3"/>
  <c r="AY212" i="3"/>
  <c r="AY213" i="3"/>
  <c r="AY214" i="3"/>
  <c r="AY215" i="3"/>
  <c r="AY216" i="3"/>
  <c r="AY217" i="3"/>
  <c r="AY218" i="3"/>
  <c r="AY219" i="3"/>
  <c r="AY220" i="3"/>
  <c r="AY221" i="3"/>
  <c r="AY222" i="3"/>
  <c r="AY223" i="3"/>
  <c r="AY224" i="3"/>
  <c r="AY225" i="3"/>
  <c r="AY226" i="3"/>
  <c r="AY227" i="3"/>
  <c r="AY228" i="3"/>
  <c r="AY229" i="3"/>
  <c r="AY230" i="3"/>
  <c r="AY231" i="3"/>
  <c r="AY232" i="3"/>
  <c r="AY233" i="3"/>
  <c r="AY234" i="3"/>
  <c r="AY235" i="3"/>
  <c r="AY236" i="3"/>
  <c r="AY237" i="3"/>
  <c r="AY238" i="3"/>
  <c r="AY239" i="3"/>
  <c r="AY240" i="3"/>
  <c r="AY241" i="3"/>
  <c r="AY242" i="3"/>
  <c r="AY243" i="3"/>
  <c r="AY244" i="3"/>
  <c r="AY245" i="3"/>
  <c r="AY246" i="3"/>
  <c r="AY247" i="3"/>
  <c r="AY248" i="3"/>
  <c r="AY249" i="3"/>
  <c r="AY250" i="3"/>
  <c r="AY251" i="3"/>
  <c r="AY252" i="3"/>
  <c r="AY253" i="3"/>
  <c r="AY254" i="3"/>
  <c r="AY255" i="3"/>
  <c r="AY256" i="3"/>
  <c r="AY257" i="3"/>
  <c r="AY258" i="3"/>
  <c r="AY259" i="3"/>
  <c r="AY260" i="3"/>
  <c r="AY261" i="3"/>
  <c r="AY262" i="3"/>
  <c r="AY263" i="3"/>
  <c r="AY264" i="3"/>
  <c r="AY265" i="3"/>
  <c r="AY266" i="3"/>
  <c r="AY267" i="3"/>
  <c r="AY268" i="3"/>
  <c r="AY269" i="3"/>
  <c r="AY270" i="3"/>
  <c r="AY271" i="3"/>
  <c r="AY272" i="3"/>
  <c r="AY273" i="3"/>
  <c r="AY274" i="3"/>
  <c r="AY275" i="3"/>
  <c r="AY276" i="3"/>
  <c r="AY277" i="3"/>
  <c r="AY278" i="3"/>
  <c r="AY279" i="3"/>
  <c r="AY280" i="3"/>
  <c r="AY281" i="3"/>
  <c r="AY282" i="3"/>
  <c r="AY283" i="3"/>
  <c r="AY284" i="3"/>
  <c r="AY285" i="3"/>
  <c r="AY286" i="3"/>
  <c r="AY287" i="3"/>
  <c r="AY288" i="3"/>
  <c r="AY289" i="3"/>
  <c r="AY290" i="3"/>
  <c r="AY291" i="3"/>
  <c r="AY292" i="3"/>
  <c r="AY293" i="3"/>
  <c r="AY294" i="3"/>
  <c r="AY295" i="3"/>
  <c r="AY296" i="3"/>
  <c r="AY297" i="3"/>
  <c r="AY298" i="3"/>
  <c r="AY299" i="3"/>
  <c r="AY300" i="3"/>
  <c r="AY301" i="3"/>
  <c r="AY302" i="3"/>
  <c r="AY303" i="3"/>
  <c r="AY304" i="3"/>
  <c r="AY305" i="3"/>
  <c r="AY306" i="3"/>
  <c r="AY307" i="3"/>
  <c r="AY308" i="3"/>
  <c r="AY309" i="3"/>
  <c r="AY310" i="3"/>
  <c r="AY311" i="3"/>
  <c r="AY312" i="3"/>
  <c r="AY313" i="3"/>
  <c r="AY314" i="3"/>
  <c r="AY315" i="3"/>
  <c r="AY316" i="3"/>
  <c r="AY317" i="3"/>
  <c r="AY318" i="3"/>
  <c r="AY319" i="3"/>
  <c r="AY320" i="3"/>
  <c r="AY321" i="3"/>
  <c r="AY322" i="3"/>
  <c r="AY323" i="3"/>
  <c r="AY324" i="3"/>
  <c r="AY325" i="3"/>
  <c r="AY326" i="3"/>
  <c r="AY327" i="3"/>
  <c r="AY328" i="3"/>
  <c r="AY329" i="3"/>
  <c r="AY330" i="3"/>
  <c r="AY331" i="3"/>
  <c r="AY332" i="3"/>
  <c r="AY333" i="3"/>
  <c r="AY334" i="3"/>
  <c r="AY335" i="3"/>
  <c r="AY336" i="3"/>
  <c r="AY337" i="3"/>
  <c r="AY338" i="3"/>
  <c r="AY339" i="3"/>
  <c r="AY340" i="3"/>
  <c r="AY341" i="3"/>
  <c r="AY342" i="3"/>
  <c r="AY343" i="3"/>
  <c r="AY344" i="3"/>
  <c r="AY345" i="3"/>
  <c r="AY346" i="3"/>
  <c r="AY347" i="3"/>
  <c r="AY348" i="3"/>
  <c r="AY349" i="3"/>
  <c r="AY350" i="3"/>
  <c r="AY351" i="3"/>
  <c r="AY352" i="3"/>
  <c r="AY353" i="3"/>
  <c r="AY354" i="3"/>
  <c r="AY355" i="3"/>
  <c r="AY356" i="3"/>
  <c r="AY357" i="3"/>
  <c r="AY358" i="3"/>
  <c r="AY359" i="3"/>
  <c r="AY360" i="3"/>
  <c r="AY361" i="3"/>
  <c r="AY362" i="3"/>
  <c r="AY363" i="3"/>
  <c r="AY364" i="3"/>
  <c r="AY365" i="3"/>
  <c r="AY366" i="3"/>
  <c r="AY367" i="3"/>
  <c r="AY368" i="3"/>
  <c r="AY369" i="3"/>
  <c r="AY370" i="3"/>
  <c r="AY371" i="3"/>
  <c r="AY372" i="3"/>
  <c r="AY373" i="3"/>
  <c r="AY374" i="3"/>
  <c r="AY375" i="3"/>
  <c r="AY376" i="3"/>
  <c r="AY377" i="3"/>
  <c r="AY378" i="3"/>
  <c r="AY379" i="3"/>
  <c r="AY380" i="3"/>
  <c r="AY381" i="3"/>
  <c r="AY382" i="3"/>
  <c r="AY383" i="3"/>
  <c r="AY384" i="3"/>
  <c r="AY385" i="3"/>
  <c r="AY386" i="3"/>
  <c r="AY387" i="3"/>
  <c r="AY388" i="3"/>
  <c r="AY389" i="3"/>
  <c r="AY390" i="3"/>
  <c r="AY391" i="3"/>
  <c r="AY392" i="3"/>
  <c r="AY393" i="3"/>
  <c r="AY394" i="3"/>
  <c r="AY395" i="3"/>
  <c r="AY396" i="3"/>
  <c r="AY397" i="3"/>
  <c r="AY398" i="3"/>
  <c r="AY399" i="3"/>
  <c r="AY400" i="3"/>
  <c r="AY401" i="3"/>
  <c r="AY402" i="3"/>
  <c r="AY403" i="3"/>
  <c r="AY404" i="3"/>
  <c r="AY405" i="3"/>
  <c r="AY406" i="3"/>
  <c r="AY407" i="3"/>
  <c r="AY408" i="3"/>
  <c r="AY409" i="3"/>
  <c r="AY410" i="3"/>
  <c r="AY411" i="3"/>
  <c r="AY412" i="3"/>
  <c r="AY413" i="3"/>
  <c r="AY414" i="3"/>
  <c r="AY415" i="3"/>
  <c r="AY416" i="3"/>
  <c r="AY417" i="3"/>
  <c r="AY418" i="3"/>
  <c r="AY419" i="3"/>
  <c r="AY420" i="3"/>
  <c r="AY421" i="3"/>
  <c r="AY422" i="3"/>
  <c r="AY423" i="3"/>
  <c r="AY424" i="3"/>
  <c r="AY425" i="3"/>
  <c r="AY426" i="3"/>
  <c r="AY427" i="3"/>
  <c r="AY428" i="3"/>
  <c r="AY429" i="3"/>
  <c r="AY430" i="3"/>
  <c r="AY431" i="3"/>
  <c r="AY432" i="3"/>
  <c r="AY433" i="3"/>
  <c r="AY434" i="3"/>
  <c r="AY435" i="3"/>
  <c r="AY436" i="3"/>
  <c r="AY437" i="3"/>
  <c r="AY438" i="3"/>
  <c r="AY439" i="3"/>
  <c r="AY440" i="3"/>
  <c r="AY441" i="3"/>
  <c r="AY442" i="3"/>
  <c r="AY443" i="3"/>
  <c r="AY444" i="3"/>
  <c r="AY445" i="3"/>
  <c r="AY446" i="3"/>
  <c r="AY447" i="3"/>
  <c r="AY448" i="3"/>
  <c r="AY449" i="3"/>
  <c r="AY450" i="3"/>
  <c r="AY451" i="3"/>
  <c r="AY452" i="3"/>
  <c r="AY453" i="3"/>
  <c r="AY454" i="3"/>
  <c r="AY455" i="3"/>
  <c r="AY456" i="3"/>
  <c r="AY457" i="3"/>
  <c r="AY458" i="3"/>
  <c r="AY459" i="3"/>
  <c r="AY460" i="3"/>
  <c r="AY461" i="3"/>
  <c r="AY462" i="3"/>
  <c r="AY463" i="3"/>
  <c r="AY464" i="3"/>
  <c r="AY465" i="3"/>
  <c r="AY466" i="3"/>
  <c r="AY467" i="3"/>
  <c r="AY468" i="3"/>
  <c r="AY469" i="3"/>
  <c r="AY470" i="3"/>
  <c r="AY471" i="3"/>
  <c r="AY472" i="3"/>
  <c r="AY473" i="3"/>
  <c r="AY474" i="3"/>
  <c r="AY475" i="3"/>
  <c r="AY476" i="3"/>
  <c r="AY477" i="3"/>
  <c r="AY478" i="3"/>
  <c r="AY479" i="3"/>
  <c r="AY480" i="3"/>
  <c r="AY481" i="3"/>
  <c r="AY482" i="3"/>
  <c r="AY483" i="3"/>
  <c r="AY484" i="3"/>
  <c r="AY485" i="3"/>
  <c r="AY486" i="3"/>
  <c r="AY487" i="3"/>
  <c r="AY488" i="3"/>
  <c r="AY489" i="3"/>
  <c r="AY490" i="3"/>
  <c r="AY491" i="3"/>
  <c r="AY492" i="3"/>
  <c r="AY493" i="3"/>
  <c r="AY494" i="3"/>
  <c r="AY495" i="3"/>
  <c r="AY496" i="3"/>
  <c r="AY497" i="3"/>
  <c r="AY498" i="3"/>
  <c r="AY499" i="3"/>
  <c r="AY500" i="3"/>
  <c r="AY501" i="3"/>
  <c r="AY502" i="3"/>
  <c r="AY503" i="3"/>
  <c r="AY504" i="3"/>
  <c r="AY505" i="3"/>
  <c r="AY506" i="3"/>
  <c r="AY507" i="3"/>
  <c r="AY508" i="3"/>
  <c r="AY509" i="3"/>
  <c r="AY510" i="3"/>
  <c r="AY511" i="3"/>
  <c r="AY512" i="3"/>
  <c r="AY513" i="3"/>
  <c r="AY514" i="3"/>
  <c r="AY515" i="3"/>
  <c r="AY516" i="3"/>
  <c r="AY517" i="3"/>
  <c r="AY518" i="3"/>
  <c r="AY519" i="3"/>
  <c r="AY520" i="3"/>
  <c r="AY521" i="3"/>
  <c r="AY522" i="3"/>
  <c r="AY523" i="3"/>
  <c r="AY524" i="3"/>
  <c r="AY525" i="3"/>
  <c r="AY526" i="3"/>
  <c r="AY527" i="3"/>
  <c r="AY528" i="3"/>
  <c r="AY529" i="3"/>
  <c r="AY530" i="3"/>
  <c r="AY531" i="3"/>
  <c r="AY532" i="3"/>
  <c r="AY533" i="3"/>
  <c r="AY534" i="3"/>
  <c r="AY535" i="3"/>
  <c r="AY536" i="3"/>
  <c r="AY537" i="3"/>
  <c r="AY538" i="3"/>
  <c r="AY539" i="3"/>
  <c r="AY540" i="3"/>
  <c r="AY541" i="3"/>
  <c r="AY542" i="3"/>
  <c r="AY543" i="3"/>
  <c r="AY544" i="3"/>
  <c r="AY545" i="3"/>
  <c r="AY546" i="3"/>
  <c r="AY547" i="3"/>
  <c r="AY548" i="3"/>
  <c r="AY549" i="3"/>
  <c r="AY550" i="3"/>
  <c r="AY551" i="3"/>
  <c r="AY552" i="3"/>
  <c r="AY553" i="3"/>
  <c r="AY554" i="3"/>
  <c r="AY555" i="3"/>
  <c r="AY556" i="3"/>
  <c r="AY557" i="3"/>
  <c r="AY558" i="3"/>
  <c r="AY559" i="3"/>
  <c r="AY560" i="3"/>
  <c r="AY561" i="3"/>
  <c r="AY562" i="3"/>
  <c r="AY563" i="3"/>
  <c r="AY564" i="3"/>
  <c r="AY565" i="3"/>
  <c r="AY566" i="3"/>
  <c r="AY567" i="3"/>
  <c r="AY568" i="3"/>
  <c r="AY569" i="3"/>
  <c r="AY570" i="3"/>
  <c r="AY571" i="3"/>
  <c r="AY572" i="3"/>
  <c r="AY573" i="3"/>
  <c r="AY574" i="3"/>
  <c r="AY575" i="3"/>
  <c r="AY576" i="3"/>
  <c r="AY577" i="3"/>
  <c r="AY578" i="3"/>
  <c r="AY579" i="3"/>
  <c r="AY580" i="3"/>
  <c r="AY581" i="3"/>
  <c r="AY582" i="3"/>
  <c r="AY583" i="3"/>
  <c r="AY584" i="3"/>
  <c r="AY585" i="3"/>
  <c r="AY586" i="3"/>
  <c r="AY587" i="3"/>
  <c r="AY588" i="3"/>
  <c r="AY589" i="3"/>
  <c r="AY590" i="3"/>
  <c r="AY591" i="3"/>
  <c r="AY592" i="3"/>
  <c r="AY593" i="3"/>
  <c r="AY594" i="3"/>
  <c r="AY595" i="3"/>
  <c r="AY596" i="3"/>
  <c r="AY597" i="3"/>
  <c r="AY598" i="3"/>
  <c r="AY599" i="3"/>
  <c r="AY600" i="3"/>
  <c r="AY601" i="3"/>
  <c r="AY602" i="3"/>
  <c r="AY603" i="3"/>
  <c r="AY604" i="3"/>
  <c r="AY605" i="3"/>
  <c r="AY606" i="3"/>
  <c r="AY607" i="3"/>
  <c r="AY608" i="3"/>
  <c r="AY609" i="3"/>
  <c r="AY610" i="3"/>
  <c r="AY611" i="3"/>
  <c r="AY612" i="3"/>
  <c r="AY613" i="3"/>
  <c r="AY614" i="3"/>
  <c r="AY615" i="3"/>
  <c r="AY616" i="3"/>
  <c r="AY617" i="3"/>
  <c r="AY618" i="3"/>
  <c r="AY619" i="3"/>
  <c r="AY620" i="3"/>
  <c r="AY621" i="3"/>
  <c r="AY622" i="3"/>
  <c r="AY623" i="3"/>
  <c r="AY624" i="3"/>
  <c r="AY625" i="3"/>
  <c r="AY626" i="3"/>
  <c r="AY627" i="3"/>
  <c r="AY628" i="3"/>
  <c r="AY629" i="3"/>
  <c r="AY630" i="3"/>
  <c r="AY631" i="3"/>
  <c r="AY632" i="3"/>
  <c r="AY633" i="3"/>
  <c r="AY634" i="3"/>
  <c r="AY635" i="3"/>
  <c r="AY636" i="3"/>
  <c r="AY637" i="3"/>
  <c r="AY638" i="3"/>
  <c r="AY639" i="3"/>
  <c r="AY640" i="3"/>
  <c r="AY641" i="3"/>
  <c r="AY642" i="3"/>
  <c r="AY643" i="3"/>
  <c r="AY644" i="3"/>
  <c r="AY645" i="3"/>
  <c r="AY646" i="3"/>
  <c r="AY647" i="3"/>
  <c r="AY648" i="3"/>
  <c r="AY649" i="3"/>
  <c r="AY650" i="3"/>
  <c r="AY651" i="3"/>
  <c r="AY652" i="3"/>
  <c r="AY653" i="3"/>
  <c r="AY654" i="3"/>
  <c r="AY655" i="3"/>
  <c r="AY656" i="3"/>
  <c r="AY657" i="3"/>
  <c r="AY658" i="3"/>
  <c r="AY659" i="3"/>
  <c r="AY660" i="3"/>
  <c r="AY661" i="3"/>
  <c r="AY662" i="3"/>
  <c r="AY663" i="3"/>
  <c r="AY664" i="3"/>
  <c r="AY665" i="3"/>
  <c r="AY666" i="3"/>
  <c r="AY667" i="3"/>
  <c r="AY668" i="3"/>
  <c r="AY669" i="3"/>
  <c r="AY670" i="3"/>
  <c r="AY671" i="3"/>
  <c r="AY672" i="3"/>
  <c r="AY673" i="3"/>
  <c r="AY674" i="3"/>
  <c r="AY675" i="3"/>
  <c r="AY676" i="3"/>
  <c r="AY677" i="3"/>
  <c r="AY678" i="3"/>
  <c r="AY679" i="3"/>
  <c r="AY680" i="3"/>
  <c r="AY681" i="3"/>
  <c r="AY682" i="3"/>
  <c r="AY683" i="3"/>
  <c r="AY684" i="3"/>
  <c r="AY685" i="3"/>
  <c r="AY686" i="3"/>
  <c r="AY687" i="3"/>
  <c r="AY688" i="3"/>
  <c r="AY689" i="3"/>
  <c r="AY690" i="3"/>
  <c r="AY691" i="3"/>
  <c r="AY692" i="3"/>
  <c r="AY693" i="3"/>
  <c r="AY694" i="3"/>
  <c r="AY695" i="3"/>
  <c r="AY696" i="3"/>
  <c r="AY697" i="3"/>
  <c r="AY698" i="3"/>
  <c r="AY699" i="3"/>
  <c r="AY700" i="3"/>
  <c r="AY701" i="3"/>
  <c r="AY702" i="3"/>
  <c r="AY703" i="3"/>
  <c r="AY704" i="3"/>
  <c r="AY705" i="3"/>
  <c r="AY706" i="3"/>
  <c r="AY707" i="3"/>
  <c r="AY708" i="3"/>
  <c r="AY709" i="3"/>
  <c r="AY710" i="3"/>
  <c r="AY711" i="3"/>
  <c r="AY712" i="3"/>
  <c r="AY713" i="3"/>
  <c r="AY714" i="3"/>
  <c r="AY715" i="3"/>
  <c r="AY716" i="3"/>
  <c r="AY717" i="3"/>
  <c r="AY718" i="3"/>
  <c r="AY719" i="3"/>
  <c r="AY720" i="3"/>
  <c r="AY721" i="3"/>
  <c r="AY722" i="3"/>
  <c r="AY723" i="3"/>
  <c r="AY724" i="3"/>
  <c r="AY725" i="3"/>
  <c r="AY726" i="3"/>
  <c r="AY727" i="3"/>
  <c r="AY728" i="3"/>
  <c r="AY729" i="3"/>
  <c r="AY730" i="3"/>
  <c r="AY731" i="3"/>
  <c r="AY732" i="3"/>
  <c r="AY733" i="3"/>
  <c r="AY734" i="3"/>
  <c r="AY735" i="3"/>
  <c r="AY736" i="3"/>
  <c r="AY737" i="3"/>
  <c r="AY738" i="3"/>
  <c r="AY739" i="3"/>
  <c r="AY740" i="3"/>
  <c r="AY741" i="3"/>
  <c r="AY742" i="3"/>
  <c r="AY743" i="3"/>
  <c r="AY744" i="3"/>
  <c r="AY745" i="3"/>
  <c r="AY746" i="3"/>
  <c r="AY747" i="3"/>
  <c r="AY748" i="3"/>
  <c r="AY749" i="3"/>
  <c r="AY750" i="3"/>
  <c r="AY751" i="3"/>
  <c r="AY752" i="3"/>
  <c r="AY753" i="3"/>
  <c r="AY754" i="3"/>
  <c r="AY755" i="3"/>
  <c r="AY756" i="3"/>
  <c r="AY757" i="3"/>
  <c r="AY758" i="3"/>
  <c r="AY759" i="3"/>
  <c r="AY760" i="3"/>
  <c r="AY761" i="3"/>
  <c r="AY762" i="3"/>
  <c r="AY763" i="3"/>
  <c r="AY764" i="3"/>
  <c r="AY765" i="3"/>
  <c r="AY766" i="3"/>
  <c r="AY767" i="3"/>
  <c r="AY768" i="3"/>
  <c r="AY769" i="3"/>
  <c r="AY770" i="3"/>
  <c r="AY771" i="3"/>
  <c r="AY772" i="3"/>
  <c r="AY773" i="3"/>
  <c r="AY774" i="3"/>
  <c r="AY775" i="3"/>
  <c r="AY776" i="3"/>
  <c r="AY777" i="3"/>
  <c r="AY778" i="3"/>
  <c r="AY779" i="3"/>
  <c r="AY780" i="3"/>
  <c r="AY781" i="3"/>
  <c r="AY782" i="3"/>
  <c r="AY783" i="3"/>
  <c r="AY784" i="3"/>
  <c r="AY785" i="3"/>
  <c r="AY786" i="3"/>
  <c r="AY787" i="3"/>
  <c r="AY788" i="3"/>
  <c r="AY789" i="3"/>
  <c r="AY790" i="3"/>
  <c r="AY791" i="3"/>
  <c r="AY792" i="3"/>
  <c r="AY793" i="3"/>
  <c r="AY794" i="3"/>
  <c r="AY795" i="3"/>
  <c r="AY796" i="3"/>
  <c r="AY797" i="3"/>
  <c r="AY798" i="3"/>
  <c r="AY799" i="3"/>
  <c r="AY800" i="3"/>
  <c r="AY801" i="3"/>
  <c r="AY802" i="3"/>
  <c r="AY803" i="3"/>
  <c r="AY804" i="3"/>
  <c r="AY805" i="3"/>
  <c r="AY806" i="3"/>
  <c r="AY807" i="3"/>
  <c r="AY808" i="3"/>
  <c r="AY809" i="3"/>
  <c r="AY810" i="3"/>
  <c r="AY811" i="3"/>
  <c r="AY812" i="3"/>
  <c r="AY813" i="3"/>
  <c r="AY814" i="3"/>
  <c r="AY815" i="3"/>
  <c r="AY816" i="3"/>
  <c r="AY817" i="3"/>
  <c r="AY818" i="3"/>
  <c r="AY819" i="3"/>
  <c r="AY820" i="3"/>
  <c r="AY821" i="3"/>
  <c r="AY822" i="3"/>
  <c r="AY823" i="3"/>
  <c r="AY824" i="3"/>
  <c r="AY825" i="3"/>
  <c r="AY826" i="3"/>
  <c r="AY827" i="3"/>
  <c r="AY828" i="3"/>
  <c r="AY829" i="3"/>
  <c r="AY830" i="3"/>
  <c r="AY831" i="3"/>
  <c r="AY832" i="3"/>
  <c r="AY833" i="3"/>
  <c r="AY834" i="3"/>
  <c r="AY835" i="3"/>
  <c r="AY836" i="3"/>
  <c r="AY837" i="3"/>
  <c r="AY838" i="3"/>
  <c r="AY839" i="3"/>
  <c r="AY840" i="3"/>
  <c r="AY841" i="3"/>
  <c r="AY842" i="3"/>
  <c r="AY843" i="3"/>
  <c r="AY844" i="3"/>
  <c r="AY845" i="3"/>
  <c r="AY846" i="3"/>
  <c r="AY847" i="3"/>
  <c r="AY848" i="3"/>
  <c r="AY849" i="3"/>
  <c r="AY850" i="3"/>
  <c r="AY851" i="3"/>
  <c r="AY852" i="3"/>
  <c r="AY853" i="3"/>
  <c r="AY854" i="3"/>
  <c r="AY855" i="3"/>
  <c r="AY856" i="3"/>
  <c r="AY857" i="3"/>
  <c r="AY858" i="3"/>
  <c r="AY859" i="3"/>
  <c r="AY860" i="3"/>
  <c r="AY861" i="3"/>
  <c r="AY862" i="3"/>
  <c r="AY863" i="3"/>
  <c r="AY864" i="3"/>
  <c r="AY865" i="3"/>
  <c r="AY866" i="3"/>
  <c r="AY867" i="3"/>
  <c r="AY868" i="3"/>
  <c r="AY869" i="3"/>
  <c r="AY870" i="3"/>
  <c r="AY871" i="3"/>
  <c r="AY872" i="3"/>
  <c r="AY873" i="3"/>
  <c r="AY874" i="3"/>
  <c r="AY875" i="3"/>
  <c r="AY876" i="3"/>
  <c r="AY877" i="3"/>
  <c r="AY878" i="3"/>
  <c r="AY879" i="3"/>
  <c r="AY880" i="3"/>
  <c r="AY881" i="3"/>
  <c r="AY882" i="3"/>
  <c r="AY883" i="3"/>
  <c r="AY884" i="3"/>
  <c r="AY885" i="3"/>
  <c r="AY886" i="3"/>
  <c r="AY887" i="3"/>
  <c r="AY888" i="3"/>
  <c r="AY889" i="3"/>
  <c r="AY890" i="3"/>
  <c r="AY891" i="3"/>
  <c r="AY892" i="3"/>
  <c r="AY893" i="3"/>
  <c r="AY894" i="3"/>
  <c r="AY895" i="3"/>
  <c r="AY896" i="3"/>
  <c r="AY897" i="3"/>
  <c r="AY898" i="3"/>
  <c r="AY899" i="3"/>
  <c r="AY900" i="3"/>
  <c r="AY901" i="3"/>
  <c r="AY902" i="3"/>
  <c r="AY903" i="3"/>
  <c r="AY904" i="3"/>
  <c r="AY905" i="3"/>
  <c r="AY906" i="3"/>
  <c r="AY907" i="3"/>
  <c r="AY908" i="3"/>
  <c r="AY909" i="3"/>
  <c r="AY910" i="3"/>
  <c r="AY911" i="3"/>
  <c r="AY912" i="3"/>
  <c r="AY913" i="3"/>
  <c r="AY914" i="3"/>
  <c r="AY915" i="3"/>
  <c r="AY916" i="3"/>
  <c r="AY917" i="3"/>
  <c r="AY918" i="3"/>
  <c r="AY919" i="3"/>
  <c r="AY920" i="3"/>
  <c r="AY921" i="3"/>
  <c r="AY922" i="3"/>
  <c r="AY923" i="3"/>
  <c r="AY924" i="3"/>
  <c r="AY925" i="3"/>
  <c r="AY926" i="3"/>
  <c r="AY927" i="3"/>
  <c r="AY928" i="3"/>
  <c r="AY929" i="3"/>
  <c r="AY930" i="3"/>
  <c r="AY931" i="3"/>
  <c r="AY932" i="3"/>
  <c r="AY933" i="3"/>
  <c r="AY934" i="3"/>
  <c r="AY935" i="3"/>
  <c r="AY936" i="3"/>
  <c r="AY937" i="3"/>
  <c r="AY938" i="3"/>
  <c r="AY939" i="3"/>
  <c r="AY940" i="3"/>
  <c r="AY941" i="3"/>
  <c r="AY942" i="3"/>
  <c r="AY943" i="3"/>
  <c r="AY944" i="3"/>
  <c r="AY945" i="3"/>
  <c r="AY946" i="3"/>
  <c r="AY947" i="3"/>
  <c r="AY948" i="3"/>
  <c r="AY949" i="3"/>
  <c r="AY950" i="3"/>
  <c r="AY951" i="3"/>
  <c r="AY952" i="3"/>
  <c r="AY953" i="3"/>
  <c r="AY954" i="3"/>
  <c r="AY955" i="3"/>
  <c r="AY956" i="3"/>
  <c r="AY957" i="3"/>
  <c r="AY958" i="3"/>
  <c r="AY959" i="3"/>
  <c r="AY960" i="3"/>
  <c r="AY961" i="3"/>
  <c r="AY962" i="3"/>
  <c r="AY963" i="3"/>
  <c r="AY964" i="3"/>
  <c r="AY965" i="3"/>
  <c r="AY966" i="3"/>
  <c r="AY967" i="3"/>
  <c r="AY968" i="3"/>
  <c r="AY969" i="3"/>
  <c r="AY970" i="3"/>
  <c r="AY971" i="3"/>
  <c r="AY972" i="3"/>
  <c r="AY973" i="3"/>
  <c r="AY974" i="3"/>
  <c r="AY975" i="3"/>
  <c r="AY976" i="3"/>
  <c r="AY977" i="3"/>
  <c r="AY978" i="3"/>
  <c r="AY979" i="3"/>
  <c r="AY980" i="3"/>
  <c r="AY981" i="3"/>
  <c r="AY982" i="3"/>
  <c r="AY983" i="3"/>
  <c r="AY984" i="3"/>
  <c r="AY985" i="3"/>
  <c r="AY986" i="3"/>
  <c r="AY987" i="3"/>
  <c r="AY988" i="3"/>
  <c r="AY989" i="3"/>
  <c r="AY990" i="3"/>
  <c r="AY991" i="3"/>
  <c r="AY992" i="3"/>
  <c r="AY993" i="3"/>
  <c r="AY994" i="3"/>
  <c r="AY995" i="3"/>
  <c r="AY996" i="3"/>
  <c r="AY997" i="3"/>
  <c r="AY998" i="3"/>
  <c r="AY999" i="3"/>
  <c r="AY1000" i="3"/>
  <c r="AY1001" i="3"/>
  <c r="AY1002" i="3"/>
  <c r="AY1003" i="3"/>
  <c r="AY1004" i="3"/>
  <c r="AY1005" i="3"/>
  <c r="AY1006" i="3"/>
  <c r="AY1007" i="3"/>
  <c r="AY1008" i="3"/>
  <c r="AY1009" i="3"/>
  <c r="AY1010" i="3"/>
  <c r="AY1011" i="3"/>
  <c r="AY1012" i="3"/>
  <c r="AY1013" i="3"/>
  <c r="AY1014" i="3"/>
  <c r="AY1015" i="3"/>
  <c r="AY1016" i="3"/>
  <c r="AY1017" i="3"/>
  <c r="AY1018" i="3"/>
  <c r="AY1019" i="3"/>
  <c r="AY1020" i="3"/>
  <c r="AY1021" i="3"/>
  <c r="AY1022" i="3"/>
  <c r="AY1023" i="3"/>
  <c r="AY1024" i="3"/>
  <c r="AY1025" i="3"/>
  <c r="AY1026" i="3"/>
  <c r="AY1027" i="3"/>
  <c r="AY1028" i="3"/>
  <c r="AY1029" i="3"/>
  <c r="AY1030" i="3"/>
  <c r="AY1031" i="3"/>
  <c r="AY1032" i="3"/>
  <c r="AY1033" i="3"/>
  <c r="AY1034" i="3"/>
  <c r="AY1035" i="3"/>
  <c r="AY1036" i="3"/>
  <c r="AY1037" i="3"/>
  <c r="AY1038" i="3"/>
  <c r="AY1039" i="3"/>
  <c r="AY1040" i="3"/>
  <c r="AY1041" i="3"/>
  <c r="AY1042" i="3"/>
  <c r="AY1043" i="3"/>
  <c r="AY1044" i="3"/>
  <c r="AY1045" i="3"/>
  <c r="AY1046" i="3"/>
  <c r="AY1047" i="3"/>
  <c r="AY1048" i="3"/>
  <c r="AY1049" i="3"/>
  <c r="AY1050" i="3"/>
  <c r="AY1051" i="3"/>
  <c r="AY1052" i="3"/>
  <c r="AY1053" i="3"/>
  <c r="AY1054" i="3"/>
  <c r="AY1055" i="3"/>
  <c r="AY1056" i="3"/>
  <c r="AY1057" i="3"/>
  <c r="AY1058" i="3"/>
  <c r="AY1059" i="3"/>
  <c r="AY1060" i="3"/>
  <c r="AY1061" i="3"/>
  <c r="AY1062" i="3"/>
  <c r="AY1063" i="3"/>
  <c r="AY1064" i="3"/>
  <c r="AY1065" i="3"/>
  <c r="AY1066" i="3"/>
  <c r="AY1067" i="3"/>
  <c r="AY1068" i="3"/>
  <c r="AY1069" i="3"/>
  <c r="AY1070" i="3"/>
  <c r="AY1071" i="3"/>
  <c r="AY1072" i="3"/>
  <c r="AY1073" i="3"/>
  <c r="AY1074" i="3"/>
  <c r="AY1075" i="3"/>
  <c r="AY1076" i="3"/>
  <c r="AY1077" i="3"/>
  <c r="AY1078" i="3"/>
  <c r="AY1079" i="3"/>
  <c r="AY1080" i="3"/>
  <c r="AY1081" i="3"/>
  <c r="AY1082" i="3"/>
  <c r="AY1083" i="3"/>
  <c r="AY1084" i="3"/>
  <c r="AY1085" i="3"/>
  <c r="AY1086" i="3"/>
  <c r="AY1087" i="3"/>
  <c r="AY1088" i="3"/>
  <c r="AY1089" i="3"/>
  <c r="AY1090" i="3"/>
  <c r="AY1091" i="3"/>
  <c r="AY1092" i="3"/>
  <c r="AY1093" i="3"/>
  <c r="AY1094" i="3"/>
  <c r="AY1095" i="3"/>
  <c r="AY1096" i="3"/>
  <c r="AY1097" i="3"/>
  <c r="AY1098" i="3"/>
  <c r="AY1099" i="3"/>
  <c r="AY1100" i="3"/>
  <c r="AY1101" i="3"/>
  <c r="AY1102" i="3"/>
  <c r="AY1103" i="3"/>
  <c r="AY1104" i="3"/>
  <c r="AY1105" i="3"/>
  <c r="AY1106" i="3"/>
  <c r="AY1107" i="3"/>
  <c r="AY1108" i="3"/>
  <c r="AY1109" i="3"/>
  <c r="AY1110" i="3"/>
  <c r="AY1111" i="3"/>
  <c r="AY1112" i="3"/>
  <c r="AY1113" i="3"/>
  <c r="AY1114" i="3"/>
  <c r="AY1115" i="3"/>
  <c r="AY1116" i="3"/>
  <c r="AY1117" i="3"/>
  <c r="AY1118" i="3"/>
  <c r="AY1119" i="3"/>
  <c r="AY1120" i="3"/>
  <c r="AY1121" i="3"/>
  <c r="AY1122" i="3"/>
  <c r="AY1123" i="3"/>
  <c r="AY1124" i="3"/>
  <c r="AY1125" i="3"/>
  <c r="AY1126" i="3"/>
  <c r="AY1127" i="3"/>
  <c r="AY1128" i="3"/>
  <c r="AY1129" i="3"/>
  <c r="AY1130" i="3"/>
  <c r="AY1131" i="3"/>
  <c r="AY1132" i="3"/>
  <c r="AY1133" i="3"/>
  <c r="AY1134" i="3"/>
  <c r="AY1135" i="3"/>
  <c r="AY1136" i="3"/>
  <c r="AY1137" i="3"/>
  <c r="AY1138" i="3"/>
  <c r="AY1139" i="3"/>
  <c r="AY1140" i="3"/>
  <c r="AY1141" i="3"/>
  <c r="AY1142" i="3"/>
  <c r="AY1143" i="3"/>
  <c r="AY1144" i="3"/>
  <c r="AY1145" i="3"/>
  <c r="AY1146" i="3"/>
  <c r="AY1147" i="3"/>
  <c r="AY1148" i="3"/>
  <c r="AY1149" i="3"/>
  <c r="AY1150" i="3"/>
  <c r="AY1151" i="3"/>
  <c r="AY1152" i="3"/>
  <c r="AY1153" i="3"/>
  <c r="AY1154" i="3"/>
  <c r="AY1155" i="3"/>
  <c r="AY1156" i="3"/>
  <c r="AY1157" i="3"/>
  <c r="AY1158" i="3"/>
  <c r="AY1159" i="3"/>
  <c r="AY1160" i="3"/>
  <c r="AY1161" i="3"/>
  <c r="AY1162" i="3"/>
  <c r="AY1163" i="3"/>
  <c r="AY1164" i="3"/>
  <c r="AY1165" i="3"/>
  <c r="AY1166" i="3"/>
  <c r="AY1167" i="3"/>
  <c r="AY1168" i="3"/>
  <c r="AY1169" i="3"/>
  <c r="AY1170" i="3"/>
  <c r="AY1171" i="3"/>
  <c r="AY1172" i="3"/>
  <c r="AY1173" i="3"/>
  <c r="AY1174" i="3"/>
  <c r="AY1175" i="3"/>
  <c r="AY1176" i="3"/>
  <c r="AY1177" i="3"/>
  <c r="AY1178" i="3"/>
  <c r="AY1179" i="3"/>
  <c r="AY1180" i="3"/>
  <c r="AY1181" i="3"/>
  <c r="AY1182" i="3"/>
  <c r="AY1183" i="3"/>
  <c r="AY1184" i="3"/>
  <c r="AY1185" i="3"/>
  <c r="AY1186" i="3"/>
  <c r="AY1187" i="3"/>
  <c r="AY1188" i="3"/>
  <c r="AY1189" i="3"/>
  <c r="AY1190" i="3"/>
  <c r="AY1191" i="3"/>
  <c r="AY1192" i="3"/>
  <c r="AY1193" i="3"/>
  <c r="AY1194" i="3"/>
  <c r="AY1195" i="3"/>
  <c r="AY1196" i="3"/>
  <c r="AY1197" i="3"/>
  <c r="AY1198" i="3"/>
  <c r="AY1199" i="3"/>
  <c r="AY1200" i="3"/>
  <c r="AY1201" i="3"/>
  <c r="AY1202" i="3"/>
  <c r="AY1203" i="3"/>
  <c r="AY1204" i="3"/>
  <c r="AY1205" i="3"/>
  <c r="AY1206" i="3"/>
  <c r="AY1207" i="3"/>
  <c r="AY1208" i="3"/>
  <c r="AY1209" i="3"/>
  <c r="AY1210" i="3"/>
  <c r="AY1211" i="3"/>
  <c r="AY1212" i="3"/>
  <c r="AY1213" i="3"/>
  <c r="AY1214" i="3"/>
  <c r="AY1215" i="3"/>
  <c r="AY1216" i="3"/>
  <c r="AY1217" i="3"/>
  <c r="AY1218" i="3"/>
  <c r="AY1219" i="3"/>
  <c r="AY1220" i="3"/>
  <c r="AY1221" i="3"/>
  <c r="AY1222" i="3"/>
  <c r="AY1223" i="3"/>
  <c r="AY1224" i="3"/>
  <c r="AY1225" i="3"/>
  <c r="AY1226" i="3"/>
  <c r="AY1227" i="3"/>
  <c r="AY1228" i="3"/>
  <c r="AY1229" i="3"/>
  <c r="AY1230" i="3"/>
  <c r="AY1231" i="3"/>
  <c r="AY1232" i="3"/>
  <c r="AY1233" i="3"/>
  <c r="AY1234" i="3"/>
  <c r="AY1235" i="3"/>
  <c r="AY1236" i="3"/>
  <c r="AY1237" i="3"/>
  <c r="AY1238" i="3"/>
  <c r="AY1239" i="3"/>
  <c r="AY1240" i="3"/>
  <c r="AY1241" i="3"/>
  <c r="AY1242" i="3"/>
  <c r="AY1243" i="3"/>
  <c r="AY1244" i="3"/>
  <c r="AY1245" i="3"/>
  <c r="AY1246" i="3"/>
  <c r="AY1247" i="3"/>
  <c r="AY1248" i="3"/>
  <c r="AY1249" i="3"/>
  <c r="AY1250" i="3"/>
  <c r="AY1251" i="3"/>
  <c r="AY1252" i="3"/>
  <c r="AY1253" i="3"/>
  <c r="AY1254" i="3"/>
  <c r="AY1255" i="3"/>
  <c r="AY1256" i="3"/>
  <c r="AY1257" i="3"/>
  <c r="AY1258" i="3"/>
  <c r="AY1259" i="3"/>
  <c r="AY1260" i="3"/>
  <c r="AY1261" i="3"/>
  <c r="AY1262" i="3"/>
  <c r="AY1263" i="3"/>
  <c r="AY1264" i="3"/>
  <c r="AY1265" i="3"/>
  <c r="AY1266" i="3"/>
  <c r="AY1267" i="3"/>
  <c r="AY1268" i="3"/>
  <c r="AY1269" i="3"/>
  <c r="AY1270" i="3"/>
  <c r="AY1271" i="3"/>
  <c r="AY1272" i="3"/>
  <c r="AY1273" i="3"/>
  <c r="AY1274" i="3"/>
  <c r="AY1275" i="3"/>
  <c r="AY1276" i="3"/>
  <c r="AY1277" i="3"/>
  <c r="AY1278" i="3"/>
  <c r="AY1279" i="3"/>
  <c r="AY1280" i="3"/>
  <c r="AY1281" i="3"/>
  <c r="AY1282" i="3"/>
  <c r="AY1283" i="3"/>
  <c r="AY1284" i="3"/>
  <c r="AY1285" i="3"/>
  <c r="AY1286" i="3"/>
  <c r="AY1287" i="3"/>
  <c r="AY1288" i="3"/>
  <c r="AY1289" i="3"/>
  <c r="AY1290" i="3"/>
  <c r="AY1291" i="3"/>
  <c r="AY1292" i="3"/>
  <c r="AY1293" i="3"/>
  <c r="AY1294" i="3"/>
  <c r="AY1295" i="3"/>
  <c r="AY1296" i="3"/>
  <c r="AY1297" i="3"/>
  <c r="AY1298" i="3"/>
  <c r="AY1299" i="3"/>
  <c r="AY1300" i="3"/>
  <c r="AY1301" i="3"/>
  <c r="AY1302" i="3"/>
  <c r="AY1303" i="3"/>
  <c r="AY1304" i="3"/>
  <c r="AY1305" i="3"/>
  <c r="AY1306" i="3"/>
  <c r="AY1307" i="3"/>
  <c r="AY1308" i="3"/>
  <c r="AY1309" i="3"/>
  <c r="AY1310" i="3"/>
  <c r="AY1311" i="3"/>
  <c r="AY1312" i="3"/>
  <c r="AY1313" i="3"/>
  <c r="AY1314" i="3"/>
  <c r="AY1315" i="3"/>
  <c r="AY1316" i="3"/>
  <c r="AY1317" i="3"/>
  <c r="AY1318" i="3"/>
  <c r="AY1319" i="3"/>
  <c r="AY1320" i="3"/>
  <c r="AY1321" i="3"/>
  <c r="AY1322" i="3"/>
  <c r="AY1323" i="3"/>
  <c r="AY1324" i="3"/>
  <c r="AY1325" i="3"/>
  <c r="AY1326" i="3"/>
  <c r="AY1327" i="3"/>
  <c r="AY1328" i="3"/>
  <c r="AY1329" i="3"/>
  <c r="AY1330" i="3"/>
  <c r="AY1331" i="3"/>
  <c r="AY1332" i="3"/>
  <c r="AY1333" i="3"/>
  <c r="AY1334" i="3"/>
  <c r="AY1335" i="3"/>
  <c r="AY1336" i="3"/>
  <c r="AY1337" i="3"/>
  <c r="AY1338" i="3"/>
  <c r="AY1339" i="3"/>
  <c r="AY1340" i="3"/>
  <c r="AY1341" i="3"/>
  <c r="AY1342" i="3"/>
  <c r="AY1343" i="3"/>
  <c r="AY1344" i="3"/>
  <c r="AY1345" i="3"/>
  <c r="AY1346" i="3"/>
  <c r="AY1347" i="3"/>
  <c r="AY1348" i="3"/>
  <c r="AY1349" i="3"/>
  <c r="AY1350" i="3"/>
  <c r="AY1351" i="3"/>
  <c r="AY1352" i="3"/>
  <c r="AY1353" i="3"/>
  <c r="AY1354" i="3"/>
  <c r="AY1355" i="3"/>
  <c r="AY1356" i="3"/>
  <c r="AY1357" i="3"/>
  <c r="AY1358" i="3"/>
  <c r="AY1359" i="3"/>
  <c r="AY1360" i="3"/>
  <c r="AY1361" i="3"/>
  <c r="AY1362" i="3"/>
  <c r="AY1363" i="3"/>
  <c r="AY1364" i="3"/>
  <c r="AY1365" i="3"/>
  <c r="AY1366" i="3"/>
  <c r="AY1367" i="3"/>
  <c r="AY1368" i="3"/>
  <c r="AY1369" i="3"/>
  <c r="AY1370" i="3"/>
  <c r="AY1371" i="3"/>
  <c r="AY1372" i="3"/>
  <c r="AY1373" i="3"/>
  <c r="AY1374" i="3"/>
  <c r="AY1375" i="3"/>
  <c r="AY1376" i="3"/>
  <c r="AY1377" i="3"/>
  <c r="AY1378" i="3"/>
  <c r="AY1379" i="3"/>
  <c r="AY1380" i="3"/>
  <c r="AY1381" i="3"/>
  <c r="AY1382" i="3"/>
  <c r="AY1383" i="3"/>
  <c r="AY1384" i="3"/>
  <c r="AY1385" i="3"/>
  <c r="AY1386" i="3"/>
  <c r="AY1387" i="3"/>
  <c r="AY1388" i="3"/>
  <c r="AY1389" i="3"/>
  <c r="AY1390" i="3"/>
  <c r="AY1391" i="3"/>
  <c r="AY1392" i="3"/>
  <c r="AY1393" i="3"/>
  <c r="AY1394" i="3"/>
  <c r="AY1395" i="3"/>
  <c r="AY1396" i="3"/>
  <c r="AY1397" i="3"/>
  <c r="AY1398" i="3"/>
  <c r="AY1399" i="3"/>
  <c r="AY1400" i="3"/>
  <c r="AY1401" i="3"/>
  <c r="AY1402" i="3"/>
  <c r="AY1403" i="3"/>
  <c r="AY1404" i="3"/>
  <c r="AY1405" i="3"/>
  <c r="AY1406" i="3"/>
  <c r="AY1407" i="3"/>
  <c r="AY1408" i="3"/>
  <c r="AY1409" i="3"/>
  <c r="AY1410" i="3"/>
  <c r="AY1411" i="3"/>
  <c r="AY1412" i="3"/>
  <c r="AY1413" i="3"/>
  <c r="AY1414" i="3"/>
  <c r="AY1415" i="3"/>
  <c r="AY1416" i="3"/>
  <c r="AY1417" i="3"/>
  <c r="AY1418" i="3"/>
  <c r="AY1419" i="3"/>
  <c r="AY1420" i="3"/>
  <c r="AY1421" i="3"/>
  <c r="AY1422" i="3"/>
  <c r="AY1423" i="3"/>
  <c r="AY1424" i="3"/>
  <c r="AY1425" i="3"/>
  <c r="AY1426" i="3"/>
  <c r="AY1427" i="3"/>
  <c r="AY1428" i="3"/>
  <c r="AY1429" i="3"/>
  <c r="AY1430" i="3"/>
  <c r="AY1431" i="3"/>
  <c r="AY1432" i="3"/>
  <c r="AY1433" i="3"/>
  <c r="AY1434" i="3"/>
  <c r="AY1435" i="3"/>
  <c r="AY1436" i="3"/>
  <c r="AY1437" i="3"/>
  <c r="AY1438" i="3"/>
  <c r="AY1439" i="3"/>
  <c r="AY1440" i="3"/>
  <c r="AY1441" i="3"/>
  <c r="AY1442" i="3"/>
  <c r="AY1443" i="3"/>
  <c r="AY1444" i="3"/>
  <c r="AY1445" i="3"/>
  <c r="AY1446" i="3"/>
  <c r="AY1447" i="3"/>
  <c r="AY1448" i="3"/>
  <c r="AY1449" i="3"/>
  <c r="AY1450" i="3"/>
  <c r="AY1451" i="3"/>
  <c r="AY1452" i="3"/>
  <c r="AY1453" i="3"/>
  <c r="AY1454" i="3"/>
  <c r="AY1455" i="3"/>
  <c r="AY1456" i="3"/>
  <c r="AY1457" i="3"/>
  <c r="AY1458" i="3"/>
  <c r="AY1459" i="3"/>
  <c r="AY1460" i="3"/>
  <c r="AY1461" i="3"/>
  <c r="AY1462" i="3"/>
  <c r="AY1463" i="3"/>
  <c r="AY1464" i="3"/>
  <c r="AY1465" i="3"/>
  <c r="AY1466" i="3"/>
  <c r="AY1467" i="3"/>
  <c r="AY1468" i="3"/>
  <c r="AY1469" i="3"/>
  <c r="AY1470" i="3"/>
  <c r="AY1471" i="3"/>
  <c r="AY1472" i="3"/>
  <c r="AY1473" i="3"/>
  <c r="AY1474" i="3"/>
  <c r="AY1475" i="3"/>
  <c r="AY1476" i="3"/>
  <c r="AY1477" i="3"/>
  <c r="AY1478" i="3"/>
  <c r="AY1479" i="3"/>
  <c r="AY1480" i="3"/>
  <c r="AY1481" i="3"/>
  <c r="AY1482" i="3"/>
  <c r="AY1483" i="3"/>
  <c r="AY1484" i="3"/>
  <c r="AY1485" i="3"/>
  <c r="AY1486" i="3"/>
  <c r="AY1487" i="3"/>
  <c r="AY1488" i="3"/>
  <c r="AY1489" i="3"/>
  <c r="AY1490" i="3"/>
  <c r="AY1491" i="3"/>
  <c r="AY1492" i="3"/>
  <c r="AY1493" i="3"/>
  <c r="AY1494" i="3"/>
  <c r="AY1495" i="3"/>
  <c r="AY1496" i="3"/>
  <c r="AY1497" i="3"/>
  <c r="AY1498" i="3"/>
  <c r="AY1499" i="3"/>
  <c r="AY1500" i="3"/>
  <c r="AY1501" i="3"/>
  <c r="AY1502" i="3"/>
  <c r="AY1503" i="3"/>
  <c r="AY1504" i="3"/>
  <c r="AY1505" i="3"/>
  <c r="AY1506" i="3"/>
  <c r="AY1507" i="3"/>
  <c r="AY1508" i="3"/>
  <c r="AY1509" i="3"/>
  <c r="AY1510" i="3"/>
  <c r="AY1511" i="3"/>
  <c r="AY1512" i="3"/>
  <c r="AY1513" i="3"/>
  <c r="AY1514" i="3"/>
  <c r="AY1515" i="3"/>
  <c r="AY1516" i="3"/>
  <c r="AY1517" i="3"/>
  <c r="AY1518" i="3"/>
  <c r="AY1519" i="3"/>
  <c r="AY1520" i="3"/>
  <c r="AY1521" i="3"/>
  <c r="AY1522" i="3"/>
  <c r="AY1523" i="3"/>
  <c r="AY1524" i="3"/>
  <c r="AY1525" i="3"/>
  <c r="AY1526" i="3"/>
  <c r="AY1527" i="3"/>
  <c r="AY1528" i="3"/>
  <c r="AY1529" i="3"/>
  <c r="AY1530" i="3"/>
  <c r="AY1531" i="3"/>
  <c r="AY1532" i="3"/>
  <c r="AY1533" i="3"/>
  <c r="AY1534" i="3"/>
  <c r="AY1535" i="3"/>
  <c r="AY1536" i="3"/>
  <c r="AY1537" i="3"/>
  <c r="AY1538" i="3"/>
  <c r="AY1539" i="3"/>
  <c r="AY1540" i="3"/>
  <c r="AY1541" i="3"/>
  <c r="AY1542" i="3"/>
  <c r="AY1543" i="3"/>
  <c r="AY1544" i="3"/>
  <c r="AY1545" i="3"/>
  <c r="AY1546" i="3"/>
  <c r="AY1547" i="3"/>
  <c r="AY1548" i="3"/>
  <c r="AY1549" i="3"/>
  <c r="AY1550" i="3"/>
  <c r="AY1551" i="3"/>
  <c r="AY1552" i="3"/>
  <c r="AY1553" i="3"/>
  <c r="AY1554" i="3"/>
  <c r="AY1555" i="3"/>
  <c r="AY1556" i="3"/>
  <c r="AY1557" i="3"/>
  <c r="AY1558" i="3"/>
  <c r="AY1559" i="3"/>
  <c r="AY1560" i="3"/>
  <c r="AY1561" i="3"/>
  <c r="AY1562" i="3"/>
  <c r="AY1563" i="3"/>
  <c r="AY1564" i="3"/>
  <c r="AY1565" i="3"/>
  <c r="AY1566" i="3"/>
  <c r="AY1567" i="3"/>
  <c r="AY1568" i="3"/>
  <c r="AY1569" i="3"/>
  <c r="AY1570" i="3"/>
  <c r="AY1571" i="3"/>
  <c r="AY1572" i="3"/>
  <c r="AY1573" i="3"/>
  <c r="AY1574" i="3"/>
  <c r="AY1575" i="3"/>
  <c r="AY1576" i="3"/>
  <c r="AY1577" i="3"/>
  <c r="AY1578" i="3"/>
  <c r="AY1579" i="3"/>
  <c r="AY1580" i="3"/>
  <c r="AY1581" i="3"/>
  <c r="AY1582" i="3"/>
  <c r="AY1583" i="3"/>
  <c r="AY1584" i="3"/>
  <c r="AY1585" i="3"/>
  <c r="AY1586" i="3"/>
  <c r="AY1587" i="3"/>
  <c r="AY1588" i="3"/>
  <c r="AY1589" i="3"/>
  <c r="AY1590" i="3"/>
  <c r="AY1591" i="3"/>
  <c r="AY1592" i="3"/>
  <c r="AY1593" i="3"/>
  <c r="AY1594" i="3"/>
  <c r="AY1595" i="3"/>
  <c r="AY1596" i="3"/>
  <c r="AY1597" i="3"/>
  <c r="AY1598" i="3"/>
  <c r="AY1599" i="3"/>
  <c r="AY1600" i="3"/>
  <c r="AY1601" i="3"/>
  <c r="AY1602" i="3"/>
  <c r="AY1603" i="3"/>
  <c r="AY1604" i="3"/>
  <c r="AY1605" i="3"/>
  <c r="AY1606" i="3"/>
  <c r="AY1607" i="3"/>
  <c r="AY1608" i="3"/>
  <c r="AY1609" i="3"/>
  <c r="AY1610" i="3"/>
  <c r="AY1611" i="3"/>
  <c r="AY1612" i="3"/>
  <c r="AY1613" i="3"/>
  <c r="AY1614" i="3"/>
  <c r="AY1615" i="3"/>
  <c r="AY1616" i="3"/>
  <c r="AY1617" i="3"/>
  <c r="AY1618" i="3"/>
  <c r="AY1619" i="3"/>
  <c r="AY1620" i="3"/>
  <c r="AY1621" i="3"/>
  <c r="AY1622" i="3"/>
  <c r="AY1623" i="3"/>
  <c r="AY1624" i="3"/>
  <c r="AY1625" i="3"/>
  <c r="AY1626" i="3"/>
  <c r="AY1627" i="3"/>
  <c r="AY1628" i="3"/>
  <c r="AY1629" i="3"/>
  <c r="AY1630" i="3"/>
  <c r="AY1631" i="3"/>
  <c r="AY1632" i="3"/>
  <c r="AY1633" i="3"/>
  <c r="AY1634" i="3"/>
  <c r="AY1635" i="3"/>
  <c r="AY1636" i="3"/>
  <c r="AY1637" i="3"/>
  <c r="AY1638" i="3"/>
  <c r="AY1639" i="3"/>
  <c r="AY1640" i="3"/>
  <c r="AY1641" i="3"/>
  <c r="AY1642" i="3"/>
  <c r="AY1643" i="3"/>
  <c r="AY1644" i="3"/>
  <c r="AY1645" i="3"/>
  <c r="AY1646" i="3"/>
  <c r="AY1647" i="3"/>
  <c r="AY1648" i="3"/>
  <c r="AY1649" i="3"/>
  <c r="AY1650" i="3"/>
  <c r="AY1651" i="3"/>
  <c r="AY1652" i="3"/>
  <c r="AY1653" i="3"/>
  <c r="AY1654" i="3"/>
  <c r="AY1655" i="3"/>
  <c r="AY1656" i="3"/>
  <c r="AY1657" i="3"/>
  <c r="AY1658" i="3"/>
  <c r="AY1659" i="3"/>
  <c r="AY1660" i="3"/>
  <c r="AY1661" i="3"/>
  <c r="AY1662" i="3"/>
  <c r="AY1663" i="3"/>
  <c r="AY1664" i="3"/>
  <c r="AY1665" i="3"/>
  <c r="AY1666" i="3"/>
  <c r="AY1667" i="3"/>
  <c r="AY1668" i="3"/>
  <c r="AY1669" i="3"/>
  <c r="AY1670" i="3"/>
  <c r="AY1671" i="3"/>
  <c r="AY1672" i="3"/>
  <c r="AY1673" i="3"/>
  <c r="AY1674" i="3"/>
  <c r="AY1675" i="3"/>
  <c r="AY1676" i="3"/>
  <c r="AY1677" i="3"/>
  <c r="AY1678" i="3"/>
  <c r="AY1679" i="3"/>
  <c r="AY1680" i="3"/>
  <c r="AY1681" i="3"/>
  <c r="AY1682" i="3"/>
  <c r="AY1683" i="3"/>
  <c r="AY1684" i="3"/>
  <c r="AY1685" i="3"/>
  <c r="AY1686" i="3"/>
  <c r="AY1687" i="3"/>
  <c r="AY1688" i="3"/>
  <c r="AY1689" i="3"/>
  <c r="AY1690" i="3"/>
  <c r="AY1691" i="3"/>
  <c r="AY1692" i="3"/>
  <c r="AY1693" i="3"/>
  <c r="AY1694" i="3"/>
  <c r="AY1695" i="3"/>
  <c r="AY1696" i="3"/>
  <c r="AY1697" i="3"/>
  <c r="AY1698" i="3"/>
  <c r="AY1699" i="3"/>
  <c r="AY1700" i="3"/>
  <c r="AY1701" i="3"/>
  <c r="AY1702" i="3"/>
  <c r="AY1703" i="3"/>
  <c r="AY1704" i="3"/>
  <c r="AY1705" i="3"/>
  <c r="AY1706" i="3"/>
  <c r="AY1707" i="3"/>
  <c r="AY1708" i="3"/>
  <c r="AY1709" i="3"/>
  <c r="AY1710" i="3"/>
  <c r="AY1711" i="3"/>
  <c r="AY1712" i="3"/>
  <c r="AY1713" i="3"/>
  <c r="AY1714" i="3"/>
  <c r="AY1715" i="3"/>
  <c r="AY1716" i="3"/>
  <c r="AY1717" i="3"/>
  <c r="AY1718" i="3"/>
  <c r="AY1719" i="3"/>
  <c r="AY1720" i="3"/>
  <c r="AY1721" i="3"/>
  <c r="AY1722" i="3"/>
  <c r="AY1723" i="3"/>
  <c r="AY1724" i="3"/>
  <c r="AY1725" i="3"/>
  <c r="AY1726" i="3"/>
  <c r="AY1727" i="3"/>
  <c r="AY1728" i="3"/>
  <c r="AY1729" i="3"/>
  <c r="AY1730" i="3"/>
  <c r="AY1731" i="3"/>
  <c r="AY1732" i="3"/>
  <c r="AY1733" i="3"/>
  <c r="AY1734" i="3"/>
  <c r="AY1735" i="3"/>
  <c r="AY1736" i="3"/>
  <c r="AY1737" i="3"/>
  <c r="AY1738" i="3"/>
  <c r="AY1739" i="3"/>
  <c r="AY1740" i="3"/>
  <c r="AY1741" i="3"/>
  <c r="AY1742" i="3"/>
  <c r="AY1743" i="3"/>
  <c r="AY1744" i="3"/>
  <c r="AY1745" i="3"/>
  <c r="AY1746" i="3"/>
  <c r="AY1747" i="3"/>
  <c r="AY1748" i="3"/>
  <c r="AY1749" i="3"/>
  <c r="AY1750" i="3"/>
  <c r="AY1751" i="3"/>
  <c r="AY1752" i="3"/>
  <c r="AY1753" i="3"/>
  <c r="AY1754" i="3"/>
  <c r="AY1755" i="3"/>
  <c r="AY1756" i="3"/>
  <c r="AY1757" i="3"/>
  <c r="AY1758" i="3"/>
  <c r="AY1759" i="3"/>
  <c r="AY1760" i="3"/>
  <c r="AY1761" i="3"/>
  <c r="AY1762" i="3"/>
  <c r="AY1763" i="3"/>
  <c r="AY1764" i="3"/>
  <c r="AY1765" i="3"/>
  <c r="AY1766" i="3"/>
  <c r="AY1767" i="3"/>
  <c r="AY1768" i="3"/>
  <c r="AY1769" i="3"/>
  <c r="AY1770" i="3"/>
  <c r="AY1771" i="3"/>
  <c r="AY1772" i="3"/>
  <c r="AY1773" i="3"/>
  <c r="AY1774" i="3"/>
  <c r="AY1775" i="3"/>
  <c r="AY1776" i="3"/>
  <c r="AY1777" i="3"/>
  <c r="AY1778" i="3"/>
  <c r="AY1779" i="3"/>
  <c r="AY1780" i="3"/>
  <c r="AY1781" i="3"/>
  <c r="AY1782" i="3"/>
  <c r="AY1783" i="3"/>
  <c r="AY1784" i="3"/>
  <c r="AY1785" i="3"/>
  <c r="AY1786" i="3"/>
  <c r="AY1787" i="3"/>
  <c r="AY1788" i="3"/>
  <c r="AY1789" i="3"/>
  <c r="AY1790" i="3"/>
  <c r="AY1791" i="3"/>
  <c r="AY1792" i="3"/>
  <c r="AY1793" i="3"/>
  <c r="AY1794" i="3"/>
  <c r="AY1795" i="3"/>
  <c r="AY1796" i="3"/>
  <c r="AY1797" i="3"/>
  <c r="AY1798" i="3"/>
  <c r="AY1799" i="3"/>
  <c r="AY1800" i="3"/>
  <c r="AY1801" i="3"/>
  <c r="AY1802" i="3"/>
  <c r="AY1803" i="3"/>
  <c r="AY1804" i="3"/>
  <c r="AY1805" i="3"/>
  <c r="AY1806" i="3"/>
  <c r="AY1807" i="3"/>
  <c r="AY1808" i="3"/>
  <c r="AY1809" i="3"/>
  <c r="AY1810" i="3"/>
  <c r="AY1811" i="3"/>
  <c r="AY1812" i="3"/>
  <c r="AY1813" i="3"/>
  <c r="AY1814" i="3"/>
  <c r="AY1815" i="3"/>
  <c r="AY1816" i="3"/>
  <c r="AY1817" i="3"/>
  <c r="AY1818" i="3"/>
  <c r="AY1819" i="3"/>
  <c r="AY1820" i="3"/>
  <c r="AY1821" i="3"/>
  <c r="AY182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AV3" i="3"/>
  <c r="AV4" i="3"/>
  <c r="AV5" i="3"/>
  <c r="AV10" i="3"/>
  <c r="AV12" i="3"/>
  <c r="AV13" i="3"/>
  <c r="AV15" i="3"/>
  <c r="AV16" i="3"/>
  <c r="AV21" i="3"/>
  <c r="AV26" i="3"/>
  <c r="AV27" i="3"/>
  <c r="AV28" i="3"/>
  <c r="AV29" i="3"/>
  <c r="AV30" i="3"/>
  <c r="AV33" i="3"/>
  <c r="AV34" i="3"/>
  <c r="AV40" i="3"/>
  <c r="AV42" i="3"/>
  <c r="AV46" i="3"/>
  <c r="AV47" i="3"/>
  <c r="AV48" i="3"/>
  <c r="AV49" i="3"/>
  <c r="AV52" i="3"/>
  <c r="AV58" i="3"/>
  <c r="AV66" i="3"/>
  <c r="AV67" i="3"/>
  <c r="AV68" i="3"/>
  <c r="AV69" i="3"/>
  <c r="AV71" i="3"/>
  <c r="AV73" i="3"/>
  <c r="AV74" i="3"/>
  <c r="AV75" i="3"/>
  <c r="AV76" i="3"/>
  <c r="AV77" i="3"/>
  <c r="AV78" i="3"/>
  <c r="AV79" i="3"/>
  <c r="AV80" i="3"/>
  <c r="AV82" i="3"/>
  <c r="AV83" i="3"/>
  <c r="AV84" i="3"/>
  <c r="AV93" i="3"/>
  <c r="AV100" i="3"/>
  <c r="AV101" i="3"/>
  <c r="AV104" i="3"/>
  <c r="AV106" i="3"/>
  <c r="AV107" i="3"/>
  <c r="AV108" i="3"/>
  <c r="AV111" i="3"/>
  <c r="AV115" i="3"/>
  <c r="AV116" i="3"/>
  <c r="AV121" i="3"/>
  <c r="AV122" i="3"/>
  <c r="AV123" i="3"/>
  <c r="AV128" i="3"/>
  <c r="AV131" i="3"/>
  <c r="AV132" i="3"/>
  <c r="AV133" i="3"/>
  <c r="AV137" i="3"/>
  <c r="AV141" i="3"/>
  <c r="AV144" i="3"/>
  <c r="AV147" i="3"/>
  <c r="AV148" i="3"/>
  <c r="AV159" i="3"/>
  <c r="AV160" i="3"/>
  <c r="AV162" i="3"/>
  <c r="AV163" i="3"/>
  <c r="AV166" i="3"/>
  <c r="AV167" i="3"/>
  <c r="AV168" i="3"/>
  <c r="AV169" i="3"/>
  <c r="AV170" i="3"/>
  <c r="AV172" i="3"/>
  <c r="AV173" i="3"/>
  <c r="AV174" i="3"/>
  <c r="AV175" i="3"/>
  <c r="AV183" i="3"/>
  <c r="AV185" i="3"/>
  <c r="AV188" i="3"/>
  <c r="AV189" i="3"/>
  <c r="AV190" i="3"/>
  <c r="AV192" i="3"/>
  <c r="AV194" i="3"/>
  <c r="AV195" i="3"/>
  <c r="AV196" i="3"/>
  <c r="AV197" i="3"/>
  <c r="AV198" i="3"/>
  <c r="AV199" i="3"/>
  <c r="AV204" i="3"/>
  <c r="AV206" i="3"/>
  <c r="AV208" i="3"/>
  <c r="AV209" i="3"/>
  <c r="AV210" i="3"/>
  <c r="AV211" i="3"/>
  <c r="AV212" i="3"/>
  <c r="AV215" i="3"/>
  <c r="AV219" i="3"/>
  <c r="AV220" i="3"/>
  <c r="AV224" i="3"/>
  <c r="AV225" i="3"/>
  <c r="AV226" i="3"/>
  <c r="AV227" i="3"/>
  <c r="AV228" i="3"/>
  <c r="AV229" i="3"/>
  <c r="AV230" i="3"/>
  <c r="AV231" i="3"/>
  <c r="AV233" i="3"/>
  <c r="AV235" i="3"/>
  <c r="AV238" i="3"/>
  <c r="AV239" i="3"/>
  <c r="AV241" i="3"/>
  <c r="AV246" i="3"/>
  <c r="AV252" i="3"/>
  <c r="AV255" i="3"/>
  <c r="AV256" i="3"/>
  <c r="AV257" i="3"/>
  <c r="AV258" i="3"/>
  <c r="AV259" i="3"/>
  <c r="AV261" i="3"/>
  <c r="AV263" i="3"/>
  <c r="AV265" i="3"/>
  <c r="AV266" i="3"/>
  <c r="AV270" i="3"/>
  <c r="AV271" i="3"/>
  <c r="AV273" i="3"/>
  <c r="AV274" i="3"/>
  <c r="AV275" i="3"/>
  <c r="AV276" i="3"/>
  <c r="AV277" i="3"/>
  <c r="AV278" i="3"/>
  <c r="AV279" i="3"/>
  <c r="AV280" i="3"/>
  <c r="AV284" i="3"/>
  <c r="AV291" i="3"/>
  <c r="AV303" i="3"/>
  <c r="AV306" i="3"/>
  <c r="AV308" i="3"/>
  <c r="AV313" i="3"/>
  <c r="AV314" i="3"/>
  <c r="AV318" i="3"/>
  <c r="AV322" i="3"/>
  <c r="AV324" i="3"/>
  <c r="AV325" i="3"/>
  <c r="AV327" i="3"/>
  <c r="AV328" i="3"/>
  <c r="AV329" i="3"/>
  <c r="AV330" i="3"/>
  <c r="AV331" i="3"/>
  <c r="AV333" i="3"/>
  <c r="AV334" i="3"/>
  <c r="AV336" i="3"/>
  <c r="AV337" i="3"/>
  <c r="AV338" i="3"/>
  <c r="AV339" i="3"/>
  <c r="AV340" i="3"/>
  <c r="AV342" i="3"/>
  <c r="AV343" i="3"/>
  <c r="AV344" i="3"/>
  <c r="AV346" i="3"/>
  <c r="AV347" i="3"/>
  <c r="AV348" i="3"/>
  <c r="AV350" i="3"/>
  <c r="AV355" i="3"/>
  <c r="AV356" i="3"/>
  <c r="AV358" i="3"/>
  <c r="AV359" i="3"/>
  <c r="AV360" i="3"/>
  <c r="AV363" i="3"/>
  <c r="AV364" i="3"/>
  <c r="AV365" i="3"/>
  <c r="AV368" i="3"/>
  <c r="AV369" i="3"/>
  <c r="AV370" i="3"/>
  <c r="AV371" i="3"/>
  <c r="AV372" i="3"/>
  <c r="AV374" i="3"/>
  <c r="AV375" i="3"/>
  <c r="AV377" i="3"/>
  <c r="AV378" i="3"/>
  <c r="AV381" i="3"/>
  <c r="AV387" i="3"/>
  <c r="AV393" i="3"/>
  <c r="AV396" i="3"/>
  <c r="AV398" i="3"/>
  <c r="AV401" i="3"/>
  <c r="AV403" i="3"/>
  <c r="AV404" i="3"/>
  <c r="AV405" i="3"/>
  <c r="AV406" i="3"/>
  <c r="AV409" i="3"/>
  <c r="AV411" i="3"/>
  <c r="AV412" i="3"/>
  <c r="AV414" i="3"/>
  <c r="AV415" i="3"/>
  <c r="AV417" i="3"/>
  <c r="AV432" i="3"/>
  <c r="AV435" i="3"/>
  <c r="AV436" i="3"/>
  <c r="AV437" i="3"/>
  <c r="AV438" i="3"/>
  <c r="AV439" i="3"/>
  <c r="AV442" i="3"/>
  <c r="AV443" i="3"/>
  <c r="AV445" i="3"/>
  <c r="AV446" i="3"/>
  <c r="AV447" i="3"/>
  <c r="AV448" i="3"/>
  <c r="AV449" i="3"/>
  <c r="AV450" i="3"/>
  <c r="AV451" i="3"/>
  <c r="AV453" i="3"/>
  <c r="AV454" i="3"/>
  <c r="AV457" i="3"/>
  <c r="AV458" i="3"/>
  <c r="AV459" i="3"/>
  <c r="AV460" i="3"/>
  <c r="AV461" i="3"/>
  <c r="AV462" i="3"/>
  <c r="AV463" i="3"/>
  <c r="AV464" i="3"/>
  <c r="AV465" i="3"/>
  <c r="AV466" i="3"/>
  <c r="AV467" i="3"/>
  <c r="AV469" i="3"/>
  <c r="AV473" i="3"/>
  <c r="AV474" i="3"/>
  <c r="AV476" i="3"/>
  <c r="AV477" i="3"/>
  <c r="AV478" i="3"/>
  <c r="AV479" i="3"/>
  <c r="AV480" i="3"/>
  <c r="AV483" i="3"/>
  <c r="AV485" i="3"/>
  <c r="AV486" i="3"/>
  <c r="AV487" i="3"/>
  <c r="AV488" i="3"/>
  <c r="AV489" i="3"/>
  <c r="AV490" i="3"/>
  <c r="AV493" i="3"/>
  <c r="AV495" i="3"/>
  <c r="AV496" i="3"/>
  <c r="AV497" i="3"/>
  <c r="AV499" i="3"/>
  <c r="AV503" i="3"/>
  <c r="AV504" i="3"/>
  <c r="AV506" i="3"/>
  <c r="AV508" i="3"/>
  <c r="AV513" i="3"/>
  <c r="AV521" i="3"/>
  <c r="AV522" i="3"/>
  <c r="AV525" i="3"/>
  <c r="AV528" i="3"/>
  <c r="AV530" i="3"/>
  <c r="AV531" i="3"/>
  <c r="AV532" i="3"/>
  <c r="AV533" i="3"/>
  <c r="AV536" i="3"/>
  <c r="AV545" i="3"/>
  <c r="AV547" i="3"/>
  <c r="AV549" i="3"/>
  <c r="AV550" i="3"/>
  <c r="AV551" i="3"/>
  <c r="AV552" i="3"/>
  <c r="AV553" i="3"/>
  <c r="AV555" i="3"/>
  <c r="AV559" i="3"/>
  <c r="AV560" i="3"/>
  <c r="AV562" i="3"/>
  <c r="AV567" i="3"/>
  <c r="AV571" i="3"/>
  <c r="AV587" i="3"/>
  <c r="AV588" i="3"/>
  <c r="AV591" i="3"/>
  <c r="AV594" i="3"/>
  <c r="AV595" i="3"/>
  <c r="AV598" i="3"/>
  <c r="AV601" i="3"/>
  <c r="AV603" i="3"/>
  <c r="AV605" i="3"/>
  <c r="AV607" i="3"/>
  <c r="AV609" i="3"/>
  <c r="AV610" i="3"/>
  <c r="AV612" i="3"/>
  <c r="AV613" i="3"/>
  <c r="AV614" i="3"/>
  <c r="AV626" i="3"/>
  <c r="AV629" i="3"/>
  <c r="AV632" i="3"/>
  <c r="AV634" i="3"/>
  <c r="AV639" i="3"/>
  <c r="AV640" i="3"/>
  <c r="AV641" i="3"/>
  <c r="AV642" i="3"/>
  <c r="AV645" i="3"/>
  <c r="AV646" i="3"/>
  <c r="AV647" i="3"/>
  <c r="AV651" i="3"/>
  <c r="AV652" i="3"/>
  <c r="AV656" i="3"/>
  <c r="AV660" i="3"/>
  <c r="AV661" i="3"/>
  <c r="AV663" i="3"/>
  <c r="AV664" i="3"/>
  <c r="AV665" i="3"/>
  <c r="AV666" i="3"/>
  <c r="AV668" i="3"/>
  <c r="AV669" i="3"/>
  <c r="AV676" i="3"/>
  <c r="AV678" i="3"/>
  <c r="AV679" i="3"/>
  <c r="AV687" i="3"/>
  <c r="AV689" i="3"/>
  <c r="AV690" i="3"/>
  <c r="AV691" i="3"/>
  <c r="AV692" i="3"/>
  <c r="AV693" i="3"/>
  <c r="AV703" i="3"/>
  <c r="AV710" i="3"/>
  <c r="AV713" i="3"/>
  <c r="AV717" i="3"/>
  <c r="AV719" i="3"/>
  <c r="AV727" i="3"/>
  <c r="AV728" i="3"/>
  <c r="AV729" i="3"/>
  <c r="AV733" i="3"/>
  <c r="AV745" i="3"/>
  <c r="AV746" i="3"/>
  <c r="AV747" i="3"/>
  <c r="AV752" i="3"/>
  <c r="AV754" i="3"/>
  <c r="AV760" i="3"/>
  <c r="AV761" i="3"/>
  <c r="AV766" i="3"/>
  <c r="AV767" i="3"/>
  <c r="AV768" i="3"/>
  <c r="AV770" i="3"/>
  <c r="AV773" i="3"/>
  <c r="AV774" i="3"/>
  <c r="AV778" i="3"/>
  <c r="AV784" i="3"/>
  <c r="AV785" i="3"/>
  <c r="AV786" i="3"/>
  <c r="AV788" i="3"/>
  <c r="AV790" i="3"/>
  <c r="AV792" i="3"/>
  <c r="AV795" i="3"/>
  <c r="AV800" i="3"/>
  <c r="AV802" i="3"/>
  <c r="AV803" i="3"/>
  <c r="AV804" i="3"/>
  <c r="AV808" i="3"/>
  <c r="AV810" i="3"/>
  <c r="AV811" i="3"/>
  <c r="AV813" i="3"/>
  <c r="AV814" i="3"/>
  <c r="AV815" i="3"/>
  <c r="AV818" i="3"/>
  <c r="AV819" i="3"/>
  <c r="AV821" i="3"/>
  <c r="AV824" i="3"/>
  <c r="AV826" i="3"/>
  <c r="AV828" i="3"/>
  <c r="AV833" i="3"/>
  <c r="AV834" i="3"/>
  <c r="AV837" i="3"/>
  <c r="AV838" i="3"/>
  <c r="AV840" i="3"/>
  <c r="AV842" i="3"/>
  <c r="AV843" i="3"/>
  <c r="AV844" i="3"/>
  <c r="AV845" i="3"/>
  <c r="AV846" i="3"/>
  <c r="AV849" i="3"/>
  <c r="AV850" i="3"/>
  <c r="AV852" i="3"/>
  <c r="AV853" i="3"/>
  <c r="AV854" i="3"/>
  <c r="AV857" i="3"/>
  <c r="AV858" i="3"/>
  <c r="AV860" i="3"/>
  <c r="AV861" i="3"/>
  <c r="AV863" i="3"/>
  <c r="AV864" i="3"/>
  <c r="AV865" i="3"/>
  <c r="AV870" i="3"/>
  <c r="AV872" i="3"/>
  <c r="AV873" i="3"/>
  <c r="AV874" i="3"/>
  <c r="AV875" i="3"/>
  <c r="AV876" i="3"/>
  <c r="AV877" i="3"/>
  <c r="AV878" i="3"/>
  <c r="AV880" i="3"/>
  <c r="AV883" i="3"/>
  <c r="AV884" i="3"/>
  <c r="AV885" i="3"/>
  <c r="AV886" i="3"/>
  <c r="AV887" i="3"/>
  <c r="AV888" i="3"/>
  <c r="AV889" i="3"/>
  <c r="AV890" i="3"/>
  <c r="AV892" i="3"/>
  <c r="AV893" i="3"/>
  <c r="AV895" i="3"/>
  <c r="AV897" i="3"/>
  <c r="AV898" i="3"/>
  <c r="AV899" i="3"/>
  <c r="AV900" i="3"/>
  <c r="AV902" i="3"/>
  <c r="AV903" i="3"/>
  <c r="AV905" i="3"/>
  <c r="AV907" i="3"/>
  <c r="AV909" i="3"/>
  <c r="AV910" i="3"/>
  <c r="AV914" i="3"/>
  <c r="AV915" i="3"/>
  <c r="AV916" i="3"/>
  <c r="AV919" i="3"/>
  <c r="AV921" i="3"/>
  <c r="AV923" i="3"/>
  <c r="AV925" i="3"/>
  <c r="AV927" i="3"/>
  <c r="AV928" i="3"/>
  <c r="AV929" i="3"/>
  <c r="AV931" i="3"/>
  <c r="AV937" i="3"/>
  <c r="AV938" i="3"/>
  <c r="AV939" i="3"/>
  <c r="AV942" i="3"/>
  <c r="AV946" i="3"/>
  <c r="AV948" i="3"/>
  <c r="AV949" i="3"/>
  <c r="AV950" i="3"/>
  <c r="AV951" i="3"/>
  <c r="AV952" i="3"/>
  <c r="AV954" i="3"/>
  <c r="AV957" i="3"/>
  <c r="AV959" i="3"/>
  <c r="AV960" i="3"/>
  <c r="AV961" i="3"/>
  <c r="AV965" i="3"/>
  <c r="AV967" i="3"/>
  <c r="AV968" i="3"/>
  <c r="AV971" i="3"/>
  <c r="AV972" i="3"/>
  <c r="AV973" i="3"/>
  <c r="AV974" i="3"/>
  <c r="AV976" i="3"/>
  <c r="AV980" i="3"/>
  <c r="AV981" i="3"/>
  <c r="AV982" i="3"/>
  <c r="AV984" i="3"/>
  <c r="AV985" i="3"/>
  <c r="AV986" i="3"/>
  <c r="AV987" i="3"/>
  <c r="AV988" i="3"/>
  <c r="AV991" i="3"/>
  <c r="AV992" i="3"/>
  <c r="AV994" i="3"/>
  <c r="AV995" i="3"/>
  <c r="AV996" i="3"/>
  <c r="AV997" i="3"/>
  <c r="AV998" i="3"/>
  <c r="AV999" i="3"/>
  <c r="AV1000" i="3"/>
  <c r="AV1001" i="3"/>
  <c r="AV1002" i="3"/>
  <c r="AV1004" i="3"/>
  <c r="AV1007" i="3"/>
  <c r="AV1009" i="3"/>
  <c r="AV1010" i="3"/>
  <c r="AV1013" i="3"/>
  <c r="AV1015" i="3"/>
  <c r="AV1016" i="3"/>
  <c r="AV1017" i="3"/>
  <c r="AV1020" i="3"/>
  <c r="AV1021" i="3"/>
  <c r="AV1022" i="3"/>
  <c r="AV1024" i="3"/>
  <c r="AV1026" i="3"/>
  <c r="AV1027" i="3"/>
  <c r="AV1028" i="3"/>
  <c r="AV1029" i="3"/>
  <c r="AV1030" i="3"/>
  <c r="AV1031" i="3"/>
  <c r="AV1032" i="3"/>
  <c r="AV1033" i="3"/>
  <c r="AV1034" i="3"/>
  <c r="AV1036" i="3"/>
  <c r="AV1037" i="3"/>
  <c r="AV1039" i="3"/>
  <c r="AV1040" i="3"/>
  <c r="AV1041" i="3"/>
  <c r="AV1042" i="3"/>
  <c r="AV1044" i="3"/>
  <c r="AV1045" i="3"/>
  <c r="AV1046" i="3"/>
  <c r="AV1047" i="3"/>
  <c r="AV1049" i="3"/>
  <c r="AV1051" i="3"/>
  <c r="AV1054" i="3"/>
  <c r="AV1055" i="3"/>
  <c r="AV1056" i="3"/>
  <c r="AV1058" i="3"/>
  <c r="AV1059" i="3"/>
  <c r="AV1060" i="3"/>
  <c r="AV1061" i="3"/>
  <c r="AV1062" i="3"/>
  <c r="AV1068" i="3"/>
  <c r="AV1069" i="3"/>
  <c r="AV1071" i="3"/>
  <c r="AV1072" i="3"/>
  <c r="AV1073" i="3"/>
  <c r="AV1076" i="3"/>
  <c r="AV1078" i="3"/>
  <c r="AV1079" i="3"/>
  <c r="AV1080" i="3"/>
  <c r="AV1082" i="3"/>
  <c r="AV1083" i="3"/>
  <c r="AV1084" i="3"/>
  <c r="AV1087" i="3"/>
  <c r="AV1090" i="3"/>
  <c r="AV1091" i="3"/>
  <c r="AV1094" i="3"/>
  <c r="AV1095" i="3"/>
  <c r="AV1097" i="3"/>
  <c r="AV1099" i="3"/>
  <c r="AV1100" i="3"/>
  <c r="AV1102" i="3"/>
  <c r="AV1103" i="3"/>
  <c r="AV1108" i="3"/>
  <c r="AV1109" i="3"/>
  <c r="AV1110" i="3"/>
  <c r="AV1111" i="3"/>
  <c r="AV1112" i="3"/>
  <c r="AV1115" i="3"/>
  <c r="AV1116" i="3"/>
  <c r="AV1117" i="3"/>
  <c r="AV1134" i="3"/>
  <c r="AV1135" i="3"/>
  <c r="AV1137" i="3"/>
  <c r="AV1138" i="3"/>
  <c r="AV1142" i="3"/>
  <c r="AV1145" i="3"/>
  <c r="AV1147" i="3"/>
  <c r="AV1148" i="3"/>
  <c r="AV1149" i="3"/>
  <c r="AV1150" i="3"/>
  <c r="AV1151" i="3"/>
  <c r="AV1152" i="3"/>
  <c r="AV1154" i="3"/>
  <c r="AV1155" i="3"/>
  <c r="AV1156" i="3"/>
  <c r="AV1158" i="3"/>
  <c r="AV1160" i="3"/>
  <c r="AV1163" i="3"/>
  <c r="AV1166" i="3"/>
  <c r="AV1169" i="3"/>
  <c r="AV1170" i="3"/>
  <c r="AV1171" i="3"/>
  <c r="AV1172" i="3"/>
  <c r="AV1174" i="3"/>
  <c r="AV1175" i="3"/>
  <c r="AV1178" i="3"/>
  <c r="AV1179" i="3"/>
  <c r="AV1182" i="3"/>
  <c r="AV1188" i="3"/>
  <c r="AV1190" i="3"/>
  <c r="AV1191" i="3"/>
  <c r="AV1193" i="3"/>
  <c r="AV1198" i="3"/>
  <c r="AV1200" i="3"/>
  <c r="AV1201" i="3"/>
  <c r="AV1202" i="3"/>
  <c r="AV1204" i="3"/>
  <c r="AV1206" i="3"/>
  <c r="AV1207" i="3"/>
  <c r="AV1210" i="3"/>
  <c r="AV1213" i="3"/>
  <c r="AV1214" i="3"/>
  <c r="AV1215" i="3"/>
  <c r="AV1216" i="3"/>
  <c r="AV1218" i="3"/>
  <c r="AV1220" i="3"/>
  <c r="AV1222" i="3"/>
  <c r="AV1223" i="3"/>
  <c r="AV1224" i="3"/>
  <c r="AV1225" i="3"/>
  <c r="AV1227" i="3"/>
  <c r="AV1228" i="3"/>
  <c r="AV1229" i="3"/>
  <c r="AV1230" i="3"/>
  <c r="AV1232" i="3"/>
  <c r="AV1239" i="3"/>
  <c r="AV1241" i="3"/>
  <c r="AV1242" i="3"/>
  <c r="AV1246" i="3"/>
  <c r="AV1247" i="3"/>
  <c r="AV1248" i="3"/>
  <c r="AV1249" i="3"/>
  <c r="AV1250" i="3"/>
  <c r="AV1251" i="3"/>
  <c r="AV1254" i="3"/>
  <c r="AV1256" i="3"/>
  <c r="AV1257" i="3"/>
  <c r="AV1258" i="3"/>
  <c r="AV1259" i="3"/>
  <c r="AV1260" i="3"/>
  <c r="AV1261" i="3"/>
  <c r="AV1262" i="3"/>
  <c r="AV1263" i="3"/>
  <c r="AV1265" i="3"/>
  <c r="AV1266" i="3"/>
  <c r="AV1267" i="3"/>
  <c r="AV1269" i="3"/>
  <c r="AV1271" i="3"/>
  <c r="AV1272" i="3"/>
  <c r="AV1278" i="3"/>
  <c r="AV1280" i="3"/>
  <c r="AV1281" i="3"/>
  <c r="AV1283" i="3"/>
  <c r="AV1285" i="3"/>
  <c r="AV1290" i="3"/>
  <c r="AV1295" i="3"/>
  <c r="AV1296" i="3"/>
  <c r="AV1298" i="3"/>
  <c r="AV1301" i="3"/>
  <c r="AV1308" i="3"/>
  <c r="AV1309" i="3"/>
  <c r="AV1310" i="3"/>
  <c r="AV1312" i="3"/>
  <c r="AV1316" i="3"/>
  <c r="AV1321" i="3"/>
  <c r="AV1323" i="3"/>
  <c r="AV1324" i="3"/>
  <c r="AV1325" i="3"/>
  <c r="AV1327" i="3"/>
  <c r="AV1328" i="3"/>
  <c r="AV1329" i="3"/>
  <c r="AV1333" i="3"/>
  <c r="AV1334" i="3"/>
  <c r="AV1336" i="3"/>
  <c r="AV1337" i="3"/>
  <c r="AV1339" i="3"/>
  <c r="AV1342" i="3"/>
  <c r="AV1343" i="3"/>
  <c r="AV1344" i="3"/>
  <c r="AV1345" i="3"/>
  <c r="AV1347" i="3"/>
  <c r="AV1348" i="3"/>
  <c r="AV1349" i="3"/>
  <c r="AV1350" i="3"/>
  <c r="AV1357" i="3"/>
  <c r="AV1358" i="3"/>
  <c r="AV1361" i="3"/>
  <c r="AV1362" i="3"/>
  <c r="AV1363" i="3"/>
  <c r="AV1364" i="3"/>
  <c r="AV1367" i="3"/>
  <c r="AV1368" i="3"/>
  <c r="AV1372" i="3"/>
  <c r="AV1373" i="3"/>
  <c r="AV1375" i="3"/>
  <c r="AV1377" i="3"/>
  <c r="AV1380" i="3"/>
  <c r="AV1383" i="3"/>
  <c r="AV1384" i="3"/>
  <c r="AV1389" i="3"/>
  <c r="AV1392" i="3"/>
  <c r="AV1393" i="3"/>
  <c r="AV1394" i="3"/>
  <c r="AV1396" i="3"/>
  <c r="AV1397" i="3"/>
  <c r="AV1401" i="3"/>
  <c r="AV1404" i="3"/>
  <c r="AV1407" i="3"/>
  <c r="AV1409" i="3"/>
  <c r="AV1411" i="3"/>
  <c r="AV1412" i="3"/>
  <c r="AV1414" i="3"/>
  <c r="AV1416" i="3"/>
  <c r="AV1417" i="3"/>
  <c r="AV1419" i="3"/>
  <c r="AV1420" i="3"/>
  <c r="AV1422" i="3"/>
  <c r="AV1423" i="3"/>
  <c r="AV1425" i="3"/>
  <c r="AV1426" i="3"/>
  <c r="AV1427" i="3"/>
  <c r="AV1428" i="3"/>
  <c r="AV1429" i="3"/>
  <c r="AV1430" i="3"/>
  <c r="AV1431" i="3"/>
  <c r="AV1433" i="3"/>
  <c r="AV1434" i="3"/>
  <c r="AV1437" i="3"/>
  <c r="AV1439" i="3"/>
  <c r="AV1457" i="3"/>
  <c r="AV1460" i="3"/>
  <c r="AV1462" i="3"/>
  <c r="AV1463" i="3"/>
  <c r="AV1465" i="3"/>
  <c r="AV1466" i="3"/>
  <c r="AV1467" i="3"/>
  <c r="AV1468" i="3"/>
  <c r="AV1469" i="3"/>
  <c r="AV1471" i="3"/>
  <c r="AV1476" i="3"/>
  <c r="AV1480" i="3"/>
  <c r="AV1481" i="3"/>
  <c r="AV1482" i="3"/>
  <c r="AV1483" i="3"/>
  <c r="AV1485" i="3"/>
  <c r="AV1486" i="3"/>
  <c r="AV1487" i="3"/>
  <c r="AV1492" i="3"/>
  <c r="AV1495" i="3"/>
  <c r="AV1496" i="3"/>
  <c r="AV1499" i="3"/>
  <c r="AV1502" i="3"/>
  <c r="AV1503" i="3"/>
  <c r="AV1505" i="3"/>
  <c r="AV1508" i="3"/>
  <c r="AV1509" i="3"/>
  <c r="AV1510" i="3"/>
  <c r="AV1511" i="3"/>
  <c r="AV1513" i="3"/>
  <c r="AV1514" i="3"/>
  <c r="AV1515" i="3"/>
  <c r="AV1516" i="3"/>
  <c r="AV1517" i="3"/>
  <c r="AV1519" i="3"/>
  <c r="AV1520" i="3"/>
  <c r="AV1524" i="3"/>
  <c r="AV1525" i="3"/>
  <c r="AV1526" i="3"/>
  <c r="AV1527" i="3"/>
  <c r="AV1529" i="3"/>
  <c r="AV1532" i="3"/>
  <c r="AV1533" i="3"/>
  <c r="AV1537" i="3"/>
  <c r="AV1539" i="3"/>
  <c r="AV1543" i="3"/>
  <c r="AV1544" i="3"/>
  <c r="AV1546" i="3"/>
  <c r="AV1548" i="3"/>
  <c r="AV1549" i="3"/>
  <c r="AV1550" i="3"/>
  <c r="AV1551" i="3"/>
  <c r="AV1552" i="3"/>
  <c r="AV1553" i="3"/>
  <c r="AV1555" i="3"/>
  <c r="AV1556" i="3"/>
  <c r="AV1557" i="3"/>
  <c r="AV1561" i="3"/>
  <c r="AV1562" i="3"/>
  <c r="AV1563" i="3"/>
  <c r="AV1565" i="3"/>
  <c r="AV1568" i="3"/>
  <c r="AV1569" i="3"/>
  <c r="AV1570" i="3"/>
  <c r="AV1571" i="3"/>
  <c r="AV1583" i="3"/>
  <c r="AV1588" i="3"/>
  <c r="AV1590" i="3"/>
  <c r="AV1591" i="3"/>
  <c r="AV1592" i="3"/>
  <c r="AV1593" i="3"/>
  <c r="AV1594" i="3"/>
  <c r="AV1596" i="3"/>
  <c r="AV1598" i="3"/>
  <c r="AV1599" i="3"/>
  <c r="AV1601" i="3"/>
  <c r="AV1602" i="3"/>
  <c r="AV1603" i="3"/>
  <c r="AV1605" i="3"/>
  <c r="AV1607" i="3"/>
  <c r="AV1608" i="3"/>
  <c r="AV1609" i="3"/>
  <c r="AV1610" i="3"/>
  <c r="AV1612" i="3"/>
  <c r="AV1613" i="3"/>
  <c r="AV1615" i="3"/>
  <c r="AV1616" i="3"/>
  <c r="AV1618" i="3"/>
  <c r="AV1619" i="3"/>
  <c r="AV1621" i="3"/>
  <c r="AV1623" i="3"/>
  <c r="AV1627" i="3"/>
  <c r="AV1629" i="3"/>
  <c r="AV1630" i="3"/>
  <c r="AV1633" i="3"/>
  <c r="AV1634" i="3"/>
  <c r="AV1635" i="3"/>
  <c r="AV1647" i="3"/>
  <c r="AV1648" i="3"/>
  <c r="AV1650" i="3"/>
  <c r="AV1651" i="3"/>
  <c r="AV1652" i="3"/>
  <c r="AV1654" i="3"/>
  <c r="AV1656" i="3"/>
  <c r="AV1658" i="3"/>
  <c r="AV1663" i="3"/>
  <c r="AV1666" i="3"/>
  <c r="AV1674" i="3"/>
  <c r="AV1675" i="3"/>
  <c r="AV1677" i="3"/>
  <c r="AV1678" i="3"/>
  <c r="AV1679" i="3"/>
  <c r="AV1681" i="3"/>
  <c r="AV1686" i="3"/>
  <c r="AV1692" i="3"/>
  <c r="AV1695" i="3"/>
  <c r="AV1698" i="3"/>
  <c r="AV1700" i="3"/>
  <c r="AV1701" i="3"/>
  <c r="AV1702" i="3"/>
  <c r="AV1704" i="3"/>
  <c r="AV1708" i="3"/>
  <c r="AV1709" i="3"/>
  <c r="AV1710" i="3"/>
  <c r="AV1711" i="3"/>
  <c r="AV1714" i="3"/>
  <c r="AV1716" i="3"/>
  <c r="AV1717" i="3"/>
  <c r="AV1719" i="3"/>
  <c r="AV1723" i="3"/>
  <c r="AV1724" i="3"/>
  <c r="AV1727" i="3"/>
  <c r="AV1729" i="3"/>
  <c r="AV1730" i="3"/>
  <c r="AV1731" i="3"/>
  <c r="AV1732" i="3"/>
  <c r="AV1733" i="3"/>
  <c r="AV1734" i="3"/>
  <c r="AV1735" i="3"/>
  <c r="AV1737" i="3"/>
  <c r="AV1740" i="3"/>
  <c r="AV1753" i="3"/>
  <c r="AV1754" i="3"/>
  <c r="AV1758" i="3"/>
  <c r="AV1759" i="3"/>
  <c r="AV1760" i="3"/>
  <c r="AV1761" i="3"/>
  <c r="AV1762" i="3"/>
  <c r="AV1764" i="3"/>
  <c r="AV1765" i="3"/>
  <c r="AV1766" i="3"/>
  <c r="AV1771" i="3"/>
  <c r="AV1772" i="3"/>
  <c r="AV1773" i="3"/>
  <c r="AV1774" i="3"/>
  <c r="AV1775" i="3"/>
  <c r="AV1781" i="3"/>
  <c r="AV1793" i="3"/>
  <c r="AV1794" i="3"/>
  <c r="AV1795" i="3"/>
  <c r="AV1796" i="3"/>
  <c r="AV1799" i="3"/>
  <c r="AV1800" i="3"/>
  <c r="AV1801" i="3"/>
  <c r="AV1803" i="3"/>
  <c r="AV1807" i="3"/>
  <c r="AV1810" i="3"/>
  <c r="AV1811" i="3"/>
  <c r="AV1812" i="3"/>
  <c r="AV1814" i="3"/>
  <c r="AV1815" i="3"/>
  <c r="AV1816" i="3"/>
  <c r="AV1817" i="3"/>
  <c r="AV1818" i="3"/>
  <c r="AV1819" i="3"/>
  <c r="AV1822" i="3"/>
  <c r="AP3" i="3"/>
  <c r="AP4" i="3"/>
  <c r="AP5" i="3"/>
  <c r="AP6" i="3"/>
  <c r="AP7" i="3"/>
  <c r="AP8" i="3"/>
  <c r="AP9" i="3"/>
  <c r="AP10" i="3"/>
  <c r="AP11" i="3"/>
  <c r="AP12" i="3"/>
  <c r="AP14" i="3"/>
  <c r="AP16" i="3"/>
  <c r="AP17" i="3"/>
  <c r="AP18" i="3"/>
  <c r="AP19" i="3"/>
  <c r="AP20" i="3"/>
  <c r="AP21" i="3"/>
  <c r="AP23" i="3"/>
  <c r="AP24" i="3"/>
  <c r="AP25" i="3"/>
  <c r="AP27" i="3"/>
  <c r="AP28" i="3"/>
  <c r="AP29" i="3"/>
  <c r="AP30" i="3"/>
  <c r="AP31" i="3"/>
  <c r="AP33" i="3"/>
  <c r="AP34" i="3"/>
  <c r="AP35" i="3"/>
  <c r="AP36" i="3"/>
  <c r="AP37" i="3"/>
  <c r="AP38" i="3"/>
  <c r="AP39" i="3"/>
  <c r="AP40" i="3"/>
  <c r="AP42" i="3"/>
  <c r="AP43" i="3"/>
  <c r="AP45" i="3"/>
  <c r="AP46" i="3"/>
  <c r="AP47" i="3"/>
  <c r="AP48" i="3"/>
  <c r="AP49" i="3"/>
  <c r="AP50" i="3"/>
  <c r="AP52" i="3"/>
  <c r="AP53" i="3"/>
  <c r="AP54" i="3"/>
  <c r="AP55" i="3"/>
  <c r="AP56" i="3"/>
  <c r="AP57" i="3"/>
  <c r="AP58" i="3"/>
  <c r="AP60" i="3"/>
  <c r="AP61" i="3"/>
  <c r="AP64" i="3"/>
  <c r="AP65" i="3"/>
  <c r="AP66" i="3"/>
  <c r="AP67" i="3"/>
  <c r="AP68" i="3"/>
  <c r="AP69" i="3"/>
  <c r="AP71" i="3"/>
  <c r="AP72" i="3"/>
  <c r="AP73" i="3"/>
  <c r="AP74" i="3"/>
  <c r="AP75" i="3"/>
  <c r="AP76" i="3"/>
  <c r="AP77" i="3"/>
  <c r="AP78" i="3"/>
  <c r="AP80" i="3"/>
  <c r="AP82" i="3"/>
  <c r="AP83" i="3"/>
  <c r="AP84" i="3"/>
  <c r="AP85" i="3"/>
  <c r="AP86" i="3"/>
  <c r="AP87" i="3"/>
  <c r="AP88" i="3"/>
  <c r="AP89" i="3"/>
  <c r="AP90" i="3"/>
  <c r="AP92" i="3"/>
  <c r="AP93" i="3"/>
  <c r="AP94" i="3"/>
  <c r="AP95" i="3"/>
  <c r="AP96" i="3"/>
  <c r="AP97" i="3"/>
  <c r="AP98" i="3"/>
  <c r="AP100" i="3"/>
  <c r="AP101" i="3"/>
  <c r="AP102" i="3"/>
  <c r="AP103" i="3"/>
  <c r="AP105" i="3"/>
  <c r="AP106" i="3"/>
  <c r="AP107" i="3"/>
  <c r="AP108" i="3"/>
  <c r="AP109" i="3"/>
  <c r="AP110" i="3"/>
  <c r="AP111" i="3"/>
  <c r="AP112" i="3"/>
  <c r="AP113" i="3"/>
  <c r="AP114" i="3"/>
  <c r="AP115" i="3"/>
  <c r="AP116" i="3"/>
  <c r="AP118" i="3"/>
  <c r="AP119" i="3"/>
  <c r="AP120" i="3"/>
  <c r="AP121" i="3"/>
  <c r="AP122" i="3"/>
  <c r="AP124" i="3"/>
  <c r="AP125" i="3"/>
  <c r="AP127" i="3"/>
  <c r="AP128" i="3"/>
  <c r="AP129" i="3"/>
  <c r="AP130" i="3"/>
  <c r="AP131" i="3"/>
  <c r="AP132" i="3"/>
  <c r="AP133" i="3"/>
  <c r="AP134" i="3"/>
  <c r="AP136" i="3"/>
  <c r="AP137" i="3"/>
  <c r="AP138" i="3"/>
  <c r="AP139" i="3"/>
  <c r="AP141" i="3"/>
  <c r="AP143" i="3"/>
  <c r="AP144" i="3"/>
  <c r="AP145" i="3"/>
  <c r="AP146" i="3"/>
  <c r="AP147" i="3"/>
  <c r="AP148" i="3"/>
  <c r="AP149" i="3"/>
  <c r="AP150" i="3"/>
  <c r="AP151" i="3"/>
  <c r="AP152" i="3"/>
  <c r="AP153" i="3"/>
  <c r="AP154" i="3"/>
  <c r="AP155" i="3"/>
  <c r="AP156" i="3"/>
  <c r="AP157" i="3"/>
  <c r="AP158" i="3"/>
  <c r="AP159" i="3"/>
  <c r="AP160" i="3"/>
  <c r="AP162" i="3"/>
  <c r="AP163" i="3"/>
  <c r="AP164" i="3"/>
  <c r="AP165" i="3"/>
  <c r="AP166" i="3"/>
  <c r="AP167" i="3"/>
  <c r="AP168" i="3"/>
  <c r="AP169" i="3"/>
  <c r="AP170" i="3"/>
  <c r="AP172" i="3"/>
  <c r="AP173" i="3"/>
  <c r="AP174" i="3"/>
  <c r="AP175" i="3"/>
  <c r="AP176" i="3"/>
  <c r="AP177" i="3"/>
  <c r="AP178" i="3"/>
  <c r="AP179" i="3"/>
  <c r="AP180" i="3"/>
  <c r="AP182" i="3"/>
  <c r="AP183" i="3"/>
  <c r="AP184" i="3"/>
  <c r="AP185" i="3"/>
  <c r="AP186" i="3"/>
  <c r="AP187" i="3"/>
  <c r="AP188" i="3"/>
  <c r="AP190" i="3"/>
  <c r="AP192" i="3"/>
  <c r="AP194" i="3"/>
  <c r="AP195" i="3"/>
  <c r="AP196" i="3"/>
  <c r="AP197" i="3"/>
  <c r="AP198" i="3"/>
  <c r="AP199" i="3"/>
  <c r="AP201" i="3"/>
  <c r="AP202" i="3"/>
  <c r="AP203" i="3"/>
  <c r="AP205" i="3"/>
  <c r="AP206" i="3"/>
  <c r="AP208" i="3"/>
  <c r="AP209" i="3"/>
  <c r="AP210" i="3"/>
  <c r="AP211" i="3"/>
  <c r="AP212" i="3"/>
  <c r="AP213" i="3"/>
  <c r="AP214" i="3"/>
  <c r="AP215" i="3"/>
  <c r="AP216" i="3"/>
  <c r="AP217" i="3"/>
  <c r="AP218" i="3"/>
  <c r="AP219" i="3"/>
  <c r="AP220" i="3"/>
  <c r="AP221" i="3"/>
  <c r="AP222" i="3"/>
  <c r="AP224" i="3"/>
  <c r="AP226" i="3"/>
  <c r="AP227" i="3"/>
  <c r="AP228" i="3"/>
  <c r="AP229" i="3"/>
  <c r="AP230" i="3"/>
  <c r="AP231" i="3"/>
  <c r="AP232" i="3"/>
  <c r="AP233" i="3"/>
  <c r="AP234" i="3"/>
  <c r="AP235" i="3"/>
  <c r="AP236" i="3"/>
  <c r="AP237" i="3"/>
  <c r="AP238" i="3"/>
  <c r="AP239" i="3"/>
  <c r="AP240" i="3"/>
  <c r="AP241" i="3"/>
  <c r="AP242" i="3"/>
  <c r="AP245" i="3"/>
  <c r="AP246" i="3"/>
  <c r="AP247" i="3"/>
  <c r="AP248" i="3"/>
  <c r="AP249" i="3"/>
  <c r="AP250" i="3"/>
  <c r="AP252" i="3"/>
  <c r="AP253" i="3"/>
  <c r="AP254" i="3"/>
  <c r="AP255" i="3"/>
  <c r="AP256" i="3"/>
  <c r="AP257" i="3"/>
  <c r="AP258" i="3"/>
  <c r="AP259" i="3"/>
  <c r="AP260" i="3"/>
  <c r="AP261" i="3"/>
  <c r="AP262" i="3"/>
  <c r="AP263" i="3"/>
  <c r="AP265" i="3"/>
  <c r="AP266" i="3"/>
  <c r="AP267" i="3"/>
  <c r="AP268" i="3"/>
  <c r="AP269" i="3"/>
  <c r="AP271" i="3"/>
  <c r="AP272" i="3"/>
  <c r="AP273" i="3"/>
  <c r="AP274" i="3"/>
  <c r="AP275" i="3"/>
  <c r="AP276" i="3"/>
  <c r="AP277" i="3"/>
  <c r="AP278" i="3"/>
  <c r="AP279" i="3"/>
  <c r="AP281" i="3"/>
  <c r="AP284" i="3"/>
  <c r="AP285" i="3"/>
  <c r="AP286" i="3"/>
  <c r="AP287" i="3"/>
  <c r="AP288" i="3"/>
  <c r="AP289" i="3"/>
  <c r="AP290" i="3"/>
  <c r="AP291" i="3"/>
  <c r="AP292" i="3"/>
  <c r="AP293" i="3"/>
  <c r="AP294" i="3"/>
  <c r="AP295" i="3"/>
  <c r="AP296" i="3"/>
  <c r="AP297" i="3"/>
  <c r="AP298" i="3"/>
  <c r="AP299" i="3"/>
  <c r="AP300" i="3"/>
  <c r="AP301" i="3"/>
  <c r="AP302" i="3"/>
  <c r="AP303" i="3"/>
  <c r="AP304" i="3"/>
  <c r="AP305" i="3"/>
  <c r="AP306" i="3"/>
  <c r="AP307" i="3"/>
  <c r="AP308" i="3"/>
  <c r="AP309" i="3"/>
  <c r="AP310" i="3"/>
  <c r="AP311" i="3"/>
  <c r="AP312" i="3"/>
  <c r="AP313" i="3"/>
  <c r="AP314" i="3"/>
  <c r="AP315" i="3"/>
  <c r="AP316" i="3"/>
  <c r="AP317" i="3"/>
  <c r="AP318" i="3"/>
  <c r="AP319" i="3"/>
  <c r="AP320" i="3"/>
  <c r="AP321" i="3"/>
  <c r="AP323" i="3"/>
  <c r="AP324" i="3"/>
  <c r="AP325" i="3"/>
  <c r="AP327" i="3"/>
  <c r="AP328" i="3"/>
  <c r="AP329" i="3"/>
  <c r="AP330" i="3"/>
  <c r="AP331" i="3"/>
  <c r="AP332" i="3"/>
  <c r="AP333" i="3"/>
  <c r="AP334" i="3"/>
  <c r="AP335" i="3"/>
  <c r="AP336" i="3"/>
  <c r="AP338" i="3"/>
  <c r="AP339" i="3"/>
  <c r="AP340" i="3"/>
  <c r="AP341" i="3"/>
  <c r="AP342" i="3"/>
  <c r="AP343" i="3"/>
  <c r="AP344" i="3"/>
  <c r="AP345" i="3"/>
  <c r="AP347" i="3"/>
  <c r="AP348" i="3"/>
  <c r="AP349" i="3"/>
  <c r="AP350" i="3"/>
  <c r="AP351" i="3"/>
  <c r="AP352" i="3"/>
  <c r="AP355" i="3"/>
  <c r="AP356" i="3"/>
  <c r="AP357" i="3"/>
  <c r="AP358" i="3"/>
  <c r="AP359" i="3"/>
  <c r="AP360" i="3"/>
  <c r="AP362" i="3"/>
  <c r="AP363" i="3"/>
  <c r="AP364" i="3"/>
  <c r="AP365" i="3"/>
  <c r="AP366" i="3"/>
  <c r="AP368" i="3"/>
  <c r="AP369" i="3"/>
  <c r="AP371" i="3"/>
  <c r="AP372" i="3"/>
  <c r="AP373" i="3"/>
  <c r="AP374" i="3"/>
  <c r="AP375" i="3"/>
  <c r="AP376" i="3"/>
  <c r="AP377" i="3"/>
  <c r="AP378" i="3"/>
  <c r="AP379" i="3"/>
  <c r="AP380" i="3"/>
  <c r="AP381" i="3"/>
  <c r="AP382" i="3"/>
  <c r="AP383" i="3"/>
  <c r="AP384" i="3"/>
  <c r="AP385" i="3"/>
  <c r="AP387" i="3"/>
  <c r="AP389" i="3"/>
  <c r="AP390" i="3"/>
  <c r="AP391" i="3"/>
  <c r="AP392" i="3"/>
  <c r="AP393" i="3"/>
  <c r="AP394" i="3"/>
  <c r="AP395" i="3"/>
  <c r="AP396" i="3"/>
  <c r="AP397" i="3"/>
  <c r="AP398" i="3"/>
  <c r="AP399" i="3"/>
  <c r="AP400" i="3"/>
  <c r="AP401" i="3"/>
  <c r="AP402" i="3"/>
  <c r="AP403" i="3"/>
  <c r="AP405" i="3"/>
  <c r="AP406" i="3"/>
  <c r="AP407" i="3"/>
  <c r="AP408" i="3"/>
  <c r="AP409" i="3"/>
  <c r="AP410" i="3"/>
  <c r="AP411" i="3"/>
  <c r="AP412" i="3"/>
  <c r="AP413" i="3"/>
  <c r="AP414" i="3"/>
  <c r="AP415" i="3"/>
  <c r="AP416" i="3"/>
  <c r="AP417" i="3"/>
  <c r="AP418" i="3"/>
  <c r="AP419" i="3"/>
  <c r="AP420" i="3"/>
  <c r="AP421" i="3"/>
  <c r="AP422" i="3"/>
  <c r="AP424" i="3"/>
  <c r="AP425" i="3"/>
  <c r="AP426" i="3"/>
  <c r="AP427" i="3"/>
  <c r="AP428" i="3"/>
  <c r="AP429" i="3"/>
  <c r="AP430" i="3"/>
  <c r="AP431" i="3"/>
  <c r="AP432" i="3"/>
  <c r="AP433" i="3"/>
  <c r="AP434" i="3"/>
  <c r="AP435" i="3"/>
  <c r="AP436" i="3"/>
  <c r="AP437" i="3"/>
  <c r="AP438" i="3"/>
  <c r="AP439" i="3"/>
  <c r="AP440" i="3"/>
  <c r="AP441" i="3"/>
  <c r="AP442" i="3"/>
  <c r="AP443" i="3"/>
  <c r="AP444" i="3"/>
  <c r="AP445" i="3"/>
  <c r="AP446" i="3"/>
  <c r="AP447" i="3"/>
  <c r="AP449" i="3"/>
  <c r="AP450" i="3"/>
  <c r="AP451" i="3"/>
  <c r="AP453" i="3"/>
  <c r="AP454" i="3"/>
  <c r="AP455" i="3"/>
  <c r="AP457" i="3"/>
  <c r="AP458" i="3"/>
  <c r="AP459" i="3"/>
  <c r="AP461" i="3"/>
  <c r="AP462" i="3"/>
  <c r="AP463" i="3"/>
  <c r="AP464" i="3"/>
  <c r="AP466" i="3"/>
  <c r="AP468" i="3"/>
  <c r="AP469" i="3"/>
  <c r="AP470" i="3"/>
  <c r="AP471" i="3"/>
  <c r="AP472" i="3"/>
  <c r="AP473" i="3"/>
  <c r="AP474" i="3"/>
  <c r="AP475" i="3"/>
  <c r="AP476" i="3"/>
  <c r="AP477" i="3"/>
  <c r="AP478" i="3"/>
  <c r="AP479" i="3"/>
  <c r="AP480" i="3"/>
  <c r="AP481" i="3"/>
  <c r="AP483" i="3"/>
  <c r="AP485" i="3"/>
  <c r="AP488" i="3"/>
  <c r="AP489" i="3"/>
  <c r="AP490" i="3"/>
  <c r="AP493" i="3"/>
  <c r="AP494" i="3"/>
  <c r="AP495" i="3"/>
  <c r="AP496" i="3"/>
  <c r="AP497" i="3"/>
  <c r="AP498" i="3"/>
  <c r="AP499" i="3"/>
  <c r="AP500" i="3"/>
  <c r="AP502" i="3"/>
  <c r="AP503" i="3"/>
  <c r="AP504" i="3"/>
  <c r="AP505" i="3"/>
  <c r="AP506" i="3"/>
  <c r="AP507" i="3"/>
  <c r="AP508" i="3"/>
  <c r="AP509" i="3"/>
  <c r="AP511" i="3"/>
  <c r="AP513" i="3"/>
  <c r="AP514" i="3"/>
  <c r="AP515" i="3"/>
  <c r="AP516" i="3"/>
  <c r="AP517" i="3"/>
  <c r="AP518" i="3"/>
  <c r="AP520" i="3"/>
  <c r="AP521" i="3"/>
  <c r="AP522" i="3"/>
  <c r="AP524" i="3"/>
  <c r="AP525" i="3"/>
  <c r="AP526" i="3"/>
  <c r="AP527" i="3"/>
  <c r="AP528" i="3"/>
  <c r="AP529" i="3"/>
  <c r="AP530" i="3"/>
  <c r="AP531" i="3"/>
  <c r="AP532" i="3"/>
  <c r="AP533" i="3"/>
  <c r="AP534" i="3"/>
  <c r="AP538" i="3"/>
  <c r="AP539" i="3"/>
  <c r="AP540" i="3"/>
  <c r="AP541" i="3"/>
  <c r="AP542" i="3"/>
  <c r="AP543" i="3"/>
  <c r="AP545" i="3"/>
  <c r="AP546" i="3"/>
  <c r="AP547" i="3"/>
  <c r="AP548" i="3"/>
  <c r="AP549" i="3"/>
  <c r="AP550" i="3"/>
  <c r="AP552" i="3"/>
  <c r="AP553" i="3"/>
  <c r="AP554" i="3"/>
  <c r="AP555" i="3"/>
  <c r="AP556" i="3"/>
  <c r="AP557" i="3"/>
  <c r="AP558" i="3"/>
  <c r="AP559" i="3"/>
  <c r="AP561" i="3"/>
  <c r="AP562" i="3"/>
  <c r="AP563" i="3"/>
  <c r="AP564" i="3"/>
  <c r="AP565" i="3"/>
  <c r="AP566" i="3"/>
  <c r="AP567" i="3"/>
  <c r="AP568" i="3"/>
  <c r="AP569" i="3"/>
  <c r="AP571" i="3"/>
  <c r="AP572" i="3"/>
  <c r="AP573" i="3"/>
  <c r="AP574" i="3"/>
  <c r="AP575" i="3"/>
  <c r="AP576" i="3"/>
  <c r="AP577" i="3"/>
  <c r="AP578" i="3"/>
  <c r="AP579" i="3"/>
  <c r="AP580" i="3"/>
  <c r="AP581" i="3"/>
  <c r="AP582" i="3"/>
  <c r="AP583" i="3"/>
  <c r="AP584" i="3"/>
  <c r="AP585" i="3"/>
  <c r="AP586" i="3"/>
  <c r="AP587" i="3"/>
  <c r="AP588" i="3"/>
  <c r="AP589" i="3"/>
  <c r="AP590" i="3"/>
  <c r="AP591" i="3"/>
  <c r="AP592" i="3"/>
  <c r="AP593" i="3"/>
  <c r="AP594" i="3"/>
  <c r="AP595" i="3"/>
  <c r="AP596" i="3"/>
  <c r="AP598" i="3"/>
  <c r="AP599" i="3"/>
  <c r="AP600" i="3"/>
  <c r="AP601" i="3"/>
  <c r="AP602" i="3"/>
  <c r="AP603" i="3"/>
  <c r="AP604" i="3"/>
  <c r="AP605" i="3"/>
  <c r="AP608" i="3"/>
  <c r="AP609" i="3"/>
  <c r="AP610" i="3"/>
  <c r="AP611" i="3"/>
  <c r="AP612" i="3"/>
  <c r="AP613" i="3"/>
  <c r="AP614" i="3"/>
  <c r="AP615" i="3"/>
  <c r="AP616" i="3"/>
  <c r="AP617" i="3"/>
  <c r="AP618" i="3"/>
  <c r="AP621" i="3"/>
  <c r="AP622" i="3"/>
  <c r="AP623" i="3"/>
  <c r="AP624" i="3"/>
  <c r="AP625" i="3"/>
  <c r="AP626" i="3"/>
  <c r="AP627" i="3"/>
  <c r="AP628" i="3"/>
  <c r="AP629" i="3"/>
  <c r="AP630" i="3"/>
  <c r="AP631" i="3"/>
  <c r="AP632" i="3"/>
  <c r="AP633" i="3"/>
  <c r="AP634" i="3"/>
  <c r="AP635" i="3"/>
  <c r="AP636" i="3"/>
  <c r="AP637" i="3"/>
  <c r="AP638" i="3"/>
  <c r="AP639" i="3"/>
  <c r="AP640" i="3"/>
  <c r="AP641" i="3"/>
  <c r="AP642" i="3"/>
  <c r="AP645" i="3"/>
  <c r="AP646" i="3"/>
  <c r="AP647" i="3"/>
  <c r="AP648" i="3"/>
  <c r="AP649" i="3"/>
  <c r="AP651" i="3"/>
  <c r="AP652" i="3"/>
  <c r="AP653" i="3"/>
  <c r="AP654" i="3"/>
  <c r="AP655" i="3"/>
  <c r="AP657" i="3"/>
  <c r="AP658" i="3"/>
  <c r="AP659" i="3"/>
  <c r="AP660" i="3"/>
  <c r="AP661" i="3"/>
  <c r="AP662" i="3"/>
  <c r="AP663" i="3"/>
  <c r="AP664" i="3"/>
  <c r="AP665" i="3"/>
  <c r="AP666" i="3"/>
  <c r="AP667" i="3"/>
  <c r="AP668" i="3"/>
  <c r="AP669" i="3"/>
  <c r="AP670" i="3"/>
  <c r="AP671" i="3"/>
  <c r="AP674" i="3"/>
  <c r="AP676" i="3"/>
  <c r="AP677" i="3"/>
  <c r="AP678" i="3"/>
  <c r="AP679" i="3"/>
  <c r="AP681" i="3"/>
  <c r="AP683" i="3"/>
  <c r="AP684" i="3"/>
  <c r="AP685" i="3"/>
  <c r="AP686" i="3"/>
  <c r="AP687" i="3"/>
  <c r="AP688" i="3"/>
  <c r="AP689" i="3"/>
  <c r="AP690" i="3"/>
  <c r="AP691" i="3"/>
  <c r="AP692" i="3"/>
  <c r="AP693" i="3"/>
  <c r="AP694" i="3"/>
  <c r="AP695" i="3"/>
  <c r="AP696" i="3"/>
  <c r="AP697" i="3"/>
  <c r="AP698" i="3"/>
  <c r="AP699" i="3"/>
  <c r="AP700" i="3"/>
  <c r="AP701" i="3"/>
  <c r="AP702" i="3"/>
  <c r="AP703" i="3"/>
  <c r="AP704" i="3"/>
  <c r="AP705" i="3"/>
  <c r="AP706" i="3"/>
  <c r="AP707" i="3"/>
  <c r="AP708" i="3"/>
  <c r="AP709" i="3"/>
  <c r="AP710" i="3"/>
  <c r="AP711" i="3"/>
  <c r="AP712" i="3"/>
  <c r="AP713" i="3"/>
  <c r="AP714" i="3"/>
  <c r="AP715" i="3"/>
  <c r="AP716" i="3"/>
  <c r="AP717" i="3"/>
  <c r="AP718" i="3"/>
  <c r="AP719" i="3"/>
  <c r="AP720" i="3"/>
  <c r="AP721" i="3"/>
  <c r="AP722" i="3"/>
  <c r="AP723" i="3"/>
  <c r="AP724" i="3"/>
  <c r="AP725" i="3"/>
  <c r="AP726" i="3"/>
  <c r="AP727" i="3"/>
  <c r="AP729" i="3"/>
  <c r="AP730" i="3"/>
  <c r="AP731" i="3"/>
  <c r="AP732" i="3"/>
  <c r="AP733" i="3"/>
  <c r="AP734" i="3"/>
  <c r="AP735" i="3"/>
  <c r="AP736" i="3"/>
  <c r="AP737" i="3"/>
  <c r="AP738" i="3"/>
  <c r="AP739" i="3"/>
  <c r="AP740" i="3"/>
  <c r="AP742" i="3"/>
  <c r="AP743" i="3"/>
  <c r="AP744" i="3"/>
  <c r="AP745" i="3"/>
  <c r="AP746" i="3"/>
  <c r="AP747" i="3"/>
  <c r="AP748" i="3"/>
  <c r="AP749" i="3"/>
  <c r="AP751" i="3"/>
  <c r="AP753" i="3"/>
  <c r="AP754" i="3"/>
  <c r="AP756" i="3"/>
  <c r="AP757" i="3"/>
  <c r="AP758" i="3"/>
  <c r="AP759" i="3"/>
  <c r="AP760" i="3"/>
  <c r="AP761" i="3"/>
  <c r="AP762" i="3"/>
  <c r="AP763" i="3"/>
  <c r="AP764" i="3"/>
  <c r="AP765" i="3"/>
  <c r="AP766" i="3"/>
  <c r="AP767" i="3"/>
  <c r="AP768" i="3"/>
  <c r="AP769" i="3"/>
  <c r="AP770" i="3"/>
  <c r="AP771" i="3"/>
  <c r="AP772" i="3"/>
  <c r="AP773" i="3"/>
  <c r="AP774" i="3"/>
  <c r="AP775" i="3"/>
  <c r="AP777" i="3"/>
  <c r="AP778" i="3"/>
  <c r="AP779" i="3"/>
  <c r="AP780" i="3"/>
  <c r="AP781" i="3"/>
  <c r="AP782" i="3"/>
  <c r="AP783" i="3"/>
  <c r="AP784" i="3"/>
  <c r="AP785" i="3"/>
  <c r="AP786" i="3"/>
  <c r="AP788" i="3"/>
  <c r="AP790" i="3"/>
  <c r="AP791" i="3"/>
  <c r="AP793" i="3"/>
  <c r="AP795" i="3"/>
  <c r="AP796" i="3"/>
  <c r="AP797" i="3"/>
  <c r="AP798" i="3"/>
  <c r="AP799" i="3"/>
  <c r="AP800" i="3"/>
  <c r="AP801" i="3"/>
  <c r="AP803" i="3"/>
  <c r="AP804" i="3"/>
  <c r="AP805" i="3"/>
  <c r="AP806" i="3"/>
  <c r="AP807" i="3"/>
  <c r="AP809" i="3"/>
  <c r="AP810" i="3"/>
  <c r="AP811" i="3"/>
  <c r="AP812" i="3"/>
  <c r="AP813" i="3"/>
  <c r="AP814" i="3"/>
  <c r="AP815" i="3"/>
  <c r="AP816" i="3"/>
  <c r="AP817" i="3"/>
  <c r="AP818" i="3"/>
  <c r="AP819" i="3"/>
  <c r="AP821" i="3"/>
  <c r="AP824" i="3"/>
  <c r="AP826" i="3"/>
  <c r="AP827" i="3"/>
  <c r="AP828" i="3"/>
  <c r="AP829" i="3"/>
  <c r="AP830" i="3"/>
  <c r="AP832" i="3"/>
  <c r="AP833" i="3"/>
  <c r="AP834" i="3"/>
  <c r="AP836" i="3"/>
  <c r="AP837" i="3"/>
  <c r="AP838" i="3"/>
  <c r="AP840" i="3"/>
  <c r="AP841" i="3"/>
  <c r="AP842" i="3"/>
  <c r="AP843" i="3"/>
  <c r="AP844" i="3"/>
  <c r="AP845" i="3"/>
  <c r="AP846" i="3"/>
  <c r="AP847" i="3"/>
  <c r="AP848" i="3"/>
  <c r="AP850" i="3"/>
  <c r="AP851" i="3"/>
  <c r="AP852" i="3"/>
  <c r="AP853" i="3"/>
  <c r="AP855" i="3"/>
  <c r="AP856" i="3"/>
  <c r="AP857" i="3"/>
  <c r="AP858" i="3"/>
  <c r="AP859" i="3"/>
  <c r="AP860" i="3"/>
  <c r="AP861" i="3"/>
  <c r="AP863" i="3"/>
  <c r="AP864" i="3"/>
  <c r="AP865" i="3"/>
  <c r="AP866" i="3"/>
  <c r="AP867" i="3"/>
  <c r="AP868" i="3"/>
  <c r="AP869" i="3"/>
  <c r="AP870" i="3"/>
  <c r="AP871" i="3"/>
  <c r="AP872" i="3"/>
  <c r="AP873" i="3"/>
  <c r="AP875" i="3"/>
  <c r="AP876" i="3"/>
  <c r="AP877" i="3"/>
  <c r="AP878" i="3"/>
  <c r="AP879" i="3"/>
  <c r="AP880" i="3"/>
  <c r="AP881" i="3"/>
  <c r="AP882" i="3"/>
  <c r="AP883" i="3"/>
  <c r="AP884" i="3"/>
  <c r="AP885" i="3"/>
  <c r="AP886" i="3"/>
  <c r="AP888" i="3"/>
  <c r="AP889" i="3"/>
  <c r="AP890" i="3"/>
  <c r="AP891" i="3"/>
  <c r="AP893" i="3"/>
  <c r="AP894" i="3"/>
  <c r="AP896" i="3"/>
  <c r="AP897" i="3"/>
  <c r="AP898" i="3"/>
  <c r="AP900" i="3"/>
  <c r="AP901" i="3"/>
  <c r="AP903" i="3"/>
  <c r="AP905" i="3"/>
  <c r="AP907" i="3"/>
  <c r="AP908" i="3"/>
  <c r="AP911" i="3"/>
  <c r="AP912" i="3"/>
  <c r="AP913" i="3"/>
  <c r="AP914" i="3"/>
  <c r="AP915" i="3"/>
  <c r="AP916" i="3"/>
  <c r="AP919" i="3"/>
  <c r="AP920" i="3"/>
  <c r="AP921" i="3"/>
  <c r="AP922" i="3"/>
  <c r="AP923" i="3"/>
  <c r="AP924" i="3"/>
  <c r="AP925" i="3"/>
  <c r="AP927" i="3"/>
  <c r="AP928" i="3"/>
  <c r="AP929" i="3"/>
  <c r="AP931" i="3"/>
  <c r="AP932" i="3"/>
  <c r="AP933" i="3"/>
  <c r="AP934" i="3"/>
  <c r="AP935" i="3"/>
  <c r="AP936" i="3"/>
  <c r="AP937" i="3"/>
  <c r="AP938" i="3"/>
  <c r="AP939" i="3"/>
  <c r="AP940" i="3"/>
  <c r="AP941" i="3"/>
  <c r="AP942" i="3"/>
  <c r="AP945" i="3"/>
  <c r="AP948" i="3"/>
  <c r="AP949" i="3"/>
  <c r="AP950" i="3"/>
  <c r="AP953" i="3"/>
  <c r="AP954" i="3"/>
  <c r="AP955" i="3"/>
  <c r="AP956" i="3"/>
  <c r="AP957" i="3"/>
  <c r="AP959" i="3"/>
  <c r="AP960" i="3"/>
  <c r="AP961" i="3"/>
  <c r="AP963" i="3"/>
  <c r="AP965" i="3"/>
  <c r="AP967" i="3"/>
  <c r="AP968" i="3"/>
  <c r="AP969" i="3"/>
  <c r="AP970" i="3"/>
  <c r="AP971" i="3"/>
  <c r="AP972" i="3"/>
  <c r="AP973" i="3"/>
  <c r="AP974" i="3"/>
  <c r="AP975" i="3"/>
  <c r="AP976" i="3"/>
  <c r="AP977" i="3"/>
  <c r="AP978" i="3"/>
  <c r="AP980" i="3"/>
  <c r="AP981" i="3"/>
  <c r="AP982" i="3"/>
  <c r="AP983" i="3"/>
  <c r="AP984" i="3"/>
  <c r="AP986" i="3"/>
  <c r="AP987" i="3"/>
  <c r="AP989" i="3"/>
  <c r="AP990" i="3"/>
  <c r="AP991" i="3"/>
  <c r="AP992" i="3"/>
  <c r="AP993" i="3"/>
  <c r="AP994" i="3"/>
  <c r="AP995" i="3"/>
  <c r="AP996" i="3"/>
  <c r="AP997" i="3"/>
  <c r="AP998" i="3"/>
  <c r="AP999" i="3"/>
  <c r="AP1000" i="3"/>
  <c r="AP1001" i="3"/>
  <c r="AP1002" i="3"/>
  <c r="AP1003" i="3"/>
  <c r="AP1004" i="3"/>
  <c r="AP1005" i="3"/>
  <c r="AP1007" i="3"/>
  <c r="AP1009" i="3"/>
  <c r="AP1010" i="3"/>
  <c r="AP1011" i="3"/>
  <c r="AP1012" i="3"/>
  <c r="AP1013" i="3"/>
  <c r="AP1014" i="3"/>
  <c r="AP1015" i="3"/>
  <c r="AP1016" i="3"/>
  <c r="AP1017" i="3"/>
  <c r="AP1018" i="3"/>
  <c r="AP1020" i="3"/>
  <c r="AP1021" i="3"/>
  <c r="AP1022" i="3"/>
  <c r="AP1023" i="3"/>
  <c r="AP1024" i="3"/>
  <c r="AP1026" i="3"/>
  <c r="AP1027" i="3"/>
  <c r="AP1028" i="3"/>
  <c r="AP1030" i="3"/>
  <c r="AP1031" i="3"/>
  <c r="AP1032" i="3"/>
  <c r="AP1033" i="3"/>
  <c r="AP1034" i="3"/>
  <c r="AP1035" i="3"/>
  <c r="AP1038" i="3"/>
  <c r="AP1039" i="3"/>
  <c r="AP1040" i="3"/>
  <c r="AP1041" i="3"/>
  <c r="AP1042" i="3"/>
  <c r="AP1043" i="3"/>
  <c r="AP1044" i="3"/>
  <c r="AP1045" i="3"/>
  <c r="AP1046" i="3"/>
  <c r="AP1047" i="3"/>
  <c r="AP1049" i="3"/>
  <c r="AP1050" i="3"/>
  <c r="AP1052" i="3"/>
  <c r="AP1053" i="3"/>
  <c r="AP1054" i="3"/>
  <c r="AP1055" i="3"/>
  <c r="AP1056" i="3"/>
  <c r="AP1057" i="3"/>
  <c r="AP1058" i="3"/>
  <c r="AP1059" i="3"/>
  <c r="AP1060" i="3"/>
  <c r="AP1061" i="3"/>
  <c r="AP1062" i="3"/>
  <c r="AP1063" i="3"/>
  <c r="AP1064" i="3"/>
  <c r="AP1065" i="3"/>
  <c r="AP1067" i="3"/>
  <c r="AP1068" i="3"/>
  <c r="AP1069" i="3"/>
  <c r="AP1070" i="3"/>
  <c r="AP1071" i="3"/>
  <c r="AP1073" i="3"/>
  <c r="AP1074" i="3"/>
  <c r="AP1075" i="3"/>
  <c r="AP1076" i="3"/>
  <c r="AP1077" i="3"/>
  <c r="AP1078" i="3"/>
  <c r="AP1081" i="3"/>
  <c r="AP1082" i="3"/>
  <c r="AP1083" i="3"/>
  <c r="AP1084" i="3"/>
  <c r="AP1085" i="3"/>
  <c r="AP1086" i="3"/>
  <c r="AP1087" i="3"/>
  <c r="AP1088" i="3"/>
  <c r="AP1089" i="3"/>
  <c r="AP1090" i="3"/>
  <c r="AP1091" i="3"/>
  <c r="AP1092" i="3"/>
  <c r="AP1093" i="3"/>
  <c r="AP1094" i="3"/>
  <c r="AP1095" i="3"/>
  <c r="AP1097" i="3"/>
  <c r="AP1098" i="3"/>
  <c r="AP1100" i="3"/>
  <c r="AP1101" i="3"/>
  <c r="AP1102" i="3"/>
  <c r="AP1104" i="3"/>
  <c r="AP1105" i="3"/>
  <c r="AP1106" i="3"/>
  <c r="AP1107" i="3"/>
  <c r="AP1108" i="3"/>
  <c r="AP1110" i="3"/>
  <c r="AP1111" i="3"/>
  <c r="AP1112" i="3"/>
  <c r="AP1114" i="3"/>
  <c r="AP1115" i="3"/>
  <c r="AP1116" i="3"/>
  <c r="AP1117" i="3"/>
  <c r="AP1118" i="3"/>
  <c r="AP1119" i="3"/>
  <c r="AP1120" i="3"/>
  <c r="AP1121" i="3"/>
  <c r="AP1122" i="3"/>
  <c r="AP1123" i="3"/>
  <c r="AP1124" i="3"/>
  <c r="AP1125" i="3"/>
  <c r="AP1126" i="3"/>
  <c r="AP1127" i="3"/>
  <c r="AP1128" i="3"/>
  <c r="AP1129" i="3"/>
  <c r="AP1130" i="3"/>
  <c r="AP1131" i="3"/>
  <c r="AP1132" i="3"/>
  <c r="AP1133" i="3"/>
  <c r="AP1134" i="3"/>
  <c r="AP1135" i="3"/>
  <c r="AP1136" i="3"/>
  <c r="AP1137" i="3"/>
  <c r="AP1138" i="3"/>
  <c r="AP1140" i="3"/>
  <c r="AP1142" i="3"/>
  <c r="AP1144" i="3"/>
  <c r="AP1145" i="3"/>
  <c r="AP1146" i="3"/>
  <c r="AP1147" i="3"/>
  <c r="AP1149" i="3"/>
  <c r="AP1150" i="3"/>
  <c r="AP1151" i="3"/>
  <c r="AP1152" i="3"/>
  <c r="AP1154" i="3"/>
  <c r="AP1155" i="3"/>
  <c r="AP1156" i="3"/>
  <c r="AP1157" i="3"/>
  <c r="AP1158" i="3"/>
  <c r="AP1159" i="3"/>
  <c r="AP1160" i="3"/>
  <c r="AP1161" i="3"/>
  <c r="AP1163" i="3"/>
  <c r="AP1164" i="3"/>
  <c r="AP1165" i="3"/>
  <c r="AP1166" i="3"/>
  <c r="AP1167" i="3"/>
  <c r="AP1168" i="3"/>
  <c r="AP1169" i="3"/>
  <c r="AP1170" i="3"/>
  <c r="AP1171" i="3"/>
  <c r="AP1173" i="3"/>
  <c r="AP1174" i="3"/>
  <c r="AP1175" i="3"/>
  <c r="AP1176" i="3"/>
  <c r="AP1178" i="3"/>
  <c r="AP1179" i="3"/>
  <c r="AP1180" i="3"/>
  <c r="AP1181" i="3"/>
  <c r="AP1182" i="3"/>
  <c r="AP1183" i="3"/>
  <c r="AP1184" i="3"/>
  <c r="AP1185" i="3"/>
  <c r="AP1186" i="3"/>
  <c r="AP1187" i="3"/>
  <c r="AP1188" i="3"/>
  <c r="AP1189" i="3"/>
  <c r="AP1191" i="3"/>
  <c r="AP1192" i="3"/>
  <c r="AP1193" i="3"/>
  <c r="AP1194" i="3"/>
  <c r="AP1195" i="3"/>
  <c r="AP1196" i="3"/>
  <c r="AP1197" i="3"/>
  <c r="AP1199" i="3"/>
  <c r="AP1200" i="3"/>
  <c r="AP1201" i="3"/>
  <c r="AP1202" i="3"/>
  <c r="AP1203" i="3"/>
  <c r="AP1204" i="3"/>
  <c r="AP1205" i="3"/>
  <c r="AP1206" i="3"/>
  <c r="AP1207" i="3"/>
  <c r="AP1208" i="3"/>
  <c r="AP1209" i="3"/>
  <c r="AP1210" i="3"/>
  <c r="AP1211" i="3"/>
  <c r="AP1212" i="3"/>
  <c r="AP1214" i="3"/>
  <c r="AP1215" i="3"/>
  <c r="AP1216" i="3"/>
  <c r="AP1217" i="3"/>
  <c r="AP1220" i="3"/>
  <c r="AP1222" i="3"/>
  <c r="AP1223" i="3"/>
  <c r="AP1224" i="3"/>
  <c r="AP1225" i="3"/>
  <c r="AP1229" i="3"/>
  <c r="AP1230" i="3"/>
  <c r="AP1231" i="3"/>
  <c r="AP1232" i="3"/>
  <c r="AP1233" i="3"/>
  <c r="AP1234" i="3"/>
  <c r="AP1235" i="3"/>
  <c r="AP1236" i="3"/>
  <c r="AP1237" i="3"/>
  <c r="AP1238" i="3"/>
  <c r="AP1239" i="3"/>
  <c r="AP1241" i="3"/>
  <c r="AP1242" i="3"/>
  <c r="AP1244" i="3"/>
  <c r="AP1245" i="3"/>
  <c r="AP1246" i="3"/>
  <c r="AP1247" i="3"/>
  <c r="AP1248" i="3"/>
  <c r="AP1249" i="3"/>
  <c r="AP1250" i="3"/>
  <c r="AP1251" i="3"/>
  <c r="AP1252" i="3"/>
  <c r="AP1254" i="3"/>
  <c r="AP1255" i="3"/>
  <c r="AP1256" i="3"/>
  <c r="AP1257" i="3"/>
  <c r="AP1258" i="3"/>
  <c r="AP1259" i="3"/>
  <c r="AP1261" i="3"/>
  <c r="AP1262" i="3"/>
  <c r="AP1263" i="3"/>
  <c r="AP1264" i="3"/>
  <c r="AP1265" i="3"/>
  <c r="AP1266" i="3"/>
  <c r="AP1267" i="3"/>
  <c r="AP1268" i="3"/>
  <c r="AP1269" i="3"/>
  <c r="AP1270" i="3"/>
  <c r="AP1271" i="3"/>
  <c r="AP1272" i="3"/>
  <c r="AP1273" i="3"/>
  <c r="AP1274" i="3"/>
  <c r="AP1278" i="3"/>
  <c r="AP1280" i="3"/>
  <c r="AP1281" i="3"/>
  <c r="AP1282" i="3"/>
  <c r="AP1283" i="3"/>
  <c r="AP1284" i="3"/>
  <c r="AP1285" i="3"/>
  <c r="AP1286" i="3"/>
  <c r="AP1287" i="3"/>
  <c r="AP1289" i="3"/>
  <c r="AP1290" i="3"/>
  <c r="AP1291" i="3"/>
  <c r="AP1294" i="3"/>
  <c r="AP1295" i="3"/>
  <c r="AP1296" i="3"/>
  <c r="AP1297" i="3"/>
  <c r="AP1298" i="3"/>
  <c r="AP1299" i="3"/>
  <c r="AP1300" i="3"/>
  <c r="AP1301" i="3"/>
  <c r="AP1302" i="3"/>
  <c r="AP1303" i="3"/>
  <c r="AP1304" i="3"/>
  <c r="AP1305" i="3"/>
  <c r="AP1306" i="3"/>
  <c r="AP1307" i="3"/>
  <c r="AP1308" i="3"/>
  <c r="AP1309" i="3"/>
  <c r="AP1310" i="3"/>
  <c r="AP1311" i="3"/>
  <c r="AP1312" i="3"/>
  <c r="AP1313" i="3"/>
  <c r="AP1314" i="3"/>
  <c r="AP1315" i="3"/>
  <c r="AP1316" i="3"/>
  <c r="AP1317" i="3"/>
  <c r="AP1319" i="3"/>
  <c r="AP1320" i="3"/>
  <c r="AP1321" i="3"/>
  <c r="AP1322" i="3"/>
  <c r="AP1323" i="3"/>
  <c r="AP1324" i="3"/>
  <c r="AP1325" i="3"/>
  <c r="AP1327" i="3"/>
  <c r="AP1328" i="3"/>
  <c r="AP1329" i="3"/>
  <c r="AP1330" i="3"/>
  <c r="AP1331" i="3"/>
  <c r="AP1332" i="3"/>
  <c r="AP1333" i="3"/>
  <c r="AP1334" i="3"/>
  <c r="AP1335" i="3"/>
  <c r="AP1336" i="3"/>
  <c r="AP1337" i="3"/>
  <c r="AP1338" i="3"/>
  <c r="AP1339" i="3"/>
  <c r="AP1340" i="3"/>
  <c r="AP1341" i="3"/>
  <c r="AP1342" i="3"/>
  <c r="AP1343" i="3"/>
  <c r="AP1344" i="3"/>
  <c r="AP1345" i="3"/>
  <c r="AP1346" i="3"/>
  <c r="AP1347" i="3"/>
  <c r="AP1348" i="3"/>
  <c r="AP1349" i="3"/>
  <c r="AP1350" i="3"/>
  <c r="AP1352" i="3"/>
  <c r="AP1353" i="3"/>
  <c r="AP1354" i="3"/>
  <c r="AP1355" i="3"/>
  <c r="AP1356" i="3"/>
  <c r="AP1357" i="3"/>
  <c r="AP1358" i="3"/>
  <c r="AP1359" i="3"/>
  <c r="AP1360" i="3"/>
  <c r="AP1361" i="3"/>
  <c r="AP1362" i="3"/>
  <c r="AP1363" i="3"/>
  <c r="AP1364" i="3"/>
  <c r="AP1365" i="3"/>
  <c r="AP1366" i="3"/>
  <c r="AP1367" i="3"/>
  <c r="AP1368" i="3"/>
  <c r="AP1369" i="3"/>
  <c r="AP1373" i="3"/>
  <c r="AP1374" i="3"/>
  <c r="AP1375" i="3"/>
  <c r="AP1376" i="3"/>
  <c r="AP1377" i="3"/>
  <c r="AP1378" i="3"/>
  <c r="AP1379" i="3"/>
  <c r="AP1380" i="3"/>
  <c r="AP1382" i="3"/>
  <c r="AP1383" i="3"/>
  <c r="AP1384" i="3"/>
  <c r="AP1385" i="3"/>
  <c r="AP1386" i="3"/>
  <c r="AP1387" i="3"/>
  <c r="AP1388" i="3"/>
  <c r="AP1389" i="3"/>
  <c r="AP1390" i="3"/>
  <c r="AP1391" i="3"/>
  <c r="AP1392" i="3"/>
  <c r="AP1393" i="3"/>
  <c r="AP1394" i="3"/>
  <c r="AP1395" i="3"/>
  <c r="AP1396" i="3"/>
  <c r="AP1397" i="3"/>
  <c r="AP1398" i="3"/>
  <c r="AP1399" i="3"/>
  <c r="AP1400" i="3"/>
  <c r="AP1401" i="3"/>
  <c r="AP1402" i="3"/>
  <c r="AP1403" i="3"/>
  <c r="AP1404" i="3"/>
  <c r="AP1405" i="3"/>
  <c r="AP1406" i="3"/>
  <c r="AP1407" i="3"/>
  <c r="AP1408" i="3"/>
  <c r="AP1409" i="3"/>
  <c r="AP1410" i="3"/>
  <c r="AP1411" i="3"/>
  <c r="AP1412" i="3"/>
  <c r="AP1413" i="3"/>
  <c r="AP1414" i="3"/>
  <c r="AP1415" i="3"/>
  <c r="AP1416" i="3"/>
  <c r="AP1417" i="3"/>
  <c r="AP1418" i="3"/>
  <c r="AP1419" i="3"/>
  <c r="AP1420" i="3"/>
  <c r="AP1422" i="3"/>
  <c r="AP1425" i="3"/>
  <c r="AP1426" i="3"/>
  <c r="AP1427" i="3"/>
  <c r="AP1428" i="3"/>
  <c r="AP1431" i="3"/>
  <c r="AP1432" i="3"/>
  <c r="AP1433" i="3"/>
  <c r="AP1435" i="3"/>
  <c r="AP1436" i="3"/>
  <c r="AP1437" i="3"/>
  <c r="AP1438" i="3"/>
  <c r="AP1439" i="3"/>
  <c r="AP1440" i="3"/>
  <c r="AP1441" i="3"/>
  <c r="AP1442" i="3"/>
  <c r="AP1443" i="3"/>
  <c r="AP1444" i="3"/>
  <c r="AP1445" i="3"/>
  <c r="AP1446" i="3"/>
  <c r="AP1447" i="3"/>
  <c r="AP1448" i="3"/>
  <c r="AP1449" i="3"/>
  <c r="AP1450" i="3"/>
  <c r="AP1451" i="3"/>
  <c r="AP1452" i="3"/>
  <c r="AP1453" i="3"/>
  <c r="AP1454" i="3"/>
  <c r="AP1455" i="3"/>
  <c r="AP1456" i="3"/>
  <c r="AP1457" i="3"/>
  <c r="AP1458" i="3"/>
  <c r="AP1459" i="3"/>
  <c r="AP1460" i="3"/>
  <c r="AP1461" i="3"/>
  <c r="AP1462" i="3"/>
  <c r="AP1463" i="3"/>
  <c r="AP1464" i="3"/>
  <c r="AP1465" i="3"/>
  <c r="AP1466" i="3"/>
  <c r="AP1467" i="3"/>
  <c r="AP1468" i="3"/>
  <c r="AP1469" i="3"/>
  <c r="AP1470" i="3"/>
  <c r="AP1471" i="3"/>
  <c r="AP1472" i="3"/>
  <c r="AP1473" i="3"/>
  <c r="AP1475" i="3"/>
  <c r="AP1477" i="3"/>
  <c r="AP1478" i="3"/>
  <c r="AP1479" i="3"/>
  <c r="AP1480" i="3"/>
  <c r="AP1481" i="3"/>
  <c r="AP1482" i="3"/>
  <c r="AP1483" i="3"/>
  <c r="AP1484" i="3"/>
  <c r="AP1485" i="3"/>
  <c r="AP1486" i="3"/>
  <c r="AP1487" i="3"/>
  <c r="AP1489" i="3"/>
  <c r="AP1490" i="3"/>
  <c r="AP1491" i="3"/>
  <c r="AP1492" i="3"/>
  <c r="AP1493" i="3"/>
  <c r="AP1494" i="3"/>
  <c r="AP1495" i="3"/>
  <c r="AP1496" i="3"/>
  <c r="AP1497" i="3"/>
  <c r="AP1499" i="3"/>
  <c r="AP1500" i="3"/>
  <c r="AP1501" i="3"/>
  <c r="AP1502" i="3"/>
  <c r="AP1503" i="3"/>
  <c r="AP1504" i="3"/>
  <c r="AP1505" i="3"/>
  <c r="AP1506" i="3"/>
  <c r="AP1507" i="3"/>
  <c r="AP1508" i="3"/>
  <c r="AP1510" i="3"/>
  <c r="AP1511" i="3"/>
  <c r="AP1512" i="3"/>
  <c r="AP1513" i="3"/>
  <c r="AP1514" i="3"/>
  <c r="AP1515" i="3"/>
  <c r="AP1516" i="3"/>
  <c r="AP1517" i="3"/>
  <c r="AP1518" i="3"/>
  <c r="AP1519" i="3"/>
  <c r="AP1520" i="3"/>
  <c r="AP1521" i="3"/>
  <c r="AP1523" i="3"/>
  <c r="AP1524" i="3"/>
  <c r="AP1525" i="3"/>
  <c r="AP1526" i="3"/>
  <c r="AP1527" i="3"/>
  <c r="AP1528" i="3"/>
  <c r="AP1529" i="3"/>
  <c r="AP1530" i="3"/>
  <c r="AP1532" i="3"/>
  <c r="AP1533" i="3"/>
  <c r="AP1534" i="3"/>
  <c r="AP1535" i="3"/>
  <c r="AP1536" i="3"/>
  <c r="AP1537" i="3"/>
  <c r="AP1538" i="3"/>
  <c r="AP1539" i="3"/>
  <c r="AP1540" i="3"/>
  <c r="AP1541" i="3"/>
  <c r="AP1542" i="3"/>
  <c r="AP1543" i="3"/>
  <c r="AP1544" i="3"/>
  <c r="AP1545" i="3"/>
  <c r="AP1546" i="3"/>
  <c r="AP1547" i="3"/>
  <c r="AP1548" i="3"/>
  <c r="AP1549" i="3"/>
  <c r="AP1550" i="3"/>
  <c r="AP1552" i="3"/>
  <c r="AP1553" i="3"/>
  <c r="AP1554" i="3"/>
  <c r="AP1555" i="3"/>
  <c r="AP1556" i="3"/>
  <c r="AP1557" i="3"/>
  <c r="AP1558" i="3"/>
  <c r="AP1560" i="3"/>
  <c r="AP1563" i="3"/>
  <c r="AP1564" i="3"/>
  <c r="AP1565" i="3"/>
  <c r="AP1566" i="3"/>
  <c r="AP1567" i="3"/>
  <c r="AP1568" i="3"/>
  <c r="AP1569" i="3"/>
  <c r="AP1570" i="3"/>
  <c r="AP1571" i="3"/>
  <c r="AP1572" i="3"/>
  <c r="AP1573" i="3"/>
  <c r="AP1574" i="3"/>
  <c r="AP1575" i="3"/>
  <c r="AP1576" i="3"/>
  <c r="AP1577" i="3"/>
  <c r="AP1578" i="3"/>
  <c r="AP1579" i="3"/>
  <c r="AP1582" i="3"/>
  <c r="AP1583" i="3"/>
  <c r="AP1586" i="3"/>
  <c r="AP1587" i="3"/>
  <c r="AP1588" i="3"/>
  <c r="AP1589" i="3"/>
  <c r="AP1590" i="3"/>
  <c r="AP1591" i="3"/>
  <c r="AP1592" i="3"/>
  <c r="AP1594" i="3"/>
  <c r="AP1596" i="3"/>
  <c r="AP1597" i="3"/>
  <c r="AP1598" i="3"/>
  <c r="AP1599" i="3"/>
  <c r="AP1600" i="3"/>
  <c r="AP1601" i="3"/>
  <c r="AP1602" i="3"/>
  <c r="AP1603" i="3"/>
  <c r="AP1604" i="3"/>
  <c r="AP1605" i="3"/>
  <c r="AP1606" i="3"/>
  <c r="AP1607" i="3"/>
  <c r="AP1608" i="3"/>
  <c r="AP1609" i="3"/>
  <c r="AP1610" i="3"/>
  <c r="AP1611" i="3"/>
  <c r="AP1612" i="3"/>
  <c r="AP1614" i="3"/>
  <c r="AP1615" i="3"/>
  <c r="AP1616" i="3"/>
  <c r="AP1618" i="3"/>
  <c r="AP1619" i="3"/>
  <c r="AP1620" i="3"/>
  <c r="AP1621" i="3"/>
  <c r="AP1622" i="3"/>
  <c r="AP1623" i="3"/>
  <c r="AP1624" i="3"/>
  <c r="AP1625" i="3"/>
  <c r="AP1626" i="3"/>
  <c r="AP1627" i="3"/>
  <c r="AP1628" i="3"/>
  <c r="AP1629" i="3"/>
  <c r="AP1630" i="3"/>
  <c r="AP1631" i="3"/>
  <c r="AP1632" i="3"/>
  <c r="AP1633" i="3"/>
  <c r="AP1634" i="3"/>
  <c r="AP1635" i="3"/>
  <c r="AP1636" i="3"/>
  <c r="AP1637" i="3"/>
  <c r="AP1638" i="3"/>
  <c r="AP1639" i="3"/>
  <c r="AP1640" i="3"/>
  <c r="AP1641" i="3"/>
  <c r="AP1642" i="3"/>
  <c r="AP1643" i="3"/>
  <c r="AP1644" i="3"/>
  <c r="AP1645" i="3"/>
  <c r="AP1647" i="3"/>
  <c r="AP1648" i="3"/>
  <c r="AP1649" i="3"/>
  <c r="AP1650" i="3"/>
  <c r="AP1651" i="3"/>
  <c r="AP1652" i="3"/>
  <c r="AP1653" i="3"/>
  <c r="AP1654" i="3"/>
  <c r="AP1655" i="3"/>
  <c r="AP1656" i="3"/>
  <c r="AP1657" i="3"/>
  <c r="AP1658" i="3"/>
  <c r="AP1659" i="3"/>
  <c r="AP1660" i="3"/>
  <c r="AP1661" i="3"/>
  <c r="AP1663" i="3"/>
  <c r="AP1664" i="3"/>
  <c r="AP1665" i="3"/>
  <c r="AP1666" i="3"/>
  <c r="AP1668" i="3"/>
  <c r="AP1669" i="3"/>
  <c r="AP1670" i="3"/>
  <c r="AP1671" i="3"/>
  <c r="AP1672" i="3"/>
  <c r="AP1673" i="3"/>
  <c r="AP1675" i="3"/>
  <c r="AP1676" i="3"/>
  <c r="AP1677" i="3"/>
  <c r="AP1679" i="3"/>
  <c r="AP1681" i="3"/>
  <c r="AP1682" i="3"/>
  <c r="AP1683" i="3"/>
  <c r="AP1685" i="3"/>
  <c r="AP1686" i="3"/>
  <c r="AP1688" i="3"/>
  <c r="AP1692" i="3"/>
  <c r="AP1693" i="3"/>
  <c r="AP1694" i="3"/>
  <c r="AP1695" i="3"/>
  <c r="AP1696" i="3"/>
  <c r="AP1697" i="3"/>
  <c r="AP1698" i="3"/>
  <c r="AP1700" i="3"/>
  <c r="AP1701" i="3"/>
  <c r="AP1702" i="3"/>
  <c r="AP1703" i="3"/>
  <c r="AP1704" i="3"/>
  <c r="AP1705" i="3"/>
  <c r="AP1706" i="3"/>
  <c r="AP1707" i="3"/>
  <c r="AP1708" i="3"/>
  <c r="AP1709" i="3"/>
  <c r="AP1710" i="3"/>
  <c r="AP1711" i="3"/>
  <c r="AP1713" i="3"/>
  <c r="AP1715" i="3"/>
  <c r="AP1716" i="3"/>
  <c r="AP1717" i="3"/>
  <c r="AP1718" i="3"/>
  <c r="AP1719" i="3"/>
  <c r="AP1720" i="3"/>
  <c r="AP1721" i="3"/>
  <c r="AP1723" i="3"/>
  <c r="AP1724" i="3"/>
  <c r="AP1725" i="3"/>
  <c r="AP1729" i="3"/>
  <c r="AP1731" i="3"/>
  <c r="AP1732" i="3"/>
  <c r="AP1733" i="3"/>
  <c r="AP1734" i="3"/>
  <c r="AP1735" i="3"/>
  <c r="AP1736" i="3"/>
  <c r="AP1738" i="3"/>
  <c r="AP1739" i="3"/>
  <c r="AP1740" i="3"/>
  <c r="AP1742" i="3"/>
  <c r="AP1743" i="3"/>
  <c r="AP1744" i="3"/>
  <c r="AP1745" i="3"/>
  <c r="AP1746" i="3"/>
  <c r="AP1747" i="3"/>
  <c r="AP1748" i="3"/>
  <c r="AP1749" i="3"/>
  <c r="AP1750" i="3"/>
  <c r="AP1751" i="3"/>
  <c r="AP1752" i="3"/>
  <c r="AP1753" i="3"/>
  <c r="AP1754" i="3"/>
  <c r="AP1755" i="3"/>
  <c r="AP1756" i="3"/>
  <c r="AP1757" i="3"/>
  <c r="AP1759" i="3"/>
  <c r="AP1760" i="3"/>
  <c r="AP1763" i="3"/>
  <c r="AP1765" i="3"/>
  <c r="AP1766" i="3"/>
  <c r="AP1767" i="3"/>
  <c r="AP1768" i="3"/>
  <c r="AP1769" i="3"/>
  <c r="AP1770" i="3"/>
  <c r="AP1771" i="3"/>
  <c r="AP1772" i="3"/>
  <c r="AP1773" i="3"/>
  <c r="AP1774" i="3"/>
  <c r="AP1776" i="3"/>
  <c r="AP1777" i="3"/>
  <c r="AP1778" i="3"/>
  <c r="AP1779" i="3"/>
  <c r="AP1780" i="3"/>
  <c r="AP1781" i="3"/>
  <c r="AP1782" i="3"/>
  <c r="AP1783" i="3"/>
  <c r="AP1784" i="3"/>
  <c r="AP1785" i="3"/>
  <c r="AP1787" i="3"/>
  <c r="AP1788" i="3"/>
  <c r="AP1789" i="3"/>
  <c r="AP1790" i="3"/>
  <c r="AP1791" i="3"/>
  <c r="AP1792" i="3"/>
  <c r="AP1793" i="3"/>
  <c r="AP1794" i="3"/>
  <c r="AP1795" i="3"/>
  <c r="AP1796" i="3"/>
  <c r="AP1797" i="3"/>
  <c r="AP1798" i="3"/>
  <c r="AP1799" i="3"/>
  <c r="AP1802" i="3"/>
  <c r="AP1803" i="3"/>
  <c r="AP1804" i="3"/>
  <c r="AP1805" i="3"/>
  <c r="AP1806" i="3"/>
  <c r="AP1808" i="3"/>
  <c r="AP1809" i="3"/>
  <c r="AP1810" i="3"/>
  <c r="AP1812" i="3"/>
  <c r="AP1813" i="3"/>
  <c r="AP1814" i="3"/>
  <c r="AP1815" i="3"/>
  <c r="AP1816" i="3"/>
  <c r="AP1817" i="3"/>
  <c r="AP1818" i="3"/>
  <c r="AP1819" i="3"/>
  <c r="AP1821" i="3"/>
  <c r="AP1822" i="3"/>
  <c r="AM3" i="3"/>
  <c r="AM4" i="3"/>
  <c r="AM5" i="3"/>
  <c r="AM6" i="3"/>
  <c r="AM7" i="3"/>
  <c r="AM8" i="3"/>
  <c r="AM10" i="3"/>
  <c r="AM16" i="3"/>
  <c r="AM17" i="3"/>
  <c r="AM18" i="3"/>
  <c r="AM21" i="3"/>
  <c r="AM24" i="3"/>
  <c r="AM25" i="3"/>
  <c r="AM26" i="3"/>
  <c r="AM30" i="3"/>
  <c r="AM34" i="3"/>
  <c r="AM40" i="3"/>
  <c r="AM48" i="3"/>
  <c r="AM49" i="3"/>
  <c r="AM50" i="3"/>
  <c r="AM53" i="3"/>
  <c r="AM58" i="3"/>
  <c r="AM61" i="3"/>
  <c r="AM68" i="3"/>
  <c r="AM69" i="3"/>
  <c r="AM71" i="3"/>
  <c r="AM74" i="3"/>
  <c r="AM76" i="3"/>
  <c r="AM78" i="3"/>
  <c r="AM79" i="3"/>
  <c r="AM82" i="3"/>
  <c r="AM83" i="3"/>
  <c r="AM84" i="3"/>
  <c r="AM93" i="3"/>
  <c r="AM103" i="3"/>
  <c r="AM104" i="3"/>
  <c r="AM109" i="3"/>
  <c r="AM121" i="3"/>
  <c r="AM123" i="3"/>
  <c r="AM130" i="3"/>
  <c r="AM133" i="3"/>
  <c r="AM138" i="3"/>
  <c r="AM139" i="3"/>
  <c r="AM141" i="3"/>
  <c r="AM143" i="3"/>
  <c r="AM144" i="3"/>
  <c r="AM145" i="3"/>
  <c r="AM148" i="3"/>
  <c r="AM154" i="3"/>
  <c r="AM163" i="3"/>
  <c r="AM164" i="3"/>
  <c r="AM168" i="3"/>
  <c r="AM169" i="3"/>
  <c r="AM172" i="3"/>
  <c r="AM176" i="3"/>
  <c r="AM177" i="3"/>
  <c r="AM178" i="3"/>
  <c r="AM185" i="3"/>
  <c r="AM188" i="3"/>
  <c r="AM189" i="3"/>
  <c r="AM192" i="3"/>
  <c r="AM199" i="3"/>
  <c r="AM202" i="3"/>
  <c r="AM203" i="3"/>
  <c r="AM208" i="3"/>
  <c r="AM209" i="3"/>
  <c r="AM210" i="3"/>
  <c r="AM212" i="3"/>
  <c r="AM216" i="3"/>
  <c r="AM219" i="3"/>
  <c r="AM220" i="3"/>
  <c r="AM222" i="3"/>
  <c r="AM224" i="3"/>
  <c r="AM227" i="3"/>
  <c r="AM228" i="3"/>
  <c r="AM229" i="3"/>
  <c r="AM231" i="3"/>
  <c r="AM234" i="3"/>
  <c r="AM236" i="3"/>
  <c r="AM238" i="3"/>
  <c r="AM251" i="3"/>
  <c r="AM252" i="3"/>
  <c r="AM255" i="3"/>
  <c r="AM256" i="3"/>
  <c r="AM258" i="3"/>
  <c r="AM265" i="3"/>
  <c r="AM267" i="3"/>
  <c r="AM271" i="3"/>
  <c r="AM273" i="3"/>
  <c r="AM274" i="3"/>
  <c r="AM275" i="3"/>
  <c r="AM276" i="3"/>
  <c r="AM277" i="3"/>
  <c r="AM278" i="3"/>
  <c r="AM279" i="3"/>
  <c r="AM280" i="3"/>
  <c r="AM281" i="3"/>
  <c r="AM283" i="3"/>
  <c r="AM285" i="3"/>
  <c r="AM286" i="3"/>
  <c r="AM290" i="3"/>
  <c r="AM292" i="3"/>
  <c r="AM294" i="3"/>
  <c r="AM297" i="3"/>
  <c r="AM298" i="3"/>
  <c r="AM299" i="3"/>
  <c r="AM300" i="3"/>
  <c r="AM303" i="3"/>
  <c r="AM306" i="3"/>
  <c r="AM309" i="3"/>
  <c r="AM310" i="3"/>
  <c r="AM312" i="3"/>
  <c r="AM313" i="3"/>
  <c r="AM314" i="3"/>
  <c r="AM315" i="3"/>
  <c r="AM316" i="3"/>
  <c r="AM317" i="3"/>
  <c r="AM319" i="3"/>
  <c r="AM322" i="3"/>
  <c r="AM325" i="3"/>
  <c r="AM329" i="3"/>
  <c r="AM330" i="3"/>
  <c r="AM331" i="3"/>
  <c r="AM333" i="3"/>
  <c r="AM338" i="3"/>
  <c r="AM339" i="3"/>
  <c r="AM343" i="3"/>
  <c r="AM344" i="3"/>
  <c r="AM345" i="3"/>
  <c r="AM347" i="3"/>
  <c r="AM348" i="3"/>
  <c r="AM355" i="3"/>
  <c r="AM356" i="3"/>
  <c r="AM358" i="3"/>
  <c r="AM359" i="3"/>
  <c r="AM360" i="3"/>
  <c r="AM362" i="3"/>
  <c r="AM363" i="3"/>
  <c r="AM364" i="3"/>
  <c r="AM365" i="3"/>
  <c r="AM369" i="3"/>
  <c r="AM370" i="3"/>
  <c r="AM371" i="3"/>
  <c r="AM372" i="3"/>
  <c r="AM377" i="3"/>
  <c r="AM378" i="3"/>
  <c r="AM379" i="3"/>
  <c r="AM380" i="3"/>
  <c r="AM383" i="3"/>
  <c r="AM384" i="3"/>
  <c r="AM385" i="3"/>
  <c r="AM387" i="3"/>
  <c r="AM389" i="3"/>
  <c r="AM391" i="3"/>
  <c r="AM393" i="3"/>
  <c r="AM400" i="3"/>
  <c r="AM401" i="3"/>
  <c r="AM404" i="3"/>
  <c r="AM405" i="3"/>
  <c r="AM406" i="3"/>
  <c r="AM408" i="3"/>
  <c r="AM411" i="3"/>
  <c r="AM414" i="3"/>
  <c r="AM415" i="3"/>
  <c r="AM420" i="3"/>
  <c r="AM422" i="3"/>
  <c r="AM435" i="3"/>
  <c r="AM438" i="3"/>
  <c r="AM439" i="3"/>
  <c r="AM443" i="3"/>
  <c r="AM446" i="3"/>
  <c r="AM447" i="3"/>
  <c r="AM449" i="3"/>
  <c r="AM451" i="3"/>
  <c r="AM457" i="3"/>
  <c r="AM459" i="3"/>
  <c r="AM462" i="3"/>
  <c r="AM463" i="3"/>
  <c r="AM464" i="3"/>
  <c r="AM466" i="3"/>
  <c r="AM470" i="3"/>
  <c r="AM471" i="3"/>
  <c r="AM472" i="3"/>
  <c r="AM474" i="3"/>
  <c r="AM475" i="3"/>
  <c r="AM477" i="3"/>
  <c r="AM478" i="3"/>
  <c r="AM483" i="3"/>
  <c r="AM485" i="3"/>
  <c r="AM488" i="3"/>
  <c r="AM493" i="3"/>
  <c r="AM494" i="3"/>
  <c r="AM496" i="3"/>
  <c r="AM497" i="3"/>
  <c r="AM502" i="3"/>
  <c r="AM503" i="3"/>
  <c r="AM504" i="3"/>
  <c r="AM506" i="3"/>
  <c r="AM509" i="3"/>
  <c r="AM514" i="3"/>
  <c r="AM516" i="3"/>
  <c r="AM517" i="3"/>
  <c r="AM522" i="3"/>
  <c r="AM524" i="3"/>
  <c r="AM525" i="3"/>
  <c r="AM527" i="3"/>
  <c r="AM529" i="3"/>
  <c r="AM530" i="3"/>
  <c r="AM532" i="3"/>
  <c r="AM539" i="3"/>
  <c r="AM541" i="3"/>
  <c r="AM542" i="3"/>
  <c r="AM543" i="3"/>
  <c r="AM545" i="3"/>
  <c r="AM546" i="3"/>
  <c r="AM547" i="3"/>
  <c r="AM550" i="3"/>
  <c r="AM551" i="3"/>
  <c r="AM552" i="3"/>
  <c r="AM553" i="3"/>
  <c r="AM558" i="3"/>
  <c r="AM561" i="3"/>
  <c r="AM565" i="3"/>
  <c r="AM571" i="3"/>
  <c r="AM581" i="3"/>
  <c r="AM586" i="3"/>
  <c r="AM591" i="3"/>
  <c r="AM595" i="3"/>
  <c r="AM598" i="3"/>
  <c r="AM600" i="3"/>
  <c r="AM602" i="3"/>
  <c r="AM603" i="3"/>
  <c r="AM605" i="3"/>
  <c r="AM614" i="3"/>
  <c r="AM615" i="3"/>
  <c r="AM617" i="3"/>
  <c r="AM620" i="3"/>
  <c r="AM621" i="3"/>
  <c r="AM622" i="3"/>
  <c r="AM626" i="3"/>
  <c r="AM630" i="3"/>
  <c r="AM632" i="3"/>
  <c r="AM637" i="3"/>
  <c r="AM639" i="3"/>
  <c r="AM640" i="3"/>
  <c r="AM642" i="3"/>
  <c r="AM645" i="3"/>
  <c r="AM646" i="3"/>
  <c r="AM660" i="3"/>
  <c r="AM661" i="3"/>
  <c r="AM664" i="3"/>
  <c r="AM677" i="3"/>
  <c r="AM681" i="3"/>
  <c r="AM683" i="3"/>
  <c r="AM684" i="3"/>
  <c r="AM687" i="3"/>
  <c r="AM689" i="3"/>
  <c r="AM690" i="3"/>
  <c r="AM691" i="3"/>
  <c r="AM692" i="3"/>
  <c r="AM693" i="3"/>
  <c r="AM694" i="3"/>
  <c r="AM695" i="3"/>
  <c r="AM696" i="3"/>
  <c r="AM701" i="3"/>
  <c r="AM702" i="3"/>
  <c r="AM707" i="3"/>
  <c r="AM708" i="3"/>
  <c r="AM710" i="3"/>
  <c r="AM713" i="3"/>
  <c r="AM716" i="3"/>
  <c r="AM720" i="3"/>
  <c r="AM725" i="3"/>
  <c r="AM729" i="3"/>
  <c r="AM730" i="3"/>
  <c r="AM733" i="3"/>
  <c r="AM734" i="3"/>
  <c r="AM737" i="3"/>
  <c r="AM739" i="3"/>
  <c r="AM742" i="3"/>
  <c r="AM746" i="3"/>
  <c r="AM748" i="3"/>
  <c r="AM749" i="3"/>
  <c r="AM754" i="3"/>
  <c r="AM756" i="3"/>
  <c r="AM759" i="3"/>
  <c r="AM760" i="3"/>
  <c r="AM764" i="3"/>
  <c r="AM765" i="3"/>
  <c r="AM766" i="3"/>
  <c r="AM767" i="3"/>
  <c r="AM768" i="3"/>
  <c r="AM770" i="3"/>
  <c r="AM773" i="3"/>
  <c r="AM784" i="3"/>
  <c r="AM785" i="3"/>
  <c r="AM786" i="3"/>
  <c r="AM788" i="3"/>
  <c r="AM790" i="3"/>
  <c r="AM794" i="3"/>
  <c r="AM795" i="3"/>
  <c r="AM797" i="3"/>
  <c r="AM800" i="3"/>
  <c r="AM802" i="3"/>
  <c r="AM803" i="3"/>
  <c r="AM810" i="3"/>
  <c r="AM811" i="3"/>
  <c r="AM815" i="3"/>
  <c r="AM818" i="3"/>
  <c r="AM821" i="3"/>
  <c r="AM826" i="3"/>
  <c r="AM827" i="3"/>
  <c r="AM834" i="3"/>
  <c r="AM838" i="3"/>
  <c r="AM840" i="3"/>
  <c r="AM843" i="3"/>
  <c r="AM844" i="3"/>
  <c r="AM846" i="3"/>
  <c r="AM848" i="3"/>
  <c r="AM849" i="3"/>
  <c r="AM851" i="3"/>
  <c r="AM853" i="3"/>
  <c r="AM857" i="3"/>
  <c r="AM858" i="3"/>
  <c r="AM860" i="3"/>
  <c r="AM861" i="3"/>
  <c r="AM864" i="3"/>
  <c r="AM865" i="3"/>
  <c r="AM868" i="3"/>
  <c r="AM870" i="3"/>
  <c r="AM873" i="3"/>
  <c r="AM878" i="3"/>
  <c r="AM885" i="3"/>
  <c r="AM886" i="3"/>
  <c r="AM892" i="3"/>
  <c r="AM894" i="3"/>
  <c r="AM907" i="3"/>
  <c r="AM912" i="3"/>
  <c r="AM916" i="3"/>
  <c r="AM925" i="3"/>
  <c r="AM928" i="3"/>
  <c r="AM933" i="3"/>
  <c r="AM949" i="3"/>
  <c r="AM961" i="3"/>
  <c r="AM969" i="3"/>
  <c r="AM970" i="3"/>
  <c r="AM973" i="3"/>
  <c r="AM980" i="3"/>
  <c r="AM984" i="3"/>
  <c r="AM987" i="3"/>
  <c r="AM989" i="3"/>
  <c r="AM991" i="3"/>
  <c r="AM995" i="3"/>
  <c r="AM1001" i="3"/>
  <c r="AM1005" i="3"/>
  <c r="AM1007" i="3"/>
  <c r="AM1010" i="3"/>
  <c r="AM1012" i="3"/>
  <c r="AM1013" i="3"/>
  <c r="AM1015" i="3"/>
  <c r="AM1029" i="3"/>
  <c r="AM1033" i="3"/>
  <c r="AM1041" i="3"/>
  <c r="AM1044" i="3"/>
  <c r="AM1045" i="3"/>
  <c r="AM1047" i="3"/>
  <c r="AM1049" i="3"/>
  <c r="AM1052" i="3"/>
  <c r="AM1054" i="3"/>
  <c r="AM1056" i="3"/>
  <c r="AM1061" i="3"/>
  <c r="AM1069" i="3"/>
  <c r="AM1071" i="3"/>
  <c r="AM1073" i="3"/>
  <c r="AM1076" i="3"/>
  <c r="AM1078" i="3"/>
  <c r="AM1087" i="3"/>
  <c r="AM1091" i="3"/>
  <c r="AM1095" i="3"/>
  <c r="AM1115" i="3"/>
  <c r="AM1119" i="3"/>
  <c r="AM1120" i="3"/>
  <c r="AM1124" i="3"/>
  <c r="AM1125" i="3"/>
  <c r="AM1126" i="3"/>
  <c r="AM1127" i="3"/>
  <c r="AM1129" i="3"/>
  <c r="AM1134" i="3"/>
  <c r="AM1135" i="3"/>
  <c r="AM1136" i="3"/>
  <c r="AM1138" i="3"/>
  <c r="AM1144" i="3"/>
  <c r="AM1147" i="3"/>
  <c r="AM1150" i="3"/>
  <c r="AM1151" i="3"/>
  <c r="AM1152" i="3"/>
  <c r="AM1157" i="3"/>
  <c r="AM1161" i="3"/>
  <c r="AM1163" i="3"/>
  <c r="AM1164" i="3"/>
  <c r="AM1165" i="3"/>
  <c r="AM1167" i="3"/>
  <c r="AM1168" i="3"/>
  <c r="AM1169" i="3"/>
  <c r="AM1170" i="3"/>
  <c r="AM1171" i="3"/>
  <c r="AM1173" i="3"/>
  <c r="AM1174" i="3"/>
  <c r="AM1178" i="3"/>
  <c r="AM1179" i="3"/>
  <c r="AM1180" i="3"/>
  <c r="AM1182" i="3"/>
  <c r="AM1184" i="3"/>
  <c r="AM1185" i="3"/>
  <c r="AM1186" i="3"/>
  <c r="AM1187" i="3"/>
  <c r="AM1188" i="3"/>
  <c r="AM1189" i="3"/>
  <c r="AM1191" i="3"/>
  <c r="AM1193" i="3"/>
  <c r="AM1195" i="3"/>
  <c r="AM1200" i="3"/>
  <c r="AM1201" i="3"/>
  <c r="AM1204" i="3"/>
  <c r="AM1207" i="3"/>
  <c r="AM1210" i="3"/>
  <c r="AM1214" i="3"/>
  <c r="AM1216" i="3"/>
  <c r="AM1223" i="3"/>
  <c r="AM1230" i="3"/>
  <c r="AM1245" i="3"/>
  <c r="AM1246" i="3"/>
  <c r="AM1247" i="3"/>
  <c r="AM1248" i="3"/>
  <c r="AM1249" i="3"/>
  <c r="AM1252" i="3"/>
  <c r="AM1256" i="3"/>
  <c r="AM1258" i="3"/>
  <c r="AM1265" i="3"/>
  <c r="AM1268" i="3"/>
  <c r="AM1270" i="3"/>
  <c r="AM1271" i="3"/>
  <c r="AM1272" i="3"/>
  <c r="AM1278" i="3"/>
  <c r="AM1280" i="3"/>
  <c r="AM1283" i="3"/>
  <c r="AM1290" i="3"/>
  <c r="AM1295" i="3"/>
  <c r="AM1301" i="3"/>
  <c r="AM1306" i="3"/>
  <c r="AM1310" i="3"/>
  <c r="AM1312" i="3"/>
  <c r="AM1321" i="3"/>
  <c r="AM1324" i="3"/>
  <c r="AM1327" i="3"/>
  <c r="AM1328" i="3"/>
  <c r="AM1329" i="3"/>
  <c r="AM1331" i="3"/>
  <c r="AM1339" i="3"/>
  <c r="AM1340" i="3"/>
  <c r="AM1342" i="3"/>
  <c r="AM1343" i="3"/>
  <c r="AM1345" i="3"/>
  <c r="AM1347" i="3"/>
  <c r="AM1348" i="3"/>
  <c r="AM1349" i="3"/>
  <c r="AM1350" i="3"/>
  <c r="AM1354" i="3"/>
  <c r="AM1355" i="3"/>
  <c r="AM1356" i="3"/>
  <c r="AM1357" i="3"/>
  <c r="AM1359" i="3"/>
  <c r="AM1360" i="3"/>
  <c r="AM1363" i="3"/>
  <c r="AM1364" i="3"/>
  <c r="AM1365" i="3"/>
  <c r="AM1369" i="3"/>
  <c r="AM1371" i="3"/>
  <c r="AM1372" i="3"/>
  <c r="AM1373" i="3"/>
  <c r="AM1378" i="3"/>
  <c r="AM1380" i="3"/>
  <c r="AM1382" i="3"/>
  <c r="AM1383" i="3"/>
  <c r="AM1384" i="3"/>
  <c r="AM1387" i="3"/>
  <c r="AM1389" i="3"/>
  <c r="AM1392" i="3"/>
  <c r="AM1398" i="3"/>
  <c r="AM1399" i="3"/>
  <c r="AM1401" i="3"/>
  <c r="AM1404" i="3"/>
  <c r="AM1405" i="3"/>
  <c r="AM1409" i="3"/>
  <c r="AM1412" i="3"/>
  <c r="AM1416" i="3"/>
  <c r="AM1419" i="3"/>
  <c r="AM1425" i="3"/>
  <c r="AM1426" i="3"/>
  <c r="AM1427" i="3"/>
  <c r="AM1428" i="3"/>
  <c r="AM1431" i="3"/>
  <c r="AM1433" i="3"/>
  <c r="AM1436" i="3"/>
  <c r="AM1445" i="3"/>
  <c r="AM1448" i="3"/>
  <c r="AM1452" i="3"/>
  <c r="AM1453" i="3"/>
  <c r="AM1454" i="3"/>
  <c r="AM1455" i="3"/>
  <c r="AM1457" i="3"/>
  <c r="AM1459" i="3"/>
  <c r="AM1460" i="3"/>
  <c r="AM1463" i="3"/>
  <c r="AM1464" i="3"/>
  <c r="AM1466" i="3"/>
  <c r="AM1468" i="3"/>
  <c r="AM1469" i="3"/>
  <c r="AM1470" i="3"/>
  <c r="AM1475" i="3"/>
  <c r="AM1477" i="3"/>
  <c r="AM1481" i="3"/>
  <c r="AM1484" i="3"/>
  <c r="AM1486" i="3"/>
  <c r="AM1487" i="3"/>
  <c r="AM1489" i="3"/>
  <c r="AM1495" i="3"/>
  <c r="AM1496" i="3"/>
  <c r="AM1497" i="3"/>
  <c r="AM1499" i="3"/>
  <c r="AM1502" i="3"/>
  <c r="AM1505" i="3"/>
  <c r="AM1507" i="3"/>
  <c r="AM1508" i="3"/>
  <c r="AM1513" i="3"/>
  <c r="AM1514" i="3"/>
  <c r="AM1515" i="3"/>
  <c r="AM1517" i="3"/>
  <c r="AM1520" i="3"/>
  <c r="AM1523" i="3"/>
  <c r="AM1524" i="3"/>
  <c r="AM1527" i="3"/>
  <c r="AM1529" i="3"/>
  <c r="AM1530" i="3"/>
  <c r="AM1532" i="3"/>
  <c r="AM1533" i="3"/>
  <c r="AM1534" i="3"/>
  <c r="AM1539" i="3"/>
  <c r="AM1542" i="3"/>
  <c r="AM1544" i="3"/>
  <c r="AM1546" i="3"/>
  <c r="AM1548" i="3"/>
  <c r="AM1549" i="3"/>
  <c r="AM1554" i="3"/>
  <c r="AM1555" i="3"/>
  <c r="AM1557" i="3"/>
  <c r="AM1561" i="3"/>
  <c r="AM1563" i="3"/>
  <c r="AM1566" i="3"/>
  <c r="AM1567" i="3"/>
  <c r="AM1569" i="3"/>
  <c r="AM1570" i="3"/>
  <c r="AM1571" i="3"/>
  <c r="AM1572" i="3"/>
  <c r="AM1573" i="3"/>
  <c r="AM1575" i="3"/>
  <c r="AM1578" i="3"/>
  <c r="AM1586" i="3"/>
  <c r="AM1588" i="3"/>
  <c r="AM1590" i="3"/>
  <c r="AM1591" i="3"/>
  <c r="AM1592" i="3"/>
  <c r="AM1593" i="3"/>
  <c r="AM1594" i="3"/>
  <c r="AM1595" i="3"/>
  <c r="AM1603" i="3"/>
  <c r="AM1605" i="3"/>
  <c r="AM1607" i="3"/>
  <c r="AM1608" i="3"/>
  <c r="AM1609" i="3"/>
  <c r="AM1610" i="3"/>
  <c r="AM1611" i="3"/>
  <c r="AM1612" i="3"/>
  <c r="AM1613" i="3"/>
  <c r="AM1614" i="3"/>
  <c r="AM1618" i="3"/>
  <c r="AM1619" i="3"/>
  <c r="AM1622" i="3"/>
  <c r="AM1625" i="3"/>
  <c r="AM1627" i="3"/>
  <c r="AM1628" i="3"/>
  <c r="AM1630" i="3"/>
  <c r="AM1632" i="3"/>
  <c r="AM1634" i="3"/>
  <c r="AM1635" i="3"/>
  <c r="AM1636" i="3"/>
  <c r="AM1638" i="3"/>
  <c r="AM1642" i="3"/>
  <c r="AM1647" i="3"/>
  <c r="AM1649" i="3"/>
  <c r="AM1652" i="3"/>
  <c r="AM1671" i="3"/>
  <c r="AM1686" i="3"/>
  <c r="AM1692" i="3"/>
  <c r="AM1693" i="3"/>
  <c r="AM1697" i="3"/>
  <c r="AM1698" i="3"/>
  <c r="AM1700" i="3"/>
  <c r="AM1702" i="3"/>
  <c r="AM1704" i="3"/>
  <c r="AM1705" i="3"/>
  <c r="AM1708" i="3"/>
  <c r="AM1709" i="3"/>
  <c r="AM1710" i="3"/>
  <c r="AM1717" i="3"/>
  <c r="AM1719" i="3"/>
  <c r="AM1723" i="3"/>
  <c r="AM1733" i="3"/>
  <c r="AM1734" i="3"/>
  <c r="AM1742" i="3"/>
  <c r="AM1745" i="3"/>
  <c r="AM1750" i="3"/>
  <c r="AM1752" i="3"/>
  <c r="AM1753" i="3"/>
  <c r="AM1756" i="3"/>
  <c r="AM1758" i="3"/>
  <c r="AM1759" i="3"/>
  <c r="AM1760" i="3"/>
  <c r="AM1765" i="3"/>
  <c r="AM1766" i="3"/>
  <c r="AM1767" i="3"/>
  <c r="AM1768" i="3"/>
  <c r="AM1770" i="3"/>
  <c r="AM1772" i="3"/>
  <c r="AM1773" i="3"/>
  <c r="AM1774" i="3"/>
  <c r="AM1776" i="3"/>
  <c r="AM1777" i="3"/>
  <c r="AM1780" i="3"/>
  <c r="AM1781" i="3"/>
  <c r="AM1784" i="3"/>
  <c r="AM1791" i="3"/>
  <c r="AM1794" i="3"/>
  <c r="AM1795" i="3"/>
  <c r="AM1799" i="3"/>
  <c r="AM1801" i="3"/>
  <c r="AM1804" i="3"/>
  <c r="AM1809" i="3"/>
  <c r="AM1815" i="3"/>
  <c r="AM1816" i="3"/>
  <c r="AM1819" i="3"/>
  <c r="AM1820" i="3"/>
  <c r="AL384" i="3"/>
  <c r="AK30" i="3"/>
  <c r="AK107" i="3"/>
  <c r="AK430" i="3"/>
  <c r="AK493" i="3"/>
  <c r="AK1333" i="3"/>
  <c r="BB115" i="1"/>
  <c r="BB301" i="1"/>
  <c r="BB302" i="1"/>
  <c r="BB303" i="1"/>
  <c r="BB304" i="1"/>
  <c r="BB374" i="1"/>
  <c r="BB375" i="1"/>
  <c r="BB376" i="1"/>
  <c r="BB377" i="1"/>
  <c r="BB1116" i="1"/>
  <c r="BB1117" i="1"/>
  <c r="BB1130" i="1"/>
  <c r="BB1504" i="1"/>
  <c r="BB1796" i="1"/>
  <c r="BB1814" i="1"/>
  <c r="BB1823" i="1"/>
  <c r="BB1912" i="1"/>
  <c r="BB1913" i="1"/>
  <c r="BB1914" i="1"/>
  <c r="BB1915" i="1"/>
  <c r="BB1916" i="1"/>
  <c r="BB1917" i="1"/>
  <c r="BB1918" i="1"/>
  <c r="BB1936" i="1"/>
  <c r="BB1937" i="1"/>
  <c r="BB2069" i="1"/>
  <c r="BB2071" i="1"/>
  <c r="BB2073" i="1"/>
  <c r="BB2519" i="1"/>
  <c r="BB2520" i="1"/>
  <c r="BB2521" i="1"/>
  <c r="BB2522" i="1"/>
  <c r="BB2523" i="1"/>
  <c r="BB2524" i="1"/>
  <c r="BB2525" i="1"/>
  <c r="BB2526" i="1"/>
  <c r="BB2527" i="1"/>
  <c r="BB2528" i="1"/>
  <c r="BB2529" i="1"/>
  <c r="BB2530" i="1"/>
  <c r="BB2531" i="1"/>
  <c r="BB2605"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U4" i="1"/>
  <c r="U5" i="1"/>
  <c r="U6" i="1"/>
  <c r="U7" i="1"/>
  <c r="U8" i="1"/>
  <c r="U9" i="1"/>
  <c r="U10" i="1"/>
  <c r="U12" i="1"/>
  <c r="U15" i="1"/>
  <c r="U16" i="1"/>
  <c r="U17" i="1"/>
  <c r="U18" i="1"/>
  <c r="U19" i="1"/>
  <c r="U20" i="1"/>
  <c r="U21" i="1"/>
  <c r="U23" i="1"/>
  <c r="U24" i="1"/>
  <c r="U27" i="1"/>
  <c r="U28" i="1"/>
  <c r="U30" i="1"/>
  <c r="U31" i="1"/>
  <c r="U32" i="1"/>
  <c r="U34" i="1"/>
  <c r="U35" i="1"/>
  <c r="U38" i="1"/>
  <c r="U39" i="1"/>
  <c r="U40" i="1"/>
  <c r="U41" i="1"/>
  <c r="U42" i="1"/>
  <c r="U45" i="1"/>
  <c r="U49" i="1"/>
  <c r="U50" i="1"/>
  <c r="U51" i="1"/>
  <c r="U53" i="1"/>
  <c r="U54" i="1"/>
  <c r="U55" i="1"/>
  <c r="U56" i="1"/>
  <c r="U57" i="1"/>
  <c r="U58" i="1"/>
  <c r="U60" i="1"/>
  <c r="U61" i="1"/>
  <c r="U62" i="1"/>
  <c r="U63" i="1"/>
  <c r="U65" i="1"/>
  <c r="U67" i="1"/>
  <c r="U71" i="1"/>
  <c r="U76" i="1"/>
  <c r="U77" i="1"/>
  <c r="U78" i="1"/>
  <c r="U82" i="1"/>
  <c r="U83" i="1"/>
  <c r="U99" i="1"/>
  <c r="U110" i="1"/>
  <c r="U117" i="1"/>
  <c r="U120" i="1"/>
  <c r="U127" i="1"/>
  <c r="U130" i="1"/>
  <c r="U131" i="1"/>
  <c r="U132" i="1"/>
  <c r="U146" i="1"/>
  <c r="U147" i="1"/>
  <c r="U155" i="1"/>
  <c r="U171" i="1"/>
  <c r="U172" i="1"/>
  <c r="U173" i="1"/>
  <c r="U175" i="1"/>
  <c r="U177" i="1"/>
  <c r="U210" i="1"/>
  <c r="U235" i="1"/>
  <c r="U237" i="1"/>
  <c r="U240" i="1"/>
  <c r="U251" i="1"/>
  <c r="U270" i="1"/>
  <c r="U272" i="1"/>
  <c r="U277" i="1"/>
  <c r="U278" i="1"/>
  <c r="U293" i="1"/>
  <c r="U294" i="1"/>
  <c r="U307" i="1"/>
  <c r="U310" i="1"/>
  <c r="U311" i="1"/>
  <c r="U312" i="1"/>
  <c r="U313" i="1"/>
  <c r="U314" i="1"/>
  <c r="U315" i="1"/>
  <c r="U316" i="1"/>
  <c r="U317" i="1"/>
  <c r="U318" i="1"/>
  <c r="U319" i="1"/>
  <c r="U320" i="1"/>
  <c r="U321" i="1"/>
  <c r="U322" i="1"/>
  <c r="U323" i="1"/>
  <c r="U324" i="1"/>
  <c r="U326" i="1"/>
  <c r="U327" i="1"/>
  <c r="U328" i="1"/>
  <c r="U329" i="1"/>
  <c r="U330" i="1"/>
  <c r="U331" i="1"/>
  <c r="U332" i="1"/>
  <c r="U333" i="1"/>
  <c r="U334" i="1"/>
  <c r="U335" i="1"/>
  <c r="U336" i="1"/>
  <c r="U338" i="1"/>
  <c r="U342" i="1"/>
  <c r="U343" i="1"/>
  <c r="U344" i="1"/>
  <c r="U347" i="1"/>
  <c r="U349" i="1"/>
  <c r="U350" i="1"/>
  <c r="U351" i="1"/>
  <c r="U363" i="1"/>
  <c r="U368" i="1"/>
  <c r="U369" i="1"/>
  <c r="U370" i="1"/>
  <c r="U371" i="1"/>
  <c r="U378" i="1"/>
  <c r="U379" i="1"/>
  <c r="U380" i="1"/>
  <c r="U381" i="1"/>
  <c r="U382" i="1"/>
  <c r="U383" i="1"/>
  <c r="U384" i="1"/>
  <c r="U385" i="1"/>
  <c r="U386" i="1"/>
  <c r="U387" i="1"/>
  <c r="U388" i="1"/>
  <c r="U389" i="1"/>
  <c r="U390" i="1"/>
  <c r="U395" i="1"/>
  <c r="U396" i="1"/>
  <c r="U404" i="1"/>
  <c r="U405" i="1"/>
  <c r="U406" i="1"/>
  <c r="U407" i="1"/>
  <c r="U408" i="1"/>
  <c r="U410" i="1"/>
  <c r="U426" i="1"/>
  <c r="U432" i="1"/>
  <c r="U444" i="1"/>
  <c r="U445" i="1"/>
  <c r="U446" i="1"/>
  <c r="U447" i="1"/>
  <c r="U449" i="1"/>
  <c r="U450" i="1"/>
  <c r="U451" i="1"/>
  <c r="U465" i="1"/>
  <c r="U466" i="1"/>
  <c r="U476" i="1"/>
  <c r="U487" i="1"/>
  <c r="U493" i="1"/>
  <c r="U498" i="1"/>
  <c r="U499" i="1"/>
  <c r="U500" i="1"/>
  <c r="U501" i="1"/>
  <c r="U502" i="1"/>
  <c r="U528" i="1"/>
  <c r="U537" i="1"/>
  <c r="U538" i="1"/>
  <c r="U539" i="1"/>
  <c r="U544" i="1"/>
  <c r="U548" i="1"/>
  <c r="U554" i="1"/>
  <c r="U570" i="1"/>
  <c r="U577" i="1"/>
  <c r="U578" i="1"/>
  <c r="U579" i="1"/>
  <c r="U608" i="1"/>
  <c r="U618" i="1"/>
  <c r="U619" i="1"/>
  <c r="U620" i="1"/>
  <c r="U621" i="1"/>
  <c r="U623" i="1"/>
  <c r="U624" i="1"/>
  <c r="U626" i="1"/>
  <c r="U627" i="1"/>
  <c r="U628" i="1"/>
  <c r="U629" i="1"/>
  <c r="U630" i="1"/>
  <c r="U634" i="1"/>
  <c r="U637" i="1"/>
  <c r="U638" i="1"/>
  <c r="U642" i="1"/>
  <c r="U643" i="1"/>
  <c r="U644" i="1"/>
  <c r="U646" i="1"/>
  <c r="U647" i="1"/>
  <c r="U648" i="1"/>
  <c r="U649" i="1"/>
  <c r="U657" i="1"/>
  <c r="U658" i="1"/>
  <c r="U659"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30" i="1"/>
  <c r="U731" i="1"/>
  <c r="U732" i="1"/>
  <c r="U733" i="1"/>
  <c r="U734" i="1"/>
  <c r="U735" i="1"/>
  <c r="U736" i="1"/>
  <c r="U737" i="1"/>
  <c r="U738" i="1"/>
  <c r="U739" i="1"/>
  <c r="U740" i="1"/>
  <c r="U741" i="1"/>
  <c r="U742" i="1"/>
  <c r="U746" i="1"/>
  <c r="U747" i="1"/>
  <c r="U748" i="1"/>
  <c r="U749" i="1"/>
  <c r="U750" i="1"/>
  <c r="U751" i="1"/>
  <c r="U752" i="1"/>
  <c r="U753" i="1"/>
  <c r="U754" i="1"/>
  <c r="U755" i="1"/>
  <c r="U756" i="1"/>
  <c r="U757" i="1"/>
  <c r="U758" i="1"/>
  <c r="U759" i="1"/>
  <c r="U760" i="1"/>
  <c r="U761" i="1"/>
  <c r="U762" i="1"/>
  <c r="U763" i="1"/>
  <c r="U764" i="1"/>
  <c r="U765" i="1"/>
  <c r="U766" i="1"/>
  <c r="U767" i="1"/>
  <c r="U791" i="1"/>
  <c r="U792" i="1"/>
  <c r="U793" i="1"/>
  <c r="U794" i="1"/>
  <c r="U795" i="1"/>
  <c r="U810" i="1"/>
  <c r="U811" i="1"/>
  <c r="U812" i="1"/>
  <c r="U813" i="1"/>
  <c r="U814" i="1"/>
  <c r="U815" i="1"/>
  <c r="U816" i="1"/>
  <c r="U817" i="1"/>
  <c r="U818" i="1"/>
  <c r="U819" i="1"/>
  <c r="U822" i="1"/>
  <c r="U823" i="1"/>
  <c r="U826" i="1"/>
  <c r="U828" i="1"/>
  <c r="U829" i="1"/>
  <c r="U830" i="1"/>
  <c r="U831" i="1"/>
  <c r="U832" i="1"/>
  <c r="U834" i="1"/>
  <c r="U835" i="1"/>
  <c r="U836" i="1"/>
  <c r="U837" i="1"/>
  <c r="U838" i="1"/>
  <c r="U840" i="1"/>
  <c r="U841" i="1"/>
  <c r="U842" i="1"/>
  <c r="U843" i="1"/>
  <c r="U844" i="1"/>
  <c r="U845" i="1"/>
  <c r="U846" i="1"/>
  <c r="U847" i="1"/>
  <c r="U848" i="1"/>
  <c r="U849" i="1"/>
  <c r="U853" i="1"/>
  <c r="U854" i="1"/>
  <c r="U855" i="1"/>
  <c r="U856" i="1"/>
  <c r="U857" i="1"/>
  <c r="U858" i="1"/>
  <c r="U862" i="1"/>
  <c r="U863" i="1"/>
  <c r="U864" i="1"/>
  <c r="U865" i="1"/>
  <c r="U866" i="1"/>
  <c r="U867" i="1"/>
  <c r="U868" i="1"/>
  <c r="U869" i="1"/>
  <c r="U870" i="1"/>
  <c r="U871" i="1"/>
  <c r="U878" i="1"/>
  <c r="U879" i="1"/>
  <c r="U880" i="1"/>
  <c r="U881" i="1"/>
  <c r="U882"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10" i="1"/>
  <c r="U1011" i="1"/>
  <c r="U1012" i="1"/>
  <c r="U1013" i="1"/>
  <c r="U1014" i="1"/>
  <c r="U1016" i="1"/>
  <c r="U1017" i="1"/>
  <c r="U1018" i="1"/>
  <c r="U1019" i="1"/>
  <c r="U1020" i="1"/>
  <c r="U1024" i="1"/>
  <c r="U1025" i="1"/>
  <c r="U1026" i="1"/>
  <c r="U1027" i="1"/>
  <c r="U1028" i="1"/>
  <c r="U1029" i="1"/>
  <c r="U1030" i="1"/>
  <c r="U1031" i="1"/>
  <c r="U1032" i="1"/>
  <c r="U1033" i="1"/>
  <c r="U1036" i="1"/>
  <c r="U1037" i="1"/>
  <c r="U1038" i="1"/>
  <c r="U1039" i="1"/>
  <c r="U1040" i="1"/>
  <c r="U1041" i="1"/>
  <c r="U1042" i="1"/>
  <c r="U1043" i="1"/>
  <c r="U1044" i="1"/>
  <c r="U1045" i="1"/>
  <c r="U1049" i="1"/>
  <c r="U1050" i="1"/>
  <c r="U1051" i="1"/>
  <c r="U1052" i="1"/>
  <c r="U1053" i="1"/>
  <c r="U1054" i="1"/>
  <c r="U1055" i="1"/>
  <c r="U1056" i="1"/>
  <c r="U1057" i="1"/>
  <c r="U1058" i="1"/>
  <c r="U1059" i="1"/>
  <c r="U1068" i="1"/>
  <c r="U1070" i="1"/>
  <c r="U1071" i="1"/>
  <c r="U1074" i="1"/>
  <c r="U1081" i="1"/>
  <c r="U1082" i="1"/>
  <c r="U1083" i="1"/>
  <c r="U1089" i="1"/>
  <c r="U1090" i="1"/>
  <c r="U1091" i="1"/>
  <c r="U1092" i="1"/>
  <c r="U1093" i="1"/>
  <c r="U1094" i="1"/>
  <c r="U1095" i="1"/>
  <c r="U1096" i="1"/>
  <c r="U1097" i="1"/>
  <c r="U1109" i="1"/>
  <c r="U1110" i="1"/>
  <c r="U1111" i="1"/>
  <c r="U1112" i="1"/>
  <c r="U1113" i="1"/>
  <c r="U1115" i="1"/>
  <c r="U1119" i="1"/>
  <c r="U1120" i="1"/>
  <c r="U1121" i="1"/>
  <c r="U1162" i="1"/>
  <c r="U1163" i="1"/>
  <c r="U1164" i="1"/>
  <c r="U1165" i="1"/>
  <c r="U1166" i="1"/>
  <c r="U1167" i="1"/>
  <c r="U1168" i="1"/>
  <c r="U1169" i="1"/>
  <c r="U1170" i="1"/>
  <c r="U1171" i="1"/>
  <c r="U1172" i="1"/>
  <c r="U1180" i="1"/>
  <c r="U1185" i="1"/>
  <c r="U1186" i="1"/>
  <c r="U1191" i="1"/>
  <c r="U1192" i="1"/>
  <c r="U1193" i="1"/>
  <c r="U1194" i="1"/>
  <c r="U1195" i="1"/>
  <c r="U1196" i="1"/>
  <c r="U1197" i="1"/>
  <c r="U1198" i="1"/>
  <c r="U1199" i="1"/>
  <c r="U1200" i="1"/>
  <c r="U1244" i="1"/>
  <c r="U1281" i="1"/>
  <c r="U1404" i="1"/>
  <c r="U1434" i="1"/>
  <c r="U1476" i="1"/>
  <c r="U1485" i="1"/>
  <c r="U1486" i="1"/>
  <c r="U1487" i="1"/>
  <c r="U1488" i="1"/>
  <c r="U1489" i="1"/>
  <c r="U1490" i="1"/>
  <c r="U1491" i="1"/>
  <c r="U1492" i="1"/>
  <c r="U1497" i="1"/>
  <c r="U1501" i="1"/>
  <c r="U1502" i="1"/>
  <c r="U1507" i="1"/>
  <c r="U1514" i="1"/>
  <c r="U1515" i="1"/>
  <c r="U1516" i="1"/>
  <c r="U1517" i="1"/>
  <c r="U1518" i="1"/>
  <c r="U1520" i="1"/>
  <c r="U1523" i="1"/>
  <c r="U1525" i="1"/>
  <c r="U1526" i="1"/>
  <c r="U1527" i="1"/>
  <c r="U1528" i="1"/>
  <c r="U1529" i="1"/>
  <c r="U1530" i="1"/>
  <c r="U1542" i="1"/>
  <c r="U1543" i="1"/>
  <c r="U1544" i="1"/>
  <c r="U1545" i="1"/>
  <c r="U1555" i="1"/>
  <c r="U1570" i="1"/>
  <c r="U1572" i="1"/>
  <c r="U1581" i="1"/>
  <c r="U1582" i="1"/>
  <c r="U1583" i="1"/>
  <c r="U1584" i="1"/>
  <c r="U1585" i="1"/>
  <c r="U1588" i="1"/>
  <c r="U1589" i="1"/>
  <c r="U1590" i="1"/>
  <c r="U1591" i="1"/>
  <c r="U1592" i="1"/>
  <c r="U1596" i="1"/>
  <c r="U1598" i="1"/>
  <c r="U1600" i="1"/>
  <c r="U1601" i="1"/>
  <c r="U1602" i="1"/>
  <c r="U1603" i="1"/>
  <c r="U1605" i="1"/>
  <c r="U1606" i="1"/>
  <c r="U1607" i="1"/>
  <c r="U1608" i="1"/>
  <c r="U1609" i="1"/>
  <c r="U1610" i="1"/>
  <c r="U1611" i="1"/>
  <c r="U1617" i="1"/>
  <c r="U1623" i="1"/>
  <c r="U1628" i="1"/>
  <c r="U1630" i="1"/>
  <c r="U1631" i="1"/>
  <c r="U1632" i="1"/>
  <c r="U1633" i="1"/>
  <c r="U1636" i="1"/>
  <c r="U1637" i="1"/>
  <c r="U1638" i="1"/>
  <c r="U1639" i="1"/>
  <c r="U1640" i="1"/>
  <c r="U1641" i="1"/>
  <c r="U1644" i="1"/>
  <c r="U1645" i="1"/>
  <c r="U1646" i="1"/>
  <c r="U1647" i="1"/>
  <c r="U1648" i="1"/>
  <c r="U1649" i="1"/>
  <c r="U1650" i="1"/>
  <c r="U1651" i="1"/>
  <c r="U1652" i="1"/>
  <c r="U1653" i="1"/>
  <c r="U1654" i="1"/>
  <c r="U1661" i="1"/>
  <c r="U1662" i="1"/>
  <c r="U1663" i="1"/>
  <c r="U1664" i="1"/>
  <c r="U1665" i="1"/>
  <c r="U1667" i="1"/>
  <c r="U1674" i="1"/>
  <c r="U1675" i="1"/>
  <c r="U1676" i="1"/>
  <c r="U1677" i="1"/>
  <c r="U1678" i="1"/>
  <c r="U1679" i="1"/>
  <c r="U1680" i="1"/>
  <c r="U1681" i="1"/>
  <c r="U1682" i="1"/>
  <c r="U1683" i="1"/>
  <c r="U1684" i="1"/>
  <c r="U1685" i="1"/>
  <c r="U1686" i="1"/>
  <c r="U1718" i="1"/>
  <c r="U1719" i="1"/>
  <c r="U1720" i="1"/>
  <c r="U1721" i="1"/>
  <c r="U1724" i="1"/>
  <c r="U1727" i="1"/>
  <c r="U1730" i="1"/>
  <c r="U1732" i="1"/>
  <c r="U1747" i="1"/>
  <c r="U1748" i="1"/>
  <c r="U1749" i="1"/>
  <c r="U1750" i="1"/>
  <c r="U1751" i="1"/>
  <c r="U1752" i="1"/>
  <c r="U1753" i="1"/>
  <c r="U1754" i="1"/>
  <c r="U1756" i="1"/>
  <c r="U1757" i="1"/>
  <c r="U1758" i="1"/>
  <c r="U1759" i="1"/>
  <c r="U1760" i="1"/>
  <c r="U1761" i="1"/>
  <c r="U1762" i="1"/>
  <c r="U1763" i="1"/>
  <c r="U1764" i="1"/>
  <c r="U1765" i="1"/>
  <c r="U1766" i="1"/>
  <c r="U1767" i="1"/>
  <c r="U1769" i="1"/>
  <c r="U1770" i="1"/>
  <c r="U1771" i="1"/>
  <c r="U1782" i="1"/>
  <c r="U1783" i="1"/>
  <c r="U1789" i="1"/>
  <c r="U1795" i="1"/>
  <c r="U1796" i="1"/>
  <c r="U1797" i="1"/>
  <c r="U1812" i="1"/>
  <c r="U1813" i="1"/>
  <c r="U1815" i="1"/>
  <c r="U1817" i="1"/>
  <c r="U1818" i="1"/>
  <c r="U1819" i="1"/>
  <c r="U1820" i="1"/>
  <c r="U1821" i="1"/>
  <c r="U1822" i="1"/>
  <c r="U1824" i="1"/>
  <c r="U1825" i="1"/>
  <c r="U1826" i="1"/>
  <c r="U1827" i="1"/>
  <c r="U1828" i="1"/>
  <c r="U1839" i="1"/>
  <c r="U1842" i="1"/>
  <c r="U1843" i="1"/>
  <c r="U1861" i="1"/>
  <c r="U1862" i="1"/>
  <c r="U1868" i="1"/>
  <c r="U1869" i="1"/>
  <c r="U1870" i="1"/>
  <c r="U1871" i="1"/>
  <c r="U1874" i="1"/>
  <c r="U1875" i="1"/>
  <c r="U1876" i="1"/>
  <c r="U1877" i="1"/>
  <c r="U1878" i="1"/>
  <c r="U1879" i="1"/>
  <c r="U1880" i="1"/>
  <c r="U1885" i="1"/>
  <c r="U1886" i="1"/>
  <c r="U1887" i="1"/>
  <c r="U1888" i="1"/>
  <c r="U1889" i="1"/>
  <c r="U1890" i="1"/>
  <c r="U1891" i="1"/>
  <c r="U1892" i="1"/>
  <c r="U1893" i="1"/>
  <c r="U1894" i="1"/>
  <c r="U1895" i="1"/>
  <c r="U1896" i="1"/>
  <c r="U1897" i="1"/>
  <c r="U1898" i="1"/>
  <c r="U1899" i="1"/>
  <c r="U1900" i="1"/>
  <c r="U1901" i="1"/>
  <c r="U1906" i="1"/>
  <c r="U1907" i="1"/>
  <c r="U1908" i="1"/>
  <c r="U1909" i="1"/>
  <c r="U1910" i="1"/>
  <c r="U1912" i="1"/>
  <c r="U1913" i="1"/>
  <c r="U1914" i="1"/>
  <c r="U1915" i="1"/>
  <c r="U1916" i="1"/>
  <c r="U1917" i="1"/>
  <c r="U1918" i="1"/>
  <c r="U1919" i="1"/>
  <c r="U1920" i="1"/>
  <c r="U1923" i="1"/>
  <c r="U1924" i="1"/>
  <c r="U1925" i="1"/>
  <c r="U1926" i="1"/>
  <c r="U1927" i="1"/>
  <c r="U1931" i="1"/>
  <c r="U1932" i="1"/>
  <c r="U1934" i="1"/>
  <c r="U1935" i="1"/>
  <c r="U1943" i="1"/>
  <c r="U1944" i="1"/>
  <c r="U1945" i="1"/>
  <c r="U1956" i="1"/>
  <c r="U1959"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3" i="1"/>
  <c r="U2014" i="1"/>
  <c r="U2015" i="1"/>
  <c r="U2016" i="1"/>
  <c r="U2017" i="1"/>
  <c r="U2018" i="1"/>
  <c r="U2019" i="1"/>
  <c r="U2020" i="1"/>
  <c r="U2021" i="1"/>
  <c r="U2023" i="1"/>
  <c r="U2024" i="1"/>
  <c r="U2025" i="1"/>
  <c r="U2026" i="1"/>
  <c r="U2027" i="1"/>
  <c r="U2033" i="1"/>
  <c r="U2034" i="1"/>
  <c r="U2035" i="1"/>
  <c r="U2036" i="1"/>
  <c r="U2037" i="1"/>
  <c r="U2038" i="1"/>
  <c r="U2039" i="1"/>
  <c r="U2040" i="1"/>
  <c r="U2041" i="1"/>
  <c r="U2042" i="1"/>
  <c r="U2043" i="1"/>
  <c r="U2044" i="1"/>
  <c r="U2049" i="1"/>
  <c r="U2050" i="1"/>
  <c r="U2051" i="1"/>
  <c r="U2053" i="1"/>
  <c r="U2058" i="1"/>
  <c r="U2059" i="1"/>
  <c r="U2060" i="1"/>
  <c r="U2061" i="1"/>
  <c r="U2062" i="1"/>
  <c r="U2063" i="1"/>
  <c r="U2064" i="1"/>
  <c r="U2065" i="1"/>
  <c r="U2069" i="1"/>
  <c r="U2070" i="1"/>
  <c r="U2071" i="1"/>
  <c r="U2072" i="1"/>
  <c r="U2073" i="1"/>
  <c r="U2074" i="1"/>
  <c r="U2075" i="1"/>
  <c r="U2081" i="1"/>
  <c r="U2082" i="1"/>
  <c r="U2083" i="1"/>
  <c r="U2084" i="1"/>
  <c r="U2085" i="1"/>
  <c r="U2086" i="1"/>
  <c r="U2087" i="1"/>
  <c r="U2088" i="1"/>
  <c r="U2089" i="1"/>
  <c r="U2090" i="1"/>
  <c r="U2091" i="1"/>
  <c r="U2092" i="1"/>
  <c r="U2097"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6" i="1"/>
  <c r="U2127" i="1"/>
  <c r="U2128" i="1"/>
  <c r="U2129" i="1"/>
  <c r="U2385" i="1"/>
  <c r="U2387" i="1"/>
  <c r="U2388" i="1"/>
  <c r="U2389" i="1"/>
  <c r="U2408" i="1"/>
  <c r="U2409" i="1"/>
  <c r="U2426" i="1"/>
  <c r="U2433" i="1"/>
  <c r="U2434" i="1"/>
  <c r="U2435" i="1"/>
  <c r="U2436" i="1"/>
  <c r="U2437" i="1"/>
  <c r="U2439" i="1"/>
  <c r="U2441" i="1"/>
  <c r="U2442" i="1"/>
  <c r="U2445" i="1"/>
  <c r="U2446" i="1"/>
  <c r="U2451" i="1"/>
  <c r="U2475" i="1"/>
  <c r="U2478" i="1"/>
  <c r="U2479" i="1"/>
  <c r="U2480" i="1"/>
  <c r="U2481" i="1"/>
  <c r="U2482" i="1"/>
  <c r="U2483" i="1"/>
  <c r="U2484" i="1"/>
  <c r="U2485" i="1"/>
  <c r="U2487" i="1"/>
  <c r="U2488" i="1"/>
  <c r="U2489" i="1"/>
  <c r="U2490" i="1"/>
  <c r="U2491" i="1"/>
  <c r="U2492" i="1"/>
  <c r="U2493" i="1"/>
  <c r="U2496" i="1"/>
  <c r="U2497" i="1"/>
  <c r="U2500" i="1"/>
  <c r="U2506" i="1"/>
  <c r="U2507" i="1"/>
  <c r="U2508"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42" i="1"/>
  <c r="U2543" i="1"/>
  <c r="U2544" i="1"/>
  <c r="U2545" i="1"/>
  <c r="U2546" i="1"/>
  <c r="U2547" i="1"/>
  <c r="U2548" i="1"/>
  <c r="U2549" i="1"/>
  <c r="U2550" i="1"/>
  <c r="U2551" i="1"/>
  <c r="U2552" i="1"/>
  <c r="U2553" i="1"/>
  <c r="U2554" i="1"/>
  <c r="U2555" i="1"/>
  <c r="U2556" i="1"/>
  <c r="U2558" i="1"/>
  <c r="U2559" i="1"/>
  <c r="U2560" i="1"/>
  <c r="U2561" i="1"/>
  <c r="U2562" i="1"/>
  <c r="U2563" i="1"/>
  <c r="U2564" i="1"/>
  <c r="U2565" i="1"/>
  <c r="U2566" i="1"/>
  <c r="U2567" i="1"/>
  <c r="U2569" i="1"/>
  <c r="U2570" i="1"/>
  <c r="U2571" i="1"/>
  <c r="U2572" i="1"/>
  <c r="U2573" i="1"/>
  <c r="U2574" i="1"/>
  <c r="U2575" i="1"/>
  <c r="U2579" i="1"/>
  <c r="U2580" i="1"/>
  <c r="U2583" i="1"/>
  <c r="U2585" i="1"/>
  <c r="U2587" i="1"/>
  <c r="U2588" i="1"/>
  <c r="U2590" i="1"/>
  <c r="U2606" i="1"/>
  <c r="U2607" i="1"/>
  <c r="U2608" i="1"/>
  <c r="U2609" i="1"/>
  <c r="U2612" i="1"/>
  <c r="U2613" i="1"/>
  <c r="U2614" i="1"/>
  <c r="U2615" i="1"/>
  <c r="R3" i="1"/>
  <c r="R4" i="1"/>
  <c r="R5" i="1"/>
  <c r="R6" i="1"/>
  <c r="R7" i="1"/>
  <c r="R11" i="1"/>
  <c r="R13" i="1"/>
  <c r="R14" i="1"/>
  <c r="R22" i="1"/>
  <c r="R23" i="1"/>
  <c r="R24" i="1"/>
  <c r="R25" i="1"/>
  <c r="R26" i="1"/>
  <c r="R36" i="1"/>
  <c r="R37" i="1"/>
  <c r="R42" i="1"/>
  <c r="R45" i="1"/>
  <c r="R49" i="1"/>
  <c r="R60" i="1"/>
  <c r="R61" i="1"/>
  <c r="R62" i="1"/>
  <c r="R64" i="1"/>
  <c r="R66" i="1"/>
  <c r="R67" i="1"/>
  <c r="R68" i="1"/>
  <c r="R71" i="1"/>
  <c r="R72" i="1"/>
  <c r="R73" i="1"/>
  <c r="R74" i="1"/>
  <c r="R81" i="1"/>
  <c r="R83" i="1"/>
  <c r="R100" i="1"/>
  <c r="R101" i="1"/>
  <c r="R102" i="1"/>
  <c r="R103" i="1"/>
  <c r="R104" i="1"/>
  <c r="R105" i="1"/>
  <c r="R106" i="1"/>
  <c r="R107" i="1"/>
  <c r="R108" i="1"/>
  <c r="R109" i="1"/>
  <c r="R110" i="1"/>
  <c r="R111" i="1"/>
  <c r="R112" i="1"/>
  <c r="R113" i="1"/>
  <c r="R114" i="1"/>
  <c r="R116" i="1"/>
  <c r="R117" i="1"/>
  <c r="R118" i="1"/>
  <c r="R119" i="1"/>
  <c r="R121" i="1"/>
  <c r="R124" i="1"/>
  <c r="R125" i="1"/>
  <c r="R126" i="1"/>
  <c r="R128" i="1"/>
  <c r="R129" i="1"/>
  <c r="R143" i="1"/>
  <c r="R144" i="1"/>
  <c r="R145" i="1"/>
  <c r="R148" i="1"/>
  <c r="R149" i="1"/>
  <c r="R150" i="1"/>
  <c r="R151" i="1"/>
  <c r="R152" i="1"/>
  <c r="R153" i="1"/>
  <c r="R156" i="1"/>
  <c r="R158" i="1"/>
  <c r="R159" i="1"/>
  <c r="R161" i="1"/>
  <c r="R164" i="1"/>
  <c r="R174" i="1"/>
  <c r="R175" i="1"/>
  <c r="R177" i="1"/>
  <c r="R200" i="1"/>
  <c r="R201" i="1"/>
  <c r="R204" i="1"/>
  <c r="R205" i="1"/>
  <c r="R208" i="1"/>
  <c r="R209" i="1"/>
  <c r="R210" i="1"/>
  <c r="R238" i="1"/>
  <c r="R239" i="1"/>
  <c r="R246" i="1"/>
  <c r="R247" i="1"/>
  <c r="R248" i="1"/>
  <c r="R250" i="1"/>
  <c r="R251" i="1"/>
  <c r="R256" i="1"/>
  <c r="R257" i="1"/>
  <c r="R258" i="1"/>
  <c r="R259" i="1"/>
  <c r="R260" i="1"/>
  <c r="R261" i="1"/>
  <c r="R262" i="1"/>
  <c r="R263" i="1"/>
  <c r="R264" i="1"/>
  <c r="R265" i="1"/>
  <c r="R266" i="1"/>
  <c r="R267" i="1"/>
  <c r="R268" i="1"/>
  <c r="R269" i="1"/>
  <c r="R270" i="1"/>
  <c r="R271" i="1"/>
  <c r="R283" i="1"/>
  <c r="R284" i="1"/>
  <c r="R285" i="1"/>
  <c r="R286" i="1"/>
  <c r="R287" i="1"/>
  <c r="R288" i="1"/>
  <c r="R289" i="1"/>
  <c r="R290" i="1"/>
  <c r="R291" i="1"/>
  <c r="R292" i="1"/>
  <c r="R295" i="1"/>
  <c r="R300" i="1"/>
  <c r="R301" i="1"/>
  <c r="R302" i="1"/>
  <c r="R303" i="1"/>
  <c r="R304" i="1"/>
  <c r="R329" i="1"/>
  <c r="R340" i="1"/>
  <c r="R346" i="1"/>
  <c r="R348" i="1"/>
  <c r="R351" i="1"/>
  <c r="R352" i="1"/>
  <c r="R353" i="1"/>
  <c r="R354" i="1"/>
  <c r="R364" i="1"/>
  <c r="R365" i="1"/>
  <c r="R367" i="1"/>
  <c r="R374" i="1"/>
  <c r="R378" i="1"/>
  <c r="R379" i="1"/>
  <c r="R380" i="1"/>
  <c r="R381" i="1"/>
  <c r="R382" i="1"/>
  <c r="R383" i="1"/>
  <c r="R384" i="1"/>
  <c r="R385" i="1"/>
  <c r="R386" i="1"/>
  <c r="R387" i="1"/>
  <c r="R388" i="1"/>
  <c r="R389" i="1"/>
  <c r="R390" i="1"/>
  <c r="R395" i="1"/>
  <c r="R396" i="1"/>
  <c r="R397" i="1"/>
  <c r="R398" i="1"/>
  <c r="R399" i="1"/>
  <c r="R402" i="1"/>
  <c r="R403" i="1"/>
  <c r="R410" i="1"/>
  <c r="R413" i="1"/>
  <c r="R414" i="1"/>
  <c r="R425" i="1"/>
  <c r="R428" i="1"/>
  <c r="R429" i="1"/>
  <c r="R430" i="1"/>
  <c r="R433" i="1"/>
  <c r="R438" i="1"/>
  <c r="R439" i="1"/>
  <c r="R440" i="1"/>
  <c r="R441" i="1"/>
  <c r="R452" i="1"/>
  <c r="R453" i="1"/>
  <c r="R454" i="1"/>
  <c r="R455" i="1"/>
  <c r="R456" i="1"/>
  <c r="R457" i="1"/>
  <c r="R458" i="1"/>
  <c r="R459" i="1"/>
  <c r="R460" i="1"/>
  <c r="R461" i="1"/>
  <c r="R462" i="1"/>
  <c r="R463" i="1"/>
  <c r="R464" i="1"/>
  <c r="R465" i="1"/>
  <c r="R466" i="1"/>
  <c r="R467" i="1"/>
  <c r="R468" i="1"/>
  <c r="R469" i="1"/>
  <c r="R470" i="1"/>
  <c r="R471" i="1"/>
  <c r="R472" i="1"/>
  <c r="R473" i="1"/>
  <c r="R474" i="1"/>
  <c r="R475" i="1"/>
  <c r="R477" i="1"/>
  <c r="R478" i="1"/>
  <c r="R479" i="1"/>
  <c r="R480" i="1"/>
  <c r="R481" i="1"/>
  <c r="R482" i="1"/>
  <c r="R483" i="1"/>
  <c r="R484" i="1"/>
  <c r="R485" i="1"/>
  <c r="R486" i="1"/>
  <c r="R488" i="1"/>
  <c r="R494" i="1"/>
  <c r="R498" i="1"/>
  <c r="R499" i="1"/>
  <c r="R500" i="1"/>
  <c r="R501" i="1"/>
  <c r="R502" i="1"/>
  <c r="R514" i="1"/>
  <c r="R515" i="1"/>
  <c r="R516" i="1"/>
  <c r="R517" i="1"/>
  <c r="R518" i="1"/>
  <c r="R519" i="1"/>
  <c r="R523" i="1"/>
  <c r="R526" i="1"/>
  <c r="R528" i="1"/>
  <c r="R529" i="1"/>
  <c r="R530" i="1"/>
  <c r="R531" i="1"/>
  <c r="R535" i="1"/>
  <c r="R536" i="1"/>
  <c r="R537" i="1"/>
  <c r="R540" i="1"/>
  <c r="R541" i="1"/>
  <c r="R542" i="1"/>
  <c r="R544" i="1"/>
  <c r="R548" i="1"/>
  <c r="R553" i="1"/>
  <c r="R555" i="1"/>
  <c r="R559" i="1"/>
  <c r="R560" i="1"/>
  <c r="R564" i="1"/>
  <c r="R566" i="1"/>
  <c r="R569" i="1"/>
  <c r="R572" i="1"/>
  <c r="R577" i="1"/>
  <c r="R578" i="1"/>
  <c r="R579" i="1"/>
  <c r="R581" i="1"/>
  <c r="R582" i="1"/>
  <c r="R584" i="1"/>
  <c r="R587" i="1"/>
  <c r="R591" i="1"/>
  <c r="R592" i="1"/>
  <c r="R616" i="1"/>
  <c r="R617" i="1"/>
  <c r="R618" i="1"/>
  <c r="R631" i="1"/>
  <c r="R632" i="1"/>
  <c r="R633" i="1"/>
  <c r="R642" i="1"/>
  <c r="R646" i="1"/>
  <c r="R647" i="1"/>
  <c r="R648" i="1"/>
  <c r="R649" i="1"/>
  <c r="R660" i="1"/>
  <c r="R661" i="1"/>
  <c r="R729" i="1"/>
  <c r="R771" i="1"/>
  <c r="R772" i="1"/>
  <c r="R773" i="1"/>
  <c r="R774" i="1"/>
  <c r="R775" i="1"/>
  <c r="R776" i="1"/>
  <c r="R777" i="1"/>
  <c r="R778" i="1"/>
  <c r="R779" i="1"/>
  <c r="R780" i="1"/>
  <c r="R781" i="1"/>
  <c r="R782" i="1"/>
  <c r="R783" i="1"/>
  <c r="R784" i="1"/>
  <c r="R785" i="1"/>
  <c r="R786" i="1"/>
  <c r="R787" i="1"/>
  <c r="R789" i="1"/>
  <c r="R790" i="1"/>
  <c r="R796" i="1"/>
  <c r="R797" i="1"/>
  <c r="R798" i="1"/>
  <c r="R799" i="1"/>
  <c r="R800" i="1"/>
  <c r="R801" i="1"/>
  <c r="R802" i="1"/>
  <c r="R803" i="1"/>
  <c r="R804" i="1"/>
  <c r="R805" i="1"/>
  <c r="R806" i="1"/>
  <c r="R807" i="1"/>
  <c r="R808" i="1"/>
  <c r="R809" i="1"/>
  <c r="R821" i="1"/>
  <c r="R824" i="1"/>
  <c r="R825" i="1"/>
  <c r="R827" i="1"/>
  <c r="R833" i="1"/>
  <c r="R839" i="1"/>
  <c r="R850" i="1"/>
  <c r="R851" i="1"/>
  <c r="R852" i="1"/>
  <c r="R955" i="1"/>
  <c r="R1008" i="1"/>
  <c r="R1034" i="1"/>
  <c r="R1060" i="1"/>
  <c r="R1061" i="1"/>
  <c r="R1062" i="1"/>
  <c r="R1063" i="1"/>
  <c r="R1064" i="1"/>
  <c r="R1065" i="1"/>
  <c r="R1066" i="1"/>
  <c r="R1067" i="1"/>
  <c r="R1068" i="1"/>
  <c r="R1069" i="1"/>
  <c r="R1070" i="1"/>
  <c r="R1071" i="1"/>
  <c r="R1074" i="1"/>
  <c r="R1077" i="1"/>
  <c r="R1078" i="1"/>
  <c r="R1079" i="1"/>
  <c r="R1084" i="1"/>
  <c r="R1085" i="1"/>
  <c r="R1087" i="1"/>
  <c r="R1103" i="1"/>
  <c r="R1104" i="1"/>
  <c r="R1105" i="1"/>
  <c r="R1106" i="1"/>
  <c r="R1107" i="1"/>
  <c r="R1108" i="1"/>
  <c r="R1114" i="1"/>
  <c r="R1116" i="1"/>
  <c r="R1117" i="1"/>
  <c r="R1127" i="1"/>
  <c r="R1131" i="1"/>
  <c r="R1132" i="1"/>
  <c r="R1133" i="1"/>
  <c r="R1135" i="1"/>
  <c r="R1159" i="1"/>
  <c r="R1161" i="1"/>
  <c r="R1162" i="1"/>
  <c r="R1166" i="1"/>
  <c r="R1167" i="1"/>
  <c r="R1176" i="1"/>
  <c r="R1180" i="1"/>
  <c r="R1181" i="1"/>
  <c r="R1183" i="1"/>
  <c r="R1184" i="1"/>
  <c r="R1185" i="1"/>
  <c r="R1186" i="1"/>
  <c r="R1187" i="1"/>
  <c r="R1188" i="1"/>
  <c r="R1244" i="1"/>
  <c r="R1281" i="1"/>
  <c r="R1292" i="1"/>
  <c r="R1323" i="1"/>
  <c r="R1404" i="1"/>
  <c r="R1406" i="1"/>
  <c r="R1407" i="1"/>
  <c r="R1422" i="1"/>
  <c r="R1472" i="1"/>
  <c r="R1473" i="1"/>
  <c r="R1475" i="1"/>
  <c r="R1484" i="1"/>
  <c r="R1505" i="1"/>
  <c r="R1506" i="1"/>
  <c r="R1509" i="1"/>
  <c r="R1512" i="1"/>
  <c r="R1513" i="1"/>
  <c r="R1515" i="1"/>
  <c r="R1519" i="1"/>
  <c r="R1521" i="1"/>
  <c r="R1522" i="1"/>
  <c r="R1532" i="1"/>
  <c r="R1542" i="1"/>
  <c r="R1546" i="1"/>
  <c r="R1547" i="1"/>
  <c r="R1551" i="1"/>
  <c r="R1553" i="1"/>
  <c r="R1581" i="1"/>
  <c r="R1582" i="1"/>
  <c r="R1583" i="1"/>
  <c r="R1584" i="1"/>
  <c r="R1585" i="1"/>
  <c r="R1586" i="1"/>
  <c r="R1587" i="1"/>
  <c r="R1588" i="1"/>
  <c r="R1589" i="1"/>
  <c r="R1590" i="1"/>
  <c r="R1591" i="1"/>
  <c r="R1592" i="1"/>
  <c r="R1593" i="1"/>
  <c r="R1596" i="1"/>
  <c r="R1603" i="1"/>
  <c r="R1605" i="1"/>
  <c r="R1606" i="1"/>
  <c r="R1607" i="1"/>
  <c r="R1608" i="1"/>
  <c r="R1609" i="1"/>
  <c r="R1610" i="1"/>
  <c r="R1611" i="1"/>
  <c r="R1617" i="1"/>
  <c r="R1621" i="1"/>
  <c r="R1625" i="1"/>
  <c r="R1626" i="1"/>
  <c r="R1627" i="1"/>
  <c r="R1629" i="1"/>
  <c r="R1658" i="1"/>
  <c r="R1659" i="1"/>
  <c r="R1660" i="1"/>
  <c r="R1663" i="1"/>
  <c r="R1667" i="1"/>
  <c r="R1674" i="1"/>
  <c r="R1675" i="1"/>
  <c r="R1676" i="1"/>
  <c r="R1677" i="1"/>
  <c r="R1678" i="1"/>
  <c r="R1679" i="1"/>
  <c r="R1680" i="1"/>
  <c r="R1681" i="1"/>
  <c r="R1682" i="1"/>
  <c r="R1683" i="1"/>
  <c r="R1684" i="1"/>
  <c r="R1685" i="1"/>
  <c r="R1686" i="1"/>
  <c r="R1696" i="1"/>
  <c r="R1697" i="1"/>
  <c r="R1698" i="1"/>
  <c r="R1699" i="1"/>
  <c r="R1700" i="1"/>
  <c r="R1704" i="1"/>
  <c r="R1707" i="1"/>
  <c r="R1708" i="1"/>
  <c r="R1709" i="1"/>
  <c r="R1710" i="1"/>
  <c r="R1711" i="1"/>
  <c r="R1712" i="1"/>
  <c r="R1713" i="1"/>
  <c r="R1714" i="1"/>
  <c r="R1715" i="1"/>
  <c r="R1724" i="1"/>
  <c r="R1725" i="1"/>
  <c r="R1727" i="1"/>
  <c r="R1730" i="1"/>
  <c r="R1735" i="1"/>
  <c r="R1736" i="1"/>
  <c r="R1737" i="1"/>
  <c r="R1738" i="1"/>
  <c r="R1740" i="1"/>
  <c r="R1741" i="1"/>
  <c r="R1763" i="1"/>
  <c r="R1765" i="1"/>
  <c r="R1766" i="1"/>
  <c r="R1786" i="1"/>
  <c r="R1787" i="1"/>
  <c r="R1788" i="1"/>
  <c r="R1789" i="1"/>
  <c r="R1790" i="1"/>
  <c r="R1796" i="1"/>
  <c r="R1797" i="1"/>
  <c r="R1798" i="1"/>
  <c r="R1799" i="1"/>
  <c r="R1801" i="1"/>
  <c r="R1803" i="1"/>
  <c r="R1806" i="1"/>
  <c r="R1807" i="1"/>
  <c r="R1808" i="1"/>
  <c r="R1809" i="1"/>
  <c r="R1810" i="1"/>
  <c r="R1811" i="1"/>
  <c r="R1816" i="1"/>
  <c r="R1832" i="1"/>
  <c r="R1833" i="1"/>
  <c r="R1834" i="1"/>
  <c r="R1835" i="1"/>
  <c r="R1836" i="1"/>
  <c r="R1837" i="1"/>
  <c r="R1838" i="1"/>
  <c r="R1839" i="1"/>
  <c r="R1840" i="1"/>
  <c r="R1842" i="1"/>
  <c r="R1860" i="1"/>
  <c r="R1863" i="1"/>
  <c r="R1864" i="1"/>
  <c r="R1865" i="1"/>
  <c r="R1866" i="1"/>
  <c r="R1867" i="1"/>
  <c r="R1874" i="1"/>
  <c r="R1875" i="1"/>
  <c r="R1876" i="1"/>
  <c r="R1877" i="1"/>
  <c r="R1878" i="1"/>
  <c r="R1879" i="1"/>
  <c r="R1880" i="1"/>
  <c r="R1902" i="1"/>
  <c r="R1903" i="1"/>
  <c r="R1911" i="1"/>
  <c r="R1925" i="1"/>
  <c r="R1927" i="1"/>
  <c r="R1933" i="1"/>
  <c r="R1939" i="1"/>
  <c r="R1941" i="1"/>
  <c r="R1942" i="1"/>
  <c r="R1946" i="1"/>
  <c r="R1947" i="1"/>
  <c r="R1954" i="1"/>
  <c r="R1955" i="1"/>
  <c r="R1956" i="1"/>
  <c r="R1957" i="1"/>
  <c r="R1958" i="1"/>
  <c r="R1962" i="1"/>
  <c r="R2012" i="1"/>
  <c r="R2013" i="1"/>
  <c r="R2014" i="1"/>
  <c r="R2038" i="1"/>
  <c r="R2048" i="1"/>
  <c r="R2049" i="1"/>
  <c r="R2050" i="1"/>
  <c r="R2051" i="1"/>
  <c r="R2052" i="1"/>
  <c r="R2053" i="1"/>
  <c r="R2060" i="1"/>
  <c r="R2061" i="1"/>
  <c r="R2066" i="1"/>
  <c r="R2067" i="1"/>
  <c r="R2068" i="1"/>
  <c r="R2076" i="1"/>
  <c r="R2089" i="1"/>
  <c r="R2092" i="1"/>
  <c r="R2093" i="1"/>
  <c r="R2094" i="1"/>
  <c r="R2095" i="1"/>
  <c r="R2097" i="1"/>
  <c r="R2098" i="1"/>
  <c r="R2099" i="1"/>
  <c r="R2100"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9" i="1"/>
  <c r="R2370" i="1"/>
  <c r="R2374" i="1"/>
  <c r="R2384" i="1"/>
  <c r="R2385" i="1"/>
  <c r="R2386" i="1"/>
  <c r="R2390" i="1"/>
  <c r="R2391" i="1"/>
  <c r="R2392" i="1"/>
  <c r="R2393" i="1"/>
  <c r="R2394" i="1"/>
  <c r="R2395" i="1"/>
  <c r="R2396" i="1"/>
  <c r="R2397" i="1"/>
  <c r="R2398" i="1"/>
  <c r="R2399" i="1"/>
  <c r="R2400" i="1"/>
  <c r="R2401" i="1"/>
  <c r="R2402" i="1"/>
  <c r="R2403" i="1"/>
  <c r="R2404" i="1"/>
  <c r="R2405" i="1"/>
  <c r="R2406" i="1"/>
  <c r="R2407" i="1"/>
  <c r="R2410" i="1"/>
  <c r="R2411" i="1"/>
  <c r="R2412" i="1"/>
  <c r="R2413" i="1"/>
  <c r="R2414" i="1"/>
  <c r="R2415" i="1"/>
  <c r="R2416" i="1"/>
  <c r="R2417" i="1"/>
  <c r="R2418" i="1"/>
  <c r="R2419" i="1"/>
  <c r="R2420" i="1"/>
  <c r="R2421" i="1"/>
  <c r="R2422" i="1"/>
  <c r="R2423" i="1"/>
  <c r="R2424" i="1"/>
  <c r="R2425" i="1"/>
  <c r="R2426" i="1"/>
  <c r="R2427" i="1"/>
  <c r="R2433" i="1"/>
  <c r="R2434" i="1"/>
  <c r="R2452" i="1"/>
  <c r="R2454" i="1"/>
  <c r="R2455" i="1"/>
  <c r="R2456" i="1"/>
  <c r="R2457" i="1"/>
  <c r="R2458" i="1"/>
  <c r="R2459" i="1"/>
  <c r="R2460" i="1"/>
  <c r="R2461" i="1"/>
  <c r="R2462" i="1"/>
  <c r="R2463" i="1"/>
  <c r="R2464" i="1"/>
  <c r="R2465" i="1"/>
  <c r="R2466" i="1"/>
  <c r="R2467" i="1"/>
  <c r="R2468" i="1"/>
  <c r="R2469" i="1"/>
  <c r="R2470" i="1"/>
  <c r="R2471" i="1"/>
  <c r="R2472" i="1"/>
  <c r="R2473" i="1"/>
  <c r="R2474" i="1"/>
  <c r="R2476" i="1"/>
  <c r="R2477" i="1"/>
  <c r="R2486" i="1"/>
  <c r="R2495" i="1"/>
  <c r="R2498" i="1"/>
  <c r="R2499" i="1"/>
  <c r="R2581" i="1"/>
  <c r="R2582" i="1"/>
  <c r="R2583" i="1"/>
  <c r="R2584" i="1"/>
  <c r="R2585" i="1"/>
  <c r="R2586" i="1"/>
  <c r="R2591" i="1"/>
  <c r="R2592" i="1"/>
  <c r="R2593" i="1"/>
  <c r="R2594" i="1"/>
  <c r="R2595" i="1"/>
  <c r="R2596" i="1"/>
  <c r="R2597" i="1"/>
  <c r="R2598" i="1"/>
  <c r="R2599" i="1"/>
  <c r="R2600" i="1"/>
  <c r="R2601" i="1"/>
  <c r="R2602" i="1"/>
  <c r="Q473" i="1"/>
  <c r="Q771" i="1"/>
  <c r="Q772" i="1"/>
  <c r="Q773" i="1"/>
  <c r="Q776" i="1"/>
  <c r="Q777" i="1"/>
  <c r="Q782" i="1"/>
  <c r="Q783" i="1"/>
  <c r="Q784" i="1"/>
  <c r="Q785" i="1"/>
  <c r="Q786" i="1"/>
  <c r="Q787" i="1"/>
  <c r="Q798" i="1"/>
  <c r="Q801" i="1"/>
  <c r="Q804" i="1"/>
  <c r="Q805" i="1"/>
  <c r="Q821" i="1"/>
  <c r="Q824" i="1"/>
  <c r="Q825" i="1"/>
  <c r="Q827" i="1"/>
  <c r="Q833" i="1"/>
  <c r="Q839" i="1"/>
  <c r="Q1008" i="1"/>
  <c r="Q1034" i="1"/>
  <c r="Q1060" i="1"/>
  <c r="Q1067" i="1"/>
  <c r="Q1069" i="1"/>
  <c r="Q1078" i="1"/>
  <c r="Q1079" i="1"/>
  <c r="Q1176" i="1"/>
  <c r="Q1521" i="1"/>
  <c r="Q1522" i="1"/>
  <c r="Q1551" i="1"/>
  <c r="Q1553" i="1"/>
  <c r="Q1621" i="1"/>
  <c r="Q1741" i="1"/>
  <c r="Q1799" i="1"/>
  <c r="Q2595" i="1"/>
  <c r="B152" i="7" l="1"/>
  <c r="B151" i="7"/>
  <c r="B154" i="7"/>
  <c r="B153" i="7"/>
  <c r="P36" i="7"/>
  <c r="Q36" i="7" s="1"/>
  <c r="P2" i="7"/>
  <c r="B166" i="7"/>
  <c r="B165" i="7"/>
  <c r="B168" i="7"/>
  <c r="B167" i="7"/>
  <c r="R36" i="7"/>
  <c r="S36" i="7" s="1"/>
  <c r="R2" i="7"/>
  <c r="B138" i="7"/>
  <c r="B137" i="7"/>
  <c r="B140" i="7"/>
  <c r="B139" i="7"/>
  <c r="N36" i="7"/>
  <c r="O36" i="7" s="1"/>
  <c r="N2" i="7"/>
  <c r="B124" i="7"/>
  <c r="B123" i="7"/>
  <c r="B110" i="7"/>
  <c r="B109" i="7"/>
  <c r="B126" i="7"/>
  <c r="B125" i="7"/>
  <c r="L36" i="7"/>
  <c r="M36" i="7" s="1"/>
  <c r="L2" i="7"/>
  <c r="B96" i="7"/>
  <c r="B95" i="7"/>
  <c r="B82" i="7"/>
  <c r="B81" i="7"/>
  <c r="B112" i="7"/>
  <c r="B111" i="7"/>
  <c r="J36" i="7"/>
  <c r="K36" i="7" s="1"/>
  <c r="J2" i="7"/>
  <c r="B98" i="7"/>
  <c r="B97" i="7"/>
  <c r="H36" i="7"/>
  <c r="I36" i="7" s="1"/>
  <c r="H2" i="7"/>
  <c r="B84" i="7"/>
  <c r="B83" i="7"/>
  <c r="F36" i="7"/>
  <c r="G36" i="7" s="1"/>
  <c r="F2" i="7"/>
  <c r="B68" i="7"/>
  <c r="B67" i="7"/>
  <c r="B70" i="7"/>
  <c r="B69" i="7"/>
  <c r="T2" i="7"/>
  <c r="T36"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4" i="7"/>
  <c r="O34" i="7" l="1"/>
  <c r="O35" i="7"/>
  <c r="G34" i="7"/>
  <c r="G35" i="7"/>
  <c r="K34" i="7"/>
  <c r="K35" i="7"/>
  <c r="U3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<sst xmlns="http://schemas.openxmlformats.org/spreadsheetml/2006/main" count="50630" uniqueCount="14542">
  <si>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</si>
  <si>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</si>
  <si>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</si>
  <si>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</si>
  <si>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</si>
  <si>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</si>
  <si>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</si>
  <si>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</si>
  <si>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</si>
  <si>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</si>
  <si>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</si>
  <si>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</si>
  <si>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</si>
  <si>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</si>
  <si>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</si>
  <si>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</si>
  <si>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</si>
  <si>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</si>
  <si>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</si>
  <si>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</si>
  <si>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</si>
  <si>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</si>
  <si>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</si>
  <si>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</si>
  <si>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</si>
  <si>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</si>
  <si>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</si>
  <si>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</si>
  <si>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</si>
  <si>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</si>
  <si>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</si>
  <si>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</si>
  <si>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</si>
  <si>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</si>
  <si>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</si>
  <si>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</si>
  <si>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</si>
  <si>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</si>
  <si>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</si>
  <si>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</si>
  <si>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</si>
  <si>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</si>
  <si>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</si>
  <si>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</si>
  <si>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</si>
  <si>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</si>
  <si>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</si>
  <si>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</si>
  <si>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</si>
  <si>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</si>
  <si>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</si>
  <si>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</si>
  <si>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</si>
  <si>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</si>
  <si>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</si>
  <si>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</si>
  <si>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</si>
  <si>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</si>
  <si>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</si>
  <si>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</si>
  <si>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</si>
  <si>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</si>
  <si>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</si>
  <si>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</si>
  <si>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</si>
  <si>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</si>
  <si>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</si>
  <si>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</si>
  <si>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</si>
  <si>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</si>
  <si>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</si>
  <si>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</si>
  <si>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</si>
  <si>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</si>
  <si>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</si>
  <si>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</si>
  <si>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</si>
  <si>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</si>
  <si>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</si>
  <si>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</si>
  <si>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</si>
  <si>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</si>
  <si>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</si>
  <si>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</si>
  <si>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</si>
  <si>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</si>
  <si>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</si>
  <si>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</si>
  <si>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</si>
  <si>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</si>
  <si>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</si>
  <si>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</si>
  <si>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</si>
  <si>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</si>
  <si>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</si>
  <si>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</si>
  <si>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</si>
  <si>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</si>
  <si>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</si>
  <si>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</si>
  <si>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</si>
  <si>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</si>
  <si>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</si>
  <si>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</si>
  <si>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</si>
  <si>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</si>
  <si>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</si>
  <si>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</si>
  <si>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</si>
  <si>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</si>
  <si>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</si>
  <si>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</si>
  <si>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</si>
  <si>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</si>
  <si>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</si>
  <si>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</si>
  <si>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</si>
  <si>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</si>
  <si>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</si>
  <si>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</si>
  <si>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</si>
  <si>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</si>
  <si>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</si>
  <si>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</si>
  <si>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</si>
  <si>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</si>
  <si>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</si>
  <si>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</si>
  <si>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</si>
  <si>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</si>
  <si>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</si>
  <si>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</si>
  <si>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</si>
  <si>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</si>
  <si>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</si>
  <si>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</si>
  <si>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</si>
  <si>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</si>
  <si>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</si>
  <si>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</si>
  <si>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</si>
  <si>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</si>
  <si>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</si>
  <si>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</si>
  <si>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</si>
  <si>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</si>
  <si>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</si>
  <si>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</si>
  <si>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</si>
  <si>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</si>
  <si>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</si>
  <si>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</si>
  <si>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</si>
  <si>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</si>
  <si>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</si>
  <si>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</si>
  <si>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</si>
  <si>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</si>
  <si>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</si>
  <si>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</si>
  <si>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</si>
  <si>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</si>
  <si>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</si>
  <si>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</si>
  <si>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</si>
  <si>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</si>
  <si>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</si>
  <si>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</si>
  <si>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</si>
  <si>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</si>
  <si>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</si>
  <si>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</si>
  <si>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</si>
  <si>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</si>
  <si>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</si>
  <si>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</si>
  <si>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</si>
  <si>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</si>
  <si>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</si>
  <si>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</si>
  <si>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</si>
  <si>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</si>
  <si>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</si>
  <si>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</si>
  <si>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</si>
  <si>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</si>
  <si>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Date</t>
  </si>
  <si>
    <t>Time</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</si>
  <si>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</si>
  <si>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</si>
  <si>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</si>
  <si>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</si>
  <si>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</si>
  <si>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</si>
  <si>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</si>
  <si>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</si>
  <si>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</si>
  <si>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</si>
  <si>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</si>
  <si>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</si>
  <si>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</si>
  <si>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</si>
  <si>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</si>
  <si>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</si>
  <si>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</si>
  <si>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</si>
  <si>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</si>
  <si>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</si>
  <si>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</si>
  <si>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</si>
  <si>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</si>
  <si>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</si>
  <si>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</si>
  <si>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</si>
  <si>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</si>
  <si>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</si>
  <si>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</si>
  <si>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amierah___</t>
  </si>
  <si>
    <t>voidotid</t>
  </si>
  <si>
    <t>flagamedia</t>
  </si>
  <si>
    <t>chyuns99</t>
  </si>
  <si>
    <t>fais_mohder</t>
  </si>
  <si>
    <t>yellowlixeu</t>
  </si>
  <si>
    <t>nur_alisyaaa</t>
  </si>
  <si>
    <t>saifull04800784</t>
  </si>
  <si>
    <t>jierahrsli</t>
  </si>
  <si>
    <t>qwertyahsksk</t>
  </si>
  <si>
    <t>sevngjinluvr</t>
  </si>
  <si>
    <t>gembrit</t>
  </si>
  <si>
    <t>kabigon89</t>
  </si>
  <si>
    <t>khan0348700</t>
  </si>
  <si>
    <t>_chrisnini</t>
  </si>
  <si>
    <t>_h0wling_</t>
  </si>
  <si>
    <t>aimonogatari_</t>
  </si>
  <si>
    <t>abdulre26789541</t>
  </si>
  <si>
    <t>parvinabasi</t>
  </si>
  <si>
    <t>leenoninxx</t>
  </si>
  <si>
    <t>stayeri1</t>
  </si>
  <si>
    <t>alikmrdnn</t>
  </si>
  <si>
    <t>pln_123</t>
  </si>
  <si>
    <t>ivonnnn</t>
  </si>
  <si>
    <t>4v0cado1</t>
  </si>
  <si>
    <t>oyehero4200</t>
  </si>
  <si>
    <t>malangdorn1</t>
  </si>
  <si>
    <t>fatemeh50692110</t>
  </si>
  <si>
    <t>bangqiha</t>
  </si>
  <si>
    <t>skzanddstay</t>
  </si>
  <si>
    <t>ponilempar</t>
  </si>
  <si>
    <t>theblsss</t>
  </si>
  <si>
    <t>wolfzenluv</t>
  </si>
  <si>
    <t>kotamagetan_</t>
  </si>
  <si>
    <t>yanup77</t>
  </si>
  <si>
    <t>gustavog22</t>
  </si>
  <si>
    <t>ikertxu_cero8</t>
  </si>
  <si>
    <t>alifmuamin</t>
  </si>
  <si>
    <t>alyssaaudy</t>
  </si>
  <si>
    <t>cheesychoc</t>
  </si>
  <si>
    <t>eljohnfmpku</t>
  </si>
  <si>
    <t>mcrkluv</t>
  </si>
  <si>
    <t>hazirahbodo</t>
  </si>
  <si>
    <t>_daisybea17</t>
  </si>
  <si>
    <t>jnedepok_id</t>
  </si>
  <si>
    <t>padangjobs_id</t>
  </si>
  <si>
    <t>atikahlahhh</t>
  </si>
  <si>
    <t>kompaskerja</t>
  </si>
  <si>
    <t>anisofeaaaaaa</t>
  </si>
  <si>
    <t>cixbaely</t>
  </si>
  <si>
    <t>festifiki</t>
  </si>
  <si>
    <t>ljtzys</t>
  </si>
  <si>
    <t>sdnagr</t>
  </si>
  <si>
    <t>wickysky_</t>
  </si>
  <si>
    <t>kucingduakepala</t>
  </si>
  <si>
    <t>madelin252</t>
  </si>
  <si>
    <t>bagheli1plus</t>
  </si>
  <si>
    <t>anaknda_</t>
  </si>
  <si>
    <t>teeuhaa</t>
  </si>
  <si>
    <t>masyarakatradio</t>
  </si>
  <si>
    <t>ib_ost</t>
  </si>
  <si>
    <t>anwarashburn</t>
  </si>
  <si>
    <t>dw_sardjono</t>
  </si>
  <si>
    <t>pinknjill</t>
  </si>
  <si>
    <t>ahjoss10</t>
  </si>
  <si>
    <t>ateynnnn</t>
  </si>
  <si>
    <t>itsme0605</t>
  </si>
  <si>
    <t>aikerja</t>
  </si>
  <si>
    <t>nursyhra_</t>
  </si>
  <si>
    <t>syzira</t>
  </si>
  <si>
    <t>nrnshaik19</t>
  </si>
  <si>
    <t>naaabihaaa</t>
  </si>
  <si>
    <t>bcbanjarmasin_</t>
  </si>
  <si>
    <t>marlyanamn</t>
  </si>
  <si>
    <t>itzelworid</t>
  </si>
  <si>
    <t>gopinda901</t>
  </si>
  <si>
    <t>crossvinee</t>
  </si>
  <si>
    <t>hunjisvngs</t>
  </si>
  <si>
    <t>hyunjiyoungein</t>
  </si>
  <si>
    <t>minnieeeeyey</t>
  </si>
  <si>
    <t>jiniretselling</t>
  </si>
  <si>
    <t>skzstaycmchhysj</t>
  </si>
  <si>
    <t>bbokfreckkie</t>
  </si>
  <si>
    <t>favorskz</t>
  </si>
  <si>
    <t>haafiieezaa98</t>
  </si>
  <si>
    <t>mongmongmy</t>
  </si>
  <si>
    <t>enhanreals</t>
  </si>
  <si>
    <t>ansnisnis</t>
  </si>
  <si>
    <t>abbykhai11</t>
  </si>
  <si>
    <t>nychnie</t>
  </si>
  <si>
    <t>14quokka</t>
  </si>
  <si>
    <t>aanisnana</t>
  </si>
  <si>
    <t>_hanjillipop</t>
  </si>
  <si>
    <t>prncsflwr_</t>
  </si>
  <si>
    <t>stayawl</t>
  </si>
  <si>
    <t>nctrting</t>
  </si>
  <si>
    <t>myncteam</t>
  </si>
  <si>
    <t>pasarnct</t>
  </si>
  <si>
    <t>elninosaurus</t>
  </si>
  <si>
    <t>bucinhwghyunjin</t>
  </si>
  <si>
    <t>hohochamzzz</t>
  </si>
  <si>
    <t>sumasenyangyang</t>
  </si>
  <si>
    <t>piecesofhyune</t>
  </si>
  <si>
    <t>dearczennies_</t>
  </si>
  <si>
    <t>tenlee_107</t>
  </si>
  <si>
    <t>matchclctte</t>
  </si>
  <si>
    <t>shahrinazakaria</t>
  </si>
  <si>
    <t>nctmydream_</t>
  </si>
  <si>
    <t>nctmy95</t>
  </si>
  <si>
    <t>pasarnctrt</t>
  </si>
  <si>
    <t>jjeyaz</t>
  </si>
  <si>
    <t>nblnndf</t>
  </si>
  <si>
    <t>lem0n4de_sh0p</t>
  </si>
  <si>
    <t>azrnazol</t>
  </si>
  <si>
    <t>lokersumatera1</t>
  </si>
  <si>
    <t>andrifigfarm</t>
  </si>
  <si>
    <t>_iansyah</t>
  </si>
  <si>
    <t>25yuyun</t>
  </si>
  <si>
    <t>hadirdinsos</t>
  </si>
  <si>
    <t>asfarinaaaa_</t>
  </si>
  <si>
    <t>peeloffsmile</t>
  </si>
  <si>
    <t>namujoon__</t>
  </si>
  <si>
    <t>faayyyh</t>
  </si>
  <si>
    <t>aidilzulkefli_</t>
  </si>
  <si>
    <t>dvisyyy_</t>
  </si>
  <si>
    <t>ashataee</t>
  </si>
  <si>
    <t>jngwoozeus</t>
  </si>
  <si>
    <t>nxnadoongies</t>
  </si>
  <si>
    <t>psrnctrt</t>
  </si>
  <si>
    <t>disnakerja_com</t>
  </si>
  <si>
    <t>tribunnews</t>
  </si>
  <si>
    <t>taggie_03</t>
  </si>
  <si>
    <t>miyongyu</t>
  </si>
  <si>
    <t>jentokiee</t>
  </si>
  <si>
    <t>wh0junie</t>
  </si>
  <si>
    <t>chocoboyksw</t>
  </si>
  <si>
    <t>jasaraharjaaceh</t>
  </si>
  <si>
    <t>3kimandimdead</t>
  </si>
  <si>
    <t>jihoneybebe</t>
  </si>
  <si>
    <t>tibott2</t>
  </si>
  <si>
    <t>aly_pemuda</t>
  </si>
  <si>
    <t>naj_2709</t>
  </si>
  <si>
    <t>youngfarrel27</t>
  </si>
  <si>
    <t>ariestarico2</t>
  </si>
  <si>
    <t>rizkidikka</t>
  </si>
  <si>
    <t>berli_flo</t>
  </si>
  <si>
    <t>marv3lll</t>
  </si>
  <si>
    <t>panterorison20</t>
  </si>
  <si>
    <t>sydneyx5w</t>
  </si>
  <si>
    <t>farrel27</t>
  </si>
  <si>
    <t>babyericsohn</t>
  </si>
  <si>
    <t>putiandamdewi16</t>
  </si>
  <si>
    <t>anak_sultanjaya</t>
  </si>
  <si>
    <t>ta_k3n</t>
  </si>
  <si>
    <t>kemenkumham_jtm</t>
  </si>
  <si>
    <t>hoonqhwadxjj</t>
  </si>
  <si>
    <t>twitlowongan</t>
  </si>
  <si>
    <t>imanhidayat85</t>
  </si>
  <si>
    <t>dnyrstn_</t>
  </si>
  <si>
    <t>leezxv</t>
  </si>
  <si>
    <t>bukansamsmith</t>
  </si>
  <si>
    <t>pasartheboyz</t>
  </si>
  <si>
    <t>gudangloker_com</t>
  </si>
  <si>
    <t>akuratco</t>
  </si>
  <si>
    <t>smootieskies</t>
  </si>
  <si>
    <t>mitraloker</t>
  </si>
  <si>
    <t>_44ngel_</t>
  </si>
  <si>
    <t>indojobinfo</t>
  </si>
  <si>
    <t>dyodks</t>
  </si>
  <si>
    <t>dochil97</t>
  </si>
  <si>
    <t>jieyalahh</t>
  </si>
  <si>
    <t>isrdotcom</t>
  </si>
  <si>
    <t>sherlynzlee</t>
  </si>
  <si>
    <t>temandeeptalk</t>
  </si>
  <si>
    <t>tsyahana</t>
  </si>
  <si>
    <t>deobimarket</t>
  </si>
  <si>
    <t>pasartheboyzmy</t>
  </si>
  <si>
    <t>mybigbozz</t>
  </si>
  <si>
    <t>cikguainan</t>
  </si>
  <si>
    <t>bbyerics</t>
  </si>
  <si>
    <t>kharismaselaras</t>
  </si>
  <si>
    <t>bursakerja20</t>
  </si>
  <si>
    <t>bazaardeobi</t>
  </si>
  <si>
    <t>haiqal_mahtiar</t>
  </si>
  <si>
    <t>pingpongshh</t>
  </si>
  <si>
    <t>ajisaazeez</t>
  </si>
  <si>
    <t>ireneizbaee</t>
  </si>
  <si>
    <t>nraisyah_12</t>
  </si>
  <si>
    <t>soorisaa</t>
  </si>
  <si>
    <t>lcvely_wn</t>
  </si>
  <si>
    <t>shadatuzn</t>
  </si>
  <si>
    <t>jeonginfoxyy</t>
  </si>
  <si>
    <t>teutoong21</t>
  </si>
  <si>
    <t>iyenstars</t>
  </si>
  <si>
    <t>cthe0luvr</t>
  </si>
  <si>
    <t>briankhis</t>
  </si>
  <si>
    <t>ainthesame</t>
  </si>
  <si>
    <t>pasarpiwon</t>
  </si>
  <si>
    <t>tyongluvb</t>
  </si>
  <si>
    <t>jeromechanhee</t>
  </si>
  <si>
    <t>kusumastianto</t>
  </si>
  <si>
    <t>bluebir56633512</t>
  </si>
  <si>
    <t>egghannie</t>
  </si>
  <si>
    <t>shafigh</t>
  </si>
  <si>
    <t>spartanwisata</t>
  </si>
  <si>
    <t>sohyunjae</t>
  </si>
  <si>
    <t>cococheezy</t>
  </si>
  <si>
    <t>vssyie</t>
  </si>
  <si>
    <t>taestrowbeary</t>
  </si>
  <si>
    <t>lvlyytaetae</t>
  </si>
  <si>
    <t>kittywonieee</t>
  </si>
  <si>
    <t>jeonginfoxyny</t>
  </si>
  <si>
    <t>aesthetichees</t>
  </si>
  <si>
    <t>jkzty</t>
  </si>
  <si>
    <t>seaguling</t>
  </si>
  <si>
    <t>tinyyyjungwon</t>
  </si>
  <si>
    <t>purpleejinnie</t>
  </si>
  <si>
    <t>taehusna</t>
  </si>
  <si>
    <t>kendari_pos</t>
  </si>
  <si>
    <t>jnoslatte</t>
  </si>
  <si>
    <t>bunnykie</t>
  </si>
  <si>
    <t>dinotaete</t>
  </si>
  <si>
    <t>vantaesfm</t>
  </si>
  <si>
    <t>glitterzkoo</t>
  </si>
  <si>
    <t>lunarwolfj</t>
  </si>
  <si>
    <t>alyessamariani</t>
  </si>
  <si>
    <t>wintervecember_</t>
  </si>
  <si>
    <t>flowtaekoo</t>
  </si>
  <si>
    <t>lauvkia</t>
  </si>
  <si>
    <t>syazzyjinbts</t>
  </si>
  <si>
    <t>blkhairtannies</t>
  </si>
  <si>
    <t>jeonbunnyqis</t>
  </si>
  <si>
    <t>busannfairies</t>
  </si>
  <si>
    <t>ho6ism</t>
  </si>
  <si>
    <t>arnabjungkook</t>
  </si>
  <si>
    <t>mydearjiminie</t>
  </si>
  <si>
    <t>jks_ladyice</t>
  </si>
  <si>
    <t>lilhannies</t>
  </si>
  <si>
    <t>cheriekoo_</t>
  </si>
  <si>
    <t>thenexteleanor</t>
  </si>
  <si>
    <t>clwdygguk</t>
  </si>
  <si>
    <t>yuuusshi</t>
  </si>
  <si>
    <t>dinaacooky</t>
  </si>
  <si>
    <t>piwpiwjoon</t>
  </si>
  <si>
    <t>seungvocado22</t>
  </si>
  <si>
    <t>ffairykoo</t>
  </si>
  <si>
    <t>bangtansbaby13</t>
  </si>
  <si>
    <t>bangpdwife</t>
  </si>
  <si>
    <t>pjmnjjkk</t>
  </si>
  <si>
    <t>jiminiekiyowoo</t>
  </si>
  <si>
    <t>yyoongs93</t>
  </si>
  <si>
    <t>lyayae_</t>
  </si>
  <si>
    <t>sitirdeenaa</t>
  </si>
  <si>
    <t>jaemdoongiessss</t>
  </si>
  <si>
    <t>ktaehmybae</t>
  </si>
  <si>
    <t>skylova2</t>
  </si>
  <si>
    <t>wanshaidin1</t>
  </si>
  <si>
    <t>imnicekeepgoing</t>
  </si>
  <si>
    <t>qilahshafie69</t>
  </si>
  <si>
    <t>shrfhbgtn</t>
  </si>
  <si>
    <t>faeezah01774194</t>
  </si>
  <si>
    <t>p3psodent</t>
  </si>
  <si>
    <t>artsyyflower</t>
  </si>
  <si>
    <t>flirtswkook</t>
  </si>
  <si>
    <t>hjia__</t>
  </si>
  <si>
    <t>byeommin</t>
  </si>
  <si>
    <t>aniszulkifle</t>
  </si>
  <si>
    <t>smolwoonie</t>
  </si>
  <si>
    <t>izzarose</t>
  </si>
  <si>
    <t>cxlendulx</t>
  </si>
  <si>
    <t>allif33</t>
  </si>
  <si>
    <t>drjoealexander</t>
  </si>
  <si>
    <t>cringeunicorn_</t>
  </si>
  <si>
    <t>yojeong9196</t>
  </si>
  <si>
    <t>portalkalbar1</t>
  </si>
  <si>
    <t>bkipm_kkp</t>
  </si>
  <si>
    <t>wilkerjalaludin</t>
  </si>
  <si>
    <t>craemkoo</t>
  </si>
  <si>
    <t>imanassrii</t>
  </si>
  <si>
    <t>vointeuir</t>
  </si>
  <si>
    <t>occeanview</t>
  </si>
  <si>
    <t>tariprinsa</t>
  </si>
  <si>
    <t>dyanahr</t>
  </si>
  <si>
    <t>orchidpoison</t>
  </si>
  <si>
    <t>sapepulakni</t>
  </si>
  <si>
    <t>khairudinzack07</t>
  </si>
  <si>
    <t>helloindonesian</t>
  </si>
  <si>
    <t>along_pura</t>
  </si>
  <si>
    <t>lib1_alfawy</t>
  </si>
  <si>
    <t>himafifmipaunri</t>
  </si>
  <si>
    <t>d4mbpoltekpos</t>
  </si>
  <si>
    <t>lowongankerjalu</t>
  </si>
  <si>
    <t>ncit31</t>
  </si>
  <si>
    <t>loeyyeojaa</t>
  </si>
  <si>
    <t>syafiqaaazm</t>
  </si>
  <si>
    <t>oshh____</t>
  </si>
  <si>
    <t>himasejarahfkip</t>
  </si>
  <si>
    <t>tarbantinbooks</t>
  </si>
  <si>
    <t>xxllyamr</t>
  </si>
  <si>
    <t>rriprograma3</t>
  </si>
  <si>
    <t>himapentikaunri</t>
  </si>
  <si>
    <t>humas_jogja</t>
  </si>
  <si>
    <t>nisazain_</t>
  </si>
  <si>
    <t>medilow</t>
  </si>
  <si>
    <t>ikimlyth</t>
  </si>
  <si>
    <t>immaturekids_</t>
  </si>
  <si>
    <t>myaccnotyours_</t>
  </si>
  <si>
    <t>jiniretkkami</t>
  </si>
  <si>
    <t>frckleslixie</t>
  </si>
  <si>
    <t>xoicedteaa</t>
  </si>
  <si>
    <t>knowleebb</t>
  </si>
  <si>
    <t>anshaeyn</t>
  </si>
  <si>
    <t>bandung_goid</t>
  </si>
  <si>
    <t>seputaran_bdg</t>
  </si>
  <si>
    <t>orangekampus</t>
  </si>
  <si>
    <t>linomeow_8</t>
  </si>
  <si>
    <t>samsatdigital</t>
  </si>
  <si>
    <t>x4riph0bi4</t>
  </si>
  <si>
    <t>himakompolban</t>
  </si>
  <si>
    <t>mhafizzz19</t>
  </si>
  <si>
    <t>denpasarkota</t>
  </si>
  <si>
    <t>fattireyz</t>
  </si>
  <si>
    <t>juyeonspicy</t>
  </si>
  <si>
    <t>mmrrllssyyffqq</t>
  </si>
  <si>
    <t>telkomindonesia</t>
  </si>
  <si>
    <t>repkemanz</t>
  </si>
  <si>
    <t>ide2nesia</t>
  </si>
  <si>
    <t>nikfaez_</t>
  </si>
  <si>
    <t>joshyyyy111</t>
  </si>
  <si>
    <t>gojekmilitan</t>
  </si>
  <si>
    <t>_averain99</t>
  </si>
  <si>
    <t>nynassuh</t>
  </si>
  <si>
    <t>tuanwidi</t>
  </si>
  <si>
    <t>whenscarves</t>
  </si>
  <si>
    <t>jiaeffendie</t>
  </si>
  <si>
    <t>torantula</t>
  </si>
  <si>
    <t>funjunkies</t>
  </si>
  <si>
    <t>dipurwantto</t>
  </si>
  <si>
    <t>dw19kur</t>
  </si>
  <si>
    <t>anisprasety</t>
  </si>
  <si>
    <t>el_maqnuah</t>
  </si>
  <si>
    <t>_u5er5_</t>
  </si>
  <si>
    <t>nararara17</t>
  </si>
  <si>
    <t>hendrichalid</t>
  </si>
  <si>
    <t>negarakecil</t>
  </si>
  <si>
    <t>mykimchillstore</t>
  </si>
  <si>
    <t>elgowh</t>
  </si>
  <si>
    <t>hash1r4_</t>
  </si>
  <si>
    <t>luluiii</t>
  </si>
  <si>
    <t>hahakimiiiiii</t>
  </si>
  <si>
    <t>adarndresser</t>
  </si>
  <si>
    <t>3andalas</t>
  </si>
  <si>
    <t>fullsunbb_</t>
  </si>
  <si>
    <t>littleboozi</t>
  </si>
  <si>
    <t>anwarkhairi</t>
  </si>
  <si>
    <t>nasruddinharon</t>
  </si>
  <si>
    <t>alkecilsaja</t>
  </si>
  <si>
    <t>yanguning2</t>
  </si>
  <si>
    <t>danicdanic</t>
  </si>
  <si>
    <t>btsmarketmy</t>
  </si>
  <si>
    <t>blinkuelilies</t>
  </si>
  <si>
    <t>zomet13</t>
  </si>
  <si>
    <t>camelaila1</t>
  </si>
  <si>
    <t>pmi_kabsemarang</t>
  </si>
  <si>
    <t>blood4lifeid</t>
  </si>
  <si>
    <t>openkerja</t>
  </si>
  <si>
    <t>tbssouvenir</t>
  </si>
  <si>
    <t>lowongankerja07</t>
  </si>
  <si>
    <t>roistorez</t>
  </si>
  <si>
    <t>bravobeacukai</t>
  </si>
  <si>
    <t>jawapos</t>
  </si>
  <si>
    <t>gdlks12</t>
  </si>
  <si>
    <t>bbamwin</t>
  </si>
  <si>
    <t>tinggibdnalami</t>
  </si>
  <si>
    <t>rakyatsulsel</t>
  </si>
  <si>
    <t>linorieng</t>
  </si>
  <si>
    <t>shiningstar0606</t>
  </si>
  <si>
    <t>je_ariff</t>
  </si>
  <si>
    <t>asabri_official</t>
  </si>
  <si>
    <t>amwidyou</t>
  </si>
  <si>
    <t>_gita05</t>
  </si>
  <si>
    <t>ummunaha</t>
  </si>
  <si>
    <t>sicepat_ekspres</t>
  </si>
  <si>
    <t>peuniels</t>
  </si>
  <si>
    <t>beritasulselcom</t>
  </si>
  <si>
    <t>erickthohir</t>
  </si>
  <si>
    <t>bertanyarl</t>
  </si>
  <si>
    <t>ngalamfess</t>
  </si>
  <si>
    <t>dagangkorea</t>
  </si>
  <si>
    <t>xylonj_</t>
  </si>
  <si>
    <t>indihome</t>
  </si>
  <si>
    <t>jahja81285550</t>
  </si>
  <si>
    <t>sshmyyy</t>
  </si>
  <si>
    <t>breadeujinnie</t>
  </si>
  <si>
    <t>lovlypjs_</t>
  </si>
  <si>
    <t>posindonesia</t>
  </si>
  <si>
    <t>posindo</t>
  </si>
  <si>
    <t>anteraja_id</t>
  </si>
  <si>
    <t>ndhrahzaidi</t>
  </si>
  <si>
    <t>zainulazrii</t>
  </si>
  <si>
    <t>kasihrindu19</t>
  </si>
  <si>
    <t>sellkpopfess</t>
  </si>
  <si>
    <t>svttradingmy</t>
  </si>
  <si>
    <t>svtrademy</t>
  </si>
  <si>
    <t>svtradingmy</t>
  </si>
  <si>
    <t>svtmarketmy</t>
  </si>
  <si>
    <t>geroboksvt_my</t>
  </si>
  <si>
    <t>budipra87870630</t>
  </si>
  <si>
    <t>shopeemy</t>
  </si>
  <si>
    <t>nasibujangg</t>
  </si>
  <si>
    <t>menfesssyg</t>
  </si>
  <si>
    <t>nurulhidayah_94</t>
  </si>
  <si>
    <t>ariffl5</t>
  </si>
  <si>
    <t>afiqahamni1</t>
  </si>
  <si>
    <t>karawangfess</t>
  </si>
  <si>
    <t>anyaslalusalah</t>
  </si>
  <si>
    <t>kemenbumn</t>
  </si>
  <si>
    <t>fiddinroyan</t>
  </si>
  <si>
    <t>askrlfess</t>
  </si>
  <si>
    <t>jne</t>
  </si>
  <si>
    <t>pasarsf9my</t>
  </si>
  <si>
    <t>rbkunwas</t>
  </si>
  <si>
    <t>shopeeid</t>
  </si>
  <si>
    <t>pandabeardada</t>
  </si>
  <si>
    <t>vchristyano</t>
  </si>
  <si>
    <t>lonelyboy77x</t>
  </si>
  <si>
    <t>kam_camelia</t>
  </si>
  <si>
    <t>squidwrd__</t>
  </si>
  <si>
    <t>aly4chan</t>
  </si>
  <si>
    <t>btstrading_my</t>
  </si>
  <si>
    <t>kpopsellingmy_</t>
  </si>
  <si>
    <t>malaysia_trade</t>
  </si>
  <si>
    <t>pasarbts</t>
  </si>
  <si>
    <t>istananegara_</t>
  </si>
  <si>
    <t>tenteradarat</t>
  </si>
  <si>
    <t>mindefmalaysia</t>
  </si>
  <si>
    <t>tldm_rasmi</t>
  </si>
  <si>
    <t>tudm_rasmi</t>
  </si>
  <si>
    <t>markasatm</t>
  </si>
  <si>
    <t>doeeyeskook</t>
  </si>
  <si>
    <t>rashiqahhhh</t>
  </si>
  <si>
    <t>sksksinjun</t>
  </si>
  <si>
    <t>bdngfess</t>
  </si>
  <si>
    <t>maisarahhhh____</t>
  </si>
  <si>
    <t>effaalyaa</t>
  </si>
  <si>
    <t>bukanfahiraa</t>
  </si>
  <si>
    <t>kogiexorealpc</t>
  </si>
  <si>
    <t>anlmsraa</t>
  </si>
  <si>
    <t>ruangaleeya</t>
  </si>
  <si>
    <t>txtdariolshop_</t>
  </si>
  <si>
    <t>syazkurus</t>
  </si>
  <si>
    <t>mamatdinzz</t>
  </si>
  <si>
    <t>mohdruzainii</t>
  </si>
  <si>
    <t>relyourbae2</t>
  </si>
  <si>
    <t>geboyy__</t>
  </si>
  <si>
    <t>masgah_</t>
  </si>
  <si>
    <t>ayydafryanti</t>
  </si>
  <si>
    <t>lindrayyy</t>
  </si>
  <si>
    <t>diaryfirda</t>
  </si>
  <si>
    <t>ayubsr</t>
  </si>
  <si>
    <t>morethanurbby</t>
  </si>
  <si>
    <t>deviinaja</t>
  </si>
  <si>
    <t>mutuallandfess</t>
  </si>
  <si>
    <t>billaameliaa</t>
  </si>
  <si>
    <t>kingnftpromoter</t>
  </si>
  <si>
    <t>noviadmyy</t>
  </si>
  <si>
    <t>chitaglorya</t>
  </si>
  <si>
    <t>jbartspace_nft</t>
  </si>
  <si>
    <t>rindubeneran</t>
  </si>
  <si>
    <t>rmdhntyamanda19</t>
  </si>
  <si>
    <t>ckinoza</t>
  </si>
  <si>
    <t>nanjirouechizen</t>
  </si>
  <si>
    <t>rekkaal</t>
  </si>
  <si>
    <t>infoungaran</t>
  </si>
  <si>
    <t>palangmerah</t>
  </si>
  <si>
    <t>pmijawatengah</t>
  </si>
  <si>
    <t>Retweet</t>
  </si>
  <si>
    <t>MentionsInRetweet</t>
  </si>
  <si>
    <t>Replies to</t>
  </si>
  <si>
    <t>Mentions</t>
  </si>
  <si>
    <t>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</si>
  <si>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Kemensos salurkan 200,660 paket masker dan vitamin melalui PT Pos Logistik Indonesia dengan menerapkan prokes secara ketat sehingga paket dijamin higienis.
Jokowi Lawan Pandemi https://t.co/c7zug0pJFS</t>
  </si>
  <si>
    <t>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</si>
  <si>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WTS SKZ 🇲🇾 ONLY
• Felix,Changbin Jewel PC [SET] - RM38
• Chan Jewel PC - RM28
• Changbin Red Frame - RM10
• Seungmin Red Frame - RM12
*cb jewel pc have defect 
🖇 Exc pos (jnt)
🖇 shopeepay/online banking 
❌ NO rush postage 
📩DM if interested 
#pasarskz https://t.co/xZvb38hB1r</t>
  </si>
  <si>
    <t>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</si>
  <si>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WTS
Black frame changbin, i.n: rm8 each
ds: rm22 each
normal pc: rm20 each
i.n nacific: rm15 
(excl pos)
Jnt- wm: rm8
     - em: rm14
Postage on thursday
Help me clear my extras🥺
#pasarSKZ https://t.co/hU7Tw2eAyd</t>
  </si>
  <si>
    <t>@xylonj_ Pake POS bisa, pake JNE bisaa</t>
  </si>
  <si>
    <t>@Jahja81285550 @IndiHome Hi Kak, pembayaran tagihan rekening dapat melalui ATM, PT POS Indonesia atau Alfamart dan Indomaret ya. Tks -zulmi</t>
  </si>
  <si>
    <t>@lovlypjs_ @Breadeujinnie @sshmyyy Haihh takut nk guna jnt dh sebelum ni takut nk guna pos laju sebab dorg suka peram brg 😭</t>
  </si>
  <si>
    <t>Forum Industri Kecil Menengah Jawa Timur Wilayah Magetan dan PT. Pos Indonesia Cabang #Magetan Bersama-sama Menjemput Cahaya Terang
https://t.co/BD8VoQZc81</t>
  </si>
  <si>
    <t>Selamat ulang tahun ke-275 PT Pos Indonesia (Persero) @PosIndonesia, semoga sukses menjadi postal operator, penyedia jasa kurir, logistik, dan keuangan paling kompetitif.
#DigitalBisa #UntukIndonesiaLebihBaik https://t.co/mAF5n8bNNz</t>
  </si>
  <si>
    <t>Koeman acaba de dizer na coletiva pós jogo que não tem como fazer esse Barcelona jogar o Tiki Taki. 
Esse cara é foda.</t>
  </si>
  <si>
    <t>Lo de Tiki Taki lo ha dicho así como cuando de pequeño te enfadabas con tu primo que le gustaba jugar al PES y lo llamabas POS creyendo que le ofendías y solo quedabas como gilipollas.</t>
  </si>
  <si>
    <t>Sahabat El John, ikuti #SpecialTalkShow POSPAY bersama PT. Pos Indonesia dengan narasumber Bapak Teddy Kurniawan, selaku Executive General Manager KCU Pekanbaru, PT. Pos Indonesia Wilayah Riau. Selasa, 21 September 2021, mulai jam 1 siang, hanya di Radio El John 102.6 FM. https://t.co/5rIXVp0HbT</t>
  </si>
  <si>
    <t>wts lfb 🇲🇾
chenle boring ver pc rm27 exc pos
-still can nego
-please adopt him ㅠㅠ
-dm for more info !!
accept shopeepay
rm6 em / rm10 wm (jnt)
#pasarNCT</t>
  </si>
  <si>
    <t>Haiyaaa pos laju ngan jnt tok polah aku mlas nak berbisness</t>
  </si>
  <si>
    <t>Mau kirim barang wajib cantumkan ALAMAT LENGKAP sertakan KODE POS &amp;amp; NOMOR AKTIF pengirim &amp;amp; penerima, jangan sampai salah yaah #JNE</t>
  </si>
  <si>
    <t>Lowongan Kerja Sumbar PT Pos Indonesia (Persero) September 2021 https://t.co/alSgPkof9m</t>
  </si>
  <si>
    <t>Lowongan Kerja Minimal SMA/Sederajat PT Pos Indonesia (BUMN) September 2021 https://t.co/tjzCsGQnOD</t>
  </si>
  <si>
    <t>Hari aku takdak mood la semua org nak call pakcik makcik abg jnt abg pos laju abg dhl ayoooo</t>
  </si>
  <si>
    <t>Biasanya pake jasa jnt, jne, sicepat, kantor pos gak pernah kecewa. Ini nyoba pake jasa @anteraja_id gilaaaa lama bgt</t>
  </si>
  <si>
    <t>skrg jnt dah super laju. semalam pos hari ni sampai. poslaju pun sama laju jugak. mcm ni shopping pun best 😂</t>
  </si>
  <si>
    <t>To πολύ το... τίκι-τάκι (ή πως κάνεις τον Πικέ σέντερ φορ για να πάρεις βαθμό με τη Γρανάδα) https://t.co/z2rOQyqitt</t>
  </si>
  <si>
    <t>@ndhrahzaidi jnt ni pelik tau ada sekali tu pos pc 7.30 je tau2 smlm 8.50 dia igt kelakar ke😭</t>
  </si>
  <si>
    <t>@zainulazrii Lom msuk 2 mnggu gk la, sminggu gia dh, hri ke 5 bok kede ya pos, nak nunggu gk dh k jnt!!</t>
  </si>
  <si>
    <t>@kasihrindu19 Tq mekda 😭😭😭 Mohon abg Jnt pos yang ni kat sis 😆😆🤣🤣🤣
Mekda makankan untuk sis 🤣</t>
  </si>
  <si>
    <t>SEUNGKWAN HENGGARAE PC 
🖇️ RM26 exc pos
🌟 freebies 
🖇️ RM8 (jnt only)
🖇️ no rush postage due to work :)
🖇️ strictly no backout
hmu while u can #pasarSVT #pasarkpop @GEROBOKSVT_MY @svtmarketmy @svtradingmy @SVTRADEMY @SVTTRADINGMY help rt thank you~ https://t.co/OI9OVwkNwH https://t.co/tisLR6IjXj</t>
  </si>
  <si>
    <t>@ib_ost @BudiPra87870630 @PosIndo Udah saya skrinsut dan kirim ke whatsapp pribadi direksi @posindo (Dir Keu)
Semoga ditindaklanjuti untuk keselamatan bersama dan kebaikan PT POS Indonesia yang kita cintai
🙏</t>
  </si>
  <si>
    <t>@nasibujangg @ShopeeMY Bad aku hari2 pos guna jnt esok nya mesti sampai. The quickest la kalau courier lain ni taktau la</t>
  </si>
  <si>
    <t>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</si>
  <si>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@bertanyarl Pos aja, soalnya kalo jnt sicepat bakal ditolak
Kecuali kamu bohong soal isi paketnya, tp kalo knp2 mereka ga akan tanggung jawab</t>
  </si>
  <si>
    <t>@nurulhidayah_94 Boleh dayah. Aku pos dekat dayah saubiran semalam pastu hari ni dah sampai hehe. Kejap je jnt buat kerja 🤣 ws aku dayah kalau nk order 😘 https://t.co/url2XIa6pX</t>
  </si>
  <si>
    <t>Tgoklaa hampa yang dah postage. Hari ni pos, esok sampai. Alhamdulillah laa jnt laju area kg pelet 😂 https://t.co/s9SGynGw1M</t>
  </si>
  <si>
    <t>@menfesssyg Cek aja ongkirnya di google nder.
Tinggal kamu pilih aja mau make pos, jnt, jne, atau sicepat, atau yg lainnya.
Tinggal masukin kecamatan pengirim sama penerima sama berat
Itu udh ada nanti ongkir sama estimasinya.
Kalau aku cek di aplikasi biasanya karna aku jualan.</t>
  </si>
  <si>
    <t>Lowongan Kerja - Info Lowongan Kerja ...
.
PT Pos Indonesia (Persero) merupakan salah satu perusa... - https://t.co/h5JuwBTd7j https://t.co/nHZb0eaSz8</t>
  </si>
  <si>
    <t>@ariffl5 sbb mu jnt ni pos laju haha https://t.co/jfuaexsxMK</t>
  </si>
  <si>
    <t>@AfiqahAmni1 hi awak boleh je pos shah alam hehe as long as jnt area awak laju 💓💓💓💓</t>
  </si>
  <si>
    <t>Wtf sia, just sbb one buku yg aku order hg smpai silap hntq 2 friggin benda, this is not normal okay, but aku tk pernah melenting or apa, pastu demand nk jnt jgk even dah kata jnt jauh dri rumah, pastu duk kalut kalut suruh aku pos brg, mask bru smpai kul 5 smlm dia expect</t>
  </si>
  <si>
    <t>Aku pos mask tu smlm jgk, siap bgi arahan aku pos dulu pastu send bukti shipping fee?!?!?!? Eh aku ni bukan seller and kami jarang p pos pos barang, lagi lagi nk travel smpai sungai tiram smata mata nk tolong hg guna courier jnt, salam apa tkdk pastu duk bagi arahan suruh</t>
  </si>
  <si>
    <t>siapa pulak pos barang letak nombor aku ni, kantoi dah jnt mesej bagi tracking number 🤣</t>
  </si>
  <si>
    <t>Sejalan dengan Peraturan Menteri Keuangan  (PMK) nomor 109/PMK.04/2020 tentang Kawasan Pabean dan Tempat Penimbunan Sementara, Tim Monitoring dan Evaluasi KPPBC TMP B Banjarmasin telah melaksanakan Monev Kawasan Pabean dan Tempat Penimbunan Sementara di PT. Pos Indonesia https://t.co/JtbcPa8Vjx</t>
  </si>
  <si>
    <t>Semua call jawab benda sama. Bila request nak tahu apa progress daripada previous complaints semua terkial jawab. Aku tau banyak dah complaint orang ramai pasal jnt. Ni bukan barang aku pos, ni barang patut terima.</t>
  </si>
  <si>
    <t>@Anyaslalusalah Kmren juga ada yg inget kata tukang pos. Gue gatau kang pos anjir, jne jnt aja gue ga ajak ngobrol</t>
  </si>
  <si>
    <t>REKON BST KABUPATEN BULELENG DENGAN ANGGARAN BTT BERSAMA PT POS INDONESIA TAHAP I BULAN JULI TAHUN 2021 https://t.co/oZ0yyUS68w</t>
  </si>
  <si>
    <t>WTS SKZ JEWEL CASE 🇲🇾 ONLY
💰RM48
• Lee Know Cover, Felix Frame PC , Changbin Red Frame [SET ONLY]
• Hyungline Mini Photobook
** leeknow photobook have minor defect 
🖇 Exc pos (jnt)
🖇 shopeepay/online banking 
❌ NO rush postage 
📩DM if interested 
#pasarskz https://t.co/00HQ1cH7ZD</t>
  </si>
  <si>
    <t>Parcel berpuluh2 sampai rumah 😁😁 abang jnt dgn pos laju siap nyembang depan rumah 🤣🤣</t>
  </si>
  <si>
    <t>[HELP RT]
WTS | MY MSIA MALAYSIA 🇲🇾 ONLY 
NCT DREAM HOT SAUCE ALBUM 
- Boring ver
- Sealed
- on hand 
🏷 RM 75
🚚 price alr inc pos (jnt) 
💚 Will inc freebies ^^
 💌 dm for more pic/interested
#pasarNCT #pasarNCTmy #mynctjual #NCT https://t.co/PiUx4CbLoO</t>
  </si>
  <si>
    <t>🛵ONGKOS KIRIM
• By owner area Malang Raya: 2.000/KM
• By GO-SEND/Grab
• Luar kota by paxel, jnt atau pos
❗potongan ongkir:
•buy 4 pack potongan 5K
•buy 7 pack potongan 10K
•buy 10 pack potongan 15K
📌Pengiriman luar kota non-paxel wajib extra packing +5K</t>
  </si>
  <si>
    <t>MasyaAllah 😱 tudiaaa lajuu bak hangg 🤣,baru je pos smlm,tup tup haqini dh nyampeii ye 🤭😝 Alhamdulillah Thank You Dear &amp;amp; Jnt 💖! https://t.co/ZSwBYVRIQk</t>
  </si>
  <si>
    <t>@fiddinroyan komisaris sama ceo beda ya, ceo pos indonesia udh kren bgt, inovasinya banyak, yg awalnya ketinggalan dngn jnt dan jne, kini mulai menyusul</t>
  </si>
  <si>
    <t>Me everytime abang grab food, food panda, jnt, pos laju etc:
Bang letak atas tembok je bang 📢</t>
  </si>
  <si>
    <t>Lowongan Kerja Palembang, PT. Pos Indonesia (Persero) - Kantor Pos 30000 sebagai Oranger Antaran. Deadline 25 September 2021
#lokersumatera #lowongankerja #kurir #palembang #lokerpalembang
https://t.co/a1pI7GElz0</t>
  </si>
  <si>
    <t>Pagi
Sebelum aku umumin karena kali ini aku bakal kasih ke banyak akun
Bagi pemenang yg "mau" ambil hadiahnya baca ini dulu ya
-Bersedia bayar ongkir manual (JNE/jnt/wahana)+ 10k
-ss namamu SBG pemenang
-dm aku dgn isi
Denimalz/Petit:
Gender:
Nama:
Hp:
Alamat:
Kode pos:
-</t>
  </si>
  <si>
    <t>Berita | REKON BST KABUPATEN BULELENG DENGAN ANGGARAN BTT BERSAMA PT POS INDONESIA TAHAP I BULAN JULI TAHUN 2021 https://t.co/SRT6cDwPs1 https://t.co/tZK5kTLjCa</t>
  </si>
  <si>
    <t>harini semua serba tak kena, tengok parcel shopee express lembab nak mampus, (delay delivery sebab salah poskod) pastu peram lama2 parcel) padahal jnt pos laju elok je hantar, takde pun salah poskod?????? Aku tak ubah pun alamat aku.</t>
  </si>
  <si>
    <t>jnt kan sebenarnya servis dia not bad jugak tau, laju.. seller tu pos parcel semalam, harini dah sampai kat tmpt sendiri, argh suka suka 😆😆</t>
  </si>
  <si>
    <t>Jnt makin teruk tp pos laju makin bagus ye sekarang. Sehari je dah sampai. Keep it up poslaju!</t>
  </si>
  <si>
    <t>hii , me and my friend finally decided to open awb service.
courier provided:
🌹jnt
🌹pos laju
each postage only (can be up to 5kg each parcel) 
🌸RM9
more than 10 parcel
🌸RM7/each
hit my dm for more details</t>
  </si>
  <si>
    <t>binate pos laju babi, betak nok mapuh pengurusan. kelmarin pos, harini tkdok dale sistem lg. baik jnt la blako. marin pos, harini sapa duk kb doh.</t>
  </si>
  <si>
    <t>Lowongan Kerja PT POS Indonesia (Persero) https://t.co/u6neYWancn</t>
  </si>
  <si>
    <t>Lowongan Kerja PT Pos Indonesia Persero Makassar 2021 Frontliner, Dibuka hingga 24 September 2021 https://t.co/g9xiZ6kgUg</t>
  </si>
  <si>
    <t>Lowongan Kerja PT Pos Indonesia Persero Makassar 2021 Frontliner, Dibuka hingga 24 September 2021
https://t.co/g9xiZ6kgUg</t>
  </si>
  <si>
    <t>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</si>
  <si>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Hai Jasfren, hari ini Pembina Samsat Aceh yang terdiri dari Dirlantas Polda Aceh, Kepala BPKA, dan Kepala PT Jasa Raharja Cabang Aceh menandatangi perpanjangan Perjanjian Kerjasama Pelayanan Pembayaran Pajak Kendaraan Bermotor melalui PT. Pos Indonesia
#PKS
#PKB
#SWDKLLJ
#PNBP https://t.co/A0DkJ7RSvI</t>
  </si>
  <si>
    <t>(WTS/HELP RT) ALL SF9 PCS RM10 EACH ‼️
- postage rm10 em/wm (FIXED) 
- using JNT 
- FPFS 
- SHOPEEPAY/BANKIN✅
- NO BACKOUT ❌
- TAKE MORE THAN RM50 FREE POS‼️
#pasarSF9 @pasarSF9my help rt. https://t.co/187gbquXxe</t>
  </si>
  <si>
    <t>pemerintah memperpanjang program BST selama dua bulan, yaitu pada Mei dan Juni 2021 dengan indeks bantuan Rp 300.000 per bulan per KPM.
Program BST yang menyasar 10 juta KPM tersebut disalurkan pemerintah melalui PT Pos Indonesia.
#BansosLanjutTerus
https://t.co/zn965fx92l</t>
  </si>
  <si>
    <t>BST kembali diperpanjang untuk dua bulan yakni bulan Mei dan Juni 2021 dengan indeks Rp300 ribu/bulan/Keluarga Penerima Manfaat (KPM). BST menyasar 10 juta KPM dengan penyaluran dilakukan melalui PT Pos Indonesia.
#BansosLanjutTerus
https://t.co/kTGIC0DqCm</t>
  </si>
  <si>
    <t>Terkait UKK Imigrasi Bojonegoro, ULP di mall wilayah Surabaya maupun Kerjasama dengan PT Pos Indonesia. (Humas Kemenkumham Jatim)
#KemenkumhamRI
#KumhamPASTI 
@rbkunwas https://t.co/RG47KIBueN</t>
  </si>
  <si>
    <t>#Lowongan BUMN PT. Pos Indonesia (Persero) Update 21 September 2021 (Minimum SMA / Sederajat). Syarat, Lokasi &amp;amp; Cara Melamar Baca Di: https://t.co/j0Gu9zOGMu https://t.co/tHojnCNxMo</t>
  </si>
  <si>
    <t>#Lowongan FRONTLINER BUMN PT. Pos Indonesia (Persero) Update 22 September 2021 (Fresh Graduate/Berpengalaman | Semua Jurusan). Syarat, Lokasi &amp;amp; Cara Melamar Baca Di: https://t.co/j0Gu9zOGMu https://t.co/fCOhBNWF8y</t>
  </si>
  <si>
    <t>#Lowongan WAREHOUSE OPERATOR PT. Pos Logistik Indonesia (Anak BUMN PT. Pos Indonesia (Persero) | Semua Jurusan | Penempatan di Banyak Kota). Syarat, Lokasi &amp;amp; Cara Melamar Baca Di: https://t.co/j0Gu9zOGMu https://t.co/S63zISccBX</t>
  </si>
  <si>
    <t>gerigitan betul sya ni pos laju sma jnt apa juga drg buat parcel sya lama2 d kk😭😭</t>
  </si>
  <si>
    <t>@pandabeardada Bukaannn. Masih jauh dari fithub.
Clue: yg deket pos polisi benhil sama jne benhil.</t>
  </si>
  <si>
    <t>Lowongan Kerja PT Pos Logistik Indonesia Tahun 2021 https://t.co/eBiEKsoWVE</t>
  </si>
  <si>
    <t>Anak usaha PT Pos Indonesia (Persero) yakni Pos Logistik Indonesia tengah membuka lowongan kerja, yuk intip!
https://t.co/M5uNJdQ02i</t>
  </si>
  <si>
    <t>Beria la buat gambar passport beli kat shopee sebab murah. Sekali jnt dok buat peram barang aku 😤 dah la nak pos segala document harini haihh 🤬</t>
  </si>
  <si>
    <t>Lowongan Kerja Semua Jurusan PT Pos Logistik Indonesia September 2021 https://t.co/EYuPjOeK2C</t>
  </si>
  <si>
    <t>Mana abang jnt niii, nak pergi pos barang ni 😭😭</t>
  </si>
  <si>
    <t>Lowongan Kerja Semua Jurusan PT Pos Logistik Indonesia September 2021 https://t.co/ZQCjMXK2aZ</t>
  </si>
  <si>
    <t>Jnt nak pos sekilo rm12 😱😱😱😱😱 da kenape mahal sgt??????</t>
  </si>
  <si>
    <t>@VChristyano Mau lewat mana JNE apa TIKI apa KANTOR POS apa SICEPAT</t>
  </si>
  <si>
    <t>Tapi shopee express sini bagus. Sama je macam jnt, semalam pos harini sampai. Kadang pukul 10 malam pun dia hantar lagi (~‾▿‾)~</t>
  </si>
  <si>
    <t>INFO LOKER BUMN! PT POS Logistik Indonesia Buka Lowongan Untuk Lulusan Min D3 Terbaru September 2021
#loker #lowongankerja
https://t.co/YBt2b9q9Kk</t>
  </si>
  <si>
    <t>@Askrlfess mending plastikin lagi sendiri. pake map dulu kalau perlu sebelum diplastikin..... aku kalau dokumen penting biasanya pos sih, jarang jne. ngirim kertas pake jne mentok soal statistik tahun lalu doang ke temen......</t>
  </si>
  <si>
    <t>@Askrlfess kmaren mau ngirim ijazah gtu malah di tolak sma jnt nya,, mending pos aja</t>
  </si>
  <si>
    <t>@lonelyboy77x Haa jap nak hantar.. nk by jnt ke pos? 🤣</t>
  </si>
  <si>
    <t>Jnt kat lahat mmg terbaik lah. Harini pos esok dh sampai. Even sis terkejut hantar JB pun esok tu sampai dh. Then senang, drop off je takyah nak masuk dalam.</t>
  </si>
  <si>
    <t>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</si>
  <si>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Lowongan Kerja BUMN PT Pos Indonesia https://t.co/PemcfKN7Hu https://t.co/8DJCjUCpG4</t>
  </si>
  <si>
    <t>Lowongan Kerja PT Pos Logistik Indonesia https://t.co/VNgJkDYVm4 https://t.co/Emjz91aK2q</t>
  </si>
  <si>
    <t>@kam_camelia Dia rasa membazir buat le sendiri.
Kotak sendiri. Lampu sendiri. Reben sendiri. Jajan sendiri.
Nak personal touch sangat kan.
Ha lepas tu beratur pulak dalam jnt untuk pos.
Dekat situ dah sekurang-kurangnya dua tempat dia kena check in checkout.</t>
  </si>
  <si>
    <t>Lowongan Kerja PT Pos Logistik Indonesia https://t.co/Lmd85Akyqz</t>
  </si>
  <si>
    <t>Lowongan Kerja PT Pos Indonesia Persero Makassar 2021 Frontliner, Dibuka hingga 24 ... - Tribun: PT Pos Indonesia membuka lowongan kerja dalam rangka mencari calon pegawai yang siap untuk bergabung sebagai karyawan perusahaan. PT… https://t.co/LcZwxZ2EyP #loker #lowongankerja</t>
  </si>
  <si>
    <t>@aly4chan Nk jnt ke pos laju?</t>
  </si>
  <si>
    <t>pos la cepat roti thailand tu kan berkulat dalam lori jnt</t>
  </si>
  <si>
    <t>Semoga sempat sampai jnt untuk pos barang</t>
  </si>
  <si>
    <t>when will ppl realise sellers takleh bagi free shipping bcs jnt bukan bapak saya punya, saya tak balut pc awak guna daun, bukan pergi pos barang awak naik unta, bukan bukan bukannnnnnnn https://t.co/aQqhbMbDbE</t>
  </si>
  <si>
    <t>Small giveaway for 🇲🇾 STAY ❣️
1pc I.N ds noeasy ⚡
Just like, rt, n comment any skz pic. Will end esok anytime, sbb nak terus pos dgn parcel my buyer yg lain. **postage on winner - rm5 jnt
#pasarSKZ https://t.co/tpNyxYmUWB</t>
  </si>
  <si>
    <t>Hritu i ada beli something and then i tanya lh dia "u guna jnt ke" and then dia reply "i will use poslaju, but if you want jnt boleh je", astu tdi dia bgi tracking number pos laju HAHAHAHA💀</t>
  </si>
  <si>
    <t>help rt 🇲🇾 #pasarpiwon 
wts intak p1ay set 
-selling in set rm25 exc pos 
-full set without id photo only 
-can reserve but no backout 
-no fussy buyer
-postage rm6 jnt shopee (+ rm3 packaging) https://t.co/MJM3VpJ7y6</t>
  </si>
  <si>
    <t>Ada yg pernah kirim dokumen antar kota pake jasa pos/JNE? Prosesnya gimna ya? Help</t>
  </si>
  <si>
    <t>@briankhis amaan kok. tegantung deh kan ada macem2 jenisnya, tp kisaran belasan ribu sih pos/jne itu aku dari bekasi-bandung. kalau pos kayanya ada web yg buat cek harga gitu dej</t>
  </si>
  <si>
    <t>Titip Bagus, Jastip yg tau tau nemu diskon 70% 😅
IG: https://t.co/m0tJmyeoyr
📱 WA &amp;amp; Line: 085326*22*72 DM yaa ☺️
🏦 Mandiri, BCA, Muamalat, a.n Angga P.
💳  GoPay &amp;amp; Ovo a.n. Angga P.
🛒 Shopee, Tokopedia &amp;amp; Bukalapak
📦 JNE, J&amp;amp;T, Wahana, Pos, Lion dan Cargo dari Gresik https://t.co/P3q4s9CgKC</t>
  </si>
  <si>
    <t>❗️help rt❗️WTS BTS pc 🇲🇾
-dm to buy
🚚 price exc pos
-rm8 jnt 
-rm7 pgeon
#pasarbts 
help rt thanks 💜
@pasarBTS @malaysia_trade @kpopsellingmy_ @BTStrading_MY https://t.co/SmFtwQCQBv</t>
  </si>
  <si>
    <t>❗️help rt❗️WTS BTS pc 🇲🇾
-dm to buy
🚚 price exc pos
-rm8 jnt 
-rm7 pgeon
#pasarbts 
help rt thanks 💜
@pasarBTS @malaysia_trade @kpopsellingmy_ @BTStrading_MY https://t.co/3uGQns9Elj</t>
  </si>
  <si>
    <t>❗️help rt❗️WTS BTS pc 🇲🇾
-dm to buy
🚚 price exc pos
-rm8 jnt 
-rm7 pgeon
#pasarbts 
help rt thanks 💜
@pasarBTS @malaysia_trade @kpopsellingmy_ @BTStrading_MY https://t.co/IFNm5tW17j</t>
  </si>
  <si>
    <t>❗️help rt❗️WTS BTS pc 🇲🇾
-dm to buy
🚚 price exc pos
-rm8 jnt 
-rm7 pgeon
#pasarbts 
help rt thanks 💜
@pasarBTS @malaysia_trade @kpopsellingmy_ @BTStrading_MY https://t.co/7L7uTdjfLv</t>
  </si>
  <si>
    <t>❗️help rt❗️WTS BTS pc 🇲🇾
-must bought by set
-dm to buy
🚚 price exc pos
-rm8 jnt 
-rm7 pgeon
#pasarbts 
help rt thanks 💜
@pasarBTS @malaysia_trade @kpopsellingmy_ @BTStrading_MY https://t.co/dFPJuTpr2F</t>
  </si>
  <si>
    <t>Kyknya klo pos kluarin perangko seokjin. Jne jnt dll bkl kalah karena semua ngirim pake perangko seokjin 😂 https://t.co/vjBQV3ANIK</t>
  </si>
  <si>
    <t>Saya beli dari sg. besi dan pos ke batalion 18 ramd (para), kem sri pantai, trg, beberapa minggu lepas. Mungkin cawangan tadbir belum terima. Dah semak proof jnt mmg tepat lokasinya.
@MarkasATM @tudm_rasmi @tldm_rasmi @MINDEFMalaysia @TenteraDarat @ISTANANEGARA_ https://t.co/4dv9jAAjP0</t>
  </si>
  <si>
    <t>@doeeyeskook Eheheheh... Sbb cuti harini.. Tu yg pack tu sbb dh ckp nk pos harini kan.. Hahaha!! Tggu jnt pickup je ni sbb xde transport nk kluar.. Huhu</t>
  </si>
  <si>
    <t>@qtpjvn pos pkai jnt au- cepat sikit smpai😍</t>
  </si>
  <si>
    <t>Sekali pos dari shopee dapat kemek sbb jnt hantar hahaha /s https://t.co/LNOLvr9GIN</t>
  </si>
  <si>
    <t>@rashiqahhhh Weh tapi pos laju memang laju la sekarangggg, kalah jnt</t>
  </si>
  <si>
    <t>@sksksinjun jauh di mata, jnt dekat dihati 😇 boleh pos 😇😇😇👍🏻👍🏻👍🏻👍🏻</t>
  </si>
  <si>
    <t>Pos barang tengah hari ke Kuantan pakai JNT. Pukul 3.30 tadi dah sampai. JNT ni ikut branch ke macam mana? Lajunyaa</t>
  </si>
  <si>
    <t>Best jugak pos barang guna jnt ni. Barang 100ish je tapi dia cover 300 if ada rosak or pecah.</t>
  </si>
  <si>
    <t>@effaalyaa @maisarahhhh____ Jnt tulis delayed due to external factor. Sahih ke sebab pos covid ni?</t>
  </si>
  <si>
    <t>@bukanfahiraa Kantor Pusat PT POS Indonesia, Jalan Cilaki no 73 Bandung, Jawa Barat https://t.co/JLXrsRGubQ</t>
  </si>
  <si>
    <t>wts unsealed digipack blue ver
rm 30 
all inclusion 
postage rm 8 jnt (pos using box)
freebies will given 🤍 
can reserve 🥰 
- bole dm for more detail 🦋 #pasarexomy #pasarexo @pasar_EXO @KogiEXOrealPC https://t.co/d9HCkSLd1L</t>
  </si>
  <si>
    <t>maybe time ni rasa simpati dah hilang yelah awal awal i kesian jugak tapi lama lama hilang sabar i desak at last dia post album tu guna pos laju i tak tau mana dia dapat stock pb1 (2) tu yelah sbab dia kata parcel yg dia dah hantar kat jnt tu hilang tapi i peduli apa asal i dapat</t>
  </si>
  <si>
    <t>lembab nyo pos laju ni.. kalu. seller guna jnt mesti harini dah sampai parcel</t>
  </si>
  <si>
    <t>@anlmsraa Saya jarang pos barang. Tapi range RM 10 je rasanya. Susu ni total berat sekali kotak dalam 1.5kg. Sini ada JnT, pos laju, ninja van. Nanti saya try search kat google harga. PM la alamat nama and num. Kalau sempat esok lepas habis kerja kat PPV, saya pos.</t>
  </si>
  <si>
    <t>Laju ye jnt ni. Semalam aku pos harini dah sampai hahahahaana🤣</t>
  </si>
  <si>
    <t>Currently there few items that stuck at JnT agents, Pos Laju Bintulu and otw to Belaga.</t>
  </si>
  <si>
    <t>@ruangaleeya jnt ke pos laju?</t>
  </si>
  <si>
    <t>Ehh..pembetulan, jumaat dpt surprise dm, smlm dia pos, hari ni sampai. cepat betul servis jnt ni. Padu jnt padu !</t>
  </si>
  <si>
    <t>Lowongan Kerja PT POS Indonesia (Persero) ditempatkan diwilayah kerja kantor pos palembang https://t.co/8zG6UCBU2q https://t.co/lN2nx7onqY</t>
  </si>
  <si>
    <t>Lowongan Kerja PT POS Indonesia (Persero)
untuk wilayah nusa tenggara timur https://t.co/wEiylaLK65 https://t.co/5wJqYNzEVy</t>
  </si>
  <si>
    <t>Tak hanya itu, masih ada layanan “Pos Lelaki” yang merupakan hasil kerjasama dengan PT.Pos Indonesia.," ungkapnya.
Dengan moto MASAGI (Mastikein Sakabeh Amanah teu GIwar), BKIPM Bandung akan terus berupaya memberikan pelayanan terbaik, bebas dari korupsi.</t>
  </si>
  <si>
    <t>kalau ada GO atau olshopnya butuh admin packing daerah jawa timur bisa dm aku yaa, udah berpengalaman setahunan, deket sama ekspedisi kaya jnt, jne, pos, id express sama sicepat</t>
  </si>
  <si>
    <t>@txtdariolshop_ Anda expressn👍 pos 👌 jnt ❤️ sicepat 👌</t>
  </si>
  <si>
    <t>@syazkurus Selalu dekat shopee laju je kalau guna jnt. Hari ni orang tu pos, esok sampai</t>
  </si>
  <si>
    <t>untuk ekspedisinya kalian bisa pakai ekspedisi terdekat kalian seperti: paxel, JNE, J&amp;amp;T, pos, sicepat juga anteraja! 
“Bi, nanti cara tau kita dapet voucher/free productnya gimana ya?”
nanti akan ada notifikasi masuk ke akunmu mengenai reward yang kamu dapat!</t>
  </si>
  <si>
    <t>@syazkurus sama je macam kau hantar kat jnt tu, time kau hantar kalau awal, so petang jnt tu dah gerak, tapi tulah benda pos ni mcm2 boleh jadi. try je la dulu guna shopee tu nk biasakan. kl area aku volunteer jadi bahan ujikaji kakakaka</t>
  </si>
  <si>
    <t>@MohdRuzainii @MamatDinzz Baik. Pos bayaq jnt okay. Boy dua kala tu nak rambut atas bawah ka. Atas saja ?</t>
  </si>
  <si>
    <t>@MohdRuzainii @MamatDinzz Baik boleh. Pos bayaq jnt mcm biasa. Pilihan bijak. Size sempit lg. barang baru belum diteroka.</t>
  </si>
  <si>
    <t>https://t.co/bLH6zPpPBi - The Day of the Republic of Indonesia Telecommunications Telecommunications Post is often referred to as PT Pos Indonesia. The flow of telephone and telegraph technology developments that entered Indonesia also changed the postal
https://t.co/JNoQTiNC3d https://t.co/sK6hG5EP55</t>
  </si>
  <si>
    <t>@squidwrd__ @Relyourbae2 Ready Stock
Obat telat bulan / Pelancar haid
( Cytotec Misoprostol )
100 % Aman &amp;amp; Resmi
Terdaftar di BPOM &amp;amp; DINKES
More info pemesanan
☎ Wa: 081 329 689 666
HOTLINE 24 JAM
Pemesanan kami kirim via
Jne.Pos.Tiki
Pembayaran via bank
Bri.Bca.Mandiri
Free ongkir seluruh indonesia</t>
  </si>
  <si>
    <t>@bdngfess Ready Stock
Obat telat bulan / Pelancar haid
( Cytotec Misoprostol )
100 % Aman &amp;amp; Resmi
Terdaftar di BPOM &amp;amp; DINKES
More info pemesanan
☎ Wa: 081 329 689 666
HOTLINE 24 JAM
Pemesanan kami kirim via
Jne.Pos.Tiki
Pembayaran via bank
Bri.Bca.Mandiri
Free ongkir seluruh indonesia</t>
  </si>
  <si>
    <t>@Geboyy__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</si>
  <si>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@masgah_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</si>
  <si>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@ayydafryanti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</si>
  <si>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@lindrayyy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</si>
  <si>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@ngalamfess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</si>
  <si>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@diaryfirda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</si>
  <si>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@ayubsr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</si>
  <si>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@morethanurbby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</si>
  <si>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@MUTUALLANDFESS @Deviinaja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</si>
  <si>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@billaameliaa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</si>
  <si>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@chitaglorya @noviadmyy @KingNFTPromoter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</si>
  <si>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@JBArtSpace_NFT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</si>
  <si>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@rindubeneran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</si>
  <si>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Semoga PT Pos indonesia bisa terus berkembang, dan juga dapat memberikan manfaat berkelanjutan bagi masyarakat Indonesia.
#SmartPeople
#PerpustakaanAlFalaahiyyah https://t.co/ZUzO2TNfcu</t>
  </si>
  <si>
    <t>Sebagai contoh, PT Pos Indonesia menghentikan Hari Bhakti Postel ke-76 dengan mengadakan acara "Online Tour Museum Pos Indonesia" pada Senin, 27 September 2021. Acara tur virtual untuk Museum Pos Indonesia tersebut dibuka untuk masyarakat umum secara gratis.</t>
  </si>
  <si>
    <t>Selamat Hari Bhakti Postel ke 76
Semoga PT Pos Indonesia (Persero) makin maju dan sejahtera.
@posindonesia.ig 
@poltekposindonesia 
#d4mbpoltekpos https://t.co/0hd6czYKV1</t>
  </si>
  <si>
    <t>Lowongan Kerja SPG pospay PT Pos Indonesia (Persero) Tingkat SMA Sederajat
SPG pospay
Kualifikasi :
Wanita usia maksimal 27 tahun
Minimal SMA
Berpenampilan menarik (good looking)
Kirim lamaran anda paling lambat 24 september 2021…https://t.co/bHXp1pweZE https://t.co/INSeil3HjW</t>
  </si>
  <si>
    <t>#CHENLE #PASARNCT
🖇 Chenle boring pc 
- RM30 wm / RM40 em
- price already incpos &amp;gt;&amp;lt;
- use jnt , will pos out the day u make the payment 
- no backout buyer ❌
- dm me for more pic / vid https://t.co/Dtb9rcDRhU</t>
  </si>
  <si>
    <t>𝐇𝐚𝐫𝐢 𝐏𝐨𝐬 𝐓𝐞𝐥𝐞𝐤𝐨𝐦𝐮𝐧𝐢𝐤𝐚𝐬𝐢 𝐓𝐞𝐥𝐞𝐠𝐫𝐚𝐟
Senin (27/09/2021) - Hari Pos Telekomunikasi Telegraf Republik Indonesia sering disebut dengan PT Pos Indonesia. Arus perkembangan teknologi telepon dan https://t.co/wNzuMimAHR</t>
  </si>
  <si>
    <t>Living under blessing💕
Anda sudah diberkati Tuhan! Segera temukan kunci-kuncinya dalam kedua buku ini 👍Delivery Malang kota 10K (spd mtr), luar Kota Malang via JNE, J&amp;amp;T, POS
WA/Line: +6282143502209
☎ : +62341 573887
IG: tarbantinbookstoremalang
MAKE GREAT GENERATION
#bukubagus https://t.co/lrGGeAWk8G</t>
  </si>
  <si>
    <t>Temukan kunci2 keberhasilan utk hidup Anda di setiap buku bagus yg anda baca✨Terima kasih untuk pemesanannya🙏Delivery Malang kota 10K (spd mtr), luar Kota Malang via JNE, J&amp;amp;T, POS
WA/Line: +6282143502209
IG: tarbantinbookstoremalang
MAKE GREAT GENERATION
#bukubagus #goobooks https://t.co/Td9uiaxq6Q</t>
  </si>
  <si>
    <t>Be happy all the time💕
A to Z Happy Habits akan menolong Anda menyebarkan kebahagiaan kepada segenap keluarga dan teman-teman👍Delivery Malang kota 10K (spd mtr), luar Kota Malang via JNE, J&amp;amp;T, POS
WA/Line: +6282143502209
IG: tarbantinbookstoremalang
MAKE GREAT GENERATION https://t.co/2m6s8J9ptW</t>
  </si>
  <si>
    <t>Found your true self in Christ💕Diorderin terus good books, untuk membantu pembentukan kerohanian✨Terima kasih buat pemesanannya🙏Delivery Malang kota 10K (spd mtr), luar Kota Malang via JNE, J&amp;amp;T, POS
WA/Line: +6282143502209
IG: tarbantinbookstoremalang
MAKE GREAT GENERATION https://t.co/SIk30kjUy3</t>
  </si>
  <si>
    <t>Pewahyuan tentang kekuasaan dan ketaatan yg harus anda ketahui utk mendapatkan perkenanan Allah dlm hidup anda👍Delivery Malang kota 10K (spd mtr), luar Kota Malang via JNE, J&amp;amp;T, POS
WA/Line: +6282143502209
IG: tarbantinbookstoremalang
MAKE GREAT GENERATION
#bukubagus #goodbooks https://t.co/LjacnnFF5I</t>
  </si>
  <si>
    <t>@rmdhntyamanda19 ku kirim pake jnt apa jne? apa pake pos indonesia🤔</t>
  </si>
  <si>
    <t>#LAPORANREPORTER
Hari Bakti Postel transportasi digital menjadi langkah PT Pos Indonesia untuk menjawab tantangan zaman. Reporter RRI (B)
Selengkapnya di 88,8FM PRO 3 RRI. -AMD</t>
  </si>
  <si>
    <t>Republik Indonesia sering disebut dengan PT Pos Indonesia. Arus perkembangan Teknologi Telepon dan Telegraf yang masuk ke Indonesia pun mengubah sistem pelayanan pos di Indonesia. Untuk itu, kami segenap Himpunan Mahasiswa Pendidikan Matematika mengucapkan :</t>
  </si>
  <si>
    <t>Adapun pada agenda tersebut, dilakukan pula penandatanganan kerjasama antara Dinas Koperasi dan UKM DIY dengan PT. Pos Indonesia terkait siskon dan gratis ongkos kirim ke luar negeri bagi UKM DIY. 
#SriSultanHBX
#GKRHemas
#UMKMNaikKelas
#Sibakul
#DinkopDIY
#PosIndonesia https://t.co/lO1d3Atd54</t>
  </si>
  <si>
    <t>why jnt never reply our dm? pos laju rajin je reply dm</t>
  </si>
  <si>
    <t>Lowongan BUMN SMA SMK D3 S1 PT. Pos Indonesia (Persero) Bulan September Tahun 2021 https://t.co/m4BJ4R4n7j</t>
  </si>
  <si>
    <t>Lowongan Kerja BUMN SMA SMK D3 S1 PT. Pos Indonesia (Persero) September 2021 https://t.co/ZL95qeMP27</t>
  </si>
  <si>
    <t>WTS SKZ  🇲🇾 ONLY 
 • I.N Jewel Pc - RM23
 • I.N Red Frame - RM10
 - BUY BOTH RM30 -
 • Seungmin Red Frame - RM12 
🖇 Exc pos (jnt)
🖇 shopeepay/online banking 
❌ NO rush postage 
📩DM if interested 
#pasarskz https://t.co/PGp3cqcYxI</t>
  </si>
  <si>
    <t>Awal mula hari peringatan ini karena peristiwa Angkatan Muda Pos Telekomunikasi Telegraf mengambil alih kekuasaan PTT di Bandung dari kekuasaan Jepang dan secara resmi berubah menjadi PTT Republik Indonesia. Lalu mengalami beberapa perubahan hingga menjadi PT. Pos Indonesia. https://t.co/tNdnW24ZFi</t>
  </si>
  <si>
    <t>#SobatKampusOrange #Logisticians &amp;amp; #Transporters
Selamat Hari Bhakti Postel Ke-76 Tahun
Ambil Kesempatan Beasiswa Ikatan Dinas PT Pos Indonesia
#YPBPI
#POLTEKPOS
#STIMLOG
#KeluargaPosIndonesia https://t.co/a8VKXGVM6S</t>
  </si>
  <si>
    <t>Lalu setelah melakukan pembayaran, tinggal tunggu aja dokumen TBPKP baru kamu dikirimkan melalui PT. Pos Indonesia dengan estimasi 7 hari kerja sampai ke alamat domisilimu.
#JadiLebihAman #JadiLebihMudah #BayarPajakPakaiSIGNAL #SamsatDigitalNasional</t>
  </si>
  <si>
    <t>Karena Aplikasi SIGNAL telah bekerja sama dengan PT. Pos Indonesia sebagai jasa pengiriman terpercaya untuk pengiriman dokumen kamu.</t>
  </si>
  <si>
    <t>Korang ok ke kalau aku enable jnt je kat kedai shopee aku? Sebab jnt kalau pos harini, esok terus sampai. Kalau lain2, 2-3 hari baru sampai.</t>
  </si>
  <si>
    <t>Badan usaha milik negara yang bergerak dalam bidang pos dan telekomunikasi adalah PN Postel yang sejak 1965 telah dipecah dan saat ini dikenal sebagai PT Pos Indonesia (Persero) serta PT Telkom Indonesia (Persero) Tbk di bawah koordinasi Kementerian BUMN RI</t>
  </si>
  <si>
    <t>Laju kalini jnt smpai. Pos smlm pg ni terus delivered</t>
  </si>
  <si>
    <t>Jnt scam ke harini pos kasut smpai rm16?!</t>
  </si>
  <si>
    <t>Selamat Hari Bakti PT Pos Indonesia 
Hari Bhakti Postel pada 27 September jadi momentum peringatan sejarah pengambilalihan Kantor Pusat Jawatan Pos, Telegraf, dan Telepon (PTT) di Bandung oleh pemuda Indonesia dari kekuasaan penjajah Jepang. Perebutan kendali Jawatan PTT itu</t>
  </si>
  <si>
    <t>Tumben JNE kosong.. Jd bisa foto dulu 😅. Beres JNE lanjut kantor pos sama J&amp;amp;T.. https://t.co/ChNOHqQ1ZS</t>
  </si>
  <si>
    <t>Tinggal kenalan sama abang jnt aja
Sicepat udah kenal
Pos ems kenal
Anteraha kenal</t>
  </si>
  <si>
    <t>Jnt mmg ada masalah ke skrg? Barang aku pos sampai skrg stuck dah nk dekat seminggu 🥲</t>
  </si>
  <si>
    <t>@ckinoza Ak dlu msa boleh plih. 2 jer. X pos laju, jnt. Dhl ecommerce pn lmbt. Dh la x taw rmh ak. Mklum la kg. Ssh la nk cri. Tp rider jnt boleh jer cri. Poslaju tolak tepi la. Mmg expert dh haha. Ptut shopee kne bt rating utk delivery partner jgak. Snb. Agak lmbt sgt. 1* je. Brg lain.+</t>
  </si>
  <si>
    <t>cassete dah sampai. rim pos dalam kuantan pun slow jnt ni. biasa laju je</t>
  </si>
  <si>
    <t>Postage
📬 RM6 wm/em (flexi)
📬 RM8 wm (JnT, Pos Laju, Pgeon)</t>
  </si>
  <si>
    <t>2 to 3 weeks onward, memang berderet la ni parcel dtg rumah. Mmng abg jnt atau lgi2 pos laju bosan sdh dtg rumah 😂😭 my wallet is crying :')</t>
  </si>
  <si>
    <t>[ help rt pls 💗 ]
hiiii. helping my friend to clear slot for slow acid! Only johnny slot available! Please dm me if youre interested! ^🥰💗
WTS NCT127 SLOW ACID (JOHNNY PC) - RM35 exc pos!
📫 + Rm7 postage (jnt WM/ Flexiprepaid EM)
#pasarNCT https://t.co/3zIgBkReZy</t>
  </si>
  <si>
    <t>by @PMI_KabSemarang
#StokDarah 
Senin 27 Sept 2021
Pkl 20.20 WIB
MOBILE UNIT
Selasa 28 Sept 2021
PT Pos Indonesia Ungaran
Pkl 09.00 WIB
INFO LAYANAN 
-Darah Pasien 24 Jam
-Donor Darah di PMI Pkl 08.00-20.00 WIB
Visit https://t.co/SWiQS1roBk
#DonorDong 
#PMISelaluBantu https://t.co/wtYEFIpnVR</t>
  </si>
  <si>
    <t>@nanjirouechizen jnt ada. pos hrini esk smpai. 😂</t>
  </si>
  <si>
    <t>@erickthohir Waktu 2 tahun lagi, apakah ada perubahan pada PT. POS INDONESIA ?</t>
  </si>
  <si>
    <t>WTS SKZ PC 🇲🇾 ONLY 
• DS Pc - RM26
• Lee Know Beret - RM22
• Han Red - RM20
• Chan, Changbin, I.N Std PC - RM18 
🖇 Exc pos jnt/flexi
🖇 shopeepay/online banking 
❌ NO rush postage 
📩DM if interested 
#pasarskz https://t.co/AfDTajoVDq</t>
  </si>
  <si>
    <t>@rekkaal Yang lebih kirim lewat pos aja yaa atau ngga jnt 🙏🏼</t>
  </si>
  <si>
    <t>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</si>
  <si>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Tujuan ngirim pesan singkat kek chat atao SMS gtu supaya cepet dapat balasan dalam hitungan menit. Tau km gini lama balasnya mending pake jasa pos, jnt, JNE dsbg.</t>
  </si>
  <si>
    <t>kantor pos di UK ternyata kaya jne yaa.. kaga sempet foto2 soalnya udah bingung sndiri wkkwk. Td sih lbh jelek dr ini wkwkwk, trs sbelahnya ada yg jual ATK gtu https://t.co/AAmt3eIMaV</t>
  </si>
  <si>
    <t>[HELP RT] WTS MY 🇲🇾
WTS JIMIN SET BTS BUTTER WEVERSE POB
🪄JIMIN POB PC(❌tin case) AND JIMIN FILM STRIP 
RM100 include pos
🍭loose -(pc rm38) (film strip rm62)
✅ Condition pc 9/10,film strip 10/10
will use JnT
DM for close up of interested @BTSMarketMY @pasarBTS @BTStrading_MY https://t.co/7ao7UUHvAy</t>
  </si>
  <si>
    <t>#StokDarah 
Senin 27 Sept 2021
Pkl 20.20 WIB
MOBILE UNIT
Selasa 28 Sept 2021
PT Pos Indonesia Ungaran
Pkl 09.00 WIB
INFO LAYANAN 
-Darah Pasien 24 Jam
-Donor Darah di PMI Pkl 08.00-20.00 WIB
Visit https://t.co/cCFb9wyKIP
@PMIJawaTengah @palangmerah @InfoUngaran @Blood4LifeID https://t.co/0qtYfRB9kv</t>
  </si>
  <si>
    <t>#StokDarah 
Selasa 28 Sept 2021
Pkl 07.10 WIB
MOBILE UNIT
Selasa 28 Sept 2021
PT Pos Indonesia Ungaran
Pkl 09.00 WIB
INFO LAYANAN 
-Darah Pasien 24 Jam
-Donor Darah di PMI Pkl 08.00-20.00 WIB
Visit https://t.co/cCFb9wyKIP
@PMIJawaTengah @palangmerah @InfoUngaran @Blood4LifeID https://t.co/DchubjeCnJ</t>
  </si>
  <si>
    <t>By @PMI_KabSemarang: #StokDarah 
Selasa 28 Sept 2021
Pkl 07.10 WIB
MOBILE UNIT
Selasa 28 Sept 2021
PT Pos Indonesia Ungaran
Pkl 09.00 WIB
INFO LAYANAN 
-Darah Pasien 24 Jam
-Donor Darah di PMI Pkl 08.00-20.00 WIB
Visit https://t.co/SWiQS1roBk
#DonorDong https://t.co/UpBLQ1ELco</t>
  </si>
  <si>
    <t>Lowongan Kerja PT Pos Logistik Indonesia
Posisi, Lokasi, Kualifikasi dan Panduan melamar buka link: https://t.co/8ZF6jYQRHe
Batas Lamaran: 27 September 2021
•
"GABUNG DI CHANNEL TELEGRAM 👉 https://t.co/SfaaWgxZ1h (GRATIS)"</t>
  </si>
  <si>
    <t>Rangkaian Anggreknya sdh berangkat ke rumah customer Tarbantin💕Terima kasih utk pemesanannya💖Mau mendekorasi rumah?Pilih2 aja di Tarbantin 😍Delivery Malang kota 10k (spd mtr), luar Kota Malang via JNE, J&amp;amp;T, POS
WA/Line: +6282143502209
IG: tarbantinsouvenir
#rangkaian #bunga https://t.co/4u3kx3o5S9</t>
  </si>
  <si>
    <t>Tatanan meja atau ruangan jadi makin menarik ditambahkan dgn souvenir2 pilihan dari Tarbantin, langsung chat aja untuk cek harga💖Delivery Malang kota 10k (spd mtr), luar Kota Malang via JNE, J&amp;amp;T, POS
WA/Line: +6282143502209
IG: tarbantinsouvenir
#dekorasi #decoration #homedecor https://t.co/9btJKWd865</t>
  </si>
  <si>
    <t>Rangkaian Anggrek cantik baru datang, siap mendekorasi ruangan Anda 💓merapat yuuuuks cek harga😍Delivery Malang kota 10k (spd mtr), luar Kota Malang via JNE, J&amp;amp;T, POS
WA/Line: +6282143502209
☎ : +62341 573887
IG: tarbantinsouvenir
#rangkaian #arrangement #bunga #flower #anggrek https://t.co/qW4qg9JNcY</t>
  </si>
  <si>
    <t>💖Pelanggan setia Tarbantin dgn bunga imut pilihan💞Terima kasih utk pemesanannya🙏Delivery Malang kota 10k (spd mtr), luar Kota Malang via JNE, J&amp;amp;T, POS
WA/Line: +6282143502209
IG: tarbantinsouvenir
#flower #bunga
#dekorasi #decoration #homedecor #roomdecor #hadiah #rumah https://t.co/tVtvb5nrf5</t>
  </si>
  <si>
    <t>Stand elegan ready, dgn paduan warna gold &amp;amp; white, bisa mempercantik penataan hidangan atau dekorasi ruangan Anda, cek harga langsung yuuk😍Delivery Malang kota 10k (spd mtr), luar Kota Malang via JNE, J&amp;amp;T, POS
WA/Line: +6282143502209
IG: tarbantinsouvenir
#standgold #jar #toples https://t.co/tNWW0CtBkU</t>
  </si>
  <si>
    <t>Terima kasih utk pemesanannya &amp;amp; kepercayaannya 😍 telah memilih Tarbantin Souvenir utk mendekorasi rumahnya👭, yg mau mendekorasi rumah, langsung meluncur ke Tarbantin yaaaaa💕Delivery Malang kota 10k (spd mtr), luar Kota Malang via JNE, J&amp;amp;T, POS
WA/Line: +6282143502209 https://t.co/RcFOC933sw</t>
  </si>
  <si>
    <t>Beautiful Vintage Frame😍baru datang yaaaa💖cantik utk foto2 spesial anda atau kado spesial buat orang terdekat 💕tinggal diorderin ajaaaa💞Delivery Malang kota 10k (spd mtr), luar Kota Malang via JNE, J&amp;amp;T, POS
WA/Line: +6282143502209
IG: tarbantinsouvenir
#frame #pigura #vintage https://t.co/v6ZP5IhIwf</t>
  </si>
  <si>
    <t>Rangkaian Anggrek Putih cantik, dipadukan dgn vas warna gold yg elegan, siap ditambahkan dlm dekorasi ruangan Anda💕langsung meluncur ke Tarbantin💞Delivery Malang kota 10k (spd mtr), luar Kota Malang via JNE, J&amp;amp;T, POS
WA/Line: +6282143502209
IG: tarbantinsouvenir
#bunga #flower https://t.co/FO6MgUbi6m</t>
  </si>
  <si>
    <t>Be blessed wherever you are💖Hiasan dinding cantiknya siap dibawa pulang for special gift untuk orang terkasih💗Terima kasih buat pemesanannya🙏Delivery Malang kota 10k (spd mtr), luar Kota Malang via JNE, J&amp;amp;T, POS.
WA/Line: +6282143502209
IG: tarbantinsouvenir
#flower #bunga https://t.co/nppTx45c6r</t>
  </si>
  <si>
    <t>You are the perfection of God💕Nampan cantiknya ready utk penyajian hidangan makin menawan, buruan gercep yaaaa😍Limited Edition💞Delivery Malang kota 10k (spd mtr), luar Kota Malang via JNE, J&amp;amp;T, POS
WA/Line: +6282143502209
IG: tarbantinsouvenir
#tray #nampan #baki #penyajian https://t.co/mTIu3FiXNO</t>
  </si>
  <si>
    <t>Lowongan Kerja Semua Jurusan PT Pos Logistik Indonesia September 2021 https://t.co/p0EqDXuDjk</t>
  </si>
  <si>
    <t>Lowongan Kerja BUMN PT Pos Indonesia (Persero) Oktober 2021 https://t.co/K4oPkvOHxS</t>
  </si>
  <si>
    <t>Lowongan Kerja PT Pos Logistik Indonesia https://t.co/X37Q6W2aQ8</t>
  </si>
  <si>
    <t>Lowongan Kerja Semua Jurusan PT Pos Logistik Indonesia September 2021 https://t.co/MqkuyVovgj</t>
  </si>
  <si>
    <t>Lowongan Kerja BUMN PT Pos Indonesia (Persero) Oktober 2021 https://t.co/EY7KWkCu8f</t>
  </si>
  <si>
    <t>Peringati Postel, PT Pos Indonesia Bertransformasi ke Arah Digital https://t.co/UKrsug08eR</t>
  </si>
  <si>
    <t>jnt seberang perai selatan ni problem ka stuck since 26 tak gerak gerak padahal brg aku pos semalam elok ja dah sampai selangor</t>
  </si>
  <si>
    <t>WTS 
-jb mirror card RM 10 exc pos
-youngjae bookmark RM 7
-buy both RM 15 exc pos
-use jnt RM8 wm// em dm
- no backout seller // time waster will be block 
- rts: need money for studies 
#pasarGOT7 https://t.co/LDhmV2m0Sz</t>
  </si>
  <si>
    <t>BARANG PACKING!! SIAP KIRIM! TRUSTED OLSHOP! Pengiriman dengan JNE/POS. PIN:778B048 WA:081322071239 https://t.co/4ZiyfqDC8s</t>
  </si>
  <si>
    <t>BARANG PACKING!! SIAP KIRIM! TRUSTED OLSHOP! Pengiriman dengan JNE/POS. PIN:778B048 WA:081322071239 https://t.co/x2P4aq4s4V</t>
  </si>
  <si>
    <t>BARANG PACKING!! SIAP KIRIM! TRUSTED OLSHOP! Pengiriman dengan JNE/POS. PIN:778B048 WA:081322071239 https://t.co/4WJtdN8cGq</t>
  </si>
  <si>
    <t>BARANG PACKING!! SIAP KIRIM! TRUSTED OLSHOP! Pengiriman dengan JNE/POS. PIN:778B048 WA:081322071239 https://t.co/FDn7rQy9kh</t>
  </si>
  <si>
    <t>BARANG PACKING!! SIAP KIRIM! TRUSTED OLSHOP! Pengiriman dengan JNE/POS. PIN:778B048 WA:081322071239 https://t.co/l9u07oCz8O</t>
  </si>
  <si>
    <t>BARANG PACKING!! SIAP KIRIM! TRUSTED OLSHOP! Pengiriman dengan JNE/POS. PIN:778B048 WA:081322071239 https://t.co/CTNw1fhp0i</t>
  </si>
  <si>
    <t>BARANG PACKING!! SIAP KIRIM! TRUSTED OLSHOP! Pengiriman dengan JNE/POS. PIN:778B048 WA:081322071239 https://t.co/v2dg3e1RH6</t>
  </si>
  <si>
    <t>BARANG PACKING!! SIAP KIRIM! TRUSTED OLSHOP! Pengiriman dengan JNE/POS. PIN:778B048 WA:081322071239 https://t.co/YAweyQPETT</t>
  </si>
  <si>
    <t>Kembangkan Tri Dharma Perguruan Tinggi, Rektor UIM – PT Pos Indonesia Regional II Jakarta Teken MoU https://t.co/6QlJN54f11</t>
  </si>
  <si>
    <t>Buat yang mau ngirim barang ke pos/JNE dan sebagainya, sebaiknya dipacking dari rumah. Atau minimal ditulis alamat tujuan dan pengirim dulu ya dari rumah</t>
  </si>
  <si>
    <t>Kegiatan ini dibuka oleh Kakancab ASABRI Madiun Hery Nurdi dan dihadiri oleh perwakilan Bank Mantap, Bank Bukopin, BRI, BNI, BPD JATIM, BTN, BWS, dan PT Pos Indonesia.
#kegiatanAsabri #Asabrievents https://t.co/6cIqZsTq4x</t>
  </si>
  <si>
    <t>PT Pos Indonesia kembali membuka lowongan kerja, minimal lulusan SMA dengan batas waktu penerimaan lamaran sampai 30 September 2021.
https://t.co/kI3zEKjoEQ</t>
  </si>
  <si>
    <t>dulu jnt laju, pos laju lembab.. skng dah terbalik pulak</t>
  </si>
  <si>
    <t>Rektor UIM Teken MOU PT Pos Indonesia Regional II Jakarta - https://t.co/C7v8HOM6gy https://t.co/kCg8aQzuj9</t>
  </si>
  <si>
    <t>https://www.google.com/url?rct=j&amp;sa=t&amp;url=https%3A%2F%2Fm.tribunnews.com%2Fnasional%2F2021%2F09%2F23%2Flowongan-kerja-pt-pos-indonesia-persero-makassar-2021-frontliner-dibuka-hingga-24-september-2021&amp;ct=ga&amp;cd=CAIyGjJiMmE5MjhmODMwMjFjNzI6Y29tOmlkOlVT&amp;usg=AFQjCNEU5BB7QgR2kc_9NC1JiBDqEd_IJw&amp;utm_source=dlvr.it&amp;utm_medium=twitter</t>
  </si>
  <si>
    <t>https://helloindonesia.id/ https://helloindonesia.id/2021/09/27/hari-pos-telekomunikasi-telegraf/</t>
  </si>
  <si>
    <t>https://www.linkedin.com/slink?code=gaw7tsmQ https://www.linkedin.com/slink?code=gh6h9GFJ</t>
  </si>
  <si>
    <t>https://www.openkerja.id/2020/09/lowongan-kerja-pt-pos-logistik-indonesia.html https://t.me/openkerjaid</t>
  </si>
  <si>
    <t>detik.com</t>
  </si>
  <si>
    <t>twitter.com</t>
  </si>
  <si>
    <t>co.id</t>
  </si>
  <si>
    <t>tribunnews.com</t>
  </si>
  <si>
    <t>voi.id</t>
  </si>
  <si>
    <t>whatsapp.com</t>
  </si>
  <si>
    <t>jobsid.co</t>
  </si>
  <si>
    <t>smi-news.com</t>
  </si>
  <si>
    <t>padangjobs.co</t>
  </si>
  <si>
    <t>kompaskerja.com</t>
  </si>
  <si>
    <t>go.id</t>
  </si>
  <si>
    <t>sdna.gr</t>
  </si>
  <si>
    <t>pikiran-rakyat.com</t>
  </si>
  <si>
    <t>aikerja.com</t>
  </si>
  <si>
    <t>lokersumatera.com</t>
  </si>
  <si>
    <t>curiouscat.qa</t>
  </si>
  <si>
    <t>disnakerja.com</t>
  </si>
  <si>
    <t>suara.com</t>
  </si>
  <si>
    <t>tempo.co</t>
  </si>
  <si>
    <t>gudangloker.com</t>
  </si>
  <si>
    <t>akurat.co</t>
  </si>
  <si>
    <t>rekrutmen.net</t>
  </si>
  <si>
    <t>bursakerjadepnaker.com</t>
  </si>
  <si>
    <t>openkerja.id</t>
  </si>
  <si>
    <t>google.com</t>
  </si>
  <si>
    <t>instagram.com</t>
  </si>
  <si>
    <t>portalkalbar.com</t>
  </si>
  <si>
    <t>helloindonesia.id helloindonesia.id</t>
  </si>
  <si>
    <t>linkedin.com linkedin.com</t>
  </si>
  <si>
    <t>lowongankerjasmk.com</t>
  </si>
  <si>
    <t>pmikabupatensemarang.com</t>
  </si>
  <si>
    <t>openkerja.id t.me</t>
  </si>
  <si>
    <t>jawapos.com</t>
  </si>
  <si>
    <t>rakyatsulsel.co</t>
  </si>
  <si>
    <t>blogspot.com</t>
  </si>
  <si>
    <t>berita-sulsel.com</t>
  </si>
  <si>
    <t>etdorongdigitalisasibumn</t>
  </si>
  <si>
    <t>pasarskz</t>
  </si>
  <si>
    <t>magetan</t>
  </si>
  <si>
    <t>digitalbisa untukindonesialebihbaik</t>
  </si>
  <si>
    <t>specialtalkshow</t>
  </si>
  <si>
    <t>pasarsvt pasarkpop</t>
  </si>
  <si>
    <t>pasarnct pasarnctmy mynctjual nct</t>
  </si>
  <si>
    <t>lokersumatera lowongankerja kurir palembang lokerpalembang</t>
  </si>
  <si>
    <t>pasartheboyz pasartbz</t>
  </si>
  <si>
    <t>pks pkb swdkllj pnbp</t>
  </si>
  <si>
    <t>pasarsf9</t>
  </si>
  <si>
    <t>bansoslanjutterus</t>
  </si>
  <si>
    <t>kemenkumhamri kumhampasti</t>
  </si>
  <si>
    <t>lowongan</t>
  </si>
  <si>
    <t>loker lowongankerja</t>
  </si>
  <si>
    <t>pasarexomy pasarexo</t>
  </si>
  <si>
    <t>smartpeople perpustakaanalfalaahiyyah</t>
  </si>
  <si>
    <t>chenle pasarnct</t>
  </si>
  <si>
    <t>bukubagus</t>
  </si>
  <si>
    <t>bukubagus goobooks</t>
  </si>
  <si>
    <t>bukubagus goodbooks</t>
  </si>
  <si>
    <t>laporanreporter</t>
  </si>
  <si>
    <t>srisultanhbx gkrhemas umkmnaikkelas sibakul dinkopdiy posindonesia</t>
  </si>
  <si>
    <t>sobatkampusorange logisticians transporters ypbpi poltekpos stimlog keluargaposindonesia</t>
  </si>
  <si>
    <t>jadilebihaman jadilebihmudah bayarpajakpakaisignal samsatdigitalnasional</t>
  </si>
  <si>
    <t>stokdarah donordong pmiselalubantu</t>
  </si>
  <si>
    <t>stokdarah</t>
  </si>
  <si>
    <t>stokdarah donordong</t>
  </si>
  <si>
    <t>rangkaian bunga</t>
  </si>
  <si>
    <t>dekorasi decoration homedecor</t>
  </si>
  <si>
    <t>rangkaian arrangement bunga flower anggrek</t>
  </si>
  <si>
    <t>flower bunga dekorasi decoration homedecor roomdecor hadiah rumah</t>
  </si>
  <si>
    <t>standgold jar toples</t>
  </si>
  <si>
    <t>frame pigura vintage</t>
  </si>
  <si>
    <t>bunga flower</t>
  </si>
  <si>
    <t>flower bunga</t>
  </si>
  <si>
    <t>tray nampan baki penyajian</t>
  </si>
  <si>
    <t>pasargot7</t>
  </si>
  <si>
    <t>kegiatanasabri asabrievents</t>
  </si>
  <si>
    <t>https://pbs.twimg.com/media/E98VTZTVcA49Ysa.jpg https://pbs.twimg.com/media/E98TkHUVkAgHAfb.jpg</t>
  </si>
  <si>
    <t>20:13:25</t>
  </si>
  <si>
    <t>15:30:34</t>
  </si>
  <si>
    <t>16:04:58</t>
  </si>
  <si>
    <t>07:15:11</t>
  </si>
  <si>
    <t>12:17:42</t>
  </si>
  <si>
    <t>12:27:16</t>
  </si>
  <si>
    <t>12:31:56</t>
  </si>
  <si>
    <t>12:42:25</t>
  </si>
  <si>
    <t>12:56:05</t>
  </si>
  <si>
    <t>12:57:59</t>
  </si>
  <si>
    <t>13:12:33</t>
  </si>
  <si>
    <t>13:18:15</t>
  </si>
  <si>
    <t>13:46:56</t>
  </si>
  <si>
    <t>13:53:52</t>
  </si>
  <si>
    <t>14:17:08</t>
  </si>
  <si>
    <t>14:31:00</t>
  </si>
  <si>
    <t>14:33:58</t>
  </si>
  <si>
    <t>14:35:33</t>
  </si>
  <si>
    <t>14:36:04</t>
  </si>
  <si>
    <t>14:56:01</t>
  </si>
  <si>
    <t>15:01:06</t>
  </si>
  <si>
    <t>15:01:08</t>
  </si>
  <si>
    <t>15:03:12</t>
  </si>
  <si>
    <t>15:17:46</t>
  </si>
  <si>
    <t>15:23:46</t>
  </si>
  <si>
    <t>15:24:12</t>
  </si>
  <si>
    <t>15:29:31</t>
  </si>
  <si>
    <t>15:57:59</t>
  </si>
  <si>
    <t>16:05:24</t>
  </si>
  <si>
    <t>16:14:35</t>
  </si>
  <si>
    <t>16:27:12</t>
  </si>
  <si>
    <t>16:32:29</t>
  </si>
  <si>
    <t>16:44:50</t>
  </si>
  <si>
    <t>16:58:48</t>
  </si>
  <si>
    <t>17:38:16</t>
  </si>
  <si>
    <t>17:57:48</t>
  </si>
  <si>
    <t>19:07:46</t>
  </si>
  <si>
    <t>22:01:39</t>
  </si>
  <si>
    <t>22:20:06</t>
  </si>
  <si>
    <t>23:10:28</t>
  </si>
  <si>
    <t>00:00:37</t>
  </si>
  <si>
    <t>00:26:48</t>
  </si>
  <si>
    <t>01:11:12</t>
  </si>
  <si>
    <t>02:12:35</t>
  </si>
  <si>
    <t>02:14:30</t>
  </si>
  <si>
    <t>02:52:28</t>
  </si>
  <si>
    <t>03:13:39</t>
  </si>
  <si>
    <t>03:48:02</t>
  </si>
  <si>
    <t>14:54:06</t>
  </si>
  <si>
    <t>04:19:05</t>
  </si>
  <si>
    <t>04:31:20</t>
  </si>
  <si>
    <t>06:55:40</t>
  </si>
  <si>
    <t>06:58:20</t>
  </si>
  <si>
    <t>07:19:35</t>
  </si>
  <si>
    <t>08:19:48</t>
  </si>
  <si>
    <t>08:42:17</t>
  </si>
  <si>
    <t>09:05:25</t>
  </si>
  <si>
    <t>09:35:22</t>
  </si>
  <si>
    <t>02:18:30</t>
  </si>
  <si>
    <t>10:29:05</t>
  </si>
  <si>
    <t>10:52:46</t>
  </si>
  <si>
    <t>07:49:10</t>
  </si>
  <si>
    <t>11:18:09</t>
  </si>
  <si>
    <t>11:05:59</t>
  </si>
  <si>
    <t>11:33:21</t>
  </si>
  <si>
    <t>11:35:54</t>
  </si>
  <si>
    <t>12:54:23</t>
  </si>
  <si>
    <t>13:01:40</t>
  </si>
  <si>
    <t>13:43:30</t>
  </si>
  <si>
    <t>14:44:56</t>
  </si>
  <si>
    <t>15:37:59</t>
  </si>
  <si>
    <t>06:06:21</t>
  </si>
  <si>
    <t>16:22:16</t>
  </si>
  <si>
    <t>16:23:20</t>
  </si>
  <si>
    <t>22:40:11</t>
  </si>
  <si>
    <t>23:22:53</t>
  </si>
  <si>
    <t>00:11:23</t>
  </si>
  <si>
    <t>01:39:32</t>
  </si>
  <si>
    <t>01:39:33</t>
  </si>
  <si>
    <t>01:40:28</t>
  </si>
  <si>
    <t>01:52:07</t>
  </si>
  <si>
    <t>02:56:50</t>
  </si>
  <si>
    <t>06:02:16</t>
  </si>
  <si>
    <t>06:54:31</t>
  </si>
  <si>
    <t>08:07:54</t>
  </si>
  <si>
    <t>08:08:40</t>
  </si>
  <si>
    <t>08:09:12</t>
  </si>
  <si>
    <t>08:10:08</t>
  </si>
  <si>
    <t>14:30:09</t>
  </si>
  <si>
    <t>18:15:40</t>
  </si>
  <si>
    <t>08:10:11</t>
  </si>
  <si>
    <t>08:10:19</t>
  </si>
  <si>
    <t>08:11:29</t>
  </si>
  <si>
    <t>08:11:32</t>
  </si>
  <si>
    <t>08:12:19</t>
  </si>
  <si>
    <t>08:13:16</t>
  </si>
  <si>
    <t>08:14:42</t>
  </si>
  <si>
    <t>08:14:51</t>
  </si>
  <si>
    <t>08:25:08</t>
  </si>
  <si>
    <t>08:26:47</t>
  </si>
  <si>
    <t>08:27:15</t>
  </si>
  <si>
    <t>08:28:55</t>
  </si>
  <si>
    <t>08:29:58</t>
  </si>
  <si>
    <t>08:38:12</t>
  </si>
  <si>
    <t>08:43:37</t>
  </si>
  <si>
    <t>08:45:49</t>
  </si>
  <si>
    <t>08:56:39</t>
  </si>
  <si>
    <t>09:01:35</t>
  </si>
  <si>
    <t>12:34:28</t>
  </si>
  <si>
    <t>09:10:21</t>
  </si>
  <si>
    <t>09:13:32</t>
  </si>
  <si>
    <t>09:13:38</t>
  </si>
  <si>
    <t>09:21:09</t>
  </si>
  <si>
    <t>09:31:08</t>
  </si>
  <si>
    <t>09:42:24</t>
  </si>
  <si>
    <t>10:20:01</t>
  </si>
  <si>
    <t>10:27:56</t>
  </si>
  <si>
    <t>11:02:34</t>
  </si>
  <si>
    <t>11:06:02</t>
  </si>
  <si>
    <t>11:30:45</t>
  </si>
  <si>
    <t>11:44:02</t>
  </si>
  <si>
    <t>12:10:37</t>
  </si>
  <si>
    <t>12:24:02</t>
  </si>
  <si>
    <t>14:53:32</t>
  </si>
  <si>
    <t>15:22:48</t>
  </si>
  <si>
    <t>15:35:34</t>
  </si>
  <si>
    <t>13:31:34</t>
  </si>
  <si>
    <t>23:17:33</t>
  </si>
  <si>
    <t>00:26:35</t>
  </si>
  <si>
    <t>00:48:20</t>
  </si>
  <si>
    <t>00:59:36</t>
  </si>
  <si>
    <t>01:08:18</t>
  </si>
  <si>
    <t>03:04:45</t>
  </si>
  <si>
    <t>03:06:07</t>
  </si>
  <si>
    <t>03:21:56</t>
  </si>
  <si>
    <t>03:32:10</t>
  </si>
  <si>
    <t>04:31:33</t>
  </si>
  <si>
    <t>05:38:57</t>
  </si>
  <si>
    <t>05:45:06</t>
  </si>
  <si>
    <t>08:38:55</t>
  </si>
  <si>
    <t>05:52:20</t>
  </si>
  <si>
    <t>06:29:03</t>
  </si>
  <si>
    <t>04:15:35</t>
  </si>
  <si>
    <t>06:54:15</t>
  </si>
  <si>
    <t>07:16:02</t>
  </si>
  <si>
    <t>09:05:32</t>
  </si>
  <si>
    <t>09:07:47</t>
  </si>
  <si>
    <t>09:16:23</t>
  </si>
  <si>
    <t>09:24:11</t>
  </si>
  <si>
    <t>09:25:39</t>
  </si>
  <si>
    <t>22:26:21</t>
  </si>
  <si>
    <t>09:53:11</t>
  </si>
  <si>
    <t>10:08:25</t>
  </si>
  <si>
    <t>10:08:41</t>
  </si>
  <si>
    <t>10:11:26</t>
  </si>
  <si>
    <t>10:11:28</t>
  </si>
  <si>
    <t>10:15:02</t>
  </si>
  <si>
    <t>10:15:05</t>
  </si>
  <si>
    <t>10:19:45</t>
  </si>
  <si>
    <t>10:19:55</t>
  </si>
  <si>
    <t>10:19:43</t>
  </si>
  <si>
    <t>10:23:24</t>
  </si>
  <si>
    <t>10:23:28</t>
  </si>
  <si>
    <t>10:24:55</t>
  </si>
  <si>
    <t>10:28:00</t>
  </si>
  <si>
    <t>10:29:09</t>
  </si>
  <si>
    <t>10:45:16</t>
  </si>
  <si>
    <t>10:45:20</t>
  </si>
  <si>
    <t>10:32:02</t>
  </si>
  <si>
    <t>10:55:53</t>
  </si>
  <si>
    <t>11:08:43</t>
  </si>
  <si>
    <t>11:09:01</t>
  </si>
  <si>
    <t>11:15:48</t>
  </si>
  <si>
    <t>11:36:57</t>
  </si>
  <si>
    <t>10:05:28</t>
  </si>
  <si>
    <t>10:05:32</t>
  </si>
  <si>
    <t>10:08:53</t>
  </si>
  <si>
    <t>10:08:58</t>
  </si>
  <si>
    <t>11:48:27</t>
  </si>
  <si>
    <t>11:49:02</t>
  </si>
  <si>
    <t>11:52:22</t>
  </si>
  <si>
    <t>12:05:18</t>
  </si>
  <si>
    <t>12:59:26</t>
  </si>
  <si>
    <t>05:00:23</t>
  </si>
  <si>
    <t>06:00:48</t>
  </si>
  <si>
    <t>15:18:23</t>
  </si>
  <si>
    <t>15:46:38</t>
  </si>
  <si>
    <t>15:51:10</t>
  </si>
  <si>
    <t>16:39:04</t>
  </si>
  <si>
    <t>00:58:09</t>
  </si>
  <si>
    <t>01:01:43</t>
  </si>
  <si>
    <t>01:56:46</t>
  </si>
  <si>
    <t>02:03:32</t>
  </si>
  <si>
    <t>03:20:00</t>
  </si>
  <si>
    <t>03:51:45</t>
  </si>
  <si>
    <t>04:17:40</t>
  </si>
  <si>
    <t>04:18:39</t>
  </si>
  <si>
    <t>04:20:12</t>
  </si>
  <si>
    <t>04:31:19</t>
  </si>
  <si>
    <t>04:56:38</t>
  </si>
  <si>
    <t>05:55:15</t>
  </si>
  <si>
    <t>06:47:32</t>
  </si>
  <si>
    <t>06:54:19</t>
  </si>
  <si>
    <t>06:58:25</t>
  </si>
  <si>
    <t>07:06:31</t>
  </si>
  <si>
    <t>07:08:21</t>
  </si>
  <si>
    <t>09:18:37</t>
  </si>
  <si>
    <t>07:15:15</t>
  </si>
  <si>
    <t>12:44:39</t>
  </si>
  <si>
    <t>07:15:44</t>
  </si>
  <si>
    <t>07:18:05</t>
  </si>
  <si>
    <t>07:18:08</t>
  </si>
  <si>
    <t>07:20:00</t>
  </si>
  <si>
    <t>00:23:50</t>
  </si>
  <si>
    <t>07:21:17</t>
  </si>
  <si>
    <t>07:35:49</t>
  </si>
  <si>
    <t>05:26:02</t>
  </si>
  <si>
    <t>09:43:59</t>
  </si>
  <si>
    <t>10:00:27</t>
  </si>
  <si>
    <t>10:09:01</t>
  </si>
  <si>
    <t>11:19:46</t>
  </si>
  <si>
    <t>11:43:16</t>
  </si>
  <si>
    <t>12:08:19</t>
  </si>
  <si>
    <t>12:25:16</t>
  </si>
  <si>
    <t>12:25:55</t>
  </si>
  <si>
    <t>13:14:09</t>
  </si>
  <si>
    <t>13:42:27</t>
  </si>
  <si>
    <t>13:42:44</t>
  </si>
  <si>
    <t>14:23:27</t>
  </si>
  <si>
    <t>14:49:21</t>
  </si>
  <si>
    <t>14:46:11</t>
  </si>
  <si>
    <t>14:50:00</t>
  </si>
  <si>
    <t>15:28:16</t>
  </si>
  <si>
    <t>09:03:15</t>
  </si>
  <si>
    <t>07:08:42</t>
  </si>
  <si>
    <t>07:18:41</t>
  </si>
  <si>
    <t>14:36:17</t>
  </si>
  <si>
    <t>15:31:04</t>
  </si>
  <si>
    <t>07:59:30</t>
  </si>
  <si>
    <t>16:08:53</t>
  </si>
  <si>
    <t>16:54:14</t>
  </si>
  <si>
    <t>19:04:46</t>
  </si>
  <si>
    <t>17:09:55</t>
  </si>
  <si>
    <t>18:05:06</t>
  </si>
  <si>
    <t>18:05:09</t>
  </si>
  <si>
    <t>18:05:13</t>
  </si>
  <si>
    <t>18:05:15</t>
  </si>
  <si>
    <t>18:05:18</t>
  </si>
  <si>
    <t>03:16:45</t>
  </si>
  <si>
    <t>05:39:55</t>
  </si>
  <si>
    <t>18:07:29</t>
  </si>
  <si>
    <t>18:02:16</t>
  </si>
  <si>
    <t>18:06:34</t>
  </si>
  <si>
    <t>18:07:15</t>
  </si>
  <si>
    <t>18:07:25</t>
  </si>
  <si>
    <t>18:08:26</t>
  </si>
  <si>
    <t>18:13:18</t>
  </si>
  <si>
    <t>18:16:10</t>
  </si>
  <si>
    <t>18:22:43</t>
  </si>
  <si>
    <t>18:38:54</t>
  </si>
  <si>
    <t>18:44:09</t>
  </si>
  <si>
    <t>19:34:45</t>
  </si>
  <si>
    <t>19:58:56</t>
  </si>
  <si>
    <t>19:59:03</t>
  </si>
  <si>
    <t>19:59:18</t>
  </si>
  <si>
    <t>23:25:45</t>
  </si>
  <si>
    <t>01:06:23</t>
  </si>
  <si>
    <t>01:08:13</t>
  </si>
  <si>
    <t>02:46:29</t>
  </si>
  <si>
    <t>03:03:13</t>
  </si>
  <si>
    <t>03:31:34</t>
  </si>
  <si>
    <t>03:34:56</t>
  </si>
  <si>
    <t>03:36:30</t>
  </si>
  <si>
    <t>03:18:54</t>
  </si>
  <si>
    <t>04:09:18</t>
  </si>
  <si>
    <t>04:13:40</t>
  </si>
  <si>
    <t>04:33:20</t>
  </si>
  <si>
    <t>04:45:35</t>
  </si>
  <si>
    <t>05:30:03</t>
  </si>
  <si>
    <t>05:30:16</t>
  </si>
  <si>
    <t>05:30:40</t>
  </si>
  <si>
    <t>05:32:24</t>
  </si>
  <si>
    <t>05:32:37</t>
  </si>
  <si>
    <t>05:41:55</t>
  </si>
  <si>
    <t>06:05:12</t>
  </si>
  <si>
    <t>05:28:05</t>
  </si>
  <si>
    <t>05:28:22</t>
  </si>
  <si>
    <t>06:16:00</t>
  </si>
  <si>
    <t>06:16:43</t>
  </si>
  <si>
    <t>09:12:22</t>
  </si>
  <si>
    <t>06:18:00</t>
  </si>
  <si>
    <t>06:18:35</t>
  </si>
  <si>
    <t>06:19:06</t>
  </si>
  <si>
    <t>06:24:29</t>
  </si>
  <si>
    <t>06:27:54</t>
  </si>
  <si>
    <t>06:38:16</t>
  </si>
  <si>
    <t>18:20:37</t>
  </si>
  <si>
    <t>19:41:59</t>
  </si>
  <si>
    <t>06:44:40</t>
  </si>
  <si>
    <t>06:49:25</t>
  </si>
  <si>
    <t>12:17:23</t>
  </si>
  <si>
    <t>02:59:13</t>
  </si>
  <si>
    <t>06:49:33</t>
  </si>
  <si>
    <t>06:49:39</t>
  </si>
  <si>
    <t>06:54:50</t>
  </si>
  <si>
    <t>05:40:04</t>
  </si>
  <si>
    <t>06:56:18</t>
  </si>
  <si>
    <t>06:57:09</t>
  </si>
  <si>
    <t>07:24:58</t>
  </si>
  <si>
    <t>07:26:15</t>
  </si>
  <si>
    <t>07:44:16</t>
  </si>
  <si>
    <t>08:03:10</t>
  </si>
  <si>
    <t>08:05:51</t>
  </si>
  <si>
    <t>08:28:28</t>
  </si>
  <si>
    <t>09:05:00</t>
  </si>
  <si>
    <t>09:05:38</t>
  </si>
  <si>
    <t>09:31:27</t>
  </si>
  <si>
    <t>18:42:18</t>
  </si>
  <si>
    <t>09:34:56</t>
  </si>
  <si>
    <t>11:13:58</t>
  </si>
  <si>
    <t>14:43:28</t>
  </si>
  <si>
    <t>15:32:10</t>
  </si>
  <si>
    <t>15:54:45</t>
  </si>
  <si>
    <t>16:53:24</t>
  </si>
  <si>
    <t>16:58:12</t>
  </si>
  <si>
    <t>00:03:00</t>
  </si>
  <si>
    <t>01:58:54</t>
  </si>
  <si>
    <t>02:09:48</t>
  </si>
  <si>
    <t>04:19:15</t>
  </si>
  <si>
    <t>06:13:41</t>
  </si>
  <si>
    <t>06:18:53</t>
  </si>
  <si>
    <t>06:55:52</t>
  </si>
  <si>
    <t>10:07:31</t>
  </si>
  <si>
    <t>07:24:59</t>
  </si>
  <si>
    <t>10:26:44</t>
  </si>
  <si>
    <t>15:13:35</t>
  </si>
  <si>
    <t>11:12:54</t>
  </si>
  <si>
    <t>11:17:24</t>
  </si>
  <si>
    <t>11:20:34</t>
  </si>
  <si>
    <t>17:58:07</t>
  </si>
  <si>
    <t>18:02:08</t>
  </si>
  <si>
    <t>18:02:24</t>
  </si>
  <si>
    <t>18:02:39</t>
  </si>
  <si>
    <t>18:02:55</t>
  </si>
  <si>
    <t>11:31:03</t>
  </si>
  <si>
    <t>13:22:22</t>
  </si>
  <si>
    <t>15:22:33</t>
  </si>
  <si>
    <t>15:29:24</t>
  </si>
  <si>
    <t>15:44:46</t>
  </si>
  <si>
    <t>16:22:20</t>
  </si>
  <si>
    <t>16:25:56</t>
  </si>
  <si>
    <t>23:35:29</t>
  </si>
  <si>
    <t>14:01:18</t>
  </si>
  <si>
    <t>14:01:12</t>
  </si>
  <si>
    <t>00:08:32</t>
  </si>
  <si>
    <t>00:08:39</t>
  </si>
  <si>
    <t>00:10:00</t>
  </si>
  <si>
    <t>11:59:37</t>
  </si>
  <si>
    <t>01:37:03</t>
  </si>
  <si>
    <t>01:38:37</t>
  </si>
  <si>
    <t>01:42:58</t>
  </si>
  <si>
    <t>01:43:37</t>
  </si>
  <si>
    <t>01:43:53</t>
  </si>
  <si>
    <t>01:45:02</t>
  </si>
  <si>
    <t>01:45:23</t>
  </si>
  <si>
    <t>01:46:45</t>
  </si>
  <si>
    <t>01:47:04</t>
  </si>
  <si>
    <t>02:40:28</t>
  </si>
  <si>
    <t>03:00:17</t>
  </si>
  <si>
    <t>03:04:22</t>
  </si>
  <si>
    <t>04:45:33</t>
  </si>
  <si>
    <t>03:16:40</t>
  </si>
  <si>
    <t>03:33:52</t>
  </si>
  <si>
    <t>14:55:12</t>
  </si>
  <si>
    <t>03:34:42</t>
  </si>
  <si>
    <t>04:09:03</t>
  </si>
  <si>
    <t>05:17:11</t>
  </si>
  <si>
    <t>10:43:50</t>
  </si>
  <si>
    <t>05:03:08</t>
  </si>
  <si>
    <t>10:27:09</t>
  </si>
  <si>
    <t>05:10:08</t>
  </si>
  <si>
    <t>05:36:49</t>
  </si>
  <si>
    <t>05:42:07</t>
  </si>
  <si>
    <t>05:52:23</t>
  </si>
  <si>
    <t>06:36:26</t>
  </si>
  <si>
    <t>06:57:43</t>
  </si>
  <si>
    <t>21:44:50</t>
  </si>
  <si>
    <t>07:00:55</t>
  </si>
  <si>
    <t>03:15:07</t>
  </si>
  <si>
    <t>07:24:06</t>
  </si>
  <si>
    <t>07:54:07</t>
  </si>
  <si>
    <t>07:54:53</t>
  </si>
  <si>
    <t>07:55:20</t>
  </si>
  <si>
    <t>07:55:54</t>
  </si>
  <si>
    <t>07:57:25</t>
  </si>
  <si>
    <t>08:20:43</t>
  </si>
  <si>
    <t>08:04:20</t>
  </si>
  <si>
    <t>07:42:00</t>
  </si>
  <si>
    <t>08:06:04</t>
  </si>
  <si>
    <t>08:18:08</t>
  </si>
  <si>
    <t>08:22:38</t>
  </si>
  <si>
    <t>04:15:01</t>
  </si>
  <si>
    <t>04:30:02</t>
  </si>
  <si>
    <t>09:06:01</t>
  </si>
  <si>
    <t>09:07:31</t>
  </si>
  <si>
    <t>03:47:13</t>
  </si>
  <si>
    <t>09:25:45</t>
  </si>
  <si>
    <t>09:38:45</t>
  </si>
  <si>
    <t>10:12:07</t>
  </si>
  <si>
    <t>10:35:34</t>
  </si>
  <si>
    <t>10:49:12</t>
  </si>
  <si>
    <t>11:15:12</t>
  </si>
  <si>
    <t>11:29:14</t>
  </si>
  <si>
    <t>04:06:15</t>
  </si>
  <si>
    <t>12:02:17</t>
  </si>
  <si>
    <t>12:04:34</t>
  </si>
  <si>
    <t>12:09:46</t>
  </si>
  <si>
    <t>12:28:02</t>
  </si>
  <si>
    <t>13:02:29</t>
  </si>
  <si>
    <t>13:04:54</t>
  </si>
  <si>
    <t>13:05:54</t>
  </si>
  <si>
    <t>13:27:02</t>
  </si>
  <si>
    <t>13:27:04</t>
  </si>
  <si>
    <t>13:27:25</t>
  </si>
  <si>
    <t>13:28:22</t>
  </si>
  <si>
    <t>13:30:12</t>
  </si>
  <si>
    <t>13:33:45</t>
  </si>
  <si>
    <t>13:36:06</t>
  </si>
  <si>
    <t>13:45:37</t>
  </si>
  <si>
    <t>13:45:46</t>
  </si>
  <si>
    <t>13:46:59</t>
  </si>
  <si>
    <t>14:00:56</t>
  </si>
  <si>
    <t>14:03:23</t>
  </si>
  <si>
    <t>14:04:23</t>
  </si>
  <si>
    <t>08:06:46</t>
  </si>
  <si>
    <t>08:04:00</t>
  </si>
  <si>
    <t>14:16:25</t>
  </si>
  <si>
    <t>14:24:47</t>
  </si>
  <si>
    <t>14:30:59</t>
  </si>
  <si>
    <t>14:44:37</t>
  </si>
  <si>
    <t>15:08:35</t>
  </si>
  <si>
    <t>15:16:44</t>
  </si>
  <si>
    <t>15:36:19</t>
  </si>
  <si>
    <t>15:48:28</t>
  </si>
  <si>
    <t>13:00:47</t>
  </si>
  <si>
    <t>16:26:41</t>
  </si>
  <si>
    <t>15:08:02</t>
  </si>
  <si>
    <t>16:56:03</t>
  </si>
  <si>
    <t>17:08:27</t>
  </si>
  <si>
    <t>17:10:11</t>
  </si>
  <si>
    <t>17:23:16</t>
  </si>
  <si>
    <t>04:31:04</t>
  </si>
  <si>
    <t>04:28:58</t>
  </si>
  <si>
    <t>19:11:15</t>
  </si>
  <si>
    <t>09:52:07</t>
  </si>
  <si>
    <t>22:50:39</t>
  </si>
  <si>
    <t>13:28:43</t>
  </si>
  <si>
    <t>00:15:17</t>
  </si>
  <si>
    <t>13:32:42</t>
  </si>
  <si>
    <t>00:48:11</t>
  </si>
  <si>
    <t>14:38:46</t>
  </si>
  <si>
    <t>02:24:15</t>
  </si>
  <si>
    <t>10:20:00</t>
  </si>
  <si>
    <t>02:25:26</t>
  </si>
  <si>
    <t>10:22:17</t>
  </si>
  <si>
    <t>02:44:33</t>
  </si>
  <si>
    <t>02:46:05</t>
  </si>
  <si>
    <t>02:13:17</t>
  </si>
  <si>
    <t>10:19:21</t>
  </si>
  <si>
    <t>01:27:20</t>
  </si>
  <si>
    <t>02:12:06</t>
  </si>
  <si>
    <t>01:33:02</t>
  </si>
  <si>
    <t>11:10:32</t>
  </si>
  <si>
    <t>02:15:53</t>
  </si>
  <si>
    <t>02:34:34</t>
  </si>
  <si>
    <t>02:51:42</t>
  </si>
  <si>
    <t>02:59:14</t>
  </si>
  <si>
    <t>02:59:50</t>
  </si>
  <si>
    <t>02:59:32</t>
  </si>
  <si>
    <t>02:59:45</t>
  </si>
  <si>
    <t>03:00:06</t>
  </si>
  <si>
    <t>02:59:07</t>
  </si>
  <si>
    <t>03:00:16</t>
  </si>
  <si>
    <t>02:59:22</t>
  </si>
  <si>
    <t>03:00:05</t>
  </si>
  <si>
    <t>03:20:52</t>
  </si>
  <si>
    <t>11:32:57</t>
  </si>
  <si>
    <t>07:51:41</t>
  </si>
  <si>
    <t>07:46:36</t>
  </si>
  <si>
    <t>14:14:12</t>
  </si>
  <si>
    <t>12:13:06</t>
  </si>
  <si>
    <t>02:44:40</t>
  </si>
  <si>
    <t>12:46:14</t>
  </si>
  <si>
    <t>03:54:42</t>
  </si>
  <si>
    <t>04:13:52</t>
  </si>
  <si>
    <t>04:19:08</t>
  </si>
  <si>
    <t>13:41:40</t>
  </si>
  <si>
    <t>04:24:48</t>
  </si>
  <si>
    <t>04:33:14</t>
  </si>
  <si>
    <t>20:45:30</t>
  </si>
  <si>
    <t>23:15:34</t>
  </si>
  <si>
    <t>14:15:35</t>
  </si>
  <si>
    <t>13:15:32</t>
  </si>
  <si>
    <t>05:17:01</t>
  </si>
  <si>
    <t>05:24:47</t>
  </si>
  <si>
    <t>1439926742139826183</t>
  </si>
  <si>
    <t>1439929148911153153</t>
  </si>
  <si>
    <t>1439930323068805123</t>
  </si>
  <si>
    <t>1439932963710398489</t>
  </si>
  <si>
    <t>1439936401294995470</t>
  </si>
  <si>
    <t>1439936880775090179</t>
  </si>
  <si>
    <t>1439940546005327879</t>
  </si>
  <si>
    <t>1439941981879169030</t>
  </si>
  <si>
    <t>1439949200347779086</t>
  </si>
  <si>
    <t>1439950942405685251</t>
  </si>
  <si>
    <t>1439956796580446220</t>
  </si>
  <si>
    <t>1439960288376201226</t>
  </si>
  <si>
    <t>1439961033905348612</t>
  </si>
  <si>
    <t>1439961434125783044</t>
  </si>
  <si>
    <t>1439961564107481099</t>
  </si>
  <si>
    <t>1439966583435108352</t>
  </si>
  <si>
    <t>1439967863050096648</t>
  </si>
  <si>
    <t>1439967872265064451</t>
  </si>
  <si>
    <t>1439968390882287619</t>
  </si>
  <si>
    <t>1439972056733392901</t>
  </si>
  <si>
    <t>1439973567370698753</t>
  </si>
  <si>
    <t>1439973678049988613</t>
  </si>
  <si>
    <t>1439982180164378631</t>
  </si>
  <si>
    <t>1439984042561134598</t>
  </si>
  <si>
    <t>1439986354545324038</t>
  </si>
  <si>
    <t>1439989530816233477</t>
  </si>
  <si>
    <t>1439990862260277250</t>
  </si>
  <si>
    <t>1439993966724726785</t>
  </si>
  <si>
    <t>1439997485175369729</t>
  </si>
  <si>
    <t>1440007414221185024</t>
  </si>
  <si>
    <t>1440012330507505666</t>
  </si>
  <si>
    <t>1440029940640931847</t>
  </si>
  <si>
    <t>1440073698858258432</t>
  </si>
  <si>
    <t>1440078340963004416</t>
  </si>
  <si>
    <t>1440091015952494600</t>
  </si>
  <si>
    <t>1440103635321450499</t>
  </si>
  <si>
    <t>1440110226141704195</t>
  </si>
  <si>
    <t>1440121398827966470</t>
  </si>
  <si>
    <t>1440136845619187714</t>
  </si>
  <si>
    <t>1440137330807902221</t>
  </si>
  <si>
    <t>1440146883591114754</t>
  </si>
  <si>
    <t>1440152213481930764</t>
  </si>
  <si>
    <t>1440160866796589064</t>
  </si>
  <si>
    <t>1439603712679235588</t>
  </si>
  <si>
    <t>1440168682747953155</t>
  </si>
  <si>
    <t>1440171764231802891</t>
  </si>
  <si>
    <t>1440208089479671814</t>
  </si>
  <si>
    <t>1440208760689942537</t>
  </si>
  <si>
    <t>1440214104644349954</t>
  </si>
  <si>
    <t>1440229258421358597</t>
  </si>
  <si>
    <t>1440234919389646849</t>
  </si>
  <si>
    <t>1440240738822856709</t>
  </si>
  <si>
    <t>1440248279460048897</t>
  </si>
  <si>
    <t>1438326397290758144</t>
  </si>
  <si>
    <t>1440261793650118656</t>
  </si>
  <si>
    <t>1440267756474040329</t>
  </si>
  <si>
    <t>1431886631997374465</t>
  </si>
  <si>
    <t>1440274142893281295</t>
  </si>
  <si>
    <t>1440271081479172099</t>
  </si>
  <si>
    <t>1440277969964912645</t>
  </si>
  <si>
    <t>1440298360007651348</t>
  </si>
  <si>
    <t>1440310721401610242</t>
  </si>
  <si>
    <t>1440326182826696710</t>
  </si>
  <si>
    <t>1440339534487515145</t>
  </si>
  <si>
    <t>1440195677804380160</t>
  </si>
  <si>
    <t>1440350676127682576</t>
  </si>
  <si>
    <t>1440350944491835392</t>
  </si>
  <si>
    <t>1440445782771978245</t>
  </si>
  <si>
    <t>1440456530529185796</t>
  </si>
  <si>
    <t>1440468732715753478</t>
  </si>
  <si>
    <t>1440490918461591558</t>
  </si>
  <si>
    <t>1440490920068071428</t>
  </si>
  <si>
    <t>1440491153174847492</t>
  </si>
  <si>
    <t>1440494083084939264</t>
  </si>
  <si>
    <t>1440510372331487233</t>
  </si>
  <si>
    <t>1440557036995964930</t>
  </si>
  <si>
    <t>1440570185971236872</t>
  </si>
  <si>
    <t>1440588654653566982</t>
  </si>
  <si>
    <t>1440588847461453825</t>
  </si>
  <si>
    <t>1440588981033312263</t>
  </si>
  <si>
    <t>1440589213615882242</t>
  </si>
  <si>
    <t>1439960073187442691</t>
  </si>
  <si>
    <t>1440016826436513792</t>
  </si>
  <si>
    <t>1440589228581142528</t>
  </si>
  <si>
    <t>1440589263649718273</t>
  </si>
  <si>
    <t>1440589554608525318</t>
  </si>
  <si>
    <t>1440589567787077641</t>
  </si>
  <si>
    <t>1440589764386639879</t>
  </si>
  <si>
    <t>1440590003835334664</t>
  </si>
  <si>
    <t>1440590366793617412</t>
  </si>
  <si>
    <t>1440590402709426185</t>
  </si>
  <si>
    <t>1440592988627898371</t>
  </si>
  <si>
    <t>1440593405331980299</t>
  </si>
  <si>
    <t>1440593522961174529</t>
  </si>
  <si>
    <t>1440593941879877635</t>
  </si>
  <si>
    <t>1440594208457302027</t>
  </si>
  <si>
    <t>1440596277914308612</t>
  </si>
  <si>
    <t>1440597642833129477</t>
  </si>
  <si>
    <t>1440598196355416077</t>
  </si>
  <si>
    <t>1440600921797390338</t>
  </si>
  <si>
    <t>1440602161444917255</t>
  </si>
  <si>
    <t>1439930962972852228</t>
  </si>
  <si>
    <t>1440604369066463241</t>
  </si>
  <si>
    <t>1440605172489539588</t>
  </si>
  <si>
    <t>1440605195373666308</t>
  </si>
  <si>
    <t>1440607088678367238</t>
  </si>
  <si>
    <t>1440609600378576906</t>
  </si>
  <si>
    <t>1440612433224081408</t>
  </si>
  <si>
    <t>1440621901609533446</t>
  </si>
  <si>
    <t>1440623892628869127</t>
  </si>
  <si>
    <t>1440632610334511105</t>
  </si>
  <si>
    <t>1440633480417669127</t>
  </si>
  <si>
    <t>1440639703246458888</t>
  </si>
  <si>
    <t>1440643047134416904</t>
  </si>
  <si>
    <t>1440649736592113673</t>
  </si>
  <si>
    <t>1440653112016982019</t>
  </si>
  <si>
    <t>1440690734978383878</t>
  </si>
  <si>
    <t>1440698098880106498</t>
  </si>
  <si>
    <t>1440307720297463811</t>
  </si>
  <si>
    <t>1440817573231136768</t>
  </si>
  <si>
    <t>1440834947380432896</t>
  </si>
  <si>
    <t>1440843256678338572</t>
  </si>
  <si>
    <t>1440845446709088265</t>
  </si>
  <si>
    <t>1440874753259020290</t>
  </si>
  <si>
    <t>1440875093706502152</t>
  </si>
  <si>
    <t>1440879077167022084</t>
  </si>
  <si>
    <t>1440881651123318787</t>
  </si>
  <si>
    <t>1440896595239661570</t>
  </si>
  <si>
    <t>1440913557877497856</t>
  </si>
  <si>
    <t>1440915105290416135</t>
  </si>
  <si>
    <t>1440596459716374531</t>
  </si>
  <si>
    <t>1440916922917294084</t>
  </si>
  <si>
    <t>1440926163094827013</t>
  </si>
  <si>
    <t>1440892577113264136</t>
  </si>
  <si>
    <t>1440932508191780868</t>
  </si>
  <si>
    <t>1440937989081743363</t>
  </si>
  <si>
    <t>1440965544719491078</t>
  </si>
  <si>
    <t>1440966110061346820</t>
  </si>
  <si>
    <t>1440968274380877824</t>
  </si>
  <si>
    <t>1440970240381255680</t>
  </si>
  <si>
    <t>1440970606682333185</t>
  </si>
  <si>
    <t>1436456033686212608</t>
  </si>
  <si>
    <t>1440977535676805120</t>
  </si>
  <si>
    <t>1440981371019661317</t>
  </si>
  <si>
    <t>1440981439135186944</t>
  </si>
  <si>
    <t>1440982129911877632</t>
  </si>
  <si>
    <t>1440982139709755395</t>
  </si>
  <si>
    <t>1440983037420863493</t>
  </si>
  <si>
    <t>1440983048657408009</t>
  </si>
  <si>
    <t>1440984222815031300</t>
  </si>
  <si>
    <t>1440984263302660102</t>
  </si>
  <si>
    <t>1440984212874530825</t>
  </si>
  <si>
    <t>1440984264778993678</t>
  </si>
  <si>
    <t>1440985142114222081</t>
  </si>
  <si>
    <t>1440985156655849475</t>
  </si>
  <si>
    <t>1440985522621403136</t>
  </si>
  <si>
    <t>1440986297250631683</t>
  </si>
  <si>
    <t>1440986588431798277</t>
  </si>
  <si>
    <t>1440990643153616897</t>
  </si>
  <si>
    <t>1440990660341821441</t>
  </si>
  <si>
    <t>1440987313098551308</t>
  </si>
  <si>
    <t>1440993317446057985</t>
  </si>
  <si>
    <t>1440996547072696324</t>
  </si>
  <si>
    <t>1440996619101499395</t>
  </si>
  <si>
    <t>1440998329698029582</t>
  </si>
  <si>
    <t>1441003386933899266</t>
  </si>
  <si>
    <t>1441003649736445964</t>
  </si>
  <si>
    <t>1440980627927408644</t>
  </si>
  <si>
    <t>1440980645354766341</t>
  </si>
  <si>
    <t>1440981488330153988</t>
  </si>
  <si>
    <t>1440981509746270209</t>
  </si>
  <si>
    <t>1441006543562940421</t>
  </si>
  <si>
    <t>1441006691672150021</t>
  </si>
  <si>
    <t>1441007532047101962</t>
  </si>
  <si>
    <t>1441024408940736522</t>
  </si>
  <si>
    <t>1440179075595735040</t>
  </si>
  <si>
    <t>1440556667309936648</t>
  </si>
  <si>
    <t>1441059376660246528</t>
  </si>
  <si>
    <t>1441066483547660290</t>
  </si>
  <si>
    <t>1441067626256474115</t>
  </si>
  <si>
    <t>1441079682418429956</t>
  </si>
  <si>
    <t>1441205279320723456</t>
  </si>
  <si>
    <t>1441220032344645636</t>
  </si>
  <si>
    <t>1441221732195471365</t>
  </si>
  <si>
    <t>1441240975926509569</t>
  </si>
  <si>
    <t>1441248966910234634</t>
  </si>
  <si>
    <t>1441255490940325894</t>
  </si>
  <si>
    <t>1441255738580504585</t>
  </si>
  <si>
    <t>1441256124645183498</t>
  </si>
  <si>
    <t>1441258922384388106</t>
  </si>
  <si>
    <t>1441265296820486144</t>
  </si>
  <si>
    <t>1441280045943689218</t>
  </si>
  <si>
    <t>1441293203794128901</t>
  </si>
  <si>
    <t>1441294911718887426</t>
  </si>
  <si>
    <t>1441295944717246468</t>
  </si>
  <si>
    <t>1441297980204613638</t>
  </si>
  <si>
    <t>1441298442249072646</t>
  </si>
  <si>
    <t>1440968837017440265</t>
  </si>
  <si>
    <t>1441300177906663426</t>
  </si>
  <si>
    <t>1441020686688866305</t>
  </si>
  <si>
    <t>1441300299314970624</t>
  </si>
  <si>
    <t>1440213730441105416</t>
  </si>
  <si>
    <t>1441300903256985613</t>
  </si>
  <si>
    <t>1441301373006462976</t>
  </si>
  <si>
    <t>1441196642254811136</t>
  </si>
  <si>
    <t>1441301697138024448</t>
  </si>
  <si>
    <t>1441305355414171658</t>
  </si>
  <si>
    <t>1440910307501608965</t>
  </si>
  <si>
    <t>1441337607372214272</t>
  </si>
  <si>
    <t>1441341752380588037</t>
  </si>
  <si>
    <t>1441343909376892929</t>
  </si>
  <si>
    <t>1441361713018724352</t>
  </si>
  <si>
    <t>1441367628434403330</t>
  </si>
  <si>
    <t>1441373932209074179</t>
  </si>
  <si>
    <t>1441378198634188813</t>
  </si>
  <si>
    <t>1441378362899918857</t>
  </si>
  <si>
    <t>1441390498879471621</t>
  </si>
  <si>
    <t>1441397622158204946</t>
  </si>
  <si>
    <t>1441397691037016067</t>
  </si>
  <si>
    <t>1441407938480902152</t>
  </si>
  <si>
    <t>1441414457331093517</t>
  </si>
  <si>
    <t>1441413661726162945</t>
  </si>
  <si>
    <t>1441414622536298512</t>
  </si>
  <si>
    <t>1441424251475546116</t>
  </si>
  <si>
    <t>1440964970536058881</t>
  </si>
  <si>
    <t>1441298531675901958</t>
  </si>
  <si>
    <t>1441301044726665223</t>
  </si>
  <si>
    <t>1441411168690573318</t>
  </si>
  <si>
    <t>1441424954927370245</t>
  </si>
  <si>
    <t>1436962662772985857</t>
  </si>
  <si>
    <t>1441434471425708034</t>
  </si>
  <si>
    <t>1441445887276818435</t>
  </si>
  <si>
    <t>1439304408454496257</t>
  </si>
  <si>
    <t>1441449832711741444</t>
  </si>
  <si>
    <t>1441463719179919365</t>
  </si>
  <si>
    <t>1441463731431436295</t>
  </si>
  <si>
    <t>1441463748288385024</t>
  </si>
  <si>
    <t>1441463756463038468</t>
  </si>
  <si>
    <t>1441463768282664962</t>
  </si>
  <si>
    <t>1440877770247053315</t>
  </si>
  <si>
    <t>1440913800148905984</t>
  </si>
  <si>
    <t>1441464318348853248</t>
  </si>
  <si>
    <t>1441463004491497479</t>
  </si>
  <si>
    <t>1441464088970739722</t>
  </si>
  <si>
    <t>1441464259385303047</t>
  </si>
  <si>
    <t>1441464304348196864</t>
  </si>
  <si>
    <t>1441464560175640584</t>
  </si>
  <si>
    <t>1441465782584549381</t>
  </si>
  <si>
    <t>1441466502784249860</t>
  </si>
  <si>
    <t>1441468152496357378</t>
  </si>
  <si>
    <t>1441472227623378955</t>
  </si>
  <si>
    <t>1441473545796669445</t>
  </si>
  <si>
    <t>1441486279678431235</t>
  </si>
  <si>
    <t>1441492364632068097</t>
  </si>
  <si>
    <t>1441492394722017280</t>
  </si>
  <si>
    <t>1441492456923484165</t>
  </si>
  <si>
    <t>1441544413067415555</t>
  </si>
  <si>
    <t>1441569737071153154</t>
  </si>
  <si>
    <t>1441570200671817728</t>
  </si>
  <si>
    <t>1441594928392327170</t>
  </si>
  <si>
    <t>1441599141499396097</t>
  </si>
  <si>
    <t>1441606275373035520</t>
  </si>
  <si>
    <t>1441607124904079362</t>
  </si>
  <si>
    <t>1441607516903727105</t>
  </si>
  <si>
    <t>1441615769859608578</t>
  </si>
  <si>
    <t>1441616872147881989</t>
  </si>
  <si>
    <t>1441621820512243714</t>
  </si>
  <si>
    <t>1441624902079971336</t>
  </si>
  <si>
    <t>1441636094844407808</t>
  </si>
  <si>
    <t>1441636148846100483</t>
  </si>
  <si>
    <t>1441636249047998471</t>
  </si>
  <si>
    <t>1441636685356273666</t>
  </si>
  <si>
    <t>1441636738737184769</t>
  </si>
  <si>
    <t>1441639077195902978</t>
  </si>
  <si>
    <t>1441644939318751236</t>
  </si>
  <si>
    <t>1441635596514910210</t>
  </si>
  <si>
    <t>1441635670108246017</t>
  </si>
  <si>
    <t>1441647656439144448</t>
  </si>
  <si>
    <t>1441647836039315460</t>
  </si>
  <si>
    <t>1440604876136869893</t>
  </si>
  <si>
    <t>1441648159638228997</t>
  </si>
  <si>
    <t>1441648306526949377</t>
  </si>
  <si>
    <t>1441648434839101440</t>
  </si>
  <si>
    <t>1441649790689820672</t>
  </si>
  <si>
    <t>1441650651784613904</t>
  </si>
  <si>
    <t>1441653258955595780</t>
  </si>
  <si>
    <t>1441467624718618627</t>
  </si>
  <si>
    <t>1441488102518784003</t>
  </si>
  <si>
    <t>1441654871183147012</t>
  </si>
  <si>
    <t>1441656068090646535</t>
  </si>
  <si>
    <t>1441376213688205315</t>
  </si>
  <si>
    <t>1441598132769341445</t>
  </si>
  <si>
    <t>1441656098386182156</t>
  </si>
  <si>
    <t>1441656123333828612</t>
  </si>
  <si>
    <t>1441657429305950211</t>
  </si>
  <si>
    <t>1441638614023114752</t>
  </si>
  <si>
    <t>1441657797288992771</t>
  </si>
  <si>
    <t>1441658013945786368</t>
  </si>
  <si>
    <t>1441662551167627267</t>
  </si>
  <si>
    <t>1441665012087410693</t>
  </si>
  <si>
    <t>1441665334478446594</t>
  </si>
  <si>
    <t>1441669871259906048</t>
  </si>
  <si>
    <t>1441674626317238282</t>
  </si>
  <si>
    <t>1441675302405476353</t>
  </si>
  <si>
    <t>1441680994797428742</t>
  </si>
  <si>
    <t>1441690186623041539</t>
  </si>
  <si>
    <t>1441690346426023939</t>
  </si>
  <si>
    <t>1441696843558096897</t>
  </si>
  <si>
    <t>1441473079809478657</t>
  </si>
  <si>
    <t>1441697721211973640</t>
  </si>
  <si>
    <t>1441722640486391813</t>
  </si>
  <si>
    <t>1441775365853089795</t>
  </si>
  <si>
    <t>1441787621051490309</t>
  </si>
  <si>
    <t>1441793304425689095</t>
  </si>
  <si>
    <t>1441808065578164229</t>
  </si>
  <si>
    <t>1441809271830638604</t>
  </si>
  <si>
    <t>1441916175789682698</t>
  </si>
  <si>
    <t>1441945343311036420</t>
  </si>
  <si>
    <t>1441948087019212808</t>
  </si>
  <si>
    <t>1441980662219632641</t>
  </si>
  <si>
    <t>1442009462055702528</t>
  </si>
  <si>
    <t>1442010770397560834</t>
  </si>
  <si>
    <t>1442020076731781130</t>
  </si>
  <si>
    <t>1442068306798649347</t>
  </si>
  <si>
    <t>1440940240621891587</t>
  </si>
  <si>
    <t>1442073142558543878</t>
  </si>
  <si>
    <t>1440333391619002368</t>
  </si>
  <si>
    <t>1442084762512867332</t>
  </si>
  <si>
    <t>1442085894513590274</t>
  </si>
  <si>
    <t>1442086691896918030</t>
  </si>
  <si>
    <t>1441461960147488768</t>
  </si>
  <si>
    <t>1441462974925852681</t>
  </si>
  <si>
    <t>1441463042038910980</t>
  </si>
  <si>
    <t>1441463104949215232</t>
  </si>
  <si>
    <t>1441463169487028228</t>
  </si>
  <si>
    <t>1442089330923622409</t>
  </si>
  <si>
    <t>1442117343392399363</t>
  </si>
  <si>
    <t>1442147586996011009</t>
  </si>
  <si>
    <t>1442149312360685568</t>
  </si>
  <si>
    <t>1442153177827069976</t>
  </si>
  <si>
    <t>1442162631968624646</t>
  </si>
  <si>
    <t>1442163541050462215</t>
  </si>
  <si>
    <t>1442271637156417540</t>
  </si>
  <si>
    <t>1440315201350344704</t>
  </si>
  <si>
    <t>1440315175375032332</t>
  </si>
  <si>
    <t>1440843788021161992</t>
  </si>
  <si>
    <t>1441917570374799362</t>
  </si>
  <si>
    <t>1441917599248379908</t>
  </si>
  <si>
    <t>1441917938039099393</t>
  </si>
  <si>
    <t>1442096516647194629</t>
  </si>
  <si>
    <t>1442302230770552834</t>
  </si>
  <si>
    <t>1442302624749932554</t>
  </si>
  <si>
    <t>1442303722105688066</t>
  </si>
  <si>
    <t>1442303884714655745</t>
  </si>
  <si>
    <t>1442303950221312001</t>
  </si>
  <si>
    <t>1442304240706154497</t>
  </si>
  <si>
    <t>1442304331286417411</t>
  </si>
  <si>
    <t>1442304671318614018</t>
  </si>
  <si>
    <t>1442304672123867136</t>
  </si>
  <si>
    <t>1442304751937282049</t>
  </si>
  <si>
    <t>1442318191183548418</t>
  </si>
  <si>
    <t>1442323179699986439</t>
  </si>
  <si>
    <t>1442324204112711680</t>
  </si>
  <si>
    <t>1440537729675059206</t>
  </si>
  <si>
    <t>1442327301304172544</t>
  </si>
  <si>
    <t>1442331632103428103</t>
  </si>
  <si>
    <t>1441778317128974339</t>
  </si>
  <si>
    <t>1442331840467988482</t>
  </si>
  <si>
    <t>1442340484190375937</t>
  </si>
  <si>
    <t>1440545691273601026</t>
  </si>
  <si>
    <t>1440627896163340292</t>
  </si>
  <si>
    <t>1440904543110197248</t>
  </si>
  <si>
    <t>1441710860196474886</t>
  </si>
  <si>
    <t>1442355856239038469</t>
  </si>
  <si>
    <t>1442362570900262915</t>
  </si>
  <si>
    <t>1442363904860950528</t>
  </si>
  <si>
    <t>1442366488099184649</t>
  </si>
  <si>
    <t>1442377574420676610</t>
  </si>
  <si>
    <t>1442382931649912832</t>
  </si>
  <si>
    <t>1440794241182015492</t>
  </si>
  <si>
    <t>1442383734351740930</t>
  </si>
  <si>
    <t>1442326911783358471</t>
  </si>
  <si>
    <t>1442389568758505479</t>
  </si>
  <si>
    <t>1442397124491034624</t>
  </si>
  <si>
    <t>1442397318431461387</t>
  </si>
  <si>
    <t>1442397428791975936</t>
  </si>
  <si>
    <t>1442397574913138691</t>
  </si>
  <si>
    <t>1442397953667203079</t>
  </si>
  <si>
    <t>1440591879477751815</t>
  </si>
  <si>
    <t>1442399696492785669</t>
  </si>
  <si>
    <t>1442394075714375684</t>
  </si>
  <si>
    <t>1442400132834594818</t>
  </si>
  <si>
    <t>1442403167837241345</t>
  </si>
  <si>
    <t>1442404299640688645</t>
  </si>
  <si>
    <t>1440530047199158273</t>
  </si>
  <si>
    <t>1441620989071216644</t>
  </si>
  <si>
    <t>1442415216537468934</t>
  </si>
  <si>
    <t>1442415597837447170</t>
  </si>
  <si>
    <t>1441610213459591172</t>
  </si>
  <si>
    <t>1442420183474192391</t>
  </si>
  <si>
    <t>1442423454616064011</t>
  </si>
  <si>
    <t>1442437753375899650</t>
  </si>
  <si>
    <t>1442447728160559105</t>
  </si>
  <si>
    <t>1442451259873652740</t>
  </si>
  <si>
    <t>1435816799421927424</t>
  </si>
  <si>
    <t>1442459576800997378</t>
  </si>
  <si>
    <t>1442460150082641920</t>
  </si>
  <si>
    <t>1442461458965536774</t>
  </si>
  <si>
    <t>1442466055654305802</t>
  </si>
  <si>
    <t>1442474725108711436</t>
  </si>
  <si>
    <t>1442475335295979521</t>
  </si>
  <si>
    <t>1442475585071042562</t>
  </si>
  <si>
    <t>1442480906925600768</t>
  </si>
  <si>
    <t>1442480912474652680</t>
  </si>
  <si>
    <t>1442481001578438658</t>
  </si>
  <si>
    <t>1442481240985137161</t>
  </si>
  <si>
    <t>1442481700517212160</t>
  </si>
  <si>
    <t>1442482595091005450</t>
  </si>
  <si>
    <t>1442483187028881408</t>
  </si>
  <si>
    <t>1442485582572048391</t>
  </si>
  <si>
    <t>1442485620354404357</t>
  </si>
  <si>
    <t>1442485924479127562</t>
  </si>
  <si>
    <t>1442489437133307905</t>
  </si>
  <si>
    <t>1442490054589304838</t>
  </si>
  <si>
    <t>1442490305803022343</t>
  </si>
  <si>
    <t>1440588367410827270</t>
  </si>
  <si>
    <t>1442399610689888264</t>
  </si>
  <si>
    <t>1442493333796839426</t>
  </si>
  <si>
    <t>1442495437835890694</t>
  </si>
  <si>
    <t>1442496998733611014</t>
  </si>
  <si>
    <t>1442500429036732417</t>
  </si>
  <si>
    <t>1442506462891106306</t>
  </si>
  <si>
    <t>1442508514031636500</t>
  </si>
  <si>
    <t>1442513439860035584</t>
  </si>
  <si>
    <t>1442516499135012875</t>
  </si>
  <si>
    <t>1442474301081276423</t>
  </si>
  <si>
    <t>1442526114715353097</t>
  </si>
  <si>
    <t>1442506321366958083</t>
  </si>
  <si>
    <t>1442533505443852290</t>
  </si>
  <si>
    <t>1442536625041403905</t>
  </si>
  <si>
    <t>1442537061924278273</t>
  </si>
  <si>
    <t>1442540353815396356</t>
  </si>
  <si>
    <t>1440534087328931849</t>
  </si>
  <si>
    <t>1440533555721867265</t>
  </si>
  <si>
    <t>1442567528660697089</t>
  </si>
  <si>
    <t>1442426820138201096</t>
  </si>
  <si>
    <t>1442622742113624070</t>
  </si>
  <si>
    <t>1442481328486694929</t>
  </si>
  <si>
    <t>1442644042181799938</t>
  </si>
  <si>
    <t>1442482332959657985</t>
  </si>
  <si>
    <t>1442652320358178822</t>
  </si>
  <si>
    <t>1441049404228571143</t>
  </si>
  <si>
    <t>1440139784832258050</t>
  </si>
  <si>
    <t>1440259510841458689</t>
  </si>
  <si>
    <t>1440492732833677323</t>
  </si>
  <si>
    <t>1440864857717231619</t>
  </si>
  <si>
    <t>1440984858545639425</t>
  </si>
  <si>
    <t>1441232053882654725</t>
  </si>
  <si>
    <t>1441594827829755905</t>
  </si>
  <si>
    <t>1442311351938940937</t>
  </si>
  <si>
    <t>1442433673446379525</t>
  </si>
  <si>
    <t>1442662174682275845</t>
  </si>
  <si>
    <t>1441223890676502528</t>
  </si>
  <si>
    <t>1442663611189452801</t>
  </si>
  <si>
    <t>1440997004318965767</t>
  </si>
  <si>
    <t>1441223890819108866</t>
  </si>
  <si>
    <t>1442663611151761410</t>
  </si>
  <si>
    <t>1442674394539560967</t>
  </si>
  <si>
    <t>1442679093497978885</t>
  </si>
  <si>
    <t>1442683404412067849</t>
  </si>
  <si>
    <t>1440148739310571525</t>
  </si>
  <si>
    <t>1440511049958977539</t>
  </si>
  <si>
    <t>1440873491864109056</t>
  </si>
  <si>
    <t>1441235969382895619</t>
  </si>
  <si>
    <t>1441598108853489664</t>
  </si>
  <si>
    <t>1441960786125934598</t>
  </si>
  <si>
    <t>1442322948359065600</t>
  </si>
  <si>
    <t>1442685516416274437</t>
  </si>
  <si>
    <t>1442690748323926017</t>
  </si>
  <si>
    <t>1439915481238958085</t>
  </si>
  <si>
    <t>1440584572043886602</t>
  </si>
  <si>
    <t>1442395231924613127</t>
  </si>
  <si>
    <t>1442492775157534723</t>
  </si>
  <si>
    <t>1439925584449007626</t>
  </si>
  <si>
    <t>1441232086908555266</t>
  </si>
  <si>
    <t>1442470636404629507</t>
  </si>
  <si>
    <t>1442699261825601543</t>
  </si>
  <si>
    <t>1442704083954008072</t>
  </si>
  <si>
    <t>1442705409127575560</t>
  </si>
  <si>
    <t>1437773545434763271</t>
  </si>
  <si>
    <t>1442706834113003520</t>
  </si>
  <si>
    <t>1442708959001931780</t>
  </si>
  <si>
    <t>1442719974951251972</t>
  </si>
  <si>
    <t>1442721929224278018</t>
  </si>
  <si>
    <t>1439960438960050182</t>
  </si>
  <si>
    <t>1439927485169160200</t>
  </si>
  <si>
    <t>1439973461154156546</t>
  </si>
  <si>
    <t>1440240397310050307</t>
  </si>
  <si>
    <t>1440247269807169545</t>
  </si>
  <si>
    <t>1440234016452407306</t>
  </si>
  <si>
    <t>1431884724914454529</t>
  </si>
  <si>
    <t>1440119631516082176</t>
  </si>
  <si>
    <t>1440297312568299527</t>
  </si>
  <si>
    <t>1440322423493066753</t>
  </si>
  <si>
    <t>1440193921359835156</t>
  </si>
  <si>
    <t>1440347931077328904</t>
  </si>
  <si>
    <t>1440350268093198342</t>
  </si>
  <si>
    <t>1440429865283428353</t>
  </si>
  <si>
    <t>1440463015678124037</t>
  </si>
  <si>
    <t>1440490916809113603</t>
  </si>
  <si>
    <t>1440510368204292104</t>
  </si>
  <si>
    <t>1440555504367849485</t>
  </si>
  <si>
    <t>1440620334873407497</t>
  </si>
  <si>
    <t>1440500458355789830</t>
  </si>
  <si>
    <t>1441007523826266117</t>
  </si>
  <si>
    <t>1441050237485805575</t>
  </si>
  <si>
    <t>1441221984927444995</t>
  </si>
  <si>
    <t>1441294443320016900</t>
  </si>
  <si>
    <t>1441247040189583364</t>
  </si>
  <si>
    <t>1441238875209277445</t>
  </si>
  <si>
    <t>1441312250669584392</t>
  </si>
  <si>
    <t>1441414220558389252</t>
  </si>
  <si>
    <t>1441635814916571140</t>
  </si>
  <si>
    <t>1440604512029265921</t>
  </si>
  <si>
    <t>1441654482866040833</t>
  </si>
  <si>
    <t>1441669651692277768</t>
  </si>
  <si>
    <t>1441337371539083270</t>
  </si>
  <si>
    <t>1441364404696584197</t>
  </si>
  <si>
    <t>1441808784024735749</t>
  </si>
  <si>
    <t>1441973565562056710</t>
  </si>
  <si>
    <t>1442012294104317957</t>
  </si>
  <si>
    <t>1442051627423129604</t>
  </si>
  <si>
    <t>1440332831587065861</t>
  </si>
  <si>
    <t>1273990219570675717</t>
  </si>
  <si>
    <t>1442146515196080129</t>
  </si>
  <si>
    <t>1442148774378233862</t>
  </si>
  <si>
    <t>1442162357216575498</t>
  </si>
  <si>
    <t>1442163276285026311</t>
  </si>
  <si>
    <t>1440312744683597827</t>
  </si>
  <si>
    <t>1440313817141891079</t>
  </si>
  <si>
    <t>1440315330455228423</t>
  </si>
  <si>
    <t>1441678156167933958</t>
  </si>
  <si>
    <t>1441903498405183493</t>
  </si>
  <si>
    <t>1441903395988656132</t>
  </si>
  <si>
    <t>1442081590750838791</t>
  </si>
  <si>
    <t>1442287874091544577</t>
  </si>
  <si>
    <t>1442292200566517761</t>
  </si>
  <si>
    <t>1442292766327771138</t>
  </si>
  <si>
    <t>1442294330404737029</t>
  </si>
  <si>
    <t>1442301163466944520</t>
  </si>
  <si>
    <t>1442291387651682307</t>
  </si>
  <si>
    <t>1442223271039012871</t>
  </si>
  <si>
    <t>1442298434602426368</t>
  </si>
  <si>
    <t>1442298627066523649</t>
  </si>
  <si>
    <t>1442323172511023104</t>
  </si>
  <si>
    <t>1442361767926009862</t>
  </si>
  <si>
    <t>1442366485079359492</t>
  </si>
  <si>
    <t>1442377566883487751</t>
  </si>
  <si>
    <t>1442392758765821954</t>
  </si>
  <si>
    <t>1442415508142256132</t>
  </si>
  <si>
    <t>1442447617590398977</t>
  </si>
  <si>
    <t>1442450864556294156</t>
  </si>
  <si>
    <t>1442464836877578241</t>
  </si>
  <si>
    <t>1442474466638925831</t>
  </si>
  <si>
    <t>1442489279347789826</t>
  </si>
  <si>
    <t>1442478425675952129</t>
  </si>
  <si>
    <t>1439762839128866816</t>
  </si>
  <si>
    <t>1442705390660042755</t>
  </si>
  <si>
    <t/>
  </si>
  <si>
    <t>740913957293068289</t>
  </si>
  <si>
    <t>4766895456</t>
  </si>
  <si>
    <t>1159400358482833408</t>
  </si>
  <si>
    <t>1245238594010091520</t>
  </si>
  <si>
    <t>2643905629</t>
  </si>
  <si>
    <t>1079621095731261447</t>
  </si>
  <si>
    <t>1334389129929363457</t>
  </si>
  <si>
    <t>4417582514</t>
  </si>
  <si>
    <t>2904688836</t>
  </si>
  <si>
    <t>2974910850</t>
  </si>
  <si>
    <t>713944844</t>
  </si>
  <si>
    <t>633016230</t>
  </si>
  <si>
    <t>1333683367708041216</t>
  </si>
  <si>
    <t>1429237147</t>
  </si>
  <si>
    <t>742767561515761664</t>
  </si>
  <si>
    <t>1244288919010607104</t>
  </si>
  <si>
    <t>553058561</t>
  </si>
  <si>
    <t>914312904</t>
  </si>
  <si>
    <t>1116378784960172033</t>
  </si>
  <si>
    <t>1432735723</t>
  </si>
  <si>
    <t>903408333222100993</t>
  </si>
  <si>
    <t>1125363716</t>
  </si>
  <si>
    <t>1184031349100777475</t>
  </si>
  <si>
    <t>1257824848534896640</t>
  </si>
  <si>
    <t>1086554666987450368</t>
  </si>
  <si>
    <t>1119816908113453058</t>
  </si>
  <si>
    <t>1197225394866282496</t>
  </si>
  <si>
    <t>4214856850</t>
  </si>
  <si>
    <t>2983890506</t>
  </si>
  <si>
    <t>1136991951025164289</t>
  </si>
  <si>
    <t>2814445920</t>
  </si>
  <si>
    <t>1386905582322421761</t>
  </si>
  <si>
    <t>1423629209767874565</t>
  </si>
  <si>
    <t>1254993707167649793</t>
  </si>
  <si>
    <t>1364433736524197892</t>
  </si>
  <si>
    <t>928168055816859648</t>
  </si>
  <si>
    <t>1331862071273656320</t>
  </si>
  <si>
    <t>1095911980936790016</t>
  </si>
  <si>
    <t>1435941523183472641</t>
  </si>
  <si>
    <t>1167729011184680961</t>
  </si>
  <si>
    <t>1279969387370303489</t>
  </si>
  <si>
    <t>1248335621988311041</t>
  </si>
  <si>
    <t>871601382192578561</t>
  </si>
  <si>
    <t>1260810522976346112</t>
  </si>
  <si>
    <t>1215637424916713472</t>
  </si>
  <si>
    <t>1335929088</t>
  </si>
  <si>
    <t>1045685436847284225</t>
  </si>
  <si>
    <t>1348954540012261377</t>
  </si>
  <si>
    <t>2990465502</t>
  </si>
  <si>
    <t>281388053</t>
  </si>
  <si>
    <t>126835500</t>
  </si>
  <si>
    <t>1026351452761944064</t>
  </si>
  <si>
    <t>1055594166</t>
  </si>
  <si>
    <t>1262982872207470593</t>
  </si>
  <si>
    <t>1325068002979504133</t>
  </si>
  <si>
    <t>1205386987621863425</t>
  </si>
  <si>
    <t>1250011483821359105</t>
  </si>
  <si>
    <t>1282194002725400576</t>
  </si>
  <si>
    <t>1061087853399105538</t>
  </si>
  <si>
    <t>1290178278393700357</t>
  </si>
  <si>
    <t>1261407231964258304</t>
  </si>
  <si>
    <t>1298627580996640769</t>
  </si>
  <si>
    <t>1334937336690327552</t>
  </si>
  <si>
    <t>2348394144</t>
  </si>
  <si>
    <t>1038942409</t>
  </si>
  <si>
    <t>1247110849</t>
  </si>
  <si>
    <t>1267008173832994816</t>
  </si>
  <si>
    <t>1408442491955671043</t>
  </si>
  <si>
    <t>575312554</t>
  </si>
  <si>
    <t>804246011837190145</t>
  </si>
  <si>
    <t>753083526019514369</t>
  </si>
  <si>
    <t>1362217357729361923</t>
  </si>
  <si>
    <t>1405122014076047360</t>
  </si>
  <si>
    <t>481039005</t>
  </si>
  <si>
    <t>373946658</t>
  </si>
  <si>
    <t>38400817</t>
  </si>
  <si>
    <t>1153941188866482176</t>
  </si>
  <si>
    <t>1541082236</t>
  </si>
  <si>
    <t>43088704</t>
  </si>
  <si>
    <t>1285181380784078848</t>
  </si>
  <si>
    <t>1274930949340315648</t>
  </si>
  <si>
    <t>872254095410642944</t>
  </si>
  <si>
    <t>in</t>
  </si>
  <si>
    <t>en</t>
  </si>
  <si>
    <t>ja</t>
  </si>
  <si>
    <t>et</t>
  </si>
  <si>
    <t>pt</t>
  </si>
  <si>
    <t>es</t>
  </si>
  <si>
    <t>und</t>
  </si>
  <si>
    <t>el</t>
  </si>
  <si>
    <t>pl</t>
  </si>
  <si>
    <t>1441614639947599873</t>
  </si>
  <si>
    <t>1441393093085777922</t>
  </si>
  <si>
    <t>Twitter for Android</t>
  </si>
  <si>
    <t>Twitter for iPhone</t>
  </si>
  <si>
    <t>twittbot.net</t>
  </si>
  <si>
    <t>Twitter Web App</t>
  </si>
  <si>
    <t>Twitter for iPad</t>
  </si>
  <si>
    <t>IFTTT</t>
  </si>
  <si>
    <t>VOI.ID</t>
  </si>
  <si>
    <t>TweetDeck</t>
  </si>
  <si>
    <t>Echobox</t>
  </si>
  <si>
    <t>sosmed twitter</t>
  </si>
  <si>
    <t>dlvr.it</t>
  </si>
  <si>
    <t>Buffer</t>
  </si>
  <si>
    <t>TweetCaster for Android</t>
  </si>
  <si>
    <t>Hootsuite Inc.</t>
  </si>
  <si>
    <t>Instagram</t>
  </si>
  <si>
    <t>Blog2Social APP</t>
  </si>
  <si>
    <t>LinkedIn</t>
  </si>
  <si>
    <t>WordPress.com</t>
  </si>
  <si>
    <t>Tweetbot for iΟS</t>
  </si>
  <si>
    <t>Jawapos.com auto tweet</t>
  </si>
  <si>
    <t>berita-sulsel</t>
  </si>
  <si>
    <t>112,61637982036451,-7,972996222881634 
112,61637982036451,-7,972996222881634 
112,61637982036451,-7,972996222881634 
112,61637982036451,-7,972996222881634</t>
  </si>
  <si>
    <t>101,316109,0,386546 
101,44278,0,386546 
101,44278,0,563116 
101,316109,0,563116</t>
  </si>
  <si>
    <t>109,258001,-7,442257 
109,321378,-7,442257 
109,321378,-7,3876091 
109,258001,-7,3876091</t>
  </si>
  <si>
    <t>Indonesia</t>
  </si>
  <si>
    <t>Yogyakarta, Indonesia</t>
  </si>
  <si>
    <t>Tarbantin Dining House</t>
  </si>
  <si>
    <t>Tampan, Indonesia</t>
  </si>
  <si>
    <t>Kembaran, Indonesia</t>
  </si>
  <si>
    <t>0fc374080c942001</t>
  </si>
  <si>
    <t>32eb831712cde417</t>
  </si>
  <si>
    <t>04f4e198a524dc50</t>
  </si>
  <si>
    <t>Tampan</t>
  </si>
  <si>
    <t>Kembaran</t>
  </si>
  <si>
    <t>city</t>
  </si>
  <si>
    <t>poi</t>
  </si>
  <si>
    <t>Name</t>
  </si>
  <si>
    <t>User ID</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</si>
  <si>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</si>
  <si>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</si>
  <si>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</si>
  <si>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</si>
  <si>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</si>
  <si>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</si>
  <si>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</si>
  <si>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</si>
  <si>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</si>
  <si>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</si>
  <si>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</si>
  <si>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</si>
  <si>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</si>
  <si>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</si>
  <si>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</si>
  <si>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</si>
  <si>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</si>
  <si>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</si>
  <si>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</si>
  <si>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</si>
  <si>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Erick Thohir</t>
  </si>
  <si>
    <t>Madelin</t>
  </si>
  <si>
    <t>shafigh p. lontoh</t>
  </si>
  <si>
    <t>Malang</t>
  </si>
  <si>
    <t>G҉O҉J҉E҉K ҉M҉I҉L҉iT҉A҉N҉ 🏳🏳🏳</t>
  </si>
  <si>
    <t>PENJUAL TEA DAN KOPI</t>
  </si>
  <si>
    <t>.</t>
  </si>
  <si>
    <t>ON┆Follow @tanyakanrl ✨</t>
  </si>
  <si>
    <t>NGALAMFESS</t>
  </si>
  <si>
    <t>sya</t>
  </si>
  <si>
    <t>VOI.id</t>
  </si>
  <si>
    <t>Lia</t>
  </si>
  <si>
    <t>cek /mymenu</t>
  </si>
  <si>
    <t>cajeera ♡︎ frozen corndog murah &amp; lokching</t>
  </si>
  <si>
    <t>Flaga Media Asia</t>
  </si>
  <si>
    <t>effa buying ban 💀</t>
  </si>
  <si>
    <t>Faistra ZeMohderneca 🏴</t>
  </si>
  <si>
    <t>mia ⛈ buying ban</t>
  </si>
  <si>
    <t>Alisya™</t>
  </si>
  <si>
    <t>Saif Ullah</t>
  </si>
  <si>
    <t>fyfaa⚡</t>
  </si>
  <si>
    <t>CHS 💉</t>
  </si>
  <si>
    <t>Info Detoks Usus, Baca Pinned Tweet</t>
  </si>
  <si>
    <t>Fransisca R</t>
  </si>
  <si>
    <t>Hamid Khan</t>
  </si>
  <si>
    <t>나디라 🤍</t>
  </si>
  <si>
    <t>hyunzales</t>
  </si>
  <si>
    <t>세상을 울리는⁸⚡</t>
  </si>
  <si>
    <t>yoshizawa ai⁺⁺⁺</t>
  </si>
  <si>
    <t>adekkk⁺⁺</t>
  </si>
  <si>
    <t>AbdulRehman</t>
  </si>
  <si>
    <t>Mina</t>
  </si>
  <si>
    <t>nina</t>
  </si>
  <si>
    <t>ally.</t>
  </si>
  <si>
    <t>PT PLN (Persero)</t>
  </si>
  <si>
    <t>IndiHome</t>
  </si>
  <si>
    <t>J. Kusuma</t>
  </si>
  <si>
    <t>rifanti nadia</t>
  </si>
  <si>
    <t>liya👾</t>
  </si>
  <si>
    <t>PUAN SRI SHA °3°⛓️🦋</t>
  </si>
  <si>
    <t>Lia⁷• ᴗ •||♪ My Universe🌌🌟</t>
  </si>
  <si>
    <t>lysa ღ</t>
  </si>
  <si>
    <t>Oyehero4200</t>
  </si>
  <si>
    <t>fatemeh</t>
  </si>
  <si>
    <t>qihachannies</t>
  </si>
  <si>
    <t>risa🍀❣️ NOEASY</t>
  </si>
  <si>
    <t>MiringKeKiriKanan</t>
  </si>
  <si>
    <t>é</t>
  </si>
  <si>
    <t>dadal💙 || stay, atiny, nctzen, luvie, blink, etc.</t>
  </si>
  <si>
    <t>#AkuCahMagetan</t>
  </si>
  <si>
    <t>Yanuar Pradana</t>
  </si>
  <si>
    <t>POS INDONESIA</t>
  </si>
  <si>
    <t>Telkom Indonesia</t>
  </si>
  <si>
    <t>GP 🍃</t>
  </si>
  <si>
    <t>𝑰𝒌𝒆𝒓𝒕𝒙𝒖💢🤙</t>
  </si>
  <si>
    <t>Lee Aleppo ♐</t>
  </si>
  <si>
    <t>a</t>
  </si>
  <si>
    <t>🇵🇸🇲🇾</t>
  </si>
  <si>
    <t>EL JOHN FM PEKANBARU</t>
  </si>
  <si>
    <t>ً</t>
  </si>
  <si>
    <t>SiCepat Ekspres</t>
  </si>
  <si>
    <t>Beanu going LOCO for ITZY 🔥💅💜</t>
  </si>
  <si>
    <t>JNE DEPOK</t>
  </si>
  <si>
    <t>Padang Jobs</t>
  </si>
  <si>
    <t>N.A 🇲🇾</t>
  </si>
  <si>
    <t>#lowongankerja baca KOMPASKERJA.com</t>
  </si>
  <si>
    <t>PT Pos Indonesia</t>
  </si>
  <si>
    <t>♑</t>
  </si>
  <si>
    <t>αimie🍀</t>
  </si>
  <si>
    <t>festi</t>
  </si>
  <si>
    <t>anteraja.id</t>
  </si>
  <si>
    <t>ジャジャ 🇲🇾🇵🇸</t>
  </si>
  <si>
    <t>SDNA</t>
  </si>
  <si>
    <t>Wa.</t>
  </si>
  <si>
    <t>Nanad 🍒</t>
  </si>
  <si>
    <t>Ajsksksnannd 🅙</t>
  </si>
  <si>
    <t>zœi</t>
  </si>
  <si>
    <t>Bravo Bea Cukai</t>
  </si>
  <si>
    <t>mahdi</t>
  </si>
  <si>
    <t>nm</t>
  </si>
  <si>
    <t>Suhada Hussin</t>
  </si>
  <si>
    <t>전넬리～♡ | ia</t>
  </si>
  <si>
    <t>SVT 🇲🇾 (kinda ia)</t>
  </si>
  <si>
    <t>𝕊𝕍𝕋 𝕄𝕐</t>
  </si>
  <si>
    <t>seventeen trading malaysia 🇲🇾</t>
  </si>
  <si>
    <t>SVTMARKETMY 🇲🇾</t>
  </si>
  <si>
    <t>GEROBOK SVT 🇲🇾 slow rt!</t>
  </si>
  <si>
    <t>RadioMasyarakat</t>
  </si>
  <si>
    <t>Ida Bagus Bajra</t>
  </si>
  <si>
    <t>Pendukung Senyap 🇮🇩 🇮🇩</t>
  </si>
  <si>
    <t>nwa</t>
  </si>
  <si>
    <t>Shopee Malaysia</t>
  </si>
  <si>
    <t>🏴</t>
  </si>
  <si>
    <t>Bang Djono</t>
  </si>
  <si>
    <t>Andri G-Plant</t>
  </si>
  <si>
    <t>Ping</t>
  </si>
  <si>
    <t>•</t>
  </si>
  <si>
    <t>1/2 ♥</t>
  </si>
  <si>
    <t>FH</t>
  </si>
  <si>
    <t>N.H.R. | Beautyvalley.co</t>
  </si>
  <si>
    <t>squisy</t>
  </si>
  <si>
    <t>Aikerja</t>
  </si>
  <si>
    <t>ش</t>
  </si>
  <si>
    <t>arep</t>
  </si>
  <si>
    <t>Amni 🇲🇾</t>
  </si>
  <si>
    <t>🇵🇸 نرنشيخ</t>
  </si>
  <si>
    <t>nabiha</t>
  </si>
  <si>
    <t>Bea Cukai Banjarmasin</t>
  </si>
  <si>
    <t>Liyana</t>
  </si>
  <si>
    <t>Karawang Menfess</t>
  </si>
  <si>
    <t>Koswara, ɪᴊᴇʟ</t>
  </si>
  <si>
    <t>Anya</t>
  </si>
  <si>
    <t>Gopinda Dinsos Hadir</t>
  </si>
  <si>
    <t>lya ☾</t>
  </si>
  <si>
    <t>hani⚡</t>
  </si>
  <si>
    <t>hwang yin✨</t>
  </si>
  <si>
    <t>sofea ia exam</t>
  </si>
  <si>
    <t>ryuin || final exam</t>
  </si>
  <si>
    <t>s0fea.</t>
  </si>
  <si>
    <t>babystay🍀</t>
  </si>
  <si>
    <t>ija 🌙</t>
  </si>
  <si>
    <t>e | ××</t>
  </si>
  <si>
    <t>nis ia🐣⚡️</t>
  </si>
  <si>
    <t>möng ❣️</t>
  </si>
  <si>
    <t>sya chan | kinda ia</t>
  </si>
  <si>
    <t>dal 🐿</t>
  </si>
  <si>
    <t>Anis Farhana⁷</t>
  </si>
  <si>
    <t>han's🍭</t>
  </si>
  <si>
    <t>migcrab🦀</t>
  </si>
  <si>
    <t>aeeong-ee🍉</t>
  </si>
  <si>
    <t>ñ ∩^ω^∩ | 📌</t>
  </si>
  <si>
    <t>g.o sticker 📌</t>
  </si>
  <si>
    <t>GA 📌</t>
  </si>
  <si>
    <t>𝕟𝕚𝕟𝕘</t>
  </si>
  <si>
    <t>JANNAH NAK HYUNJIN SUBK PC 🧎🏻‍♀️🧎🏻‍♀️🧎🏻‍♀️</t>
  </si>
  <si>
    <t>julia⚡</t>
  </si>
  <si>
    <t>mellifluous 🐑🦦</t>
  </si>
  <si>
    <t>Kementerian BUMN</t>
  </si>
  <si>
    <t>디어시즈니 ♡</t>
  </si>
  <si>
    <t>niey</t>
  </si>
  <si>
    <t>NCTMYDream🌟</t>
  </si>
  <si>
    <t>ًslow</t>
  </si>
  <si>
    <t>jeyazs</t>
  </si>
  <si>
    <t>Aliff</t>
  </si>
  <si>
    <t>Nabil 나빌라 ☀️</t>
  </si>
  <si>
    <t>trade buy sell MY 🇲🇾</t>
  </si>
  <si>
    <t>Askrlfess</t>
  </si>
  <si>
    <t>🪨🥀</t>
  </si>
  <si>
    <t>Loker Sumatera</t>
  </si>
  <si>
    <t>JuventusFC</t>
  </si>
  <si>
    <t>ian syah</t>
  </si>
  <si>
    <t>🌙</t>
  </si>
  <si>
    <t>Shinta25</t>
  </si>
  <si>
    <t>DINSOS_HADIR</t>
  </si>
  <si>
    <t>asfa</t>
  </si>
  <si>
    <t>Mirashi ;-;</t>
  </si>
  <si>
    <t>Lynn⁷ 💜 | 🧈</t>
  </si>
  <si>
    <t>☆ far ☆ || ia || want attacca album 🧘🏻‍♀️</t>
  </si>
  <si>
    <t>𝙘𝙤𝙘𝙤</t>
  </si>
  <si>
    <t>I D</t>
  </si>
  <si>
    <t>이 | DAH HABIS REST!</t>
  </si>
  <si>
    <t>antashe⁷</t>
  </si>
  <si>
    <t>nct wayv rt 🇲🇾</t>
  </si>
  <si>
    <t>Lowongan Kerja Indonesia</t>
  </si>
  <si>
    <t>Tribunnews.com</t>
  </si>
  <si>
    <t>Skrrt queen🎀</t>
  </si>
  <si>
    <t>🇰🇷</t>
  </si>
  <si>
    <t>Yukkuriyu✨</t>
  </si>
  <si>
    <t>´･ᴗ･`</t>
  </si>
  <si>
    <t>alif🇲🇾</t>
  </si>
  <si>
    <t>najwa *.✧</t>
  </si>
  <si>
    <t>yena 🎢 ꔛ♡</t>
  </si>
  <si>
    <t>Jasa Raharja Aceh</t>
  </si>
  <si>
    <t>˗ˏˋstatye⁷ˎˊ˗</t>
  </si>
  <si>
    <t>PASAR SF9 🇲🇾</t>
  </si>
  <si>
    <t>jiha 🐝</t>
  </si>
  <si>
    <t>Tibot bukan Cimot</t>
  </si>
  <si>
    <t>aly ahmad</t>
  </si>
  <si>
    <t>Na</t>
  </si>
  <si>
    <t>Riest</t>
  </si>
  <si>
    <t>Nama Tidak Boleh Kosong</t>
  </si>
  <si>
    <t>FloBerli</t>
  </si>
  <si>
    <t>♌️ 𝓛𝓸𝓾𝓲𝓼 🇲🇨</t>
  </si>
  <si>
    <t>Brianna 💙</t>
  </si>
  <si>
    <t>𝗦 𝗵 𝗲 🦋</t>
  </si>
  <si>
    <t>🦄💜</t>
  </si>
  <si>
    <t>Puti Andam Dewi</t>
  </si>
  <si>
    <t>ㄒ卄乇 爪ㄚㄒ卄</t>
  </si>
  <si>
    <t>Kementerian Hukum dan HAM Jawa Timur</t>
  </si>
  <si>
    <t>RBKUNWAS Kemenpanrb</t>
  </si>
  <si>
    <t>hani ♡</t>
  </si>
  <si>
    <t>j</t>
  </si>
  <si>
    <t>Shopee Indonesia</t>
  </si>
  <si>
    <t>INFO LOWONGAN KERJA</t>
  </si>
  <si>
    <t>Imαn Hidαyαt</t>
  </si>
  <si>
    <t>are</t>
  </si>
  <si>
    <t>☁︎ cales˚˖✧</t>
  </si>
  <si>
    <t>Sam S̶m̶i̶t̶h̶</t>
  </si>
  <si>
    <t>🐼</t>
  </si>
  <si>
    <t>PASAR THE BOYZ MALAYSIA (slow)</t>
  </si>
  <si>
    <t>gudangloker</t>
  </si>
  <si>
    <t>Akuratco</t>
  </si>
  <si>
    <t>‘-‘</t>
  </si>
  <si>
    <t>Mitra Loker</t>
  </si>
  <si>
    <t>♡</t>
  </si>
  <si>
    <t>🌞ᶠᵃᵗᶦⁿ🐇</t>
  </si>
  <si>
    <t>Dochil97</t>
  </si>
  <si>
    <t>Vano christyano</t>
  </si>
  <si>
    <t>ehjieya</t>
  </si>
  <si>
    <t>Info Semarang Raya</t>
  </si>
  <si>
    <t>Sherlyn Zoe</t>
  </si>
  <si>
    <t>pineas</t>
  </si>
  <si>
    <t>FZ</t>
  </si>
  <si>
    <t>caa</t>
  </si>
  <si>
    <t>DEOBI MARKET 🇲🇾 (slow)</t>
  </si>
  <si>
    <t>#PasarTBZ</t>
  </si>
  <si>
    <t>Coltliq Ekajaya #myBigBozz</t>
  </si>
  <si>
    <t>Cikgu Ainan 🇲🇾</t>
  </si>
  <si>
    <t>MILI 💙 Custom Giftbox</t>
  </si>
  <si>
    <t>j 💭</t>
  </si>
  <si>
    <t>Selamat Datang</t>
  </si>
  <si>
    <t>Lowongan Kerja</t>
  </si>
  <si>
    <t>Squidward</t>
  </si>
  <si>
    <t>bazaar deobi 🎢🌴</t>
  </si>
  <si>
    <t>park 🇵🇸</t>
  </si>
  <si>
    <t>alya</t>
  </si>
  <si>
    <t>s.</t>
  </si>
  <si>
    <t>Aazeez AG</t>
  </si>
  <si>
    <t>gÿu ◡̈</t>
  </si>
  <si>
    <t>Caca 아이 시아</t>
  </si>
  <si>
    <t>arisayang</t>
  </si>
  <si>
    <t>SEUNGMIN 1st OST</t>
  </si>
  <si>
    <t>shada</t>
  </si>
  <si>
    <t>aimi ⚡️</t>
  </si>
  <si>
    <t>wanna</t>
  </si>
  <si>
    <t>Syasya ⚡</t>
  </si>
  <si>
    <t>horangi povver</t>
  </si>
  <si>
    <t>Hey Tayo</t>
  </si>
  <si>
    <t>ween || vaccinated💉</t>
  </si>
  <si>
    <t>Pasar P1Harmony 🇲🇾</t>
  </si>
  <si>
    <t>mahirah 🐧 exam ✨</t>
  </si>
  <si>
    <t>anggaputra.k (IG: titipbagus)</t>
  </si>
  <si>
    <t>Blue Bird</t>
  </si>
  <si>
    <t>agnes is busy</t>
  </si>
  <si>
    <t>Spartan Pariwisata</t>
  </si>
  <si>
    <t>🇲🇾BTS TRADE/SELL/BUY OFFICIAL MERCH</t>
  </si>
  <si>
    <t>kpop promote account</t>
  </si>
  <si>
    <t>Malaysian Trade Kpop</t>
  </si>
  <si>
    <t>#pasarBTS MY 🇲🇾</t>
  </si>
  <si>
    <t>aya⁷ ᵗᵃᵉ ᵗᵃᵉ</t>
  </si>
  <si>
    <t>𝒀𝑨𝑯⁷🐯</t>
  </si>
  <si>
    <t>aimi ⁷</t>
  </si>
  <si>
    <t>mir ♡ﾐ ia</t>
  </si>
  <si>
    <t>Agibbang ⚡</t>
  </si>
  <si>
    <t>ite | 범규's bestie</t>
  </si>
  <si>
    <t>moon⁷</t>
  </si>
  <si>
    <t>tersunghoon-sunghoon ૮₍ ˃ ⤙ ˂ ₎ა</t>
  </si>
  <si>
    <t>ʕ•̀ᴥ̫•́ʔ♡̷♥ muna</t>
  </si>
  <si>
    <t>eun ⁷</t>
  </si>
  <si>
    <t>husna ➳❥</t>
  </si>
  <si>
    <t>Kendari Pos</t>
  </si>
  <si>
    <t>waa⁷</t>
  </si>
  <si>
    <t>yana⚡️✨</t>
  </si>
  <si>
    <t>𝘭𝘰𝘷𝘦𝘭𝘺 𝘫𝘶𝘣𝘣𝘭𝘺 ♡</t>
  </si>
  <si>
    <t>sya ⁷🧸</t>
  </si>
  <si>
    <t>배우 김석진 🐺🐹🐳🌙</t>
  </si>
  <si>
    <t>Alyessa Mariani binti Abdul Rahman @ Awang (LISA)</t>
  </si>
  <si>
    <t>ISTANA NEGARA</t>
  </si>
  <si>
    <t>Malaysian Army</t>
  </si>
  <si>
    <t>MINDEF Malaysia</t>
  </si>
  <si>
    <t>Royal Malaysian Navy</t>
  </si>
  <si>
    <t>TUDM</t>
  </si>
  <si>
    <t>Angkatan Tentera Malaysia</t>
  </si>
  <si>
    <t>liaa⁷𐐚࿐TETE PLS COME TO ME🥺BUYING BAN🔪</t>
  </si>
  <si>
    <t>🦊</t>
  </si>
  <si>
    <t>MoonJinnieᴮᴱ⁷💜🎫</t>
  </si>
  <si>
    <t>☆ nina⁷☆</t>
  </si>
  <si>
    <t>nisha⁷ 🇵🇸</t>
  </si>
  <si>
    <t>balqis⁷ | jungkook’s gf</t>
  </si>
  <si>
    <t>ari⁷</t>
  </si>
  <si>
    <t>Seha</t>
  </si>
  <si>
    <t>I'm their Universe 🌌</t>
  </si>
  <si>
    <t>hana ; attacca</t>
  </si>
  <si>
    <t>pn sri fatin⁷ ࿐ ࿔*:･ﾟ</t>
  </si>
  <si>
    <t>farissa⁷ 💜</t>
  </si>
  <si>
    <t>atin⁷ ꒰⚘݄꒱₊</t>
  </si>
  <si>
    <t>윤 is playing 𝐓𝐞𝐚𝐫𝐬 𝐎𝐟 𝐓𝐡𝐞𝐦𝐢𝐬 ☾</t>
  </si>
  <si>
    <t>dina⁷</t>
  </si>
  <si>
    <t>sara⁷🦀</t>
  </si>
  <si>
    <t>nash⁷ ৎ୭</t>
  </si>
  <si>
    <t>ۗۗۗۗۗۗۗۗۗۗۗۗۗۗۗۗۗۗۗۗۗۗۗۗۗۗۗۗۗۗۗۗۗBangtan'sBaby⁷ 🍊</t>
  </si>
  <si>
    <t>piqah⁷</t>
  </si>
  <si>
    <t>alya⁷ misses jimin</t>
  </si>
  <si>
    <t>diha⁷</t>
  </si>
  <si>
    <t>kim yyaw⁷</t>
  </si>
  <si>
    <t>deena</t>
  </si>
  <si>
    <t>cika𑁍</t>
  </si>
  <si>
    <t>mads | yuta red hair supremacy 🙇‍♀️🧎‍♀️</t>
  </si>
  <si>
    <t>azi ૮₍ ˃̵͈᷄ . ˂̵͈᷅ ₎ა</t>
  </si>
  <si>
    <t>naa•ɞ•</t>
  </si>
  <si>
    <t>شحزوان</t>
  </si>
  <si>
    <t>ma'</t>
  </si>
  <si>
    <t>Aqilah</t>
  </si>
  <si>
    <t>sha⁷ help rt 📌</t>
  </si>
  <si>
    <t>BANDUNG FESS </t>
  </si>
  <si>
    <t>ixoxo</t>
  </si>
  <si>
    <t>effa</t>
  </si>
  <si>
    <t>sky</t>
  </si>
  <si>
    <t>pia</t>
  </si>
  <si>
    <t>pie⁷ || help rt my pinned 📌</t>
  </si>
  <si>
    <t>ㅎㅅㅎ</t>
  </si>
  <si>
    <t>KogiEXO Photocards G.O</t>
  </si>
  <si>
    <t>pika 🧚🏻‍♀️</t>
  </si>
  <si>
    <t>dn$♡</t>
  </si>
  <si>
    <t>♡𝒸𝒶𝒽𝒾𝓇𝒶♡</t>
  </si>
  <si>
    <t>ǫɪsᴛɪɴᴀ ＾▽＾</t>
  </si>
  <si>
    <t>ijaa ♡´･ᴗ･`♡</t>
  </si>
  <si>
    <t>CalenDula</t>
  </si>
  <si>
    <t>anlmsra</t>
  </si>
  <si>
    <t>🇵🇸wolfam™</t>
  </si>
  <si>
    <t>Dr Joeffery Sylvester</t>
  </si>
  <si>
    <t>miloais</t>
  </si>
  <si>
    <t>Kakak Jeong 💚 YJY</t>
  </si>
  <si>
    <t>portalkalbar</t>
  </si>
  <si>
    <t>BKIPM</t>
  </si>
  <si>
    <t>BKIPM Djalaluddin</t>
  </si>
  <si>
    <t>nay⁷🐇 semi ia</t>
  </si>
  <si>
    <t>îmæ 🇲🇾</t>
  </si>
  <si>
    <t>Leeeen</t>
  </si>
  <si>
    <t>tariiratu</t>
  </si>
  <si>
    <t>txt dari onlineshop</t>
  </si>
  <si>
    <t>Diyanah Rodzi</t>
  </si>
  <si>
    <t>Mommy Bon Langsing</t>
  </si>
  <si>
    <t>Bia</t>
  </si>
  <si>
    <t>SIDQ</t>
  </si>
  <si>
    <t>K | Z 07</t>
  </si>
  <si>
    <t>Mat Semart</t>
  </si>
  <si>
    <t>Sara Selina</t>
  </si>
  <si>
    <t>Hello Indonesia</t>
  </si>
  <si>
    <t>Jual Obat Cytotec Asli</t>
  </si>
  <si>
    <t>Koh Parel</t>
  </si>
  <si>
    <t>Merry</t>
  </si>
  <si>
    <t>RUANG HIJRAH</t>
  </si>
  <si>
    <t>ayy</t>
  </si>
  <si>
    <t>mon⚔️</t>
  </si>
  <si>
    <t>Firda</t>
  </si>
  <si>
    <t>Ayu</t>
  </si>
  <si>
    <t>feraa</t>
  </si>
  <si>
    <t>Devi</t>
  </si>
  <si>
    <t>OPEN DM FOR MUTUALAN FB</t>
  </si>
  <si>
    <t>Billa</t>
  </si>
  <si>
    <t>King | NFT Promoter</t>
  </si>
  <si>
    <t>chita🍒</t>
  </si>
  <si>
    <t>Nduu</t>
  </si>
  <si>
    <t>Perpustakaan Al Falaahiyyah</t>
  </si>
  <si>
    <t>HIMAFI FMIPA UNRI</t>
  </si>
  <si>
    <t>PMB</t>
  </si>
  <si>
    <t>Info Lowongan kerja</t>
  </si>
  <si>
    <t>yu</t>
  </si>
  <si>
    <t>loey’s 🤍</t>
  </si>
  <si>
    <t>mel;</t>
  </si>
  <si>
    <t>Himasejarahfkipunri</t>
  </si>
  <si>
    <t>Tarbantin Bookstore</t>
  </si>
  <si>
    <t>allya🪐</t>
  </si>
  <si>
    <t>amara aja || lagi ngedraft || AU on 📌</t>
  </si>
  <si>
    <t>RRI Programa 3</t>
  </si>
  <si>
    <t>HIMAPENTIKA FKIP UNRI</t>
  </si>
  <si>
    <t>Humas Pemda DIY</t>
  </si>
  <si>
    <t>nisa | local &amp; intl commission open! 2/5👹</t>
  </si>
  <si>
    <t>Media Lowongan Kerja</t>
  </si>
  <si>
    <t>♪princesstaehyung⁷ restଘ(੭ˊᵕˋ)੭♡︎</t>
  </si>
  <si>
    <t>nurul yang kaya</t>
  </si>
  <si>
    <t>lisa❣️🍀 hyunjin AOTM !!</t>
  </si>
  <si>
    <t>alice ! ia for a while !</t>
  </si>
  <si>
    <t>khin🍕 HYUNJIN AOTM 🔥</t>
  </si>
  <si>
    <t>소리꾼✨</t>
  </si>
  <si>
    <t>Bandung Command Center</t>
  </si>
  <si>
    <t>seputaran_bandung</t>
  </si>
  <si>
    <t>PMB POLTEKPOS &amp; STIMLOG</t>
  </si>
  <si>
    <t>🌸(ia)</t>
  </si>
  <si>
    <t>Samsat Digital Nasional (SIGNAL)</t>
  </si>
  <si>
    <t>biskut tersedap!</t>
  </si>
  <si>
    <t>HIMAKOM POLBAN</t>
  </si>
  <si>
    <t>bertolt hoover</t>
  </si>
  <si>
    <t>Pemerintah Kota Denpasar</t>
  </si>
  <si>
    <t>💫📈RreyzFatti📈💫</t>
  </si>
  <si>
    <t>zoemient13</t>
  </si>
  <si>
    <t>Kiki</t>
  </si>
  <si>
    <t>VWXYZ™</t>
  </si>
  <si>
    <t>repzkemanz</t>
  </si>
  <si>
    <t>Ckinoza Miyomi</t>
  </si>
  <si>
    <t>Nik</t>
  </si>
  <si>
    <t>Zaf ◡̈</t>
  </si>
  <si>
    <t>🇵🇸♛رينا☤ 🇲🇾</t>
  </si>
  <si>
    <t>Nyna</t>
  </si>
  <si>
    <t>재쟈니니 #STICKER</t>
  </si>
  <si>
    <t>Widi Wihendra Putra</t>
  </si>
  <si>
    <t>Rere</t>
  </si>
  <si>
    <t>Jia Effendie</t>
  </si>
  <si>
    <t>#TitipkanAsmara Streaming NOW</t>
  </si>
  <si>
    <t>Maina ❤</t>
  </si>
  <si>
    <t>adi p</t>
  </si>
  <si>
    <t>PMI Kabupaten Semarang</t>
  </si>
  <si>
    <t>BFL INDONESIA</t>
  </si>
  <si>
    <t>19 TIMES!</t>
  </si>
  <si>
    <t>a n i s 🌼</t>
  </si>
  <si>
    <t>lalalilo</t>
  </si>
  <si>
    <t>ブランク_E=mc²</t>
  </si>
  <si>
    <t>Handa seishuu</t>
  </si>
  <si>
    <t>NayNara</t>
  </si>
  <si>
    <t>Hendri Chalid</t>
  </si>
  <si>
    <t>Vaughn2</t>
  </si>
  <si>
    <t>elgo. エルゴ。엘고.</t>
  </si>
  <si>
    <t>Jiroo</t>
  </si>
  <si>
    <t>K’al</t>
  </si>
  <si>
    <t>Lulu</t>
  </si>
  <si>
    <t>am</t>
  </si>
  <si>
    <t>LINCOLN</t>
  </si>
  <si>
    <t>𝕺𝖟𝖞 𝕲𝖆𝖓𝖉𝖚𝖒</t>
  </si>
  <si>
    <t>TUN KEME</t>
  </si>
  <si>
    <t>attacca ¹⁷ ❤️‍🔥</t>
  </si>
  <si>
    <t>兄 Masaki</t>
  </si>
  <si>
    <t>aLKecil</t>
  </si>
  <si>
    <t>guning</t>
  </si>
  <si>
    <t>wea-boo!</t>
  </si>
  <si>
    <t>BTS Market 🇲🇾</t>
  </si>
  <si>
    <t>PPUCHIN</t>
  </si>
  <si>
    <t>Camelaila</t>
  </si>
  <si>
    <t>KABUPATEN SEMARANG</t>
  </si>
  <si>
    <t>Indonesian Red Cross</t>
  </si>
  <si>
    <t>PMI Jawa Tengah</t>
  </si>
  <si>
    <t>tarbantinsouvenir</t>
  </si>
  <si>
    <t>roiroi</t>
  </si>
  <si>
    <t>Jawa Pos</t>
  </si>
  <si>
    <t>Azyan on buying ban</t>
  </si>
  <si>
    <t>🧸🎀</t>
  </si>
  <si>
    <t>Peninggi Badan Alami</t>
  </si>
  <si>
    <t>Rakyat Sulsel Online</t>
  </si>
  <si>
    <t>shiningstar 🌟</t>
  </si>
  <si>
    <t>Je Grealish</t>
  </si>
  <si>
    <t>PT. ASABRI (Persero)</t>
  </si>
  <si>
    <t>Gita Rosalia</t>
  </si>
  <si>
    <t>Santi Melani - Ummu Naha</t>
  </si>
  <si>
    <t>aina³⁵</t>
  </si>
  <si>
    <t>beritasulsel</t>
  </si>
  <si>
    <t>1202831651350335488</t>
  </si>
  <si>
    <t>58711038</t>
  </si>
  <si>
    <t>1249004237004009474</t>
  </si>
  <si>
    <t>1186946650595418116</t>
  </si>
  <si>
    <t>2151898476</t>
  </si>
  <si>
    <t>1424954670649266180</t>
  </si>
  <si>
    <t>1276444510520635392</t>
  </si>
  <si>
    <t>1369908501959512064</t>
  </si>
  <si>
    <t>3005720286</t>
  </si>
  <si>
    <t>1054520214</t>
  </si>
  <si>
    <t>750938107529269248</t>
  </si>
  <si>
    <t>1316596243343310849</t>
  </si>
  <si>
    <t>893467394936512512</t>
  </si>
  <si>
    <t>1282539963783864322</t>
  </si>
  <si>
    <t>1398986910530359301</t>
  </si>
  <si>
    <t>38187845</t>
  </si>
  <si>
    <t>221392511</t>
  </si>
  <si>
    <t>42387292</t>
  </si>
  <si>
    <t>1438319110123778048</t>
  </si>
  <si>
    <t>1323628884395356161</t>
  </si>
  <si>
    <t>1437293115031711744</t>
  </si>
  <si>
    <t>1398834068620419076</t>
  </si>
  <si>
    <t>1063849657338519552</t>
  </si>
  <si>
    <t>1413561363134304258</t>
  </si>
  <si>
    <t>1435560380227637250</t>
  </si>
  <si>
    <t>1255513015639834629</t>
  </si>
  <si>
    <t>1395199185641644033</t>
  </si>
  <si>
    <t>3032351012</t>
  </si>
  <si>
    <t>558516132</t>
  </si>
  <si>
    <t>1075673058931806208</t>
  </si>
  <si>
    <t>150274980</t>
  </si>
  <si>
    <t>1206946606161022976</t>
  </si>
  <si>
    <t>1301678758256996352</t>
  </si>
  <si>
    <t>1256721786928017420</t>
  </si>
  <si>
    <t>1434843376273211402</t>
  </si>
  <si>
    <t>1431261130626723847</t>
  </si>
  <si>
    <t>1435641339618619398</t>
  </si>
  <si>
    <t>1346419008510119937</t>
  </si>
  <si>
    <t>1380907660342554625</t>
  </si>
  <si>
    <t>44580036</t>
  </si>
  <si>
    <t>1114569536970285057</t>
  </si>
  <si>
    <t>1410504699044720648</t>
  </si>
  <si>
    <t>304124400</t>
  </si>
  <si>
    <t>1360085354057932801</t>
  </si>
  <si>
    <t>147137991</t>
  </si>
  <si>
    <t>80204488</t>
  </si>
  <si>
    <t>918932420757458945</t>
  </si>
  <si>
    <t>963135119774158849</t>
  </si>
  <si>
    <t>1174602325119291392</t>
  </si>
  <si>
    <t>31679256</t>
  </si>
  <si>
    <t>1390858623199318017</t>
  </si>
  <si>
    <t>101995429</t>
  </si>
  <si>
    <t>1277068835032449024</t>
  </si>
  <si>
    <t>1303685954406772737</t>
  </si>
  <si>
    <t>818735000765874177</t>
  </si>
  <si>
    <t>801339782</t>
  </si>
  <si>
    <t>924306074185777152</t>
  </si>
  <si>
    <t>557564732</t>
  </si>
  <si>
    <t>1121674755868729344</t>
  </si>
  <si>
    <t>94004278</t>
  </si>
  <si>
    <t>1250390992890413056</t>
  </si>
  <si>
    <t>936549235184492544</t>
  </si>
  <si>
    <t>68630385</t>
  </si>
  <si>
    <t>1050727225866125312</t>
  </si>
  <si>
    <t>2358855422</t>
  </si>
  <si>
    <t>963429790320615424</t>
  </si>
  <si>
    <t>1193552261185597440</t>
  </si>
  <si>
    <t>837716431</t>
  </si>
  <si>
    <t>1421721692460748803</t>
  </si>
  <si>
    <t>401380641</t>
  </si>
  <si>
    <t>1341704514768801792</t>
  </si>
  <si>
    <t>1098879334767423493</t>
  </si>
  <si>
    <t>1242468375646752768</t>
  </si>
  <si>
    <t>1176344097637859328</t>
  </si>
  <si>
    <t>1355373767787118593</t>
  </si>
  <si>
    <t>1338413501841195008</t>
  </si>
  <si>
    <t>1163405270405353475</t>
  </si>
  <si>
    <t>451461462</t>
  </si>
  <si>
    <t>2989403819</t>
  </si>
  <si>
    <t>992390676326199296</t>
  </si>
  <si>
    <t>1132047468269572097</t>
  </si>
  <si>
    <t>138709003</t>
  </si>
  <si>
    <t>858320994426945536</t>
  </si>
  <si>
    <t>1429010066200428548</t>
  </si>
  <si>
    <t>1321734850861166592</t>
  </si>
  <si>
    <t>1070700175813894145</t>
  </si>
  <si>
    <t>437750128</t>
  </si>
  <si>
    <t>757832946363400192</t>
  </si>
  <si>
    <t>1349745943638286337</t>
  </si>
  <si>
    <t>1441403687331528713</t>
  </si>
  <si>
    <t>1244200315001307137</t>
  </si>
  <si>
    <t>1032109195422617600</t>
  </si>
  <si>
    <t>1298236596689412096</t>
  </si>
  <si>
    <t>1418058350537756675</t>
  </si>
  <si>
    <t>1327848997663346688</t>
  </si>
  <si>
    <t>1002673963686715392</t>
  </si>
  <si>
    <t>1382219786344493056</t>
  </si>
  <si>
    <t>2960656291</t>
  </si>
  <si>
    <t>1015416931896049664</t>
  </si>
  <si>
    <t>1396084729657532419</t>
  </si>
  <si>
    <t>1406146099195252737</t>
  </si>
  <si>
    <t>1068059321332727808</t>
  </si>
  <si>
    <t>1125993524623634432</t>
  </si>
  <si>
    <t>1398542987953524739</t>
  </si>
  <si>
    <t>1348004861124571139</t>
  </si>
  <si>
    <t>790685168264617984</t>
  </si>
  <si>
    <t>1364094469331591171</t>
  </si>
  <si>
    <t>931731952314363904</t>
  </si>
  <si>
    <t>1388629912253190144</t>
  </si>
  <si>
    <t>1352608147433639938</t>
  </si>
  <si>
    <t>1350494286119227392</t>
  </si>
  <si>
    <t>1240490750023888896</t>
  </si>
  <si>
    <t>1395388017439744003</t>
  </si>
  <si>
    <t>814091855168032769</t>
  </si>
  <si>
    <t>460068359</t>
  </si>
  <si>
    <t>1418285198601428994</t>
  </si>
  <si>
    <t>978592178</t>
  </si>
  <si>
    <t>1336939761240428546</t>
  </si>
  <si>
    <t>3184723542</t>
  </si>
  <si>
    <t>1350730138997018624</t>
  </si>
  <si>
    <t>1333616950304378880</t>
  </si>
  <si>
    <t>1168816668815966208</t>
  </si>
  <si>
    <t>1356443266036637699</t>
  </si>
  <si>
    <t>1326412279236206592</t>
  </si>
  <si>
    <t>1385935710415245317</t>
  </si>
  <si>
    <t>954613503133798400</t>
  </si>
  <si>
    <t>122878616</t>
  </si>
  <si>
    <t>1440355320958570502</t>
  </si>
  <si>
    <t>4035939913</t>
  </si>
  <si>
    <t>983683705049833473</t>
  </si>
  <si>
    <t>512135525</t>
  </si>
  <si>
    <t>1270942514329997312</t>
  </si>
  <si>
    <t>1404697089330745345</t>
  </si>
  <si>
    <t>1144868963160952833</t>
  </si>
  <si>
    <t>1092586006467899392</t>
  </si>
  <si>
    <t>723471277076283392</t>
  </si>
  <si>
    <t>1368662315223056384</t>
  </si>
  <si>
    <t>1401384025269305344</t>
  </si>
  <si>
    <t>3323900718</t>
  </si>
  <si>
    <t>1393388324753088512</t>
  </si>
  <si>
    <t>1404415085343170561</t>
  </si>
  <si>
    <t>1398229744991105031</t>
  </si>
  <si>
    <t>1401169391371259909</t>
  </si>
  <si>
    <t>871926449711828998</t>
  </si>
  <si>
    <t>124171593</t>
  </si>
  <si>
    <t>1399700415617241089</t>
  </si>
  <si>
    <t>1343135608592424966</t>
  </si>
  <si>
    <t>1383095073286410242</t>
  </si>
  <si>
    <t>1349247332563369986</t>
  </si>
  <si>
    <t>1346815530250817536</t>
  </si>
  <si>
    <t>1335249052351401984</t>
  </si>
  <si>
    <t>875301622154371072</t>
  </si>
  <si>
    <t>935489379694284801</t>
  </si>
  <si>
    <t>1354674117467721729</t>
  </si>
  <si>
    <t>1148809845220315137</t>
  </si>
  <si>
    <t>1358637376961060864</t>
  </si>
  <si>
    <t>1269654461569368064</t>
  </si>
  <si>
    <t>1165659560410894336</t>
  </si>
  <si>
    <t>1405079048846385152</t>
  </si>
  <si>
    <t>1119192142574784512</t>
  </si>
  <si>
    <t>497702911</t>
  </si>
  <si>
    <t>1022387521886375936</t>
  </si>
  <si>
    <t>1366731333238591489</t>
  </si>
  <si>
    <t>65603889</t>
  </si>
  <si>
    <t>2496865904</t>
  </si>
  <si>
    <t>2352745627</t>
  </si>
  <si>
    <t>1286691301258194946</t>
  </si>
  <si>
    <t>1272980895352291329</t>
  </si>
  <si>
    <t>1401755949073780738</t>
  </si>
  <si>
    <t>224590687</t>
  </si>
  <si>
    <t>709300642267811840</t>
  </si>
  <si>
    <t>1243542351940849666</t>
  </si>
  <si>
    <t>67523537</t>
  </si>
  <si>
    <t>309198751</t>
  </si>
  <si>
    <t>224618442</t>
  </si>
  <si>
    <t>910131948063825920</t>
  </si>
  <si>
    <t>1044039155057999872</t>
  </si>
  <si>
    <t>1347477636058996737</t>
  </si>
  <si>
    <t>1321546572442726400</t>
  </si>
  <si>
    <t>786549338818224128</t>
  </si>
  <si>
    <t>714291518</t>
  </si>
  <si>
    <t>861305918</t>
  </si>
  <si>
    <t>990439075</t>
  </si>
  <si>
    <t>2471761039</t>
  </si>
  <si>
    <t>2496531500</t>
  </si>
  <si>
    <t>1318707323842392066</t>
  </si>
  <si>
    <t>1284129784792887297</t>
  </si>
  <si>
    <t>1364521091314507778</t>
  </si>
  <si>
    <t>710641408940572672</t>
  </si>
  <si>
    <t>1362571418039324673</t>
  </si>
  <si>
    <t>1230131779878604801</t>
  </si>
  <si>
    <t>520116042</t>
  </si>
  <si>
    <t>1336525151110754306</t>
  </si>
  <si>
    <t>1277424676822646785</t>
  </si>
  <si>
    <t>1376697702973501440</t>
  </si>
  <si>
    <t>736343868</t>
  </si>
  <si>
    <t>1398968669103820804</t>
  </si>
  <si>
    <t>467774910</t>
  </si>
  <si>
    <t>107084867</t>
  </si>
  <si>
    <t>1383784547607736321</t>
  </si>
  <si>
    <t>1192477042500980736</t>
  </si>
  <si>
    <t>1253924390590312448</t>
  </si>
  <si>
    <t>108883401</t>
  </si>
  <si>
    <t>1022819827658850304</t>
  </si>
  <si>
    <t>976747508968796160</t>
  </si>
  <si>
    <t>1294607244558872576</t>
  </si>
  <si>
    <t>1304759703302336512</t>
  </si>
  <si>
    <t>1187320768977260544</t>
  </si>
  <si>
    <t>1393895807418470403</t>
  </si>
  <si>
    <t>1429815900836810757</t>
  </si>
  <si>
    <t>1203513796129476608</t>
  </si>
  <si>
    <t>1348602344666062848</t>
  </si>
  <si>
    <t>1392258574688997382</t>
  </si>
  <si>
    <t>2204607402</t>
  </si>
  <si>
    <t>966325368931024898</t>
  </si>
  <si>
    <t>1300399843727167490</t>
  </si>
  <si>
    <t>110940117</t>
  </si>
  <si>
    <t>1271535102741196800</t>
  </si>
  <si>
    <t>755688983061864448</t>
  </si>
  <si>
    <t>2423608663</t>
  </si>
  <si>
    <t>1414478114600624131</t>
  </si>
  <si>
    <t>926035077946998784</t>
  </si>
  <si>
    <t>1305844067733962754</t>
  </si>
  <si>
    <t>1054228123162574848</t>
  </si>
  <si>
    <t>1353382706667692034</t>
  </si>
  <si>
    <t>1265227144516362242</t>
  </si>
  <si>
    <t>1333688642087186433</t>
  </si>
  <si>
    <t>1395061312518987776</t>
  </si>
  <si>
    <t>1253704232999415808</t>
  </si>
  <si>
    <t>1400011086259130368</t>
  </si>
  <si>
    <t>1364194708646371331</t>
  </si>
  <si>
    <t>2982897925</t>
  </si>
  <si>
    <t>1050600582627487746</t>
  </si>
  <si>
    <t>1116591962822336512</t>
  </si>
  <si>
    <t>1200290123641835521</t>
  </si>
  <si>
    <t>986348865203798016</t>
  </si>
  <si>
    <t>1170668533941850112</t>
  </si>
  <si>
    <t>2909948138</t>
  </si>
  <si>
    <t>1048116994644398080</t>
  </si>
  <si>
    <t>818393564774207488</t>
  </si>
  <si>
    <t>789332407518232580</t>
  </si>
  <si>
    <t>1255019353382125569</t>
  </si>
  <si>
    <t>1038436890628612096</t>
  </si>
  <si>
    <t>1235913449781133313</t>
  </si>
  <si>
    <t>167377627</t>
  </si>
  <si>
    <t>1100346243824312321</t>
  </si>
  <si>
    <t>1312853240</t>
  </si>
  <si>
    <t>216023937</t>
  </si>
  <si>
    <t>575898376</t>
  </si>
  <si>
    <t>2431539198</t>
  </si>
  <si>
    <t>2353140067</t>
  </si>
  <si>
    <t>1090238157918920705</t>
  </si>
  <si>
    <t>1112733905923170310</t>
  </si>
  <si>
    <t>1326689976013234179</t>
  </si>
  <si>
    <t>4834650669</t>
  </si>
  <si>
    <t>1268768058572591105</t>
  </si>
  <si>
    <t>971939648166506497</t>
  </si>
  <si>
    <t>608197563</t>
  </si>
  <si>
    <t>1364913583117664258</t>
  </si>
  <si>
    <t>1135196321462177792</t>
  </si>
  <si>
    <t>1956006787</t>
  </si>
  <si>
    <t>1168172697609596928</t>
  </si>
  <si>
    <t>1282331305519112192</t>
  </si>
  <si>
    <t>1079354624824332288</t>
  </si>
  <si>
    <t>380822929</t>
  </si>
  <si>
    <t>1092638905885573120</t>
  </si>
  <si>
    <t>130080979</t>
  </si>
  <si>
    <t>1409580911578914817</t>
  </si>
  <si>
    <t>1250070942287626244</t>
  </si>
  <si>
    <t>1272506240552206337</t>
  </si>
  <si>
    <t>1246455066287935488</t>
  </si>
  <si>
    <t>1344295125267087367</t>
  </si>
  <si>
    <t>1056257265609535488</t>
  </si>
  <si>
    <t>1260864137912975360</t>
  </si>
  <si>
    <t>1112043081178578944</t>
  </si>
  <si>
    <t>902030548058521600</t>
  </si>
  <si>
    <t>891979194</t>
  </si>
  <si>
    <t>1433093897207517184</t>
  </si>
  <si>
    <t>1253750523859070976</t>
  </si>
  <si>
    <t>1178158772620914688</t>
  </si>
  <si>
    <t>1134524509334134785</t>
  </si>
  <si>
    <t>1221726638246727682</t>
  </si>
  <si>
    <t>2177471370</t>
  </si>
  <si>
    <t>1043901011008532480</t>
  </si>
  <si>
    <t>1058503653038800897</t>
  </si>
  <si>
    <t>804238763257798656</t>
  </si>
  <si>
    <t>1220601385713946625</t>
  </si>
  <si>
    <t>1330495968618422275</t>
  </si>
  <si>
    <t>930040753014816770</t>
  </si>
  <si>
    <t>1085126498</t>
  </si>
  <si>
    <t>1105447775968276482</t>
  </si>
  <si>
    <t>1239945112370556928</t>
  </si>
  <si>
    <t>736086448684703744</t>
  </si>
  <si>
    <t>946790289657565185</t>
  </si>
  <si>
    <t>963959636473741312</t>
  </si>
  <si>
    <t>634695539</t>
  </si>
  <si>
    <t>1365928519</t>
  </si>
  <si>
    <t>183895780</t>
  </si>
  <si>
    <t>1188257728050810881</t>
  </si>
  <si>
    <t>1383673326183141383</t>
  </si>
  <si>
    <t>866977522931572736</t>
  </si>
  <si>
    <t>1434903691509649412</t>
  </si>
  <si>
    <t>1074624527894700032</t>
  </si>
  <si>
    <t>786511816562126849</t>
  </si>
  <si>
    <t>799050749980254208</t>
  </si>
  <si>
    <t>1113465019</t>
  </si>
  <si>
    <t>242485315</t>
  </si>
  <si>
    <t>1308741041260908544</t>
  </si>
  <si>
    <t>314040433</t>
  </si>
  <si>
    <t>1066366539765444608</t>
  </si>
  <si>
    <t>1258368464026132480</t>
  </si>
  <si>
    <t>1135854626136137733</t>
  </si>
  <si>
    <t>1118070502042390529</t>
  </si>
  <si>
    <t>4717740148</t>
  </si>
  <si>
    <t>1159893816</t>
  </si>
  <si>
    <t>1403593491385487362</t>
  </si>
  <si>
    <t>1399869077384925189</t>
  </si>
  <si>
    <t>709010634</t>
  </si>
  <si>
    <t>1430107145693896713</t>
  </si>
  <si>
    <t>1222090893525520385</t>
  </si>
  <si>
    <t>929765430897422337</t>
  </si>
  <si>
    <t>864220260</t>
  </si>
  <si>
    <t>285502760</t>
  </si>
  <si>
    <t>1341919558555209730</t>
  </si>
  <si>
    <t>1129936609</t>
  </si>
  <si>
    <t>1004634715364589569</t>
  </si>
  <si>
    <t>203119665</t>
  </si>
  <si>
    <t>1180245895142506496</t>
  </si>
  <si>
    <t>1353901713342664704</t>
  </si>
  <si>
    <t>1354401400558522377</t>
  </si>
  <si>
    <t>1379995794892222467</t>
  </si>
  <si>
    <t>1337953051294896129</t>
  </si>
  <si>
    <t>1338485044529119232</t>
  </si>
  <si>
    <t>1394144343280128000</t>
  </si>
  <si>
    <t>1348463360296112132</t>
  </si>
  <si>
    <t>1382696043901562887</t>
  </si>
  <si>
    <t>821746821441556480</t>
  </si>
  <si>
    <t>1173806418429804544</t>
  </si>
  <si>
    <t>474836414</t>
  </si>
  <si>
    <t>1315819202033315840</t>
  </si>
  <si>
    <t>1189195077836398592</t>
  </si>
  <si>
    <t>370282927</t>
  </si>
  <si>
    <t>1000651937061060608</t>
  </si>
  <si>
    <t>1427473863932215299</t>
  </si>
  <si>
    <t>603327770</t>
  </si>
  <si>
    <t>965067604330102785</t>
  </si>
  <si>
    <t>1281626082945282049</t>
  </si>
  <si>
    <t>4583592733</t>
  </si>
  <si>
    <t>359177627</t>
  </si>
  <si>
    <t>238908321</t>
  </si>
  <si>
    <t>368194171</t>
  </si>
  <si>
    <t>197488018</t>
  </si>
  <si>
    <t>237530329</t>
  </si>
  <si>
    <t>133957073</t>
  </si>
  <si>
    <t>961416468763037696</t>
  </si>
  <si>
    <t>124466389</t>
  </si>
  <si>
    <t>2419940252</t>
  </si>
  <si>
    <t>382681603</t>
  </si>
  <si>
    <t>419376183</t>
  </si>
  <si>
    <t>742738435</t>
  </si>
  <si>
    <t>1248582222350651392</t>
  </si>
  <si>
    <t>75746290</t>
  </si>
  <si>
    <t>2711563154</t>
  </si>
  <si>
    <t>1369626206174281733</t>
  </si>
  <si>
    <t>36414779</t>
  </si>
  <si>
    <t>1186346362574524416</t>
  </si>
  <si>
    <t>22218406</t>
  </si>
  <si>
    <t>1237388705012187140</t>
  </si>
  <si>
    <t>568393913</t>
  </si>
  <si>
    <t>1027501035353337857</t>
  </si>
  <si>
    <t>920504443799572480</t>
  </si>
  <si>
    <t>1393751130983698435</t>
  </si>
  <si>
    <t>1094456984101826560</t>
  </si>
  <si>
    <t>114461725</t>
  </si>
  <si>
    <t>1398849952881668099</t>
  </si>
  <si>
    <t>1038852574378582017</t>
  </si>
  <si>
    <t>102978388</t>
  </si>
  <si>
    <t>1378355050729197573</t>
  </si>
  <si>
    <t>1344329608859009024</t>
  </si>
  <si>
    <t>1361294716172525569</t>
  </si>
  <si>
    <t>487168097</t>
  </si>
  <si>
    <t>54541128</t>
  </si>
  <si>
    <t>343993435</t>
  </si>
  <si>
    <t>2753228456</t>
  </si>
  <si>
    <t>740481894756683777</t>
  </si>
  <si>
    <t>818555029917315072</t>
  </si>
  <si>
    <t>3998664380</t>
  </si>
  <si>
    <t>2392460208</t>
  </si>
  <si>
    <t>86204665</t>
  </si>
  <si>
    <t>2233154352</t>
  </si>
  <si>
    <t>578059643</t>
  </si>
  <si>
    <t>1219855761104195584</t>
  </si>
  <si>
    <t>1909796108</t>
  </si>
  <si>
    <t>277366959</t>
  </si>
  <si>
    <t>1418984712891248642</t>
  </si>
  <si>
    <t>1164423875511218176</t>
  </si>
  <si>
    <t>3221202481</t>
  </si>
  <si>
    <t>It's kind of fun to do the impossible.
BUMN | International Olympic Committee | FIBA Central Board Member</t>
  </si>
  <si>
    <t>Miss him
Netflix chill enthusiast</t>
  </si>
  <si>
    <t>FounderM7Pro|MASATA|GenPIJateng| AwanBiruIndonesia|AEOC|INCCA| KadinKotaSemarang|HIPMIJateng|KNPIJateng|Jasmev|TemanJokowiJateng|MAFINDOSemarang|PemudaPancasila</t>
  </si>
  <si>
    <t>Hanya Manusia Biasa Yang Sedang Berusaha Meraih keridhoan Allah ta’ala
💗
Bank BRI  
094601051607532
A/N Yayasan Sahabat Gomil Peduli Yatim</t>
  </si>
  <si>
    <t>Bonda Bunga El Nashwa🕊</t>
  </si>
  <si>
    <t>Menfess bot untuk membahas tentang rl ━ Pahami rules sebelum menggunakan ✨ Pengaduan/PP : @octobecr @thericherr┊Sub base : @tanyakanrl @drakorthings</t>
  </si>
  <si>
    <t>| Akun autobase sebagai perantara sender yang bersifat anonim | Trigger: oyi | Pengaduan &amp; Paid Promote Contact: @SNgalamfess 📩 ngalammenfess@gmail.com</t>
  </si>
  <si>
    <t>Jurnalisme Rasa. Memori. Bernas. Tulisan Seri | Waktunya merevolusi pemberitaan. Ikuti kami! | Instagram: @voidotid</t>
  </si>
  <si>
    <t>an autobase for sell or buy related to kpop stuffs (official/unofficial) based on any fandoms ㅡ report &amp; pp contact @siningadu ㅡ sub @dagangkr @boygroupzones</t>
  </si>
  <si>
    <t>Event Management, Media Event , Digital Marketing, Creative Lab.</t>
  </si>
  <si>
    <t>мануалист</t>
  </si>
  <si>
    <t>...</t>
  </si>
  <si>
    <t>#리노 : ' thanks to the choices I made I was able to meet these 8 members of stray kids ' 🕊 she/her
       🌼 #linoriengfeedbacks</t>
  </si>
  <si>
    <t>Always in mood for violence #KerajaanBangsat #EatTheRich</t>
  </si>
  <si>
    <t>two six. she/her. lee felix is my inspiration</t>
  </si>
  <si>
    <t>silent</t>
  </si>
  <si>
    <t>метеоролог</t>
  </si>
  <si>
    <t>she/her 21 | SKZ | Winner | DPR</t>
  </si>
  <si>
    <t>┊skz love bot ♡ ˎˊ˗ SHE%HER 6TEEN ✎ rcbyf</t>
  </si>
  <si>
    <t>Sit-Up Comedian • a Mom • Hatinya lebih luas dari badannya • IG: https://t.co/xHkspoKwFT • Part of #buibukSOCMED
❤️
Whatsapp: https://t.co/mgYFhbSePF</t>
  </si>
  <si>
    <t>Between Fantasy and Reality</t>
  </si>
  <si>
    <t>супервайзер</t>
  </si>
  <si>
    <t>|| L-STAY✨||
용기가 없다면 절대로 바다를 건널 수 없다❣️||
#christalskyfeedback</t>
  </si>
  <si>
    <t>personal trade and selling account | #jinniefeedback</t>
  </si>
  <si>
    <t>✨kdrama, moraeal, twit random thing🦊💛✨
 #kdramareviewx</t>
  </si>
  <si>
    <t>официант</t>
  </si>
  <si>
    <t>🐰🥑 || i tweet random things :)</t>
  </si>
  <si>
    <t>syaaa/wani...small acc🍀❣️🤡 #skzot8 #EXOot9</t>
  </si>
  <si>
    <t>행복</t>
  </si>
  <si>
    <t>Official account of PT PLN (Persero)</t>
  </si>
  <si>
    <t>Official IndiHome Twitter Account. Untuk pengaduan layanan silakan melalui @indihomecare</t>
  </si>
  <si>
    <t>나디아</t>
  </si>
  <si>
    <t>#Lovestay</t>
  </si>
  <si>
    <t xml:space="preserve"> multifandom '                                                                             
just do the best in your life 🤍</t>
  </si>
  <si>
    <t>❥☕ || 💜💜💜 ᵇᵗˢ❣️ᵃʳᵐʸ
♡@lys_epiphany</t>
  </si>
  <si>
    <t>୨୧ ˻˳˯ₑ*॰¨̮ you are perfect just the way you are are  ༉‧₊˚✧ enha lovebot ༉‧₊˚✧#ENHYPEN #TBZ #TXT</t>
  </si>
  <si>
    <t>радиомеханик</t>
  </si>
  <si>
    <t>писатель</t>
  </si>
  <si>
    <t>танцор балета</t>
  </si>
  <si>
    <t>Stray kids stan. Selling and trade pc or album.</t>
  </si>
  <si>
    <t>Dimulai dari mimpi dan garasi</t>
  </si>
  <si>
    <t>more than enough</t>
  </si>
  <si>
    <t>multifandom.</t>
  </si>
  <si>
    <t>Call center covid-19 RSU Sayidiman Magetan: Tel: +62351 895023 l WA: +6281133352898. RS rujukan: RSU Sayidiman l RSU Efram Harsana</t>
  </si>
  <si>
    <t>Mengelola Tatanan Dunia</t>
  </si>
  <si>
    <t>Official Account of Pos Indonesia</t>
  </si>
  <si>
    <t>Official account of Telkom Indonesia | Untuk layanan customer, silakan hubungi @IndiHome dan @TelkomSolution.</t>
  </si>
  <si>
    <t>Blogger, Jornalista amador nas horas vagas, Bacharel em direito e apaixonado por futebol. @csaoficial @manutd @realmadrid ✍🏼  @Mrashfordbr ↔️ @RealBrasil_BR</t>
  </si>
  <si>
    <t>Cántabru 💢 RSGT 💙🤍 ATM ❤️🤍  ¡¡NO QUIERO SER CÓMO TÚ (ni cómo nadie)!!</t>
  </si>
  <si>
    <t>Takaful consultant PruBsn . Seorang alip yg  masih tercari rentak hidup. 
#hibahkanhartaanda</t>
  </si>
  <si>
    <t>force of freakin nature || let me know if you need people, i’m around</t>
  </si>
  <si>
    <t>Tourism - Business- Investment | Wisma El John Indonesia, Mal SKA Blok H-102 Pekanbaru, ID 28294 | Office : 0761851278 | SMS / WA : 081977686888</t>
  </si>
  <si>
    <t>SBS = Sungchan's Biggest Simp</t>
  </si>
  <si>
    <t>OFFICIAL SICEPAT EKSPRES |
Tanya keberadaan paket, hubungi CS kami,
📞 : 021-5020-0050/WA : 0813-1920-0030
📩 : customer.care@sicepat.com
#KetikaSemuaJadiMudah</t>
  </si>
  <si>
    <t>I had a marvelous time ruining everything 💜⌚</t>
  </si>
  <si>
    <t>Mitra JNE Depok | GRATIS JEMPUT BARANG | Jl. Raya Jakarta - Bogor KM.29 PAL No.6 Cimanggis - Depok | WA/Call : 0856 8000027 BBM : DBCD7599</t>
  </si>
  <si>
    <t>Portal Informasi Lowongan Kerja Padang dan Sumatera Barat #lokersumbar #lokerpadang #padangjobs #padangjobs_id #media #informasi #infosumbar #loker #cpns #bumn</t>
  </si>
  <si>
    <t>Ika | 26 | penang | married tanya intro lagi aku cepuk ! ✌</t>
  </si>
  <si>
    <t>Info Lowongan Kerja CPNS BUMN Swasta Untuk Lulusan SMA SMK MA D1 D2 D3 D4 S1 S2</t>
  </si>
  <si>
    <t>all I need is someone who won't give up on me 🧠</t>
  </si>
  <si>
    <t>WANNA ONE ♥ Wannable |
CIX ♥ AB6IX  |
FIX ~♥~  ABNEW |
배진영 ♡ 
Danity, Welo, Win:D, Hanuel, May, Babal,  L.O.Λ.E , Guanlin Stan ♡</t>
  </si>
  <si>
    <t>bukan siapa-siapa</t>
  </si>
  <si>
    <t>Paketmu aman di-Anteraja 📦🤗 // CS Anteraja via WA: 081196109367 // Tracking: https://t.co/CUIRtGBjYF // Jam operasional : Senin-Minggu | 10.00-20.00 WIB</t>
  </si>
  <si>
    <t>The sun always comes back around :)</t>
  </si>
  <si>
    <t>Αθλητικά (και όχι μόνο) νέα, αποκαλύψεις, παρασκήνια, βίντεο και... όποιος αντέξει!</t>
  </si>
  <si>
    <t>L-1485♡</t>
  </si>
  <si>
    <t>❤️ChanKaiBaekSooChenXiuLaySuHun ❤️ currently being militaryy girlfriend and waiting him return back 🙊💪🏻 Chanyeol EXO  | Taeyong NCT</t>
  </si>
  <si>
    <t>Tomorrow is not a promise</t>
  </si>
  <si>
    <t>Slip back out of whack at your best</t>
  </si>
  <si>
    <t>Official Account Bravo Bea Cukai, Partner of @BeacukaiRI and @KemenkeuRI. Please contact us in https://t.co/oxQoZlC6pN https://t.co/GrrnTkZJP2 #beacukaimakinbaik</t>
  </si>
  <si>
    <t>физик</t>
  </si>
  <si>
    <t>“Understanding people is an art. Not everyone is an artist.”</t>
  </si>
  <si>
    <t>Tweet hanya berkaitan Famili &amp; Diri Sendiri...  #JiwangTolakTepi  #PeminatTegarKucing</t>
  </si>
  <si>
    <t>❗30 hari ga kirim menfess keunfoll otomatis❗• Autobase wtb/wts/wtt/wta kpop all fandom • Pengaduan &amp; PP ke @swgxyb • Sub @sellkpopdata • Shop: @jastipkonserkuy</t>
  </si>
  <si>
    <t>find your 트레저 in the 캐럿랜드 💎</t>
  </si>
  <si>
    <t>trading and selling account to help MY carats WTS/WTT/WTB their items. feel free to mention us in your tweet or sent it to our CC. enjoy 🛒🎉</t>
  </si>
  <si>
    <t>A trading &amp; selling account for Malaysian Carats by @wonbillionGOs! Enjoy 🛒😉</t>
  </si>
  <si>
    <t>buy/sell/trade account for malaysian carat. tag us and we will retweet. beware of scammer 👌🏻</t>
  </si>
  <si>
    <t>We will retweet/quote your WTS/WTT/WTB ❤️ We will not responsible for any purchase 👌 DM us for any enquiries. Don’t forget to tag us 🙈 Fan account</t>
  </si>
  <si>
    <t>Malaysian CARATs acc only for WTS/WTT/WTB. Kami tidak bertanggungjawab atas urusan urusniaga anda.</t>
  </si>
  <si>
    <t>Anak semua bangsa</t>
  </si>
  <si>
    <t>(BUDAYAWAN MANDIRI CINTA FB) NKRI Harga mati, Bali selalu di hati</t>
  </si>
  <si>
    <t>🎉 Shopee 10.10 Brands Festival 🎉
🚛 Free Shipping Min. Spend RM10
🎁 50% Off Big Brand Discounts
🚗Tap &amp; Win Toyota Vios
🇲🇾 IT'Z Sho-pee-pee-pee 🌈</t>
  </si>
  <si>
    <t>🚴🏼‍♂️ 🐟</t>
  </si>
  <si>
    <t>Belajarlah dari Jembatan Ampera. Tetap tegak biarpun ganti Orde dari sedjak doeloe.</t>
  </si>
  <si>
    <t>Fruit plant seed | Seller bibit tanaman | petani</t>
  </si>
  <si>
    <t>menfess bot for real life, about love, about toxic relationship📍| managed by @laporppsini | sub base @sygfess | /cancel untuk hapus mfs</t>
  </si>
  <si>
    <t>Don't love me, it's a sin. Find me on my second acc, cause i'm not an active user here, just ask me first.</t>
  </si>
  <si>
    <t>ⓙⓤⓢⓣ  ⓡⓔⓣⓦⓔⓔⓣ 👍😉</t>
  </si>
  <si>
    <t>Faiz Annuar ❤
Nur Alissa Humaira ❤️</t>
  </si>
  <si>
    <t>AUTHORISED AGENT ARGANIA | TEMYRACLE |
Queen to @_matsyaf and little Aaira Arisya</t>
  </si>
  <si>
    <t>F2*</t>
  </si>
  <si>
    <t>Berbagi informasi lowongan kerja #loker di https://t.co/l2r06C4fZd</t>
  </si>
  <si>
    <t>take time to laugh, it is the music of the soul</t>
  </si>
  <si>
    <t>and if I die , forgive me😔</t>
  </si>
  <si>
    <t>Be yourself 🏄</t>
  </si>
  <si>
    <t>🤍🌻</t>
  </si>
  <si>
    <t>Ikhlas Melayani Negeri | ☎️ 05116724712 | 📱 0811500830 (Layanan Informasi 24 jam) | 📩 kppbc.bjm@gmail.com (Kantor) | 📩</t>
  </si>
  <si>
    <t>Libra ✨</t>
  </si>
  <si>
    <t>🔞𝐅𝐈𝐂𝐓𝐈𝐎𝐍𝐀𝐋, 𝒘𝒓𝒊𝒕𝒕𝒆𝒏 𝒃𝒚 #Rū － 𝑰 𝒂𝒎 𝒘𝒉𝒐 𝒊 𝒂𝒎. 𝒀𝒐𝒖𝒓 𝒂𝒑𝒑𝒓𝒐𝒗𝒂𝒍 𝒊𝒔 𝒏𝒐𝒕 𝒏𝒆𝒆𝒅𝒆𝒅 －</t>
  </si>
  <si>
    <t>Lock account</t>
  </si>
  <si>
    <t>Semoga Semua Berbahagia</t>
  </si>
  <si>
    <t>; #StrayKids ♡</t>
  </si>
  <si>
    <t>#한지성: welcome to quokka world!  — she/her | 01'</t>
  </si>
  <si>
    <t>21 
she/her 
VIP + STAY
feedback: #hyunjiyoungeinfeedback</t>
  </si>
  <si>
    <t>She 18
#sofeamongfeedback
https://t.co/jHfnfIj0JM</t>
  </si>
  <si>
    <t>🇲🇾 part time GO x 🍀 full time STAY
#찬 #민호 #창빈 #현진 #한 #용복 #승민 #정인</t>
  </si>
  <si>
    <t>having 8 angels in my life would be enough | 💙🤍</t>
  </si>
  <si>
    <t>#giveawayija</t>
  </si>
  <si>
    <t>#스트레이키즈 | till the last step out ♡ (thinking about kim seungmin 24/7 365)</t>
  </si>
  <si>
    <t>she%her | full time Hyuniner</t>
  </si>
  <si>
    <t>catboy (๑･̑◡･̑๑) #nischickunboxing | #nisfeedback</t>
  </si>
  <si>
    <t>exo-l, stay &amp; fantasy ❤️ 20 🤚🏻</t>
  </si>
  <si>
    <t>#방찬 's gf | @nyhoongi</t>
  </si>
  <si>
    <t>#4댱hey 🐰🐶🤍 || 🇲🇾 18, rcbyf</t>
  </si>
  <si>
    <t>Not your typical ideal type🌹</t>
  </si>
  <si>
    <t>♡ 말 할 수 없는 비밀 ♡ #hanjishine_feedback</t>
  </si>
  <si>
    <t>#필릭스: Stay believe in Stray Kids #8 she’s deeply inlove with jeonginn | +60</t>
  </si>
  <si>
    <t>menunggu album skz tk smpai²,diri ini berserah sahaja</t>
  </si>
  <si>
    <t>#nct i'm the sticker for your love |providing rt service only~ 🇲🇾 MY based 
 --wts/wtt/wtb         
 strictly for nct onlyyy❗
do not responsible for scammers❗</t>
  </si>
  <si>
    <t>🇲🇾 | #xuxisyxFB *ೃ༄</t>
  </si>
  <si>
    <t>MAINLY FOR 🇲🇾 MALAYSIAN NCTZENS &amp; WEISHENNIES ㅡ WTS WTT WTB LFB LFS TWEET. mention/dm for retweet and promote! #myncteamupdate #myncteamfb 🌐</t>
  </si>
  <si>
    <t>promoting/rt account for wts/wtt/wtb nct + wayv! || 5 admins! || based in 🇲🇾</t>
  </si>
  <si>
    <t>just another lost angle.</t>
  </si>
  <si>
    <t>리노 : If you hate yourself, remember that you are not alone. A lot of people hates you too.
#bucinhwghyunjinfb (feedbacks) | paypal/ intl bank transfer services</t>
  </si>
  <si>
    <t>👻💀</t>
  </si>
  <si>
    <t>#HYUNJIN : °·._. ᵘʳ ᵇᵉʰᵃᵛⁱᵒʳ ⁱˢ ˢᵒ ᵘᵍʰ•._.·° SHE/HER @stray_kids #현진 #SKZ8 Malaysia Stay 🇲🇾 || HyunLix Bae #PiecesofhyuneFeedback</t>
  </si>
  <si>
    <t>Akun Twitter Resmi Kementerian BUMN | Jl. Medan Merdeka Selatan No.13 Jakarta | (021) 29935678 | https://t.co/ecmVuaYvjl</t>
  </si>
  <si>
    <t>check likes for giveaways!</t>
  </si>
  <si>
    <t>21; neocity’23 #TEN 💗</t>
  </si>
  <si>
    <t>ini akun dagang dan sedikit sambat
PEMESANAN H-2 🙏
DIMSUM•EKADO•CIRENG RUJAK•CIRENG ISI•NUGGET</t>
  </si>
  <si>
    <t>*TOP AGENT IVORY SECRET 🌸*
Fast Respond 🚀
Postage Everyday 
Postage Seluruh Malaysia 🚛</t>
  </si>
  <si>
    <t>|| 𝔻𝕣𝕖𝕒𝕞 𝕀𝕟 𝔸 𝔻𝕣𝕖𝕒𝕞💚|| PC Request ❌ || 4 admins🐰🐹🐬🐧|| #MYDreamFeedbacks #MYDreamTracking #MYDreamArrivals #MYDreamUpdates || Tag us for RT ||</t>
  </si>
  <si>
    <t>sell/trade/buy 🇲🇾 || admin🌹😺; do tag us; refer our carrd in bio</t>
  </si>
  <si>
    <t>NCT WAYV SuperM — wts wtb wtt 🇲🇾</t>
  </si>
  <si>
    <t>tmpat ngeluh</t>
  </si>
  <si>
    <t>Mahasiswa Hukum | Merdeka sejak lahir | Nge-tweet apa aja</t>
  </si>
  <si>
    <t>Muggle • Do Kyungsoo 🐧 도경수</t>
  </si>
  <si>
    <t>trade buy sell for all group!!</t>
  </si>
  <si>
    <t>Base automenfess yang membahas tentang hal apapun, RL, lucu-lucuan dll. | Pengaduan tag/dm : @sudrajart | Rules cek link bio.</t>
  </si>
  <si>
    <t>don’t bother with the tweet</t>
  </si>
  <si>
    <t>Berbagi Info Lowongan wilayah Sumatera
https://t.co/ZFdJvI7gpE</t>
  </si>
  <si>
    <t>man jadda wa jada</t>
  </si>
  <si>
    <t>rajuter</t>
  </si>
  <si>
    <t>PEMERINTAH KABUPATEN BULELENG</t>
  </si>
  <si>
    <t>idgaf</t>
  </si>
  <si>
    <t>♡´･ᴗ･`♡</t>
  </si>
  <si>
    <t>23 | C'est la vie | Chingu Topokki, Turbulence Chocolate, Temyracle (MD3.3.0.11.1)</t>
  </si>
  <si>
    <t>트메 ☆ﾟ.*･｡ﾟ시즈니☆ﾟ.*･｡ﾟ더비☆ﾟ.*･｡ﾟ캐럿☆ﾟ.*･｡ﾟ</t>
  </si>
  <si>
    <t>hoon's girlf
designer :^
selling merch in cheap/affordable price
#cococheezyupdate #cococheezyfeedback</t>
  </si>
  <si>
    <t>im falling apart here</t>
  </si>
  <si>
    <t>Multi •
내가 있다고,
수고했다고,
사랑한다고,
꽉 안아준다고 🌼</t>
  </si>
  <si>
    <t>kpop multifandom ✨
#faminics
#ayuminati
#famria
#shanshine
#isawFami
#hiyakhi
#reefphoria
#marurupok</t>
  </si>
  <si>
    <t>wts/wtt/wtb rt acc for nct wayv superm!</t>
  </si>
  <si>
    <t>Media Informasi Lowongan Kerja Seluruh Indonesia
✉️ iklan@disnakerja.com
UNTUK RETWEET: Mention info loker ke @disnakerja_com</t>
  </si>
  <si>
    <t>Twitter resmi https://t.co/rPOl9T6Yb5.
Download aplikasi Tribunnews untuk mendapatkan berita terkini https://t.co/XzdN5toanx…
Email: redaksi@tribunnews.com</t>
  </si>
  <si>
    <t>Hi,
✨Multi stan(more to ahgase💚,doebi🍞,clue,else)
✨18✨Love doing arts🎨</t>
  </si>
  <si>
    <t>she/her 👑💚❤️📢💎#miyongyuupdates #miyongyufeedback</t>
  </si>
  <si>
    <t>multifandom~♡ | selling, buying &amp; trading acc |</t>
  </si>
  <si>
    <t>read carrd byf | he/him | 21 | multi but mostly #nct #btob #tbz</t>
  </si>
  <si>
    <t>your existence is limitless 彡</t>
  </si>
  <si>
    <t>#findingdeobis</t>
  </si>
  <si>
    <t>Pelaksana Program DPWKP &amp; SWDKLLJ
Temui Kami di Samsat Terdekat di Kota Anda</t>
  </si>
  <si>
    <t>I WANT DOMINO MV 
#tiaracuteupdates 
#tiaracutefeedbacks</t>
  </si>
  <si>
    <t>★ for malaysian fantasy 🌌 ★ trade and sell your SF9 item here ! ★ please mention us incl #pasarsf9 in your tweet to trade and sell your item 💗</t>
  </si>
  <si>
    <t>Malaysian 🇲🇾. My bias group is Monsta X, Pentagon, SF9, Oneus and Golden Child. I have a soft spot for Lee Jooheon, Yuto, Taeyang, Leedo and Jangjun ✨✨</t>
  </si>
  <si>
    <t>#PancasilaRumahKita https://t.co/BKFpmrFgHG</t>
  </si>
  <si>
    <t>ngopi
ngaji
happy</t>
  </si>
  <si>
    <t>hanya sebutir debu yang selalu cinta Indonesia 🇮🇩</t>
  </si>
  <si>
    <t>Perjuangan bangsa indonesia bukan hanya dari masa lalu, hari ini juga hari esok, dan selamanya. Perjuangan kita belum berakhir. #indonesiaMaju</t>
  </si>
  <si>
    <t>Yang Waras Jangan DIAM  !! NKRI Harus Tetap UTUH</t>
  </si>
  <si>
    <t>"Mencoba Untuk Menghargai tanpa Pamrih" #JalinPersatuan #IndonesiaTanpaRasis ITR-1</t>
  </si>
  <si>
    <t>Akun hibah, 💯% follback</t>
  </si>
  <si>
    <t>🍒 𝐈𝐧𝐝𝐞𝐩𝐞𝐧𝐝𝐞𝐧 🔜 ᴡɪʟʟ ꜱʜᴏᴏᴛ ᴍʏ ꜱʜᴏᴛ ᴏɴᴄᴇ ᴀɴᴅ ᴏɴʟʏ ᴏɴᴄᴇ 🔚 ☕️</t>
  </si>
  <si>
    <t>Menjaga Merah Putih untuk terus berkibar 🇮🇩</t>
  </si>
  <si>
    <t>𝖘𝖍𝖊/𝖍𝖊𝖗 || 𝖜𝖍𝖎𝖕𝖕𝖊𝖉 𝖋𝖔𝖗 𝖊𝖗𝖎𝖈 𝖘𝖔𝖍𝖓 💕
@WE_THE_BOYZ</t>
  </si>
  <si>
    <t>A Great Mama</t>
  </si>
  <si>
    <t>Selalu bercermin pada diri sendiri sebelum berbuat kepada orang lain 🇲🇨 Bhinneka Tunggal Ika 🇲🇨</t>
  </si>
  <si>
    <t>Akun Resmi Kantor Wilayah Kementerian Hukum dan HAM Jawa Timur. Dikelola oleh Humas, Reformasi Birokrasi &amp; Teknologi Informasi.</t>
  </si>
  <si>
    <t>Twitter Deputi Bidang Reformasi Birokrasi, Akuntabilitas Aparatur dan Pengawasan,  Kementerian PANRB</t>
  </si>
  <si>
    <t>#큐 : you can do whatever you're set to do. believe in yourself. you can do it. it will turn out the way you want it.
   ⓛⓞⓥⓔ
♡deotinycaratzenfixtasy♡ ◡̈</t>
  </si>
  <si>
    <t>Jelajahi pusat perbelanjaan mobile, Shopee || Keluhan &amp; Pertanyaan: @ShopeeCare || CS: 1500702 / Klik: https://t.co/TyVMOn71ws</t>
  </si>
  <si>
    <t>Info Lowongan Kerja di Indonesia | Kontak: ads@jobsid.info</t>
  </si>
  <si>
    <t>.. Go FREEDOM #NewNormal  ..</t>
  </si>
  <si>
    <t>Januari | Freelancer; Writer, Editor | Perempuan Random | Anomali | A | Pencinta tokoh-tokoh fiksi |</t>
  </si>
  <si>
    <t>— cute things and hot manhwa mc ₍ᐢ..ᐢ₎♡̷</t>
  </si>
  <si>
    <t>Ex-Bodybuilder | Personal Trainer | Content Creation Coach | Design Consultant | Tech Expert | Founder of Setengah2 Design Studio 🐲</t>
  </si>
  <si>
    <t>Just call me Panda. Not available.</t>
  </si>
  <si>
    <t>This account is strictly for WTB WTS WTT THE BOYZ❗ Please buy sell and trade at your own risk. No scammers pls. #THEBOYZ</t>
  </si>
  <si>
    <t>Informasi Lowongan Kerja Indonesia terbaru setiap hari</t>
  </si>
  <si>
    <t>Tetap waspada &amp; peduli terhadap sesama. Mari mulai dengan menemukan informasi teraktual seputar perkembangan COVID-19 di sini! ⤵️⤵️⤵️</t>
  </si>
  <si>
    <t>i'm just a nobody.</t>
  </si>
  <si>
    <t>Info Lowongan Kerja Terbaru | Referensi Lowongan Kerja | Update Setiap Hari | Retweet Dan Mention Kami Dengan Hashtag #MitraLoker</t>
  </si>
  <si>
    <t>no answer also an answer 💚</t>
  </si>
  <si>
    <t>Informasi Lowongan Kerja Indonesia</t>
  </si>
  <si>
    <t>Important dates! 161219 - met D.O. in person / 170401 - Jinho gave 🌹 to me / I've met my bias irl 😭</t>
  </si>
  <si>
    <t>let people know more about you
NPNC I I'm slim and like slim too but that rule not effective if u want to be my friends.
i don't like old man chubby/ fat!</t>
  </si>
  <si>
    <t>volly</t>
  </si>
  <si>
    <t>citer dia camni ha pastu camtu, giteww. saja nak merepek okaylah bye</t>
  </si>
  <si>
    <t>Info Semarang Raya (https://t.co/rC1jZQ2H4S) adalah portal berita asal Semarang yang menjadi bagian dari jejaring Pikiran Rakyat Media Network (PRMN).</t>
  </si>
  <si>
    <t>「C/FA」이셜린/李雪琳 - “少而婉慧，有志操”. 아름다운 나야🌠. She/Her. ENTP-T. You can call me Lyn/Lin/Elin. I Adore Chittaphon Leechaiyapornkul, Kim Jungwoo, Bae Jinyoung, Kwak Dawit</t>
  </si>
  <si>
    <t>bukan kaum good looking
*Makhluk ga jelas*
|| #kiminations || #SobatGarangan || #tigergang</t>
  </si>
  <si>
    <t>ᴹᵃʳʳⁱᵉᵈ. 𝙼𝚈𝙾𝙱. 𝙻𝙼𝙰𝙾. 𝙹𝚞𝚜𝚝 𝚍𝚘𝚗’𝚝 𝚖𝚒𝚗𝚍 𝚖𝚎 𝚑𝚎𝚛𝚎. 𝙵𝚘𝚛 𝚛𝚊𝚗𝚝 𝚊𝚗𝚍 𝚏𝚞𝚗. 𝙳𝚘𝚗’𝚝 𝚝𝚊𝚔𝚎 𝚊 𝚜𝚝𝚎𝚙 𝚏𝚘𝚛𝚠𝚊𝚛𝚍. 𝙴𝚅𝙴𝚁.</t>
  </si>
  <si>
    <t>Ds , 24 . Am here to rant.</t>
  </si>
  <si>
    <t>There'll be no clear skies If I lose you, baby</t>
  </si>
  <si>
    <t>Simply mention us your WTT &amp; WTS and we will RT anytime when we free🤸🏻‍♀️</t>
  </si>
  <si>
    <t>#BigBozz : Jangan pernah lelah untuk selalu berbuat baik, apapun alasannya!</t>
  </si>
  <si>
    <t>A mere student, taught by many. | SMKSI-Semera-KMJ</t>
  </si>
  <si>
    <t>Semoga Mili terus istiqamah dan menjadi yang terbaik dari hari ke hari 😉💚</t>
  </si>
  <si>
    <t>she/her 🇲🇾</t>
  </si>
  <si>
    <t>Maaf Lahir Bathin</t>
  </si>
  <si>
    <t>Informasi Lowongan Kerja Terbaru #loker #lowongankerja</t>
  </si>
  <si>
    <t>Bangunkan aku disaat aku peduli🐙</t>
  </si>
  <si>
    <t>wts/wtb/wtt acc for 🇲🇾 deobis!</t>
  </si>
  <si>
    <t>Bakery 🍰
https://t.co/zGGZtUmCnw</t>
  </si>
  <si>
    <t>20+🔮 and i went like ^O^</t>
  </si>
  <si>
    <t>Towards greater achievements</t>
  </si>
  <si>
    <t>혀니비니 ♡ • skzpopper • i tweet about #SikHye a lot :b</t>
  </si>
  <si>
    <t>👑 
0'2
Deobie🐝💗multi;)</t>
  </si>
  <si>
    <t>Multifans💫
EXO-L 🐧 Nctzen 🐙 Melody 💙 Ahgase 💚 Ikonic ❤ Fantasy 👑 Stay 🐺 Atiny 💃 MOA 👶</t>
  </si>
  <si>
    <t>mint choc enthusiast #8🐶</t>
  </si>
  <si>
    <t>02z ♡ multistan | If i were you, i would totally adore me</t>
  </si>
  <si>
    <t>selling/trading acc    #jeonginfoxyy_feedback</t>
  </si>
  <si>
    <t>#트와이스 #스트레이키즈         •STRAY KIDS WORLD DOMINATION</t>
  </si>
  <si>
    <t>buying selling voting acc</t>
  </si>
  <si>
    <t>i have a dog | i sing sometimes | i share my sadness, loneliness in here</t>
  </si>
  <si>
    <t>admin ☀️| wtt? wts? wtb? you tag or #pasarpiwon , i retweet. happy shopping / trading besties 🛒💸 @P1H_official #P1Harmony #피원하모니</t>
  </si>
  <si>
    <t>05 liner✨ (yangdo service are close!) bump on DM if i didn't reply in 24 hours💜 -G.O &amp; GA’s #jeromechanheefeedback #jeromechanheeupdate #jeromechanheeGA</t>
  </si>
  <si>
    <t>Biologi | QC | Titip Bagus | Berbagi, Berkarya, Bertumbuh</t>
  </si>
  <si>
    <t>flying on my way</t>
  </si>
  <si>
    <t>01's  •  she/her  •  full time stray kids love bot that doesn't get paid 🐿️</t>
  </si>
  <si>
    <t>buy/sell/trade acc 📍EM, taehyung collector</t>
  </si>
  <si>
    <t>BTS OFFICIAL MERCH TRADE Account between MALAYSIAN ARMY🇲🇾
| RT TRADE/SELL/BUY tweets related to BTS only |
Check 📌 thread for Traders💜
❗MUST OFFICIAL❗</t>
  </si>
  <si>
    <t>Just a promote account</t>
  </si>
  <si>
    <t>Hello, I’ve created this account especially for Malaysian Kpop fans to trade their merchandise, photocard, album and etc..</t>
  </si>
  <si>
    <t>— A place to trade, buy &amp; sell any BTS related items inc official and fanmade | Please mention/quote/tag me to RT ♡ #pasarBTS</t>
  </si>
  <si>
    <t>mikrokosmos enthuasist | 02 | multi | introvert #voinfeedback</t>
  </si>
  <si>
    <t>˖ 🦋 ᝬ #SOWHAT In the middle of the road, in the moment you want to give up, shout out even louder “so what?”</t>
  </si>
  <si>
    <t>ᴹʸ ᴼᴮˢᴱˢˢᴵᴼᴺ ᴵˢ 김태형 | lovely jubbly bear | cleaner hybe | part time engene @heestrowbearyy | selling some kpop stuffs #yahfeedbacks</t>
  </si>
  <si>
    <t>she/her - ⬭ i love Enhypen</t>
  </si>
  <si>
    <t>love of my life ♡ @BTS_twt @ENHYPEN_members 📍ds</t>
  </si>
  <si>
    <t>260621 ㅡ #범규: yeah hi bestie~ | #FREEPALESTINE 🇵🇸 | #hees_feedback / #hees_arrival / #hees_update</t>
  </si>
  <si>
    <t>#지국:너는 나 나는 너
     She/Her || 16</t>
  </si>
  <si>
    <t>𝙄 𝙣𝙚𝙚𝙙 𝙖 𝙝𝙪𝙜ᵉ ᵃᵐᵒᵘⁿᵗ ᵒᶠ ᵐᵒⁿᵉʸ | armoagenecaratstay</t>
  </si>
  <si>
    <t>｡ﾟ･ 𖥸──-ˋˏ yangjungwon🐾 ˊ-──𖥸 ｡ﾟ･</t>
  </si>
  <si>
    <t>i still want to believe even though its unbelieveable</t>
  </si>
  <si>
    <t>bts | txt | enha | skz | astro | ateez | cravity | nct | tbz</t>
  </si>
  <si>
    <t>Info berlangganan Koran/E Koran ☎ 0853 4151 1157 Pengaduan Langganan: ☎ 0401 3126 513 ☎ 0812 4158 4763 ☎ 0811 4057 290</t>
  </si>
  <si>
    <t>— SHE%HER ♡ 95's loml</t>
  </si>
  <si>
    <t>https://t.co/QFDcgkorMf // multistan // she/her</t>
  </si>
  <si>
    <t>𝟸𝟷 (っ◔◡◔)っ ♥ 𝒶𝓇𝓂𝓎 | #irdina_feedback</t>
  </si>
  <si>
    <t>down bad for taehyung</t>
  </si>
  <si>
    <t>"but y-you're #1 most handsome man in the world"</t>
  </si>
  <si>
    <t>seokjinnie only jinnie.. Company stan❌❌❌</t>
  </si>
  <si>
    <t>Non-profitable; Ungovernable; Political-FREE; Pure Malaysian. Born gifted to
Read, Copy &amp; Command Nature Signal Universe Language. #IKHLAS #SETIA #AKSARAMISTERI</t>
  </si>
  <si>
    <t>Twitter Rasmi Kementerian Pertahanan Malaysia</t>
  </si>
  <si>
    <t>Official Twitter account of the Royal Malaysian Navy</t>
  </si>
  <si>
    <t>Official Royal Malaysian Air Force Account</t>
  </si>
  <si>
    <t>Laman Rasmi Twitter bagi 
Angkatan Tentera Malaysia</t>
  </si>
  <si>
    <t>.⋆｡⋆༶⋆˙⊹ *: 𝘩𝘢𝘱𝘱𝘺 𝘱𝘭𝘢𝘤𝘦 ･ﾟ✧* * ع˖⁺ ☁⋆ ୭ 🕊.⋆｡⋆༶⋆˙⊹MANIFESTING MOTS ON:E DVD TAE PC🧘🏻‍♀️🧘🏻‍♀️🧘🏻‍♀️🧘🏻‍♀️🙏🏻🙏🏻🙏🏻🙏🏻🙏🏻🧎‍♀️🧎‍♀️🧎‍♀️</t>
  </si>
  <si>
    <t>i love taehyung not you | she/her</t>
  </si>
  <si>
    <t>Having fun and happiness in my own way and interests.....
😊BTSxARMY Forever😊 💜💜💜💜</t>
  </si>
  <si>
    <t>lector et emergo</t>
  </si>
  <si>
    <t>FAN ACCOUNT FOR BTS ONLY(◍•ᴗ•◍)💜OT7
🖤black hair bangtan🖤</t>
  </si>
  <si>
    <t>thinking about bangtan 24/7</t>
  </si>
  <si>
    <t>i’m a good girl</t>
  </si>
  <si>
    <t>#ARITAN #MCU #KT</t>
  </si>
  <si>
    <t>i'm back ,not sure for good or not but yeah for now im back bitches.</t>
  </si>
  <si>
    <t>#문화특사소년단</t>
  </si>
  <si>
    <t>an idyllic view ☆〜（ゝ。∂）</t>
  </si>
  <si>
    <t>꒰🤍⛓꒱ *ੈ✩‧₊˚ #방탄소년단 #BTSARMY 2015 🇲🇾 ⋆.ೃ࿔*:･ done is better than perfect 🐰🥛彡 970901 ꒰⑅ᵕ༚ᵕ꒱˖ ᥫ᭡ 🐨🐱🦄🐥🐻 ❛🐹🐰❜ @peachykimz_ 💭 #cheriekoo_ga</t>
  </si>
  <si>
    <t>boys are disappointing but u know who isnt? RM Jin Yoongi JK Jimin J-Hope V</t>
  </si>
  <si>
    <t>Half 52 || I speak fluent sarcasm || ISFP || Sometimes tweet depressing shit</t>
  </si>
  <si>
    <t>in love w @BTS_twt / love myself / let's believe in ourselves - best leader</t>
  </si>
  <si>
    <t>Let them be them, let us be us. Love is a maze damn but you is amaze ♥ - #김남존</t>
  </si>
  <si>
    <t>There is beauty in everything just not everybody sees it - Jimin.
🍒 If anybody wants to be moot just tell me</t>
  </si>
  <si>
    <t>full time army and part time moa
•jungkook •beomgyu</t>
  </si>
  <si>
    <t>|| dubaddu wari wari || down bad for jikook ||
@BTS_twt ♡ @ENHYPEN_members ♡ @TXT_members my healing source</t>
  </si>
  <si>
    <t>you gotta seize the opportunity</t>
  </si>
  <si>
    <t>bts + enhypen = the loml</t>
  </si>
  <si>
    <t>#SEOKJIN - 너 자신의 수고는 너만 알면 돼 💜✨ moarmyengene🤍</t>
  </si>
  <si>
    <t>let me paint the sky</t>
  </si>
  <si>
    <t>the fries is mine</t>
  </si>
  <si>
    <t>@/everyonehere ♡ | currently stressing and stu(dying) | nct and bts's biggest simp award goes to me 😻</t>
  </si>
  <si>
    <t>#RENJUN #BAEKHYUN #AMIN 💗💌 starbies addicted🥤@jmintshi busuk</t>
  </si>
  <si>
    <t>내일은 오늘보다는 붠가 다르길 - 뷔 ♡  |
#방탄소년단</t>
  </si>
  <si>
    <t>forever your audience 💜 @BTS_twt</t>
  </si>
  <si>
    <t>you nice keep going💜</t>
  </si>
  <si>
    <t>🍉</t>
  </si>
  <si>
    <t>armymoagene</t>
  </si>
  <si>
    <t>Base Bandung V2 | Curhat, Humor, Bertanya &amp; Sharing | Cek menu like | Trigger: euy | pengaduan/pp @rinysafa @tehAprill</t>
  </si>
  <si>
    <t>A beautiful thing is never perfect . 🕊</t>
  </si>
  <si>
    <t>do good and good will come to you.</t>
  </si>
  <si>
    <t>Press F</t>
  </si>
  <si>
    <t>mau jadi t-rex</t>
  </si>
  <si>
    <t>spread love not hate ♥️ || handling small go ^^ || igshop/feedback : @/moonieshopp</t>
  </si>
  <si>
    <t>#JUNGKOOK - life isnt about being perfect, its about accomplishing your dream //
in this bangtan shit forever ♡ 》more to rt &amp; ❤《</t>
  </si>
  <si>
    <t>exol 🥰</t>
  </si>
  <si>
    <t>Mini G.O for EXO Photocards~ Malaysia 🇲🇾 based~ Can ship WW🌎~ Check #KogiEXOrealPCfb for feedbacks🥰 ~ Requests Closed ❌</t>
  </si>
  <si>
    <t>simp for #TXT</t>
  </si>
  <si>
    <t>19 ♡ my online diary</t>
  </si>
  <si>
    <t>ℳ𝒪𝒩ℬℰℬℰ / 𝒜ℛℳ𝒴</t>
  </si>
  <si>
    <t>we all gonna die but not today. maybe tomorrow</t>
  </si>
  <si>
    <t>I don't get into any arguments. i will just cut it short and say 'you are right'</t>
  </si>
  <si>
    <t>busy</t>
  </si>
  <si>
    <t>A humble guy
🔥wolfam.sneakers🔥
Arts enthusiasts</t>
  </si>
  <si>
    <t>M.D. from Land of Java, Yogyakarta. Alma Mater of Universitas Gadjah Mada. Fat, and always tired. Love PC and gadgets. Believe technologies is a necessity.</t>
  </si>
  <si>
    <t>aim for the moon. if you miss, you may hit a star. 🌟</t>
  </si>
  <si>
    <t>I only support 2 team, man utd and any team vs ynwa 🤭</t>
  </si>
  <si>
    <t>tempat berbagi info lowongan kerja</t>
  </si>
  <si>
    <t>Akun Twitter Resmi BKIPM, Kementerian Kelautan dan Perikanan | IG : @bkipm_kkp | FP : @BKIPM KKP | Youtube : @HumasBKIPM</t>
  </si>
  <si>
    <t>Stasiun Karantina Ikan Pengendalian Mutu dan Keamanan Hasil Perikanan Gorontalo - Wilayah Kerja Bandara Djalaluddin Gorontalo</t>
  </si>
  <si>
    <t>#jk || still w you ⋆｡˚ ☁︎ ˚｡⋆｡</t>
  </si>
  <si>
    <t>why do we desire what we cannot acquire @BTS_twt @ENHYPEN_members ❤️</t>
  </si>
  <si>
    <t>random acc, dreamcatcher #가현 #다미</t>
  </si>
  <si>
    <t>Memetik Kata Dari Sebuah Cerita 📒📝</t>
  </si>
  <si>
    <t>folow sekarang besok digembok • submit via dm • kerjasama kontak admin.txtdarionlineshop@gmail.com</t>
  </si>
  <si>
    <t>Wife to @farrellfaiz &amp; mommy to Darina Darwisya</t>
  </si>
  <si>
    <t>Seumur hidup itu terlalu panjang....</t>
  </si>
  <si>
    <t>Talk about everything on face &amp; self courage | Skincare &amp; Make-Up Junkie | Make-Up Artist | petra | for PR &amp; review 📩 biabeautypage@gmail.com #BiaNgeReview</t>
  </si>
  <si>
    <t>silent reader</t>
  </si>
  <si>
    <t>“Try not to become a man of success, but rather become a man of value.”</t>
  </si>
  <si>
    <t>segalanya Di sini menggamit memori #COYG Ajalmu Pasti Menghampiri 🙏🏻 YTZ RMC🙏🏻</t>
  </si>
  <si>
    <t>They’re just not being real</t>
  </si>
  <si>
    <t>Hello indonesia is a place to share your experience about traveling or holiday in indonesia</t>
  </si>
  <si>
    <t>Obat Telat Bulan / Pelancar haid
More Info Pemesanan 
☎ Wa: 081 329 689 666
Hotline 24 Jam</t>
  </si>
  <si>
    <t>Hai, Jangan lupa buat bahagia ya karena kamu manusia yang berharga❤️✨ butuh teman cerita? DM aja ya📩</t>
  </si>
  <si>
    <t>hai, cape ya?</t>
  </si>
  <si>
    <t>Islam itu indah✨</t>
  </si>
  <si>
    <t>🐣</t>
  </si>
  <si>
    <t>lagi belajar ngomong sesuatu yang baik daripada julid sana sini🙌🏻</t>
  </si>
  <si>
    <t>losin you was my biggest win 💎</t>
  </si>
  <si>
    <t>iya, ini aku • 📩 ayubsr009@gmail.com •</t>
  </si>
  <si>
    <t>@yafmanagement</t>
  </si>
  <si>
    <t>say hello 👋</t>
  </si>
  <si>
    <t>Polopor nomor satu base khusus until kalian yang ingin mencari mutualan/teman di Twitter. ❤️ ❤️</t>
  </si>
  <si>
    <t>Social media &amp; crypto project promoter 📈 ||#cutetesty vouch @chita_winner || 🅒🅡🅨🅟🅣🅞 paypal gcash ewallet bank || worldwide🌍</t>
  </si>
  <si>
    <t>📩
Cieee stalking💣</t>
  </si>
  <si>
    <t>Perpustakaan Al-Falaahiyyah I Cikoneng, Ganeas, Sumedang</t>
  </si>
  <si>
    <t>Official Account of Himpunan Mahasiswa Fisika FMIPA Universitas Riau | Ig: himafifmipaunri | Fb &amp; Yt: Himafi FMIPA UR</t>
  </si>
  <si>
    <t>Prodi D4 Manajemen Bisnis Poltekpos Bandung</t>
  </si>
  <si>
    <t>rt/selling account :)</t>
  </si>
  <si>
    <t>♡ addicted to 39boys ♡ ||
ig - @/kimlythi_</t>
  </si>
  <si>
    <t>🐯&amp;🐧 | THINKERBELL FOR 9 PETERPAN 🧚🏻‍♀️</t>
  </si>
  <si>
    <t>not a fan account, but I tweet exo most of the time.</t>
  </si>
  <si>
    <t>Fb : hima sejarah fkip ur || Youtube : himaprodi pendidikan sejarah || Instagram : Himasejarahfkipunri ||Salam Sejarah, Jas Merah!!!!</t>
  </si>
  <si>
    <t>Jl. Terusan Wilis 39A Malang - 65115_x000D_
Office/Mobile: 0341-552882 / 082143502209_x000D_
PIN BB: 527DD3C0</t>
  </si>
  <si>
    <t>random account💅 #NCT #EXO</t>
  </si>
  <si>
    <t>(Update kalau nggak sibuk)
Call me Ra, okey? This is account reading-writing and fangirling.</t>
  </si>
  <si>
    <t>Akun Resmi 88.8 FM | SMS/Whatsapp 081 399 399 888 | Tel. 021-384 4545 |
FB Fanpage : RRI Programa 3 | Instagram &amp; Spotify : @RRIPrograma3</t>
  </si>
  <si>
    <t>Account Resmi Himpunan Mahasiswa Pendidikan Matematika FKIP Universitas Riau | Memberi yang Terbaik dengan Cara Terbaik dan Benar</t>
  </si>
  <si>
    <t>Akun Resmi Bagian Humas Pemda DIY                                                                   
IG: humasjogja |  FB: Humas Pemda DIY #jogjaistimewa</t>
  </si>
  <si>
    <t>i draw fanart sometimes (?)</t>
  </si>
  <si>
    <t>Lusjob is an online job provider portal that was first established in 2007 under the name Adalowongan, then in 2014 we changed its name to Medialowongan</t>
  </si>
  <si>
    <t>check my pin twt  📌</t>
  </si>
  <si>
    <t>My trade/sell/screaming over skz pc &amp; album account. An old person. Tempat membebel.</t>
  </si>
  <si>
    <t>• ❄️ || #스트레이키즈 ❤️ || 2minlover 🐰🐶 || #lovestay❣️|| #youmakestraykidsstay</t>
  </si>
  <si>
    <t>she/her 00' liner #StrayKids #스트레이키즈 #필릭스</t>
  </si>
  <si>
    <t>#CHANGBIN : @JYPETWICE 👾 #STRAYKIDS
*♡potterhead since the day harry met hagrid♡*</t>
  </si>
  <si>
    <t>STREAM STREAM STREAM THUNDEROUS</t>
  </si>
  <si>
    <t>She/her
Selling &amp; buying acc
Mainly Stray Kids
#hyunfeedbacks</t>
  </si>
  <si>
    <t>Pusat Informasi Pemerintah Kota Bandung yang dikelola oleh Bandung Command Center @diskominfobdg #BandungSmartCity</t>
  </si>
  <si>
    <t>#bandungjuara #bandungbanget #seputaranbandung #seputarbandung #bandunghits #informasibandung #explorebandung</t>
  </si>
  <si>
    <t>Penerimaan Mahasiswa Baru
POLTEKPOS #LogisticsExpert &amp;
STIMLOG #FastFocusDynamic
Kampus Pertama Bidang Logistik di Indonesia, Program Studi:
• D3 • D4 • S1</t>
  </si>
  <si>
    <t>thinking about skz all the time | stay untill the last step out ❤️🥺</t>
  </si>
  <si>
    <t>SIGNAL adalah samsat digital nasional, sebuah aplikasi untuk memudahkan masyarakat membayar pajak kendaraan bermotor secara aman dan mudah #JadiLebihMudah</t>
  </si>
  <si>
    <t>he got a point, he’s an icon, he’s a legend, he’s the moment</t>
  </si>
  <si>
    <t>Akun Resmi Himpunan Mahasiswa Komputer ㅡ Politeknik Negeri Bandung | Line@: @ajz9852x | Instagram: @himakompolban | Facebook/Youtube: HIMAKOM POLBAN</t>
  </si>
  <si>
    <t>Akun Resmi Pemkot Denpasar dikelola Diskominfos 
#DenpasarKota #ProDenpasar
Kanal media lainnya klik link ↓↓↓</t>
  </si>
  <si>
    <t>menulislah prihal kejujuran yg kau rasa,sebab aksara tak bermakna meski kau gubah dgn jutaan metamorfosa yg kau paksa..</t>
  </si>
  <si>
    <t>hanya setitik debu dalam galaksi bimasaksi. 
|| mau liat2 jualanku? 
follow us 👉 @hauraallshops</t>
  </si>
  <si>
    <t>-------------</t>
  </si>
  <si>
    <t>multistans. fan of mamamoo, oneus, onewe, purple kiss, ab6ix, bdc, bvndit, apink, red velvet. 🇲🇾</t>
  </si>
  <si>
    <t>fan account for mamamoo | solar | moonbyul | wheein | hwasa | group order: @mooshop_my</t>
  </si>
  <si>
    <t>Jadilah manusia pembelajar (manusia yang aktif untuk menimba ilmu)</t>
  </si>
  <si>
    <t>Multifandom but mostly The Boyz 🤍 #더비구함</t>
  </si>
  <si>
    <t>𝖌𝖑𝖔𝖙𝖔𝖓𝖊𝖗𝖎𝖆 ⛆</t>
  </si>
  <si>
    <t>i baik 😚
Exo-L 🖤 Clue 💙 multistan ★</t>
  </si>
  <si>
    <t>multi - httsahgaerizen; it costs RM0.00 to be nice!</t>
  </si>
  <si>
    <t>Don't make promises in your bio that your timeline can't keep.</t>
  </si>
  <si>
    <t>i write and read poem|
i check my https://t.co/nk18Mf3Sbh</t>
  </si>
  <si>
    <t>editor lepas yang sesekali menggambar</t>
  </si>
  <si>
    <t>Rapper by night,
weeb by all means. 
Music-Related Contact: management@rustyrevolver.net
0816873873 (Alicia / WA only)</t>
  </si>
  <si>
    <t>Love requires nothing but your deep unselfish soul ❤️ 
Full time lover, your 4 leaf clover 🍀
rusmaina.lenggogeni@gmail.com</t>
  </si>
  <si>
    <t>Mugi Rahayu Sagung Dumadi | Nutska Abarttha Surriadi | 🐯 | 🐟 | 🖤🤍 | sXe |</t>
  </si>
  <si>
    <t>Jl. Gatot Subroto No 96, Ungaran, Kab. Semarang, Jawa Tengah | Tlp Markas (024) 76902477, UDD (024)76902606 | kab_semarang@pmi.or.id | udd_kabsemarang@pmi.or.id</t>
  </si>
  <si>
    <t>blood donor connector founded by @justsilly | berbagi informasi kebutuhan donor darah, silakan mention, RT, &amp; like | #Hotline 081-191-BLOOD atau 081-191-25663</t>
  </si>
  <si>
    <t>fall risk. allergy.</t>
  </si>
  <si>
    <t>ig: roromatul | ibu muda yang biasa aja</t>
  </si>
  <si>
    <t>‏‏‏‏إِنَّمَا الْأَعْمَالُ بِالنِّيَّةِ</t>
  </si>
  <si>
    <t>🥯🥞🍳🧀🥓🥩🍗🍖🍔🌭🥪🥨🍟🍕🌯🌮🥙🥘🍝🥗🍲🍛🥣🍜🤤🤤🤤🤤</t>
  </si>
  <si>
    <t>pertahankan yang membuat nyaman 😊☺️</t>
  </si>
  <si>
    <t>Segalanya Akan Kembali Sunyi</t>
  </si>
  <si>
    <t>G.O for albums &amp; anything in between♡ postage in 🇲🇾 only. Dedicated for our #Kimbabes💗 By, alee and fyna✨</t>
  </si>
  <si>
    <t>Video Games. Geography. Sports. Cryptids. Anime. 에이핑크.런닝맨. PSN / Nintendo / STEAM : elgowh</t>
  </si>
  <si>
    <t>Take it easy aja jan terlalu serius 🖖🏼</t>
  </si>
  <si>
    <t>Bi | Discreet | Dont be nosy</t>
  </si>
  <si>
    <t>berubah jadi akun olahraga dulu</t>
  </si>
  <si>
    <t>NADHMH💞</t>
  </si>
  <si>
    <t>- i am just and ordinary mother house stairs 👌
- love kdrama and MCU
- care politic for a little bit, not much
- i Tweet what i want to Tweet.</t>
  </si>
  <si>
    <t>Seorang Penggila Sub-Budaya Bola Sepak ☠️</t>
  </si>
  <si>
    <t>KETIDAK ADILAN YANG DIPERTONTONKAN IBARATKAN BOM WAKTU.
AVA ASLI.</t>
  </si>
  <si>
    <t>210719; ' 영원을 약속해 줘요 ♡ ' (she/her) // also a lil bit of atz, tbz, nct</t>
  </si>
  <si>
    <t>Mengenal Tuhan, Mengenal Diri, Mengenal Agama, Mengenal Sahabat &amp; Mengenal BolaSepak - DME</t>
  </si>
  <si>
    <t>suka beduQ</t>
  </si>
  <si>
    <t>la vie est de la merde, tu t'y feras</t>
  </si>
  <si>
    <t>A Market for 🇲🇾 ARMY to Buy, Trade and Sell! Made to support ARMY sellers so, Official and Unofficial Merch are welcomed! Read the Pinned Tweet First!</t>
  </si>
  <si>
    <t>for trading, selling and buying purpose ;)</t>
  </si>
  <si>
    <t>hidup sederhana</t>
  </si>
  <si>
    <t>Office Boy Semarang Kab. Independent. Kritis dan Membangun. Use tag #InfoUngaran #trafficUngaran #KulinerUngaran. Contact personal by Direct Message</t>
  </si>
  <si>
    <t>Markas Pusat Palang Merah Indonesia | Jalan Jendral Gatot Subroto Kav. 96, Jakarta 12790 | Tlp: 021-7992325 | Email: pmi@pmi.or.id</t>
  </si>
  <si>
    <t>Official Account of PMI Central Java Province Instagram: @pmijateng Phone: 024 - 76746733 | Email: jawa_tengah@pmi.or.id | YT: https://t.co/Eoq8GdZHzj</t>
  </si>
  <si>
    <t>Temukan Informasi Lowongan Kerja Terbaru, BANK BUMN CPNS SWASTA Dll, Follow IG: https://t.co/BBQH6e12La TELGRAM: https://t.co/7wtbJ38L9F</t>
  </si>
  <si>
    <t>BBM:5E79F2A3
WA/Line:+6282143502209
Insta:TBSMALANG
Path:tarbantinbookstore
FB:Tarbantin Book Store
tbsmalang@gmail.com
https://t.co/FEtj83DgCf</t>
  </si>
  <si>
    <t>Info Lowongan Kerja</t>
  </si>
  <si>
    <t>Aku tau ku takkan bisa menjadi sperti yg engkau minta,
Namun selama nafas berhembus aku kan mencoba menjadi sperti yg kau minta</t>
  </si>
  <si>
    <t>Official Twitter Account Jawa Pos The Biggest Newspaper in Indonesia I Baca terus koran Jawa Pos, Klik https://t.co/zQIlbGPP2B</t>
  </si>
  <si>
    <t>blessed</t>
  </si>
  <si>
    <t>Obat Peninggi, Obat Peninggi Badan, Cara Peninggi Badan, Peninggi Badan Tiens, Susu Peninggi Badan,Kalsium, Zinc, Trusted Olshop PIN:D778B048 WA:081322071239</t>
  </si>
  <si>
    <t>Official Twitter Account of https://t.co/OHFMbMCxpQ | Newsroom: redaksi@rakyatsulsel.co | Marketing: marketing@rakyatsulsel.co | contact:</t>
  </si>
  <si>
    <t>💫 go! photocards, albums. ♡´･ᴗ･`♡ ship 🇲🇾 only! ❌ ww.</t>
  </si>
  <si>
    <t>cintai @je_craft dan pegawainya,
cintai @arsawastu dan lagunya.</t>
  </si>
  <si>
    <t>Official Twitter account of PT. ASABRI (Persero) Call center : 1500043 Email : asabri@asabri.co.id</t>
  </si>
  <si>
    <t>Rossiholic.kpopers.drakorhollic.I believe someday I would go travelling to south korea</t>
  </si>
  <si>
    <t>Ummu Naha, Ibu Rumah Tangga, Bakul Donat &amp; Blogger Content Writer  😁
#ummunaha
#donatcoklatnaha</t>
  </si>
  <si>
    <t>Jakarta</t>
  </si>
  <si>
    <t>Jakarta, Indonesia</t>
  </si>
  <si>
    <t>Kuala Lumpur Federal Territory, Malaysia</t>
  </si>
  <si>
    <t>Pahang, Malaysia</t>
  </si>
  <si>
    <t>Kuala Lumpur</t>
  </si>
  <si>
    <t>🇲🇾</t>
  </si>
  <si>
    <t>she/her</t>
  </si>
  <si>
    <t>DKI Jakarta, Indonesia</t>
  </si>
  <si>
    <t>Bogor</t>
  </si>
  <si>
    <t>Jakarta Capital Region</t>
  </si>
  <si>
    <t>Bandung</t>
  </si>
  <si>
    <t>Malaysia</t>
  </si>
  <si>
    <t>Kota Surabaya, Jawa Timur</t>
  </si>
  <si>
    <t>Johore, Malaysia</t>
  </si>
  <si>
    <t>Malang, Jawa Timur</t>
  </si>
  <si>
    <t>Malaysia 🇲🇾</t>
  </si>
  <si>
    <t>Selangor, Malaysia</t>
  </si>
  <si>
    <t>Kedah, Malaysia</t>
  </si>
  <si>
    <t>RULES &amp; PUNISHMENT ⤵️</t>
  </si>
  <si>
    <t>Bandung, Jawa Barat</t>
  </si>
  <si>
    <t>indonesia</t>
  </si>
  <si>
    <t>Perak, Malaysia</t>
  </si>
  <si>
    <t>stayville</t>
  </si>
  <si>
    <t>haven</t>
  </si>
  <si>
    <t>Earth</t>
  </si>
  <si>
    <t>s/her ; 21</t>
  </si>
  <si>
    <t>Kelang, Selangor</t>
  </si>
  <si>
    <t>somewhere on earth</t>
  </si>
  <si>
    <t>silent hill</t>
  </si>
  <si>
    <t>stayville ✧.｡*</t>
  </si>
  <si>
    <t>San Junipero</t>
  </si>
  <si>
    <t xml:space="preserve">Location Deh Lo.. </t>
  </si>
  <si>
    <t>costume yulje id card</t>
  </si>
  <si>
    <t>98' 🇲🇾</t>
  </si>
  <si>
    <t>she/her :3</t>
  </si>
  <si>
    <t>ᗷᗩᑎᘜTᗩᑎ ᑭᒪᗩYᘜᖇOᑌᑎᗪ</t>
  </si>
  <si>
    <t>♡0420 ♡ she/her -종성 내 인생의 사랑-</t>
  </si>
  <si>
    <t xml:space="preserve"> +62 ↔ +60</t>
  </si>
  <si>
    <t>Magetan, Jawa Timur.</t>
  </si>
  <si>
    <t>Maceió, Brasil</t>
  </si>
  <si>
    <t>Cantabria</t>
  </si>
  <si>
    <t>Pekanbaru</t>
  </si>
  <si>
    <t xml:space="preserve"> she/her      16</t>
  </si>
  <si>
    <t>she/her    ,   rcbyf   ,</t>
  </si>
  <si>
    <t xml:space="preserve">MMM•PurpleKiss•ITZY•IU 💞 </t>
  </si>
  <si>
    <t>Jakarta Capital Region, Indone</t>
  </si>
  <si>
    <t>Blitar, Jawa Timur</t>
  </si>
  <si>
    <t>ÜT: -6.41241,106.77645</t>
  </si>
  <si>
    <t>Padang</t>
  </si>
  <si>
    <t>iPhone: -6.195890,106.894379</t>
  </si>
  <si>
    <t>Magelang, Jawa Tengah</t>
  </si>
  <si>
    <t>Setia Budi, Indonesia</t>
  </si>
  <si>
    <t>IPOH, PERAK.</t>
  </si>
  <si>
    <t>exo planet</t>
  </si>
  <si>
    <t>kch</t>
  </si>
  <si>
    <t>kuala terengganu</t>
  </si>
  <si>
    <t>Jawa Tengah, Indonesia</t>
  </si>
  <si>
    <t>Rules👉🏻</t>
  </si>
  <si>
    <t>-2nd acc @allwttsbMY</t>
  </si>
  <si>
    <t>MY</t>
  </si>
  <si>
    <t>💎</t>
  </si>
  <si>
    <t>Bali, Indonesia</t>
  </si>
  <si>
    <t>milkyway</t>
  </si>
  <si>
    <t>Pahang</t>
  </si>
  <si>
    <t>Kota Palembang, Sumatera Selat</t>
  </si>
  <si>
    <t>cek rules dan info disini👇🏼</t>
  </si>
  <si>
    <t>Jakarta Pusat, DKI Jakarta</t>
  </si>
  <si>
    <t>Jakarta Utara</t>
  </si>
  <si>
    <t>West java, km20</t>
  </si>
  <si>
    <t xml:space="preserve">myworld </t>
  </si>
  <si>
    <t>South Borneo, Indonesia</t>
  </si>
  <si>
    <t>Karawang, Jawa Barat</t>
  </si>
  <si>
    <t>ᮊᮧᮞ᮪ᮝᮃᮛ (4/6)</t>
  </si>
  <si>
    <t xml:space="preserve">Indonesia </t>
  </si>
  <si>
    <t>Buleleng, Indonesia</t>
  </si>
  <si>
    <t>she|her 🇲🇾 18</t>
  </si>
  <si>
    <t>(+60) , 6TEEN</t>
  </si>
  <si>
    <t>she/her - rcbyf</t>
  </si>
  <si>
    <t>@lknwdrv ♡</t>
  </si>
  <si>
    <t>Terengganu - Makassar</t>
  </si>
  <si>
    <t>she/her | `06 | 🇲🇾</t>
  </si>
  <si>
    <t>Kuching, Sarawak</t>
  </si>
  <si>
    <t>Seoulangor</t>
  </si>
  <si>
    <t>you can mark me in your heart</t>
  </si>
  <si>
    <t>✰ 🖇🥛she / her ᵕ̈</t>
  </si>
  <si>
    <t>admin: jeno, yong, jun.</t>
  </si>
  <si>
    <t>🇲🇾 she/her</t>
  </si>
  <si>
    <t>ten’s</t>
  </si>
  <si>
    <t>中·ENG·BM 🇲🇾</t>
  </si>
  <si>
    <t>2 admin</t>
  </si>
  <si>
    <t>2 admins ; 🐈 &amp; 🌹</t>
  </si>
  <si>
    <t>Bumi Indonesia 🇮🇩</t>
  </si>
  <si>
    <t>Neverland</t>
  </si>
  <si>
    <t xml:space="preserve">Melaka </t>
  </si>
  <si>
    <t>Sumatera, Indonesia</t>
  </si>
  <si>
    <t>Cikarang, Indonesia</t>
  </si>
  <si>
    <t>she/her 🇲🇾 | teuland</t>
  </si>
  <si>
    <t>L 630</t>
  </si>
  <si>
    <t xml:space="preserve">she/her </t>
  </si>
  <si>
    <t xml:space="preserve">Malaysia </t>
  </si>
  <si>
    <t>Neo Neo Neo</t>
  </si>
  <si>
    <t>She/her</t>
  </si>
  <si>
    <t xml:space="preserve">exo nct svt sf9 tbz txt multi </t>
  </si>
  <si>
    <t>16 | SHE!HER</t>
  </si>
  <si>
    <t>Provinsi Aceh</t>
  </si>
  <si>
    <t>she/her, 🇲🇾</t>
  </si>
  <si>
    <t>fantasy🌌🇲🇾</t>
  </si>
  <si>
    <t>Semarang, Jawa Tengah</t>
  </si>
  <si>
    <t>🇲🇨peace</t>
  </si>
  <si>
    <t>hatimu</t>
  </si>
  <si>
    <t>🇲🇾 , 손영재's</t>
  </si>
  <si>
    <t>Kebon Jeruk, Indonesia</t>
  </si>
  <si>
    <t>she/her 🇲🇾 | 7teen</t>
  </si>
  <si>
    <t>mobile in Jabodetabek</t>
  </si>
  <si>
    <t>Solo, Indonesia</t>
  </si>
  <si>
    <t>she/her | 18</t>
  </si>
  <si>
    <t>Bekasi Utara, Indonesia</t>
  </si>
  <si>
    <t>Paradise</t>
  </si>
  <si>
    <t>here</t>
  </si>
  <si>
    <t>in your jobs</t>
  </si>
  <si>
    <t>💚</t>
  </si>
  <si>
    <t>made in banten</t>
  </si>
  <si>
    <t>Kota Semarang</t>
  </si>
  <si>
    <t>Lampung</t>
  </si>
  <si>
    <t>김정우</t>
  </si>
  <si>
    <t>Kota Semarang, Jawa Tengah</t>
  </si>
  <si>
    <t>𝙽𝚎𝚐𝚊𝚛𝚊 𝙹𝚘𝚑𝚘𝚛</t>
  </si>
  <si>
    <t>Malang, Indonesia</t>
  </si>
  <si>
    <t>Tangkak, Johor, Malaysia.</t>
  </si>
  <si>
    <t>(灬♥ω♥灬)</t>
  </si>
  <si>
    <t>#kharismaselaras</t>
  </si>
  <si>
    <t>Terserah aku</t>
  </si>
  <si>
    <t>Home</t>
  </si>
  <si>
    <t>Malaysia; she/her</t>
  </si>
  <si>
    <t>she/her (🇲🇾)</t>
  </si>
  <si>
    <t>ENG/中/BM</t>
  </si>
  <si>
    <t>bts txt enhypen 🇲🇾</t>
  </si>
  <si>
    <t xml:space="preserve">namseok misser </t>
  </si>
  <si>
    <t>Hybe</t>
  </si>
  <si>
    <t>🇲🇾 | she</t>
  </si>
  <si>
    <t>𝔸ℝ𝕄𝕐⁷ᴱᴺ⁻⁰ˣ¹☀︎02☀︎she/her</t>
  </si>
  <si>
    <t>Surabaya</t>
  </si>
  <si>
    <t>GRAHA PENA, Jl. Malik Raya 50.</t>
  </si>
  <si>
    <t xml:space="preserve">if u own bakery get the ring </t>
  </si>
  <si>
    <t>20 | she her</t>
  </si>
  <si>
    <t>Bandar Kuala Terengganu, Teren</t>
  </si>
  <si>
    <t>MALAYSIA</t>
  </si>
  <si>
    <t>태국</t>
  </si>
  <si>
    <t>Heh</t>
  </si>
  <si>
    <t>bangtan world💜</t>
  </si>
  <si>
    <t>23 | muslim | she/her</t>
  </si>
  <si>
    <t>she¿her +60</t>
  </si>
  <si>
    <t>♡ 𝐌𝐚𝐠𝐢𝐜 𝐒𝐡𝐨𝐩</t>
  </si>
  <si>
    <t xml:space="preserve">16 ; she/her </t>
  </si>
  <si>
    <t>Karasuno gym</t>
  </si>
  <si>
    <t>bts world</t>
  </si>
  <si>
    <t>she/her 16</t>
  </si>
  <si>
    <t>she/her ♡</t>
  </si>
  <si>
    <t>she!her</t>
  </si>
  <si>
    <t>Kentucky, USA</t>
  </si>
  <si>
    <t>neo city / magic shop</t>
  </si>
  <si>
    <t xml:space="preserve">She/azi </t>
  </si>
  <si>
    <t>Klang, Selangor</t>
  </si>
  <si>
    <t>she/her 🇲🇾 minor rcbyf!</t>
  </si>
  <si>
    <t>Jakarta Indonesia</t>
  </si>
  <si>
    <t>Tidak Ada</t>
  </si>
  <si>
    <t>🇲🇾 아미 | brightwins | she/her</t>
  </si>
  <si>
    <t>exoplanet</t>
  </si>
  <si>
    <t>+06 she/her • 00'</t>
  </si>
  <si>
    <t>dilangit</t>
  </si>
  <si>
    <t>Kota Yogyakarta, Yogyakarta</t>
  </si>
  <si>
    <t>Belaga, Sarawak</t>
  </si>
  <si>
    <t>Kelantan, Malaysia</t>
  </si>
  <si>
    <t>Manchester, England</t>
  </si>
  <si>
    <t>Jakarta Timur, DKI Jakarta</t>
  </si>
  <si>
    <t>Gedung Mina Bahari II lantai 6,7,10  KKP Jakarta</t>
  </si>
  <si>
    <t>Gorontalo, Indonesia</t>
  </si>
  <si>
    <t>MY she/her</t>
  </si>
  <si>
    <t>방탄소년단 🤍 엔하이픈</t>
  </si>
  <si>
    <t>Changlun, K.D.A</t>
  </si>
  <si>
    <t>Youtube : Dunia Hanya Suara ✨</t>
  </si>
  <si>
    <t>samarinda</t>
  </si>
  <si>
    <t>24yo, she/her</t>
  </si>
  <si>
    <t>Jakarta Selatan</t>
  </si>
  <si>
    <t>Jogja</t>
  </si>
  <si>
    <t>Nigeria</t>
  </si>
  <si>
    <t>Semarang, Indonesia</t>
  </si>
  <si>
    <t>Uzbekistan</t>
  </si>
  <si>
    <t>Kota Pekanbaru Riau, indonesia</t>
  </si>
  <si>
    <t>info loker disini :</t>
  </si>
  <si>
    <t xml:space="preserve">chanyeol’s heart </t>
  </si>
  <si>
    <t>Kampus Bina Widya FKIP Panam</t>
  </si>
  <si>
    <t>dimana aja namanya orang kaya</t>
  </si>
  <si>
    <t>Bandung, Indonesia</t>
  </si>
  <si>
    <t>Himapentika, Dihatiku~♥</t>
  </si>
  <si>
    <t>Denpasar, Bali</t>
  </si>
  <si>
    <t>Sarawak</t>
  </si>
  <si>
    <t>today is their birthday !</t>
  </si>
  <si>
    <t>stayville❣️</t>
  </si>
  <si>
    <t>용복이 하트 🤍</t>
  </si>
  <si>
    <t>any pronouns 06’s 🇲🇾</t>
  </si>
  <si>
    <t>Kota Bandung, Jawa Barat</t>
  </si>
  <si>
    <t>bandung</t>
  </si>
  <si>
    <t>Mars</t>
  </si>
  <si>
    <t>East Jakarta</t>
  </si>
  <si>
    <t>In your heart</t>
  </si>
  <si>
    <t>Kuantan, Pahang</t>
  </si>
  <si>
    <t>Deobiland</t>
  </si>
  <si>
    <t>Keningau, Sabah</t>
  </si>
  <si>
    <t>Exo Planet</t>
  </si>
  <si>
    <t>Blüdhaven</t>
  </si>
  <si>
    <t>Asmaraloka</t>
  </si>
  <si>
    <t>NuswΔntara</t>
  </si>
  <si>
    <t>Ungaran, Indonesia</t>
  </si>
  <si>
    <t>Kota Madiun, Jawa Timur</t>
  </si>
  <si>
    <t>Minangkabau</t>
  </si>
  <si>
    <t>Parepare</t>
  </si>
  <si>
    <t>Kota Depok, Indonesia</t>
  </si>
  <si>
    <t>Purwakarta, Indonesia</t>
  </si>
  <si>
    <t>Cameron  Putrajaya</t>
  </si>
  <si>
    <t>Democratic People's Republic o</t>
  </si>
  <si>
    <t>(💎🏴‍☠️)</t>
  </si>
  <si>
    <t>Pahang Darul Makmur</t>
  </si>
  <si>
    <t>Gedung Graha Pena Lt.10, Jl. R</t>
  </si>
  <si>
    <t>+60 • '01 • she/her • multi</t>
  </si>
  <si>
    <t>Open Twitter Page for This Person</t>
  </si>
  <si>
    <t xml:space="preserve">erickthohir
</t>
  </si>
  <si>
    <t>madelin252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</si>
  <si>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shafigh
Kemensos salurkan 200,660 paket
masker dan vitamin melalui PT Pos
Logistik Indonesia dengan menerapkan
prokes secara ketat sehingga paket
dijamin higienis. Jokowi Lawan
Pandemi https://t.co/c7zug0pJFS</t>
  </si>
  <si>
    <t>gojekmilitan
Tumben JNE kosong.. Jd bisa foto
dulu 😅. Beres JNE lanjut kantor
pos sama J&amp;amp;T.. https://t.co/ChNOHqQ1ZS</t>
  </si>
  <si>
    <t xml:space="preserve">bertanyarl
</t>
  </si>
  <si>
    <t xml:space="preserve">ngalamfess
</t>
  </si>
  <si>
    <t xml:space="preserve">dagangkorea
</t>
  </si>
  <si>
    <t>syzira
@AfiqahAmni1 hi awak boleh je pos
shah alam hehe as long as jnt area
awak laju 💓💓💓💓</t>
  </si>
  <si>
    <t>linorieng
WTS SKZ PC 🇲🇾 ONLY • DS Pc -
RM26 • Lee Know Beret - RM22 •
Han Red - RM20 • Chan, Changbin,
I.N Std PC - RM18 🖇 Exc pos jnt/flexi
🖇 shopeepay/online banking ❌ NO
rush postage 📩DM if interested
#pasarskz https://t.co/AfDTajoVDq</t>
  </si>
  <si>
    <t>chyuns99
WTS SKZ 🇲🇾 ONLY • Felix,Changbin
Jewel PC [SET] - RM38 • Chan Jewel
PC - RM28 • Changbin Red Frame
- RM10 • Seungmin Red Frame - RM12
*cb jewel pc have defect 🖇 Exc
pos (jnt) 🖇 shopeepay/online banking
❌ NO rush postage 📩DM if interested
#pasarskz https://t.co/xZvb38hB1r</t>
  </si>
  <si>
    <t>fais_mohder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</si>
  <si>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yellowlixeu
WTS SKZ 🇲🇾 ONLY • Felix,Changbin
Jewel PC [SET] - RM38 • Chan Jewel
PC - RM28 • Changbin Red Frame
- RM10 • Seungmin Red Frame - RM12
*cb jewel pc have defect 🖇 Exc
pos (jnt) 🖇 shopeepay/online banking
❌ NO rush postage 📩DM if interested
#pasarskz https://t.co/xZvb38hB1r</t>
  </si>
  <si>
    <t>nur_alisyaaa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</si>
  <si>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saifull04800784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</si>
  <si>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jierahrsli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</si>
  <si>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qwertyahsksk
WTS SKZ 🇲🇾 ONLY • Felix,Changbin
Jewel PC [SET] - RM38 • Chan Jewel
PC - RM28 • Changbin Red Frame
- RM10 • Seungmin Red Frame - RM12
*cb jewel pc have defect 🖇 Exc
pos (jnt) 🖇 shopeepay/online banking
❌ NO rush postage 📩DM if interested
#pasarskz https://t.co/xZvb38hB1r</t>
  </si>
  <si>
    <t>sevngjinluvr
WTS SKZ 🇲🇾 ONLY • Felix,Changbin
Jewel PC [SET] - RM38 • Chan Jewel
PC - RM28 • Changbin Red Frame
- RM10 • Seungmin Red Frame - RM12
*cb jewel pc have defect 🖇 Exc
pos (jnt) 🖇 shopeepay/online banking
❌ NO rush postage 📩DM if interested
#pasarskz https://t.co/xZvb38hB1r</t>
  </si>
  <si>
    <t>gembrit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</si>
  <si>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amwidyou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</si>
  <si>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kabigon89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</si>
  <si>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khan0348700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</si>
  <si>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_chrisnini
WTS Black frame changbin, i.n:
rm8 each ds: rm22 each normal pc:
rm20 each i.n nacific: rm15 (excl
pos) Jnt- wm: rm8 - em: rm14 Postage
on thursday Help me clear my extras🥺
#pasarSKZ https://t.co/hU7Tw2eAyd</t>
  </si>
  <si>
    <t>jiniretselling
WTS Black frame changbin, i.n:
rm8 each ds: rm22 each normal pc:
rm20 each i.n nacific: rm15 (excl
pos) Jnt- wm: rm8 - em: rm14 Postage
on thursday Help me clear my extras🥺
#pasarSKZ https://t.co/hU7Tw2eAyd</t>
  </si>
  <si>
    <t>_h0wling_
WTS Black frame changbin, i.n:
rm8 each ds: rm22 each normal pc:
rm20 each i.n nacific: rm15 (excl
pos) Jnt- wm: rm8 - em: rm14 Postage
on thursday Help me clear my extras🥺
#pasarSKZ https://t.co/hU7Tw2eAyd</t>
  </si>
  <si>
    <t>aimonogatari_
@xylonj_ Pake POS bisa, pake JNE
bisaa</t>
  </si>
  <si>
    <t xml:space="preserve">xylonj_
</t>
  </si>
  <si>
    <t>abdulre26789541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</si>
  <si>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parvinabasi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</si>
  <si>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leenoninxx
WTS Black frame changbin, i.n:
rm8 each ds: rm22 each normal pc:
rm20 each i.n nacific: rm15 (excl
pos) Jnt- wm: rm8 - em: rm14 Postage
on thursday Help me clear my extras🥺
#pasarSKZ https://t.co/hU7Tw2eAyd</t>
  </si>
  <si>
    <t>alikmrdnn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</si>
  <si>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pln_123
@Jahja81285550 @IndiHome Hi Kak,
pembayaran tagihan rekening dapat
melalui ATM, PT POS Indonesia atau
Alfamart dan Indomaret ya. Tks
-zulmi</t>
  </si>
  <si>
    <t xml:space="preserve">indihome
</t>
  </si>
  <si>
    <t xml:space="preserve">jahja81285550
</t>
  </si>
  <si>
    <t>ivonnnn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</si>
  <si>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4v0cado1
@lovlypjs_ @Breadeujinnie @sshmyyy
Haihh takut nk guna jnt dh sebelum
ni takut nk guna pos laju sebab
dorg suka peram brg 😭</t>
  </si>
  <si>
    <t xml:space="preserve">sshmyyy
</t>
  </si>
  <si>
    <t xml:space="preserve">breadeujinnie
</t>
  </si>
  <si>
    <t xml:space="preserve">lovlypjs_
</t>
  </si>
  <si>
    <t>oyehero4200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</si>
  <si>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malangdorn1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</si>
  <si>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fatemeh50692110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</si>
  <si>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bangqiha
WTS Black frame changbin, i.n:
rm8 each ds: rm22 each normal pc:
rm20 each i.n nacific: rm15 (excl
pos) Jnt- wm: rm8 - em: rm14 Postage
on thursday Help me clear my extras🥺
#pasarSKZ https://t.co/hU7Tw2eAyd</t>
  </si>
  <si>
    <t>skzanddstay
WTS Black frame changbin, i.n:
rm8 each ds: rm22 each normal pc:
rm20 each i.n nacific: rm15 (excl
pos) Jnt- wm: rm8 - em: rm14 Postage
on thursday Help me clear my extras🥺
#pasarSKZ https://t.co/hU7Tw2eAyd</t>
  </si>
  <si>
    <t>ponilempar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</si>
  <si>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theblsss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</si>
  <si>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wolfzenluv
WTS SKZ 🇲🇾 ONLY • Felix,Changbin
Jewel PC [SET] - RM38 • Chan Jewel
PC - RM28 • Changbin Red Frame
- RM10 • Seungmin Red Frame - RM12
*cb jewel pc have defect 🖇 Exc
pos (jnt) 🖇 shopeepay/online banking
❌ NO rush postage 📩DM if interested
#pasarskz https://t.co/xZvb38hB1r</t>
  </si>
  <si>
    <t>kotamagetan_
Forum Industri Kecil Menengah Jawa
Timur Wilayah Magetan dan PT. Pos
Indonesia Cabang #Magetan Bersama-sama
Menjemput Cahaya Terang https://t.co/BD8VoQZc81</t>
  </si>
  <si>
    <t>yanup77
Selamat ulang tahun ke-275 PT Pos
Indonesia (Persero) @PosIndonesia,
semoga sukses menjadi postal operator,
penyedia jasa kurir, logistik,
dan keuangan paling kompetitif.
#DigitalBisa #UntukIndonesiaLebihBaik
https://t.co/mAF5n8bNNz</t>
  </si>
  <si>
    <t xml:space="preserve">posindonesia
</t>
  </si>
  <si>
    <t>gustavog22
Koeman acaba de dizer na coletiva
pós jogo que não tem como fazer
esse Barcelona jogar o Tiki Taki.
Esse cara é foda.</t>
  </si>
  <si>
    <t>ikertxu_cero8
Lo de Tiki Taki lo ha dicho así
como cuando de pequeño te enfadabas
con tu primo que le gustaba jugar
al PES y lo llamabas POS creyendo
que le ofendías y solo quedabas
como gilipollas.</t>
  </si>
  <si>
    <t>alifmuamin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</si>
  <si>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alyssaaudy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</si>
  <si>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cheesychoc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</si>
  <si>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eljohnfmpku
Sahabat El John, ikuti #SpecialTalkShow
POSPAY bersama PT. Pos Indonesia
dengan narasumber Bapak Teddy Kurniawan,
selaku Executive General Manager
KCU Pekanbaru, PT. Pos Indonesia
Wilayah Riau. Selasa, 21 September
2021, mulai jam 1 siang, hanya
di Radio El John 102.6 FM. https://t.co/5rIXVp0HbT</t>
  </si>
  <si>
    <t>mcrkluv
wts lfb 🇲🇾 chenle boring ver
pc rm27 exc pos -still can nego
-please adopt him ㅠㅠ -dm for more
info !! accept shopeepay rm6 em
/ rm10 wm (jnt) #pasarNCT</t>
  </si>
  <si>
    <t>hazirahbodo
wts lfb 🇲🇾 chenle boring ver
pc rm27 exc pos -still can nego
-please adopt him ㅠㅠ -dm for more
info !! accept shopeepay rm6 em
/ rm10 wm (jnt) #pasarNCT</t>
  </si>
  <si>
    <t>_daisybea17
Haiyaaa pos laju ngan jnt tok polah
aku mlas nak berbisness</t>
  </si>
  <si>
    <t>jnedepok_id
Mau kirim barang wajib cantumkan
ALAMAT LENGKAP sertakan KODE POS
&amp;amp; NOMOR AKTIF pengirim &amp;amp;
penerima, jangan sampai salah yaah
#JNE</t>
  </si>
  <si>
    <t>padangjobs_id
Lowongan Kerja Sumbar PT Pos Indonesia
(Persero) September 2021 https://t.co/alSgPkof9m</t>
  </si>
  <si>
    <t>atikahlahhh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</si>
  <si>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kompaskerja
Lowongan Kerja Minimal SMA/Sederajat
PT Pos Indonesia (BUMN) September
2021 https://t.co/tjzCsGQnOD</t>
  </si>
  <si>
    <t xml:space="preserve">posindo
</t>
  </si>
  <si>
    <t>anisofeaaaaaa
Hari aku takdak mood la semua org
nak call pakcik makcik abg jnt
abg pos laju abg dhl ayoooo</t>
  </si>
  <si>
    <t>cixbaely
WTS SKZ 🇲🇾 ONLY • Felix,Changbin
Jewel PC [SET] - RM38 • Chan Jewel
PC - RM28 • Changbin Red Frame
- RM10 • Seungmin Red Frame - RM12
*cb jewel pc have defect 🖇 Exc
pos (jnt) 🖇 shopeepay/online banking
❌ NO rush postage 📩DM if interested
#pasarskz https://t.co/xZvb38hB1r</t>
  </si>
  <si>
    <t>festifiki
Biasanya pake jasa jnt, jne, sicepat,
kantor pos gak pernah kecewa. Ini
nyoba pake jasa @anteraja_id gilaaaa
lama bgt</t>
  </si>
  <si>
    <t xml:space="preserve">anteraja_id
</t>
  </si>
  <si>
    <t>ljtzys
skrg jnt dah super laju. semalam
pos hari ni sampai. poslaju pun
sama laju jugak. mcm ni shopping
pun best 😂</t>
  </si>
  <si>
    <t>sdnagr
To πολύ το... τίκι-τάκι (ή πως
κάνεις τον Πικέ σέντερ φορ για
να πάρεις βαθμό με τη Γρανάδα)
https://t.co/z2rOQyqitt</t>
  </si>
  <si>
    <t>wickysky_
@ndhrahzaidi jnt ni pelik tau ada
sekali tu pos pc 7.30 je tau2 smlm
8.50 dia igt kelakar ke😭</t>
  </si>
  <si>
    <t xml:space="preserve">ndhrahzaidi
</t>
  </si>
  <si>
    <t>kucingduakepala
@zainulazrii Lom msuk 2 mnggu gk
la, sminggu gia dh, hri ke 5 bok
kede ya pos, nak nunggu gk dh k
jnt!!</t>
  </si>
  <si>
    <t xml:space="preserve">zainulazrii
</t>
  </si>
  <si>
    <t>bagheli1plus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</si>
  <si>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anaknda_
@kasihrindu19 Tq mekda 😭😭😭 Mohon
abg Jnt pos yang ni kat sis 😆😆🤣🤣🤣
Mekda makankan untuk sis 🤣</t>
  </si>
  <si>
    <t xml:space="preserve">kasihrindu19
</t>
  </si>
  <si>
    <t xml:space="preserve">sellkpopfess
</t>
  </si>
  <si>
    <t>teeuhaa
SEUNGKWAN HENGGARAE PC 🖇️ RM26
exc pos 🌟 freebies 🖇️ RM8 (jnt
only) 🖇️ no rush postage due to
work :) 🖇️ strictly no backout
hmu while u can #pasarSVT #pasarkpop
@GEROBOKSVT_MY @svtmarketmy @svtradingmy
@SVTRADEMY @SVTTRADINGMY help rt
thank you~ https://t.co/OI9OVwkNwH
https://t.co/tisLR6IjXj</t>
  </si>
  <si>
    <t xml:space="preserve">svttradingmy
</t>
  </si>
  <si>
    <t xml:space="preserve">svtrademy
</t>
  </si>
  <si>
    <t xml:space="preserve">svtradingmy
</t>
  </si>
  <si>
    <t xml:space="preserve">svtmarketmy
</t>
  </si>
  <si>
    <t xml:space="preserve">geroboksvt_my
</t>
  </si>
  <si>
    <t>masyarakatradio
@ib_ost @BudiPra87870630 @PosIndo
Udah saya skrinsut dan kirim ke
whatsapp pribadi direksi @posindo
(Dir Keu) Semoga ditindaklanjuti
untuk keselamatan bersama dan kebaikan
PT POS Indonesia yang kita cintai
🙏</t>
  </si>
  <si>
    <t>ib_ost
@ib_ost @BudiPra87870630 @PosIndo
Udah saya skrinsut dan kirim ke
whatsapp pribadi direksi @posindo
(Dir Keu) Semoga ditindaklanjuti
untuk keselamatan bersama dan kebaikan
PT POS Indonesia yang kita cintai
🙏</t>
  </si>
  <si>
    <t xml:space="preserve">budipra87870630
</t>
  </si>
  <si>
    <t>anwarashburn
@nasibujangg @ShopeeMY Bad aku
hari2 pos guna jnt esok nya mesti
sampai. The quickest la kalau courier
lain ni taktau la</t>
  </si>
  <si>
    <t xml:space="preserve">shopeemy
</t>
  </si>
  <si>
    <t xml:space="preserve">nasibujangg
</t>
  </si>
  <si>
    <t>dw_sardjono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</si>
  <si>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andrifigfarm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</si>
  <si>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 xml:space="preserve">menfesssyg
</t>
  </si>
  <si>
    <t>pinknjill
@bertanyarl Pos aja, soalnya kalo
jnt sicepat bakal ditolak Kecuali
kamu bohong soal isi paketnya,
tp kalo knp2 mereka ga akan tanggung
jawab</t>
  </si>
  <si>
    <t>ahjoss10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</si>
  <si>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ateynnnn
Tgoklaa hampa yang dah postage.
Hari ni pos, esok sampai. Alhamdulillah
laa jnt laju area kg pelet 😂 https://t.co/s9SGynGw1M</t>
  </si>
  <si>
    <t xml:space="preserve">nurulhidayah_94
</t>
  </si>
  <si>
    <t>itsme0605
@menfesssyg Cek aja ongkirnya di
google nder. Tinggal kamu pilih
aja mau make pos, jnt, jne, atau
sicepat, atau yg lainnya. Tinggal
masukin kecamatan pengirim sama
penerima sama berat Itu udh ada
nanti ongkir sama estimasinya.
Kalau aku cek di aplikasi biasanya
karna aku jualan.</t>
  </si>
  <si>
    <t>aikerja
Lowongan Kerja - Info Lowongan
Kerja ... . PT Pos Indonesia (Persero)
merupakan salah satu perusa...
- https://t.co/h5JuwBTd7j https://t.co/nHZb0eaSz8</t>
  </si>
  <si>
    <t>nursyhra_
@ariffl5 sbb mu jnt ni pos laju
haha https://t.co/jfuaexsxMK</t>
  </si>
  <si>
    <t xml:space="preserve">ariffl5
</t>
  </si>
  <si>
    <t xml:space="preserve">afiqahamni1
</t>
  </si>
  <si>
    <t>nrnshaik19
Aku pos mask tu smlm jgk, siap
bgi arahan aku pos dulu pastu send
bukti shipping fee?!?!?!? Eh aku
ni bukan seller and kami jarang
p pos pos barang, lagi lagi nk
travel smpai sungai tiram smata
mata nk tolong hg guna courier
jnt, salam apa tkdk pastu duk bagi
arahan suruh</t>
  </si>
  <si>
    <t>naaabihaaa
siapa pulak pos barang letak nombor
aku ni, kantoi dah jnt mesej bagi
tracking number 🤣</t>
  </si>
  <si>
    <t>bcbanjarmasin_
Sejalan dengan Peraturan Menteri
Keuangan (PMK) nomor 109/PMK.04/2020
tentang Kawasan Pabean dan Tempat
Penimbunan Sementara, Tim Monitoring
dan Evaluasi KPPBC TMP B Banjarmasin
telah melaksanakan Monev Kawasan
Pabean dan Tempat Penimbunan Sementara
di PT. Pos Indonesia https://t.co/JtbcPa8Vjx</t>
  </si>
  <si>
    <t>marlyanamn
Semua call jawab benda sama. Bila
request nak tahu apa progress daripada
previous complaints semua terkial
jawab. Aku tau banyak dah complaint
orang ramai pasal jnt. Ni bukan
barang aku pos, ni barang patut
terima.</t>
  </si>
  <si>
    <t>itzelworid
@Anyaslalusalah Kmren juga ada
yg inget kata tukang pos. Gue gatau
kang pos anjir, jne jnt aja gue
ga ajak ngobrol</t>
  </si>
  <si>
    <t xml:space="preserve">anyaslalusalah
</t>
  </si>
  <si>
    <t>gopinda901
REKON BST KABUPATEN BULELENG DENGAN
ANGGARAN BTT BERSAMA PT POS INDONESIA
TAHAP I BULAN JULI TAHUN 2021 https://t.co/oZ0yyUS68w</t>
  </si>
  <si>
    <t>crossvinee
WTS SKZ JEWEL CASE 🇲🇾 ONLY 💰RM48
• Lee Know Cover, Felix Frame PC
, Changbin Red Frame [SET ONLY]
• Hyungline Mini Photobook ** leeknow
photobook have minor defect 🖇
Exc pos (jnt) 🖇 shopeepay/online
banking ❌ NO rush postage 📩DM
if interested #pasarskz https://t.co/00HQ1cH7ZD</t>
  </si>
  <si>
    <t>hunjisvngs
WTS SKZ JEWEL CASE 🇲🇾 ONLY 💰RM48
• Lee Know Cover, Felix Frame PC
, Changbin Red Frame [SET ONLY]
• Hyungline Mini Photobook ** leeknow
photobook have minor defect 🖇
Exc pos (jnt) 🖇 shopeepay/online
banking ❌ NO rush postage 📩DM
if interested #pasarskz https://t.co/00HQ1cH7ZD</t>
  </si>
  <si>
    <t>hyunjiyoungein
WTS SKZ JEWEL CASE 🇲🇾 ONLY 💰RM48
• Lee Know Cover, Felix Frame PC
, Changbin Red Frame [SET ONLY]
• Hyungline Mini Photobook ** leeknow
photobook have minor defect 🖇
Exc pos (jnt) 🖇 shopeepay/online
banking ❌ NO rush postage 📩DM
if interested #pasarskz https://t.co/00HQ1cH7ZD</t>
  </si>
  <si>
    <t>minnieeeeyey
WTS SKZ JEWEL CASE 🇲🇾 ONLY 💰RM48
• Lee Know Cover, Felix Frame PC
, Changbin Red Frame [SET ONLY]
• Hyungline Mini Photobook ** leeknow
photobook have minor defect 🖇
Exc pos (jnt) 🖇 shopeepay/online
banking ❌ NO rush postage 📩DM
if interested #pasarskz https://t.co/00HQ1cH7ZD</t>
  </si>
  <si>
    <t>skzstaycmchhysj
WTS SKZ JEWEL CASE 🇲🇾 ONLY 💰RM48
• Lee Know Cover, Felix Frame PC
, Changbin Red Frame [SET ONLY]
• Hyungline Mini Photobook ** leeknow
photobook have minor defect 🖇
Exc pos (jnt) 🖇 shopeepay/online
banking ❌ NO rush postage 📩DM
if interested #pasarskz https://t.co/00HQ1cH7ZD</t>
  </si>
  <si>
    <t>bbokfreckkie
WTS SKZ JEWEL CASE 🇲🇾 ONLY 💰RM48
• Lee Know Cover, Felix Frame PC
, Changbin Red Frame [SET ONLY]
• Hyungline Mini Photobook ** leeknow
photobook have minor defect 🖇
Exc pos (jnt) 🖇 shopeepay/online
banking ❌ NO rush postage 📩DM
if interested #pasarskz https://t.co/00HQ1cH7ZD</t>
  </si>
  <si>
    <t>favorskz
WTS SKZ JEWEL CASE 🇲🇾 ONLY 💰RM48
• Lee Know Cover, Felix Frame PC
, Changbin Red Frame [SET ONLY]
• Hyungline Mini Photobook ** leeknow
photobook have minor defect 🖇
Exc pos (jnt) 🖇 shopeepay/online
banking ❌ NO rush postage 📩DM
if interested #pasarskz https://t.co/00HQ1cH7ZD</t>
  </si>
  <si>
    <t>haafiieezaa98
WTS SKZ JEWEL CASE 🇲🇾 ONLY 💰RM48
• Lee Know Cover, Felix Frame PC
, Changbin Red Frame [SET ONLY]
• Hyungline Mini Photobook ** leeknow
photobook have minor defect 🖇
Exc pos (jnt) 🖇 shopeepay/online
banking ❌ NO rush postage 📩DM
if interested #pasarskz https://t.co/00HQ1cH7ZD</t>
  </si>
  <si>
    <t>mongmongmy
WTS SKZ JEWEL CASE 🇲🇾 ONLY 💰RM48
• Lee Know Cover, Felix Frame PC
, Changbin Red Frame [SET ONLY]
• Hyungline Mini Photobook ** leeknow
photobook have minor defect 🖇
Exc pos (jnt) 🖇 shopeepay/online
banking ❌ NO rush postage 📩DM
if interested #pasarskz https://t.co/00HQ1cH7ZD</t>
  </si>
  <si>
    <t>enhanreals
WTS SKZ JEWEL CASE 🇲🇾 ONLY 💰RM48
• Lee Know Cover, Felix Frame PC
, Changbin Red Frame [SET ONLY]
• Hyungline Mini Photobook ** leeknow
photobook have minor defect 🖇
Exc pos (jnt) 🖇 shopeepay/online
banking ❌ NO rush postage 📩DM
if interested #pasarskz https://t.co/00HQ1cH7ZD</t>
  </si>
  <si>
    <t>ansnisnis
WTS SKZ JEWEL CASE 🇲🇾 ONLY 💰RM48
• Lee Know Cover, Felix Frame PC
, Changbin Red Frame [SET ONLY]
• Hyungline Mini Photobook ** leeknow
photobook have minor defect 🖇
Exc pos (jnt) 🖇 shopeepay/online
banking ❌ NO rush postage 📩DM
if interested #pasarskz https://t.co/00HQ1cH7ZD</t>
  </si>
  <si>
    <t>abbykhai11
WTS SKZ JEWEL CASE 🇲🇾 ONLY 💰RM48
• Lee Know Cover, Felix Frame PC
, Changbin Red Frame [SET ONLY]
• Hyungline Mini Photobook ** leeknow
photobook have minor defect 🖇
Exc pos (jnt) 🖇 shopeepay/online
banking ❌ NO rush postage 📩DM
if interested #pasarskz https://t.co/00HQ1cH7ZD</t>
  </si>
  <si>
    <t>nychnie
WTS SKZ JEWEL CASE 🇲🇾 ONLY 💰RM48
• Lee Know Cover, Felix Frame PC
, Changbin Red Frame [SET ONLY]
• Hyungline Mini Photobook ** leeknow
photobook have minor defect 🖇
Exc pos (jnt) 🖇 shopeepay/online
banking ❌ NO rush postage 📩DM
if interested #pasarskz https://t.co/00HQ1cH7ZD</t>
  </si>
  <si>
    <t>14quokka
WTS SKZ JEWEL CASE 🇲🇾 ONLY 💰RM48
• Lee Know Cover, Felix Frame PC
, Changbin Red Frame [SET ONLY]
• Hyungline Mini Photobook ** leeknow
photobook have minor defect 🖇
Exc pos (jnt) 🖇 shopeepay/online
banking ❌ NO rush postage 📩DM
if interested #pasarskz https://t.co/00HQ1cH7ZD</t>
  </si>
  <si>
    <t>aanisnana
Parcel berpuluh2 sampai rumah 😁😁
abang jnt dgn pos laju siap nyembang
depan rumah 🤣🤣</t>
  </si>
  <si>
    <t>_hanjillipop
WTS SKZ JEWEL CASE 🇲🇾 ONLY 💰RM48
• Lee Know Cover, Felix Frame PC
, Changbin Red Frame [SET ONLY]
• Hyungline Mini Photobook ** leeknow
photobook have minor defect 🖇
Exc pos (jnt) 🖇 shopeepay/online
banking ❌ NO rush postage 📩DM
if interested #pasarskz https://t.co/00HQ1cH7ZD</t>
  </si>
  <si>
    <t>prncsflwr_
WTS SKZ JEWEL CASE 🇲🇾 ONLY 💰RM48
• Lee Know Cover, Felix Frame PC
, Changbin Red Frame [SET ONLY]
• Hyungline Mini Photobook ** leeknow
photobook have minor defect 🖇
Exc pos (jnt) 🖇 shopeepay/online
banking ❌ NO rush postage 📩DM
if interested #pasarskz https://t.co/00HQ1cH7ZD</t>
  </si>
  <si>
    <t>stayawl
WTS SKZ JEWEL CASE 🇲🇾 ONLY 💰RM48
• Lee Know Cover, Felix Frame PC
, Changbin Red Frame [SET ONLY]
• Hyungline Mini Photobook ** leeknow
photobook have minor defect 🖇
Exc pos (jnt) 🖇 shopeepay/online
banking ❌ NO rush postage 📩DM
if interested #pasarskz https://t.co/00HQ1cH7ZD</t>
  </si>
  <si>
    <t>nxnadoongies
[HELP RT] WTS | MY MSIA MALAYSIA
🇲🇾 ONLY NCT DREAM HOT SAUCE ALBUM
- Boring ver - Sealed - on hand
🏷 RM 75 🚚 price alr inc pos (jnt)
💚 Will inc freebies ^^ 💌 dm for
more pic/interested #pasarNCT #pasarNCTmy
#mynctjual #NCT https://t.co/PiUx4CbLoO</t>
  </si>
  <si>
    <t>elninosaurus
[HELP RT] WTS | MY MSIA MALAYSIA
🇲🇾 ONLY NCT DREAM HOT SAUCE ALBUM
- Boring ver - Sealed - on hand
🏷 RM 75 🚚 price alr inc pos (jnt)
💚 Will inc freebies ^^ 💌 dm for
more pic/interested #pasarNCT #pasarNCTmy
#mynctjual #NCT https://t.co/PiUx4CbLoO</t>
  </si>
  <si>
    <t>bucinhwghyunjin
WTS SKZ JEWEL CASE 🇲🇾 ONLY 💰RM48
• Lee Know Cover, Felix Frame PC
, Changbin Red Frame [SET ONLY]
• Hyungline Mini Photobook ** leeknow
photobook have minor defect 🖇
Exc pos (jnt) 🖇 shopeepay/online
banking ❌ NO rush postage 📩DM
if interested #pasarskz https://t.co/00HQ1cH7ZD</t>
  </si>
  <si>
    <t>hohochamzzz
WTS SKZ JEWEL CASE 🇲🇾 ONLY 💰RM48
• Lee Know Cover, Felix Frame PC
, Changbin Red Frame [SET ONLY]
• Hyungline Mini Photobook ** leeknow
photobook have minor defect 🖇
Exc pos (jnt) 🖇 shopeepay/online
banking ❌ NO rush postage 📩DM
if interested #pasarskz https://t.co/00HQ1cH7ZD</t>
  </si>
  <si>
    <t>sumasenyangyang
[HELP RT] WTS | MY MSIA MALAYSIA
🇲🇾 ONLY NCT DREAM HOT SAUCE ALBUM
- Boring ver - Sealed - on hand
🏷 RM 75 🚚 price alr inc pos (jnt)
💚 Will inc freebies ^^ 💌 dm for
more pic/interested #pasarNCT #pasarNCTmy
#mynctjual #NCT https://t.co/PiUx4CbLoO</t>
  </si>
  <si>
    <t>piecesofhyune
WTS SKZ JEWEL CASE 🇲🇾 ONLY 💰RM48
• Lee Know Cover, Felix Frame PC
, Changbin Red Frame [SET ONLY]
• Hyungline Mini Photobook ** leeknow
photobook have minor defect 🖇
Exc pos (jnt) 🖇 shopeepay/online
banking ❌ NO rush postage 📩DM
if interested #pasarskz https://t.co/00HQ1cH7ZD</t>
  </si>
  <si>
    <t xml:space="preserve">kemenbumn
</t>
  </si>
  <si>
    <t>tenlee_107
[HELP RT] WTS | MY MSIA MALAYSIA
🇲🇾 ONLY NCT DREAM HOT SAUCE ALBUM
- Boring ver - Sealed - on hand
🏷 RM 75 🚚 price alr inc pos (jnt)
💚 Will inc freebies ^^ 💌 dm for
more pic/interested #pasarNCT #pasarNCTmy
#mynctjual #NCT https://t.co/PiUx4CbLoO</t>
  </si>
  <si>
    <t>matchclctte
🛵ONGKOS KIRIM • By owner area
Malang Raya: 2.000/KM • By GO-SEND/Grab
• Luar kota by paxel, jnt atau
pos ❗potongan ongkir: •buy 4 pack
potongan 5K •buy 7 pack potongan
10K •buy 10 pack potongan 15K 📌Pengiriman
luar kota non-paxel wajib extra
packing +5K</t>
  </si>
  <si>
    <t>shahrinazakaria
MasyaAllah 😱 tudiaaa lajuu bak
hangg 🤣,baru je pos smlm,tup tup
haqini dh nyampeii ye 🤭😝 Alhamdulillah
Thank You Dear &amp;amp; Jnt 💖! https://t.co/ZSwBYVRIQk</t>
  </si>
  <si>
    <t>nctmydream_
[HELP RT] WTS | MY MSIA MALAYSIA
🇲🇾 ONLY NCT DREAM HOT SAUCE ALBUM
- Boring ver - Sealed - on hand
🏷 RM 75 🚚 price alr inc pos (jnt)
💚 Will inc freebies ^^ 💌 dm for
more pic/interested #pasarNCT #pasarNCTmy
#mynctjual #NCT https://t.co/PiUx4CbLoO</t>
  </si>
  <si>
    <t>jjeyaz
@fiddinroyan komisaris sama ceo
beda ya, ceo pos indonesia udh
kren bgt, inovasinya banyak, yg
awalnya ketinggalan dngn jnt dan
jne, kini mulai menyusul</t>
  </si>
  <si>
    <t xml:space="preserve">fiddinroyan
</t>
  </si>
  <si>
    <t>nblnndf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</si>
  <si>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 xml:space="preserve">askrlfess
</t>
  </si>
  <si>
    <t>azrnazol
Me everytime abang grab food, food
panda, jnt, pos laju etc: Bang
letak atas tembok je bang 📢</t>
  </si>
  <si>
    <t>lokersumatera1
Lowongan Kerja Palembang, PT. Pos
Indonesia (Persero) - Kantor Pos
30000 sebagai Oranger Antaran.
Deadline 25 September 2021 #lokersumatera
#lowongankerja #kurir #palembang
#lokerpalembang https://t.co/a1pI7GElz0</t>
  </si>
  <si>
    <t>_iansyah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</si>
  <si>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25yuyun
Pagi Sebelum aku umumin karena
kali ini aku bakal kasih ke banyak
akun Bagi pemenang yg "mau" ambil
hadiahnya baca ini dulu ya -Bersedia
bayar ongkir manual (JNE/jnt/wahana)+
10k -ss namamu SBG pemenang -dm
aku dgn isi Denimalz/Petit: Gender:
Nama: Hp: Alamat: Kode pos: -</t>
  </si>
  <si>
    <t>hadirdinsos
Berita | REKON BST KABUPATEN BULELENG
DENGAN ANGGARAN BTT BERSAMA PT
POS INDONESIA TAHAP I BULAN JULI
TAHUN 2021 https://t.co/SRT6cDwPs1
https://t.co/tZK5kTLjCa</t>
  </si>
  <si>
    <t>asfarinaaaa_
harini semua serba tak kena, tengok
parcel shopee express lembab nak
mampus, (delay delivery sebab salah
poskod) pastu peram lama2 parcel)
padahal jnt pos laju elok je hantar,
takde pun salah poskod?????? Aku
tak ubah pun alamat aku.</t>
  </si>
  <si>
    <t>peeloffsmile
jnt kan sebenarnya servis dia not
bad jugak tau, laju.. seller tu
pos parcel semalam, harini dah
sampai kat tmpt sendiri, argh suka
suka 😆😆</t>
  </si>
  <si>
    <t>namujoon__
Jnt makin teruk tp pos laju makin
bagus ye sekarang. Sehari je dah
sampai. Keep it up poslaju!</t>
  </si>
  <si>
    <t>faayyyh
hii , me and my friend finally
decided to open awb service. courier
provided: 🌹jnt 🌹pos laju each
postage only (can be up to 5kg
each parcel) 🌸RM9 more than 10
parcel 🌸RM7/each hit my dm for
more details</t>
  </si>
  <si>
    <t>cococheezy
hii , me and my friend finally
decided to open awb service. courier
provided: 🌹jnt 🌹pos laju each
postage only (can be up to 5kg
each parcel) 🌸RM9 more than 10
parcel 🌸RM7/each hit my dm for
more details</t>
  </si>
  <si>
    <t>aidilzulkefli_
binate pos laju babi, betak nok
mapuh pengurusan. kelmarin pos,
harini tkdok dale sistem lg. baik
jnt la blako. marin pos, harini
sapa duk kb doh.</t>
  </si>
  <si>
    <t>dvisyyy_
hii , me and my friend finally
decided to open awb service. courier
provided: 🌹jnt 🌹pos laju each
postage only (can be up to 5kg
each parcel) 🌸RM9 more than 10
parcel 🌸RM7/each hit my dm for
more details</t>
  </si>
  <si>
    <t>ashataee
hii , me and my friend finally
decided to open awb service. courier
provided: 🌹jnt 🌹pos laju each
postage only (can be up to 5kg
each parcel) 🌸RM9 more than 10
parcel 🌸RM7/each hit my dm for
more details</t>
  </si>
  <si>
    <t>jngwoozeus
hii , me and my friend finally
decided to open awb service. courier
provided: 🌹jnt 🌹pos laju each
postage only (can be up to 5kg
each parcel) 🌸RM9 more than 10
parcel 🌸RM7/each hit my dm for
more details</t>
  </si>
  <si>
    <t>psrnctrt
[HELP RT] WTS | MY MSIA MALAYSIA
🇲🇾 ONLY NCT DREAM HOT SAUCE ALBUM
- Boring ver - Sealed - on hand
🏷 RM 75 🚚 price alr inc pos (jnt)
💚 Will inc freebies ^^ 💌 dm for
more pic/interested #pasarNCT #pasarNCTmy
#mynctjual #NCT https://t.co/PiUx4CbLoO</t>
  </si>
  <si>
    <t>disnakerja_com
Lowongan Kerja PT POS Indonesia
(Persero) https://t.co/u6neYWancn</t>
  </si>
  <si>
    <t>tribunnews
Lowongan Kerja PT Pos Indonesia
Persero Makassar 2021 Frontliner,
Dibuka hingga 24 September 2021
https://t.co/g9xiZ6kgUg</t>
  </si>
  <si>
    <t>taggie_03
hii , me and my friend finally
decided to open awb service. courier
provided: 🌹jnt 🌹pos laju each
postage only (can be up to 5kg
each parcel) 🌸RM9 more than 10
parcel 🌸RM7/each hit my dm for
more details</t>
  </si>
  <si>
    <t>miyongyu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</si>
  <si>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tyongluvb
help rt 🇲🇾 #pasarpiwon wts intak
p1ay set -selling in set rm25 exc
pos -full set without id photo
only -can reserve but no backout
-no fussy buyer -postage rm6 jnt
shopee (+ rm3 packaging) https://t.co/MJM3VpJ7y6</t>
  </si>
  <si>
    <t>wh0junie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</si>
  <si>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chocoboyksw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</si>
  <si>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jasaraharjaaceh
Hai Jasfren, hari ini Pembina Samsat
Aceh yang terdiri dari Dirlantas
Polda Aceh, Kepala BPKA, dan Kepala
PT Jasa Raharja Cabang Aceh menandatangi
perpanjangan Perjanjian Kerjasama
Pelayanan Pembayaran Pajak Kendaraan
Bermotor melalui PT. Pos Indonesia
#PKS #PKB #SWDKLLJ #PNBP https://t.co/A0DkJ7RSvI</t>
  </si>
  <si>
    <t xml:space="preserve">pasarsf9my
</t>
  </si>
  <si>
    <t>jihoneybebe
(WTS/HELP RT) ALL SF9 PCS RM10
EACH ‼️ - postage rm10 em/wm (FIXED)
- using JNT - FPFS - SHOPEEPAY/BANKIN✅
- NO BACKOUT ❌ - TAKE MORE THAN
RM50 FREE POS‼️ #pasarSF9 @pasarSF9my
help rt. https://t.co/187gbquXxe</t>
  </si>
  <si>
    <t>tibott2
BST kembali diperpanjang untuk
dua bulan yakni bulan Mei dan Juni
2021 dengan indeks Rp300 ribu/bulan/Keluarga
Penerima Manfaat (KPM). BST menyasar
10 juta KPM dengan penyaluran dilakukan
melalui PT Pos Indonesia. #BansosLanjutTerus
https://t.co/kTGIC0DqCm</t>
  </si>
  <si>
    <t>anak_sultanjaya
BST kembali diperpanjang untuk
dua bulan yakni bulan Mei dan Juni
2021 dengan indeks Rp300 ribu/bulan/Keluarga
Penerima Manfaat (KPM). BST menyasar
10 juta KPM dengan penyaluran dilakukan
melalui PT Pos Indonesia. #BansosLanjutTerus
https://t.co/kTGIC0DqCm</t>
  </si>
  <si>
    <t>aly_pemuda
BST kembali diperpanjang untuk
dua bulan yakni bulan Mei dan Juni
2021 dengan indeks Rp300 ribu/bulan/Keluarga
Penerima Manfaat (KPM). BST menyasar
10 juta KPM dengan penyaluran dilakukan
melalui PT Pos Indonesia. #BansosLanjutTerus
https://t.co/kTGIC0DqCm</t>
  </si>
  <si>
    <t>naj_2709
pemerintah memperpanjang program
BST selama dua bulan, yaitu pada
Mei dan Juni 2021 dengan indeks
bantuan Rp 300.000 per bulan per
KPM. Program BST yang menyasar
10 juta KPM tersebut disalurkan
pemerintah melalui PT Pos Indonesia.
#BansosLanjutTerus https://t.co/zn965fx92l</t>
  </si>
  <si>
    <t>youngfarrel27
BST kembali diperpanjang untuk
dua bulan yakni bulan Mei dan Juni
2021 dengan indeks Rp300 ribu/bulan/Keluarga
Penerima Manfaat (KPM). BST menyasar
10 juta KPM dengan penyaluran dilakukan
melalui PT Pos Indonesia. #BansosLanjutTerus
https://t.co/kTGIC0DqCm</t>
  </si>
  <si>
    <t>ariestarico2
pemerintah memperpanjang program
BST selama dua bulan, yaitu pada
Mei dan Juni 2021 dengan indeks
bantuan Rp 300.000 per bulan per
KPM. Program BST yang menyasar
10 juta KPM tersebut disalurkan
pemerintah melalui PT Pos Indonesia.
#BansosLanjutTerus https://t.co/zn965fx92l</t>
  </si>
  <si>
    <t>rizkidikka
BST kembali diperpanjang untuk
dua bulan yakni bulan Mei dan Juni
2021 dengan indeks Rp300 ribu/bulan/Keluarga
Penerima Manfaat (KPM). BST menyasar
10 juta KPM dengan penyaluran dilakukan
melalui PT Pos Indonesia. #BansosLanjutTerus
https://t.co/kTGIC0DqCm</t>
  </si>
  <si>
    <t>berli_flo
BST kembali diperpanjang untuk
dua bulan yakni bulan Mei dan Juni
2021 dengan indeks Rp300 ribu/bulan/Keluarga
Penerima Manfaat (KPM). BST menyasar
10 juta KPM dengan penyaluran dilakukan
melalui PT Pos Indonesia. #BansosLanjutTerus
https://t.co/kTGIC0DqCm</t>
  </si>
  <si>
    <t>marv3lll
pemerintah memperpanjang program
BST selama dua bulan, yaitu pada
Mei dan Juni 2021 dengan indeks
bantuan Rp 300.000 per bulan per
KPM. Program BST yang menyasar
10 juta KPM tersebut disalurkan
pemerintah melalui PT Pos Indonesia.
#BansosLanjutTerus https://t.co/zn965fx92l</t>
  </si>
  <si>
    <t>panterorison20
BST kembali diperpanjang untuk
dua bulan yakni bulan Mei dan Juni
2021 dengan indeks Rp300 ribu/bulan/Keluarga
Penerima Manfaat (KPM). BST menyasar
10 juta KPM dengan penyaluran dilakukan
melalui PT Pos Indonesia. #BansosLanjutTerus
https://t.co/kTGIC0DqCm</t>
  </si>
  <si>
    <t>sydneyx5w
pemerintah memperpanjang program
BST selama dua bulan, yaitu pada
Mei dan Juni 2021 dengan indeks
bantuan Rp 300.000 per bulan per
KPM. Program BST yang menyasar
10 juta KPM tersebut disalurkan
pemerintah melalui PT Pos Indonesia.
#BansosLanjutTerus https://t.co/zn965fx92l</t>
  </si>
  <si>
    <t>farrel27
BST kembali diperpanjang untuk
dua bulan yakni bulan Mei dan Juni
2021 dengan indeks Rp300 ribu/bulan/Keluarga
Penerima Manfaat (KPM). BST menyasar
10 juta KPM dengan penyaluran dilakukan
melalui PT Pos Indonesia. #BansosLanjutTerus
https://t.co/kTGIC0DqCm</t>
  </si>
  <si>
    <t>babyericsohn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</si>
  <si>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putiandamdewi16
BST kembali diperpanjang untuk
dua bulan yakni bulan Mei dan Juni
2021 dengan indeks Rp300 ribu/bulan/Keluarga
Penerima Manfaat (KPM). BST menyasar
10 juta KPM dengan penyaluran dilakukan
melalui PT Pos Indonesia. #BansosLanjutTerus
https://t.co/kTGIC0DqCm</t>
  </si>
  <si>
    <t>ta_k3n
BST kembali diperpanjang untuk
dua bulan yakni bulan Mei dan Juni
2021 dengan indeks Rp300 ribu/bulan/Keluarga
Penerima Manfaat (KPM). BST menyasar
10 juta KPM dengan penyaluran dilakukan
melalui PT Pos Indonesia. #BansosLanjutTerus
https://t.co/kTGIC0DqCm</t>
  </si>
  <si>
    <t>kemenkumham_jtm
Terkait UKK Imigrasi Bojonegoro,
ULP di mall wilayah Surabaya maupun
Kerjasama dengan PT Pos Indonesia.
(Humas Kemenkumham Jatim) #KemenkumhamRI
#KumhamPASTI @rbkunwas https://t.co/RG47KIBueN</t>
  </si>
  <si>
    <t xml:space="preserve">rbkunwas
</t>
  </si>
  <si>
    <t>hoonqhwadxjj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</si>
  <si>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 xml:space="preserve">shopeeid
</t>
  </si>
  <si>
    <t>twitlowongan
#Lowongan WAREHOUSE OPERATOR PT.
Pos Logistik Indonesia (Anak BUMN
PT. Pos Indonesia (Persero) | Semua
Jurusan | Penempatan di Banyak
Kota). Syarat, Lokasi &amp;amp; Cara
Melamar Baca Di: https://t.co/j0Gu9zOGMu
https://t.co/S63zISccBX</t>
  </si>
  <si>
    <t>imanhidayat85
#Lowongan WAREHOUSE OPERATOR PT.
Pos Logistik Indonesia (Anak BUMN
PT. Pos Indonesia (Persero) | Semua
Jurusan | Penempatan di Banyak
Kota). Syarat, Lokasi &amp;amp; Cara
Melamar Baca Di: https://t.co/j0Gu9zOGMu
https://t.co/S63zISccBX</t>
  </si>
  <si>
    <t>dnyrstn_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</si>
  <si>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leezxv
gerigitan betul sya ni pos laju
sma jnt apa juga drg buat parcel
sya lama2 d kk😭😭</t>
  </si>
  <si>
    <t>bukansamsmith
@pandabeardada Bukaannn. Masih
jauh dari fithub. Clue: yg deket
pos polisi benhil sama jne benhil.</t>
  </si>
  <si>
    <t xml:space="preserve">pandabeardada
</t>
  </si>
  <si>
    <t>pasartheboyz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</si>
  <si>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gudangloker_com
Lowongan Kerja PT Pos Logistik
Indonesia Tahun 2021 https://t.co/eBiEKsoWVE</t>
  </si>
  <si>
    <t>akuratco
Anak usaha PT Pos Indonesia (Persero)
yakni Pos Logistik Indonesia tengah
membuka lowongan kerja, yuk intip!
https://t.co/M5uNJdQ02i</t>
  </si>
  <si>
    <t>smootieskies
Beria la buat gambar passport beli
kat shopee sebab murah. Sekali
jnt dok buat peram barang aku 😤
dah la nak pos segala document
harini haihh 🤬</t>
  </si>
  <si>
    <t>mitraloker
Lowongan Kerja Semua Jurusan PT
Pos Logistik Indonesia September
2021 https://t.co/EYuPjOeK2C</t>
  </si>
  <si>
    <t>_44ngel_
Mana abang jnt niii, nak pergi
pos barang ni 😭😭</t>
  </si>
  <si>
    <t>indojobinfo
Lowongan Kerja Semua Jurusan PT
Pos Logistik Indonesia September
2021 https://t.co/ZQCjMXK2aZ</t>
  </si>
  <si>
    <t>dyodks
Jnt nak pos sekilo rm12 😱😱😱😱😱
da kenape mahal sgt??????</t>
  </si>
  <si>
    <t>dochil97
@VChristyano Mau lewat mana JNE
apa TIKI apa KANTOR POS apa SICEPAT</t>
  </si>
  <si>
    <t xml:space="preserve">vchristyano
</t>
  </si>
  <si>
    <t>jieyalahh
Tapi shopee express sini bagus.
Sama je macam jnt, semalam pos
harini sampai. Kadang pukul 10
malam pun dia hantar lagi (~‾▿‾)~</t>
  </si>
  <si>
    <t>isrdotcom
INFO LOKER BUMN! PT POS Logistik
Indonesia Buka Lowongan Untuk Lulusan
Min D3 Terbaru September 2021 #loker
#lowongankerja https://t.co/YBt2b9q9Kk</t>
  </si>
  <si>
    <t>sherlynzlee
@Askrlfess mending plastikin lagi
sendiri. pake map dulu kalau perlu
sebelum diplastikin..... aku kalau
dokumen penting biasanya pos sih,
jarang jne. ngirim kertas pake
jne mentok soal statistik tahun
lalu doang ke temen......</t>
  </si>
  <si>
    <t>temandeeptalk
@Askrlfess kmaren mau ngirim ijazah
gtu malah di tolak sma jnt nya,,
mending pos aja</t>
  </si>
  <si>
    <t xml:space="preserve">lonelyboy77x
</t>
  </si>
  <si>
    <t>tsyahana
Jnt kat lahat mmg terbaik lah.
Harini pos esok dh sampai. Even
sis terkejut hantar JB pun esok
tu sampai dh. Then senang, drop
off je takyah nak masuk dalam.</t>
  </si>
  <si>
    <t>cikguainan
@kam_camelia Dia rasa membazir
buat le sendiri. Kotak sendiri.
Lampu sendiri. Reben sendiri. Jajan
sendiri. Nak personal touch sangat
kan. Ha lepas tu beratur pulak
dalam jnt untuk pos. Dekat situ
dah sekurang-kurangnya dua tempat
dia kena check in checkout.</t>
  </si>
  <si>
    <t xml:space="preserve">kam_camelia
</t>
  </si>
  <si>
    <t>kharismaselaras
Lowongan Kerja PT Pos Logistik
Indonesia https://t.co/Lmd85Akyqz</t>
  </si>
  <si>
    <t xml:space="preserve">squidwrd__
</t>
  </si>
  <si>
    <t>haiqal_mahtiar
@aly4chan Nk jnt ke pos laju?</t>
  </si>
  <si>
    <t xml:space="preserve">aly4chan
</t>
  </si>
  <si>
    <t>pingpongshh
pos la cepat roti thailand tu kan
berkulat dalam lori jnt</t>
  </si>
  <si>
    <t>ajisaazeez
Semoga sempat sampai jnt untuk
pos barang</t>
  </si>
  <si>
    <t>ireneizbaee
when will ppl realise sellers takleh
bagi free shipping bcs jnt bukan
bapak saya punya, saya tak balut
pc awak guna daun, bukan pergi
pos barang awak naik unta, bukan
bukan bukannnnnnnn https://t.co/aQqhbMbDbE</t>
  </si>
  <si>
    <t>nraisyah_12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</si>
  <si>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soorisaa
Small giveaway for 🇲🇾 STAY ❣️
1pc I.N ds noeasy ⚡ Just like,
rt, n comment any skz pic. Will
end esok anytime, sbb nak terus
pos dgn parcel my buyer yg lain.
**postage on winner - rm5 jnt #pasarSKZ
https://t.co/tpNyxYmUWB</t>
  </si>
  <si>
    <t>seungvocado22
Small giveaway for 🇲🇾 STAY ❣️
1pc I.N ds noeasy ⚡ Just like,
rt, n comment any skz pic. Will
end esok anytime, sbb nak terus
pos dgn parcel my buyer yg lain.
**postage on winner - rm5 jnt #pasarSKZ
https://t.co/tpNyxYmUWB</t>
  </si>
  <si>
    <t>lcvely_wn
Small giveaway for 🇲🇾 STAY ❣️
1pc I.N ds noeasy ⚡ Just like,
rt, n comment any skz pic. Will
end esok anytime, sbb nak terus
pos dgn parcel my buyer yg lain.
**postage on winner - rm5 jnt #pasarSKZ
https://t.co/tpNyxYmUWB</t>
  </si>
  <si>
    <t>shadatuzn
Hritu i ada beli something and
then i tanya lh dia "u guna jnt
ke" and then dia reply "i will
use poslaju, but if you want jnt
boleh je", astu tdi dia bgi tracking
number pos laju HAHAHAHA💀</t>
  </si>
  <si>
    <t>jeonginfoxyy
Small giveaway for 🇲🇾 STAY ❣️
1pc I.N ds noeasy ⚡ Just like,
rt, n comment any skz pic. Will
end esok anytime, sbb nak terus
pos dgn parcel my buyer yg lain.
**postage on winner - rm5 jnt #pasarSKZ
https://t.co/tpNyxYmUWB</t>
  </si>
  <si>
    <t>teutoong21
Small giveaway for 🇲🇾 STAY ❣️
1pc I.N ds noeasy ⚡ Just like,
rt, n comment any skz pic. Will
end esok anytime, sbb nak terus
pos dgn parcel my buyer yg lain.
**postage on winner - rm5 jnt #pasarSKZ
https://t.co/tpNyxYmUWB</t>
  </si>
  <si>
    <t>iyenstars
Small giveaway for 🇲🇾 STAY ❣️
1pc I.N ds noeasy ⚡ Just like,
rt, n comment any skz pic. Will
end esok anytime, sbb nak terus
pos dgn parcel my buyer yg lain.
**postage on winner - rm5 jnt #pasarSKZ
https://t.co/tpNyxYmUWB</t>
  </si>
  <si>
    <t>cthe0luvr
help rt 🇲🇾 #pasarpiwon wts intak
p1ay set -selling in set rm25 exc
pos -full set without id photo
only -can reserve but no backout
-no fussy buyer -postage rm6 jnt
shopee (+ rm3 packaging) https://t.co/MJM3VpJ7y6</t>
  </si>
  <si>
    <t>briankhis
Ada yg pernah kirim dokumen antar
kota pake jasa pos/JNE? Prosesnya
gimna ya? Help</t>
  </si>
  <si>
    <t>ainthesame
@briankhis amaan kok. tegantung
deh kan ada macem2 jenisnya, tp
kisaran belasan ribu sih pos/jne
itu aku dari bekasi-bandung. kalau
pos kayanya ada web yg buat cek
harga gitu dej</t>
  </si>
  <si>
    <t>pasarpiwon
help rt 🇲🇾 #pasarpiwon wts intak
p1ay set -selling in set rm25 exc
pos -full set without id photo
only -can reserve but no backout
-no fussy buyer -postage rm6 jnt
shopee (+ rm3 packaging) https://t.co/MJM3VpJ7y6</t>
  </si>
  <si>
    <t>jeromechanhee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</si>
  <si>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kusumastianto
Titip Bagus, Jastip yg tau tau
nemu diskon 70% 😅 IG: https://t.co/m0tJmyeoyr
📱 WA &amp;amp; Line: 085326*22*72
DM yaa ☺️ 🏦 Mandiri, BCA, Muamalat,
a.n Angga P. 💳 GoPay &amp;amp; Ovo
a.n. Angga P. 🛒 Shopee, Tokopedia
&amp;amp; Bukalapak 📦 JNE, J&amp;amp;T,
Wahana, Pos, Lion dan Cargo dari
Gresik https://t.co/P3q4s9CgKC</t>
  </si>
  <si>
    <t>bluebir56633512
Titip Bagus, Jastip yg tau tau
nemu diskon 70% 😅 IG: https://t.co/m0tJmyeoyr
📱 WA &amp;amp; Line: 085326*22*72
DM yaa ☺️ 🏦 Mandiri, BCA, Muamalat,
a.n Angga P. 💳 GoPay &amp;amp; Ovo
a.n. Angga P. 🛒 Shopee, Tokopedia
&amp;amp; Bukalapak 📦 JNE, J&amp;amp;T,
Wahana, Pos, Lion dan Cargo dari
Gresik https://t.co/P3q4s9CgKC</t>
  </si>
  <si>
    <t>egghannie
Small giveaway for 🇲🇾 STAY ❣️
1pc I.N ds noeasy ⚡ Just like,
rt, n comment any skz pic. Will
end esok anytime, sbb nak terus
pos dgn parcel my buyer yg lain.
**postage on winner - rm5 jnt #pasarSKZ
https://t.co/tpNyxYmUWB</t>
  </si>
  <si>
    <t>spartanwisata
Kemensos salurkan 200,660 paket
masker dan vitamin melalui PT Pos
Logistik Indonesia dengan menerapkan
prokes secara ketat sehingga paket
dijamin higienis. Jokowi Lawan
Pandemi https://t.co/c7zug0pJFS</t>
  </si>
  <si>
    <t>sohyunjae
❗️help rt❗️WTS BTS pc 🇲🇾 -must
bought by set -dm to buy 🚚 price
exc pos -rm8 jnt -rm7 pgeon #pasarbts
help rt thanks 💜 @pasarBTS @malaysia_trade
@kpopsellingmy_ @BTStrading_MY
https://t.co/dFPJuTpr2F</t>
  </si>
  <si>
    <t xml:space="preserve">btstrading_my
</t>
  </si>
  <si>
    <t xml:space="preserve">kpopsellingmy_
</t>
  </si>
  <si>
    <t xml:space="preserve">pasarbts
</t>
  </si>
  <si>
    <t>vointeuir
❗️help rt❗️WTS BTS pc 🇲🇾 -dm
to buy 🚚 price exc pos -rm8 jnt
-rm7 pgeon #pasarbts help rt thanks
💜 @pasarBTS @malaysia_trade @kpopsellingmy_
@BTStrading_MY https://t.co/SmFtwQCQBv</t>
  </si>
  <si>
    <t>vssyie
❗️help rt❗️WTS BTS pc 🇲🇾 -must
bought by set -dm to buy 🚚 price
exc pos -rm8 jnt -rm7 pgeon #pasarbts
help rt thanks 💜 @pasarBTS @malaysia_trade
@kpopsellingmy_ @BTStrading_MY
https://t.co/dFPJuTpr2F</t>
  </si>
  <si>
    <t>taestrowbeary
❗️help rt❗️WTS BTS pc 🇲🇾 -dm
to buy 🚚 price exc pos -rm8 jnt
-rm7 pgeon #pasarbts help rt thanks
💜 @pasarBTS @malaysia_trade @kpopsellingmy_
@BTStrading_MY https://t.co/SmFtwQCQBv</t>
  </si>
  <si>
    <t>lvlyytaetae
❗️help rt❗️WTS BTS pc 🇲🇾 -dm
to buy 🚚 price exc pos -rm8 jnt
-rm7 pgeon #pasarbts help rt thanks
💜 @pasarBTS @malaysia_trade @kpopsellingmy_
@BTStrading_MY https://t.co/7L7uTdjfLv</t>
  </si>
  <si>
    <t>kittywonieee
❗️help rt❗️WTS BTS pc 🇲🇾 -dm
to buy 🚚 price exc pos -rm8 jnt
-rm7 pgeon #pasarbts help rt thanks
💜 @pasarBTS @malaysia_trade @kpopsellingmy_
@BTStrading_MY https://t.co/7L7uTdjfLv</t>
  </si>
  <si>
    <t>jeonginfoxyny
Small giveaway for 🇲🇾 STAY ❣️
1pc I.N ds noeasy ⚡ Just like,
rt, n comment any skz pic. Will
end esok anytime, sbb nak terus
pos dgn parcel my buyer yg lain.
**postage on winner - rm5 jnt #pasarSKZ
https://t.co/tpNyxYmUWB</t>
  </si>
  <si>
    <t>aesthetichees
❗️help rt❗️WTS BTS pc 🇲🇾 -dm
to buy 🚚 price exc pos -rm8 jnt
-rm7 pgeon #pasarbts help rt thanks
💜 @pasarBTS @malaysia_trade @kpopsellingmy_
@BTStrading_MY https://t.co/7L7uTdjfLv</t>
  </si>
  <si>
    <t>jkzty
❗️help rt❗️WTS BTS pc 🇲🇾 -dm
to buy 🚚 price exc pos -rm8 jnt
-rm7 pgeon #pasarbts help rt thanks
💜 @pasarBTS @malaysia_trade @kpopsellingmy_
@BTStrading_MY https://t.co/7L7uTdjfLv</t>
  </si>
  <si>
    <t>seaguling
❗️help rt❗️WTS BTS pc 🇲🇾 -dm
to buy 🚚 price exc pos -rm8 jnt
-rm7 pgeon #pasarbts help rt thanks
💜 @pasarBTS @malaysia_trade @kpopsellingmy_
@BTStrading_MY https://t.co/7L7uTdjfLv</t>
  </si>
  <si>
    <t>tinyyyjungwon
❗️help rt❗️WTS BTS pc 🇲🇾 -dm
to buy 🚚 price exc pos -rm8 jnt
-rm7 pgeon #pasarbts help rt thanks
💜 @pasarBTS @malaysia_trade @kpopsellingmy_
@BTStrading_MY https://t.co/3uGQns9Elj</t>
  </si>
  <si>
    <t>purpleejinnie
❗️help rt❗️WTS BTS pc 🇲🇾 -must
bought by set -dm to buy 🚚 price
exc pos -rm8 jnt -rm7 pgeon #pasarbts
help rt thanks 💜 @pasarBTS @malaysia_trade
@kpopsellingmy_ @BTStrading_MY
https://t.co/dFPJuTpr2F</t>
  </si>
  <si>
    <t>taehusna
❗️help rt❗️WTS BTS pc 🇲🇾 -must
bought by set -dm to buy 🚚 price
exc pos -rm8 jnt -rm7 pgeon #pasarbts
help rt thanks 💜 @pasarBTS @malaysia_trade
@kpopsellingmy_ @BTStrading_MY
https://t.co/dFPJuTpr2F</t>
  </si>
  <si>
    <t>jnoslatte
Small giveaway for 🇲🇾 STAY ❣️
1pc I.N ds noeasy ⚡ Just like,
rt, n comment any skz pic. Will
end esok anytime, sbb nak terus
pos dgn parcel my buyer yg lain.
**postage on winner - rm5 jnt #pasarSKZ
https://t.co/tpNyxYmUWB</t>
  </si>
  <si>
    <t>bunnykie
❗️help rt❗️WTS BTS pc 🇲🇾 -dm
to buy 🚚 price exc pos -rm8 jnt
-rm7 pgeon #pasarbts help rt thanks
💜 @pasarBTS @malaysia_trade @kpopsellingmy_
@BTStrading_MY https://t.co/7L7uTdjfLv</t>
  </si>
  <si>
    <t>dinotaete
❗️help rt❗️WTS BTS pc 🇲🇾 -must
bought by set -dm to buy 🚚 price
exc pos -rm8 jnt -rm7 pgeon #pasarbts
help rt thanks 💜 @pasarBTS @malaysia_trade
@kpopsellingmy_ @BTStrading_MY
https://t.co/dFPJuTpr2F</t>
  </si>
  <si>
    <t>vantaesfm
❗️help rt❗️WTS BTS pc 🇲🇾 -must
bought by set -dm to buy 🚚 price
exc pos -rm8 jnt -rm7 pgeon #pasarbts
help rt thanks 💜 @pasarBTS @malaysia_trade
@kpopsellingmy_ @BTStrading_MY
https://t.co/dFPJuTpr2F</t>
  </si>
  <si>
    <t>lunarwolfj
Kyknya klo pos kluarin perangko
seokjin. Jne jnt dll bkl kalah
karena semua ngirim pake perangko
seokjin 😂 https://t.co/vjBQV3ANIK</t>
  </si>
  <si>
    <t>alyessamariani
Saya beli dari sg. besi dan pos
ke batalion 18 ramd (para), kem
sri pantai, trg, beberapa minggu
lepas. Mungkin cawangan tadbir
belum terima. Dah semak proof jnt
mmg tepat lokasinya. @MarkasATM
@tudm_rasmi @tldm_rasmi @MINDEFMalaysia
@TenteraDarat @ISTANANEGARA_ https://t.co/4dv9jAAjP0</t>
  </si>
  <si>
    <t xml:space="preserve">istananegara_
</t>
  </si>
  <si>
    <t xml:space="preserve">tenteradarat
</t>
  </si>
  <si>
    <t xml:space="preserve">mindefmalaysia
</t>
  </si>
  <si>
    <t xml:space="preserve">tldm_rasmi
</t>
  </si>
  <si>
    <t xml:space="preserve">tudm_rasmi
</t>
  </si>
  <si>
    <t xml:space="preserve">markasatm
</t>
  </si>
  <si>
    <t>wintervecember_
❗️help rt❗️WTS BTS pc 🇲🇾 -must
bought by set -dm to buy 🚚 price
exc pos -rm8 jnt -rm7 pgeon #pasarbts
help rt thanks 💜 @pasarBTS @malaysia_trade
@kpopsellingmy_ @BTStrading_MY
https://t.co/dFPJuTpr2F</t>
  </si>
  <si>
    <t>flowtaekoo
❗️help rt❗️WTS BTS pc 🇲🇾 -must
bought by set -dm to buy 🚚 price
exc pos -rm8 jnt -rm7 pgeon #pasarbts
help rt thanks 💜 @pasarBTS @malaysia_trade
@kpopsellingmy_ @BTStrading_MY
https://t.co/dFPJuTpr2F</t>
  </si>
  <si>
    <t>lauvkia
❗️help rt❗️WTS BTS pc 🇲🇾 -must
bought by set -dm to buy 🚚 price
exc pos -rm8 jnt -rm7 pgeon #pasarbts
help rt thanks 💜 @pasarBTS @malaysia_trade
@kpopsellingmy_ @BTStrading_MY
https://t.co/dFPJuTpr2F</t>
  </si>
  <si>
    <t>syazzyjinbts
@doeeyeskook Eheheheh... Sbb cuti
harini.. Tu yg pack tu sbb dh ckp
nk pos harini kan.. Hahaha!! Tggu
jnt pickup je ni sbb xde transport
nk kluar.. Huhu</t>
  </si>
  <si>
    <t xml:space="preserve">doeeyeskook
</t>
  </si>
  <si>
    <t>blkhairtannies
❗️help rt❗️WTS BTS pc 🇲🇾 -must
bought by set -dm to buy 🚚 price
exc pos -rm8 jnt -rm7 pgeon #pasarbts
help rt thanks 💜 @pasarBTS @malaysia_trade
@kpopsellingmy_ @BTStrading_MY
https://t.co/dFPJuTpr2F</t>
  </si>
  <si>
    <t>jeonbunnyqis
❗️help rt❗️WTS BTS pc 🇲🇾 -must
bought by set -dm to buy 🚚 price
exc pos -rm8 jnt -rm7 pgeon #pasarbts
help rt thanks 💜 @pasarBTS @malaysia_trade
@kpopsellingmy_ @BTStrading_MY
https://t.co/dFPJuTpr2F</t>
  </si>
  <si>
    <t>busannfairies
❗️help rt❗️WTS BTS pc 🇲🇾 -must
bought by set -dm to buy 🚚 price
exc pos -rm8 jnt -rm7 pgeon #pasarbts
help rt thanks 💜 @pasarBTS @malaysia_trade
@kpopsellingmy_ @BTStrading_MY
https://t.co/dFPJuTpr2F</t>
  </si>
  <si>
    <t>ho6ism
❗️help rt❗️WTS BTS pc 🇲🇾 -must
bought by set -dm to buy 🚚 price
exc pos -rm8 jnt -rm7 pgeon #pasarbts
help rt thanks 💜 @pasarBTS @malaysia_trade
@kpopsellingmy_ @BTStrading_MY
https://t.co/dFPJuTpr2F</t>
  </si>
  <si>
    <t>arnabjungkook
❗️help rt❗️WTS BTS pc 🇲🇾 -dm
to buy 🚚 price exc pos -rm8 jnt
-rm7 pgeon #pasarbts help rt thanks
💜 @pasarBTS @malaysia_trade @kpopsellingmy_
@BTStrading_MY https://t.co/7L7uTdjfLv</t>
  </si>
  <si>
    <t>mydearjiminie
❗️help rt❗️WTS BTS pc 🇲🇾 -dm
to buy 🚚 price exc pos -rm8 jnt
-rm7 pgeon #pasarbts help rt thanks
💜 @pasarBTS @malaysia_trade @kpopsellingmy_
@BTStrading_MY https://t.co/IFNm5tW17j</t>
  </si>
  <si>
    <t>jks_ladyice
❗️help rt❗️WTS BTS pc 🇲🇾 -dm
to buy 🚚 price exc pos -rm8 jnt
-rm7 pgeon #pasarbts help rt thanks
💜 @pasarBTS @malaysia_trade @kpopsellingmy_
@BTStrading_MY https://t.co/IFNm5tW17j</t>
  </si>
  <si>
    <t>lilhannies
❗️help rt❗️WTS BTS pc 🇲🇾 -dm
to buy 🚚 price exc pos -rm8 jnt
-rm7 pgeon #pasarbts help rt thanks
💜 @pasarBTS @malaysia_trade @kpopsellingmy_
@BTStrading_MY https://t.co/SmFtwQCQBv</t>
  </si>
  <si>
    <t>cheriekoo_
❗️help rt❗️WTS BTS pc 🇲🇾 -dm
to buy 🚚 price exc pos -rm8 jnt
-rm7 pgeon #pasarbts help rt thanks
💜 @pasarBTS @malaysia_trade @kpopsellingmy_
@BTStrading_MY https://t.co/IFNm5tW17j</t>
  </si>
  <si>
    <t>thenexteleanor
❗️help rt❗️WTS BTS pc 🇲🇾 -dm
to buy 🚚 price exc pos -rm8 jnt
-rm7 pgeon #pasarbts help rt thanks
💜 @pasarBTS @malaysia_trade @kpopsellingmy_
@BTStrading_MY https://t.co/IFNm5tW17j</t>
  </si>
  <si>
    <t>clwdygguk
❗️help rt❗️WTS BTS pc 🇲🇾 -must
bought by set -dm to buy 🚚 price
exc pos -rm8 jnt -rm7 pgeon #pasarbts
help rt thanks 💜 @pasarBTS @malaysia_trade
@kpopsellingmy_ @BTStrading_MY
https://t.co/dFPJuTpr2F</t>
  </si>
  <si>
    <t>yuuusshi
Sekali pos dari shopee dapat kemek
sbb jnt hantar hahaha /s https://t.co/LNOLvr9GIN</t>
  </si>
  <si>
    <t>dinaacooky
❗️help rt❗️WTS BTS pc 🇲🇾 -dm
to buy 🚚 price exc pos -rm8 jnt
-rm7 pgeon #pasarbts help rt thanks
💜 @pasarBTS @malaysia_trade @kpopsellingmy_
@BTStrading_MY https://t.co/IFNm5tW17j</t>
  </si>
  <si>
    <t>piwpiwjoon
❗️help rt❗️WTS BTS pc 🇲🇾 -dm
to buy 🚚 price exc pos -rm8 jnt
-rm7 pgeon #pasarbts help rt thanks
💜 @pasarBTS @malaysia_trade @kpopsellingmy_
@BTStrading_MY https://t.co/IFNm5tW17j</t>
  </si>
  <si>
    <t>ffairykoo
❗️help rt❗️WTS BTS pc 🇲🇾 -dm
to buy 🚚 price exc pos -rm8 jnt
-rm7 pgeon #pasarbts help rt thanks
💜 @pasarBTS @malaysia_trade @kpopsellingmy_
@BTStrading_MY https://t.co/IFNm5tW17j</t>
  </si>
  <si>
    <t>bangtansbaby13
❗️help rt❗️WTS BTS pc 🇲🇾 -dm
to buy 🚚 price exc pos -rm8 jnt
-rm7 pgeon #pasarbts help rt thanks
💜 @pasarBTS @malaysia_trade @kpopsellingmy_
@BTStrading_MY https://t.co/IFNm5tW17j</t>
  </si>
  <si>
    <t>bangpdwife
❗️help rt❗️WTS BTS pc 🇲🇾 -dm
to buy 🚚 price exc pos -rm8 jnt
-rm7 pgeon #pasarbts help rt thanks
💜 @pasarBTS @malaysia_trade @kpopsellingmy_
@BTStrading_MY https://t.co/IFNm5tW17j</t>
  </si>
  <si>
    <t>pjmnjjkk
❗️help rt❗️WTS BTS pc 🇲🇾 -dm
to buy 🚚 price exc pos -rm8 jnt
-rm7 pgeon #pasarbts help rt thanks
💜 @pasarBTS @malaysia_trade @kpopsellingmy_
@BTStrading_MY https://t.co/IFNm5tW17j</t>
  </si>
  <si>
    <t>jiminiekiyowoo
❗️help rt❗️WTS BTS pc 🇲🇾 -dm
to buy 🚚 price exc pos -rm8 jnt
-rm7 pgeon #pasarbts help rt thanks
💜 @pasarBTS @malaysia_trade @kpopsellingmy_
@BTStrading_MY https://t.co/IFNm5tW17j</t>
  </si>
  <si>
    <t>yyoongs93
❗️help rt❗️WTS BTS pc 🇲🇾 -dm
to buy 🚚 price exc pos -rm8 jnt
-rm7 pgeon #pasarbts help rt thanks
💜 @pasarBTS @malaysia_trade @kpopsellingmy_
@BTStrading_MY https://t.co/IFNm5tW17j</t>
  </si>
  <si>
    <t>lyayae_
❗️help rt❗️WTS BTS pc 🇲🇾 -dm
to buy 🚚 price exc pos -rm8 jnt
-rm7 pgeon #pasarbts help rt thanks
💜 @pasarBTS @malaysia_trade @kpopsellingmy_
@BTStrading_MY https://t.co/IFNm5tW17j</t>
  </si>
  <si>
    <t>sitirdeenaa
@rashiqahhhh Weh tapi pos laju
memang laju la sekarangggg, kalah
jnt</t>
  </si>
  <si>
    <t xml:space="preserve">rashiqahhhh
</t>
  </si>
  <si>
    <t>jaemdoongiessss
@sksksinjun jauh di mata, jnt dekat
dihati 😇 boleh pos 😇😇😇👍🏻👍🏻👍🏻👍🏻</t>
  </si>
  <si>
    <t xml:space="preserve">sksksinjun
</t>
  </si>
  <si>
    <t>ktaehmybae
❗️help rt❗️WTS BTS pc 🇲🇾 -dm
to buy 🚚 price exc pos -rm8 jnt
-rm7 pgeon #pasarbts help rt thanks
💜 @pasarBTS @malaysia_trade @kpopsellingmy_
@BTStrading_MY https://t.co/IFNm5tW17j</t>
  </si>
  <si>
    <t>skylova2
❗️help rt❗️WTS BTS pc 🇲🇾 -dm
to buy 🚚 price exc pos -rm8 jnt
-rm7 pgeon #pasarbts help rt thanks
💜 @pasarBTS @malaysia_trade @kpopsellingmy_
@BTStrading_MY https://t.co/IFNm5tW17j</t>
  </si>
  <si>
    <t>wanshaidin1
Pos barang tengah hari ke Kuantan
pakai JNT. Pukul 3.30 tadi dah
sampai. JNT ni ikut branch ke macam
mana? Lajunyaa</t>
  </si>
  <si>
    <t>imnicekeepgoing
❗️help rt❗️WTS BTS pc 🇲🇾 -dm
to buy 🚚 price exc pos -rm8 jnt
-rm7 pgeon #pasarbts help rt thanks
💜 @pasarBTS @malaysia_trade @kpopsellingmy_
@BTStrading_MY https://t.co/SmFtwQCQBv</t>
  </si>
  <si>
    <t>qilahshafie69
Best jugak pos barang guna jnt
ni. Barang 100ish je tapi dia cover
300 if ada rosak or pecah.</t>
  </si>
  <si>
    <t>shrfhbgtn
❗️help rt❗️WTS BTS pc 🇲🇾 -dm
to buy 🚚 price exc pos -rm8 jnt
-rm7 pgeon #pasarbts help rt thanks
💜 @pasarBTS @malaysia_trade @kpopsellingmy_
@BTStrading_MY https://t.co/IFNm5tW17j</t>
  </si>
  <si>
    <t xml:space="preserve">bdngfess
</t>
  </si>
  <si>
    <t>faeezah01774194
@effaalyaa @maisarahhhh____ Jnt
tulis delayed due to external factor.
Sahih ke sebab pos covid ni?</t>
  </si>
  <si>
    <t xml:space="preserve">maisarahhhh____
</t>
  </si>
  <si>
    <t xml:space="preserve">effaalyaa
</t>
  </si>
  <si>
    <t>p3psodent
@bukanfahiraa Kantor Pusat PT POS
Indonesia, Jalan Cilaki no 73 Bandung,
Jawa Barat https://t.co/JLXrsRGubQ</t>
  </si>
  <si>
    <t xml:space="preserve">bukanfahiraa
</t>
  </si>
  <si>
    <t>artsyyflower
❗️help rt❗️WTS BTS pc 🇲🇾 -dm
to buy 🚚 price exc pos -rm8 jnt
-rm7 pgeon #pasarbts help rt thanks
💜 @pasarBTS @malaysia_trade @kpopsellingmy_
@BTStrading_MY https://t.co/IFNm5tW17j</t>
  </si>
  <si>
    <t>flirtswkook
❗️help rt❗️WTS BTS pc 🇲🇾 -dm
to buy 🚚 price exc pos -rm8 jnt
-rm7 pgeon #pasarbts help rt thanks
💜 @pasarBTS @malaysia_trade @kpopsellingmy_
@BTStrading_MY https://t.co/IFNm5tW17j</t>
  </si>
  <si>
    <t>hjia__
wts unsealed digipack blue ver
rm 30 all inclusion postage rm
8 jnt (pos using box) freebies
will given 🤍 can reserve 🥰 -
bole dm for more detail 🦋 #pasarexomy
#pasarexo @pasar_EXO @KogiEXOrealPC
https://t.co/d9HCkSLd1L</t>
  </si>
  <si>
    <t xml:space="preserve">kogiexorealpc
</t>
  </si>
  <si>
    <t>syafiqaaazm
wts unsealed digipack blue ver
rm 30 all inclusion postage rm
8 jnt (pos using box) freebies
will given 🤍 can reserve 🥰 -
bole dm for more detail 🦋 #pasarexomy
#pasarexo @pasar_EXO @KogiEXOrealPC
https://t.co/d9HCkSLd1L</t>
  </si>
  <si>
    <t>byeommin
maybe time ni rasa simpati dah
hilang yelah awal awal i kesian
jugak tapi lama lama hilang sabar
i desak at last dia post album
tu guna pos laju i tak tau mana
dia dapat stock pb1 (2) tu yelah
sbab dia kata parcel yg dia dah
hantar kat jnt tu hilang tapi i
peduli apa asal i dapat</t>
  </si>
  <si>
    <t>aniszulkifle
lembab nyo pos laju ni.. kalu.
seller guna jnt mesti harini dah
sampai parcel</t>
  </si>
  <si>
    <t>smolwoonie
wts unsealed digipack blue ver
rm 30 all inclusion postage rm
8 jnt (pos using box) freebies
will given 🤍 can reserve 🥰 -
bole dm for more detail 🦋 #pasarexomy
#pasarexo @pasar_EXO @KogiEXOrealPC
https://t.co/d9HCkSLd1L</t>
  </si>
  <si>
    <t>izzarose
❗️help rt❗️WTS BTS pc 🇲🇾 -dm
to buy 🚚 price exc pos -rm8 jnt
-rm7 pgeon #pasarbts help rt thanks
💜 @pasarBTS @malaysia_trade @kpopsellingmy_
@BTStrading_MY https://t.co/IFNm5tW17j</t>
  </si>
  <si>
    <t>cxlendulx
@anlmsraa Saya jarang pos barang.
Tapi range RM 10 je rasanya. Susu
ni total berat sekali kotak dalam
1.5kg. Sini ada JnT, pos laju,
ninja van. Nanti saya try search
kat google harga. PM la alamat
nama and num. Kalau sempat esok
lepas habis kerja kat PPV, saya
pos.</t>
  </si>
  <si>
    <t xml:space="preserve">anlmsraa
</t>
  </si>
  <si>
    <t>allif33
Laju ye jnt ni. Semalam aku pos
harini dah sampai hahahahaana🤣</t>
  </si>
  <si>
    <t>drjoealexander
Currently there few items that
stuck at JnT agents, Pos Laju Bintulu
and otw to Belaga.</t>
  </si>
  <si>
    <t>cringeunicorn_
@ruangaleeya jnt ke pos laju?</t>
  </si>
  <si>
    <t xml:space="preserve">ruangaleeya
</t>
  </si>
  <si>
    <t>yojeong9196
Ehh..pembetulan, jumaat dpt surprise
dm, smlm dia pos, hari ni sampai.
cepat betul servis jnt ni. Padu
jnt padu !</t>
  </si>
  <si>
    <t>portalkalbar1
Lowongan Kerja PT POS Indonesia
(Persero) untuk wilayah nusa tenggara
timur https://t.co/wEiylaLK65 https://t.co/5wJqYNzEVy</t>
  </si>
  <si>
    <t>bkipm_kkp
Tak hanya itu, masih ada layanan
“Pos Lelaki” yang merupakan hasil
kerjasama dengan PT.Pos Indonesia.,"
ungkapnya. Dengan moto MASAGI (Mastikein
Sakabeh Amanah teu GIwar), BKIPM
Bandung akan terus berupaya memberikan
pelayanan terbaik, bebas dari korupsi.</t>
  </si>
  <si>
    <t>wilkerjalaludin
Tak hanya itu, masih ada layanan
“Pos Lelaki” yang merupakan hasil
kerjasama dengan PT.Pos Indonesia.,"
ungkapnya. Dengan moto MASAGI (Mastikein
Sakabeh Amanah teu GIwar), BKIPM
Bandung akan terus berupaya memberikan
pelayanan terbaik, bebas dari korupsi.</t>
  </si>
  <si>
    <t>craemkoo
❗️help rt❗️WTS BTS pc 🇲🇾 -dm
to buy 🚚 price exc pos -rm8 jnt
-rm7 pgeon #pasarbts help rt thanks
💜 @pasarBTS @malaysia_trade @kpopsellingmy_
@BTStrading_MY https://t.co/7L7uTdjfLv</t>
  </si>
  <si>
    <t>imanassrii
❗️help rt❗️WTS BTS pc 🇲🇾 -dm
to buy 🚚 price exc pos -rm8 jnt
-rm7 pgeon #pasarbts help rt thanks
💜 @pasarBTS @malaysia_trade @kpopsellingmy_
@BTStrading_MY https://t.co/7L7uTdjfLv</t>
  </si>
  <si>
    <t>occeanview
kalau ada GO atau olshopnya butuh
admin packing daerah jawa timur
bisa dm aku yaa, udah berpengalaman
setahunan, deket sama ekspedisi
kaya jnt, jne, pos, id express
sama sicepat</t>
  </si>
  <si>
    <t>tariprinsa
@txtdariolshop_ Anda expressn👍
pos 👌 jnt ❤️ sicepat 👌</t>
  </si>
  <si>
    <t xml:space="preserve">txtdariolshop_
</t>
  </si>
  <si>
    <t>dyanahr
@syazkurus Selalu dekat shopee
laju je kalau guna jnt. Hari ni
orang tu pos, esok sampai</t>
  </si>
  <si>
    <t xml:space="preserve">syazkurus
</t>
  </si>
  <si>
    <t>orchidpoison
untuk ekspedisinya kalian bisa
pakai ekspedisi terdekat kalian
seperti: paxel, JNE, J&amp;amp;T, pos,
sicepat juga anteraja! “Bi, nanti
cara tau kita dapet voucher/free
productnya gimana ya?” nanti akan
ada notifikasi masuk ke akunmu
mengenai reward yang kamu dapat!</t>
  </si>
  <si>
    <t>sapepulakni
@syazkurus sama je macam kau hantar
kat jnt tu, time kau hantar kalau
awal, so petang jnt tu dah gerak,
tapi tulah benda pos ni mcm2 boleh
jadi. try je la dulu guna shopee
tu nk biasakan. kl area aku volunteer
jadi bahan ujikaji kakakaka</t>
  </si>
  <si>
    <t>khairudinzack07
@MohdRuzainii @MamatDinzz Baik
boleh. Pos bayaq jnt mcm biasa.
Pilihan bijak. Size sempit lg.
barang baru belum diteroka.</t>
  </si>
  <si>
    <t xml:space="preserve">mamatdinzz
</t>
  </si>
  <si>
    <t xml:space="preserve">mohdruzainii
</t>
  </si>
  <si>
    <t>helloindonesian
https://t.co/bLH6zPpPBi - The Day
of the Republic of Indonesia Telecommunications
Telecommunications Post is often
referred to as PT Pos Indonesia.
The flow of telephone and telegraph
technology developments that entered
Indonesia also changed the postal
https://t.co/JNoQTiNC3d https://t.co/sK6hG5EP55</t>
  </si>
  <si>
    <t>along_pura
@rindubeneran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</si>
  <si>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 xml:space="preserve">relyourbae2
</t>
  </si>
  <si>
    <t xml:space="preserve">geboyy__
</t>
  </si>
  <si>
    <t xml:space="preserve">masgah_
</t>
  </si>
  <si>
    <t xml:space="preserve">ayydafryanti
</t>
  </si>
  <si>
    <t xml:space="preserve">lindrayyy
</t>
  </si>
  <si>
    <t xml:space="preserve">diaryfirda
</t>
  </si>
  <si>
    <t xml:space="preserve">ayubsr
</t>
  </si>
  <si>
    <t xml:space="preserve">morethanurbby
</t>
  </si>
  <si>
    <t xml:space="preserve">deviinaja
</t>
  </si>
  <si>
    <t xml:space="preserve">mutuallandfess
</t>
  </si>
  <si>
    <t xml:space="preserve">billaameliaa
</t>
  </si>
  <si>
    <t xml:space="preserve">kingnftpromoter
</t>
  </si>
  <si>
    <t xml:space="preserve">noviadmyy
</t>
  </si>
  <si>
    <t xml:space="preserve">chitaglorya
</t>
  </si>
  <si>
    <t xml:space="preserve">jbartspace_nft
</t>
  </si>
  <si>
    <t xml:space="preserve">rindubeneran
</t>
  </si>
  <si>
    <t>lib1_alfawy
Semoga PT Pos indonesia bisa terus
berkembang, dan juga dapat memberikan
manfaat berkelanjutan bagi masyarakat
Indonesia. #SmartPeople #PerpustakaanAlFalaahiyyah
https://t.co/ZUzO2TNfcu</t>
  </si>
  <si>
    <t>d4mbpoltekpos
Selamat Hari Bhakti Postel ke 76
Semoga PT Pos Indonesia (Persero)
makin maju dan sejahtera. @posindonesia.ig
@poltekposindonesia #d4mbpoltekpos
https://t.co/0hd6czYKV1</t>
  </si>
  <si>
    <t>ikimlyth
#CHENLE #PASARNCT 🖇 Chenle boring
pc - RM30 wm / RM40 em - price
already incpos &amp;gt;&amp;lt; - use jnt
, will pos out the day u make the
payment - no backout buyer ❌ -
dm me for more pic / vid https://t.co/Dtb9rcDRhU</t>
  </si>
  <si>
    <t>loeyyeojaa
wts unsealed digipack blue ver
rm 30 all inclusion postage rm
8 jnt (pos using box) freebies
will given 🤍 can reserve 🥰 -
bole dm for more detail 🦋 #pasarexomy
#pasarexo @pasar_EXO @KogiEXOrealPC
https://t.co/d9HCkSLd1L</t>
  </si>
  <si>
    <t>oshh____
wts unsealed digipack blue ver
rm 30 all inclusion postage rm
8 jnt (pos using box) freebies
will given 🤍 can reserve 🥰 -
bole dm for more detail 🦋 #pasarexomy
#pasarexo @pasar_EXO @KogiEXOrealPC
https://t.co/d9HCkSLd1L</t>
  </si>
  <si>
    <t>xxllyamr
@rmdhntyamanda19 ku kirim pake
jnt apa jne? apa pake pos indonesia🤔</t>
  </si>
  <si>
    <t xml:space="preserve">rmdhntyamanda19
</t>
  </si>
  <si>
    <t>rriprograma3
#LAPORANREPORTER Hari Bakti Postel
transportasi digital menjadi langkah
PT Pos Indonesia untuk menjawab
tantangan zaman. Reporter RRI (B)
Selengkapnya di 88,8FM PRO 3 RRI.
-AMD</t>
  </si>
  <si>
    <t>himapentikaunri
Republik Indonesia sering disebut
dengan PT Pos Indonesia. Arus perkembangan
Teknologi Telepon dan Telegraf
yang masuk ke Indonesia pun mengubah
sistem pelayanan pos di Indonesia.
Untuk itu, kami segenap Himpunan
Mahasiswa Pendidikan Matematika
mengucapkan :</t>
  </si>
  <si>
    <t>humas_jogja
Adapun pada agenda tersebut, dilakukan
pula penandatanganan kerjasama
antara Dinas Koperasi dan UKM DIY
dengan PT. Pos Indonesia terkait
siskon dan gratis ongkos kirim
ke luar negeri bagi UKM DIY. #SriSultanHBX
#GKRHemas #UMKMNaikKelas #Sibakul
#DinkopDIY #PosIndonesia https://t.co/lO1d3Atd54</t>
  </si>
  <si>
    <t>nisazain_
why jnt never reply our dm? pos
laju rajin je reply dm</t>
  </si>
  <si>
    <t>medilow
Lowongan Kerja BUMN SMA SMK D3
S1 PT. Pos Indonesia (Persero)
September 2021 https://t.co/ZL95qeMP27</t>
  </si>
  <si>
    <t>immaturekids_
#CHENLE #PASARNCT 🖇 Chenle boring
pc - RM30 wm / RM40 em - price
already incpos &amp;gt;&amp;lt; - use jnt
, will pos out the day u make the
payment - no backout buyer ❌ -
dm me for more pic / vid https://t.co/Dtb9rcDRhU</t>
  </si>
  <si>
    <t>myaccnotyours_
WTS SKZ  🇲🇾 ONLY • I.N Jewel
Pc - RM23 • I.N Red Frame - RM10
- BUY BOTH RM30 - • Seungmin Red
Frame - RM12 🖇 Exc pos (jnt) 🖇
shopeepay/online banking ❌ NO rush
postage 📩DM if interested #pasarskz
https://t.co/PGp3cqcYxI</t>
  </si>
  <si>
    <t>jiniretkkami
WTS SKZ  🇲🇾 ONLY • I.N Jewel
Pc - RM23 • I.N Red Frame - RM10
- BUY BOTH RM30 - • Seungmin Red
Frame - RM12 🖇 Exc pos (jnt) 🖇
shopeepay/online banking ❌ NO rush
postage 📩DM if interested #pasarskz
https://t.co/PGp3cqcYxI</t>
  </si>
  <si>
    <t>frckleslixie
WTS SKZ  🇲🇾 ONLY • I.N Jewel
Pc - RM23 • I.N Red Frame - RM10
- BUY BOTH RM30 - • Seungmin Red
Frame - RM12 🖇 Exc pos (jnt) 🖇
shopeepay/online banking ❌ NO rush
postage 📩DM if interested #pasarskz
https://t.co/PGp3cqcYxI</t>
  </si>
  <si>
    <t>xoicedteaa
WTS SKZ  🇲🇾 ONLY • I.N Jewel
Pc - RM23 • I.N Red Frame - RM10
- BUY BOTH RM30 - • Seungmin Red
Frame - RM12 🖇 Exc pos (jnt) 🖇
shopeepay/online banking ❌ NO rush
postage 📩DM if interested #pasarskz
https://t.co/PGp3cqcYxI</t>
  </si>
  <si>
    <t>knowleebb
WTS SKZ  🇲🇾 ONLY • I.N Jewel
Pc - RM23 • I.N Red Frame - RM10
- BUY BOTH RM30 - • Seungmin Red
Frame - RM12 🖇 Exc pos (jnt) 🖇
shopeepay/online banking ❌ NO rush
postage 📩DM if interested #pasarskz
https://t.co/PGp3cqcYxI</t>
  </si>
  <si>
    <t>anshaeyn
WTS SKZ  🇲🇾 ONLY • I.N Jewel
Pc - RM23 • I.N Red Frame - RM10
- BUY BOTH RM30 - • Seungmin Red
Frame - RM12 🖇 Exc pos (jnt) 🖇
shopeepay/online banking ❌ NO rush
postage 📩DM if interested #pasarskz
https://t.co/PGp3cqcYxI</t>
  </si>
  <si>
    <t>bandung_goid
Awal mula hari peringatan ini karena
peristiwa Angkatan Muda Pos Telekomunikasi
Telegraf mengambil alih kekuasaan
PTT di Bandung dari kekuasaan Jepang
dan secara resmi berubah menjadi
PTT Republik Indonesia. Lalu mengalami
beberapa perubahan hingga menjadi
PT. Pos Indonesia. https://t.co/tNdnW24ZFi</t>
  </si>
  <si>
    <t>seputaran_bdg
Awal mula hari peringatan ini karena
peristiwa Angkatan Muda Pos Telekomunikasi
Telegraf mengambil alih kekuasaan
PTT di Bandung dari kekuasaan Jepang
dan secara resmi berubah menjadi
PTT Republik Indonesia. Lalu mengalami
beberapa perubahan hingga menjadi
PT. Pos Indonesia. https://t.co/tNdnW24ZFi</t>
  </si>
  <si>
    <t>orangekampus
#SobatKampusOrange #Logisticians
&amp;amp; #Transporters Selamat Hari
Bhakti Postel Ke-76 Tahun Ambil
Kesempatan Beasiswa Ikatan Dinas
PT Pos Indonesia #YPBPI #POLTEKPOS
#STIMLOG #KeluargaPosIndonesia
https://t.co/a8VKXGVM6S</t>
  </si>
  <si>
    <t>linomeow_8
WTS SKZ  🇲🇾 ONLY • I.N Jewel
Pc - RM23 • I.N Red Frame - RM10
- BUY BOTH RM30 - • Seungmin Red
Frame - RM12 🖇 Exc pos (jnt) 🖇
shopeepay/online banking ❌ NO rush
postage 📩DM if interested #pasarskz
https://t.co/PGp3cqcYxI</t>
  </si>
  <si>
    <t>samsatdigital
Karena Aplikasi SIGNAL telah bekerja
sama dengan PT. Pos Indonesia sebagai
jasa pengiriman terpercaya untuk
pengiriman dokumen kamu.</t>
  </si>
  <si>
    <t>x4riph0bi4
Korang ok ke kalau aku enable jnt
je kat kedai shopee aku? Sebab
jnt kalau pos harini, esok terus
sampai. Kalau lain2, 2-3 hari baru
sampai.</t>
  </si>
  <si>
    <t>himakompolban
Badan usaha milik negara yang bergerak
dalam bidang pos dan telekomunikasi
adalah PN Postel yang sejak 1965
telah dipecah dan saat ini dikenal
sebagai PT Pos Indonesia (Persero)
serta PT Telkom Indonesia (Persero)
Tbk di bawah koordinasi Kementerian
BUMN RI</t>
  </si>
  <si>
    <t>mhafizzz19
Jnt scam ke harini pos kasut smpai
rm16?!</t>
  </si>
  <si>
    <t>denpasarkota
Selamat Hari Bakti PT Pos Indonesia
Hari Bhakti Postel pada 27 September
jadi momentum peringatan sejarah
pengambilalihan Kantor Pusat Jawatan
Pos, Telegraf, dan Telepon (PTT)
di Bandung oleh pemuda Indonesia
dari kekuasaan penjajah Jepang.
Perebutan kendali Jawatan PTT itu</t>
  </si>
  <si>
    <t>fattireyz
Tumben JNE kosong.. Jd bisa foto
dulu 😅. Beres JNE lanjut kantor
pos sama J&amp;amp;T.. https://t.co/ChNOHqQ1ZS</t>
  </si>
  <si>
    <t>zomet13
Tumben JNE kosong.. Jd bisa foto
dulu 😅. Beres JNE lanjut kantor
pos sama J&amp;amp;T.. https://t.co/ChNOHqQ1ZS</t>
  </si>
  <si>
    <t>juyeonspicy
Tinggal kenalan sama abang jnt
aja Sicepat udah kenal Pos ems
kenal Anteraha kenal</t>
  </si>
  <si>
    <t>mmrrllssyyffqq
Jnt mmg ada masalah ke skrg? Barang
aku pos sampai skrg stuck dah nk
dekat seminggu 🥲</t>
  </si>
  <si>
    <t>repkemanz
@ckinoza Ak dlu msa boleh plih.
2 jer. X pos laju, jnt. Dhl ecommerce
pn lmbt. Dh la x taw rmh ak. Mklum
la kg. Ssh la nk cri. Tp rider
jnt boleh jer cri. Poslaju tolak
tepi la. Mmg expert dh haha. Ptut
shopee kne bt rating utk delivery
partner jgak. Snb. Agak lmbt sgt.
1* je. Brg lain.+</t>
  </si>
  <si>
    <t xml:space="preserve">ckinoza
</t>
  </si>
  <si>
    <t>ide2nesia
Tumben JNE kosong.. Jd bisa foto
dulu 😅. Beres JNE lanjut kantor
pos sama J&amp;amp;T.. https://t.co/ChNOHqQ1ZS</t>
  </si>
  <si>
    <t>nikfaez_
cassete dah sampai. rim pos dalam
kuantan pun slow jnt ni. biasa
laju je</t>
  </si>
  <si>
    <t>_averain99
2 to 3 weeks onward, memang berderet
la ni parcel dtg rumah. Mmng abg
jnt atau lgi2 pos laju bosan sdh
dtg rumah 😂😭 my wallet is crying
:')</t>
  </si>
  <si>
    <t>nynassuh
[ help rt pls 💗 ] hiiii. helping
my friend to clear slot for slow
acid! Only johnny slot available!
Please dm me if youre interested!
^🥰💗 WTS NCT127 SLOW ACID (JOHNNY
PC) - RM35 exc pos! 📫 + Rm7 postage
(jnt WM/ Flexiprepaid EM) #pasarNCT
https://t.co/3zIgBkReZy</t>
  </si>
  <si>
    <t>fullsunbb_
[ help rt pls 💗 ] hiiii. helping
my friend to clear slot for slow
acid! Only johnny slot available!
Please dm me if youre interested!
^🥰💗 WTS NCT127 SLOW ACID (JOHNNY
PC) - RM35 exc pos! 📫 + Rm7 postage
(jnt WM/ Flexiprepaid EM) #pasarNCT
https://t.co/3zIgBkReZy</t>
  </si>
  <si>
    <t>tuanwidi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</si>
  <si>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whenscarves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</si>
  <si>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jiaeffendie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</si>
  <si>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torantula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</si>
  <si>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funjunkies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</si>
  <si>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dipurwantto
by @PMI_KabSemarang #StokDarah
Senin 27 Sept 2021 Pkl 20.20 WIB
MOBILE UNIT Selasa 28 Sept 2021
PT Pos Indonesia Ungaran Pkl 09.00
WIB INFO LAYANAN -Darah Pasien
24 Jam -Donor Darah di PMI Pkl
08.00-20.00 WIB Visit https://t.co/SWiQS1roBk
#DonorDong #PMISelaluBantu https://t.co/wtYEFIpnVR</t>
  </si>
  <si>
    <t>pmi_kabsemarang
#StokDarah Selasa 28 Sept 2021
Pkl 07.10 WIB MOBILE UNIT Selasa
28 Sept 2021 PT Pos Indonesia Ungaran
Pkl 09.00 WIB INFO LAYANAN -Darah
Pasien 24 Jam -Donor Darah di PMI
Pkl 08.00-20.00 WIB Visit https://t.co/cCFb9wyKIP
@PMIJawaTengah @palangmerah @InfoUngaran
@Blood4LifeID https://t.co/DchubjeCnJ</t>
  </si>
  <si>
    <t>blood4lifeid
By @PMI_KabSemarang: #StokDarah
Selasa 28 Sept 2021 Pkl 07.10 WIB
MOBILE UNIT Selasa 28 Sept 2021
PT Pos Indonesia Ungaran Pkl 09.00
WIB INFO LAYANAN -Darah Pasien
24 Jam -Donor Darah di PMI Pkl
08.00-20.00 WIB Visit https://t.co/SWiQS1roBk
#DonorDong https://t.co/UpBLQ1ELco</t>
  </si>
  <si>
    <t>dw19kur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</si>
  <si>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anisprasety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</si>
  <si>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el_maqnuah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</si>
  <si>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_u5er5_
@nanjirouechizen jnt ada. pos hrini
esk smpai. 😂</t>
  </si>
  <si>
    <t xml:space="preserve">nanjirouechizen
</t>
  </si>
  <si>
    <t>nararara17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</si>
  <si>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hendrichalid
@erickthohir Waktu 2 tahun lagi,
apakah ada perubahan pada PT. POS
INDONESIA ?</t>
  </si>
  <si>
    <t>negarakecil
Tumben JNE kosong.. Jd bisa foto
dulu 😅. Beres JNE lanjut kantor
pos sama J&amp;amp;T.. https://t.co/ChNOHqQ1ZS</t>
  </si>
  <si>
    <t>mykimchillstore
WTS SKZ PC 🇲🇾 ONLY • DS Pc -
RM26 • Lee Know Beret - RM22 •
Han Red - RM20 • Chan, Changbin,
I.N Std PC - RM18 🖇 Exc pos jnt/flexi
🖇 shopeepay/online banking ❌ NO
rush postage 📩DM if interested
#pasarskz https://t.co/AfDTajoVDq</t>
  </si>
  <si>
    <t>elgowh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</si>
  <si>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hash1r4_
@rekkaal Yang lebih kirim lewat
pos aja yaa atau ngga jnt 🙏🏼</t>
  </si>
  <si>
    <t xml:space="preserve">rekkaal
</t>
  </si>
  <si>
    <t>luluiii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</si>
  <si>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hahakimiiiiii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</si>
  <si>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anwarkhairi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</si>
  <si>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adarndresser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</si>
  <si>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3andalas
Tumben JNE kosong.. Jd bisa foto
dulu 😅. Beres JNE lanjut kantor
pos sama J&amp;amp;T.. https://t.co/ChNOHqQ1ZS</t>
  </si>
  <si>
    <t>littleboozi
[ help rt pls 💗 ] hiiii. helping
my friend to clear slot for slow
acid! Only johnny slot available!
Please dm me if youre interested!
^🥰💗 WTS NCT127 SLOW ACID (JOHNNY
PC) - RM35 exc pos! 📫 + Rm7 postage
(jnt WM/ Flexiprepaid EM) #pasarNCT
https://t.co/3zIgBkReZy</t>
  </si>
  <si>
    <t>nasruddinharon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</si>
  <si>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alkecilsaja
Tumben JNE kosong.. Jd bisa foto
dulu 😅. Beres JNE lanjut kantor
pos sama J&amp;amp;T.. https://t.co/ChNOHqQ1ZS</t>
  </si>
  <si>
    <t>yanguning2
Tumben JNE kosong.. Jd bisa foto
dulu 😅. Beres JNE lanjut kantor
pos sama J&amp;amp;T.. https://t.co/ChNOHqQ1ZS</t>
  </si>
  <si>
    <t>danicdanic
kantor pos di UK ternyata kaya
jne yaa.. kaga sempet foto2 soalnya
udah bingung sndiri wkkwk. Td sih
lbh jelek dr ini wkwkwk, trs sbelahnya
ada yg jual ATK gtu https://t.co/AAmt3eIMaV</t>
  </si>
  <si>
    <t>btsmarketmy
[HELP RT] WTS MY 🇲🇾 WTS JIMIN
SET BTS BUTTER WEVERSE POB 🪄JIMIN
POB PC(❌tin case) AND JIMIN FILM
STRIP RM100 include pos 🍭loose
-(pc rm38) (film strip rm62) ✅
Condition pc 9/10,film strip 10/10
will use JnT DM for close up of
interested @BTSMarketMY @pasarBTS
@BTStrading_MY https://t.co/7ao7UUHvAy</t>
  </si>
  <si>
    <t>blinkuelilies
[HELP RT] WTS MY 🇲🇾 WTS JIMIN
SET BTS BUTTER WEVERSE POB 🪄JIMIN
POB PC(❌tin case) AND JIMIN FILM
STRIP RM100 include pos 🍭loose
-(pc rm38) (film strip rm62) ✅
Condition pc 9/10,film strip 10/10
will use JnT DM for close up of
interested @BTSMarketMY @pasarBTS
@BTStrading_MY https://t.co/7ao7UUHvAy</t>
  </si>
  <si>
    <t>camelaila1
Tumben JNE kosong.. Jd bisa foto
dulu 😅. Beres JNE lanjut kantor
pos sama J&amp;amp;T.. https://t.co/ChNOHqQ1ZS</t>
  </si>
  <si>
    <t xml:space="preserve">infoungaran
</t>
  </si>
  <si>
    <t xml:space="preserve">palangmerah
</t>
  </si>
  <si>
    <t xml:space="preserve">pmijawatengah
</t>
  </si>
  <si>
    <t>jawapos
Peringati Postel, PT Pos Indonesia
Bertransformasi ke Arah Digital
https://t.co/UKrsug08eR</t>
  </si>
  <si>
    <t>gdlks12
jnt seberang perai selatan ni problem
ka stuck since 26 tak gerak gerak
padahal brg aku pos semalam elok
ja dah sampai selangor</t>
  </si>
  <si>
    <t>rakyatsulsel
Kembangkan Tri Dharma Perguruan
Tinggi, Rektor UIM – PT Pos Indonesia
Regional II Jakarta Teken MoU https://t.co/6QlJN54f11</t>
  </si>
  <si>
    <t>shiningstar0606
WTS SKZ PC 🇲🇾 ONLY • DS Pc -
RM26 • Lee Know Beret - RM22 •
Han Red - RM20 • Chan, Changbin,
I.N Std PC - RM18 🖇 Exc pos jnt/flexi
🖇 shopeepay/online banking ❌ NO
rush postage 📩DM if interested
#pasarskz https://t.co/AfDTajoVDq</t>
  </si>
  <si>
    <t>je_ariff
Buat yang mau ngirim barang ke
pos/JNE dan sebagainya, sebaiknya
dipacking dari rumah. Atau minimal
ditulis alamat tujuan dan pengirim
dulu ya dari rumah</t>
  </si>
  <si>
    <t>_gita05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</si>
  <si>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ummunaha
PT Pos Indonesia kembali membuka
lowongan kerja, minimal lulusan
SMA dengan batas waktu penerimaan
lamaran sampai 30 September 2021.
https://t.co/kI3zEKjoEQ</t>
  </si>
  <si>
    <t>peuniels
dulu jnt laju, pos laju lembab..
skng dah terbalik pulak</t>
  </si>
  <si>
    <t>beritasulselcom
Rektor UIM Teken MOU PT Pos Indonesia
Regional II Jakarta - https://t.co/C7v8HOM6gy
https://t.co/kCg8aQzuj9</t>
  </si>
  <si>
    <t>Directed</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</si>
  <si>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name="PlugInUserSettings"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&lt;PlugInUserSettings&gt;_x000D_
      &lt;setting name="PlugInFolderPath" serializeAs="String"&gt;_x000D_
        &lt;value /&gt;_x000D_
      &lt;/setting&gt;_x000D_
    &lt;/PlugInUserSettings&gt;_x000D_
  &lt;/userSettings&gt;_x000D_
&lt;/configuration&gt;</t>
  </si>
  <si>
    <t>gillcombr</t>
  </si>
  <si>
    <t>sreboleira</t>
  </si>
  <si>
    <t>reboleiralab</t>
  </si>
  <si>
    <t>fc_ul</t>
  </si>
  <si>
    <t>tmb_ce3c</t>
  </si>
  <si>
    <t>gaseduardo</t>
  </si>
  <si>
    <t>rgvillalba</t>
  </si>
  <si>
    <t>leoninopt</t>
  </si>
  <si>
    <t>juventusfcpt</t>
  </si>
  <si>
    <t>moyanoestefania</t>
  </si>
  <si>
    <t>kmerchsss</t>
  </si>
  <si>
    <t>ojogo</t>
  </si>
  <si>
    <t>jardani_gun</t>
  </si>
  <si>
    <t>lucasnicoo_</t>
  </si>
  <si>
    <t>erzabellchan</t>
  </si>
  <si>
    <t>lelecaa3</t>
  </si>
  <si>
    <t>bravo_zulu86</t>
  </si>
  <si>
    <t>karinaoliveirs</t>
  </si>
  <si>
    <t>rebeca_capozzi</t>
  </si>
  <si>
    <t>wwnnddff</t>
  </si>
  <si>
    <t>cecillia</t>
  </si>
  <si>
    <t>coletividad</t>
  </si>
  <si>
    <t>filocri_p4c</t>
  </si>
  <si>
    <t>amandaevelynl</t>
  </si>
  <si>
    <t>gerhardtbeatriz</t>
  </si>
  <si>
    <t>nelisteixeira</t>
  </si>
  <si>
    <t>casaoswaldocruz</t>
  </si>
  <si>
    <t>comunicacaoifch</t>
  </si>
  <si>
    <t>mirsantos</t>
  </si>
  <si>
    <t>carlosgolle</t>
  </si>
  <si>
    <t>alexandreplaty2</t>
  </si>
  <si>
    <t>littleitamar</t>
  </si>
  <si>
    <t>eryckdouglas123</t>
  </si>
  <si>
    <t>yasmin38conta2</t>
  </si>
  <si>
    <t>__esterborges</t>
  </si>
  <si>
    <t>xmissjjx</t>
  </si>
  <si>
    <t>lumenaazevedo14</t>
  </si>
  <si>
    <t>claudiopesse1</t>
  </si>
  <si>
    <t>souzacpedrosa40</t>
  </si>
  <si>
    <t>fernandowelten</t>
  </si>
  <si>
    <t>vaniamaiapress</t>
  </si>
  <si>
    <t>yusuf40566090</t>
  </si>
  <si>
    <t>kulinerbocah</t>
  </si>
  <si>
    <t>chenatmadja</t>
  </si>
  <si>
    <t>lannajjang</t>
  </si>
  <si>
    <t>hoppeluckyyyy</t>
  </si>
  <si>
    <t>bigwinoctocityx</t>
  </si>
  <si>
    <t>hadehehh</t>
  </si>
  <si>
    <t>terariniy</t>
  </si>
  <si>
    <t>memetwin1707_</t>
  </si>
  <si>
    <t>dwi_adhliza</t>
  </si>
  <si>
    <t>jodohnyaugm22</t>
  </si>
  <si>
    <t>udud_bongwinner</t>
  </si>
  <si>
    <t>orangperancis</t>
  </si>
  <si>
    <t>paulacrisbau</t>
  </si>
  <si>
    <t>pawithmarie</t>
  </si>
  <si>
    <t>raonilourenco</t>
  </si>
  <si>
    <t>astiani_ani</t>
  </si>
  <si>
    <t>musarudy_stpl</t>
  </si>
  <si>
    <t>yusuwaw</t>
  </si>
  <si>
    <t>anapslu</t>
  </si>
  <si>
    <t>sarita_montiell</t>
  </si>
  <si>
    <t>win_waw_wew</t>
  </si>
  <si>
    <t>kalitrizal</t>
  </si>
  <si>
    <t>b_adikusuma</t>
  </si>
  <si>
    <t>al_jendra</t>
  </si>
  <si>
    <t>veracariocabr</t>
  </si>
  <si>
    <t>marco88086753</t>
  </si>
  <si>
    <t>bolso228bolso22</t>
  </si>
  <si>
    <t>jalvespinheiro1</t>
  </si>
  <si>
    <t>vanijkjk</t>
  </si>
  <si>
    <t>tantinunna</t>
  </si>
  <si>
    <t>1caipiramoderno</t>
  </si>
  <si>
    <t>teezer_qrzx</t>
  </si>
  <si>
    <t>sserumpum</t>
  </si>
  <si>
    <t>april63394283</t>
  </si>
  <si>
    <t>em_7015</t>
  </si>
  <si>
    <t>joanarssousa</t>
  </si>
  <si>
    <t>paulospcx</t>
  </si>
  <si>
    <t>normacastro2005</t>
  </si>
  <si>
    <t>teamaltamont</t>
  </si>
  <si>
    <t>mllemenezes</t>
  </si>
  <si>
    <t>euqueropublicar</t>
  </si>
  <si>
    <t>isabeluz</t>
  </si>
  <si>
    <t>blogdopepe</t>
  </si>
  <si>
    <t>elianea91788511</t>
  </si>
  <si>
    <t>attayona</t>
  </si>
  <si>
    <t>radamanto</t>
  </si>
  <si>
    <t>kangthole81</t>
  </si>
  <si>
    <t>sukmariana_10</t>
  </si>
  <si>
    <t>kita_amltf</t>
  </si>
  <si>
    <t>wanlovesaja</t>
  </si>
  <si>
    <t>redegovernanca</t>
  </si>
  <si>
    <t>binobiasutti</t>
  </si>
  <si>
    <t>anadefinisterra</t>
  </si>
  <si>
    <t>alanildo_geo</t>
  </si>
  <si>
    <t>brendacarduus</t>
  </si>
  <si>
    <t>dinoancap</t>
  </si>
  <si>
    <t>carolnowlencgc</t>
  </si>
  <si>
    <t>_boerbn</t>
  </si>
  <si>
    <t>algranz</t>
  </si>
  <si>
    <t>2doism</t>
  </si>
  <si>
    <t>wandersfc</t>
  </si>
  <si>
    <t>marciolleme</t>
  </si>
  <si>
    <t>mahabdalla</t>
  </si>
  <si>
    <t>pedrofelixrocha</t>
  </si>
  <si>
    <t>capes_oficial</t>
  </si>
  <si>
    <t>luiz3underline</t>
  </si>
  <si>
    <t>mab2828</t>
  </si>
  <si>
    <t>dyluisa2</t>
  </si>
  <si>
    <t>andymay66667747</t>
  </si>
  <si>
    <t>esquerdanuncam1</t>
  </si>
  <si>
    <t>daniel_storti</t>
  </si>
  <si>
    <t>pt_reha</t>
  </si>
  <si>
    <t>duwiry</t>
  </si>
  <si>
    <t>qfontes</t>
  </si>
  <si>
    <t>sbrjjo</t>
  </si>
  <si>
    <t>lusouto6</t>
  </si>
  <si>
    <t>thatyzzsp</t>
  </si>
  <si>
    <t>stevensonsoare4</t>
  </si>
  <si>
    <t>cpx_sla</t>
  </si>
  <si>
    <t>perrorex2</t>
  </si>
  <si>
    <t>huwietan</t>
  </si>
  <si>
    <t>southerngemgal</t>
  </si>
  <si>
    <t>beleza37</t>
  </si>
  <si>
    <t>antonio_reis_70</t>
  </si>
  <si>
    <t>rhmagazine_iirh</t>
  </si>
  <si>
    <t>tvi24pt</t>
  </si>
  <si>
    <t>tvi24ultimas</t>
  </si>
  <si>
    <t>gotothejek</t>
  </si>
  <si>
    <t>dntwit</t>
  </si>
  <si>
    <t>sonsih56gmailc1</t>
  </si>
  <si>
    <t>sidvicious6691</t>
  </si>
  <si>
    <t>monyiikuu</t>
  </si>
  <si>
    <t>olisandita</t>
  </si>
  <si>
    <t>semanariov</t>
  </si>
  <si>
    <t>publico</t>
  </si>
  <si>
    <t>p_mundo</t>
  </si>
  <si>
    <t>dipper2130c</t>
  </si>
  <si>
    <t>sav4ge_bull</t>
  </si>
  <si>
    <t>leuxande</t>
  </si>
  <si>
    <t>euzaribeiro</t>
  </si>
  <si>
    <t>fmkbr1</t>
  </si>
  <si>
    <t>fiuzaelisabeth</t>
  </si>
  <si>
    <t>renascenca</t>
  </si>
  <si>
    <t>umamaistempo</t>
  </si>
  <si>
    <t>adolfont</t>
  </si>
  <si>
    <t>2five02</t>
  </si>
  <si>
    <t>limitedhangout1</t>
  </si>
  <si>
    <t>tremchaves</t>
  </si>
  <si>
    <t>dalva_trevisan</t>
  </si>
  <si>
    <t>da_euly</t>
  </si>
  <si>
    <t>vanzanrose</t>
  </si>
  <si>
    <t>soubelemlz</t>
  </si>
  <si>
    <t>coito_cristina</t>
  </si>
  <si>
    <t>justicagovbr</t>
  </si>
  <si>
    <t>grillnandus</t>
  </si>
  <si>
    <t>artesanatoedu</t>
  </si>
  <si>
    <t>ulusofona</t>
  </si>
  <si>
    <t>brunolo15379312</t>
  </si>
  <si>
    <t>joaomattar</t>
  </si>
  <si>
    <t>jornadaead</t>
  </si>
  <si>
    <t>nuclearsocial</t>
  </si>
  <si>
    <t>ayanishimuta</t>
  </si>
  <si>
    <t>eusamircrf</t>
  </si>
  <si>
    <t>wincayyy</t>
  </si>
  <si>
    <t>dind55319228</t>
  </si>
  <si>
    <t>marswasstars</t>
  </si>
  <si>
    <t>leonita_lestari</t>
  </si>
  <si>
    <t>wongkalibanteng</t>
  </si>
  <si>
    <t>loball357</t>
  </si>
  <si>
    <t>ggozth</t>
  </si>
  <si>
    <t>cafepxl</t>
  </si>
  <si>
    <t>roselimatos10</t>
  </si>
  <si>
    <t>josemssantos</t>
  </si>
  <si>
    <t>ratnadewi1392</t>
  </si>
  <si>
    <t>sptf_org_pt</t>
  </si>
  <si>
    <t>nutellabra</t>
  </si>
  <si>
    <t>palhacokrusty00</t>
  </si>
  <si>
    <t>blitz_twit</t>
  </si>
  <si>
    <t>emgalego</t>
  </si>
  <si>
    <t>dosiveiga</t>
  </si>
  <si>
    <t>jamportugal10</t>
  </si>
  <si>
    <t>helenarubensl</t>
  </si>
  <si>
    <t>ptmt2161</t>
  </si>
  <si>
    <t>aeiou_pt</t>
  </si>
  <si>
    <t>paulaponto</t>
  </si>
  <si>
    <t>isabecarve</t>
  </si>
  <si>
    <t>alrguerreiro</t>
  </si>
  <si>
    <t>thiagolamboglia</t>
  </si>
  <si>
    <t>orlando29389818</t>
  </si>
  <si>
    <t>radityoarifn</t>
  </si>
  <si>
    <t>averagepm</t>
  </si>
  <si>
    <t>pt_veiga</t>
  </si>
  <si>
    <t>josuel_castro</t>
  </si>
  <si>
    <t>alyashahsuhaimi</t>
  </si>
  <si>
    <t>botufba</t>
  </si>
  <si>
    <t>lucianahn</t>
  </si>
  <si>
    <t>araujombarbara</t>
  </si>
  <si>
    <t>jssclmgmn</t>
  </si>
  <si>
    <t>lcmarinho</t>
  </si>
  <si>
    <t>felipedjeguaka</t>
  </si>
  <si>
    <t>chokitodecarne</t>
  </si>
  <si>
    <t>marciarcandido</t>
  </si>
  <si>
    <t>antnioc23355379</t>
  </si>
  <si>
    <t>biaml</t>
  </si>
  <si>
    <t>riobonitoac</t>
  </si>
  <si>
    <t>odio_nao</t>
  </si>
  <si>
    <t>celinequadra</t>
  </si>
  <si>
    <t>renatofrancisq2</t>
  </si>
  <si>
    <t>anabell84264132</t>
  </si>
  <si>
    <t>mairakubik</t>
  </si>
  <si>
    <t>fabioperiandro</t>
  </si>
  <si>
    <t>genesys_brasil</t>
  </si>
  <si>
    <t>krysbrasil</t>
  </si>
  <si>
    <t>naoesquerda</t>
  </si>
  <si>
    <t>ompian</t>
  </si>
  <si>
    <t>gomesgiuliaa</t>
  </si>
  <si>
    <t>pulguinhalhp</t>
  </si>
  <si>
    <t>victoraciarlini</t>
  </si>
  <si>
    <t>deipucrio</t>
  </si>
  <si>
    <t>roccosi96495550</t>
  </si>
  <si>
    <t>zlupiza</t>
  </si>
  <si>
    <t>francorubim</t>
  </si>
  <si>
    <t>g_l</t>
  </si>
  <si>
    <t>ocafricano</t>
  </si>
  <si>
    <t>_mardega</t>
  </si>
  <si>
    <t>gayhobbit</t>
  </si>
  <si>
    <t>shamomyam</t>
  </si>
  <si>
    <t>humas_sipirok</t>
  </si>
  <si>
    <t>miguelhilargiak</t>
  </si>
  <si>
    <t>jjyumilkyu</t>
  </si>
  <si>
    <t>rodansilva</t>
  </si>
  <si>
    <t>prince_x007</t>
  </si>
  <si>
    <t>rosannatrades</t>
  </si>
  <si>
    <t>cocasares</t>
  </si>
  <si>
    <t>abphe2</t>
  </si>
  <si>
    <t>gnrdias</t>
  </si>
  <si>
    <t>r_nagamine</t>
  </si>
  <si>
    <t>pedrosalt</t>
  </si>
  <si>
    <t>danieltperes</t>
  </si>
  <si>
    <t>jaimequebara</t>
  </si>
  <si>
    <t>rodrigo89789957</t>
  </si>
  <si>
    <t>tba_lisboa</t>
  </si>
  <si>
    <t>hxbitualnorris</t>
  </si>
  <si>
    <t>pasarateez</t>
  </si>
  <si>
    <t>sxyzx08</t>
  </si>
  <si>
    <t>voliaalmeida</t>
  </si>
  <si>
    <t>ateezmall_my</t>
  </si>
  <si>
    <t>ateezselling_my</t>
  </si>
  <si>
    <t>santosdomansa</t>
  </si>
  <si>
    <t>yuridiogenes</t>
  </si>
  <si>
    <t>adadriano</t>
  </si>
  <si>
    <t>iscte_execed</t>
  </si>
  <si>
    <t>internacionalzp</t>
  </si>
  <si>
    <t>henriquefavp</t>
  </si>
  <si>
    <t>ivansb2009</t>
  </si>
  <si>
    <t>caioaugstor</t>
  </si>
  <si>
    <t>novosemanario</t>
  </si>
  <si>
    <t>record_portugal</t>
  </si>
  <si>
    <t>mrklite</t>
  </si>
  <si>
    <t>pasaratiny</t>
  </si>
  <si>
    <t>cintiapb2</t>
  </si>
  <si>
    <t>cruzdefesa</t>
  </si>
  <si>
    <t>ciganosazul7</t>
  </si>
  <si>
    <t>nailizarbxov</t>
  </si>
  <si>
    <t>gigolosanto</t>
  </si>
  <si>
    <t>samgq7</t>
  </si>
  <si>
    <t>humbert69914038</t>
  </si>
  <si>
    <t>alinealamonica</t>
  </si>
  <si>
    <t>marcoocramalan</t>
  </si>
  <si>
    <t>noahwardrobe</t>
  </si>
  <si>
    <t>franciscodecama</t>
  </si>
  <si>
    <t>ponderadoo</t>
  </si>
  <si>
    <t>soninha28906779</t>
  </si>
  <si>
    <t>r0d3s</t>
  </si>
  <si>
    <t>mia170963</t>
  </si>
  <si>
    <t>paulikita2</t>
  </si>
  <si>
    <t>sandrotca</t>
  </si>
  <si>
    <t>epmoraes2</t>
  </si>
  <si>
    <t>tito_macedo</t>
  </si>
  <si>
    <t>freedombrazil21</t>
  </si>
  <si>
    <t>anaherr68016722</t>
  </si>
  <si>
    <t>mariatalves</t>
  </si>
  <si>
    <t>cruzfermes</t>
  </si>
  <si>
    <t>smwarley</t>
  </si>
  <si>
    <t>jaguajb</t>
  </si>
  <si>
    <t>discurso2014</t>
  </si>
  <si>
    <t>marcelao_veiga</t>
  </si>
  <si>
    <t>sammirsouza</t>
  </si>
  <si>
    <t>mfecha</t>
  </si>
  <si>
    <t>renabreu20</t>
  </si>
  <si>
    <t>angela40638513</t>
  </si>
  <si>
    <t>ditpamobvit_btn</t>
  </si>
  <si>
    <t>stepanusedo</t>
  </si>
  <si>
    <t>joscost00443299</t>
  </si>
  <si>
    <t>elenara_lobato</t>
  </si>
  <si>
    <t>bes8</t>
  </si>
  <si>
    <t>reginargaa</t>
  </si>
  <si>
    <t>prettydongjuu</t>
  </si>
  <si>
    <t>pantanal741</t>
  </si>
  <si>
    <t>biar_amanda</t>
  </si>
  <si>
    <t>luisamrgarcia</t>
  </si>
  <si>
    <t>netinho_muller</t>
  </si>
  <si>
    <t>lipe_r_s</t>
  </si>
  <si>
    <t>jccbrandao29</t>
  </si>
  <si>
    <t>gabrielfergomes</t>
  </si>
  <si>
    <t>antoniocsfilho</t>
  </si>
  <si>
    <t>doctimcook</t>
  </si>
  <si>
    <t>pt_viiannaa</t>
  </si>
  <si>
    <t>jhowmitchel</t>
  </si>
  <si>
    <t>ricoricar1</t>
  </si>
  <si>
    <t>ingamiro</t>
  </si>
  <si>
    <t>timbul_suryanto</t>
  </si>
  <si>
    <t>margarethgoes4</t>
  </si>
  <si>
    <t>observadorpt</t>
  </si>
  <si>
    <t>tuliohe95287973</t>
  </si>
  <si>
    <t>gepesmi</t>
  </si>
  <si>
    <t>alexsonaro17</t>
  </si>
  <si>
    <t>sapo</t>
  </si>
  <si>
    <t>obilonbeta</t>
  </si>
  <si>
    <t>opeugusmao</t>
  </si>
  <si>
    <t>weayl</t>
  </si>
  <si>
    <t>aspasia_maria</t>
  </si>
  <si>
    <t>33poryx</t>
  </si>
  <si>
    <t>nestrangeiro_pt</t>
  </si>
  <si>
    <t>heliasfs</t>
  </si>
  <si>
    <t>alexand82848379</t>
  </si>
  <si>
    <t>valeriascher</t>
  </si>
  <si>
    <t>ssnaterse</t>
  </si>
  <si>
    <t>bubuzinha</t>
  </si>
  <si>
    <t>kyueel</t>
  </si>
  <si>
    <t>analuz1503</t>
  </si>
  <si>
    <t>fabiopf08fabio</t>
  </si>
  <si>
    <t>sicnoticias</t>
  </si>
  <si>
    <t>polemmicodvj</t>
  </si>
  <si>
    <t>iebsescola</t>
  </si>
  <si>
    <t>blacklamb19</t>
  </si>
  <si>
    <t>visualtraveller</t>
  </si>
  <si>
    <t>akakarota</t>
  </si>
  <si>
    <t>dalilam75947344</t>
  </si>
  <si>
    <t>marcelo_barret0</t>
  </si>
  <si>
    <t>guedes_leonidas</t>
  </si>
  <si>
    <t>celsojalves</t>
  </si>
  <si>
    <t>canaldhiegofc</t>
  </si>
  <si>
    <t>diniz4501</t>
  </si>
  <si>
    <t>ojeconomico</t>
  </si>
  <si>
    <t>joshiginosoare2</t>
  </si>
  <si>
    <t>robertabrandaum</t>
  </si>
  <si>
    <t>nonducorduco11</t>
  </si>
  <si>
    <t>rascaldizzy1</t>
  </si>
  <si>
    <t>_ivandeso</t>
  </si>
  <si>
    <t>mb_vinicios1</t>
  </si>
  <si>
    <t>reginaftima6</t>
  </si>
  <si>
    <t>abelmaxwell2</t>
  </si>
  <si>
    <t>petrussacra</t>
  </si>
  <si>
    <t>lioeslucas</t>
  </si>
  <si>
    <t>fabilcp</t>
  </si>
  <si>
    <t>anamari95145322</t>
  </si>
  <si>
    <t>vila_pc</t>
  </si>
  <si>
    <t>brunoraso</t>
  </si>
  <si>
    <t>prmichel73</t>
  </si>
  <si>
    <t>heyssencordero</t>
  </si>
  <si>
    <t>gfonsecaadv</t>
  </si>
  <si>
    <t>mamilooooo</t>
  </si>
  <si>
    <t>arttwrrr</t>
  </si>
  <si>
    <t>phnx20</t>
  </si>
  <si>
    <t>opraticante</t>
  </si>
  <si>
    <t>pegeovane</t>
  </si>
  <si>
    <t>maiscatolicismo</t>
  </si>
  <si>
    <t>agenciaecclesia</t>
  </si>
  <si>
    <t>fiordaliso21</t>
  </si>
  <si>
    <t>iilyknight</t>
  </si>
  <si>
    <t>pos__san</t>
  </si>
  <si>
    <t>taminebb</t>
  </si>
  <si>
    <t>fabiomarbinho</t>
  </si>
  <si>
    <t>gatosabado</t>
  </si>
  <si>
    <t>rocaramicoli</t>
  </si>
  <si>
    <t>stalininha</t>
  </si>
  <si>
    <t>lnpfc</t>
  </si>
  <si>
    <t>rangel_lucia</t>
  </si>
  <si>
    <t>herege</t>
  </si>
  <si>
    <t>llc1395</t>
  </si>
  <si>
    <t>diego_8813</t>
  </si>
  <si>
    <t>lan_torres</t>
  </si>
  <si>
    <t>proletariors</t>
  </si>
  <si>
    <t>cyberadaa</t>
  </si>
  <si>
    <t>souza_g1</t>
  </si>
  <si>
    <t>zehdeabreu</t>
  </si>
  <si>
    <t>ilbentinho</t>
  </si>
  <si>
    <t>maedojorel_</t>
  </si>
  <si>
    <t>eniotaniguti</t>
  </si>
  <si>
    <t>observotariopig</t>
  </si>
  <si>
    <t>shock0031</t>
  </si>
  <si>
    <t>guilhermetom</t>
  </si>
  <si>
    <t>yzaaia</t>
  </si>
  <si>
    <t>sandroka131</t>
  </si>
  <si>
    <t>amilcarodrigues</t>
  </si>
  <si>
    <t>cantidio_jose</t>
  </si>
  <si>
    <t>tunado70</t>
  </si>
  <si>
    <t>monicaaraujorj</t>
  </si>
  <si>
    <t>trajanojorge</t>
  </si>
  <si>
    <t>frieira</t>
  </si>
  <si>
    <t>elmacambuzio</t>
  </si>
  <si>
    <t>daviralb1</t>
  </si>
  <si>
    <t>gato0800</t>
  </si>
  <si>
    <t>sonia_divinaa</t>
  </si>
  <si>
    <t>silasvieiradea1</t>
  </si>
  <si>
    <t>mariomalerba_</t>
  </si>
  <si>
    <t>ananindeua_77</t>
  </si>
  <si>
    <t>gayemquadrinhos</t>
  </si>
  <si>
    <t>bogerjr</t>
  </si>
  <si>
    <t>yoshuarodrguez3</t>
  </si>
  <si>
    <t>grandeorn</t>
  </si>
  <si>
    <t>vilmarvs60</t>
  </si>
  <si>
    <t>miguel_de_que</t>
  </si>
  <si>
    <t>suetamr</t>
  </si>
  <si>
    <t>claudia_sarti13</t>
  </si>
  <si>
    <t>chass1978</t>
  </si>
  <si>
    <t>wpz13</t>
  </si>
  <si>
    <t>garotadpi</t>
  </si>
  <si>
    <t>franciorlando</t>
  </si>
  <si>
    <t>siljr2</t>
  </si>
  <si>
    <t>neidelopesacre</t>
  </si>
  <si>
    <t>ap_skywalker</t>
  </si>
  <si>
    <t>fernandocesar77</t>
  </si>
  <si>
    <t>calicedochico</t>
  </si>
  <si>
    <t>analia_varela</t>
  </si>
  <si>
    <t>nicofernandes_</t>
  </si>
  <si>
    <t>rosenyjulio</t>
  </si>
  <si>
    <t>naosabelidar</t>
  </si>
  <si>
    <t>clausfarscape</t>
  </si>
  <si>
    <t>rtitareis</t>
  </si>
  <si>
    <t>izasaocoe</t>
  </si>
  <si>
    <t>jv_larroza</t>
  </si>
  <si>
    <t>mattteusalves</t>
  </si>
  <si>
    <t>spezian0</t>
  </si>
  <si>
    <t>bem_jonson</t>
  </si>
  <si>
    <t>lvitorporto</t>
  </si>
  <si>
    <t>claudiocalente</t>
  </si>
  <si>
    <t>dinhasmile</t>
  </si>
  <si>
    <t>lune_blanche</t>
  </si>
  <si>
    <t>ombudsgus</t>
  </si>
  <si>
    <t>mendoncalicia</t>
  </si>
  <si>
    <t>luciluladasilva</t>
  </si>
  <si>
    <t>alexand04132949</t>
  </si>
  <si>
    <t>tania12446771</t>
  </si>
  <si>
    <t>mariocrpl</t>
  </si>
  <si>
    <t>alessandresena</t>
  </si>
  <si>
    <t>maisribatejo</t>
  </si>
  <si>
    <t>sage_nada</t>
  </si>
  <si>
    <t>warley_lopes</t>
  </si>
  <si>
    <t>emidrr</t>
  </si>
  <si>
    <t>r1000nobrega</t>
  </si>
  <si>
    <t>sylviofreitas</t>
  </si>
  <si>
    <t>esequiaspierre</t>
  </si>
  <si>
    <t>emillyluh</t>
  </si>
  <si>
    <t>arrobanmg</t>
  </si>
  <si>
    <t>malusntssz</t>
  </si>
  <si>
    <t>paulopaulada39</t>
  </si>
  <si>
    <t>somel62</t>
  </si>
  <si>
    <t>liliana37799256</t>
  </si>
  <si>
    <t>paulinobrandim</t>
  </si>
  <si>
    <t>matsia_</t>
  </si>
  <si>
    <t>patricia_paes10</t>
  </si>
  <si>
    <t>ruialvesdasilv6</t>
  </si>
  <si>
    <t>psancandi</t>
  </si>
  <si>
    <t>duquegalvao</t>
  </si>
  <si>
    <t>alobarreto</t>
  </si>
  <si>
    <t>manosp17</t>
  </si>
  <si>
    <t>keisaricisar</t>
  </si>
  <si>
    <t>taniarjreis</t>
  </si>
  <si>
    <t>jlia_cristinaa</t>
  </si>
  <si>
    <t>alex_kosteczka</t>
  </si>
  <si>
    <t>marcelojgonca</t>
  </si>
  <si>
    <t>joaovitorjv</t>
  </si>
  <si>
    <t>selma_lula</t>
  </si>
  <si>
    <t>maicao94</t>
  </si>
  <si>
    <t>vnssalin</t>
  </si>
  <si>
    <t>maruxdopt</t>
  </si>
  <si>
    <t>milenialnarede</t>
  </si>
  <si>
    <t>anavalriatoled1</t>
  </si>
  <si>
    <t>jfmacedo</t>
  </si>
  <si>
    <t>bangslester</t>
  </si>
  <si>
    <t>omeuecomaga</t>
  </si>
  <si>
    <t>paulo_profhis</t>
  </si>
  <si>
    <t>geraldoazevedof</t>
  </si>
  <si>
    <t>igordrumond</t>
  </si>
  <si>
    <t>sandro_cao</t>
  </si>
  <si>
    <t>euliricopistola</t>
  </si>
  <si>
    <t>rtpmadeira</t>
  </si>
  <si>
    <t>feduambiental</t>
  </si>
  <si>
    <t>victornamatrix</t>
  </si>
  <si>
    <t>lobasolitari4</t>
  </si>
  <si>
    <t>abnervinicius01</t>
  </si>
  <si>
    <t>rosaskarlate</t>
  </si>
  <si>
    <t>nelsony2</t>
  </si>
  <si>
    <t>muauj</t>
  </si>
  <si>
    <t>nilzasilvana</t>
  </si>
  <si>
    <t>irondant</t>
  </si>
  <si>
    <t>alessandrakoren</t>
  </si>
  <si>
    <t>elianadacruzro1</t>
  </si>
  <si>
    <t>marcoscruzeiro5</t>
  </si>
  <si>
    <t>cassianacotica</t>
  </si>
  <si>
    <t>sanguineeliane</t>
  </si>
  <si>
    <t>avozdocerrado_</t>
  </si>
  <si>
    <t>andresifernande</t>
  </si>
  <si>
    <t>isabeatle</t>
  </si>
  <si>
    <t>elisaraujo2010</t>
  </si>
  <si>
    <t>cmdrmoreira</t>
  </si>
  <si>
    <t>leonard20717489</t>
  </si>
  <si>
    <t>sandraffarias</t>
  </si>
  <si>
    <t>cristinareisarq</t>
  </si>
  <si>
    <t>wannessaalves13</t>
  </si>
  <si>
    <t>tmaioria</t>
  </si>
  <si>
    <t>brendaheloisa</t>
  </si>
  <si>
    <t>lgsfroufe</t>
  </si>
  <si>
    <t>gerusaide</t>
  </si>
  <si>
    <t>ovelhavermelha7</t>
  </si>
  <si>
    <t>melatolira</t>
  </si>
  <si>
    <t>fallen_arch</t>
  </si>
  <si>
    <t>arretada13</t>
  </si>
  <si>
    <t>seoade</t>
  </si>
  <si>
    <t>democraciasempr</t>
  </si>
  <si>
    <t>james_glima</t>
  </si>
  <si>
    <t>mister_renque</t>
  </si>
  <si>
    <t>jairdesgovernad</t>
  </si>
  <si>
    <t>marianemundim</t>
  </si>
  <si>
    <t>elaneide</t>
  </si>
  <si>
    <t>painsthiago</t>
  </si>
  <si>
    <t>kakashi10</t>
  </si>
  <si>
    <t>rac_pt</t>
  </si>
  <si>
    <t>joaoflaviobg</t>
  </si>
  <si>
    <t>wjjunyor</t>
  </si>
  <si>
    <t>thejuds_</t>
  </si>
  <si>
    <t>heroial</t>
  </si>
  <si>
    <t>ocardozzo</t>
  </si>
  <si>
    <t>legnar03615740</t>
  </si>
  <si>
    <t>solhidramix</t>
  </si>
  <si>
    <t>mgdiegogo</t>
  </si>
  <si>
    <t>tadeuuuuu</t>
  </si>
  <si>
    <t>dilibra22maria</t>
  </si>
  <si>
    <t>olivrubia</t>
  </si>
  <si>
    <t>messiasvinii</t>
  </si>
  <si>
    <t>anakajsantos</t>
  </si>
  <si>
    <t>juspartidaria</t>
  </si>
  <si>
    <t>mariademirai</t>
  </si>
  <si>
    <t>josealfredojr</t>
  </si>
  <si>
    <t>gabrielmusso</t>
  </si>
  <si>
    <t>beguinho9</t>
  </si>
  <si>
    <t>maurorato74</t>
  </si>
  <si>
    <t>malipe6</t>
  </si>
  <si>
    <t>maisfutebol</t>
  </si>
  <si>
    <t>ivo_borges19</t>
  </si>
  <si>
    <t>filipamm</t>
  </si>
  <si>
    <t>ominhopt</t>
  </si>
  <si>
    <t>jjsilva4</t>
  </si>
  <si>
    <t>naosouoiuar</t>
  </si>
  <si>
    <t>doraaamora</t>
  </si>
  <si>
    <t>oleomorato</t>
  </si>
  <si>
    <t>quelemem1908</t>
  </si>
  <si>
    <t>manudenora</t>
  </si>
  <si>
    <t>tuiterdomarvin</t>
  </si>
  <si>
    <t>osmagna</t>
  </si>
  <si>
    <t>fabiosoares0</t>
  </si>
  <si>
    <t>larissnacif</t>
  </si>
  <si>
    <t>geraldodelfim</t>
  </si>
  <si>
    <t>artista_fran</t>
  </si>
  <si>
    <t>antniod22914115</t>
  </si>
  <si>
    <t>pavulagem__</t>
  </si>
  <si>
    <t>kotonoaware</t>
  </si>
  <si>
    <t>strwbblipa</t>
  </si>
  <si>
    <t>lopes_jorgeluiz</t>
  </si>
  <si>
    <t>morenacl_</t>
  </si>
  <si>
    <t>cleopatradobr</t>
  </si>
  <si>
    <t>pelintrate</t>
  </si>
  <si>
    <t>deco_lima2</t>
  </si>
  <si>
    <t>weltoncalves</t>
  </si>
  <si>
    <t>olguitarj</t>
  </si>
  <si>
    <t>raquelrnogueira</t>
  </si>
  <si>
    <t>bozbobo1</t>
  </si>
  <si>
    <t>gilhistoria</t>
  </si>
  <si>
    <t>lincolnloos</t>
  </si>
  <si>
    <t>paulinhopt2020</t>
  </si>
  <si>
    <t>starsuka_ff14</t>
  </si>
  <si>
    <t>ataminhaquerida</t>
  </si>
  <si>
    <t>semtaramela</t>
  </si>
  <si>
    <t>barretonessa</t>
  </si>
  <si>
    <t>zabumbista</t>
  </si>
  <si>
    <t>br_green_heart</t>
  </si>
  <si>
    <t>lia004_</t>
  </si>
  <si>
    <t>fabi_muniz</t>
  </si>
  <si>
    <t>lucier96025171</t>
  </si>
  <si>
    <t>josapar99649858</t>
  </si>
  <si>
    <t>purisimp</t>
  </si>
  <si>
    <t>osodrac_pt</t>
  </si>
  <si>
    <t>ricardo00805054</t>
  </si>
  <si>
    <t>miranimota</t>
  </si>
  <si>
    <t>jessilva</t>
  </si>
  <si>
    <t>amamolli</t>
  </si>
  <si>
    <t>odara_10</t>
  </si>
  <si>
    <t>nayaraayres</t>
  </si>
  <si>
    <t>sandra_miria</t>
  </si>
  <si>
    <t>inespedrosa_pt</t>
  </si>
  <si>
    <t>muimui_zunda</t>
  </si>
  <si>
    <t>martinholistica</t>
  </si>
  <si>
    <t>phbcarmona</t>
  </si>
  <si>
    <t>ndressa_alves</t>
  </si>
  <si>
    <t>ritayul12</t>
  </si>
  <si>
    <t>fattoconsumado</t>
  </si>
  <si>
    <t>kimnryn</t>
  </si>
  <si>
    <t>nicholepwue</t>
  </si>
  <si>
    <t>wilmenbr</t>
  </si>
  <si>
    <t>richymuller4</t>
  </si>
  <si>
    <t>eipaulorossi</t>
  </si>
  <si>
    <t>ivancarmito</t>
  </si>
  <si>
    <t>augustoleito2</t>
  </si>
  <si>
    <t>marketingidiota</t>
  </si>
  <si>
    <t>salv1e</t>
  </si>
  <si>
    <t>itwitting</t>
  </si>
  <si>
    <t>eabpen</t>
  </si>
  <si>
    <t>driaaventureir1</t>
  </si>
  <si>
    <t>vanrenaultpsi</t>
  </si>
  <si>
    <t>cristia56019993</t>
  </si>
  <si>
    <t>pivozleal</t>
  </si>
  <si>
    <t>dianinha_mea</t>
  </si>
  <si>
    <t>hgrcst</t>
  </si>
  <si>
    <t>uaberta</t>
  </si>
  <si>
    <t>enbombeiros</t>
  </si>
  <si>
    <t>tiagocatrola77</t>
  </si>
  <si>
    <t>janainadobrasil</t>
  </si>
  <si>
    <t>bortolini_e</t>
  </si>
  <si>
    <t>paulpessoa18</t>
  </si>
  <si>
    <t>rimasebatidas</t>
  </si>
  <si>
    <t>aurintheo2</t>
  </si>
  <si>
    <t>tiagojferreira</t>
  </si>
  <si>
    <t>marcelocoutinho</t>
  </si>
  <si>
    <t>marcopevieira</t>
  </si>
  <si>
    <t>elkrstyyy</t>
  </si>
  <si>
    <t>barbara49962035</t>
  </si>
  <si>
    <t>lctessima</t>
  </si>
  <si>
    <t>vacinadaefeliz</t>
  </si>
  <si>
    <t>jorge84rjr</t>
  </si>
  <si>
    <t>influencersqn</t>
  </si>
  <si>
    <t>joicereis_</t>
  </si>
  <si>
    <t>codasiuri</t>
  </si>
  <si>
    <t>aftaminas</t>
  </si>
  <si>
    <t>abell417</t>
  </si>
  <si>
    <t>antoniogalamba</t>
  </si>
  <si>
    <t>tg_meirelles</t>
  </si>
  <si>
    <t>tizquadros</t>
  </si>
  <si>
    <t>ciencia_o</t>
  </si>
  <si>
    <t>inspsic</t>
  </si>
  <si>
    <t>csmboto</t>
  </si>
  <si>
    <t>maro92084115</t>
  </si>
  <si>
    <t>shaolintrader88</t>
  </si>
  <si>
    <t>kanata_pt</t>
  </si>
  <si>
    <t>pos_reha</t>
  </si>
  <si>
    <t>youarecoringa</t>
  </si>
  <si>
    <t>cludiosantosne2</t>
  </si>
  <si>
    <t>andreburiti</t>
  </si>
  <si>
    <t>adanjonas2</t>
  </si>
  <si>
    <t>wallace11268754</t>
  </si>
  <si>
    <t>carlosa76979782</t>
  </si>
  <si>
    <t>postaldoalgarve</t>
  </si>
  <si>
    <t>marceloperes28</t>
  </si>
  <si>
    <t>luindarkness</t>
  </si>
  <si>
    <t>dfmartinha</t>
  </si>
  <si>
    <t>karmaisaroundus</t>
  </si>
  <si>
    <t>anapxv</t>
  </si>
  <si>
    <t>traumacoeur</t>
  </si>
  <si>
    <t>fabiobra_sep</t>
  </si>
  <si>
    <t>mineirimgo</t>
  </si>
  <si>
    <t>giovanidias</t>
  </si>
  <si>
    <t>coimbraliberal</t>
  </si>
  <si>
    <t>acaojoanina</t>
  </si>
  <si>
    <t>camiibich_</t>
  </si>
  <si>
    <t>bakugosluvr</t>
  </si>
  <si>
    <t>esperan45343564</t>
  </si>
  <si>
    <t>marietapeixoto</t>
  </si>
  <si>
    <t>tkorndorfer</t>
  </si>
  <si>
    <t>klugerodrigo</t>
  </si>
  <si>
    <t>dimibeckman</t>
  </si>
  <si>
    <t>gi_gyka</t>
  </si>
  <si>
    <t>ftimaponciano1</t>
  </si>
  <si>
    <t>nycamary</t>
  </si>
  <si>
    <t>elinalv12774504</t>
  </si>
  <si>
    <t>whoisaliceb</t>
  </si>
  <si>
    <t>fbnzz</t>
  </si>
  <si>
    <t>chacoxeio</t>
  </si>
  <si>
    <t>uaigabriel</t>
  </si>
  <si>
    <t>fergga22</t>
  </si>
  <si>
    <t>jeanpiter</t>
  </si>
  <si>
    <t>miltonapasil</t>
  </si>
  <si>
    <t>ac5tap</t>
  </si>
  <si>
    <t>frontnacaobr</t>
  </si>
  <si>
    <t>luiiss7am</t>
  </si>
  <si>
    <t>ana_paularochas</t>
  </si>
  <si>
    <t>futebol365</t>
  </si>
  <si>
    <t>nxyraa</t>
  </si>
  <si>
    <t>jwjb_7</t>
  </si>
  <si>
    <t>nolenscuba</t>
  </si>
  <si>
    <t>karirfess</t>
  </si>
  <si>
    <t>expresso</t>
  </si>
  <si>
    <t>umcara786</t>
  </si>
  <si>
    <t>lokerpku1</t>
  </si>
  <si>
    <t>regiaosul</t>
  </si>
  <si>
    <t>tsfradio</t>
  </si>
  <si>
    <t>mysticm1nho</t>
  </si>
  <si>
    <t>anamitou</t>
  </si>
  <si>
    <t>salsabillah127</t>
  </si>
  <si>
    <t>jkungege</t>
  </si>
  <si>
    <t>mncbank</t>
  </si>
  <si>
    <t>rut0san</t>
  </si>
  <si>
    <t>ataraxia_tbz</t>
  </si>
  <si>
    <t>minihyunjae</t>
  </si>
  <si>
    <t>sunwooistiny</t>
  </si>
  <si>
    <t>pruuwoojae</t>
  </si>
  <si>
    <t>salma10740541</t>
  </si>
  <si>
    <t>gyuubestie</t>
  </si>
  <si>
    <t>chnheewtf</t>
  </si>
  <si>
    <t>luvbbangjukyu</t>
  </si>
  <si>
    <t>ezzyoungk</t>
  </si>
  <si>
    <t>fluffycoupss</t>
  </si>
  <si>
    <t>kinaleeya</t>
  </si>
  <si>
    <t>fadhlixzahari</t>
  </si>
  <si>
    <t>littlerose_go</t>
  </si>
  <si>
    <t>amirassdina</t>
  </si>
  <si>
    <t>f4irywho</t>
  </si>
  <si>
    <t>geraleconomia</t>
  </si>
  <si>
    <t>rainaverina</t>
  </si>
  <si>
    <t>luvlych4nhee</t>
  </si>
  <si>
    <t>diamondsjuliet</t>
  </si>
  <si>
    <t>ppongric</t>
  </si>
  <si>
    <t>pt_transjakarta</t>
  </si>
  <si>
    <t>nicodemos_r</t>
  </si>
  <si>
    <t>jsilva_72</t>
  </si>
  <si>
    <t>luizcarlosalm19</t>
  </si>
  <si>
    <t>snwo0412</t>
  </si>
  <si>
    <t>burnout_pt</t>
  </si>
  <si>
    <t>lillysol2</t>
  </si>
  <si>
    <t>sandovalnascim5</t>
  </si>
  <si>
    <t>shifterpt</t>
  </si>
  <si>
    <t>jnegocios</t>
  </si>
  <si>
    <t>acidadebranca</t>
  </si>
  <si>
    <t>fneduca</t>
  </si>
  <si>
    <t>ces_uc</t>
  </si>
  <si>
    <t>herbettigre</t>
  </si>
  <si>
    <t>jungmatoo</t>
  </si>
  <si>
    <t>nvlda</t>
  </si>
  <si>
    <t>schmittrenata</t>
  </si>
  <si>
    <t>permadiwahyu007</t>
  </si>
  <si>
    <t>mjuniorx</t>
  </si>
  <si>
    <t>lbmoura13</t>
  </si>
  <si>
    <t>josemarmoises</t>
  </si>
  <si>
    <t>ufanistacut3</t>
  </si>
  <si>
    <t>sunteroids_444</t>
  </si>
  <si>
    <t>luviejaemn</t>
  </si>
  <si>
    <t>nrqstnalya_</t>
  </si>
  <si>
    <t>oreolize</t>
  </si>
  <si>
    <t>cookieshoneydew</t>
  </si>
  <si>
    <t>_beautyskinz</t>
  </si>
  <si>
    <t>syanayahya</t>
  </si>
  <si>
    <t>moonjyuuu</t>
  </si>
  <si>
    <t>jaexquisitee</t>
  </si>
  <si>
    <t>berylvisaariza</t>
  </si>
  <si>
    <t>hsnaann_</t>
  </si>
  <si>
    <t>guilhermoney_</t>
  </si>
  <si>
    <t>ellocohumaita</t>
  </si>
  <si>
    <t>piquename</t>
  </si>
  <si>
    <t>gustavobarreto_</t>
  </si>
  <si>
    <t>sbgcnacional</t>
  </si>
  <si>
    <t>internetlabbr</t>
  </si>
  <si>
    <t>britocruz_</t>
  </si>
  <si>
    <t>chanheeamor</t>
  </si>
  <si>
    <t>softyhyunjaee</t>
  </si>
  <si>
    <t>esceipvc</t>
  </si>
  <si>
    <t>johallack</t>
  </si>
  <si>
    <t>profsosa13</t>
  </si>
  <si>
    <t>sim_paraiba</t>
  </si>
  <si>
    <t>mlet_brasil</t>
  </si>
  <si>
    <t>pijahheyyoo</t>
  </si>
  <si>
    <t>amessiasleal</t>
  </si>
  <si>
    <t>elninoob_</t>
  </si>
  <si>
    <t>imanborneo</t>
  </si>
  <si>
    <t>onubrasil</t>
  </si>
  <si>
    <t>unicefbrasil</t>
  </si>
  <si>
    <t>estevamregia</t>
  </si>
  <si>
    <t>foxyrj00</t>
  </si>
  <si>
    <t>luclavilo</t>
  </si>
  <si>
    <t>avante_pt</t>
  </si>
  <si>
    <t>nideoliveira71</t>
  </si>
  <si>
    <t>natransversal</t>
  </si>
  <si>
    <t>oiasmargenspla1</t>
  </si>
  <si>
    <t>eueltito</t>
  </si>
  <si>
    <t>likaliku6969</t>
  </si>
  <si>
    <t>panchitoblanco1</t>
  </si>
  <si>
    <t>solcaetanocost1</t>
  </si>
  <si>
    <t>catiaamorim5</t>
  </si>
  <si>
    <t>lotemarcio</t>
  </si>
  <si>
    <t>mariacr64955277</t>
  </si>
  <si>
    <t>igot7mytrades</t>
  </si>
  <si>
    <t>nctmytrade</t>
  </si>
  <si>
    <t>levanterjimin</t>
  </si>
  <si>
    <t>oposisicerdas</t>
  </si>
  <si>
    <t>inlandertengik</t>
  </si>
  <si>
    <t>didsanttos</t>
  </si>
  <si>
    <t>aish4hismail</t>
  </si>
  <si>
    <t>mygot7market</t>
  </si>
  <si>
    <t>zanifaysron</t>
  </si>
  <si>
    <t>deputadofederal</t>
  </si>
  <si>
    <t>slpng_giants_pt</t>
  </si>
  <si>
    <t>folha</t>
  </si>
  <si>
    <t>gleisi</t>
  </si>
  <si>
    <t>randolfeap</t>
  </si>
  <si>
    <t>jairbolsonaro</t>
  </si>
  <si>
    <t>estadao</t>
  </si>
  <si>
    <t>juliette</t>
  </si>
  <si>
    <t>ticostacruz</t>
  </si>
  <si>
    <t>viniciusgrg</t>
  </si>
  <si>
    <t>jornaloglobo</t>
  </si>
  <si>
    <t>bastosjusmari</t>
  </si>
  <si>
    <t>godinhoalmino</t>
  </si>
  <si>
    <t>cdantas5</t>
  </si>
  <si>
    <t>eduardobkuhn</t>
  </si>
  <si>
    <t>abbade_jose</t>
  </si>
  <si>
    <t>_sanflwr</t>
  </si>
  <si>
    <t>17_caratmy</t>
  </si>
  <si>
    <t>cxunssbev</t>
  </si>
  <si>
    <t>purplevioletsan</t>
  </si>
  <si>
    <t>noona_stan</t>
  </si>
  <si>
    <t>terciotomaz</t>
  </si>
  <si>
    <t>saritacoelho</t>
  </si>
  <si>
    <t>victorclage</t>
  </si>
  <si>
    <t>moreira_uallace</t>
  </si>
  <si>
    <t>devitale1</t>
  </si>
  <si>
    <t>theacmg</t>
  </si>
  <si>
    <t>sigagazetabr</t>
  </si>
  <si>
    <t>crlhosiide</t>
  </si>
  <si>
    <t>santosfc</t>
  </si>
  <si>
    <t>dotoracamis</t>
  </si>
  <si>
    <t>ninemends</t>
  </si>
  <si>
    <t>divadinnaberta</t>
  </si>
  <si>
    <t>stellanaoartois</t>
  </si>
  <si>
    <t>fialholeles</t>
  </si>
  <si>
    <t>isabelrizzo9</t>
  </si>
  <si>
    <t>zepykenu</t>
  </si>
  <si>
    <t>anaprofbrasil</t>
  </si>
  <si>
    <t>arisouzadearau2</t>
  </si>
  <si>
    <t>macunaimaz21</t>
  </si>
  <si>
    <t>viajavolaris</t>
  </si>
  <si>
    <t>dip_reyes</t>
  </si>
  <si>
    <t>carloszup</t>
  </si>
  <si>
    <t>airlangga_hrt</t>
  </si>
  <si>
    <t>kemenkomarves</t>
  </si>
  <si>
    <t>aguinaldaosilva</t>
  </si>
  <si>
    <t>alex_altini</t>
  </si>
  <si>
    <t>eduguim</t>
  </si>
  <si>
    <t>xerpayoficial</t>
  </si>
  <si>
    <t>cunhaelderson</t>
  </si>
  <si>
    <t>eliseudev</t>
  </si>
  <si>
    <t>uolnoticias</t>
  </si>
  <si>
    <t>policiafederal</t>
  </si>
  <si>
    <t>jacksondavirada</t>
  </si>
  <si>
    <t>anasaturnina1</t>
  </si>
  <si>
    <t>oglobopolitica</t>
  </si>
  <si>
    <t>hugo99_</t>
  </si>
  <si>
    <t>princessceiest</t>
  </si>
  <si>
    <t>reinaldoazevedo</t>
  </si>
  <si>
    <t>mrbeast</t>
  </si>
  <si>
    <t>valoreconomico</t>
  </si>
  <si>
    <t>nazaqistsha</t>
  </si>
  <si>
    <t>pablovillaca</t>
  </si>
  <si>
    <t>jpesafi</t>
  </si>
  <si>
    <t>paulosr88038070</t>
  </si>
  <si>
    <t>willgomes</t>
  </si>
  <si>
    <t>jornalismowando</t>
  </si>
  <si>
    <t>adisabomani</t>
  </si>
  <si>
    <t>dark_dan01</t>
  </si>
  <si>
    <t>jadircorrea</t>
  </si>
  <si>
    <t>liputan6dotcom</t>
  </si>
  <si>
    <t>joaomiranda</t>
  </si>
  <si>
    <t>pmacedo216</t>
  </si>
  <si>
    <t>revistaoeste</t>
  </si>
  <si>
    <t>mariosbessa</t>
  </si>
  <si>
    <t>oldboy_monster</t>
  </si>
  <si>
    <t>leandrosc18</t>
  </si>
  <si>
    <t>laurojardim</t>
  </si>
  <si>
    <t>samydana</t>
  </si>
  <si>
    <t>pocah</t>
  </si>
  <si>
    <t>multishow</t>
  </si>
  <si>
    <t>cpidosmemes</t>
  </si>
  <si>
    <t>raquel90299473</t>
  </si>
  <si>
    <t>ver54c3</t>
  </si>
  <si>
    <t>strategi_bisnis</t>
  </si>
  <si>
    <t>furtwanglervon</t>
  </si>
  <si>
    <t>marcosaude1978</t>
  </si>
  <si>
    <t>orodrigovaz</t>
  </si>
  <si>
    <t>gustavocastanon</t>
  </si>
  <si>
    <t>sf_moro</t>
  </si>
  <si>
    <t>af_stivanelli</t>
  </si>
  <si>
    <t>cinzento19</t>
  </si>
  <si>
    <t>amorimgabaa</t>
  </si>
  <si>
    <t>realninatigret</t>
  </si>
  <si>
    <t>belemjameson</t>
  </si>
  <si>
    <t>kgabrielam</t>
  </si>
  <si>
    <t>sulistaliberal</t>
  </si>
  <si>
    <t>mlimapassos</t>
  </si>
  <si>
    <t>bernardokuster2</t>
  </si>
  <si>
    <t>liambourn</t>
  </si>
  <si>
    <t>tato_rj</t>
  </si>
  <si>
    <t>democratabr</t>
  </si>
  <si>
    <t>franetcisco</t>
  </si>
  <si>
    <t>fernandoaferro</t>
  </si>
  <si>
    <t>gabjooao</t>
  </si>
  <si>
    <t>jandira_feghali</t>
  </si>
  <si>
    <t>vivobr</t>
  </si>
  <si>
    <t>youtubebrasil</t>
  </si>
  <si>
    <t>eduardopaes</t>
  </si>
  <si>
    <t>jeflisboa1</t>
  </si>
  <si>
    <t>runeterrabrasil</t>
  </si>
  <si>
    <t>4777boy</t>
  </si>
  <si>
    <t>lotusgav</t>
  </si>
  <si>
    <t>annacomentts</t>
  </si>
  <si>
    <t>hilde_angel</t>
  </si>
  <si>
    <t>marianacabralc</t>
  </si>
  <si>
    <t>seneguini</t>
  </si>
  <si>
    <t>aminajmohammed</t>
  </si>
  <si>
    <t>un</t>
  </si>
  <si>
    <t>nacoesunidas</t>
  </si>
  <si>
    <t>felippe_hermes</t>
  </si>
  <si>
    <t>alex_bitcoiner</t>
  </si>
  <si>
    <t>paulopaim</t>
  </si>
  <si>
    <t>posblocjkt</t>
  </si>
  <si>
    <t>danibenevenuto1</t>
  </si>
  <si>
    <t>dcm_online</t>
  </si>
  <si>
    <t>_diogo_delgado_</t>
  </si>
  <si>
    <t>catarinaparada_</t>
  </si>
  <si>
    <t>ecantanhede</t>
  </si>
  <si>
    <t>oatila</t>
  </si>
  <si>
    <t>alexandre_davis</t>
  </si>
  <si>
    <t>jamescleverly</t>
  </si>
  <si>
    <t>ianmaher7</t>
  </si>
  <si>
    <t>scotty9094</t>
  </si>
  <si>
    <t>julianod</t>
  </si>
  <si>
    <t>katiesdad52</t>
  </si>
  <si>
    <t>mathfjacinto</t>
  </si>
  <si>
    <t>brasil247</t>
  </si>
  <si>
    <t>liletaxus</t>
  </si>
  <si>
    <t>eduardodebraga6</t>
  </si>
  <si>
    <t>cirogomes</t>
  </si>
  <si>
    <t>cyrusafa</t>
  </si>
  <si>
    <t>tabataamaralsp</t>
  </si>
  <si>
    <t>ducavendish</t>
  </si>
  <si>
    <t>nix1337</t>
  </si>
  <si>
    <t>bronson_x</t>
  </si>
  <si>
    <t>brjamessr</t>
  </si>
  <si>
    <t>euwillarauujo</t>
  </si>
  <si>
    <t>sasbranco</t>
  </si>
  <si>
    <t>felipeneto</t>
  </si>
  <si>
    <t>pandabandoleiro</t>
  </si>
  <si>
    <t>anvisa_oficial</t>
  </si>
  <si>
    <t>luizcarlospavao</t>
  </si>
  <si>
    <t>lulaoficial</t>
  </si>
  <si>
    <t>marcelopjs</t>
  </si>
  <si>
    <t>so_ellipsis</t>
  </si>
  <si>
    <t>senadorpaulor</t>
  </si>
  <si>
    <t>bastoss_rn</t>
  </si>
  <si>
    <t>_winway</t>
  </si>
  <si>
    <t>bandeiramarela</t>
  </si>
  <si>
    <t>davidmouro2</t>
  </si>
  <si>
    <t>elevensports_pt</t>
  </si>
  <si>
    <t>benfica_fm</t>
  </si>
  <si>
    <t>goncalocvale</t>
  </si>
  <si>
    <t>requiaooficial</t>
  </si>
  <si>
    <t>joaorrios79</t>
  </si>
  <si>
    <t>r_senna</t>
  </si>
  <si>
    <t>_makavelijones</t>
  </si>
  <si>
    <t>puracoragem</t>
  </si>
  <si>
    <t>joaoamoedonovo</t>
  </si>
  <si>
    <t>i7dreamy</t>
  </si>
  <si>
    <t>alesson90</t>
  </si>
  <si>
    <t>aripatriota</t>
  </si>
  <si>
    <t>senadorhumberto</t>
  </si>
  <si>
    <t>omalestafeito</t>
  </si>
  <si>
    <t>albertocalmeida</t>
  </si>
  <si>
    <t>brunomaracci</t>
  </si>
  <si>
    <t>ricardogalves</t>
  </si>
  <si>
    <t>me10n4</t>
  </si>
  <si>
    <t>visao_pt</t>
  </si>
  <si>
    <t>zeluizlhesdiz</t>
  </si>
  <si>
    <t>diegoalbertodos</t>
  </si>
  <si>
    <t>jacquebri</t>
  </si>
  <si>
    <t>emanuelbissiatt</t>
  </si>
  <si>
    <t>rafaelg64084392</t>
  </si>
  <si>
    <t>eldacarvalhobsb</t>
  </si>
  <si>
    <t>daciolocable</t>
  </si>
  <si>
    <t>leticialopes171</t>
  </si>
  <si>
    <t>cludiavilardi1</t>
  </si>
  <si>
    <t>mobysnatch</t>
  </si>
  <si>
    <t>candao20</t>
  </si>
  <si>
    <t>roserothermel</t>
  </si>
  <si>
    <t>statusanonim</t>
  </si>
  <si>
    <t>btiemih</t>
  </si>
  <si>
    <t>metropoles</t>
  </si>
  <si>
    <t>marcelodied</t>
  </si>
  <si>
    <t>heldersalomao</t>
  </si>
  <si>
    <t>brunotr06</t>
  </si>
  <si>
    <t>vitorrborba</t>
  </si>
  <si>
    <t>andante40428500</t>
  </si>
  <si>
    <t>felipebstos</t>
  </si>
  <si>
    <t>mariadorosario</t>
  </si>
  <si>
    <t>guimaraes13pt</t>
  </si>
  <si>
    <t>ciraocarioca</t>
  </si>
  <si>
    <t>danielramalho_</t>
  </si>
  <si>
    <t>vitoristo2</t>
  </si>
  <si>
    <t>sallymaelstrom</t>
  </si>
  <si>
    <t>pcgferreira</t>
  </si>
  <si>
    <t>dnacy_</t>
  </si>
  <si>
    <t>frasesdebebada</t>
  </si>
  <si>
    <t>goldenhaai</t>
  </si>
  <si>
    <t>zoom</t>
  </si>
  <si>
    <t>hana_cnu6</t>
  </si>
  <si>
    <t>kimidilois</t>
  </si>
  <si>
    <t>luanalift</t>
  </si>
  <si>
    <t>latuffcartoons</t>
  </si>
  <si>
    <t>trom_petista</t>
  </si>
  <si>
    <t>matheusbrinhosa</t>
  </si>
  <si>
    <t>fcporto</t>
  </si>
  <si>
    <t>___jota___</t>
  </si>
  <si>
    <t>sebastiaomelo</t>
  </si>
  <si>
    <t>amandamoraes500</t>
  </si>
  <si>
    <t>lalazinho_show</t>
  </si>
  <si>
    <t>1carll</t>
  </si>
  <si>
    <t>yagobarros231</t>
  </si>
  <si>
    <t>saiadamatrixbr</t>
  </si>
  <si>
    <t>ryujapan2020br</t>
  </si>
  <si>
    <t>vipper1711</t>
  </si>
  <si>
    <t>aveveritas1</t>
  </si>
  <si>
    <t>sacredwisdom2</t>
  </si>
  <si>
    <t>oudeis_br</t>
  </si>
  <si>
    <t>duquesadetax</t>
  </si>
  <si>
    <t>metodomoreira</t>
  </si>
  <si>
    <t>opasomsbrasil</t>
  </si>
  <si>
    <t>unescobrasil</t>
  </si>
  <si>
    <t>pnudbrasil</t>
  </si>
  <si>
    <t>heisenbergpeep</t>
  </si>
  <si>
    <t>luchinex13</t>
  </si>
  <si>
    <t>victorhitzschky</t>
  </si>
  <si>
    <t>desempregobot</t>
  </si>
  <si>
    <t>flavioaugusto_1</t>
  </si>
  <si>
    <t>angelsinnerc</t>
  </si>
  <si>
    <t>haddad_fernando</t>
  </si>
  <si>
    <t>haddaddebochado</t>
  </si>
  <si>
    <t>giohvp1</t>
  </si>
  <si>
    <t>okaantara</t>
  </si>
  <si>
    <t>hana75088057</t>
  </si>
  <si>
    <t>marnaosereno</t>
  </si>
  <si>
    <t>augustodefranco</t>
  </si>
  <si>
    <t>theoporrete</t>
  </si>
  <si>
    <t>bolukubolukeju</t>
  </si>
  <si>
    <t>lucianohuck</t>
  </si>
  <si>
    <t>mlfattorelli</t>
  </si>
  <si>
    <t>verancorrea</t>
  </si>
  <si>
    <t>danielsimonas</t>
  </si>
  <si>
    <t>ednacamiloyaho1</t>
  </si>
  <si>
    <t>deboramustafa</t>
  </si>
  <si>
    <t>clauregsil</t>
  </si>
  <si>
    <t>annacaralb</t>
  </si>
  <si>
    <t>marusa_sales</t>
  </si>
  <si>
    <t>bastasil</t>
  </si>
  <si>
    <t>admconexao</t>
  </si>
  <si>
    <t>tonhosdv</t>
  </si>
  <si>
    <t>sol_tropical</t>
  </si>
  <si>
    <t>paty_vacina</t>
  </si>
  <si>
    <t>geografo2004</t>
  </si>
  <si>
    <t>gpwlu</t>
  </si>
  <si>
    <t>oliveiraalves5</t>
  </si>
  <si>
    <t>lucianafabiano_</t>
  </si>
  <si>
    <t>elainen1960</t>
  </si>
  <si>
    <t>rochakalily</t>
  </si>
  <si>
    <t>glaucorbraga</t>
  </si>
  <si>
    <t>doce_pimenta13</t>
  </si>
  <si>
    <t>bruna85172176</t>
  </si>
  <si>
    <t>fjosi1</t>
  </si>
  <si>
    <t>tmachado84</t>
  </si>
  <si>
    <t>rodrigoelpidio</t>
  </si>
  <si>
    <t>williambassane2</t>
  </si>
  <si>
    <t>emanoelseabra</t>
  </si>
  <si>
    <t>felipe89f</t>
  </si>
  <si>
    <t>paulodella4</t>
  </si>
  <si>
    <t>fabio70544222</t>
  </si>
  <si>
    <t>resoares_77</t>
  </si>
  <si>
    <t>anayaanacleto</t>
  </si>
  <si>
    <t>isabelfeijmach1</t>
  </si>
  <si>
    <t>luizdominguesf1</t>
  </si>
  <si>
    <t>ferretti_luiz</t>
  </si>
  <si>
    <t>manojuoliveira1</t>
  </si>
  <si>
    <t>beto1berto</t>
  </si>
  <si>
    <t>microfonesolida</t>
  </si>
  <si>
    <t>capadocile</t>
  </si>
  <si>
    <t>tonyjosebr</t>
  </si>
  <si>
    <t>divaolinda55</t>
  </si>
  <si>
    <t>de_possati</t>
  </si>
  <si>
    <t>viomundo</t>
  </si>
  <si>
    <t>Peço a todos q tiveram efeitos adversos pós vac, que façam o registro no site da Anvisa. 
Cada tuíte q faço sobre isso aparecem inúmeros relatos. Precisamos transformar isso em números concretos, para n falarem q são “casos isolados”. 
Dia p vcs! 
https://t.co/qSlUHTLNi0</t>
  </si>
  <si>
    <t>Tem chamada pública para a seleção de bolsistas nível pós-doutorado na Casa! Ela contempla os departamentos de Pesquisa em História das Ciências e da Saúde; Museu da Vida; Patrimônio Histórico; e Arquivo e Documentação. Mais informações 👉https://t.co/tQLLIHY1Em https://t.co/TIb63mDwHu</t>
  </si>
  <si>
    <t>FICOU SABENDO DE ALGUM EFEITO ADVERSO PÓS VACINA?
Registre oficialmente o caso no site da #Anvisa. Há inúmeros relatos pelas redes sociais de reações suspeitas de estarem ligadas às vacinas experimentais. Registre!
https://t.co/CxfoK2FyvF</t>
  </si>
  <si>
    <t>ALERTA 3.ª fase de candidatura a Mestrados e Pós-Graduações: 20 a 24 de setembro de 2021💙
Encontras a informação necessária aqui:
https://t.co/BFtz9J5h6I
Boa sorte e até já 🏠😃 https://t.co/CXZR5SfJDb</t>
  </si>
  <si>
    <t>Dever cívico dos portugueses pôs de parte obrigação de vacinar, diz Costa https://t.co/x90w0zICvH</t>
  </si>
  <si>
    <t>#FutebolSCP | Sporting de Amorim 100% vitorioso depois de goleadas sofridas na Europa:
#SportingCP 
https://t.co/AKHuFUrn2H</t>
  </si>
  <si>
    <t>Pós-jogo de #JuveMilan ⚽️
🗞 Resumo: https://t.co/mGjGnYpKOK
📸 Fotos: https://t.co/1lI0C6kx2C
🗣 Entrevistas: https://t.co/0d2lXbz36T https://t.co/QuwTqgWN4Z</t>
  </si>
  <si>
    <t>#kmerchssstockupdates 
Settled @ 18 Sep: CJ Century&amp;amp;Pos Laju
●ATEEZ ZERO FEVER PT 2 WDWL FS PC
●AESPA NEXT LEVEL MD
●ATEEZ DREAMERS MD
TRACKING NO.👇
https://t.co/9Z0jUaokZA
*please dm if you couldnt find your ID in the list ASAP
 Feedback Hashtag👇
#kmerchsssfeedback</t>
  </si>
  <si>
    <t>FIFPro indica que dois em cada três futebolistas não tem perspetiva pós-carreira https://t.co/RXDfE7aulb</t>
  </si>
  <si>
    <t>@Ticostacruz Bater? Tico, não é só uma questão eleitoral, é muito mais que isso. O PT foi o partido que mais tempo ficou no poder pós redemocratização e olha onde estamos. O Brasil precisa sair desse buraco não só com o resultado da eleição, mas sim romper com esse modelo</t>
  </si>
  <si>
    <t>⚠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</si>
  <si>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perderia fácil um braço pra voltar no tempo pra planet hemp no pepsi, pra podfalar tour da pirâmide perdida x ceia e pro meu primeiro show do BK x Djonga mesmo que eu tenha dado um PT feio pós show</t>
  </si>
  <si>
    <t>#filocri #p4c #p4wc  pós-graduação em filosofia para crianças e jovens - candidaturas até 24 de setembro  https://t.co/vnP7B21tkb</t>
  </si>
  <si>
    <t>@Viniciusgrg @JornalOGlobo Ah eleitor de Ciro não é gado. Pouquíssimos devem ter votado no Bolsonaro ou anulado.Boa parte c/certeza fez como Ciro, pôs o dedo no nariz e apertou o 13, independente do Ciro. Sabiam q. Bolsonaro seria uma desgraça.O PT deve estar adorando essa desgraça toda,inverteu a rejeição</t>
  </si>
  <si>
    <t>Chamada pública para a seleção de bolsistas  pós-doutorado na @casaoswaldocruz 
Ela contempla os quatro departamentos da Casa - Pesquisa em História das Ciências e da Saúde; Museu da Vida; Patrimônio Histórico; Arquivo e Documentação 
Para saber mais: https://t.co/3tGCWzdcJt</t>
  </si>
  <si>
    <t>@randolfeap Esta é uma situação pós era PT, e, pós pandemia, com políticos que defendem pautas do partido, contra os interesses do povo e do país, cada vez é maior o número de robôs , a mídia tradicional já era. Destes, raros serão os de-eleitos</t>
  </si>
  <si>
    <t>@BastosJusmari Exatamente,  eis ai um genogida verdadeiro. Deu PT na grana da União, deu PT na Saúde pública, de Pecra Tolal onde pôs as mão e os pés.</t>
  </si>
  <si>
    <t>@brolshevik Difícil é achar quem vai encarnar o pós PT. Todos que tentaram viraram antipetistas.</t>
  </si>
  <si>
    <t>É inacreditável como confiar nessa organização criminosa, quem poderia imaginar que o responsavel pela investigaçao sobre a morte da adolescente pos Pfizer é o presidente do sindicato dos medicos de SP e filiado ao PT? https://t.co/1EFMVGJyAt</t>
  </si>
  <si>
    <t>Preciso usar essa semana pra revisar os assuntos da última aula da Pós, pq o prof falou todas as línguas, menos pt.
Cheguei a me questionar se era isso msm q eu queria.</t>
  </si>
  <si>
    <t>@cdantas5 @GodinhoAlmino O Nordeste vai produzir muito feijão e trigo!! Coisa que o lula, o pt, fhc, e toda a bandidagem não queria! Queriam os Nordestinos de joelhos. Bolsonaro os pôs em pé!!</t>
  </si>
  <si>
    <t>E o texto que a Visão escreveu sobre este mesmo tema: https://t.co/vki86mnI9d</t>
  </si>
  <si>
    <t>KUISS dl aaah…
1 KLEPON MANISS dan 10 AMLers @ 100K.
RT &amp;amp; ❤️ ya, kasih pendapatmu, ini kasus ada PENCUCIAN UANG nya gak?
Tetap asas praduga tak bersalah ya…
End like2 me…aku jg masih ada 1 KUISS yg blm tutup…ikut jg ya…
❤️❤️❤️🇮🇩🇮🇩🇮🇩
https://t.co/JzTH4s3LPo</t>
  </si>
  <si>
    <t>@jairbolsonaro Faz 5 anos que o PT saiu do governo até então deixou reservas cambiais,porém a incompetência nesse período pós nada fez apenas aponta o dedo sem apontar solução assim é fácil,em qualquer empresa privada já teria sido demitido.</t>
  </si>
  <si>
    <t>Aí eu seria tão feliz se em 2022 já tiver bem pra ir em rock e poder cantar um "vai dar PT, vai dar"
Imagina um rock pós resultado da eleição com a linda notícia de que o lulinha venceu</t>
  </si>
  <si>
    <t>@abbade_jose @eduardobkuhn @randolfeap Em vez de culpar o PT culpa Bolsonaro, porque se estamos mal das pernas é porque ele é os ministros não fizeram direito o trabalho deles de gestões quanto a crise no pós pandemia.
Ele é o Presidente hoje e mansão de 6 milhões do filho não foi trabalhando, foi vagabundeando.</t>
  </si>
  <si>
    <t>Agradecemos às pessoas que trouxeram suas posições e críticas ao edital. A discussão sobre idioma é parte fundamental da discussão sobre igualdade no conhec. e a seleção em si é parte fundamental do projeto que vamos desenvolver. Aguardamos as candidaturas!https://t.co/MvhlYihB5o</t>
  </si>
  <si>
    <t>for pc fever pt 2 update 📢
now ada problem dgn pos laju so i akan sattelkan asap btw can u guys isi google form ni untk mudahkan i nak post nanti
https://t.co/wT7M2BcTKw
thank you🙇🏻‍♀️❤️
@noona_stan @purplevioletsan @cxunssbev @17_CARATMY @_sanflwr</t>
  </si>
  <si>
    <t>ebook disponível aqui: https://t.co/oUIKyMinvg</t>
  </si>
  <si>
    <t>O Nordeste vai produzir muito FEIJÃO e TRIGO!! Coisa que o lula, o pt, fhc, e toda a bandidagem não queria! Queriam os Nordestinos de joelhos. Bolsonaro os pôs em pé!!</t>
  </si>
  <si>
    <t>O álbum de estreia dos Strokes, Is This It, é garage na produção propositadamente tosca mas indie no charme e inteligência das canções. O disco-bandeira do renascimento do rock pós-2001. https://t.co/DemnY3YwNm</t>
  </si>
  <si>
    <t>@saritacoelho @TercioTomaz @jairbolsonaro A maioria dos imigrantes brasileiros nos EUA são de pessoas que o partido das trevas tirou tudo, emprego, esperança. Tenho diversos parentes lá e que são anti pt. Os que estão protestando são os q tinham bolsa paga pelo gov p pós e não querem trabalhar, viver as custas do gov</t>
  </si>
  <si>
    <t>@folha Qual é a novidade!?
COMEDIA! PIADA!
Sempre foi assim! A politica monetária neoliberal antes e pós PT herdeira de D.pedro e da política escravocrata de Senzala e casa grande.
E depois da herança maldita neoliberal FHC E PSDB que entregou o governo com 18 milhões de desempregados!?</t>
  </si>
  <si>
    <t>Foram publicados hoje os editais para o Mestrado e o Doutorado no PPGRI/UFBA. São professores no programa @danieltperes, @Devitale1, @pedrosalt, @moreira_uallace, @victorclage, eu e outros não-tagueáveis.
- Mestrado: https://t.co/DBCDbmUBZF 
- Doutorado: https://t.co/nCt9dKW2oP</t>
  </si>
  <si>
    <t>In their update, @TheACMG rec's offering dx testing if a pt tests pos on carrier screen and FOB testing is not feasible. "A lab willing to perform the testing must be ID'd b4 performing the dx procedure." Anyone know labs that will do dx testing w/o FOB results for AR conditions?</t>
  </si>
  <si>
    <t>More information? Pt. was intermittend symptomatic the next day, next EKG and a trop =&amp;gt; pos. 
In cath lab 99% stenosis RCX. 
Cardiology: Haven‘t y seen this subacute STEMI? Sign. ST-elevation in III, aVF at 2. EKG and furhermore d1 there was a r in III, at d2 there us just a q.</t>
  </si>
  <si>
    <t>@SigaGazetaBR Já está sendo feito pós era pt</t>
  </si>
  <si>
    <t>@crlhosiide Kkkkkkkkkkkkkkkkkkk sonhou que tava desmaiando Mateus gordin na porrada, pós pt?</t>
  </si>
  <si>
    <t>Aqui o gol de Luiz Henrique que pôs o @SantosFC de novo na frente do placar na Vila Belmiro ! https://t.co/7u84ZAy19d</t>
  </si>
  <si>
    <t>@slpng_giants_pt o advogado puxando o cliente pós a mrd dita, impagável. Minhas condolências ao colega.</t>
  </si>
  <si>
    <t>Na verdade acho que ninguém vai ficar muito infeliz no Porto.
O Moreira ganha, o PS aparentemente perde (perdendo votos) mas fica bem colocado para o pós Selminho, o PSD sobe.
Porto: sondagem dá maioria absoluta a Moreira e PS a cair dez pontos https://t.co/KL4WwRvDiK</t>
  </si>
  <si>
    <t>“A Avaliação corre bem, do ponto de vista do comprometimento da equipe, dos coordenadores, dos avaliadores”, disse Cláudia de Toledo, presidente da CAPES. Saiba mais: https://t.co/Mb4dNkfGif https://t.co/CjtpMsKfVC</t>
  </si>
  <si>
    <t>@stellanaoartois @divadinnaberta @ninemends @DotoraCamis A ladainha anti pt começa realmente no pós mensalão, mas era realmente um público muito elitizado (quem falava em mises em 2007?) E se popularizou, entre outros fenomenos, qnd o idiota do felipe neto chilicou pedindo preco justo em playstation 3 😂😂😂</t>
  </si>
  <si>
    <t>@FialhoLeles @anaprofbrasil EFEITO ADVERSO PÓS VACINA?
Registre o caso no site da Anvisa. Precisamos  transformar isso em números para acabarmos com a narrativa da mídia comprada que diz tratar-se de “casos raros e isolados”.
Segue o link para o site da Anvisa:
https://t.co/7VSo3bQ1kY</t>
  </si>
  <si>
    <t>@IsabelRizzo9 @anaprofbrasil EFEITO ADVERSO PÓS VACINA?
Registre o caso no site da Anvisa. Precisamos  transformar isso em números para acabarmos com a narrativa da mídia comprada que diz tratar-se de “casos raros e isolados”.
Segue o link para o site da Anvisa:
https://t.co/7VSo3bQ1kY</t>
  </si>
  <si>
    <t>@AriSouzadeArau2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</si>
  <si>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Dilmae ao lado do pior governador da história de MG pos 98, condenado em 2019 a 10 anos e 6 meses por tráfico de influência, e não sabia de corrupção no seu governo.
Bozo 🤝 PT, farinha do mesmo saco. https://t.co/deNDd3Wk6Z</t>
  </si>
  <si>
    <t>たとえミスをしてしまっても、
取り違えたり、覚えれず何度も聞いたりしてしまっても
何かをしようと思う、実際にする、人の方が当たり前に好感持てます
優秀とそうじゃないで区別しがちだけど
POSで同じ担当(チーム)になるなら
いくらミスをしたとしても立ち直り行動をおこす人とチームになりたい</t>
  </si>
  <si>
    <t>nontonin ceo pt pos indo yg baru, keren euy dr isi omongannya bau2 kemajuam macam pt kai.</t>
  </si>
  <si>
    <t>@macunaimaz21 Se essa sua mentira indecorosa fosse  contra um Ministro do STF,vc agora estaria preso(a). Mas como é contra o PRESIDENTE ELEITO E APOIADO DEMOCRATICAMENTE PELO POVO, uma pessoa sem compostura como vc aí, destilando pilhérias impunemente.
Infelizmente, esse é o Brasil, pós PT.</t>
  </si>
  <si>
    <t>@QFontes @macunaimaz21 Pós?? O pt continua aí com Bolsonaro!! Tem mais petista que ele no mundo?? TEM NÃO! E QUANTO AOS MINISTROS DO STF, QUERO TODOS NA JUSTIÇA DIVINA!! JUNTO COM TODOS OS POLÍTICOS DE MERDA! NÃO TEM SANTO NENHUM NESSA REPÚBLICA! E MAIS UMA COISA! TEU MACHO DE ESTIMAÇÃO É CORNO SIM! https://t.co/eb5oitbCdM</t>
  </si>
  <si>
    <t>@gleisi O Brasil divide - se em dois, era PT de mentiras e falcatruas e pós PT de verdade e prosperidades. 
Quem discursou na ONU foi Bolsonaro, o melhor presidente que o Brasil já teve, não foi o Lula q é especialista em mentiras, acho q vc se enganou.
Apaga que dá tempo!</t>
  </si>
  <si>
    <t>@anaprofbrasil EFEITO ADVERSO PÓS VACINA?
Registre o caso no site da Anvisa. Precisamos  transformar isso em números para acabarmos com a narrativa da mídia comprada que diz tratar-se de “casos raros e isolados”.
Segue o link para o site da Anvisa:
https://t.co/7VSo3bQ1kY</t>
  </si>
  <si>
    <t>Deputados do PT impedem tramitação de Projeto sobre bioinsumos agrícolas que poderia reduzir o valor dos alimentos ao consumidor e dispensar a necessidade de uso de agrotóxicos.
Logo eles que criticam o uso de agrotóxicos químicos e que reclamam tanto da alta de preços pós "FEC" https://t.co/vKQOmg40QB</t>
  </si>
  <si>
    <t>date mais caro da minha vida foi por volta de um pau KKKKKKKKKKKK
viagem pro Uruguai pra pegar gente foi a segunda maior aventura da minha vida
só perde pra ter acordado em outro estado pós pt https://t.co/1fEYJR1PZZ</t>
  </si>
  <si>
    <t>@Carloszup @dip_reyes @viajaVolaris Del PT?
Compañero de ''la roña''?
Pos trai escuela radical...
Que se suelen los demás pasajeros, él es elegido por.... MALO?</t>
  </si>
  <si>
    <t>DPRD Desak Aktivitas PT GMS Dihentikan https://t.co/ZBy22VKJ7y</t>
  </si>
  <si>
    <t>@KemenBUMN @erickthohir ini pegimana ya pegawai pt pos? Mohon ditindak, Cc @kemenkomarves @airlangga_hrt https://t.co/kWOnOJp3W5</t>
  </si>
  <si>
    <t>Volunteered at the food bank as well. Even applied to do this pt pos. w/ helping people learn to how to cook w/less and healthy.</t>
  </si>
  <si>
    <t>Óleo Pós Depilatório Chocolate que deixa a pele suave, remove o excesso de cera e evita a vermelhidão e irritação da pele.
&amp;gt;&amp;gt;&amp;gt; https://t.co/s1tPJGiVoO https://t.co/meNecIZQEc</t>
  </si>
  <si>
    <t>Capítulos pós-autárquicas https://t.co/qeCWmCG94s https://t.co/qeCWmCG94s</t>
  </si>
  <si>
    <t>Segundo o estudo realizado pela Mercer, o cenário salarial em Portugal está em recuperação pós-pandemia, 31% das empresas devem contratar ainda em 2021. 
#rhmagazine #estudo #salario #recuperação
https://t.co/vp48toitSm</t>
  </si>
  <si>
    <t>Autárquicas: Jerónimo defende que apoios têm de continuar no pós-pandemia https://t.co/SPhN4fewPb</t>
  </si>
  <si>
    <t>Autárquicas: Jerónimo defende que apoios têm de continuar no pós-pandemia https://t.co/h9inQyxdMS</t>
  </si>
  <si>
    <t>PT. BDL dalam tafsirnya pada UU 30 tahun 2014 sesuai berita pada Manado Pos tanggal 19 September 2021 bersikukuh bahwa bila dalam 10 hari permohonan tak mendapat respon maka permohonan itu dikabulkan. https://t.co/cVKwrK3Jzi</t>
  </si>
  <si>
    <t>Autárquicas: Jerónimo alerta que apoios tem de continuar no pós-pandemia https://t.co/b1pTvnWopY</t>
  </si>
  <si>
    <t>Recuperados do cancro da cabeça e pescoço sentem falta de acompanhamento no pós-tratamento https:https://t.co/7P3GwjODZm via @sicnoticias</t>
  </si>
  <si>
    <t>Autárquicas. Jerónimo alerta que apoios têm de continuar no pós-pandemia https://t.co/uWSwbrm3fP</t>
  </si>
  <si>
    <t>Diplomacia: Acordo pós-“Brexit” entre EUA e Reino Unido “não é uma prioridade” para Biden https://t.co/XzFJjRqswo</t>
  </si>
  <si>
    <t>Diplomacia: Acordo pós-“Brexit” entre EUA e Reino Unido “não é uma prioridade” para Biden https://t.co/2kntxPoGLk</t>
  </si>
  <si>
    <t>@alex_altini @aguinaldaosilva Não sei, não sou anti vacinas, sou a favor da ciência.
https://t.co/sRmf9HOspG,)%2C%20como%20o%20da%20Pfizer.</t>
  </si>
  <si>
    <t>@itsdcntr eu tava na prática hj com um instrutor formado em historia com pós graduação. Tava pregando a palavra do PT pra mim, tu ia amar ksksksk</t>
  </si>
  <si>
    <t>@eduguim @zehdeabreu Me diga aí: o que o "pêtê" não tem culpa? Se o sol se pós,  é culpa do PT. Se amanheceu o dia, é culpa do PT. Se tá fazendo frio ou calor, é culpa do PT. Se a roda gira, e culpa do PT.  Se eu ainda não entrei no bbb,  foi culpa do pt.  Se Ruth e Raquel são irmãs,  é culpa do pt</t>
  </si>
  <si>
    <t>Deputados do PT impedem tramitação de Projeto sobre bioinsumos agrícolas que poderia reduzir o valor dos alimentos ao consumidor e dispensar a necessidade de uso de agrotóxicos.
 Alta de preços pós "fique em casa"... https://t.co/gL2XQfQgxP</t>
  </si>
  <si>
    <t>Apoios Covid-19 têm de continuar no pós-pandemia, defende PCP https://t.co/FJKvznGYRM</t>
  </si>
  <si>
    <t>Sério @xerpayoficial ? Aumento de imposto não é para custear programas específicos, mas sim para acumulo do tesouro para ser usado para qualquer coisa. Você não tem vergonha desse email ? Essa demonização do bolsa família e do PT que pôs Bolsonaro no poder. Vergonhoso esse email https://t.co/b17m7B1vJi</t>
  </si>
  <si>
    <t>BTW my PT in Vinco since I'm trading this POS (back when it was trading below $3) ...was $6.15
I thing this is the worst case escenario. Shorting here makes no sense at all IMO.... but you do you</t>
  </si>
  <si>
    <t>que o moha não dê pt no primeiro rolê pós quarentena 🙏</t>
  </si>
  <si>
    <t>Deputados PT impedem tramitação Projeto bioinsumos agrícolas q poderia reduzir o valor dos alimentos ao consumidor dispensar a necessidade d uso de agrotóxicos.Logo eles q criticam o uso d agrotóxicos e q reclamam tanto da alta d preços pós "fique em casa" https://t.co/hh067lSwhJ</t>
  </si>
  <si>
    <t>@eliseudev @CunhaElderson @UOLNoticias Pós vai ficar sonhando, porque nós queremos bolsolula na desputa, vai ser lindo provar que o povo brasileiro não é retardado foi só falta de opção devido ao bombardeio contra o PT.</t>
  </si>
  <si>
    <t>#CAPACITAÇÃO | A @policiafederal está com cinco cursos de pós-graduação com vagas abertas para policiais Federais e Civis. As capacitações são oferecidas pela Academia Nacional de Polícia (ANP).
➡️ Saiba mais em: https://t.co/uZox8hXJzP https://t.co/MF4iUY5RAC</t>
  </si>
  <si>
    <t>Educação Pós Pandemia: um guia para desafiar as escolas https://t.co/7mZfVFtPxe publicação portuguesa gratuita para download
com meu testemunho: O Futuro será a Aprendizagem Híbrida? https://t.co/DwPeRspvGh</t>
  </si>
  <si>
    <t>Atualiza ou aprofunda os teus conhecimentos na área de Contabilidade e Fiscalidade. Dá respostas a problemas contabilísticos ou fiscais reais. Destaca o teu percurso enquanto Contabilista Certificado.
Candidata-te! Conhece o corpo docente e sabe mais em https://t.co/oyKwBH93P5 https://t.co/c19wStWOqj</t>
  </si>
  <si>
    <t>Compreenda de forma holística as múltiplas situações de Intervenção com Crianças e Jovens em Perigo. Analise o contexto e aplique corretamente as estratégias de avaliação, contribuindo para uma intervenção ajustada a cada realidade.
Candidate-se em https://t.co/PxKHCovjqq https://t.co/Cx9n6rX8Si</t>
  </si>
  <si>
    <t>A evolução e a criação de próteses levantam uma questão na área do Desporto. Atletas com próteses podem competir de forma justa e igualitária com atletas sem deficiência? Reflete este e outros temas na Pós-Graduação em Direito do Desporto.
Candidata-te em https://t.co/h9IyUWEuLX https://t.co/4u4yzuFVDQ</t>
  </si>
  <si>
    <t>@AnaSaturnina1 @Jacksondavirada @OGloboPolitica @jairbolsonaro De prefeituras, o número de filiados superou o de desfiliados pós processo de impeachment, foi o segundo que mais elegeu deputados estaduais em 2018. Sim! Ainda existe ódio ao PT, mas ele é inferior ao ódio pelo bolsonarismo.</t>
  </si>
  <si>
    <t>Diretoria de Pesquisa e Desenvolvimento (DPD) da Comissão Nacional de Energia Nuclear (Cnen) divulgou resultado preliminar do Edital Cnen 05/2021 - Concessão de Bolsas de Pós-doutorado https://t.co/KqmSUxpym2</t>
  </si>
  <si>
    <t>Diretoria de Pesquisa e Desenvolvimento (DPD) da Comissão Nacional de Energia Nuclear (Cnen) divulga resultado final do Edital Cnen 05/2021 para Concessão de Bolsas de Pós-Doutorado https://t.co/FSuoVIzId4</t>
  </si>
  <si>
    <t>a fim de explorar as barreiras à participação online dessas pessoas no conhecimento, e identificar como a desigualdade racial é refletida na disponibilidade de conteúdo online em português e no território brasileiro. Mais informações aqui também: https://t.co/OihVYYsy4G</t>
  </si>
  <si>
    <t>@Hugo99_ Meu tiktok a maioria dos vídeos são cristão pos to caminhando https://t.co/coNzzEIm8y</t>
  </si>
  <si>
    <t>@monicawysteria Hai. Ini belinya di AliExp. Utk ekspedisi dr Ali sendiri biasanya Cainiao trs pindah ke Yanwen pas transit. Nnti klo udh msk k Indo baru pake PT.Pos (bayar ongkir pas cod klo aku) tp gatau sih pas barang smp k Indo apa semua sama dikirim pk PT.Pos atau yg lain</t>
  </si>
  <si>
    <t>📰«O programa tornou-se um impactante fenómeno social e em poucos anos gravou dezenas de canções, produziu vídeos musicais e organizou digressões de concertos. Pelo caminho saltou a fronteira a Sul para mostrar sons lusófonos a nenos e nenas.» @blitz_twit
https://t.co/8BKAq78Dki</t>
  </si>
  <si>
    <t>@PrincessCeIest hug gif pt 2
 u r also pos https://t.co/rflfTO0Nxj</t>
  </si>
  <si>
    <t>@MrBeast Pt/4. I cannot remember the last time that I slept in a bed. I thank God for Planet Fitness b/c they allow me to shower and stay groomed 7 days a/wk. For free. I don't do drugs, drink alcohol or smoke cigarettes. I'm in this pos b/c I lost my job and hlth ins due to...</t>
  </si>
  <si>
    <t>Listos para los sustos? Pos si le da miedo cómase un Bolillo pa’l susto 
Resident Evil Village pt.Trauma https://t.co/RV6n4hRgTb</t>
  </si>
  <si>
    <t>@valoreconomico COMÉDIA! PIADA!
 Sempre foi todos contra o PT !
A politica monetária neoliberal gerando pobreza e desigualdades sociais antes e pós PT e meteram o rabinho entre as pernas pelo mérito petista de esquerda ter conseguido o que nenhum outro governo conseguiu em 100 anos.
Até o Golpe!</t>
  </si>
  <si>
    <t>«as medidas excecionais criadas para "debelar os impactos" da pandemia "não podem desaparecer na totalidade e no imediato, ignorando as dificuldades pelas quais passam milhares de famílias e empresas".»
https://t.co/Mp7lQD5tX1</t>
  </si>
  <si>
    <t>@nazaqistsha Kasian amat nih orang, kan udah ditawarin kerja di BUMN, udah pilih PT Pos saja ...</t>
  </si>
  <si>
    <t>Já começou o II Congresso Internacional oficialmente com abertura por Paula Correia, Presidente da Sociedade Portuguesa de Terapia da Fala, seguido da conferência "O Outro Lado do Virtual" por Gonçalo Leal, com moderação de Sónia Pós de Mina. https://t.co/0SSQjFBZpD</t>
  </si>
  <si>
    <t>@PauloSr88038070 @jpesafi @pablovillaca @willgomes Sim, o PT pôs o bozonaro no governo e depois seguiu fazendo acordo com os bolsonaristas. Agora não quer o impeachment dele. Petistas são tão fanáticos quanto bolsominions.</t>
  </si>
  <si>
    <t>Rita Redshoes: “Por ter tido uma depressão pós-parto, sentia-me má mãe. Então era o que mais queria e agora não consigo lidar com isto?“ https://t.co/KnjxeBQELh</t>
  </si>
  <si>
    <t>No Brasil pós PT está tão desconfigurado que o Rock In Rio virou samba! Aos amantes do rock o meu recado, boicotem, pois isso é propaganda enganosa! Chega de aceitar jeitinhos! Ou fazem um bom trabalho ou não compramos o serviço ou produto! A começar dos políticos, vamos boicotar</t>
  </si>
  <si>
    <t>PTって絶対に機能改善させるという変なプライド持ちすぎな人ちょっと多い気がする
それ自体は悪くないと思うんだけど、それが先行しすぎると自宅復帰に調整が間に合わなくなること多いねん
ちゃんとPOS連携してます？
主観的な感覚っすけど、自宅生活イメージは圧倒的にOTの方が秀でてると思うんすよ</t>
  </si>
  <si>
    <t>[estou a guardar para memória futura. vou precisar deste artigo como referência.] #covid19 
Covid-19. "Situações de stress pós-traumático não são assim tão raras" https://t.co/8LjUYrbnLx</t>
  </si>
  <si>
    <t>A noite em que Rangel e Pinto Luz deram o tiro de partida para o pós-autárquicas: https://t.co/euzS3WbVYz via @observadorpt</t>
  </si>
  <si>
    <t>@jadircorrea @Dark_Dan01 @AdisaBomani @JornalismoWando Na margem amigão, maior spread bancário da história, juros mais altos do mundo. Cartelizacao do sistema financeiro, e o gênio do gestor econômico do PT ainda converteu dívida externa em passivo interno com juro pós fixado maior, pra bater no peito e dizer que guardou dólar</t>
  </si>
  <si>
    <t>MIDIA ABRIU OS OLHOS SÓ NO PÓS PT https://t.co/y8q6N2DaiH</t>
  </si>
  <si>
    <t>@liputan6dotcom Ayo mana suaranya PT. Pos?Waktunya ekspansi, siapkan kapal besar angkut hasil kreasi anak bangsa ke luar negeri.</t>
  </si>
  <si>
    <t>@pt In my experience (in the POS industry) the folks using Square that have the tip screen exposed are counter service where workers get a normal wage. The $2.13 seems thrown in for maximum outrage. I feel for the folks affected, but live by technology, die by technology.</t>
  </si>
  <si>
    <t>@pmacedo216 @joaomiranda É o que a malta do North Music festival invoca como argumento para ter cancelado o festival. Mas se os delegados de saúde mantiverem esse nível de poder pós-1/10, vai ser muito confuso.</t>
  </si>
  <si>
    <t>@revistaoeste O FHC defende o Lula e o PT pq em tese, travavam uma disputa de quem "seria o melhor", daí provado que seu inimigo é corrupto e bandido, qual a moral de vc ser melhor que ele?
Os dois se uniram pra enfrentar aquele que pôs os dois nos seus débitos lugares, de mais um PR ruim.</t>
  </si>
  <si>
    <t>sounds like the only pos player as pt tmrw . Override seriously has a thing for me or what</t>
  </si>
  <si>
    <t>Está aberto o edital para mestrado e doutorado do PPGNEIM (Programa de Pós Graduação em Estudos Interdisciplinares sobre Mulheres, Gênero e Feminismo) da UFBA: https://t.co/7P5671CuYF
Bora? 😊</t>
  </si>
  <si>
    <t>@Leandrosc18 @oldboy_monster @mariosbessa Seja mais humilde e procure o video do Ghiraldelli sobre como as narrativas da alt-right surgem através da pós verdade. O PT é neoliberal, nao se engane</t>
  </si>
  <si>
    <t>@laurojardim LÓGICO!
Seguindo essa cartilha a politica monetária neoliberal antes e pós PT vai sangrando o povo brasileiro gerando pobreza e desigualdades sociais.
Nem o TCU acusando um aumento da dívida pública de 30% somente no último ano sem nenhuma contrapartida!? 1.38 TRILHÕES ANUAIS!?</t>
  </si>
  <si>
    <t>@samydana Pós PT, MTST e afins são movimentos nulos. O líder deles é um hipócrita. Melhor ignorar, do que tentar entender...</t>
  </si>
  <si>
    <t>Qual pior pt q ja deu? — Numa chacara role de pós vestiba https://t.co/uYr0ZvPgXc</t>
  </si>
  <si>
    <t>@multishow @juliette @Pocah Já rolou um PT pós bbb?  #TVZJuliette</t>
  </si>
  <si>
    <t>O #GenesysCloudCX foi a escolha da Atlas Eletrodomésticos para conectar, Com a implementação sistema, em parceria com a Coddera, a Atlas, obteve uma redução de 15% no tempo médio de atendimento das chamadas, de acordo com Tony Texeira, gerente de pós venda.https://t.co/9T2OJ2daop https://t.co/kG39lrWukS</t>
  </si>
  <si>
    <t>.. Infelizmente, por conta de um golpe no PT, foi eleito ... E pôs em prática o seu plano macabro, doentio ... 600 Mil inocentes, foram para as valas no Brasil, 140 mil órfãos, milhares de sequelados, após servirem de cobaias para medicamentos ineficazes e por falta de vacinas.. https://t.co/9iWaHvhq33</t>
  </si>
  <si>
    <t>.. Infelizmente, por conta de um golpe no PT, foi eleito ... E pôs em prática o seu plano macabro, doentio ... 600 Mil inocentes, foram para as valas no Brasil, 140 mil órfãos, milhares de sequelados, após servirem de cobaias para medicamentos ineficazes e por falta de vacinas.. https://t.co/Gfccvr9FZf</t>
  </si>
  <si>
    <t>@ver54c3 @Raquel90299473 @cpidosmemes Eu?
https://t.co/9QQyLTiPL7</t>
  </si>
  <si>
    <t>@Strategi_Bisnis Contoh yg lamban: PT Pos 😁</t>
  </si>
  <si>
    <t>bota 4 fotos…….. 
c sono, acabada, de ressaca e pós pt 🙏🏼 https://t.co/8x0MZJFgIT https://t.co/lwJDqgKKt4</t>
  </si>
  <si>
    <t>@FurtwanglerVon Fake seu perfil de bunda mole que não põe a cara .. faz pra isso né ? Pra ficar pentelhando os outros. Prego do caralho. Acho isso mesmo, que ela pós saída do PT só teve posicionamento de merda. Minha opinião e Pau no Cu se vc não gostou ... Vacilão ..</t>
  </si>
  <si>
    <t>Enquete do dia: Dos 3 principais partidos pós 88(PT, PSDB e MDB) qual/is vocês acreditam que continuarão como uma força relevante após esse ciclo de mudanças 14~22(Lava Jato, ascensão da direita bolsonarista, fusão do PSL/DEM, fortalecimento do PP, PSD...)?</t>
  </si>
  <si>
    <t>[PT] Já estão abertas as inscrições para o #mestrado e #doutorado em Engenharia de Produção da PUC-Rio!
Contamos com novas áreas de concentração: {Pesquisa Operacional} e {Operações e Negócios em Engenharia}.
Inscrições em https://t.co/5uJzaNRXjA https://t.co/VRSATSswfa</t>
  </si>
  <si>
    <t>@orodrigovaz @gustavocastanon @Marcosaude1978 Anos depois dos governos do PT tivemos que importar máscaras! Quem foi governo esses anos pós PT?</t>
  </si>
  <si>
    <t>Quando vejo Alemanha pós nazismo e na atualidade, vejo nação q ñ esqueceu do feito e vivido, existe dívida histórica.
https://t.co/QqFnXZvqyL</t>
  </si>
  <si>
    <t>@af_stivanelli @SF_Moro O que a Vaza Jato mostrou é que o Moro estava mancomunado com o Dalagnol em uma clara perseguição ao PT. Isso fica evidente na mensagem onde diz pra não  investigar o Serra! Nunca gostei do Lula e nem do PT, mas pós Bolsonaro, percebi que vivia no paraíso e não sabia! Hoje é Lula</t>
  </si>
  <si>
    <t>@Cinzento19 Quanto custa a negociata do terreno? - - E o processo de 292 milhões de euros que a Goldman de Barroso pôs contra a Rep. PT?</t>
  </si>
  <si>
    <t>Egito 🇪🇬 Morreu Mohammed Hussein Tantawi, primeiro governante do Egito pós-Mubarak
https://t.co/EjQmnz5f69
A.S.</t>
  </si>
  <si>
    <t>@amorimgabaa uma aí foi um pós pt kkkkkkkkkkkkkkkkkkkkkk</t>
  </si>
  <si>
    <t>about everything which is way more than I could have ever asked for. And we had so much fun that we wound up spending last night (Wed) doing the same thing! Last night, we watched The Greatest Showman (I know PT Barnum was a POS but I like the music and found family is Important)</t>
  </si>
  <si>
    <t>8 plantas !?
8 plantas e como não houve uma edição especial na televisão !?
As rádios estão onde para cobrir uma notícia tão relevante como esta !?
O Presidente já fez uma declaração !?
O Costinha pôs as Forças armadas de prevenção !?
Epá...
https://t.co/kEI24LzwvQ</t>
  </si>
  <si>
    <t>Kamis tanggal 23 September 2021 pukul 09.00 Wib, KSPK C Polsek Sipirok AIPDA ERWINSYAH SIREGAR Melaksanakan giat Pengamanan Petugas Medis UPT . PUSKESMAS DANAU MARSABUT di  halaman kantor PT.  Pos Sipirok untuk melaksanakan Swab Anti Gen Covid - 19, kepada warga masyarakat https://t.co/T6s1mwkd1S</t>
  </si>
  <si>
    <t>Lowongan Kerja PT Bank Mandiri Taspen https://t.co/SNe0M1kaHR https://t.co/EUuiOXVOdm</t>
  </si>
  <si>
    <t>Costa pôs as fichas do futuro na campanha https://t.co/UOH7lGdEBX</t>
  </si>
  <si>
    <t>belajar bakor pt.2 ketika lo harus jelasin cara kerja pos indo ke org kr tanpa dia bingung samsek ft. grammar pas pas gua: struggle nyet</t>
  </si>
  <si>
    <t>O vice-governador João Leão (PP) negou que o ex-presidente Lula tenha lhe oferecido um ministério, caso o petista vença a eleição presidencial no próximo ano. A informação foi revelada pelo senador Jaques Wagner (PT) em entrevista ao site BNews. https://t.co/ia0IyuE3os</t>
  </si>
  <si>
    <t>Sete tendências no pós-pandemia: restaurantes vão ser mais digitais e focados nos detalhes, comida para fora e esplanadas vieram para ficar https://t.co/bsxmCbXu2j</t>
  </si>
  <si>
    <t>$LSPD Lightspeed POS PT increased by CIBC from $155.00 to $195.00. 🚀 
I picked up more calls/leaps yesterday $LSPD 120 Jan23. 🤑</t>
  </si>
  <si>
    <t>Não há nenhum caso relatado de miocardite pós-vacinação no Brasil.
https://t.co/nRcKFaPb3J
Incrível! https://t.co/dK5FLm7LBP</t>
  </si>
  <si>
    <t>Seleção de bolsistas pós-doutorado: Pesquisa em História das Ciências e da Saúde; Museu da Vida; Patrimônio Histórico; Arquivo e Documentação. Bolsa de até 12 meses, passível de ser prorrogada por mais seis meses.
 https://t.co/T89SX7M9hj
 Inscrições: até 15.10.21.</t>
  </si>
  <si>
    <t>@realninatigret @kgabrielam @BelemJameson FHC mas não conseguiu manter o controle .até o PT assumir . percebi com facilidade que melhorou muito . Agora que estamos perdendo renda povão empobrecendo dia pós dia . 
Será que está melhor ???</t>
  </si>
  <si>
    <t>@MLimapassos @SulistaLiberal @kgabrielam @BelemJameson A amiga internalta parece ser jovem .. talvez não viveu o passado ruim que o Brasil atravessou com total desiquilibrio social onde a carência predominava a infração aumentava dia pós dia a desigualdade social (como acontece no momento) 
Podemos sim dizer que o PT estabilizou</t>
  </si>
  <si>
    <t>Entendo a estratégia para Dória - no final das contas é algo Bolsonarista. Mas acho que Ciro era. Ciro deve, claro, manter a candidatura, ter paciência e sangue frio. Afirmar diferenças, mas sem atacar o PT. Pensar não na eleição e sim no pós eleição.  https://t.co/mplgf7IUl5</t>
  </si>
  <si>
    <t>A Casa Pós- de #XavierdeSousa está agora aberta e promete confissões e reflexões sobre identidade, género, nacionalidade e pertença. Só até domingo, no #TBA.
Bilhetes em https://t.co/OlzDmiAfn0 https://t.co/utAlxRDEvk</t>
  </si>
  <si>
    <t>O pt desse pós módulo foi intenso</t>
  </si>
  <si>
    <t>help rt wts 🇲🇾 #pasarATEEZ 
hongjoong ktown pob fever pt 1 rm20 
mingi thanxx ver rm25 
wooyoung lightstick ls pc rm18 
exc pos : rm7 wm | rm14 em (flexi rm5) 
help me clear this 🥺 https://t.co/b9BLjE89GX</t>
  </si>
  <si>
    <t>@tato_rj @LiamBourn Exatamente! Sínodo da Amazônia!
O @bernardokuster2  fez vários vídeos à época!
https://t.co/2rYRy0tkVw</t>
  </si>
  <si>
    <t>@DemocrataBR @reinaldoazevedo Qual é a proposta do Ciro? Falar mal do PT ao invés de criticar o que aconteceu com a nossa economia e relações internacionais, pós golpe? Eu achava que ele era maior do que isso.</t>
  </si>
  <si>
    <t>A PUC PR abriu uma nova Pos, chamada Direito Digital, Proteção de Dados e #Cibersegurança e eu estarei ministrando a disciplina Gestão de #Segurança da Informação: Prevenção, Contenção e Continuidade!
Maiores info em https://t.co/iJZazitdj4 https://t.co/nR0dCdbiWL</t>
  </si>
  <si>
    <t>@franetcisco A n ser q prendam ou matem ele, Lula vai ganhar. O problema: nem que ele fosse Madonna descida para salvar o Brasil, ele n vai conseguir as coisas nos trilhos, e vão usar isso p enterrar a pouca credibilidade que o PT conseguiu manter/recuperar. Temo o Brasil pós Lula.</t>
  </si>
  <si>
    <t>A Conferência Internacional da European Athlete as Student (EAS) decorreu no Iscte e o Professor Pedro Dionísio, Diretor da Pós-Graduação em Gestão e Marketing do Desporto, apresentou o Curso Gestor da Carreira Dual.
 https://t.co/9X7RN42afk https://t.co/2Xu1Wj3mUI</t>
  </si>
  <si>
    <t>@Gabjooao @Fernandoaferro Ciro vem aderindo ao discurso "PT governo mais corrupto", oq beneficia governos como Bolsonaro, FHC e ditadura, que impediam investigações. A lava jato só existiu por mecanismos anti corrupção criados pós PT. Criticar a corrupção sim, mas esse papo de mais corrupto é lavajatismo</t>
  </si>
  <si>
    <t>@Gabjooao @Fernandoaferro Cara, não força. Se o governo tem o maior corruptor da história, logo, seria o estruturalmente mais corrupto. Sendo que os indícios citados são delações premiadas e operações que só poderia existir pós PT devido a mecanismos criados por governo ou sociedade.</t>
  </si>
  <si>
    <t>Isso me lembra o clássico "mea culpa" do PT pós impeachment da Dilma que basicamente dizia "todos erraram, então vocês precisam perdoar nosso erro ligeiramente maior". Isso aqui é risível. Coisa de quem tem compromisso com o erro. https://t.co/KhQczeeIxI</t>
  </si>
  <si>
    <t>Nas últimas eleições autárquicas foi surpreendida com o resultado que pôs fim a mais de quatro décadas de gestão comunista em Almada. Pelo que entende ter sido o sucesso do diálogo com o PSD e pelo comportamento da CDU na oposição
https://t.co/qN0KgScmcG https://t.co/qY3jU2rY39</t>
  </si>
  <si>
    <t>Ginástica - O pós-Tóquio de Simone Biles: saúde mental, abuso sexual e muito mais https://t.co/essRnkhzKd</t>
  </si>
  <si>
    <t>@jandira_feghali Pós e né, TRABALHAM , enquanto vcs ROUBAM , e pelo que vi chegou em um Jatinho Particular  que veio da África com o Filho  de um Ditador uma mala cheia de Dólar e Euros e outra cheia de Rolex , para ajudar na Campanha Do PT 2018</t>
  </si>
  <si>
    <t>Quem poderia imaginar que o responsável pela investigação sobre a morte da adolescente pós Pfizer é o presidente do sindicato dos médicos de SP e filiado ao PT? https://t.co/rODgWett3o</t>
  </si>
  <si>
    <t>@slpng_giants_pt @YouTubeBrasil @vivobr sou cliente pós querem ainda ter um cliente? Então deixe essa grade</t>
  </si>
  <si>
    <t>@eduardopaes https://t.co/t5CziaW0dH</t>
  </si>
  <si>
    <t>@gleisi #BolsonaroSalvouPobre pq o PT e qu3m mandou FICAR EM CASA E FODA SE  a Economia.
Portanto a Esquerda e culpada dos desemprego e da óbvia inflação Mundial pós pandemia... E dos Comunistas governadores e prefeitos .
Não Fosse MITO morreriamos todos de fome</t>
  </si>
  <si>
    <t>Governo lança Linha Retomar de mil milhões para crédito a empresas pós-moratórias https://t.co/8uo7StTjyT via @ojeconomico</t>
  </si>
  <si>
    <t>Governo lança Linha Retomar de mil milhões para crédito a empresas pós-moratórias https://t.co/xIjqdGgX1i via @ojeconomico</t>
  </si>
  <si>
    <t>Gokar! Info nya dong kakak-kakak di pt santos jaya abadi masih bisa nge pos ga? Hatur nuhun sa te acan na</t>
  </si>
  <si>
    <t>Personil Ditpamobvit bersama security cek dan riksa roda empat yang akan memasuki area plant site PT. Chemindo Gemilang di Pos Access F https://t.co/upICWClmVo</t>
  </si>
  <si>
    <t>Personil pengamanan PT. Chemindo Gemilang melaksanakan cek dan riksa sesuai prokes di Pos Access F https://t.co/LJcQ4PUiTZ</t>
  </si>
  <si>
    <t>@jeflisboa1 Pra elogiar minha foto pós pt realmente hahahshshahsa</t>
  </si>
  <si>
    <t>no mesmo dia assinei contrato do trampo, comi lanche de graça, bebi com meus amgs, quebrei meu celular, comprei um novo e vi minha irma bebaça pós pt</t>
  </si>
  <si>
    <t>@4777boy @RuneterraBrasil Na real é o nacionalismo que elege esse tipo de presidente. Qualquer figura política forte que possa ser apresentada como "solução de todos os problemas" acaba de elegendo. Florianismo no início da república, Getulismo pós coronelismo, Lulismo pós inflações e Bolsonarismo pós PT.</t>
  </si>
  <si>
    <t>@gustavocastanon Ciristas, tal qual os bolsominiuns, convenientemente esquecem que o PT não é mais governo há mais de 5 anos, desconsiderando o desmonte feito pelo Temeroso e o bozo no período pós golpe 2016.</t>
  </si>
  <si>
    <t>@lotusgav But I guess you want to have decided before all that whether you think this pt poses a risk &amp;amp; what IPC and PPE precautions you will take. 
If the pt is SARS-CoV-2 pos I’ll be wearing airborne precaution PPE. If SGA removal smooth &amp;amp; no coughing I’ll then declare ‘no aerosol’ 1/2</t>
  </si>
  <si>
    <t>Aquela caipirinha pós festinha 🤤🍹</t>
  </si>
  <si>
    <t>@Annacomentts Ata kkkk se isso é estão conciente então eu nunca dei PT kkkkk só o jeito que eles tavam falando pós festa já mostra que estavam bêbados.</t>
  </si>
  <si>
    <t>@hilde_angel Lembrando, q o vampiro golpista Temer, foi no seu governo pós golpe q começou a se taxar os produtos derivados do petróleo de acordo com o preço do barril no mercado internacional! Se ñ foi pior já naquela época, foi pq a economia ainda tinha muito fôlego dos governos do PT!</t>
  </si>
  <si>
    <t>Penyerahan TV 21 inci,dr PT Sudibyo Timbul Sukses,untuk pos ronda karang nduwet rt 2,karang rejek,wonosari.smoga manfaat dan giat siskamling tambah semangat.
#perumahan_amalia_regency
#perumahan_subsidi
#perumahan_gunungkidul
#perumahan_murah_mewah
PT Sudibyo Timbul Sukses https://t.co/1FYubb0BPV</t>
  </si>
  <si>
    <t>Gonçalo Lopes quer colocar cultura como fator de desenvolvimento em Leiria no pós-pandemia https://t.co/vBgJrJdzu2</t>
  </si>
  <si>
    <t>Jerónimo alerta que apoios têm de continuar no pós-pandemia https://t.co/MVe1wh3IT6</t>
  </si>
  <si>
    <t>BE diz que fecho da refinaria em Matosinhos “pôs a nu” falta de planeamento https://t.co/zXt0E0xN23</t>
  </si>
  <si>
    <t>A noite em que Rangel e Pinto Luz deram o tiro de partida para o pós-autárquicas https://t.co/mPkQluZa8I</t>
  </si>
  <si>
    <t>Cenário pós-eleitoral na Alemanha? Há pelo menos 2 https://t.co/zYMU30YYPp</t>
  </si>
  <si>
    <t>Fórum do BCE debate online o futuro pós-pandemia da política monetária https://t.co/QcLYii0IhY</t>
  </si>
  <si>
    <t>Fórum do BCE debate 'online' o futuro pós-pandemia da política monetária https://t.co/2rozi7WpfZ https://t.co/R587nUE8uS</t>
  </si>
  <si>
    <t>Popcorner: regresso de “Matrix“, o mundo pós-apocalíptico de “Y: O Último Homem“ e novidades da Comic Con Portugal
https://t.co/Xnql6JHYWu https://t.co/uTJ8YwefMG</t>
  </si>
  <si>
    <t>Popcorner“, o magazine SAPO Mag e da Comic Con Portugal. Esta semana, reencontramos Neo e Trinity em “Matrix: Ressurrections“, vamos ao cinema com Woody Allen e “Y: O Último Homem“. Veja o programa no vídeo abaixo.
https://t.co/Xnql6JZzO2 https://t.co/aQUZnpQktq</t>
  </si>
  <si>
    <t>Fórum do BCE debate 'online' o futuro pós-pandemia da política monetária https://t.co/rOtP8ZSl3v https://t.co/Y7uRchZLnZ</t>
  </si>
  <si>
    <t>@Seneguini @marianacabralc Nossa incrível pq na época do PT, gente igual a mim, teve acesso total e 100% gratuito à universidade, ciências sem fronteiras, inclusive pós graduações. Enquanto isso, hoje, os jovens mal conseguem terminar o ensino médio, q é completamente falho. Realmente, mesma coisa</t>
  </si>
  <si>
    <t>I wonder how much a driver working in Portugal earns
https://t.co/3YVCTAUCOF</t>
  </si>
  <si>
    <t>โรงพยาบาลกูแตกอีกแล้ว ward ศัลเจอคนไข้เป็นโควิด 8 คน ส่ง PT ไปแล้ว 4 คน fuck ส่วนพยบกับหมอมี pos 3 incon 1 ชิบหาย</t>
  </si>
  <si>
    <t>A conversa com a Vice Secretária-Geral das @NacoesUnidas @UN, @AminaJMohammed, pôs em evidência a íntima articulação entre a agenda climática e a agenda dos oceanos. Foi também ocasião para as Nações Unidas valorizarem o empenhamento de 🇵🇹 nas causas humanitárias. https://t.co/fJUywrnt1X</t>
  </si>
  <si>
    <t>@alex_bitcoiner @Felippe_Hermes Nao, não tem não!! https://t.co/bEInCYB9KL</t>
  </si>
  <si>
    <t>@paulopaim PT pôs a mão podre, não sobra nada, bandidos da esquerda</t>
  </si>
  <si>
    <t>Recuperados do cancro da cabeça e pescoço sentem falta de acompanhamento no pós-tratamento https://t.co/6kIZuv2TH8</t>
  </si>
  <si>
    <t>Barcelona pós-Messi: clube continua em crise https://t.co/8x1xyBSgzP</t>
  </si>
  <si>
    <t>O complexo e imprevisível pós-Merkel https://t.co/W6Fd93OwvZ</t>
  </si>
  <si>
    <t>O complexo e imprevisível pós-Merkel https://t.co/PlwXjz2tbE via @sicnoticias</t>
  </si>
  <si>
    <t>🎓 "Eu amei tudo que eu aprendi no curso e do que eu tenho sido capaz de alcançar " Lucia Moreno, depois de passar pela pós #MarketingDigital. Faça parte da IEBS e eleve sua carreira a outro nível! #IEBSXperience https://t.co/H1bvD3YcyI</t>
  </si>
  <si>
    <t>🚨🚨 LETÍCIA PRIMA deu PT pós festa mas já se recuperou🚨🚨 https://t.co/A2PhewiE0Y</t>
  </si>
  <si>
    <t>Strolling Around @posblocjkt 
.
.
#30SecVideo #PosBloc #PosBlocJkt #CreativeSpace #Nice #Place #To #Visit #MasBo @ Gedung Filateli PT POS (PERSERO) https://t.co/l1cZvkOWeO</t>
  </si>
  <si>
    <t>Strolling Around @posblocjkt 
.
.
#30SecVideo #PosBloc #PosBlocJkt #CreativeSpace #Nice #Place #To #Visit #MasBo @ Gedung Filateli PT POS (PERSERO) https://t.co/DWrdRIYMhf</t>
  </si>
  <si>
    <t>@danibenevenuto1 Deixa seu corpinho fazer digestão muié, hahahahah
Se não passou mal na academia tá tudo certo, pq geralmente da uma sensação ruim demais 😣
Já dei pt pós janta no cross e não recomendo kkkkkk</t>
  </si>
  <si>
    <t>@DCM_online Não vai, parem de se iludir. Ele pôs gado na PF pra isso, retardar tudo e conta com o André Mendonça no STF. Bolsonaro é egocêntrico demais pra sair da disputa. E se ele sair, o PT ganha com mais facilidade ainda. Ele quer ser o Rei e seus filhos bandidos os principes sempre</t>
  </si>
  <si>
    <t>@catarinaparada_ @_diogo_delgado_ Mas IQ significa intelligence quotient apenas pôs em inglês porque não gosto e nunca digo em pt</t>
  </si>
  <si>
    <t>@ECantanhede E o apagão ético do jornalismo pós abstinência de verbas gordas de publicidade dos governos PT/PSDB ?
Não passa não?</t>
  </si>
  <si>
    <t>Comunidcado da ANVISA.
Se alguém não encontrou, segue o link...
https://t.co/wL56PQHhUm</t>
  </si>
  <si>
    <t>@alexandre_davis @oatila Houve um corte no programa, redução da oferta, mas o programa iria continuar. Ainda existia novas bolsas para pós graduação.  Quem DESTRUIU o programa foi o Temer com suas políticas liberais. Liberalismo não gosta de investimento na educação. Quem criou o programa foi o PT.</t>
  </si>
  <si>
    <t>@paulopaim Um erro foi ter PT que onde pôs as mãos  ou quebrou ou roubo tudo assim essa esquerda nojenta</t>
  </si>
  <si>
    <t>Governo lança Linha Retomar de mil milhões para crédito a empresas pós-moratórias https://t.co/ZsLPBYJ0sm</t>
  </si>
  <si>
    <t>Fórum do BCE debate 'online' o futuro pós-pandemia da política monetária https://t.co/NAX4whWrbD</t>
  </si>
  <si>
    <t>1 churras pós pandemia 
Expectativa: ficar louca e dar PT 
Realidade: 17h -  pq eu comi assim ?</t>
  </si>
  <si>
    <t>Isso te PROVA que o PT já governa o país em muitos sentidos através do STF e parlamentares que tudo judicializam nesta corte. 
Eduardo, você está entendendo q o q Barroso está fazendo não é pós vitória do PT??🤦🏻‍♀️ 
Meu Deus!!! Socorro! https://t.co/X3qyqqKPWU</t>
  </si>
  <si>
    <t>@katiesdad52 @JulianOD @scotty9094 @IanMaher7 @JamesCleverly Nope, it's just illogical one as it ignores cause and effect. The cause of the increase in demand was the news that BP had not supplied enough petrol to meet demand. This is known as a shortage, or shortage at pos. You are starting your point in pt.3, because pt 1-2 don't suit it</t>
  </si>
  <si>
    <t>@mathfjacinto Estava vendo o vídeo do governo de SP e é bizarro como pós ditadura SP só teve PSDB E PMDB. Nas minhas memorias de criança era o contraste entre os meus parentes que moravam em MG e defendiam o PT enquanto por estas bandas já se cultivava o antipetismo</t>
  </si>
  <si>
    <t>@eduardodebraga6 @LileTaxus @brasil247 @cirogomes Como não sou desse tempo? Em 2007 eu estava no 3° congresso nacional do PT. Na época eu era só um estudante de graduação. Hoje tenho pós e mestrado em geopolítica. O problema de vcs é falta de coragem de assumirem que foram enrolados. Acham sempre que os outros são inocentes.</t>
  </si>
  <si>
    <t>@cyrusafa Não sei se ela conseguiria corrigir seus erros. Os resultados na economia foram bem ruins pós 2014 pesando para ela (e para o PT tbm). De certa forma o impeachment salvou parte da imagem dela que estava no buraco.</t>
  </si>
  <si>
    <t>@BRJamesSR @Bronson_X @nix1337 @ducavendish @tabataamaralsp É triste, mas agora a direita fica meio contaminada. A real é que o bolsonaro estragou a direita, imagina um presidente melhor no pós PT, hoje estaríamos totalmente diferente. Se pá o Lula seria irrelevante. Mas é isso, querendo ou não, ser de esquerda virou sinônimo de bom senso</t>
  </si>
  <si>
    <t>@sasbranco @euwillarauujo @PandaBandoleiro @felipeneto Eu sou advogado e tenho pós graduação em direito de família e eu tenho que estudar? A eleitora do pt mandando alguém estudar kkkkkk vc compara preços de coisas e poder de compra em décadas diferentes. Isso é coisa de analfabeto funcional</t>
  </si>
  <si>
    <t>Comunicado da @anvisa_oficial 
Trata-se de um alerta sobre miocardite e pericardite pós vacina. Vale a leitura. 
Ah sim , não estão dizendo para que não tomem  as vacinas, apenas para estarmos atentos a, possíveis,sintomas após tomar as vacinas ! 
https://t.co/UY9kGgXpAY</t>
  </si>
  <si>
    <t>@LuizCarlosPavao É lógico que com a crise pós governos do PT mais a pandêmia enfrentada, os cidadãos se encontram em situação financeira abalada,sendo assim deixando seus planos de saúde e partindo em busca de outros mais viáveis financeiramente.
O que acontece é que a Prevent veio nesse nixo e</t>
  </si>
  <si>
    <t>Dor imensa já quando militava em favelas, mortos e bairros afastados entre 1981-1991 minha passagem pelo PT.
EU E TANTOS OUTROS CONSTRUIMOS O PT.
LULA OU DESTRÓI CADA DIA POR SUA $EDE DE GRANA.
MINHA PETROBRÁS DESCEU DEMAIS. FOI ESQUARTEJADA POR DENTRO. Quando Dilma pos Graça... https://t.co/HE95EXs4c7</t>
  </si>
  <si>
    <t>Na continuidade do pós evangelismo começa uma nova fase com estudos bíblicos. Uma excelente sugestão é Jesus Restaurador da Vida. No site você encontra pdf com links, Power Point, versão feminina etc. 
https://t.co/ZbufAeAhMF https://t.co/zTy5F1dmHc</t>
  </si>
  <si>
    <t>Naninha pos pt sem or q podre</t>
  </si>
  <si>
    <t>esquerdas pós pt = pdt pós morte do brizola</t>
  </si>
  <si>
    <t>Vitória Sport Club vence na LEN Champions League https://t.co/eLZNRghgGZ via @creativejuiz 
A equipa portuguesa do Vitória Sport Club pôs fim a uma serie de resultados desfavoráveis e venceu os polacos dos AZS UW Warsaw ... https://t.co/RefkJPmock</t>
  </si>
  <si>
    <t>Dia Mundial do Migrante e Refugiado: Papa alerta para risco de nacionalismos «agressivos» e sociedades mais fechadas (c/vídeo) https://t.co/fzaTllggtY</t>
  </si>
  <si>
    <t>RT @agenciaecclesia: Forças Armadas: D. Rui Valério quer unidades a pensar no pós pandemia, na JMJ e a fomentar a sinodalidade https://t.co/aGOpT9zysb</t>
  </si>
  <si>
    <t>RT @agenciaecclesia: Dia Mundial do Migrante e Refugiado: Papa alerta para risco de nacionalismos «agressivos» e sociedades mais fechadas (c/vídeo) https://t.co/AYOSexcH2T</t>
  </si>
  <si>
    <t>Dia Mundial do Migrante e Refugiado: Papa alerta para risco de nacionalismos «agressivos» e sociedades mais fechadas (c/vídeo) https://t.co/YvuOJuEOw3</t>
  </si>
  <si>
    <t>あの領域到達──────────
最後意識飛びまくるし、pt調整計算出来ないし…だったのでちゃんとしたのは明日の結果発表で👊 https://t.co/ENLP48dwdb</t>
  </si>
  <si>
    <t>@Fabiomarbinho @LulaOficial É isso Fábio! Ontem falava com meu filho que não ente do esse preconceito da mídia contra Lula! Será que são cegos e não vêem a diferença entre o país do PT e do país pós Golpe!</t>
  </si>
  <si>
    <t>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</si>
  <si>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@so_ellipsis @marcelopjs Um estado soberano deve valorizar seus militares mas realmente o PT deixou passar batido a questão da formação militar e a aproximação com os imperialistas americanos pós Haiti. Mas isso deve ser abordado e tratado no próximo governo. N pode passar batido</t>
  </si>
  <si>
    <t>@senadorpaulor Pôs pra fora a quadrilha do PT, que por longos anos subtraiu o dinheiro do contribuinte. Ter um Presidente honesto e patriota no Poder, tras dignidade ao brasileiro.</t>
  </si>
  <si>
    <t>O Presidente da República disse hoje ser “difícil de entender” se os portugueses não votassem nas autárquicas, numas eleições que considera “decisiva”, por permitir escolher quem vai gerir os fundos europeus pós pandemia.  #eleiçõesautarquicas #marcelo
https://t.co/2NEdCHTQTH https://t.co/N3jwQzlpMg</t>
  </si>
  <si>
    <t>A escola no pós-pandemia - Blogue RBE https://t.co/cdHLDr0uiT</t>
  </si>
  <si>
    <t>Não acredito q me encontrei ontem com uma garota q me viu pelado pós pt😂🤦‍♂️🤦‍♂️</t>
  </si>
  <si>
    <t>@bastoss_rn eu comendo batata pos pt
?</t>
  </si>
  <si>
    <t>eu particularmente estou achando a postura do lyla nos últimos meses até razoável - ele parece estar numa posição mediana entre o discurso do PT pós-2016 + política macroeconômica desenvolvimentista estilo Lula 2 e a full conciliação com o centrão + social-liberalismo paloccista</t>
  </si>
  <si>
    <t>O Presidente da República disse hoje ser “difícil de entender” se os portugueses não votassem nas autárquicas, numas eleições que considera “decisiva”, por permitir escolher quem vai gerir os fundos europeus pós pandemia.
https://t.co/64hQJH2GiA</t>
  </si>
  <si>
    <t>@PandaBandoleiro @felipeneto O brasileiro sendo barbarizado dia a pós dia diante desse desgoverno, corrupção roendo livre nas custa de vidas inocentes, e o cara preocupado com o PT. O Brasil está sendo barbarizado por @jairbolsonaro , se liga, não temos mais tempo para falsa equivalência.</t>
  </si>
  <si>
    <t>@senadorpaulor Kkkkjjk. Perguntaram pra quem? Pós caras da sede do pt??????   Kkkkkkkkk</t>
  </si>
  <si>
    <t>derrotar o Bolsonaro. Essa coisa de adolescente rebelde não tem nenhuma ligação com a vida real do povo que passa fome neste momento no Brasil. Lembremos da fome da era FHC, da segurança alimentar da era Lula e da volta ao mapa da fome na era pós golpe de 2016 quando tiraram o PT</t>
  </si>
  <si>
    <t>@DavidMouro2 @bandeiramarela @_winway O @_winway avisou logo no pre prova na @ElevenSports_PT que não poderia estar no pós prova. Já sabia que teria coisas marcadas</t>
  </si>
  <si>
    <t>@elisaraujo2010 Ele tem muita razão em muito daquilo que diz nesse post.
A sorte do Brasil é que excluindo militantes, partisans e afins + ninguém confunde o Lula com o PT.
Sem Lula o PT sofre pra ter 30%.
É esse o pós Lula que os petistas querem?
Se é, boa sorte.</t>
  </si>
  <si>
    <t>@gustavocastanon Eles acreditam que voltando ao PT, e como pseudo estrutura organizada, irão ser o pós Lula. Desde o início de sua fundação pensam isso, todos os exemplos até agora mostraram que estão errados.</t>
  </si>
  <si>
    <t>@goncalocvale @benfica_fm teve chances no pós Felix. e não demonstrou a qualidade que tem.</t>
  </si>
  <si>
    <t>@r_senna @joaorrios79 @gustavocastanon @requiaooficial Eu não coloco Ciro ao "lado deles", até porque o lado deles é o poder. Eles apoiaram todos os governos pós 89 e esses governos precisaram deles. Continuarão a fazê-lo se os ditos "progressistas" seguirem se agredindo. Uns do PDT, tem sido agressivos em relação ao PT e ao PSOL.</t>
  </si>
  <si>
    <t>@Puracoragem @_makavelijones Conheço as tendências o suficiente para saber da insatisfação delas com os processos decisórios e a forma de condução das políticas pelo campo majoritário. Mas o Brasil não se resume ao PT. Se quiser continuar com o apoio da esquerda pós eleição, vai ter que saber ouvir criticas</t>
  </si>
  <si>
    <t>Carlos Carvalhal: «A equipa pôs-se atrás e pôs-se a jeito»
https://t.co/RILJArTt02 https://t.co/Eqhay60pOd</t>
  </si>
  <si>
    <t>“A equipa pôs-se cá atrás e pôs-se a jeito” https://t.co/XGOMPTnZU3 #Braga #CarlosCarvalhal #DanielRamos</t>
  </si>
  <si>
    <t>@joaoamoedonovo 👀
"O acordo, assinado em 2016, pôs fim a 56 anos de luta armada que deixou 260 mil MORTOS e milhões de deslocados."
https://t.co/7gb0bKtMhx</t>
  </si>
  <si>
    <t>@i7DREAMy já não ando, mas talvez volte no próximo ano para mestrado/pós graduação ahah
a ementa muda todos os dias, podes ver numa folha afixada na cantina ou aqui https://t.co/kwtNW0m1ne
se bem que depois quando chegas lá nem sempre está correto ahah</t>
  </si>
  <si>
    <t>@Aripatriota @Alesson90 @jairbolsonaro O Brasil afundou nos números econômicos, educação,desmatamento e o gado fala em PT ? O presidente não sabe governar pós PT pq e um incompetente .</t>
  </si>
  <si>
    <t>★個人的レアFate湧かせ時の手順
①その場で&amp;lt;t&amp;gt;:&amp;lt;pos&amp;gt;をshout
②PT募集に↑＋鯖名＋開始予定時間をETで記載
③出来れば②を3都市（リムサが良い？）でもshout
④何度か①をしつつその場に人が集まってきたら②を改めてshout
でいいのかな……慌てるからマクロ組も……。</t>
  </si>
  <si>
    <t>E gente do céu, as promessas de "tão cedo eu não  bebo de novo" dos pós porres e pt's são um fracasso a cada fds. 🤣</t>
  </si>
  <si>
    <t>@senadorhumberto Cala  há boca seu crápula bicho escroto, você não chega nem aos pés dele, pós tu e um assassino por ser corrupto, tem suas mãos cheia de sangue de inocentes PT maldito.</t>
  </si>
  <si>
    <t>@omalestafeito Lei autárquica eleitoral não prevê coligações pós eleitorais. É presidente quem tem mais votos mesmo que não tenha maioria no executivo.</t>
  </si>
  <si>
    <t>Anvisa alerta sobre risco de miocardite e pericardite pós-vacinação — Português (Brasil)  https://t.co/T1upoEULPc</t>
  </si>
  <si>
    <t>@brunomaracci @albertocalmeida @LulaOficial Os governos do PT mudaram o acesso da casa própria, o ingresso à universidade, ao crédito, deram oportunidades ao sertanejo ficarem no Nordeste e cultivar sua terra por meio do projeto cisterna. Nordeste é o maior espelho disso, ainda que impactado com os retrocessos pós 16.</t>
  </si>
  <si>
    <t>@RicardoGAlves Corrupção na Câmara não praticou.Pelo contrário: pós computadores e internet em casa dos 1500 estudantes q não tinham. Pobres não pagam os remédios, em Oeiras. Máscaras gratuitas para todos os munícipes. Bons auditórios de teatro, música e debates, sempre cheios. Etc, etc.</t>
  </si>
  <si>
    <t>@me10n4 /toge 弱すぎてPTから追放された&amp;lt;me&amp;gt;が&amp;lt;cl&amp;gt;で無双して&amp;lt;pa&amp;gt;でエタロナに！？今更&amp;lt;pos&amp;gt;に戻って来いと言われても【もう遅い】</t>
  </si>
  <si>
    <t>Min @PT_Transjakarta busway joglo-tanahabang, posisi dimana ( arah joglo)?. Sy di pos pengumben trims</t>
  </si>
  <si>
    <t>WTS NCT 🇲🇾 [HELPING A FRIEND]
❤️ NCT 2020 RESONANCE Pt. 1 - KUN
❤️ NCT 2020 RESONANCE Pt. 1 The Future - KUN
rm30/ea exc pos, postage rm8 wm
*price can nego
rts: my friend is broke af
can dm if interested, I'll give you my friend's tele id
#pasarNCT https://t.co/nq6VhuTYk7</t>
  </si>
  <si>
    <t>@Visao_pt Não, pôs guito no bolso. Arroios já existia antes.</t>
  </si>
  <si>
    <t>Holmes Place aposta em campanha intimista no regresso pós-férias https://t.co/Ol9Vj2GkeY https://t.co/xBuRwqDODn</t>
  </si>
  <si>
    <t>im... im not okay. /pos (pt idk anymore) https://t.co/IlVu9UdEVf</t>
  </si>
  <si>
    <t>Sigesit Riyanto @sicepat_ekspres  tolong paket saya yg sekarang sedang dibawa jgn di taruh di pos satpam lagi ya. Dari tadi sudah dibawa2 dari jam 9 pagi</t>
  </si>
  <si>
    <t>@Visao_pt Pos no mapa pelos piores motivos. Deveria ser vergonha e não orgulho…</t>
  </si>
  <si>
    <t>@Visao_pt Não há dúvida que pos arroios no mapa.</t>
  </si>
  <si>
    <t>Pós-graduação que tem por objetivo a exploração, a análise e a interpretação de dados para uma tomada de decisão mais informada. ⏳ Candidaturas só até 30 de setembro
👉 https://t.co/1hGI611rES
#UAb #PG #Dados #Gestão #Estatística #matemática https://t.co/UFwhKSeDrP</t>
  </si>
  <si>
    <t>PÓS-GRADUAÇÃO || Ainda está a tempo de fazer a sua inscrição na 2ª Edição da Pós-Graduação em Gestão e Direção na Proteção Civil, desenvolvida pela Universidade Lusófona com o apoio da #ENBombeiros: https://t.co/UCxkr1vO0v 
Faça aqui a sua inscrição: https://t.co/8gf5lWSpXJ https://t.co/uqq0nCOXpk</t>
  </si>
  <si>
    <t>@Visao_pt Pos no mapa especialmente o mercado 🤣</t>
  </si>
  <si>
    <t>saja lah nak habaq. to all PCR requestor sik kisah from out-source or in-source hospital, before ambik swab pt pls check dolok detail swab sidak. tauk ka mun nya dah pos, dlm masa 3 bulan nya sik boleh ambik swab. sbb result mmg akan pos. the target genes are still amplified.</t>
  </si>
  <si>
    <t>for in-source kmk org akn check dolok in system b4 we decide to run the test on the sample. meanwhile for out-source if we detect nya adalah PCR pos &amp;gt;10 days within 6 months &amp;amp; pos we‘ll conclude the result is known case &amp;amp; kindly to check the pt’s detail b4 send the test for PCR.</t>
  </si>
  <si>
    <t>Talked to a friend yesterday who does billing for hospitals and Drs across US. She said no matter what a pt died from if they also had or were pos for covid they are required to count them as a covid death. This is why numbers just keep going up.</t>
  </si>
  <si>
    <t>@EmanuelBissiatt @Jacquebri @Diegoalbertodos @zeluizlhesdiz @cirogomes Claro porra...a lei da reeleiçao  pos 1994...qdo terminou o mandato dele...vc queria oq ? Depois de eleito pra deputado so tentou pra presidencia... foi ministros governo do pt e do psdb...nao vive de politica nao...vc ta certissimo</t>
  </si>
  <si>
    <t>@CludiaVilardi1 @leticialopes171 @DacioloCable @eldacarvalhobsb @RafaelG64084392 @UOLNoticias Novamente, tinha condições de ganhar, tanto que foi para o segundo turno, o PT não tem que ser culpado pelo que foi feito CONTRA si. Lançou candidato, foi impedido ilegalmente. Quem tinha chances de bater o Bolsonaro pós facada? Ciro não era, falo isso como alguém que votou nele.</t>
  </si>
  <si>
    <t>da política brasileira pós redemocratização. Para se conquistar o "pouco" q foi feito nos govs do PT exigiu muito trabalho, tanto da militância quanto de quem tava no Estado. Achar q bastava mais vontade em ser radical não responde aos nossos desafios. Pra fazer mais é preciso(3)</t>
  </si>
  <si>
    <t>Mensagem pós-eleitoral Iniciativa Liberal COIMBRA https://t.co/LVOzYeh7ax via @CoimbraLiberal</t>
  </si>
  <si>
    <t>O pós-pandemia de cá  https://t.co/DFvNVducrf</t>
  </si>
  <si>
    <t>𝗨𝗣𝗴𝗿𝗮𝗱𝗲 𝗠𝗲𝗱𝗶𝗰𝗶𝗻𝗮
🎯 Especialização Avançada Pós-Universitária em Psico-Oncologia
🗓 16 outubro de 2021, Porto | Livestream / Online
🖥 https://t.co/9LHsjDkJoh
INSPSIC, Aqui para SI. https://t.co/FtNHAkdzvq</t>
  </si>
  <si>
    <t>𝗨𝗣𝗴𝗿𝗮𝗱𝗲 𝗚𝗲𝘀𝘁ã𝗼 𝗥𝗲𝗰𝘂𝗿𝘀𝗼𝘀 𝗛𝘂𝗺𝗮𝗻𝗼𝘀
🎯 Especialização Avançada Pós-Universitária em Gestão de Recursos Humanos
🗓 06 novembro de 2021, Livestream / Online
🖥 https://t.co/DpwhtZi5LO
INSPSIC, Aqui para SI. https://t.co/0d2AUFwy1S</t>
  </si>
  <si>
    <t>𝗨𝗣𝗴𝗿𝗮𝗱𝗲 𝗠𝗲𝗱𝗶𝗰𝗶𝗻𝗮
🎯 Especialização Avançada Pós-Universitária em Intervenção Clínica em Cuidados Paliativos
🗓 30 outubro de 2021, Livestream / Online | Lisboa 
🖥 https://t.co/FxJP2wGCcw
INSPSIC, Aqui para SI. https://t.co/eHaqd1lh6n</t>
  </si>
  <si>
    <t>𝗨𝗣𝗴𝗿𝗮𝗱𝗲 𝗣𝗿𝗼𝗳𝗲𝘀𝘀𝗼𝗿𝗲𝘀
🎯Especialização Avançada Pós-Universitária em Neuroeducação
🗓 06 novembro de 2021, Lisboa | Livestream / Online
🖥 https://t.co/GbNm9S6ViK
INSPSIC, Aqui para SI. https://t.co/OMa0Y3ayi7</t>
  </si>
  <si>
    <t>🎯 Especialização Avançada Pós-Universitária em Psicologia da Gravidez e da Parentalidade
🗓 09 outubro de 2021, Porto + Livestream
🖥 https://t.co/bjgk8R6Xwf
INSPSIC, Aqui para SI. https://t.co/MjeSyBiuEK</t>
  </si>
  <si>
    <t>🎯 Especialização Avançada Pós-Universitária sobre Missões Humanitárias e Intervenção com Refugiados
🗓 23 outubro de 2021, Porto | Livestream
🖥 https://t.co/spUTPrbPLU
INSPSIC, Aqui para SI. https://t.co/cVwlmrucdx</t>
  </si>
  <si>
    <t>𝗨𝗣𝗴𝗿𝗮𝗱𝗲 𝗠𝗲𝗱𝗶𝗰𝗶𝗻𝗮
🎯Especialização Avançada Pós-Universitária em Psicologia da Saúde Ocupacional
🗓 13 novembro de 2021, Livestream / Online
🖥 https://t.co/iYzD5i0IVN
INSPSIC, Aqui para SI. https://t.co/e2QY52msxO</t>
  </si>
  <si>
    <t>Quero felicitar José Manuel Silva pela vitória do projecto político Juntos Somos Coimbra.
https://t.co/gqrabMfz08
#EuEscolhoCoimbra #PoliticaConsciente https://t.co/1RVTjni0DS</t>
  </si>
  <si>
    <t>@Mobysnatch @willgomes Análise perfeita.
Mas como conquistar eleitores do PT, atacando o próprio?Não faz sentindo isso pra mim.
Eu estava nos grupos pro Ciro em 2018 e fiquei putaça com a atitude dele pós 1 turno.
Óbvio que ele não indo pra Paris, não mudaria muita coisa. 
Mas esse ato dele influenciou</t>
  </si>
  <si>
    <t>$DOCU  counter trend  pos div ... 1 pt late    long 263.95 avg   sold partial 265.83  266.37   have residual</t>
  </si>
  <si>
    <t>@pos_reha 見習います！</t>
  </si>
  <si>
    <t>@kanata_pt 中々無い場面ですが、機会がありましたら是非👐</t>
  </si>
  <si>
    <t>Autárquicas: PS espera poder formar maioria com CDU em Vila Real de Santo António: Vitória do PS no município pôs termo a 16 anos de gestão do PSD, mas o partido obteve o mesmo número de eleitos que a formação social-democrata (3), e o único vereador da… https://t.co/QpbsWtN43s</t>
  </si>
  <si>
    <t>@RoseRothermel @Candao20 @gleisi 2-Bolsonaro assumiu um Brasil pós estrago do PT com uma dívida que batia 4 trilhões, teto de gastos, Congresso hostil por falta do Mensalão, pandemia, crise mundial e tendo que gastar trilhões com a pandemia. Se O ex presidiário do Lula assumisse um Brasil assim queria ver kkkkkk https://t.co/thiJKgqGgl</t>
  </si>
  <si>
    <t>@StatusAnonim Pai fac un vax experimental cu pos ef adverse grave pe term lung,dovedit ca nu prev transmiterea,infectarea sau decesul,toate astea pt un virus cu mort sub 1%.Eu cred ca au tot ce le trebuie sa bage degetele in priza.😅</t>
  </si>
  <si>
    <t>Só agora tô vendo O Mecanismo, quero saber quem vai fazer uma série pós PT e lava jato 🗣</t>
  </si>
  <si>
    <t>pensando na ex pt 2 
1 "eu te amei porra"
2 "obg pos nada" so q sem vogais https://t.co/N4OvN23kG9</t>
  </si>
  <si>
    <t>Praticamente uma decada e meia de PT no gov federal e o pobre além de continuar pobre saiu endividado, sem seg, saúde, saneamento, etc!
Agora pós pandemia os "fiquem em casa" tentam passar a bomba p/ o gov atual!
Hipócritas!
Não somos otarios!!
#TaCaroCulpaDoBolsonaro</t>
  </si>
  <si>
    <t>@btiemih É a bad pós pt é foda</t>
  </si>
  <si>
    <t>Mensagem pós-eleitoral Iniciativa Liberal COIMBRA https://t.co/cf7HrdkSYQ via @CoimbraLiberal</t>
  </si>
  <si>
    <t>no pos si, k bella pt,m https://t.co/KNeuYJBKwe</t>
  </si>
  <si>
    <t>Mas, tudo bem, podemos continuar…
https://t.co/40OqJPPlPx https://t.co/96gMLYaNuh</t>
  </si>
  <si>
    <t>@Metropoles Nenhum outro governo indexou á preços internacionais!
Essa é a pior politica monetária neoliberal antes e pós PT!
Privatizando 8 blocos do pré sal por 10 BILHÕES e 4 em águas rasas por 6 BILHÕES isentando HUM TRILHÃO!
PIADA!
 36 BILHÕES aos acionistas no último ano!?
BRINCADEIRA!</t>
  </si>
  <si>
    <t>@heldersalomao @Marcelodied Se sobrou pós PT, relaxa... Vamos conseguir...</t>
  </si>
  <si>
    <t>@vitorrborba @BrunoTr06 quero fotos suas pós pt!</t>
  </si>
  <si>
    <t>@andante40428500 @cirogomes @LulaOficial Quanto.mais vc assistir lives e entrevistas do CG12 vc vai ver que o mote não é atacar o PT, mas que a crítica ao modelo econômico que a cúpula LuloInsperPetista pôs em prática, que é a mesma dos demais antes e depois, estrutura a proposta adversa.</t>
  </si>
  <si>
    <t>fico vendo esses videos dos artistas no pós democratização nas campanhas do pt... e já fico todo me tremendo pra vitória do lyla ano que vem, e dps ir pra bsb na posse, nadar no laguinho do congresso, mta emoção. lyla la</t>
  </si>
  <si>
    <t>@felipebstos Essa foto me veio um filme na cabeça, acredito que eu seja a pessoa atrás de você, pós pt ou pré</t>
  </si>
  <si>
    <t>@mariadorosario PT cria mais estatais que todos os governos pós-ditadura militar    @estadao:  https://t.co/y3laH7BTMW</t>
  </si>
  <si>
    <t>@gleisi PT cria mais estatais que todos os governos pós-ditadura militar @estadao: https://t.co/y3laH7Tvbw</t>
  </si>
  <si>
    <t>@guimaraes13PT PT cria mais estatais que todos os governos pós-ditadura militar @estadao: https://t.co/y3laH7Tvbw</t>
  </si>
  <si>
    <t>@DanielRamalho_ @CiraoCarioca PSOL foi um partido cooptado pela CIA  há muito tempo pra combater o PT pela esquerda e fazer Guerra Híbrida !
Agora que o imperialismo pos a faca no pescoço do PT via Lava a Jato , e PT se rendeu , o PSOL se tornou inútil</t>
  </si>
  <si>
    <t>@vitoristo2 No site Pleiades translations tem quase todo o arco 5 (pós anime) em pt
Acho que pra ler do começo seria só comprando ou lendo em inglês, aí tem todos os volumes lançados nessa língua no jnovels</t>
  </si>
  <si>
    <t>Fórum do BCE debate hoje o futuro pós-pandemia da política monetária https://t.co/falYKhVRJ7 https://t.co/NzNCa5rWa2</t>
  </si>
  <si>
    <t>poslaju lagi peform ni dari jnt, seller pos semalam harini dah sampai</t>
  </si>
  <si>
    <t>WTS WTS WTS
-youngjae BOL gotoon RM 22 
-yugyeom DYE pc RM 20
-price exc pos RM8 wm // em dm
-use jnt
-for more pic can dm but only serious or else will be block!!
#pasarGOT7 https://t.co/DDy7p8Cz1a</t>
  </si>
  <si>
    <t>@SallyMaelstrom As for the RBCs for an MTP everything goes out the window and they would end up get RH pos and then RHIG later unless they have an anti-D. We turned an O- trauma pt O+ because &amp;gt;50 and type unknown.</t>
  </si>
  <si>
    <t>kr! mau coba kirim lamaran via pos gitu, dan riwayat hidupnya tulis tangan, menurut kalian kalo punya pengalaman kerja di pt cuma 2 bulan dan ga ada packlaring nya better dicantumin atau ga perlu?</t>
  </si>
  <si>
    <t>Fórum do BCE debate ‘online‘ o futuro pós-pandemia da política monetária https://t.co/l5E2G9KlSs</t>
  </si>
  <si>
    <t>Fórum do BCE debate esta terça-feira o futuro pós-pandemia da política monetária https://t.co/1Q99pXnRH5</t>
  </si>
  <si>
    <t>@pcgFerreira Sim o Lula é corrupto, igual a todos os outros que vieram antes e depois dele, exceto talvez pela Dilma, q era extremamente incompetente. O PT fez o governo + transparente de tds, o q foi um tiro no pé, além do Lula ter sido o + competente dos  presidentes pós redemocratização.</t>
  </si>
  <si>
    <t>Loker Pekanbaru PT Pos Indonesia 28 September 2021:
https://t.co/Lf0708r0jw
#infopku
#lokerpekanbaru</t>
  </si>
  <si>
    <t>Morreu Mohammed Hussein Tantawi, primeiro governante do Egito pós-Mubarak https://t.co/bqcSLjVcEH Em https://t.co/MDmhqgtnSp https://t.co/52dt9T61E0</t>
  </si>
  <si>
    <t>Fórum do BCE debate esta terça-feira o futuro pós-pandemia da política monetária https://t.co/HK3DrAH1sV Em https://t.co/MDmhqgtnSp https://t.co/Ox3DdKYxTP</t>
  </si>
  <si>
    <t>@dnacy_ jnt sekarang slow u, biasa pos harini esok sampai tapi now up to 3 days baru sampai</t>
  </si>
  <si>
    <t>@goldenhaaI @frasesdebebada eu pós pt fico assim</t>
  </si>
  <si>
    <t>@sellkpopfess Fee bisa dibicarakan baik2 nderr, aku dom jatim lebih tepatnya gresik dan rumahku deket banget sama ekpedisi, jnt, jne, id, pos</t>
  </si>
  <si>
    <t>@dagangkorea Hallo nder udh dapet belum? Aku dom jatim Lebih tepatnya gresik rumahku juga deket sm jne, jnt, id, pos kalo fee bisa dibicarakan baik2</t>
  </si>
  <si>
    <t>Saksikan penandatanganan kerjasama MNC Group (dan unit-unit) X PT Pos Indonesia
Rabu, 29 September 2021 | 10.00 WIB
Live @Zoom Webinar: https://t.co/haW4l23ojB
Hub1500188 | https://t.co/j6lwNRi1rL
#MNCBank Melayani Semua https://t.co/mGGcaOaehO</t>
  </si>
  <si>
    <t>WTS / Help RT 🇲🇾 
The Boyz Chanhee New 
🐧 Price in the picture
🐧 Accept online banking and shopeepay
🐧 Accept reservation with small deposit 
🐧 Postage 
-RM6 wm/em (flexi)
-RM8 wm (Pos Laju, JnT)
❗️ Free Postage if buy more than 5 (flexi) 
#pasartheboyz #pasartbz https://t.co/DuiA9OwcuB</t>
  </si>
  <si>
    <t>@hana_cnu6 Kek jelita marble boleh pos hana. Tapi ezzy kena guna poslaju. Jnt tak terima pos makanan 😢 kalau nak pos kena hari isnin selasa macam tu. Poslaju kan</t>
  </si>
  <si>
    <t>True knowledge guides you to a better life💕
Jangan lewatkan satu hari anda tanpa membaca buku bagus✨Terima kasih untuk pemesanannya🙏Delivery Malang kota 10K (spd mtr), luar Kota Malang via JNE, J&amp;amp;T, POS
WA/Line: +6282143502209
IG: tarbantinbookstoremalang
MAKE GREAT GENERATION https://t.co/SStOgATWna</t>
  </si>
  <si>
    <t>Semana do Turismo 2021: Debate “A Inovação no Turismo no pós-pandemia" -  dia 30 de setembro https://t.co/BlrPFiAzes https://t.co/u8AlMzrphA</t>
  </si>
  <si>
    <t>@kimidilois Malam kak. Mohon maaf telah menunggu, saat ini bus terdekat mendekati Halte Kebon  Jeruk arah Harmoni dan bus berikutnya berada di sekitar Pos Pengumben. Terima kasih ^RSN</t>
  </si>
  <si>
    <t>@MatheusBrinhosa @Trom_Petista @LatuffCartoons @LuanaLift O #PT tem programa e já pôs em prática. E o Siru fazia parte. Lembra?</t>
  </si>
  <si>
    <t>@___Jota___ @ElevenSports_PT @FCPorto 1893 -- Foi neste ano que António Nicolau d'Almeida, desportista por excelência e exímio comerciante de Vinho do Porto, pôs em marcha o seu projeto de um clube de futebol na cidade. A fundação comemora-se a 28 de setembro.</t>
  </si>
  <si>
    <t>@amandamoraes500 @SebastiaoMelo sim... não duvido que o PSDB, não ganhava uns trocos do PT, pós eleições passadas.</t>
  </si>
  <si>
    <t>Para umas coisas (subverter vontade do povo com coligações pós eleitorais) não interessa a vontade expressa pelo povo e vale tudo, mas quando não lhes interessa mexer (pq Moedas caindo ganha de novo e quem sabe com maioria) já tem de se respeitar a democracia... 🤷‍♂️ https://t.co/e0zfCFMD7w</t>
  </si>
  <si>
    <t>O povo comia
Antes do PT: calango 
Durante PT: picanha 
Pós golpe no PT: osso</t>
  </si>
  <si>
    <t>@gleisi Essas pragas que assumiram pós golpe do temer só trouxeram o caos e miséria pro país,não fizeram uma obra sequer só todas inauguradas foram do pt pós golpe lotou o governo de militares com altos salário e secou o cofre público ,</t>
  </si>
  <si>
    <t>A passagem da modernidade para a pós-modernidade trouxe consigo várias mudanças no mundo social. Uma mudança significativa que caracteriza a passagem de um período para o outro é a mudança na forma como experienciamos o tempo.
https://t.co/AMOFVHYpAY</t>
  </si>
  <si>
    <t>O Dilema das Redes Sociais está disponível para visualização gratuita no Youtube. 
Recuperamos o ensaio de João Gabriel Ribeiro inspirado pelo documentário: O Dilema das Redes Sociais ou a sociedade da pós-realidade?
👀 https://t.co/aWbNd6mDej https://t.co/uws0DJ6d8W</t>
  </si>
  <si>
    <t>Os efeitos económicos globais da pandemia e os desafios futuros que se colocam à política monetária são os temas em debate na edição deste ano do Fórum do Banco Centro Europeu (BCE), que decorre na terça e na quarta-feira em formato 'online' https://t.co/VlVziTyfvk</t>
  </si>
  <si>
    <t>Portugal, Luxemburgo e Bélgica foram os primeiros países a receber o pré-financiamento da "bazuca" europeia https://t.co/xcCDJWnfYF</t>
  </si>
  <si>
    <t>Edusummit - Reflexão sobre a educação para o pós-pandemia acontece já este fim de semana https://t.co/TgUuMoXP4W https://t.co/FXw8UBYyVm</t>
  </si>
  <si>
    <t>PODCAST 🔉 «Há Vida(s) nesta Cidade!» #7, com Sílvia Roque e Teresa Almeida Cravo » (25 SET 21), Rádio Universidade de Coimbra 🎧 Inês Rodrigues conversa com as investigadoras do CES sobre o "percurso pós-colonial da Guiné-Bissau" https://t.co/WFrB2GDVYw</t>
  </si>
  <si>
    <t>@1carll @lalazinho_show @PandaBandoleiro @felipeneto provavelmente deve usar o datafolha como fonte tbm, e provavelmente não viveu todos os mandatos do PT, enquanto mascaravam o crescimento junto as falcatruas e roubos que fizeram a Dilma cair na era pós lula, pobre gado de mortadela..</t>
  </si>
  <si>
    <t>A alta burguesia sabe identificar o inimigo central como ninguém.
Com a atual configuração do capital no Brasil e a agenda ultraliberal pós golpe de 16, tudo o que eles não querem é a volta do PT.
https://t.co/LvFLolRavP</t>
  </si>
  <si>
    <t>@yagobarros231 @willgomes o que se tornou a carreira política delas, pós saída do PT. E não venha me justificar com alegações de perseguição..., de todos os diretórios municipais, estaduais e nacional, SOMENTE a elas?!
Bem, Ivan Valente, assim como Luciana Genro e outros, de tão radicais, livremente,(+)</t>
  </si>
  <si>
    <t>@oudeis_br @sacredwisdom2 @AveVeritas1 @Vipper1711 @Ryujapan2020BR @saiadamatrixbr https://t.co/QnexuBMIta</t>
  </si>
  <si>
    <t>WTS 
-renjun hello pola RM 13 exc pos 
use jnt RM 8 wm 
help rt #pasarNCT #mynctjual https://t.co/t8ogQFFIdt</t>
  </si>
  <si>
    <t>adakah yang udah pengalaman kirim2 barang ama dokumen lewat jne/jnt/kantor pos gitu ga? mau nanya dong, ntar aku dm eheh makasi 🙌</t>
  </si>
  <si>
    <t>Kalau yg jauh2 tu jngn risau saya boleh pos ke tempat awak💕✨
📍Jnt
📍Poslaju
https://t.co/qiTwnHyG5N</t>
  </si>
  <si>
    <t>Nah baru masuk ke “pengiriman/pengembalian”
Ada 3 opsi :
1. Dikirim ke rumah lewat PT Pos Indonesia
-&amp;gt; tinggal isi nama dan alamat. Diujungnya ada ongkirnya juga yang nanti ke input pas mau bayar. 
SIM dikirim dari satgas yg temen2 isi, makanya isi terdekat dari rumah</t>
  </si>
  <si>
    <t>@MetodoMoreira @DuquesaDetax Beleza, agora me responde: O aumento de preços é culpa dos estados ou do BC e do governo que ligaram as impressoras como verdadeiros pós keynesianos?
Ah, mas é que do teu mito e do RCN vc não pode falar mal, senão o PT volta...</t>
  </si>
  <si>
    <t>Relatório "COVID-19 e Desenvolvimento Sustentável: avaliando a crise de olho na recuperação" será lançado na quarta-feira (29), às 11h, por @PNUDBrasil, @UNESCOBrasil, @unicefbrasil e @OPASOMSBrasil, com transmissão pelo YouTube do @PNUDBrasil.
https://t.co/fVN4dDbUAy</t>
  </si>
  <si>
    <t>Relatório "COVID-19 e Desenvolvimento Sustentável: avaliando a crise de olho na recuperação" será lançado na quarta-feira (29), às 11h, por @PNUDBrasil, @UNESCOBrasil, @unicefbrasil e @OPASOMSBrasil, com transmissão pelo YouTube do @PNUDBrasil.
https://t.co/lWxhDBEPvf</t>
  </si>
  <si>
    <t>Edital p/ fellow de pós-doc em ciências humanas permanece aberto! 
A pessoa selecionada participará de projeto de pesquisa sobre o impacto do racismo sistêmico e do acesso digital em pessoas negras e indígenas no Brasil. 
Prazo: 28/09! Inscreva-se: https://t.co/MvhlYihB5o https://t.co/6bRvTFdiWf</t>
  </si>
  <si>
    <t>🔴 Últimas vagas!
💻 Está a decorrer até 3 de outubro a 3.ª fase de candidaturas para a Pós-Graduação em Gestão da Qualidade.
Candidaturas online em https://t.co/MzM6RSuLxR
Assegura já uma das últimas vagas! ✅
ℹ️ https://t.co/pXr1yplhQj
ESCE-IPVC o teu 🔴 de partida! https://t.co/lux0KS517U</t>
  </si>
  <si>
    <t>@AngelSinnerC @flavioaugusto_1 @desempregobot @VictorHitzschky @cirogomes @Luchinex13 @heisenbergpeep Ou seja, nova geração pós 2015 formada pela tecnologia do WhatsApp e vídeos do YouTube, mais recentemente Tik tok e Kwai, criticando o acesso ao Ensino Superior facilitado pelos gov do PT entre 2003 e 2014. Tá "sertu".</t>
  </si>
  <si>
    <t>Papepun i rasa abang dekat jnt tu tadi mesti cakap i stupid macam tak pernah pegi pos barang 😭</t>
  </si>
  <si>
    <t>@Giohvp1 @profsosa13 @HaddadDebochado @Haddad_Fernando Acho que não entendeu … “apaixonado por um PT que não existe mais” entendeu?” Aquele PT honesto que nos dava orgulho, hoje é so o PT pós Palocci.</t>
  </si>
  <si>
    <t>@okaantara Kan JNE itu pos om
Wkwkwkw
Ponpel temennya tompel
Balon biru yang dijual abang-abang om</t>
  </si>
  <si>
    <t>@erickthohir Pt pos bagian dari sejarah kemerdekaan. Para pejuang Am PTT merebut kantor pos dari penjajah dengan darah dan nyawa..tetapi miris kantor pos Jakarta Utara sekarang malah dibubarkan direktur utamanya. Sepertinya direksi dan komisaris ya tidak mengerti sejarah pos Indonesia.</t>
  </si>
  <si>
    <t>@Hana75088057 Hai kak, untuk resi tsb jasa pengiriman nya atas nama PT. DIRGANTARA POS INDONESIA silahkan hubungi nomor yg tertera di https://t.co/jW6vO3DrVM untuk melakukan konfirmasi atas pengirimannya ya kak ~boy</t>
  </si>
  <si>
    <t>💖Hiasan dinding minimalis &amp;amp; menarik dilengkapi kata2 yg memotivasi, tinggal disesuaikan dgn ruangan anda, bisa juga utk gift orang terkasih💕merapat yuuuk, cek IG @tarbantinsouvenir. Delivery Malang kota 10k (spd mtr), luar Kota Malang via JNE, J&amp;amp;T, POS
WA/Line: +6282143502209 https://t.co/0fOIO1FhrV</t>
  </si>
  <si>
    <t>Peserta rakor diantaranya perwakilan Bank Mandiri Taspen, BRI, Bank KB Bukopin, BTPN, Bank Neo Commerce, BNI, BTN, dan PT. Pos Indonesia. 
#kegiatanAsabri #Asabrievents https://t.co/iUygvLQJ1p</t>
  </si>
  <si>
    <t>@MarNaoSereno Nazismo em plenitude!
Demorando demais jogar essa corriola miliciana narconazifascista genocida em Haia, para depois irem ao cadafalso em Nuremberg, aos moldes do pós II Guerra!!!! https://t.co/qhgX1GYPiY</t>
  </si>
  <si>
    <t>o Esquerda Online hoje me lembrou o Em Tempo, nas edições pós encontros nacionais do PT. #SDDS 
"isso foi há 84 anos..."</t>
  </si>
  <si>
    <t>Mil dias de governo, conservador de direita, 2 anos e 9 meses de governo, pós 24 anos de governos com viés socialista PT+PSDB msrcado por corrupcao. Bolsonaro resistindo mesmo com tipos como Doria fechando comercio/industria, prendendo povo, politicagem que matou 150mil em SP https://t.co/FlPFtL7vJ9 https://t.co/wuGE6cNkJC</t>
  </si>
  <si>
    <t>Pós 24 anos de PT/PSDB, marcados por pesada corrupção, tem 1000 dias, 2 anos e 9 meses de governo de direita conservador, com forte apouo de liberais e centro cristão, é o q Brasil quer, governo sem corrupcao, liberdade,mercado forte, economia forte, e VacinasRemediosContraCoroba https://t.co/olx3ypqFIN https://t.co/tLBPawHDDR</t>
  </si>
  <si>
    <t>Nao existe seita, seita existe nas redacoes de jornais como EM, com opinioes a lá extremistas, pós 24 anos de PT/PSDB existe povo conservador de direita, com forte apouo de liberais e centro cristao, reconstruindo o Brasil, destruido pelo PT/PSDB https://t.co/k9mjknTw1m https://t.co/4Jhc9vAmSQ</t>
  </si>
  <si>
    <t>Mil, 1000, dias sem corrupção no Brasil, é algo inédito em toda a historia do Brasil, com um governo conssrvador de direita. Pós a podridao de 24 anos de poder dos socialistas PT+PSDB! https://t.co/J2uW6Shshz https://t.co/kuJmzca2Sr</t>
  </si>
  <si>
    <t>Mil, 1000, dias sem corrupção, em toda a historia do Brasil, de um governo conservador de direita, celebração da Darth Reh é mais um tiro certeiro desta guerreira, visto que toda a tropa PT/PSDB estao afoitos para voltar ao poder, pós 24 anos de podridao socialista https://t.co/Ku5IP0asnr https://t.co/Uzv9wk6ZtR</t>
  </si>
  <si>
    <t>Capa diz mil, 1000, dias do atual governo, conservador de direita, cim forte apoio de liberais, centro cristão, sao 2 anos e 9 meses, sem corrupcao, pós 24 de poder do PT+PSDB, 24 de socialistas, anos marcados por grandes corrupcoes https://t.co/O8hcYNopiU https://t.co/sEpexpC5DJ</t>
  </si>
  <si>
    <t>Faz parte da democracia alternancia de poder, pós 24 anos de PT/PSDB, socialistas, com alta corrupção, temos 2 anos e 9 meses, 1000 dias,  de um governo conservador de direita, sem corrupçao, certamente maioria do povo nao quer socialistas PT+PSDB de volta, muito menos PDT https://t.co/Xae7WwBcDf https://t.co/IcyG42F6hv</t>
  </si>
  <si>
    <t>@theoporrete @augustodefranco Ele e o PT que pôs o fogo na floresta que queima até hoje. E agora querem posar de bombeiros que vão salvar a floresta</t>
  </si>
  <si>
    <t>@bolukubolukeju @ShopeeID Hahaha PT. Pos Indonesia</t>
  </si>
  <si>
    <t>@LucianoHuck A politica monetária neoliberal antes e pós PT sempre fez esse bem todo ao povo brasileiro!
Queimando estoques reguladores,atrelando gasolina a preços internacionais,retirando direitos constitucionais,privatizando tudo a preço de banana,,dívida sem auditoria,remuneração cx/bcos.</t>
  </si>
  <si>
    <t>@de_possati @divaolinda55 @tonyjosebr @CapadociLe @MicrofoneSolida @Beto1berto @ManoJuOliveira1 @MariaCr64955277 @ferretti_luiz @LuizDominguesF1 @Dri_Pedagoga @IsabelFeijMach1 @AnayAAnacleto @ReSoares_77 @Fabio70544222 @PauloDella4 @felipe89f @emanoelseabra @williambassane2 @PTsigaZaqueu @rodrigoelpidio @tmachado84 @fjosi1 @acm1065 @bruna85172176 @doce_pimenta13 @GlaucoRBraga @RochaKalily @elaineN1960 @LucianaFabiano_ @oliveiraalves5 @GpwLu @geografo2004 @PATY_VACINA @sol_tropical @TonhoSDV @AdmConexao @BastaSil @marusa_sales @Annacaralb @CatiaAmorim5 @clauregsil @DeboraMustafa @ednacamiloyaho1 @danielsimonas @sim_paraiba @verancorrea @LoteMarcio @solcaetanocost1 Um escrutínio inescrupuloso a soberania orquestrado desde o Golpe pela política monetária neoliberal antes e pós PT .
PETRÓLEO,PRIVATIZAÇÕES E O SISTEMA DA DÍVIDA. DESMASCARADO NA CCJ POR @mlfattorelli na https://t.co/dphdTncTtg revelando todos os mecanismos com números oficiais.</t>
  </si>
  <si>
    <t>@OGloboPolitica E acreditaram que seria diferente!? A escolha era difícil!?
COMEDIA! PIADA!
A cartilha da política monetária neoliberal antes e pós PT sempre foi um escrutínio inescrupuloso a soberania,privatizando tudo e retirando direitos constitucionais.
E o que se espera é uma limpeza em 22!</t>
  </si>
  <si>
    <t>@folha COMÉDIA! 
AVANÇO DO CAOS !
A politica monetária neoliberal antes e pós PT na sequência do Golpe é um escrutínio inescrupuloso a soberania.
PETRÓLEO,PRIVATIZAÇÕES E O SISTEMA DA DÍVIDA.DESMASCARADO @mlfattorelli na https://t.co/dphdTmVi4G revelando todos os mecanismos.
XEQUE MATE!</t>
  </si>
  <si>
    <t>@folha Mau caratismo de 3ª grandeza!
COMEDIA! PIADA!
Leitor!? Com meia dúzia de gatos pingados!?
Essa é uma midia que aposta no Caos e sempre na politica monetária neoliberal antes e pós PT . 
Deve ter  muita ética moral e altruísmo!?
BRINCADEIRA!
PT SAUDAÇÕES.</t>
  </si>
  <si>
    <t>@UOLNoticias COMÉDIA!
Sempre foi assim!
O PT contra o resto!
Na verdade a escolha dificil tem nome! Politica monetária neoliberal antes e pós PT!
Todo dia vem a tona os resultados dessa politica monetária neoliberal e os seus interesses sem a mínima verosimilhança com os do povo.
BRINCADEIRA</t>
  </si>
  <si>
    <t>@cirogomes OS 6% NÃO ASSOMBRAM NINGUÉM ! ESQUECE O PT !
Antiga porque só existe um tipo de politica!?
Politica monetária neoliberal antes e pós PT !
Porque o resto fez o que !?
PROMESSAS!?
Antes e pós PT !?
COMÉDIA! PIADA!
PT SAUDAÇÕES.</t>
  </si>
  <si>
    <t>@JornalOGlobo Com a brilhante atuação da politica monetária neoliberal antes e pós PT não é nenhuma novidade que essa atual é bem pior que a herança maldita neoliberal FHC E PSDB.
Essa é a tampa do caixão!
 Retirando direitos e garantias e privatizando tudo a preço de banana.
PT SAUDAÇÕES.</t>
  </si>
  <si>
    <t>@VIOMUNDO O saudoso Tim Maia tinha razão!
O Brasil é o único pais do mundo que prostituta se apaixona,traficante é cheirador e pobre vota na direita .
A ladainha é sempre a mesma e a politica monetária neoliberal antes e pós PT deita e rola privatizando o lucro e retirando direitos.
PIADA!</t>
  </si>
  <si>
    <t>Todos os mecanismos maquiavelicos adotados pela política monetária neoliberal e pela intransigência sórdida pós Golpe.
 Produzindo pobreza e aumento das desigualdades sociais sem precedentes na história.
AUDITORIA JÁ !
ADI 6417 STFJ !
IMPROBIDADE !
XEQUE MATE !
PT SAUDAÇÕES.</t>
  </si>
  <si>
    <t>WTS WTS WTS
-bambam spinning the top pc RM 8 
-bambam treka spinning the top rm 6
-price exc pos
-use jnt RM8 wm // em dm#-for more pics can dm 
-serious buyer only or else will be block !!!
#pasarGOT7 https://t.co/XMoVWf7KKo</t>
  </si>
  <si>
    <t>WTS
price exc pos
-yugyeom DYE RM 18
-youngjae BOL RM 20
🦋buy both RM 37 excpos
-bambam treka RM5
-bambam spinning the top RM8
🦋buy both RM 10 excpos
-youngjae book mark RM7
-jb mirror card RM 10
🦋buy both RM 15 excpos
-use jnt RM 8 wm// rts: need money #pasarGOT7 https://t.co/2X0gMighWp</t>
  </si>
  <si>
    <t>WTS 
-RM 15 exc pos to wm for both 
-use jnt 
Help rt and help me find new homes for them  #pasarGOT7 https://t.co/AX6GWjaN1k</t>
  </si>
  <si>
    <t>WTS 
-youngjae BOL
-yugyeom DYE
-RM45 inc pos to wm
-use jnt
Help rt and help me find new home for these pcs 
#pasarGOT7 https://t.co/lx1OFMTMOe</t>
  </si>
  <si>
    <t>BARANG PACKING!! SIAP KIRIM! TRUSTED OLSHOP! Pengiriman dengan JNE/POS. PIN:778B048 WA:081322071239 https://t.co/SxmrVRSb3D</t>
  </si>
  <si>
    <t>Dugaan Korupsi Rp 52 Miliar di Anak Perusahaan PT Pos Indonesia, Seorang Tersangka Kembali Ditahan
https://t.co/acVMfowLtO</t>
  </si>
  <si>
    <t>Rico tá com o satamoita no corpo agora no pós roça!!!Confira o vídeo de Diego Santos! #TikTok https://t.co/e1va0fw5G4
#AFazenda #Fazenda13 #tretanafazenda #tatiquebrabarraco #ricomelquiades🤮</t>
  </si>
  <si>
    <t>Laju pulak jnt buat kerja. Baru semalam seller pos. Yg satu lagi still dkt kubang pasu. Satu lagi courier baru pick up. Sabor sabor hihi</t>
  </si>
  <si>
    <t>https://www.gov.br/anvisa/pt-br/assuntos/noticias-anvisa/2021/anvisa-alerta-sobre-risco-de-miocardite-e-pericardite-pos-vacinacao#:~:text=pericardite%20p%C3%B3s%2Dvacina%C3%A7%C3%A3o-,Anvisa%20alerta%20sobre%20risco%20de%20miocardite%20e%20pericardite%20p%C3%B3s%2Dvacina%C3%A7%C3%A3o</t>
  </si>
  <si>
    <t>https://m.tiktok.com/v/7010535652437560582.html?_d=secCgYIASAHKAESPgo8fiplwZO67T%2ByGv57xGVR9rXYPZh1VTKFW5I%2FeyV%2FgsK%2BE0%2BIxFzBjK4mb7NePnjwtshxtqF2CAwQWBI3GgA%3D&amp;checksum=4b8cb6097e9e9048cd2fa26e598ee9e3da22099fe36751d23fa290bb5b089a44&amp;language=pt&amp;preview_pb=0&amp;sec_user_id=MS4wLjABAAAASuT8Di8yuE_CjQ98N6BysXkETK4_QuQhvq61vuw2Qe9HA5IeYD4eBK6S7wILNqHX&amp;share_app_id=1233&amp;share_item_id=7010535652437560582&amp;share_link_id=b69f68be-5781-4ff3-ba5d-71aa1b8cb041&amp;source=h5_m&amp;timestamp=1632350334&amp;u_code=dfb6h097c120c0&amp;user_id=6891952189411181569&amp;utm_campaign=client_share&amp;utm_medium=android&amp;utm_source=copy</t>
  </si>
  <si>
    <t>https://m.tiktok.com/v/7013197634210893062.html?_d=secCgYIASAHKAESPgo8Aq5SygrOjixvWk7T0ax%2B%2B5sl6VjL2z5xHcTn1BoX8LHTTzSEm2hKS3UdTADtQppLz%2BRoNPfcWYxcULDEGgA%3D&amp;checksum=87474f934abedbff5c9b11828a0f34a8f029594fe7043182f2b95715dadfd587&amp;language=pt&amp;preview_pb=0&amp;sec_user_id=MS4wLjABAAAAI2lm3O5FsyjK4c6-OPIosdNQp_IKQOMG6-uZ9fYO1oqOMj9lF2nXHPPG06ubY80J&amp;share_app_id=1233&amp;share_item_id=7013197634210893062&amp;share_link_id=fa29d094-fb4b-4934-a184-c7986210af36&amp;source=h5_m&amp;timestamp=1632887177&amp;u_code=dacal0131bbbl5&amp;user_id=6783504759765861378&amp;utm_campaign=client_share&amp;utm_medium=android&amp;utm_source=twitter</t>
  </si>
  <si>
    <t>https://www.juventus.com/pt/news/articles/empate-contra-o-milan https://www.juventus.com/pt/news/galleries/juventus-milan-photos-x4795 https://www.juventus.com/pt/news/articles/sala-de-imprensa-juve-x-milan-entrevistas-pos-jogo</t>
  </si>
  <si>
    <t>https://www.juventus.com/pt/news/articles/empate-contra-o-milan https://www.juventus.com/pt/news/galleries/juventus-milan-photos-x4795</t>
  </si>
  <si>
    <t>https://ppgri.ufba.br/pt-br/edital-de-mestrado-alunoa-regular-2022-programa-de-pos-graduacao-em-relacoes-internacionaisufba https://ppgri.ufba.br/pt-br/edital-de-doutorado-alunoa-regular-2022-programa-de-pos-graduacao-em-relacoes-internacionaisufba</t>
  </si>
  <si>
    <t>https://ionline.sapo.pt/artigo/747013/capitulos-pos-autarquicas?seccao=Opiniao_i https://ionline.sapo.pt/artigo/747013/capitulos-pos-autarquicas?seccao=Opiniao_i</t>
  </si>
  <si>
    <t>https://www.gov.br/anvisa/pt-br/assuntos/noticias-anvisa/2021/anvisa-alerta-sobre-risco-de-miocardite-e-pericardite-pos-vacinacao https://twitter.com/taoquei1/status/1441105197468508160</t>
  </si>
  <si>
    <t>https://www.enb.pt/publicacao.php?id=528 https://www.ulusofona.pt/pos-graduacao/gestao-e-direcao-na-protecao-civil</t>
  </si>
  <si>
    <t>https://coimbraliberal.pt/coimbra-a-minha-escolha/proposta-iniciativa-liberal-coimbra-mensagem-pos-eleitoral-iniciativa-liberal-coimbra/ https://twitter.com/CoimbraLiberal/status/1442481949017247746</t>
  </si>
  <si>
    <t>https://www.tsf.pt/mundo/morreu-mohammed-hussein-tantawi-primeiro-governante-do-egito-pos-mubarak-14142777.html?utm_source=dlvr.it&amp;utm_medium=twitter https://www.tsf.pt/</t>
  </si>
  <si>
    <t>https://www.tsf.pt/mundo/forum-do-bce-debate-esta-terca-feira-o-futuro-pos-pandemia-da-politica-monetaria-14167823.html?utm_source=dlvr.it&amp;utm_medium=twitter https://www.tsf.pt/</t>
  </si>
  <si>
    <t>https://us02web.zoom.us/j/86022253889 https://mncbank.co.id/</t>
  </si>
  <si>
    <t>https://www.internetlab.org.br/pt/desigualdades-e-identidades/internetlab-e-wikimedia-anunciam-parceria-e-pos-doutorado-sobre-igualdade-no-conhecimento/ https://twitter.com/internetlabbr/status/1439965231917174791</t>
  </si>
  <si>
    <t>https://candidaturas.ipvc.pt https://www.ipvc.pt/cursos/gestao-da-qualidade-pos-graduacao/</t>
  </si>
  <si>
    <t>gov.br</t>
  </si>
  <si>
    <t>tiktok.com</t>
  </si>
  <si>
    <t>tiny.cc</t>
  </si>
  <si>
    <t>sapo.pt</t>
  </si>
  <si>
    <t>ulisboa.pt</t>
  </si>
  <si>
    <t>leonino.pt</t>
  </si>
  <si>
    <t>juventus.com juventus.com juventus.com</t>
  </si>
  <si>
    <t>juventus.com juventus.com</t>
  </si>
  <si>
    <t>shorturl.at</t>
  </si>
  <si>
    <t>ojogo.pt</t>
  </si>
  <si>
    <t>org.br</t>
  </si>
  <si>
    <t>edthink.pt</t>
  </si>
  <si>
    <t>altamont.pt</t>
  </si>
  <si>
    <t>ufba.br ufba.br</t>
  </si>
  <si>
    <t>elevensports.com</t>
  </si>
  <si>
    <t>publico.pt</t>
  </si>
  <si>
    <t>shopk.it</t>
  </si>
  <si>
    <t>sapo.pt sapo.pt</t>
  </si>
  <si>
    <t>rhmagazine.pt</t>
  </si>
  <si>
    <t>iol.pt</t>
  </si>
  <si>
    <t>dn.pt</t>
  </si>
  <si>
    <t>sicnoticias.pt</t>
  </si>
  <si>
    <t>semanariov.pt</t>
  </si>
  <si>
    <t>gettr.com</t>
  </si>
  <si>
    <t>ulusofona.pt</t>
  </si>
  <si>
    <t>blitz.pt</t>
  </si>
  <si>
    <t>twitch.tv</t>
  </si>
  <si>
    <t>aeiou.pt</t>
  </si>
  <si>
    <t>observador.pt</t>
  </si>
  <si>
    <t>facebook.com</t>
  </si>
  <si>
    <t>ufba.br</t>
  </si>
  <si>
    <t>genesys.com</t>
  </si>
  <si>
    <t>puc-rio.br</t>
  </si>
  <si>
    <t>dw.com</t>
  </si>
  <si>
    <t>tsf.pt</t>
  </si>
  <si>
    <t>expresso.pt</t>
  </si>
  <si>
    <t>com.br</t>
  </si>
  <si>
    <t>gov.br twitter.com</t>
  </si>
  <si>
    <t>teatrodobairroalto.pt</t>
  </si>
  <si>
    <t>vaticannews.va</t>
  </si>
  <si>
    <t>pucpr.br</t>
  </si>
  <si>
    <t>iscte-iul.pt</t>
  </si>
  <si>
    <t>onovo.pt</t>
  </si>
  <si>
    <t>record.pt</t>
  </si>
  <si>
    <t>dinheirovivo.pt</t>
  </si>
  <si>
    <t>jooble.org</t>
  </si>
  <si>
    <t>iebschool.com</t>
  </si>
  <si>
    <t>adventistas.org</t>
  </si>
  <si>
    <t>opraticante.pt</t>
  </si>
  <si>
    <t>ecclesia.pt</t>
  </si>
  <si>
    <t>maisribatejo.pt</t>
  </si>
  <si>
    <t>mec.pt</t>
  </si>
  <si>
    <t>rtp.pt</t>
  </si>
  <si>
    <t>ominho.pt</t>
  </si>
  <si>
    <t>unl.pt</t>
  </si>
  <si>
    <t>uab.pt</t>
  </si>
  <si>
    <t>enb.pt ulusofona.pt</t>
  </si>
  <si>
    <t>rimasebatidas.pt</t>
  </si>
  <si>
    <t>coimbraliberal.pt</t>
  </si>
  <si>
    <t>inspsic.pt</t>
  </si>
  <si>
    <t>coimbraliberal.pt twitter.com</t>
  </si>
  <si>
    <t>postal.pt</t>
  </si>
  <si>
    <t>futebol365.pt</t>
  </si>
  <si>
    <t>regiao-sul.pt</t>
  </si>
  <si>
    <t>tsf.pt tsf.pt</t>
  </si>
  <si>
    <t>zoom.us co.id</t>
  </si>
  <si>
    <t>linkedin.com</t>
  </si>
  <si>
    <t>shifter.pt</t>
  </si>
  <si>
    <t>jornaldenegocios.pt</t>
  </si>
  <si>
    <t>fne.pt</t>
  </si>
  <si>
    <t>ruc.pt</t>
  </si>
  <si>
    <t>brasil247.com</t>
  </si>
  <si>
    <t>msha.ke</t>
  </si>
  <si>
    <t>goo.gl</t>
  </si>
  <si>
    <t>org.br twitter.com</t>
  </si>
  <si>
    <t>ipvc.pt ipvc.pt</t>
  </si>
  <si>
    <t>oposisicerdas.com</t>
  </si>
  <si>
    <t>anvisa</t>
  </si>
  <si>
    <t>futebolscp sportingcp</t>
  </si>
  <si>
    <t>juvemilan</t>
  </si>
  <si>
    <t>kmerchssstockupdates kmerchsssfeedback</t>
  </si>
  <si>
    <t>filocri p4c p4wc</t>
  </si>
  <si>
    <t>rhmagazine estudo salario recuperação</t>
  </si>
  <si>
    <t>capacitação</t>
  </si>
  <si>
    <t>covid19</t>
  </si>
  <si>
    <t>tvzjuliette</t>
  </si>
  <si>
    <t>genesyscloudcx</t>
  </si>
  <si>
    <t>mestrado doutorado</t>
  </si>
  <si>
    <t>xavierdesousa tba</t>
  </si>
  <si>
    <t>cibersegurança segurança</t>
  </si>
  <si>
    <t>bolsonarosalvoupobre</t>
  </si>
  <si>
    <t>perumahan_amalia_regency perumahan_subsidi perumahan_gunungkidul perumahan_murah_mewah</t>
  </si>
  <si>
    <t>marketingdigital iebsxperience</t>
  </si>
  <si>
    <t>30secvideo posbloc posblocjkt creativespace nice place to visit masbo</t>
  </si>
  <si>
    <t>eleiçõesautarquicas marcelo</t>
  </si>
  <si>
    <t>braga carloscarvalhal danielramos</t>
  </si>
  <si>
    <t>uab pg dados gestão estatística matemática</t>
  </si>
  <si>
    <t>euescolhocoimbra politicaconsciente</t>
  </si>
  <si>
    <t>tacaroculpadobolsonaro</t>
  </si>
  <si>
    <t>infopku lokerpekanbaru</t>
  </si>
  <si>
    <t>pasarnct mynctjual</t>
  </si>
  <si>
    <t>sdds</t>
  </si>
  <si>
    <t>tiktok afazenda fazenda13 tretanafazenda tatiquebrabarraco ricomelquiades</t>
  </si>
  <si>
    <t>12:06:13</t>
  </si>
  <si>
    <t>12:07:23</t>
  </si>
  <si>
    <t>12:07:48</t>
  </si>
  <si>
    <t>11:49:30</t>
  </si>
  <si>
    <t>12:09:15</t>
  </si>
  <si>
    <t>12:35:02</t>
  </si>
  <si>
    <t>12:49:20</t>
  </si>
  <si>
    <t>12:50:30</t>
  </si>
  <si>
    <t>12:25:02</t>
  </si>
  <si>
    <t>12:51:38</t>
  </si>
  <si>
    <t>13:27:23</t>
  </si>
  <si>
    <t>13:59:34</t>
  </si>
  <si>
    <t>14:08:56</t>
  </si>
  <si>
    <t>14:23:25</t>
  </si>
  <si>
    <t>14:34:15</t>
  </si>
  <si>
    <t>14:43:21</t>
  </si>
  <si>
    <t>14:44:43</t>
  </si>
  <si>
    <t>15:11:27</t>
  </si>
  <si>
    <t>15:43:08</t>
  </si>
  <si>
    <t>16:36:45</t>
  </si>
  <si>
    <t>16:55:08</t>
  </si>
  <si>
    <t>16:56:51</t>
  </si>
  <si>
    <t>17:14:09</t>
  </si>
  <si>
    <t>18:01:35</t>
  </si>
  <si>
    <t>18:22:42</t>
  </si>
  <si>
    <t>18:38:15</t>
  </si>
  <si>
    <t>17:00:00</t>
  </si>
  <si>
    <t>16:05:09</t>
  </si>
  <si>
    <t>18:53:04</t>
  </si>
  <si>
    <t>19:03:50</t>
  </si>
  <si>
    <t>19:31:02</t>
  </si>
  <si>
    <t>19:46:18</t>
  </si>
  <si>
    <t>21:16:14</t>
  </si>
  <si>
    <t>21:21:17</t>
  </si>
  <si>
    <t>21:45:25</t>
  </si>
  <si>
    <t>21:57:32</t>
  </si>
  <si>
    <t>22:05:04</t>
  </si>
  <si>
    <t>22:08:13</t>
  </si>
  <si>
    <t>22:09:48</t>
  </si>
  <si>
    <t>22:15:04</t>
  </si>
  <si>
    <t>23:44:19</t>
  </si>
  <si>
    <t>23:51:46</t>
  </si>
  <si>
    <t>23:51:48</t>
  </si>
  <si>
    <t>23:52:24</t>
  </si>
  <si>
    <t>23:52:34</t>
  </si>
  <si>
    <t>23:54:03</t>
  </si>
  <si>
    <t>23:55:28</t>
  </si>
  <si>
    <t>23:55:48</t>
  </si>
  <si>
    <t>23:58:27</t>
  </si>
  <si>
    <t>23:59:06</t>
  </si>
  <si>
    <t>00:02:23</t>
  </si>
  <si>
    <t>00:04:34</t>
  </si>
  <si>
    <t>00:04:39</t>
  </si>
  <si>
    <t>00:06:08</t>
  </si>
  <si>
    <t>00:08:44</t>
  </si>
  <si>
    <t>00:10:57</t>
  </si>
  <si>
    <t>00:12:48</t>
  </si>
  <si>
    <t>00:13:24</t>
  </si>
  <si>
    <t>00:16:45</t>
  </si>
  <si>
    <t>00:37:57</t>
  </si>
  <si>
    <t>19:27:07</t>
  </si>
  <si>
    <t>00:39:27</t>
  </si>
  <si>
    <t>00:44:09</t>
  </si>
  <si>
    <t>00:47:12</t>
  </si>
  <si>
    <t>00:54:25</t>
  </si>
  <si>
    <t>01:13:33</t>
  </si>
  <si>
    <t>01:52:38</t>
  </si>
  <si>
    <t>01:38:10</t>
  </si>
  <si>
    <t>02:06:03</t>
  </si>
  <si>
    <t>02:06:09</t>
  </si>
  <si>
    <t>02:25:22</t>
  </si>
  <si>
    <t>04:04:40</t>
  </si>
  <si>
    <t>04:14:32</t>
  </si>
  <si>
    <t>06:42:41</t>
  </si>
  <si>
    <t>07:01:16</t>
  </si>
  <si>
    <t>07:20:51</t>
  </si>
  <si>
    <t>07:28:04</t>
  </si>
  <si>
    <t>09:43:56</t>
  </si>
  <si>
    <t>18:37:50</t>
  </si>
  <si>
    <t>09:50:59</t>
  </si>
  <si>
    <t>18:38:37</t>
  </si>
  <si>
    <t>10:30:17</t>
  </si>
  <si>
    <t>10:45:42</t>
  </si>
  <si>
    <t>11:00:03</t>
  </si>
  <si>
    <t>11:21:42</t>
  </si>
  <si>
    <t>11:59:12</t>
  </si>
  <si>
    <t>12:07:15</t>
  </si>
  <si>
    <t>12:08:33</t>
  </si>
  <si>
    <t>12:13:00</t>
  </si>
  <si>
    <t>12:39:42</t>
  </si>
  <si>
    <t>12:42:13</t>
  </si>
  <si>
    <t>13:02:13</t>
  </si>
  <si>
    <t>13:00:36</t>
  </si>
  <si>
    <t>13:16:57</t>
  </si>
  <si>
    <t>13:30:06</t>
  </si>
  <si>
    <t>13:36:28</t>
  </si>
  <si>
    <t>13:38:18</t>
  </si>
  <si>
    <t>13:38:35</t>
  </si>
  <si>
    <t>15:49:41</t>
  </si>
  <si>
    <t>18:17:07</t>
  </si>
  <si>
    <t>18:19:02</t>
  </si>
  <si>
    <t>18:23:02</t>
  </si>
  <si>
    <t>18:25:13</t>
  </si>
  <si>
    <t>19:14:51</t>
  </si>
  <si>
    <t>19:17:27</t>
  </si>
  <si>
    <t>20:06:25</t>
  </si>
  <si>
    <t>20:17:18</t>
  </si>
  <si>
    <t>20:25:37</t>
  </si>
  <si>
    <t>20:31:36</t>
  </si>
  <si>
    <t>20:54:02</t>
  </si>
  <si>
    <t>20:54:12</t>
  </si>
  <si>
    <t>21:04:22</t>
  </si>
  <si>
    <t>21:19:28</t>
  </si>
  <si>
    <t>21:40:41</t>
  </si>
  <si>
    <t>23:09:24</t>
  </si>
  <si>
    <t>23:43:11</t>
  </si>
  <si>
    <t>00:50:30</t>
  </si>
  <si>
    <t>01:18:04</t>
  </si>
  <si>
    <t>01:28:54</t>
  </si>
  <si>
    <t>01:42:32</t>
  </si>
  <si>
    <t>20:54:30</t>
  </si>
  <si>
    <t>01:47:58</t>
  </si>
  <si>
    <t>20:53:45</t>
  </si>
  <si>
    <t>01:59:23</t>
  </si>
  <si>
    <t>02:34:48</t>
  </si>
  <si>
    <t>02:53:40</t>
  </si>
  <si>
    <t>03:01:34</t>
  </si>
  <si>
    <t>13:14:25</t>
  </si>
  <si>
    <t>06:54:32</t>
  </si>
  <si>
    <t>08:55:07</t>
  </si>
  <si>
    <t>09:59:27</t>
  </si>
  <si>
    <t>10:11:11</t>
  </si>
  <si>
    <t>11:36:59</t>
  </si>
  <si>
    <t>11:37:00</t>
  </si>
  <si>
    <t>11:39:36</t>
  </si>
  <si>
    <t>11:45:03</t>
  </si>
  <si>
    <t>11:47:56</t>
  </si>
  <si>
    <t>11:48:06</t>
  </si>
  <si>
    <t>11:48:53</t>
  </si>
  <si>
    <t>11:49:21</t>
  </si>
  <si>
    <t>12:31:02</t>
  </si>
  <si>
    <t>12:59:55</t>
  </si>
  <si>
    <t>12:59:56</t>
  </si>
  <si>
    <t>13:42:07</t>
  </si>
  <si>
    <t>13:44:18</t>
  </si>
  <si>
    <t>12:39:22</t>
  </si>
  <si>
    <t>13:59:13</t>
  </si>
  <si>
    <t>14:05:01</t>
  </si>
  <si>
    <t>14:07:00</t>
  </si>
  <si>
    <t>14:36:59</t>
  </si>
  <si>
    <t>16:54:46</t>
  </si>
  <si>
    <t>15:34:10</t>
  </si>
  <si>
    <t>16:07:08</t>
  </si>
  <si>
    <t>16:11:41</t>
  </si>
  <si>
    <t>16:53:08</t>
  </si>
  <si>
    <t>17:41:13</t>
  </si>
  <si>
    <t>19:08:53</t>
  </si>
  <si>
    <t>19:09:32</t>
  </si>
  <si>
    <t>19:11:52</t>
  </si>
  <si>
    <t>19:07:00</t>
  </si>
  <si>
    <t>19:37:07</t>
  </si>
  <si>
    <t>19:49:32</t>
  </si>
  <si>
    <t>20:30:33</t>
  </si>
  <si>
    <t>18:30:36</t>
  </si>
  <si>
    <t>20:31:16</t>
  </si>
  <si>
    <t>20:42:09</t>
  </si>
  <si>
    <t>19:29:32</t>
  </si>
  <si>
    <t>20:49:07</t>
  </si>
  <si>
    <t>22:41:31</t>
  </si>
  <si>
    <t>21:01:30</t>
  </si>
  <si>
    <t>21:25:51</t>
  </si>
  <si>
    <t>22:40:00</t>
  </si>
  <si>
    <t>22:44:23</t>
  </si>
  <si>
    <t>22:52:33</t>
  </si>
  <si>
    <t>23:07:12</t>
  </si>
  <si>
    <t>10:40:21</t>
  </si>
  <si>
    <t>23:37:21</t>
  </si>
  <si>
    <t>02:11:32</t>
  </si>
  <si>
    <t>03:01:54</t>
  </si>
  <si>
    <t>03:03:45</t>
  </si>
  <si>
    <t>03:19:31</t>
  </si>
  <si>
    <t>05:50:10</t>
  </si>
  <si>
    <t>06:04:00</t>
  </si>
  <si>
    <t>08:17:40</t>
  </si>
  <si>
    <t>08:30:05</t>
  </si>
  <si>
    <t>08:32:51</t>
  </si>
  <si>
    <t>17:06:06</t>
  </si>
  <si>
    <t>18:52:28</t>
  </si>
  <si>
    <t>08:45:22</t>
  </si>
  <si>
    <t>08:47:08</t>
  </si>
  <si>
    <t>09:01:17</t>
  </si>
  <si>
    <t>09:44:35</t>
  </si>
  <si>
    <t>11:01:39</t>
  </si>
  <si>
    <t>13:02:03</t>
  </si>
  <si>
    <t>11:34:03</t>
  </si>
  <si>
    <t>12:20:04</t>
  </si>
  <si>
    <t>12:54:24</t>
  </si>
  <si>
    <t>13:02:21</t>
  </si>
  <si>
    <t>14:58:04</t>
  </si>
  <si>
    <t>15:33:58</t>
  </si>
  <si>
    <t>15:55:33</t>
  </si>
  <si>
    <t>17:26:43</t>
  </si>
  <si>
    <t>18:46:31</t>
  </si>
  <si>
    <t>13:25:45</t>
  </si>
  <si>
    <t>19:04:11</t>
  </si>
  <si>
    <t>19:05:25</t>
  </si>
  <si>
    <t>19:08:27</t>
  </si>
  <si>
    <t>19:12:23</t>
  </si>
  <si>
    <t>19:12:44</t>
  </si>
  <si>
    <t>19:30:10</t>
  </si>
  <si>
    <t>19:52:20</t>
  </si>
  <si>
    <t>20:16:42</t>
  </si>
  <si>
    <t>20:30:35</t>
  </si>
  <si>
    <t>20:50:37</t>
  </si>
  <si>
    <t>20:53:44</t>
  </si>
  <si>
    <t>20:14:54</t>
  </si>
  <si>
    <t>20:55:07</t>
  </si>
  <si>
    <t>21:28:02</t>
  </si>
  <si>
    <t>21:28:28</t>
  </si>
  <si>
    <t>21:42:35</t>
  </si>
  <si>
    <t>19:04:05</t>
  </si>
  <si>
    <t>21:45:00</t>
  </si>
  <si>
    <t>21:49:02</t>
  </si>
  <si>
    <t>22:13:25</t>
  </si>
  <si>
    <t>22:18:52</t>
  </si>
  <si>
    <t>22:27:32</t>
  </si>
  <si>
    <t>23:08:01</t>
  </si>
  <si>
    <t>23:34:17</t>
  </si>
  <si>
    <t>23:43:10</t>
  </si>
  <si>
    <t>14:34:44</t>
  </si>
  <si>
    <t>00:36:40</t>
  </si>
  <si>
    <t>00:55:06</t>
  </si>
  <si>
    <t>00:55:50</t>
  </si>
  <si>
    <t>01:15:45</t>
  </si>
  <si>
    <t>02:15:14</t>
  </si>
  <si>
    <t>03:04:15</t>
  </si>
  <si>
    <t>03:11:25</t>
  </si>
  <si>
    <t>03:44:54</t>
  </si>
  <si>
    <t>03:56:26</t>
  </si>
  <si>
    <t>05:03:39</t>
  </si>
  <si>
    <t>05:04:09</t>
  </si>
  <si>
    <t>07:18:12</t>
  </si>
  <si>
    <t>07:21:46</t>
  </si>
  <si>
    <t>08:03:46</t>
  </si>
  <si>
    <t>09:28:32</t>
  </si>
  <si>
    <t>10:17:40</t>
  </si>
  <si>
    <t>10:40:46</t>
  </si>
  <si>
    <t>11:26:31</t>
  </si>
  <si>
    <t>11:28:58</t>
  </si>
  <si>
    <t>11:31:27</t>
  </si>
  <si>
    <t>13:25:39</t>
  </si>
  <si>
    <t>13:35:52</t>
  </si>
  <si>
    <t>13:55:01</t>
  </si>
  <si>
    <t>00:33:09</t>
  </si>
  <si>
    <t>11:55:44</t>
  </si>
  <si>
    <t>11:36:03</t>
  </si>
  <si>
    <t>11:59:32</t>
  </si>
  <si>
    <t>12:01:59</t>
  </si>
  <si>
    <t>14:07:22</t>
  </si>
  <si>
    <t>14:16:53</t>
  </si>
  <si>
    <t>14:17:23</t>
  </si>
  <si>
    <t>14:17:33</t>
  </si>
  <si>
    <t>14:43:02</t>
  </si>
  <si>
    <t>14:55:21</t>
  </si>
  <si>
    <t>14:56:56</t>
  </si>
  <si>
    <t>15:01:03</t>
  </si>
  <si>
    <t>15:10:11</t>
  </si>
  <si>
    <t>15:32:40</t>
  </si>
  <si>
    <t>15:53:45</t>
  </si>
  <si>
    <t>15:53:51</t>
  </si>
  <si>
    <t>15:21:13</t>
  </si>
  <si>
    <t>15:35:57</t>
  </si>
  <si>
    <t>16:32:14</t>
  </si>
  <si>
    <t>17:13:07</t>
  </si>
  <si>
    <t>17:17:01</t>
  </si>
  <si>
    <t>18:17:24</t>
  </si>
  <si>
    <t>08:40:33</t>
  </si>
  <si>
    <t>18:26:56</t>
  </si>
  <si>
    <t>18:56:04</t>
  </si>
  <si>
    <t>18:56:53</t>
  </si>
  <si>
    <t>17:05:22</t>
  </si>
  <si>
    <t>19:03:11</t>
  </si>
  <si>
    <t>20:15:40</t>
  </si>
  <si>
    <t>21:25:10</t>
  </si>
  <si>
    <t>21:32:44</t>
  </si>
  <si>
    <t>21:32:55</t>
  </si>
  <si>
    <t>21:32:56</t>
  </si>
  <si>
    <t>21:40:27</t>
  </si>
  <si>
    <t>21:43:03</t>
  </si>
  <si>
    <t>21:45:55</t>
  </si>
  <si>
    <t>22:01:24</t>
  </si>
  <si>
    <t>22:02:15</t>
  </si>
  <si>
    <t>22:13:29</t>
  </si>
  <si>
    <t>22:17:08</t>
  </si>
  <si>
    <t>22:26:19</t>
  </si>
  <si>
    <t>22:28:11</t>
  </si>
  <si>
    <t>22:35:24</t>
  </si>
  <si>
    <t>23:06:24</t>
  </si>
  <si>
    <t>21:48:01</t>
  </si>
  <si>
    <t>23:27:43</t>
  </si>
  <si>
    <t>23:42:50</t>
  </si>
  <si>
    <t>00:01:26</t>
  </si>
  <si>
    <t>00:28:38</t>
  </si>
  <si>
    <t>00:41:42</t>
  </si>
  <si>
    <t>00:47:26</t>
  </si>
  <si>
    <t>00:48:02</t>
  </si>
  <si>
    <t>01:07:44</t>
  </si>
  <si>
    <t>01:10:14</t>
  </si>
  <si>
    <t>01:22:09</t>
  </si>
  <si>
    <t>13:42:28</t>
  </si>
  <si>
    <t>04:55:33</t>
  </si>
  <si>
    <t>01:38:46</t>
  </si>
  <si>
    <t>01:41:18</t>
  </si>
  <si>
    <t>01:47:14</t>
  </si>
  <si>
    <t>02:26:56</t>
  </si>
  <si>
    <t>02:51:41</t>
  </si>
  <si>
    <t>03:05:48</t>
  </si>
  <si>
    <t>03:18:19</t>
  </si>
  <si>
    <t>03:47:59</t>
  </si>
  <si>
    <t>04:26:44</t>
  </si>
  <si>
    <t>04:52:51</t>
  </si>
  <si>
    <t>05:12:49</t>
  </si>
  <si>
    <t>02:21:01</t>
  </si>
  <si>
    <t>05:13:25</t>
  </si>
  <si>
    <t>06:59:41</t>
  </si>
  <si>
    <t>07:07:58</t>
  </si>
  <si>
    <t>07:16:13</t>
  </si>
  <si>
    <t>07:56:37</t>
  </si>
  <si>
    <t>08:07:47</t>
  </si>
  <si>
    <t>09:12:18</t>
  </si>
  <si>
    <t>09:50:15</t>
  </si>
  <si>
    <t>10:00:56</t>
  </si>
  <si>
    <t>21:50:31</t>
  </si>
  <si>
    <t>13:05:28</t>
  </si>
  <si>
    <t>16:15:51</t>
  </si>
  <si>
    <t>00:36:45</t>
  </si>
  <si>
    <t>15:20:26</t>
  </si>
  <si>
    <t>10:20:52</t>
  </si>
  <si>
    <t>10:46:52</t>
  </si>
  <si>
    <t>10:50:35</t>
  </si>
  <si>
    <t>10:57:00</t>
  </si>
  <si>
    <t>09:04:14</t>
  </si>
  <si>
    <t>10:59:30</t>
  </si>
  <si>
    <t>11:14:12</t>
  </si>
  <si>
    <t>11:51:08</t>
  </si>
  <si>
    <t>12:05:43</t>
  </si>
  <si>
    <t>12:06:14</t>
  </si>
  <si>
    <t>12:13:35</t>
  </si>
  <si>
    <t>13:02:35</t>
  </si>
  <si>
    <t>13:03:01</t>
  </si>
  <si>
    <t>13:39:55</t>
  </si>
  <si>
    <t>11:12:59</t>
  </si>
  <si>
    <t>13:52:27</t>
  </si>
  <si>
    <t>14:16:02</t>
  </si>
  <si>
    <t>15:15:50</t>
  </si>
  <si>
    <t>14:36:52</t>
  </si>
  <si>
    <t>15:00:17</t>
  </si>
  <si>
    <t>10:21:08</t>
  </si>
  <si>
    <t>19:01:16</t>
  </si>
  <si>
    <t>21:16:07</t>
  </si>
  <si>
    <t>15:36:57</t>
  </si>
  <si>
    <t>16:02:03</t>
  </si>
  <si>
    <t>16:02:46</t>
  </si>
  <si>
    <t>15:56:13</t>
  </si>
  <si>
    <t>16:04:57</t>
  </si>
  <si>
    <t>16:46:43</t>
  </si>
  <si>
    <t>17:01:03</t>
  </si>
  <si>
    <t>17:22:36</t>
  </si>
  <si>
    <t>18:10:23</t>
  </si>
  <si>
    <t>18:19:36</t>
  </si>
  <si>
    <t>18:53:24</t>
  </si>
  <si>
    <t>19:13:21</t>
  </si>
  <si>
    <t>19:52:38</t>
  </si>
  <si>
    <t>19:53:07</t>
  </si>
  <si>
    <t>20:02:43</t>
  </si>
  <si>
    <t>20:26:37</t>
  </si>
  <si>
    <t>21:20:38</t>
  </si>
  <si>
    <t>21:23:37</t>
  </si>
  <si>
    <t>21:35:38</t>
  </si>
  <si>
    <t>21:58:01</t>
  </si>
  <si>
    <t>22:37:24</t>
  </si>
  <si>
    <t>22:52:59</t>
  </si>
  <si>
    <t>23:21:43</t>
  </si>
  <si>
    <t>00:09:15</t>
  </si>
  <si>
    <t>00:51:57</t>
  </si>
  <si>
    <t>00:53:03</t>
  </si>
  <si>
    <t>01:51:33</t>
  </si>
  <si>
    <t>02:01:45</t>
  </si>
  <si>
    <t>02:03:04</t>
  </si>
  <si>
    <t>02:31:13</t>
  </si>
  <si>
    <t>03:22:47</t>
  </si>
  <si>
    <t>04:49:36</t>
  </si>
  <si>
    <t>06:08:52</t>
  </si>
  <si>
    <t>07:21:35</t>
  </si>
  <si>
    <t>09:40:56</t>
  </si>
  <si>
    <t>12:08:49</t>
  </si>
  <si>
    <t>10:08:23</t>
  </si>
  <si>
    <t>09:27:03</t>
  </si>
  <si>
    <t>10:59:48</t>
  </si>
  <si>
    <t>10:35:58</t>
  </si>
  <si>
    <t>11:52:31</t>
  </si>
  <si>
    <t>12:16:49</t>
  </si>
  <si>
    <t>12:22:21</t>
  </si>
  <si>
    <t>12:47:14</t>
  </si>
  <si>
    <t>12:48:38</t>
  </si>
  <si>
    <t>12:50:16</t>
  </si>
  <si>
    <t>12:50:36</t>
  </si>
  <si>
    <t>12:51:59</t>
  </si>
  <si>
    <t>12:53:29</t>
  </si>
  <si>
    <t>12:56:52</t>
  </si>
  <si>
    <t>12:57:45</t>
  </si>
  <si>
    <t>12:57:49</t>
  </si>
  <si>
    <t>12:58:22</t>
  </si>
  <si>
    <t>12:58:47</t>
  </si>
  <si>
    <t>12:59:54</t>
  </si>
  <si>
    <t>13:00:40</t>
  </si>
  <si>
    <t>13:00:55</t>
  </si>
  <si>
    <t>13:01:05</t>
  </si>
  <si>
    <t>13:01:43</t>
  </si>
  <si>
    <t>13:02:42</t>
  </si>
  <si>
    <t>13:02:51</t>
  </si>
  <si>
    <t>13:02:56</t>
  </si>
  <si>
    <t>13:04:10</t>
  </si>
  <si>
    <t>13:04:22</t>
  </si>
  <si>
    <t>13:04:23</t>
  </si>
  <si>
    <t>13:04:49</t>
  </si>
  <si>
    <t>03:22:55</t>
  </si>
  <si>
    <t>14:17:13</t>
  </si>
  <si>
    <t>13:05:33</t>
  </si>
  <si>
    <t>13:06:43</t>
  </si>
  <si>
    <t>13:07:10</t>
  </si>
  <si>
    <t>13:08:24</t>
  </si>
  <si>
    <t>13:08:39</t>
  </si>
  <si>
    <t>13:09:07</t>
  </si>
  <si>
    <t>13:11:13</t>
  </si>
  <si>
    <t>13:11:23</t>
  </si>
  <si>
    <t>13:11:39</t>
  </si>
  <si>
    <t>01:37:35</t>
  </si>
  <si>
    <t>13:12:21</t>
  </si>
  <si>
    <t>13:13:51</t>
  </si>
  <si>
    <t>13:14:02</t>
  </si>
  <si>
    <t>13:17:47</t>
  </si>
  <si>
    <t>13:19:01</t>
  </si>
  <si>
    <t>13:19:52</t>
  </si>
  <si>
    <t>13:19:53</t>
  </si>
  <si>
    <t>13:19:57</t>
  </si>
  <si>
    <t>13:20:19</t>
  </si>
  <si>
    <t>13:21:07</t>
  </si>
  <si>
    <t>13:21:43</t>
  </si>
  <si>
    <t>13:23:23</t>
  </si>
  <si>
    <t>13:23:35</t>
  </si>
  <si>
    <t>13:25:55</t>
  </si>
  <si>
    <t>13:26:05</t>
  </si>
  <si>
    <t>13:26:14</t>
  </si>
  <si>
    <t>13:28:37</t>
  </si>
  <si>
    <t>13:29:15</t>
  </si>
  <si>
    <t>13:29:26</t>
  </si>
  <si>
    <t>13:29:53</t>
  </si>
  <si>
    <t>13:30:13</t>
  </si>
  <si>
    <t>13:31:29</t>
  </si>
  <si>
    <t>13:40:06</t>
  </si>
  <si>
    <t>13:43:32</t>
  </si>
  <si>
    <t>13:44:13</t>
  </si>
  <si>
    <t>13:44:57</t>
  </si>
  <si>
    <t>13:47:18</t>
  </si>
  <si>
    <t>13:48:24</t>
  </si>
  <si>
    <t>13:49:04</t>
  </si>
  <si>
    <t>13:49:13</t>
  </si>
  <si>
    <t>13:56:38</t>
  </si>
  <si>
    <t>13:56:43</t>
  </si>
  <si>
    <t>14:04:45</t>
  </si>
  <si>
    <t>14:06:26</t>
  </si>
  <si>
    <t>14:09:18</t>
  </si>
  <si>
    <t>14:10:21</t>
  </si>
  <si>
    <t>14:10:57</t>
  </si>
  <si>
    <t>14:11:12</t>
  </si>
  <si>
    <t>14:12:08</t>
  </si>
  <si>
    <t>14:12:50</t>
  </si>
  <si>
    <t>14:16:16</t>
  </si>
  <si>
    <t>14:16:19</t>
  </si>
  <si>
    <t>14:20:30</t>
  </si>
  <si>
    <t>14:24:18</t>
  </si>
  <si>
    <t>14:24:24</t>
  </si>
  <si>
    <t>14:25:54</t>
  </si>
  <si>
    <t>14:26:23</t>
  </si>
  <si>
    <t>14:28:55</t>
  </si>
  <si>
    <t>14:33:55</t>
  </si>
  <si>
    <t>14:34:38</t>
  </si>
  <si>
    <t>14:35:16</t>
  </si>
  <si>
    <t>14:37:24</t>
  </si>
  <si>
    <t>14:38:53</t>
  </si>
  <si>
    <t>14:39:10</t>
  </si>
  <si>
    <t>14:40:41</t>
  </si>
  <si>
    <t>14:41:14</t>
  </si>
  <si>
    <t>14:47:29</t>
  </si>
  <si>
    <t>14:50:33</t>
  </si>
  <si>
    <t>14:51:48</t>
  </si>
  <si>
    <t>14:52:11</t>
  </si>
  <si>
    <t>14:55:48</t>
  </si>
  <si>
    <t>14:56:54</t>
  </si>
  <si>
    <t>15:00:37</t>
  </si>
  <si>
    <t>15:05:25</t>
  </si>
  <si>
    <t>15:06:46</t>
  </si>
  <si>
    <t>15:08:27</t>
  </si>
  <si>
    <t>15:09:34</t>
  </si>
  <si>
    <t>15:10:43</t>
  </si>
  <si>
    <t>15:11:24</t>
  </si>
  <si>
    <t>15:13:42</t>
  </si>
  <si>
    <t>15:14:39</t>
  </si>
  <si>
    <t>15:15:27</t>
  </si>
  <si>
    <t>15:25:43</t>
  </si>
  <si>
    <t>15:27:24</t>
  </si>
  <si>
    <t>15:27:33</t>
  </si>
  <si>
    <t>15:31:12</t>
  </si>
  <si>
    <t>15:34:45</t>
  </si>
  <si>
    <t>15:40:42</t>
  </si>
  <si>
    <t>15:41:07</t>
  </si>
  <si>
    <t>15:43:00</t>
  </si>
  <si>
    <t>15:44:41</t>
  </si>
  <si>
    <t>15:44:50</t>
  </si>
  <si>
    <t>15:47:08</t>
  </si>
  <si>
    <t>15:48:11</t>
  </si>
  <si>
    <t>20:19:20</t>
  </si>
  <si>
    <t>15:49:02</t>
  </si>
  <si>
    <t>15:52:05</t>
  </si>
  <si>
    <t>15:48:30</t>
  </si>
  <si>
    <t>15:54:16</t>
  </si>
  <si>
    <t>16:13:19</t>
  </si>
  <si>
    <t>16:17:31</t>
  </si>
  <si>
    <t>16:20:35</t>
  </si>
  <si>
    <t>16:22:09</t>
  </si>
  <si>
    <t>12:43:26</t>
  </si>
  <si>
    <t>16:29:16</t>
  </si>
  <si>
    <t>16:30:34</t>
  </si>
  <si>
    <t>16:32:30</t>
  </si>
  <si>
    <t>16:38:32</t>
  </si>
  <si>
    <t>16:40:07</t>
  </si>
  <si>
    <t>16:42:50</t>
  </si>
  <si>
    <t>16:43:03</t>
  </si>
  <si>
    <t>16:43:15</t>
  </si>
  <si>
    <t>16:48:41</t>
  </si>
  <si>
    <t>16:52:01</t>
  </si>
  <si>
    <t>16:54:43</t>
  </si>
  <si>
    <t>17:03:36</t>
  </si>
  <si>
    <t>17:03:51</t>
  </si>
  <si>
    <t>17:07:20</t>
  </si>
  <si>
    <t>17:10:54</t>
  </si>
  <si>
    <t>17:24:14</t>
  </si>
  <si>
    <t>17:27:00</t>
  </si>
  <si>
    <t>17:31:39</t>
  </si>
  <si>
    <t>17:33:57</t>
  </si>
  <si>
    <t>17:54:33</t>
  </si>
  <si>
    <t>17:58:33</t>
  </si>
  <si>
    <t>18:00:15</t>
  </si>
  <si>
    <t>18:17:37</t>
  </si>
  <si>
    <t>18:25:14</t>
  </si>
  <si>
    <t>18:25:52</t>
  </si>
  <si>
    <t>18:35:40</t>
  </si>
  <si>
    <t>18:45:52</t>
  </si>
  <si>
    <t>18:50:06</t>
  </si>
  <si>
    <t>18:51:12</t>
  </si>
  <si>
    <t>18:55:20</t>
  </si>
  <si>
    <t>19:07:53</t>
  </si>
  <si>
    <t>19:09:17</t>
  </si>
  <si>
    <t>19:23:50</t>
  </si>
  <si>
    <t>19:27:11</t>
  </si>
  <si>
    <t>19:28:25</t>
  </si>
  <si>
    <t>19:29:29</t>
  </si>
  <si>
    <t>19:30:51</t>
  </si>
  <si>
    <t>19:32:36</t>
  </si>
  <si>
    <t>19:32:39</t>
  </si>
  <si>
    <t>19:34:37</t>
  </si>
  <si>
    <t>19:41:20</t>
  </si>
  <si>
    <t>19:56:26</t>
  </si>
  <si>
    <t>20:08:44</t>
  </si>
  <si>
    <t>20:10:13</t>
  </si>
  <si>
    <t>20:12:08</t>
  </si>
  <si>
    <t>20:22:15</t>
  </si>
  <si>
    <t>20:22:17</t>
  </si>
  <si>
    <t>20:37:01</t>
  </si>
  <si>
    <t>21:03:22</t>
  </si>
  <si>
    <t>21:07:16</t>
  </si>
  <si>
    <t>21:12:49</t>
  </si>
  <si>
    <t>21:16:12</t>
  </si>
  <si>
    <t>21:20:20</t>
  </si>
  <si>
    <t>21:26:51</t>
  </si>
  <si>
    <t>21:28:29</t>
  </si>
  <si>
    <t>21:33:18</t>
  </si>
  <si>
    <t>21:35:57</t>
  </si>
  <si>
    <t>21:48:35</t>
  </si>
  <si>
    <t>21:50:16</t>
  </si>
  <si>
    <t>22:03:19</t>
  </si>
  <si>
    <t>22:06:33</t>
  </si>
  <si>
    <t>22:14:15</t>
  </si>
  <si>
    <t>22:20:08</t>
  </si>
  <si>
    <t>22:28:09</t>
  </si>
  <si>
    <t>22:33:37</t>
  </si>
  <si>
    <t>22:45:10</t>
  </si>
  <si>
    <t>22:50:09</t>
  </si>
  <si>
    <t>23:04:02</t>
  </si>
  <si>
    <t>23:16:47</t>
  </si>
  <si>
    <t>23:17:21</t>
  </si>
  <si>
    <t>23:17:39</t>
  </si>
  <si>
    <t>23:46:23</t>
  </si>
  <si>
    <t>23:46:31</t>
  </si>
  <si>
    <t>00:08:06</t>
  </si>
  <si>
    <t>00:19:31</t>
  </si>
  <si>
    <t>00:26:15</t>
  </si>
  <si>
    <t>00:50:08</t>
  </si>
  <si>
    <t>00:50:41</t>
  </si>
  <si>
    <t>00:51:42</t>
  </si>
  <si>
    <t>00:53:58</t>
  </si>
  <si>
    <t>01:00:32</t>
  </si>
  <si>
    <t>01:01:14</t>
  </si>
  <si>
    <t>01:02:42</t>
  </si>
  <si>
    <t>01:19:13</t>
  </si>
  <si>
    <t>01:22:36</t>
  </si>
  <si>
    <t>01:24:42</t>
  </si>
  <si>
    <t>01:49:16</t>
  </si>
  <si>
    <t>01:50:33</t>
  </si>
  <si>
    <t>02:00:26</t>
  </si>
  <si>
    <t>02:17:50</t>
  </si>
  <si>
    <t>02:45:56</t>
  </si>
  <si>
    <t>02:52:16</t>
  </si>
  <si>
    <t>02:56:04</t>
  </si>
  <si>
    <t>03:38:55</t>
  </si>
  <si>
    <t>03:48:13</t>
  </si>
  <si>
    <t>03:49:44</t>
  </si>
  <si>
    <t>03:57:49</t>
  </si>
  <si>
    <t>04:36:38</t>
  </si>
  <si>
    <t>05:41:23</t>
  </si>
  <si>
    <t>12:33:42</t>
  </si>
  <si>
    <t>05:41:35</t>
  </si>
  <si>
    <t>06:15:13</t>
  </si>
  <si>
    <t>06:17:48</t>
  </si>
  <si>
    <t>06:37:05</t>
  </si>
  <si>
    <t>06:52:03</t>
  </si>
  <si>
    <t>06:58:21</t>
  </si>
  <si>
    <t>07:47:04</t>
  </si>
  <si>
    <t>07:55:34</t>
  </si>
  <si>
    <t>08:41:07</t>
  </si>
  <si>
    <t>07:56:06</t>
  </si>
  <si>
    <t>07:57:41</t>
  </si>
  <si>
    <t>08:38:03</t>
  </si>
  <si>
    <t>08:39:26</t>
  </si>
  <si>
    <t>08:50:28</t>
  </si>
  <si>
    <t>09:18:50</t>
  </si>
  <si>
    <t>09:44:38</t>
  </si>
  <si>
    <t>10:09:46</t>
  </si>
  <si>
    <t>10:30:45</t>
  </si>
  <si>
    <t>10:48:42</t>
  </si>
  <si>
    <t>10:51:03</t>
  </si>
  <si>
    <t>21:15:35</t>
  </si>
  <si>
    <t>11:46:48</t>
  </si>
  <si>
    <t>11:55:29</t>
  </si>
  <si>
    <t>11:59:11</t>
  </si>
  <si>
    <t>12:23:13</t>
  </si>
  <si>
    <t>12:28:10</t>
  </si>
  <si>
    <t>12:32:44</t>
  </si>
  <si>
    <t>12:32:46</t>
  </si>
  <si>
    <t>12:34:10</t>
  </si>
  <si>
    <t>12:35:12</t>
  </si>
  <si>
    <t>12:36:52</t>
  </si>
  <si>
    <t>12:52:50</t>
  </si>
  <si>
    <t>13:13:23</t>
  </si>
  <si>
    <t>13:23:34</t>
  </si>
  <si>
    <t>13:25:57</t>
  </si>
  <si>
    <t>13:30:49</t>
  </si>
  <si>
    <t>13:32:07</t>
  </si>
  <si>
    <t>13:46:08</t>
  </si>
  <si>
    <t>14:00:28</t>
  </si>
  <si>
    <t>14:06:27</t>
  </si>
  <si>
    <t>14:24:59</t>
  </si>
  <si>
    <t>16:03:38</t>
  </si>
  <si>
    <t>16:09:46</t>
  </si>
  <si>
    <t>13:42:11</t>
  </si>
  <si>
    <t>12:49:36</t>
  </si>
  <si>
    <t>14:02:10</t>
  </si>
  <si>
    <t>15:07:59</t>
  </si>
  <si>
    <t>14:26:58</t>
  </si>
  <si>
    <t>14:27:48</t>
  </si>
  <si>
    <t>14:32:20</t>
  </si>
  <si>
    <t>14:35:32</t>
  </si>
  <si>
    <t>14:34:39</t>
  </si>
  <si>
    <t>14:45:55</t>
  </si>
  <si>
    <t>14:49:39</t>
  </si>
  <si>
    <t>21:19:08</t>
  </si>
  <si>
    <t>14:49:48</t>
  </si>
  <si>
    <t>15:04:07</t>
  </si>
  <si>
    <t>15:16:57</t>
  </si>
  <si>
    <t>01:45:04</t>
  </si>
  <si>
    <t>15:32:59</t>
  </si>
  <si>
    <t>15:36:33</t>
  </si>
  <si>
    <t>15:57:43</t>
  </si>
  <si>
    <t>16:05:54</t>
  </si>
  <si>
    <t>16:06:28</t>
  </si>
  <si>
    <t>18:07:50</t>
  </si>
  <si>
    <t>18:32:08</t>
  </si>
  <si>
    <t>20:50:32</t>
  </si>
  <si>
    <t>21:00:34</t>
  </si>
  <si>
    <t>21:04:46</t>
  </si>
  <si>
    <t>21:12:13</t>
  </si>
  <si>
    <t>13:31:11</t>
  </si>
  <si>
    <t>21:12:36</t>
  </si>
  <si>
    <t>20:38:15</t>
  </si>
  <si>
    <t>22:03:08</t>
  </si>
  <si>
    <t>22:27:09</t>
  </si>
  <si>
    <t>23:01:15</t>
  </si>
  <si>
    <t>23:09:40</t>
  </si>
  <si>
    <t>23:25:19</t>
  </si>
  <si>
    <t>23:25:25</t>
  </si>
  <si>
    <t>23:25:38</t>
  </si>
  <si>
    <t>23:48:42</t>
  </si>
  <si>
    <t>22:24:18</t>
  </si>
  <si>
    <t>00:36:13</t>
  </si>
  <si>
    <t>00:49:27</t>
  </si>
  <si>
    <t>00:15:08</t>
  </si>
  <si>
    <t>01:11:27</t>
  </si>
  <si>
    <t>01:53:11</t>
  </si>
  <si>
    <t>02:08:10</t>
  </si>
  <si>
    <t>02:13:30</t>
  </si>
  <si>
    <t>02:36:21</t>
  </si>
  <si>
    <t>01:47:44</t>
  </si>
  <si>
    <t>01:48:02</t>
  </si>
  <si>
    <t>00:19:19</t>
  </si>
  <si>
    <t>02:48:12</t>
  </si>
  <si>
    <t>03:45:51</t>
  </si>
  <si>
    <t>04:06:25</t>
  </si>
  <si>
    <t>06:23:01</t>
  </si>
  <si>
    <t>06:28:37</t>
  </si>
  <si>
    <t>06:38:19</t>
  </si>
  <si>
    <t>06:38:36</t>
  </si>
  <si>
    <t>06:41:53</t>
  </si>
  <si>
    <t>06:44:16</t>
  </si>
  <si>
    <t>06:45:52</t>
  </si>
  <si>
    <t>10:05:31</t>
  </si>
  <si>
    <t>11:25:30</t>
  </si>
  <si>
    <t>06:45:57</t>
  </si>
  <si>
    <t>06:50:35</t>
  </si>
  <si>
    <t>07:00:41</t>
  </si>
  <si>
    <t>07:00:42</t>
  </si>
  <si>
    <t>08:16:04</t>
  </si>
  <si>
    <t>07:10:03</t>
  </si>
  <si>
    <t>08:16:07</t>
  </si>
  <si>
    <t>08:38:05</t>
  </si>
  <si>
    <t>08:55:27</t>
  </si>
  <si>
    <t>08:56:37</t>
  </si>
  <si>
    <t>08:56:40</t>
  </si>
  <si>
    <t>08:56:44</t>
  </si>
  <si>
    <t>08:56:47</t>
  </si>
  <si>
    <t>08:56:50</t>
  </si>
  <si>
    <t>09:02:10</t>
  </si>
  <si>
    <t>09:28:45</t>
  </si>
  <si>
    <t>09:39:32</t>
  </si>
  <si>
    <t>09:42:55</t>
  </si>
  <si>
    <t>09:44:16</t>
  </si>
  <si>
    <t>09:52:08</t>
  </si>
  <si>
    <t>09:55:43</t>
  </si>
  <si>
    <t>09:55:55</t>
  </si>
  <si>
    <t>09:57:26</t>
  </si>
  <si>
    <t>09:57:39</t>
  </si>
  <si>
    <t>10:00:40</t>
  </si>
  <si>
    <t>10:02:13</t>
  </si>
  <si>
    <t>10:03:07</t>
  </si>
  <si>
    <t>10:11:19</t>
  </si>
  <si>
    <t>10:12:36</t>
  </si>
  <si>
    <t>10:21:00</t>
  </si>
  <si>
    <t>10:23:56</t>
  </si>
  <si>
    <t>10:27:20</t>
  </si>
  <si>
    <t>10:38:12</t>
  </si>
  <si>
    <t>11:10:31</t>
  </si>
  <si>
    <t>11:13:35</t>
  </si>
  <si>
    <t>11:17:35</t>
  </si>
  <si>
    <t>11:23:06</t>
  </si>
  <si>
    <t>11:28:52</t>
  </si>
  <si>
    <t>11:33:12</t>
  </si>
  <si>
    <t>11:41:45</t>
  </si>
  <si>
    <t>11:49:37</t>
  </si>
  <si>
    <t>11:50:53</t>
  </si>
  <si>
    <t>12:00:49</t>
  </si>
  <si>
    <t>12:35:07</t>
  </si>
  <si>
    <t>12:41:30</t>
  </si>
  <si>
    <t>12:49:43</t>
  </si>
  <si>
    <t>12:55:25</t>
  </si>
  <si>
    <t>12:56:33</t>
  </si>
  <si>
    <t>12:59:13</t>
  </si>
  <si>
    <t>15:02:06</t>
  </si>
  <si>
    <t>13:00:00</t>
  </si>
  <si>
    <t>13:19:16</t>
  </si>
  <si>
    <t>13:26:50</t>
  </si>
  <si>
    <t>13:32:16</t>
  </si>
  <si>
    <t>13:49:49</t>
  </si>
  <si>
    <t>13:54:06</t>
  </si>
  <si>
    <t>14:25:18</t>
  </si>
  <si>
    <t>14:26:09</t>
  </si>
  <si>
    <t>14:32:01</t>
  </si>
  <si>
    <t>14:34:16</t>
  </si>
  <si>
    <t>12:48:45</t>
  </si>
  <si>
    <t>14:34:40</t>
  </si>
  <si>
    <t>13:12:11</t>
  </si>
  <si>
    <t>14:35:53</t>
  </si>
  <si>
    <t>14:40:39</t>
  </si>
  <si>
    <t>15:06:04</t>
  </si>
  <si>
    <t>15:16:03</t>
  </si>
  <si>
    <t>15:18:06</t>
  </si>
  <si>
    <t>15:30:47</t>
  </si>
  <si>
    <t>15:41:05</t>
  </si>
  <si>
    <t>15:54:35</t>
  </si>
  <si>
    <t>15:54:50</t>
  </si>
  <si>
    <t>15:59:21</t>
  </si>
  <si>
    <t>16:14:14</t>
  </si>
  <si>
    <t>16:15:36</t>
  </si>
  <si>
    <t>16:22:14</t>
  </si>
  <si>
    <t>16:30:05</t>
  </si>
  <si>
    <t>16:34:51</t>
  </si>
  <si>
    <t>16:39:12</t>
  </si>
  <si>
    <t>12:47:07</t>
  </si>
  <si>
    <t>14:31:27</t>
  </si>
  <si>
    <t>16:50:15</t>
  </si>
  <si>
    <t>17:00:03</t>
  </si>
  <si>
    <t>17:13:05</t>
  </si>
  <si>
    <t>17:19:11</t>
  </si>
  <si>
    <t>14:50:39</t>
  </si>
  <si>
    <t>14:50:40</t>
  </si>
  <si>
    <t>13:10:01</t>
  </si>
  <si>
    <t>17:42:23</t>
  </si>
  <si>
    <t>09:36:15</t>
  </si>
  <si>
    <t>17:45:03</t>
  </si>
  <si>
    <t>17:55:34</t>
  </si>
  <si>
    <t>18:17:17</t>
  </si>
  <si>
    <t>12:31:59</t>
  </si>
  <si>
    <t>21:41:37</t>
  </si>
  <si>
    <t>08:32:00</t>
  </si>
  <si>
    <t>01:29:46</t>
  </si>
  <si>
    <t>19:03:43</t>
  </si>
  <si>
    <t>20:04:41</t>
  </si>
  <si>
    <t>20:52:27</t>
  </si>
  <si>
    <t>23:17:51</t>
  </si>
  <si>
    <t>00:21:09</t>
  </si>
  <si>
    <t>00:58:58</t>
  </si>
  <si>
    <t>01:14:55</t>
  </si>
  <si>
    <t>17:08:26</t>
  </si>
  <si>
    <t>17:18:19</t>
  </si>
  <si>
    <t>01:22:01</t>
  </si>
  <si>
    <t>01:34:19</t>
  </si>
  <si>
    <t>01:40:06</t>
  </si>
  <si>
    <t>01:53:47</t>
  </si>
  <si>
    <t>01:54:41</t>
  </si>
  <si>
    <t>02:07:18</t>
  </si>
  <si>
    <t>01:37:01</t>
  </si>
  <si>
    <t>02:24:40</t>
  </si>
  <si>
    <t>12:32:54</t>
  </si>
  <si>
    <t>14:36:23</t>
  </si>
  <si>
    <t>12:17:17</t>
  </si>
  <si>
    <t>16:01:11</t>
  </si>
  <si>
    <t>16:08:07</t>
  </si>
  <si>
    <t>11:38:36</t>
  </si>
  <si>
    <t>02:36:02</t>
  </si>
  <si>
    <t>02:40:21</t>
  </si>
  <si>
    <t>03:04:18</t>
  </si>
  <si>
    <t>01:41:29</t>
  </si>
  <si>
    <t>20:22:00</t>
  </si>
  <si>
    <t>14:26:48</t>
  </si>
  <si>
    <t>18:03:11</t>
  </si>
  <si>
    <t>23:17:28</t>
  </si>
  <si>
    <t>03:21:41</t>
  </si>
  <si>
    <t>14:21:23</t>
  </si>
  <si>
    <t>14:16:42</t>
  </si>
  <si>
    <t>16:17:52</t>
  </si>
  <si>
    <t>22:54:10</t>
  </si>
  <si>
    <t>15:53:05</t>
  </si>
  <si>
    <t>16:42:04</t>
  </si>
  <si>
    <t>17:32:30</t>
  </si>
  <si>
    <t>17:48:54</t>
  </si>
  <si>
    <t>22:20:03</t>
  </si>
  <si>
    <t>02:52:27</t>
  </si>
  <si>
    <t>02:09:31</t>
  </si>
  <si>
    <t>06:31:53</t>
  </si>
  <si>
    <t>02:58:31</t>
  </si>
  <si>
    <t>02:58:44</t>
  </si>
  <si>
    <t>02:58:52</t>
  </si>
  <si>
    <t>02:59:01</t>
  </si>
  <si>
    <t>02:59:04</t>
  </si>
  <si>
    <t>03:23:37</t>
  </si>
  <si>
    <t>03:25:41</t>
  </si>
  <si>
    <t>00:58:21</t>
  </si>
  <si>
    <t>03:48:44</t>
  </si>
  <si>
    <t>03:50:23</t>
  </si>
  <si>
    <t>03:57:58</t>
  </si>
  <si>
    <t>04:13:47</t>
  </si>
  <si>
    <t>04:13:54</t>
  </si>
  <si>
    <t>04:13:59</t>
  </si>
  <si>
    <t>17:49:53</t>
  </si>
  <si>
    <t>17:53:28</t>
  </si>
  <si>
    <t>14:03:08</t>
  </si>
  <si>
    <t>14:05:14</t>
  </si>
  <si>
    <t>14:19:27</t>
  </si>
  <si>
    <t>14:44:45</t>
  </si>
  <si>
    <t>04:18:32</t>
  </si>
  <si>
    <t>04:19:03</t>
  </si>
  <si>
    <t>1439923850762985472</t>
  </si>
  <si>
    <t>1439924144146112522</t>
  </si>
  <si>
    <t>1439924248735358980</t>
  </si>
  <si>
    <t>1439919646967226374</t>
  </si>
  <si>
    <t>1439924614524768258</t>
  </si>
  <si>
    <t>1439931103742148608</t>
  </si>
  <si>
    <t>1439934702157246469</t>
  </si>
  <si>
    <t>1439934995729195012</t>
  </si>
  <si>
    <t>1439928586945839116</t>
  </si>
  <si>
    <t>1439935282783084547</t>
  </si>
  <si>
    <t>1439944276905902085</t>
  </si>
  <si>
    <t>1439952377256103947</t>
  </si>
  <si>
    <t>1439954734123716609</t>
  </si>
  <si>
    <t>1439958379292774402</t>
  </si>
  <si>
    <t>1439961107041378304</t>
  </si>
  <si>
    <t>1439963394015105030</t>
  </si>
  <si>
    <t>1439963741983068166</t>
  </si>
  <si>
    <t>1439970468635742208</t>
  </si>
  <si>
    <t>1439978439075848193</t>
  </si>
  <si>
    <t>1439991934458728450</t>
  </si>
  <si>
    <t>1439996560356614148</t>
  </si>
  <si>
    <t>1439996991392698369</t>
  </si>
  <si>
    <t>1440001346334347273</t>
  </si>
  <si>
    <t>1440013281033396231</t>
  </si>
  <si>
    <t>1440018597221445642</t>
  </si>
  <si>
    <t>1440022509508771841</t>
  </si>
  <si>
    <t>1439635397731094533</t>
  </si>
  <si>
    <t>1439983979734646794</t>
  </si>
  <si>
    <t>1440026239620812801</t>
  </si>
  <si>
    <t>1440028949023637516</t>
  </si>
  <si>
    <t>1440035794735927296</t>
  </si>
  <si>
    <t>1440039636873605128</t>
  </si>
  <si>
    <t>1440062266787831818</t>
  </si>
  <si>
    <t>1440063537582280704</t>
  </si>
  <si>
    <t>1440069613652353026</t>
  </si>
  <si>
    <t>1440072659908268032</t>
  </si>
  <si>
    <t>1440074556794806272</t>
  </si>
  <si>
    <t>1440075349434400772</t>
  </si>
  <si>
    <t>1440075746832121863</t>
  </si>
  <si>
    <t>1440077075243696137</t>
  </si>
  <si>
    <t>1440099535359856640</t>
  </si>
  <si>
    <t>1440101407978188801</t>
  </si>
  <si>
    <t>1440101418371674113</t>
  </si>
  <si>
    <t>1440101569643499525</t>
  </si>
  <si>
    <t>1440101611875942401</t>
  </si>
  <si>
    <t>1440101984640528389</t>
  </si>
  <si>
    <t>1440102338903953412</t>
  </si>
  <si>
    <t>1440102423310204931</t>
  </si>
  <si>
    <t>1440103091404087297</t>
  </si>
  <si>
    <t>1440103253794906115</t>
  </si>
  <si>
    <t>1440104081570209800</t>
  </si>
  <si>
    <t>1440104629400846341</t>
  </si>
  <si>
    <t>1440104651492298759</t>
  </si>
  <si>
    <t>1440105025582166018</t>
  </si>
  <si>
    <t>1440105679025422343</t>
  </si>
  <si>
    <t>1440106236171587594</t>
  </si>
  <si>
    <t>1440106704486617094</t>
  </si>
  <si>
    <t>1440106853451513858</t>
  </si>
  <si>
    <t>1440107695244136452</t>
  </si>
  <si>
    <t>1440113032760233986</t>
  </si>
  <si>
    <t>1440034809498140678</t>
  </si>
  <si>
    <t>1440113408335036416</t>
  </si>
  <si>
    <t>1440114590310756354</t>
  </si>
  <si>
    <t>1440115359743234049</t>
  </si>
  <si>
    <t>1440117175759478785</t>
  </si>
  <si>
    <t>1440121992863047681</t>
  </si>
  <si>
    <t>1440131826006347782</t>
  </si>
  <si>
    <t>1440054534143762440</t>
  </si>
  <si>
    <t>1440128184201142273</t>
  </si>
  <si>
    <t>1440135201854791680</t>
  </si>
  <si>
    <t>1440135226404057088</t>
  </si>
  <si>
    <t>1440140062272811014</t>
  </si>
  <si>
    <t>1440165053240524807</t>
  </si>
  <si>
    <t>1440167536293597184</t>
  </si>
  <si>
    <t>1440204820183322635</t>
  </si>
  <si>
    <t>1440209497130090498</t>
  </si>
  <si>
    <t>1440214423432355842</t>
  </si>
  <si>
    <t>1440216240627142669</t>
  </si>
  <si>
    <t>1440250434438852615</t>
  </si>
  <si>
    <t>1440022404705685512</t>
  </si>
  <si>
    <t>1440252207895482369</t>
  </si>
  <si>
    <t>1440022604732145670</t>
  </si>
  <si>
    <t>1440262099653955589</t>
  </si>
  <si>
    <t>1440265976184926211</t>
  </si>
  <si>
    <t>1440269590378864646</t>
  </si>
  <si>
    <t>1440275037592768512</t>
  </si>
  <si>
    <t>1440284474244169733</t>
  </si>
  <si>
    <t>1440286498348158987</t>
  </si>
  <si>
    <t>1440286826367893508</t>
  </si>
  <si>
    <t>1440287947417210880</t>
  </si>
  <si>
    <t>1440294664746143750</t>
  </si>
  <si>
    <t>1440295300841676809</t>
  </si>
  <si>
    <t>1437763617147920387</t>
  </si>
  <si>
    <t>1440299925980389398</t>
  </si>
  <si>
    <t>1440304040894550025</t>
  </si>
  <si>
    <t>1440307348560510985</t>
  </si>
  <si>
    <t>1440308952466481167</t>
  </si>
  <si>
    <t>1440309411747012618</t>
  </si>
  <si>
    <t>1440309483972939791</t>
  </si>
  <si>
    <t>1440342479266455562</t>
  </si>
  <si>
    <t>1440379579634384896</t>
  </si>
  <si>
    <t>1440380063732490241</t>
  </si>
  <si>
    <t>1440381069975384064</t>
  </si>
  <si>
    <t>1440381618321985537</t>
  </si>
  <si>
    <t>1440394109592559622</t>
  </si>
  <si>
    <t>1440394763056795652</t>
  </si>
  <si>
    <t>1440407084277776385</t>
  </si>
  <si>
    <t>1440409826517864451</t>
  </si>
  <si>
    <t>1440411917898567685</t>
  </si>
  <si>
    <t>1440413425528492035</t>
  </si>
  <si>
    <t>1440419070428418051</t>
  </si>
  <si>
    <t>1440419111914201089</t>
  </si>
  <si>
    <t>1440421669470756871</t>
  </si>
  <si>
    <t>1440425471011799046</t>
  </si>
  <si>
    <t>1440430807995195402</t>
  </si>
  <si>
    <t>1440453134111764489</t>
  </si>
  <si>
    <t>1440461635764699139</t>
  </si>
  <si>
    <t>1440478580006219797</t>
  </si>
  <si>
    <t>1440485517250883593</t>
  </si>
  <si>
    <t>1440488242088841226</t>
  </si>
  <si>
    <t>1440491671154688004</t>
  </si>
  <si>
    <t>1440419187562663939</t>
  </si>
  <si>
    <t>1440493041203118081</t>
  </si>
  <si>
    <t>1440418999603380234</t>
  </si>
  <si>
    <t>1440495914087378946</t>
  </si>
  <si>
    <t>1440504825641254915</t>
  </si>
  <si>
    <t>1440509574952341506</t>
  </si>
  <si>
    <t>1440511560842047493</t>
  </si>
  <si>
    <t>1440514601326563334</t>
  </si>
  <si>
    <t>283198948888440833</t>
  </si>
  <si>
    <t>1440570191956434954</t>
  </si>
  <si>
    <t>1440600537934663689</t>
  </si>
  <si>
    <t>1440616725611835394</t>
  </si>
  <si>
    <t>1440619678666145797</t>
  </si>
  <si>
    <t>1440641272125943813</t>
  </si>
  <si>
    <t>1440641275338756101</t>
  </si>
  <si>
    <t>1440641927863431175</t>
  </si>
  <si>
    <t>1440643300331978758</t>
  </si>
  <si>
    <t>1440644027397804032</t>
  </si>
  <si>
    <t>1440644070456512524</t>
  </si>
  <si>
    <t>1440644267538407446</t>
  </si>
  <si>
    <t>1440644381803827204</t>
  </si>
  <si>
    <t>1440654872450256910</t>
  </si>
  <si>
    <t>1440662143997661184</t>
  </si>
  <si>
    <t>1440662145692147728</t>
  </si>
  <si>
    <t>1440672763451084811</t>
  </si>
  <si>
    <t>1440673310803562496</t>
  </si>
  <si>
    <t>1440656970202054681</t>
  </si>
  <si>
    <t>1440677065288650762</t>
  </si>
  <si>
    <t>1440678526051491840</t>
  </si>
  <si>
    <t>1440679023424638986</t>
  </si>
  <si>
    <t>1440686568331624464</t>
  </si>
  <si>
    <t>1440358855095959554</t>
  </si>
  <si>
    <t>1440700961949847554</t>
  </si>
  <si>
    <t>1440701312178348038</t>
  </si>
  <si>
    <t>1440709258383822853</t>
  </si>
  <si>
    <t>1440710402241794055</t>
  </si>
  <si>
    <t>1440720832205000704</t>
  </si>
  <si>
    <t>1440732934831362057</t>
  </si>
  <si>
    <t>1440754996610359302</t>
  </si>
  <si>
    <t>1440755158527340547</t>
  </si>
  <si>
    <t>1440755747776651268</t>
  </si>
  <si>
    <t>1440754521068638221</t>
  </si>
  <si>
    <t>1440762100465340418</t>
  </si>
  <si>
    <t>1440765224127111172</t>
  </si>
  <si>
    <t>1440413159831916546</t>
  </si>
  <si>
    <t>1440745360025014283</t>
  </si>
  <si>
    <t>1440775726047772675</t>
  </si>
  <si>
    <t>1440778467868479490</t>
  </si>
  <si>
    <t>1440760194166759424</t>
  </si>
  <si>
    <t>1440780218847793154</t>
  </si>
  <si>
    <t>1440083729959903238</t>
  </si>
  <si>
    <t>1440783334536200195</t>
  </si>
  <si>
    <t>1440789465459421193</t>
  </si>
  <si>
    <t>1440808125347479559</t>
  </si>
  <si>
    <t>1440809227652505600</t>
  </si>
  <si>
    <t>1440811282123276292</t>
  </si>
  <si>
    <t>1440814968887136257</t>
  </si>
  <si>
    <t>1440627020497514506</t>
  </si>
  <si>
    <t>1440822557377064963</t>
  </si>
  <si>
    <t>1440861360175394818</t>
  </si>
  <si>
    <t>1440874035399872512</t>
  </si>
  <si>
    <t>1440874497821712386</t>
  </si>
  <si>
    <t>1440878466510036997</t>
  </si>
  <si>
    <t>1440916380090576897</t>
  </si>
  <si>
    <t>1440919860163141634</t>
  </si>
  <si>
    <t>1440953497244086274</t>
  </si>
  <si>
    <t>1440956625817309185</t>
  </si>
  <si>
    <t>1440957320037650433</t>
  </si>
  <si>
    <t>1440361706044092421</t>
  </si>
  <si>
    <t>1440750864784773125</t>
  </si>
  <si>
    <t>1440960468974247939</t>
  </si>
  <si>
    <t>1440960915738923012</t>
  </si>
  <si>
    <t>1440964477395116034</t>
  </si>
  <si>
    <t>1440975372359634944</t>
  </si>
  <si>
    <t>1440994764955033604</t>
  </si>
  <si>
    <t>1440662676741390353</t>
  </si>
  <si>
    <t>1441002919797604356</t>
  </si>
  <si>
    <t>1441014499138588675</t>
  </si>
  <si>
    <t>1441023140130349056</t>
  </si>
  <si>
    <t>1441025142562467841</t>
  </si>
  <si>
    <t>1441054263761772566</t>
  </si>
  <si>
    <t>1441063297625767938</t>
  </si>
  <si>
    <t>1441068730180636678</t>
  </si>
  <si>
    <t>1441091674235572231</t>
  </si>
  <si>
    <t>1441111754616967174</t>
  </si>
  <si>
    <t>1440306254627307531</t>
  </si>
  <si>
    <t>1441116200000393220</t>
  </si>
  <si>
    <t>1441116512849260552</t>
  </si>
  <si>
    <t>1441117275516387333</t>
  </si>
  <si>
    <t>1441118265388908545</t>
  </si>
  <si>
    <t>1441118351263105030</t>
  </si>
  <si>
    <t>1441122741181042693</t>
  </si>
  <si>
    <t>1441128319169138691</t>
  </si>
  <si>
    <t>1441134449056313355</t>
  </si>
  <si>
    <t>1441137945520472066</t>
  </si>
  <si>
    <t>1441142985668894734</t>
  </si>
  <si>
    <t>1441143769877950466</t>
  </si>
  <si>
    <t>1440046834219503618</t>
  </si>
  <si>
    <t>1441144117199659011</t>
  </si>
  <si>
    <t>1441152401004797952</t>
  </si>
  <si>
    <t>1441152512019496968</t>
  </si>
  <si>
    <t>1441156063995342849</t>
  </si>
  <si>
    <t>1441116174360580105</t>
  </si>
  <si>
    <t>1441156671191990274</t>
  </si>
  <si>
    <t>1441157685244678149</t>
  </si>
  <si>
    <t>1441163820668489728</t>
  </si>
  <si>
    <t>1441165193564737536</t>
  </si>
  <si>
    <t>1441167374569279495</t>
  </si>
  <si>
    <t>1441177561954881542</t>
  </si>
  <si>
    <t>1441184174958776325</t>
  </si>
  <si>
    <t>1441186410195656706</t>
  </si>
  <si>
    <t>1441048391207751680</t>
  </si>
  <si>
    <t>1441199873479434244</t>
  </si>
  <si>
    <t>1441204513621172225</t>
  </si>
  <si>
    <t>1441204696903864325</t>
  </si>
  <si>
    <t>1441209707071479808</t>
  </si>
  <si>
    <t>1441224679381823492</t>
  </si>
  <si>
    <t>1441237013995286529</t>
  </si>
  <si>
    <t>1441238818254770180</t>
  </si>
  <si>
    <t>1441247241528696840</t>
  </si>
  <si>
    <t>1441250147095121928</t>
  </si>
  <si>
    <t>1441267060005289984</t>
  </si>
  <si>
    <t>1441267187461677058</t>
  </si>
  <si>
    <t>1441300923645669376</t>
  </si>
  <si>
    <t>1441301818626088970</t>
  </si>
  <si>
    <t>1441312389970862084</t>
  </si>
  <si>
    <t>1441333719365611529</t>
  </si>
  <si>
    <t>1441346085344055297</t>
  </si>
  <si>
    <t>1441351898708135950</t>
  </si>
  <si>
    <t>1441363413477720066</t>
  </si>
  <si>
    <t>1441364029067313159</t>
  </si>
  <si>
    <t>1441364654299783169</t>
  </si>
  <si>
    <t>1440306229943758851</t>
  </si>
  <si>
    <t>1440308799818977287</t>
  </si>
  <si>
    <t>1440313622169751561</t>
  </si>
  <si>
    <t>1441198987768434690</t>
  </si>
  <si>
    <t>1441370764746412032</t>
  </si>
  <si>
    <t>1441365810862198787</t>
  </si>
  <si>
    <t>1441371722440134656</t>
  </si>
  <si>
    <t>1441372338000261125</t>
  </si>
  <si>
    <t>1441403893620035590</t>
  </si>
  <si>
    <t>1441406288311689217</t>
  </si>
  <si>
    <t>1441406411368329220</t>
  </si>
  <si>
    <t>1441406456163491852</t>
  </si>
  <si>
    <t>1441412867203297287</t>
  </si>
  <si>
    <t>1441415968995962880</t>
  </si>
  <si>
    <t>1441416364246265869</t>
  </si>
  <si>
    <t>1441417401493512194</t>
  </si>
  <si>
    <t>1441419698508156929</t>
  </si>
  <si>
    <t>1441425357245194245</t>
  </si>
  <si>
    <t>1441430664620871680</t>
  </si>
  <si>
    <t>1441430688444653568</t>
  </si>
  <si>
    <t>1441422475296919555</t>
  </si>
  <si>
    <t>1441426184965799947</t>
  </si>
  <si>
    <t>1441440347792490501</t>
  </si>
  <si>
    <t>1441450638836215810</t>
  </si>
  <si>
    <t>1441451617950187521</t>
  </si>
  <si>
    <t>1441466816778448896</t>
  </si>
  <si>
    <t>1441321646770458629</t>
  </si>
  <si>
    <t>1441469213823029254</t>
  </si>
  <si>
    <t>1441476545575415812</t>
  </si>
  <si>
    <t>1441476751390040069</t>
  </si>
  <si>
    <t>1441448685418672129</t>
  </si>
  <si>
    <t>1441478334991503361</t>
  </si>
  <si>
    <t>1441496577801998338</t>
  </si>
  <si>
    <t>1441514068855115777</t>
  </si>
  <si>
    <t>1441515972662333442</t>
  </si>
  <si>
    <t>1441516017776214017</t>
  </si>
  <si>
    <t>1441516021924335618</t>
  </si>
  <si>
    <t>1441517913593159681</t>
  </si>
  <si>
    <t>1441518568240074754</t>
  </si>
  <si>
    <t>1441519288108691462</t>
  </si>
  <si>
    <t>1441523185044709380</t>
  </si>
  <si>
    <t>1441523398446927875</t>
  </si>
  <si>
    <t>1441526228008243204</t>
  </si>
  <si>
    <t>1441527147143864320</t>
  </si>
  <si>
    <t>1441529458297606144</t>
  </si>
  <si>
    <t>1441529925681532931</t>
  </si>
  <si>
    <t>1441531743945826307</t>
  </si>
  <si>
    <t>1441539543539273731</t>
  </si>
  <si>
    <t>1441542352204664832</t>
  </si>
  <si>
    <t>1441519816309977089</t>
  </si>
  <si>
    <t>1441544907097739269</t>
  </si>
  <si>
    <t>1441548713219006465</t>
  </si>
  <si>
    <t>1441553395698044929</t>
  </si>
  <si>
    <t>1441560240206450692</t>
  </si>
  <si>
    <t>1441563525462171655</t>
  </si>
  <si>
    <t>1441564968235720704</t>
  </si>
  <si>
    <t>1441565119440244738</t>
  </si>
  <si>
    <t>1441565197676728320</t>
  </si>
  <si>
    <t>1441570078651191296</t>
  </si>
  <si>
    <t>1441570708836913158</t>
  </si>
  <si>
    <t>1441573705688227840</t>
  </si>
  <si>
    <t>1436686583554473994</t>
  </si>
  <si>
    <t>1435829204168310786</t>
  </si>
  <si>
    <t>1441577888998854656</t>
  </si>
  <si>
    <t>1441578527887806470</t>
  </si>
  <si>
    <t>1441580019831169024</t>
  </si>
  <si>
    <t>1441590011669983240</t>
  </si>
  <si>
    <t>1441596238261010433</t>
  </si>
  <si>
    <t>1441599791545425921</t>
  </si>
  <si>
    <t>1441602941681471488</t>
  </si>
  <si>
    <t>1441603087211417600</t>
  </si>
  <si>
    <t>1441610408054321159</t>
  </si>
  <si>
    <t>1441620159798538241</t>
  </si>
  <si>
    <t>1441626731161391106</t>
  </si>
  <si>
    <t>1441631754696155136</t>
  </si>
  <si>
    <t>1441588518979981318</t>
  </si>
  <si>
    <t>1441631908652326912</t>
  </si>
  <si>
    <t>1441658650179821568</t>
  </si>
  <si>
    <t>1441660735063527424</t>
  </si>
  <si>
    <t>1441662808874233856</t>
  </si>
  <si>
    <t>1441672979436294157</t>
  </si>
  <si>
    <t>1441675785954160644</t>
  </si>
  <si>
    <t>1441692025590456321</t>
  </si>
  <si>
    <t>1441701573009104898</t>
  </si>
  <si>
    <t>1441704264506691584</t>
  </si>
  <si>
    <t>1440070896115326979</t>
  </si>
  <si>
    <t>1440663537186050048</t>
  </si>
  <si>
    <t>1440711451509809157</t>
  </si>
  <si>
    <t>1440837504572166152</t>
  </si>
  <si>
    <t>1441422280408461325</t>
  </si>
  <si>
    <t>1441709281166778376</t>
  </si>
  <si>
    <t>1441715824084103171</t>
  </si>
  <si>
    <t>1441716757182382080</t>
  </si>
  <si>
    <t>1441718372568379392</t>
  </si>
  <si>
    <t>1440965218851606529</t>
  </si>
  <si>
    <t>1441719003286622216</t>
  </si>
  <si>
    <t>1441722702654414857</t>
  </si>
  <si>
    <t>1441731997286629390</t>
  </si>
  <si>
    <t>1441735560482148355</t>
  </si>
  <si>
    <t>1441735665159389189</t>
  </si>
  <si>
    <t>1441735795375706115</t>
  </si>
  <si>
    <t>1441737646238097412</t>
  </si>
  <si>
    <t>1441749976564977679</t>
  </si>
  <si>
    <t>1441750085872721927</t>
  </si>
  <si>
    <t>1441759371415863304</t>
  </si>
  <si>
    <t>1438823289858764802</t>
  </si>
  <si>
    <t>1441762525222096907</t>
  </si>
  <si>
    <t>1441768459780587522</t>
  </si>
  <si>
    <t>1441783508234506251</t>
  </si>
  <si>
    <t>1441411313960292365</t>
  </si>
  <si>
    <t>1441417210652618752</t>
  </si>
  <si>
    <t>1440622181663215622</t>
  </si>
  <si>
    <t>1440753079620493312</t>
  </si>
  <si>
    <t>1441511788609040385</t>
  </si>
  <si>
    <t>1441788072702644233</t>
  </si>
  <si>
    <t>1441788822736408581</t>
  </si>
  <si>
    <t>1441795139718897676</t>
  </si>
  <si>
    <t>1441795322104012809</t>
  </si>
  <si>
    <t>1441793673646071824</t>
  </si>
  <si>
    <t>1441795870316367885</t>
  </si>
  <si>
    <t>1441806381586255873</t>
  </si>
  <si>
    <t>1441809988264108032</t>
  </si>
  <si>
    <t>1441815410073116672</t>
  </si>
  <si>
    <t>1441827438875586561</t>
  </si>
  <si>
    <t>1441829754743627780</t>
  </si>
  <si>
    <t>1441838261131907078</t>
  </si>
  <si>
    <t>1441843282980519937</t>
  </si>
  <si>
    <t>1441496009679515652</t>
  </si>
  <si>
    <t>1441853167734607872</t>
  </si>
  <si>
    <t>1441853291114098690</t>
  </si>
  <si>
    <t>1441855707523997697</t>
  </si>
  <si>
    <t>1441861719492497412</t>
  </si>
  <si>
    <t>1441875315161239553</t>
  </si>
  <si>
    <t>1441876067845816331</t>
  </si>
  <si>
    <t>1441879089388957697</t>
  </si>
  <si>
    <t>1441884720816484357</t>
  </si>
  <si>
    <t>1441894633185824768</t>
  </si>
  <si>
    <t>1441898553576542214</t>
  </si>
  <si>
    <t>1441905784745517057</t>
  </si>
  <si>
    <t>1441917749064777736</t>
  </si>
  <si>
    <t>1441928494368231427</t>
  </si>
  <si>
    <t>1441928770223583234</t>
  </si>
  <si>
    <t>1441943493115580418</t>
  </si>
  <si>
    <t>1441946060780408832</t>
  </si>
  <si>
    <t>1441946390381400070</t>
  </si>
  <si>
    <t>1441953476637044736</t>
  </si>
  <si>
    <t>1441966451313700870</t>
  </si>
  <si>
    <t>1441988301473210368</t>
  </si>
  <si>
    <t>1442008248270434306</t>
  </si>
  <si>
    <t>1442026549084147714</t>
  </si>
  <si>
    <t>1442061619681505292</t>
  </si>
  <si>
    <t>1439924504550125569</t>
  </si>
  <si>
    <t>1442068526395654144</t>
  </si>
  <si>
    <t>1442058124421074946</t>
  </si>
  <si>
    <t>1442081463223001090</t>
  </si>
  <si>
    <t>1442075469151490050</t>
  </si>
  <si>
    <t>1442094733568839687</t>
  </si>
  <si>
    <t>1442100845701648385</t>
  </si>
  <si>
    <t>1442102240831885322</t>
  </si>
  <si>
    <t>1442108501476655105</t>
  </si>
  <si>
    <t>1442108853135368197</t>
  </si>
  <si>
    <t>1442109263569055748</t>
  </si>
  <si>
    <t>1442109349980147712</t>
  </si>
  <si>
    <t>1442109697612341256</t>
  </si>
  <si>
    <t>1442110074286055425</t>
  </si>
  <si>
    <t>1441062176073023495</t>
  </si>
  <si>
    <t>1442110925826248722</t>
  </si>
  <si>
    <t>1442111149999284225</t>
  </si>
  <si>
    <t>1442111166885482496</t>
  </si>
  <si>
    <t>1442111301438742533</t>
  </si>
  <si>
    <t>1442111409463218178</t>
  </si>
  <si>
    <t>1442111688950562816</t>
  </si>
  <si>
    <t>1442111882714927109</t>
  </si>
  <si>
    <t>1442111945566474250</t>
  </si>
  <si>
    <t>1442111985512968198</t>
  </si>
  <si>
    <t>1442112131768356868</t>
  </si>
  <si>
    <t>1442112147681579009</t>
  </si>
  <si>
    <t>1442112392243126284</t>
  </si>
  <si>
    <t>1442112430331490313</t>
  </si>
  <si>
    <t>1442112452695523328</t>
  </si>
  <si>
    <t>1442112763220959234</t>
  </si>
  <si>
    <t>1442112815263854592</t>
  </si>
  <si>
    <t>1442112815943221252</t>
  </si>
  <si>
    <t>1442112925284515842</t>
  </si>
  <si>
    <t>1441604099330527232</t>
  </si>
  <si>
    <t>1441768757052026880</t>
  </si>
  <si>
    <t>1442113112300269569</t>
  </si>
  <si>
    <t>1442113112526794754</t>
  </si>
  <si>
    <t>1442113403691028490</t>
  </si>
  <si>
    <t>1442113519965687810</t>
  </si>
  <si>
    <t>1442113828817362945</t>
  </si>
  <si>
    <t>1442113892944171008</t>
  </si>
  <si>
    <t>1442114009554210816</t>
  </si>
  <si>
    <t>1442114537763872774</t>
  </si>
  <si>
    <t>1442114581099212806</t>
  </si>
  <si>
    <t>1442114645318193158</t>
  </si>
  <si>
    <t>1441939979924430850</t>
  </si>
  <si>
    <t>1442114822452092928</t>
  </si>
  <si>
    <t>1442115200782503943</t>
  </si>
  <si>
    <t>1442115247859511296</t>
  </si>
  <si>
    <t>1442115623933329408</t>
  </si>
  <si>
    <t>1442116190596337673</t>
  </si>
  <si>
    <t>1442116500463108101</t>
  </si>
  <si>
    <t>1442116712854401026</t>
  </si>
  <si>
    <t>1442116718248214531</t>
  </si>
  <si>
    <t>1442116735889551360</t>
  </si>
  <si>
    <t>1442116827060994059</t>
  </si>
  <si>
    <t>1442117029629149186</t>
  </si>
  <si>
    <t>1442117177755189252</t>
  </si>
  <si>
    <t>1442117601023434752</t>
  </si>
  <si>
    <t>1442117648712495118</t>
  </si>
  <si>
    <t>1442118235198038020</t>
  </si>
  <si>
    <t>1442118278940446727</t>
  </si>
  <si>
    <t>1442118315539714051</t>
  </si>
  <si>
    <t>1442118914499035136</t>
  </si>
  <si>
    <t>1442119075879075843</t>
  </si>
  <si>
    <t>1442119120863076353</t>
  </si>
  <si>
    <t>1442119233131921410</t>
  </si>
  <si>
    <t>1442119317269762054</t>
  </si>
  <si>
    <t>1442119635759874050</t>
  </si>
  <si>
    <t>1442121806555533314</t>
  </si>
  <si>
    <t>1442122668023615491</t>
  </si>
  <si>
    <t>1442122841911136257</t>
  </si>
  <si>
    <t>1442123026368274432</t>
  </si>
  <si>
    <t>1442123619014877193</t>
  </si>
  <si>
    <t>1442123894471544834</t>
  </si>
  <si>
    <t>1442124061681848326</t>
  </si>
  <si>
    <t>1442124099728326660</t>
  </si>
  <si>
    <t>1442125967720333313</t>
  </si>
  <si>
    <t>1442125988469645313</t>
  </si>
  <si>
    <t>1442128008077213702</t>
  </si>
  <si>
    <t>1442128431005593603</t>
  </si>
  <si>
    <t>1442129152891625478</t>
  </si>
  <si>
    <t>1442129419565293570</t>
  </si>
  <si>
    <t>1442129571365724160</t>
  </si>
  <si>
    <t>1442129630643716097</t>
  </si>
  <si>
    <t>1442129866636337154</t>
  </si>
  <si>
    <t>1442130042478227459</t>
  </si>
  <si>
    <t>1442130734131654661</t>
  </si>
  <si>
    <t>1442130908870492169</t>
  </si>
  <si>
    <t>1442130920933404675</t>
  </si>
  <si>
    <t>1442131973980311564</t>
  </si>
  <si>
    <t>1442132927693742089</t>
  </si>
  <si>
    <t>1442132955053371396</t>
  </si>
  <si>
    <t>1442133333052329989</t>
  </si>
  <si>
    <t>1442133451407306756</t>
  </si>
  <si>
    <t>1442134092137447432</t>
  </si>
  <si>
    <t>1442135349354852358</t>
  </si>
  <si>
    <t>1442135528334401536</t>
  </si>
  <si>
    <t>1442135689395523584</t>
  </si>
  <si>
    <t>1442136227285807109</t>
  </si>
  <si>
    <t>1442136598980661253</t>
  </si>
  <si>
    <t>1442136668912291844</t>
  </si>
  <si>
    <t>1442137053475442691</t>
  </si>
  <si>
    <t>1442137190922850304</t>
  </si>
  <si>
    <t>1442138762335621122</t>
  </si>
  <si>
    <t>1442139535324946433</t>
  </si>
  <si>
    <t>1442139848429785089</t>
  </si>
  <si>
    <t>1442139948052799492</t>
  </si>
  <si>
    <t>1442140856274796547</t>
  </si>
  <si>
    <t>1442141132117446661</t>
  </si>
  <si>
    <t>1442142068206444554</t>
  </si>
  <si>
    <t>1442143277164089345</t>
  </si>
  <si>
    <t>1442143616961376260</t>
  </si>
  <si>
    <t>1442144040548540416</t>
  </si>
  <si>
    <t>1442144322921586695</t>
  </si>
  <si>
    <t>1442144610382336002</t>
  </si>
  <si>
    <t>1442144781203738630</t>
  </si>
  <si>
    <t>1442145360256847878</t>
  </si>
  <si>
    <t>1442145600670101514</t>
  </si>
  <si>
    <t>1442145800893579264</t>
  </si>
  <si>
    <t>1442148387021860865</t>
  </si>
  <si>
    <t>1442148809857851401</t>
  </si>
  <si>
    <t>1442148846545608706</t>
  </si>
  <si>
    <t>1442149763646898177</t>
  </si>
  <si>
    <t>1442150008413954051</t>
  </si>
  <si>
    <t>1442150657985683462</t>
  </si>
  <si>
    <t>1442152157780787203</t>
  </si>
  <si>
    <t>1442152260750950400</t>
  </si>
  <si>
    <t>1442152734287925254</t>
  </si>
  <si>
    <t>1442153157086351363</t>
  </si>
  <si>
    <t>1442153195384438787</t>
  </si>
  <si>
    <t>1442153776811368448</t>
  </si>
  <si>
    <t>1442154038070501378</t>
  </si>
  <si>
    <t>1441859890008449030</t>
  </si>
  <si>
    <t>1442154254588858375</t>
  </si>
  <si>
    <t>1442155020917501957</t>
  </si>
  <si>
    <t>1442154117330137091</t>
  </si>
  <si>
    <t>1442155571789115392</t>
  </si>
  <si>
    <t>1442160366104895488</t>
  </si>
  <si>
    <t>1442161421211475969</t>
  </si>
  <si>
    <t>1442162191642341381</t>
  </si>
  <si>
    <t>1442162586418655237</t>
  </si>
  <si>
    <t>1442107544705634308</t>
  </si>
  <si>
    <t>1442164379982647297</t>
  </si>
  <si>
    <t>1442164703573286913</t>
  </si>
  <si>
    <t>1442165193430216706</t>
  </si>
  <si>
    <t>1442166711038382081</t>
  </si>
  <si>
    <t>1442167109388275712</t>
  </si>
  <si>
    <t>1442167791654690822</t>
  </si>
  <si>
    <t>1442167845153030148</t>
  </si>
  <si>
    <t>1442167896810000395</t>
  </si>
  <si>
    <t>1442169264102785026</t>
  </si>
  <si>
    <t>1442170104620408832</t>
  </si>
  <si>
    <t>1442170781702795268</t>
  </si>
  <si>
    <t>1442173019082969094</t>
  </si>
  <si>
    <t>1442173080030400515</t>
  </si>
  <si>
    <t>1442173956115603466</t>
  </si>
  <si>
    <t>1442174855147704329</t>
  </si>
  <si>
    <t>1442178210913865729</t>
  </si>
  <si>
    <t>1442178908426620936</t>
  </si>
  <si>
    <t>1442180075936522241</t>
  </si>
  <si>
    <t>1442180654783942664</t>
  </si>
  <si>
    <t>1442185841548292106</t>
  </si>
  <si>
    <t>1442186848441356291</t>
  </si>
  <si>
    <t>1442187272925839364</t>
  </si>
  <si>
    <t>1442191647287037953</t>
  </si>
  <si>
    <t>1442193563060633609</t>
  </si>
  <si>
    <t>1442193719378300928</t>
  </si>
  <si>
    <t>1442196186765529090</t>
  </si>
  <si>
    <t>1442198756212936709</t>
  </si>
  <si>
    <t>1442199819129327616</t>
  </si>
  <si>
    <t>1442200095005544453</t>
  </si>
  <si>
    <t>1442201137529212930</t>
  </si>
  <si>
    <t>1442204295378653188</t>
  </si>
  <si>
    <t>1442204649281490944</t>
  </si>
  <si>
    <t>1442208308878880776</t>
  </si>
  <si>
    <t>1442209150759411720</t>
  </si>
  <si>
    <t>1442209463042289668</t>
  </si>
  <si>
    <t>1442209729334362115</t>
  </si>
  <si>
    <t>1442210074089361414</t>
  </si>
  <si>
    <t>1442210516366241792</t>
  </si>
  <si>
    <t>1442210526914879488</t>
  </si>
  <si>
    <t>1442211024313143296</t>
  </si>
  <si>
    <t>1442212712998596611</t>
  </si>
  <si>
    <t>1442216515160272900</t>
  </si>
  <si>
    <t>1442219608652632064</t>
  </si>
  <si>
    <t>1442219981211521030</t>
  </si>
  <si>
    <t>1442220464756203524</t>
  </si>
  <si>
    <t>1442223010405093377</t>
  </si>
  <si>
    <t>1442223017506000900</t>
  </si>
  <si>
    <t>1442226724574531584</t>
  </si>
  <si>
    <t>1442233357341974530</t>
  </si>
  <si>
    <t>1442234339098517508</t>
  </si>
  <si>
    <t>1442235736581976065</t>
  </si>
  <si>
    <t>1442236586951729159</t>
  </si>
  <si>
    <t>1442237626879123457</t>
  </si>
  <si>
    <t>1442239267736932361</t>
  </si>
  <si>
    <t>1442239680326422529</t>
  </si>
  <si>
    <t>1442240889821220864</t>
  </si>
  <si>
    <t>1442241558372290565</t>
  </si>
  <si>
    <t>1442244735133913090</t>
  </si>
  <si>
    <t>1442245159496921097</t>
  </si>
  <si>
    <t>1442248444643446786</t>
  </si>
  <si>
    <t>1442249256484708352</t>
  </si>
  <si>
    <t>1442251196216000514</t>
  </si>
  <si>
    <t>1442252676130131968</t>
  </si>
  <si>
    <t>1442254692256342032</t>
  </si>
  <si>
    <t>1442256071280713732</t>
  </si>
  <si>
    <t>1442258975211261955</t>
  </si>
  <si>
    <t>1442260230486757376</t>
  </si>
  <si>
    <t>1442263723821858824</t>
  </si>
  <si>
    <t>1442266626531807236</t>
  </si>
  <si>
    <t>1442266931168530432</t>
  </si>
  <si>
    <t>1442267077176270854</t>
  </si>
  <si>
    <t>1442267152011038726</t>
  </si>
  <si>
    <t>1442274382873718785</t>
  </si>
  <si>
    <t>1442274417208217606</t>
  </si>
  <si>
    <t>1442279848089640960</t>
  </si>
  <si>
    <t>1442282719875006467</t>
  </si>
  <si>
    <t>1442284416349442049</t>
  </si>
  <si>
    <t>1442290425977581574</t>
  </si>
  <si>
    <t>1442290564465057798</t>
  </si>
  <si>
    <t>1442290818186977280</t>
  </si>
  <si>
    <t>1442291388159123462</t>
  </si>
  <si>
    <t>1442293040987713536</t>
  </si>
  <si>
    <t>1442293218238894080</t>
  </si>
  <si>
    <t>1442293585764835336</t>
  </si>
  <si>
    <t>1442297745700794370</t>
  </si>
  <si>
    <t>1442298596536328192</t>
  </si>
  <si>
    <t>1442299123886002176</t>
  </si>
  <si>
    <t>1442305304868253700</t>
  </si>
  <si>
    <t>1442305628920287238</t>
  </si>
  <si>
    <t>1442308118134747139</t>
  </si>
  <si>
    <t>1442312497315287043</t>
  </si>
  <si>
    <t>1442319567317921794</t>
  </si>
  <si>
    <t>1442321161283506181</t>
  </si>
  <si>
    <t>1442322116943167489</t>
  </si>
  <si>
    <t>1442323042793885697</t>
  </si>
  <si>
    <t>1442332901354340354</t>
  </si>
  <si>
    <t>1442335240786042884</t>
  </si>
  <si>
    <t>1442335623646486529</t>
  </si>
  <si>
    <t>1442337658718588928</t>
  </si>
  <si>
    <t>1442347425490821126</t>
  </si>
  <si>
    <t>1442363720466780166</t>
  </si>
  <si>
    <t>1438118828999729152</t>
  </si>
  <si>
    <t>1442363769888247809</t>
  </si>
  <si>
    <t>1442372236619485184</t>
  </si>
  <si>
    <t>1442372885063012353</t>
  </si>
  <si>
    <t>1442377739818860548</t>
  </si>
  <si>
    <t>1442381503388815362</t>
  </si>
  <si>
    <t>1442383090589052931</t>
  </si>
  <si>
    <t>1442395349625098242</t>
  </si>
  <si>
    <t>1442397487608696833</t>
  </si>
  <si>
    <t>1440597012836077569</t>
  </si>
  <si>
    <t>1442397622497595393</t>
  </si>
  <si>
    <t>1442398022596317189</t>
  </si>
  <si>
    <t>1442408179007049737</t>
  </si>
  <si>
    <t>1442408527356694528</t>
  </si>
  <si>
    <t>1442411306393366535</t>
  </si>
  <si>
    <t>1442418444448804864</t>
  </si>
  <si>
    <t>1442424935557783552</t>
  </si>
  <si>
    <t>1442431260685701120</t>
  </si>
  <si>
    <t>1442436541406666753</t>
  </si>
  <si>
    <t>1442441058793762816</t>
  </si>
  <si>
    <t>1442441652333858818</t>
  </si>
  <si>
    <t>1441511656274661383</t>
  </si>
  <si>
    <t>1442442867008540673</t>
  </si>
  <si>
    <t>1442445419653386243</t>
  </si>
  <si>
    <t>1442455681936728064</t>
  </si>
  <si>
    <t>1442457866519158785</t>
  </si>
  <si>
    <t>1442458795649634304</t>
  </si>
  <si>
    <t>1442464847459852292</t>
  </si>
  <si>
    <t>1442466091440218112</t>
  </si>
  <si>
    <t>1442467239744008198</t>
  </si>
  <si>
    <t>1442467248468201488</t>
  </si>
  <si>
    <t>1442467601922281474</t>
  </si>
  <si>
    <t>1442467818084175876</t>
  </si>
  <si>
    <t>1442467861663043584</t>
  </si>
  <si>
    <t>1442468280636166145</t>
  </si>
  <si>
    <t>1442472298208972803</t>
  </si>
  <si>
    <t>1442477470624751619</t>
  </si>
  <si>
    <t>1442480032635502599</t>
  </si>
  <si>
    <t>1442480631930245126</t>
  </si>
  <si>
    <t>1442481855727476738</t>
  </si>
  <si>
    <t>1442482183990652928</t>
  </si>
  <si>
    <t>1442485711756660751</t>
  </si>
  <si>
    <t>1442489318342234112</t>
  </si>
  <si>
    <t>1442490823568986118</t>
  </si>
  <si>
    <t>1442495489480527876</t>
  </si>
  <si>
    <t>1439983598031998977</t>
  </si>
  <si>
    <t>1439985144098660355</t>
  </si>
  <si>
    <t>1440310389477044224</t>
  </si>
  <si>
    <t>1440659546255478795</t>
  </si>
  <si>
    <t>1441402584665706496</t>
  </si>
  <si>
    <t>1441781535447953410</t>
  </si>
  <si>
    <t>1442495987340169221</t>
  </si>
  <si>
    <t>1442496198565314564</t>
  </si>
  <si>
    <t>1442497339843760143</t>
  </si>
  <si>
    <t>1442498142457503750</t>
  </si>
  <si>
    <t>1442497921207857152</t>
  </si>
  <si>
    <t>1442500756326666241</t>
  </si>
  <si>
    <t>1442501698455433221</t>
  </si>
  <si>
    <t>1441512549296521217</t>
  </si>
  <si>
    <t>1442501735264649216</t>
  </si>
  <si>
    <t>1442505335990898690</t>
  </si>
  <si>
    <t>1442508564896129026</t>
  </si>
  <si>
    <t>1442304250839769089</t>
  </si>
  <si>
    <t>1442512600726704128</t>
  </si>
  <si>
    <t>1442513498290810895</t>
  </si>
  <si>
    <t>1442518827259023363</t>
  </si>
  <si>
    <t>1442520885089472514</t>
  </si>
  <si>
    <t>1442521026940874759</t>
  </si>
  <si>
    <t>1442551569430503428</t>
  </si>
  <si>
    <t>1442557686244065289</t>
  </si>
  <si>
    <t>1442592514205171717</t>
  </si>
  <si>
    <t>1442595038727270403</t>
  </si>
  <si>
    <t>1442596097495552000</t>
  </si>
  <si>
    <t>1442597972139778056</t>
  </si>
  <si>
    <t>1442481949017247746</t>
  </si>
  <si>
    <t>1442598067895783424</t>
  </si>
  <si>
    <t>1442589425322446848</t>
  </si>
  <si>
    <t>1442610787932061697</t>
  </si>
  <si>
    <t>1442616831219576837</t>
  </si>
  <si>
    <t>1442625411326881808</t>
  </si>
  <si>
    <t>1442627530494722061</t>
  </si>
  <si>
    <t>1442631469483151363</t>
  </si>
  <si>
    <t>1442631493570945028</t>
  </si>
  <si>
    <t>1442631548822556677</t>
  </si>
  <si>
    <t>1442637354532016135</t>
  </si>
  <si>
    <t>1442616114475905026</t>
  </si>
  <si>
    <t>1442649310336851973</t>
  </si>
  <si>
    <t>1442652640287002624</t>
  </si>
  <si>
    <t>1442644003774734340</t>
  </si>
  <si>
    <t>1442658177376415749</t>
  </si>
  <si>
    <t>1442668680668753923</t>
  </si>
  <si>
    <t>1442672450349699074</t>
  </si>
  <si>
    <t>1442673794531868682</t>
  </si>
  <si>
    <t>1442679543479906305</t>
  </si>
  <si>
    <t>1440855371015356422</t>
  </si>
  <si>
    <t>1440855445166383111</t>
  </si>
  <si>
    <t>1442645056066891780</t>
  </si>
  <si>
    <t>1442682526380830720</t>
  </si>
  <si>
    <t>1442697035065462784</t>
  </si>
  <si>
    <t>1442702209376993280</t>
  </si>
  <si>
    <t>1442736587465445377</t>
  </si>
  <si>
    <t>1442737994322964481</t>
  </si>
  <si>
    <t>1442740434883600386</t>
  </si>
  <si>
    <t>1442740508808265733</t>
  </si>
  <si>
    <t>1442741332708143107</t>
  </si>
  <si>
    <t>1442741933500080128</t>
  </si>
  <si>
    <t>1441292786741878792</t>
  </si>
  <si>
    <t>1441343029558714376</t>
  </si>
  <si>
    <t>1441725544479936519</t>
  </si>
  <si>
    <t>1442742357019987969</t>
  </si>
  <si>
    <t>1442743525196566529</t>
  </si>
  <si>
    <t>1442746066315534337</t>
  </si>
  <si>
    <t>1442746067934715905</t>
  </si>
  <si>
    <t>1440228319811694598</t>
  </si>
  <si>
    <t>1442748421148794880</t>
  </si>
  <si>
    <t>1442765046480662531</t>
  </si>
  <si>
    <t>1442770578600046594</t>
  </si>
  <si>
    <t>1442774948641075206</t>
  </si>
  <si>
    <t>1442775241344704519</t>
  </si>
  <si>
    <t>1442775255068467202</t>
  </si>
  <si>
    <t>1442775269840863232</t>
  </si>
  <si>
    <t>1442775281496846338</t>
  </si>
  <si>
    <t>1442775294650159106</t>
  </si>
  <si>
    <t>1442776637326512128</t>
  </si>
  <si>
    <t>1442783325379170306</t>
  </si>
  <si>
    <t>1442786041920823298</t>
  </si>
  <si>
    <t>1442786894413139973</t>
  </si>
  <si>
    <t>1442787231563845632</t>
  </si>
  <si>
    <t>1442789211971604486</t>
  </si>
  <si>
    <t>1442790111691751427</t>
  </si>
  <si>
    <t>1442790166041546754</t>
  </si>
  <si>
    <t>1442790546234302468</t>
  </si>
  <si>
    <t>1442790599036268544</t>
  </si>
  <si>
    <t>1442791361183293440</t>
  </si>
  <si>
    <t>1442791749353553927</t>
  </si>
  <si>
    <t>1442791973962665985</t>
  </si>
  <si>
    <t>1442794038512414727</t>
  </si>
  <si>
    <t>1442794240463888390</t>
  </si>
  <si>
    <t>1442794363046612992</t>
  </si>
  <si>
    <t>1442796475474341889</t>
  </si>
  <si>
    <t>1442797214317776899</t>
  </si>
  <si>
    <t>1442798071549607941</t>
  </si>
  <si>
    <t>1442800805061353483</t>
  </si>
  <si>
    <t>1442808937539989505</t>
  </si>
  <si>
    <t>1442809707874308102</t>
  </si>
  <si>
    <t>1442810715509870594</t>
  </si>
  <si>
    <t>1442812102444392448</t>
  </si>
  <si>
    <t>1442813554306916365</t>
  </si>
  <si>
    <t>1442814644255559680</t>
  </si>
  <si>
    <t>1442816796139003909</t>
  </si>
  <si>
    <t>1442818779273064449</t>
  </si>
  <si>
    <t>1442819095104147459</t>
  </si>
  <si>
    <t>1442821596922720260</t>
  </si>
  <si>
    <t>1442830227584000007</t>
  </si>
  <si>
    <t>1442831835202048004</t>
  </si>
  <si>
    <t>1442833900368056320</t>
  </si>
  <si>
    <t>1442835336179200005</t>
  </si>
  <si>
    <t>1442835622876622862</t>
  </si>
  <si>
    <t>1442836290869809155</t>
  </si>
  <si>
    <t>1442504829578874886</t>
  </si>
  <si>
    <t>1442836489877041152</t>
  </si>
  <si>
    <t>1441716411089424386</t>
  </si>
  <si>
    <t>1442841339272519684</t>
  </si>
  <si>
    <t>1442843240923897857</t>
  </si>
  <si>
    <t>1442844610636795905</t>
  </si>
  <si>
    <t>1442849026861305865</t>
  </si>
  <si>
    <t>1442850105275604994</t>
  </si>
  <si>
    <t>1442857954936438784</t>
  </si>
  <si>
    <t>1442858169194082305</t>
  </si>
  <si>
    <t>1442859645014458381</t>
  </si>
  <si>
    <t>1442860211123851269</t>
  </si>
  <si>
    <t>1442108881497464837</t>
  </si>
  <si>
    <t>1442860312076587008</t>
  </si>
  <si>
    <t>1442114780156809220</t>
  </si>
  <si>
    <t>1442860621444308994</t>
  </si>
  <si>
    <t>1442861820633489412</t>
  </si>
  <si>
    <t>1442868214665396230</t>
  </si>
  <si>
    <t>1442870728756326414</t>
  </si>
  <si>
    <t>1442871245725339649</t>
  </si>
  <si>
    <t>1442873620221493255</t>
  </si>
  <si>
    <t>1442874379981836301</t>
  </si>
  <si>
    <t>1442874437049585664</t>
  </si>
  <si>
    <t>1442877026482884615</t>
  </si>
  <si>
    <t>1442880423835537408</t>
  </si>
  <si>
    <t>1442880487396036608</t>
  </si>
  <si>
    <t>1442881626036260864</t>
  </si>
  <si>
    <t>1442885371012943877</t>
  </si>
  <si>
    <t>1442885712433455115</t>
  </si>
  <si>
    <t>1442887383846842372</t>
  </si>
  <si>
    <t>1442889357866594309</t>
  </si>
  <si>
    <t>1442890560038047745</t>
  </si>
  <si>
    <t>1442891652067069953</t>
  </si>
  <si>
    <t>1442108471407783940</t>
  </si>
  <si>
    <t>1442859503351840768</t>
  </si>
  <si>
    <t>1442894434102767625</t>
  </si>
  <si>
    <t>1442896902735859712</t>
  </si>
  <si>
    <t>1442900181536575488</t>
  </si>
  <si>
    <t>1442901713728331781</t>
  </si>
  <si>
    <t>1439965231917174791</t>
  </si>
  <si>
    <t>1439965237135003657</t>
  </si>
  <si>
    <t>1442476622091857920</t>
  </si>
  <si>
    <t>1442907555068448768</t>
  </si>
  <si>
    <t>1442785213663248384</t>
  </si>
  <si>
    <t>1442908227113406465</t>
  </si>
  <si>
    <t>1442910870275702785</t>
  </si>
  <si>
    <t>1442916335256698881</t>
  </si>
  <si>
    <t>1442104662774136835</t>
  </si>
  <si>
    <t>1442242982535516160</t>
  </si>
  <si>
    <t>1442406657078738945</t>
  </si>
  <si>
    <t>1442300399059292165</t>
  </si>
  <si>
    <t>1442928021246144513</t>
  </si>
  <si>
    <t>1442943365251682306</t>
  </si>
  <si>
    <t>1442955387628445698</t>
  </si>
  <si>
    <t>1442991975502843910</t>
  </si>
  <si>
    <t>1443007907570741248</t>
  </si>
  <si>
    <t>1443017422361927687</t>
  </si>
  <si>
    <t>1443021438315741186</t>
  </si>
  <si>
    <t>1442899008398135302</t>
  </si>
  <si>
    <t>1442901499412054016</t>
  </si>
  <si>
    <t>1443023225278144513</t>
  </si>
  <si>
    <t>1443026319692877830</t>
  </si>
  <si>
    <t>1443027774772449283</t>
  </si>
  <si>
    <t>1443031218295959553</t>
  </si>
  <si>
    <t>1443031447615508487</t>
  </si>
  <si>
    <t>1443034621466365953</t>
  </si>
  <si>
    <t>1443026999312850948</t>
  </si>
  <si>
    <t>1443038992027557889</t>
  </si>
  <si>
    <t>1442104894651961346</t>
  </si>
  <si>
    <t>1442135970157973505</t>
  </si>
  <si>
    <t>1442463350764576770</t>
  </si>
  <si>
    <t>1442519697480732677</t>
  </si>
  <si>
    <t>1442521442210439168</t>
  </si>
  <si>
    <t>1442816004682354692</t>
  </si>
  <si>
    <t>1443039184252456963</t>
  </si>
  <si>
    <t>1443041852563890178</t>
  </si>
  <si>
    <t>1443042940012482564</t>
  </si>
  <si>
    <t>1440149862650052610</t>
  </si>
  <si>
    <t>1440853796620578823</t>
  </si>
  <si>
    <t>1441135784761851909</t>
  </si>
  <si>
    <t>1441408783792619522</t>
  </si>
  <si>
    <t>1441463237338357763</t>
  </si>
  <si>
    <t>1441542329370824704</t>
  </si>
  <si>
    <t>1441603789765677056</t>
  </si>
  <si>
    <t>1441407420660604930</t>
  </si>
  <si>
    <t>1442131015577841668</t>
  </si>
  <si>
    <t>1442523895987245056</t>
  </si>
  <si>
    <t>1440086913210216458</t>
  </si>
  <si>
    <t>1442517661183795205</t>
  </si>
  <si>
    <t>1442520649554173954</t>
  </si>
  <si>
    <t>1442529988259966986</t>
  </si>
  <si>
    <t>1442542678332301313</t>
  </si>
  <si>
    <t>1442546807309963266</t>
  </si>
  <si>
    <t>1442615043712032768</t>
  </si>
  <si>
    <t>1443045982443343875</t>
  </si>
  <si>
    <t>1442672792613294082</t>
  </si>
  <si>
    <t>1442738817329364994</t>
  </si>
  <si>
    <t>1443047511078232067</t>
  </si>
  <si>
    <t>1443047565314850818</t>
  </si>
  <si>
    <t>1443047595929051136</t>
  </si>
  <si>
    <t>1443047634395037700</t>
  </si>
  <si>
    <t>1443047646394925063</t>
  </si>
  <si>
    <t>1443047689902493699</t>
  </si>
  <si>
    <t>1443053826689298432</t>
  </si>
  <si>
    <t>1443054346661339137</t>
  </si>
  <si>
    <t>1443017270750445576</t>
  </si>
  <si>
    <t>1443060148537200642</t>
  </si>
  <si>
    <t>1443060560950611968</t>
  </si>
  <si>
    <t>1443062472475234309</t>
  </si>
  <si>
    <t>1443066450504142854</t>
  </si>
  <si>
    <t>1443066481948848133</t>
  </si>
  <si>
    <t>1443066499908788232</t>
  </si>
  <si>
    <t>1437836012634341376</t>
  </si>
  <si>
    <t>1437836911209377794</t>
  </si>
  <si>
    <t>1442852377481076736</t>
  </si>
  <si>
    <t>1442852904814055425</t>
  </si>
  <si>
    <t>1442856483461287940</t>
  </si>
  <si>
    <t>1442862850851016709</t>
  </si>
  <si>
    <t>1443067646371459072</t>
  </si>
  <si>
    <t>1443067777992957959</t>
  </si>
  <si>
    <t>1437395228575498240</t>
  </si>
  <si>
    <t>1439952284767637506</t>
  </si>
  <si>
    <t>1439991555331330050</t>
  </si>
  <si>
    <t>1440009924017262595</t>
  </si>
  <si>
    <t>1439989805727862785</t>
  </si>
  <si>
    <t>1440034187638034435</t>
  </si>
  <si>
    <t>1440038930238164999</t>
  </si>
  <si>
    <t>1440099242173992960</t>
  </si>
  <si>
    <t>1440057615573127171</t>
  </si>
  <si>
    <t>1440139439246757892</t>
  </si>
  <si>
    <t>1440250061506572300</t>
  </si>
  <si>
    <t>1440018460428361728</t>
  </si>
  <si>
    <t>1440273762004258816</t>
  </si>
  <si>
    <t>1439937387019345924</t>
  </si>
  <si>
    <t>1440349763963011077</t>
  </si>
  <si>
    <t>1440365229607559183</t>
  </si>
  <si>
    <t>1440406411029082113</t>
  </si>
  <si>
    <t>1440413073588637703</t>
  </si>
  <si>
    <t>1440404186655387648</t>
  </si>
  <si>
    <t>1440402684146712579</t>
  </si>
  <si>
    <t>1440359304960241671</t>
  </si>
  <si>
    <t>1440317371885842433</t>
  </si>
  <si>
    <t>1440405086010687491</t>
  </si>
  <si>
    <t>1440373197711446021</t>
  </si>
  <si>
    <t>1440366142317469702</t>
  </si>
  <si>
    <t>1440653975842279435</t>
  </si>
  <si>
    <t>1440671310724485121</t>
  </si>
  <si>
    <t>1440654077956747275</t>
  </si>
  <si>
    <t>1440708614512021504</t>
  </si>
  <si>
    <t>1440643393923661832</t>
  </si>
  <si>
    <t>1440776108455055366</t>
  </si>
  <si>
    <t>1440789461969764354</t>
  </si>
  <si>
    <t>1440807812007751683</t>
  </si>
  <si>
    <t>1440726441453178897</t>
  </si>
  <si>
    <t>1440814574916173833</t>
  </si>
  <si>
    <t>1440627009453912065</t>
  </si>
  <si>
    <t>1440803691808714752</t>
  </si>
  <si>
    <t>1440945925699117057</t>
  </si>
  <si>
    <t>1441013374058442756</t>
  </si>
  <si>
    <t>1441053377639550982</t>
  </si>
  <si>
    <t>1440763721014415373</t>
  </si>
  <si>
    <t>1441067920688177153</t>
  </si>
  <si>
    <t>1441067585043320833</t>
  </si>
  <si>
    <t>1441086680216190980</t>
  </si>
  <si>
    <t>1441140652771774465</t>
  </si>
  <si>
    <t>1441154924847374337</t>
  </si>
  <si>
    <t>1441163808614060032</t>
  </si>
  <si>
    <t>1441165182076551172</t>
  </si>
  <si>
    <t>1441143486519001097</t>
  </si>
  <si>
    <t>1440910451118804996</t>
  </si>
  <si>
    <t>1441183478611992583</t>
  </si>
  <si>
    <t>1441155995103793152</t>
  </si>
  <si>
    <t>1441209705255170054</t>
  </si>
  <si>
    <t>1441157551106650116</t>
  </si>
  <si>
    <t>1441189626450890752</t>
  </si>
  <si>
    <t>1441240213783658497</t>
  </si>
  <si>
    <t>1441250145773887494</t>
  </si>
  <si>
    <t>1441195750042574848</t>
  </si>
  <si>
    <t>1441351639600795650</t>
  </si>
  <si>
    <t>1441258811738755072</t>
  </si>
  <si>
    <t>1441419253782097920</t>
  </si>
  <si>
    <t>1441415554955370498</t>
  </si>
  <si>
    <t>1441425369022623751</t>
  </si>
  <si>
    <t>1441448983377944583</t>
  </si>
  <si>
    <t>1441353395298713603</t>
  </si>
  <si>
    <t>1441424687469260800</t>
  </si>
  <si>
    <t>1441410554204094470</t>
  </si>
  <si>
    <t>1441620063342239745</t>
  </si>
  <si>
    <t>1441476007798579200</t>
  </si>
  <si>
    <t>1441575259971465219</t>
  </si>
  <si>
    <t>1441636433618341893</t>
  </si>
  <si>
    <t>1441672222641430528</t>
  </si>
  <si>
    <t>1441493721137049612</t>
  </si>
  <si>
    <t>1441735193279221760</t>
  </si>
  <si>
    <t>1441741814084558849</t>
  </si>
  <si>
    <t>1441431812828450818</t>
  </si>
  <si>
    <t>1441395149179924480</t>
  </si>
  <si>
    <t>1441802465037389824</t>
  </si>
  <si>
    <t>1441806855647399936</t>
  </si>
  <si>
    <t>1441815054765133824</t>
  </si>
  <si>
    <t>1441691899048378372</t>
  </si>
  <si>
    <t>1441836031607808003</t>
  </si>
  <si>
    <t>1441864078784401408</t>
  </si>
  <si>
    <t>1441871065391771648</t>
  </si>
  <si>
    <t>1441877968880640000</t>
  </si>
  <si>
    <t>1441853990115811336</t>
  </si>
  <si>
    <t>1441866259705040896</t>
  </si>
  <si>
    <t>1441853739309088770</t>
  </si>
  <si>
    <t>1441425279633735682</t>
  </si>
  <si>
    <t>1442098091440496653</t>
  </si>
  <si>
    <t>1441061303532011520</t>
  </si>
  <si>
    <t>1441543761331429376</t>
  </si>
  <si>
    <t>1441830972622884872</t>
  </si>
  <si>
    <t>1442070430358122498</t>
  </si>
  <si>
    <t>1442140259794444294</t>
  </si>
  <si>
    <t>1441622334805319682</t>
  </si>
  <si>
    <t>1441886731339374595</t>
  </si>
  <si>
    <t>1442161419059924992</t>
  </si>
  <si>
    <t>1442155931534462976</t>
  </si>
  <si>
    <t>1442158806658600962</t>
  </si>
  <si>
    <t>1442163485740240902</t>
  </si>
  <si>
    <t>1442190863388463113</t>
  </si>
  <si>
    <t>1442172820868509701</t>
  </si>
  <si>
    <t>1442189494975926273</t>
  </si>
  <si>
    <t>1442212625329184774</t>
  </si>
  <si>
    <t>1442251127198781445</t>
  </si>
  <si>
    <t>1442265778095599616</t>
  </si>
  <si>
    <t>1441905737618186243</t>
  </si>
  <si>
    <t>1442298130641346562</t>
  </si>
  <si>
    <t>1442319578298662920</t>
  </si>
  <si>
    <t>1442316384986439684</t>
  </si>
  <si>
    <t>1442332092365295619</t>
  </si>
  <si>
    <t>1442289844940541952</t>
  </si>
  <si>
    <t>1441362127273529344</t>
  </si>
  <si>
    <t>1442444742491398146</t>
  </si>
  <si>
    <t>1442462165043138566</t>
  </si>
  <si>
    <t>1442480047810506757</t>
  </si>
  <si>
    <t>1442451411934105603</t>
  </si>
  <si>
    <t>1442487794165710853</t>
  </si>
  <si>
    <t>1442499835857444864</t>
  </si>
  <si>
    <t>1442549582135627778</t>
  </si>
  <si>
    <t>1442591567840268294</t>
  </si>
  <si>
    <t>1442587109433425922</t>
  </si>
  <si>
    <t>1442626230558334977</t>
  </si>
  <si>
    <t>1442650928616808452</t>
  </si>
  <si>
    <t>1442469545478746114</t>
  </si>
  <si>
    <t>1442671822659596290</t>
  </si>
  <si>
    <t>1440806209108414470</t>
  </si>
  <si>
    <t>1440824749374853121</t>
  </si>
  <si>
    <t>1442563891666489359</t>
  </si>
  <si>
    <t>1442631676153188352</t>
  </si>
  <si>
    <t>1442678263252389888</t>
  </si>
  <si>
    <t>1442700427133394945</t>
  </si>
  <si>
    <t>1442740110865338368</t>
  </si>
  <si>
    <t>1442475026352001026</t>
  </si>
  <si>
    <t>1442764595999875072</t>
  </si>
  <si>
    <t>1442565892403986438</t>
  </si>
  <si>
    <t>1442758499688071169</t>
  </si>
  <si>
    <t>1442755974662553603</t>
  </si>
  <si>
    <t>1442789522509471744</t>
  </si>
  <si>
    <t>1442817534005157890</t>
  </si>
  <si>
    <t>1442334562995032065</t>
  </si>
  <si>
    <t>1442829003245621252</t>
  </si>
  <si>
    <t>1442831446083837956</t>
  </si>
  <si>
    <t>1442833423035404291</t>
  </si>
  <si>
    <t>1442616632736632844</t>
  </si>
  <si>
    <t>1441834878773837827</t>
  </si>
  <si>
    <t>1442860412035166209</t>
  </si>
  <si>
    <t>1442867696761118720</t>
  </si>
  <si>
    <t>1442880162090012678</t>
  </si>
  <si>
    <t>1442889355891150856</t>
  </si>
  <si>
    <t>1442865742911655942</t>
  </si>
  <si>
    <t>1439965235020972032</t>
  </si>
  <si>
    <t>1442919899634958351</t>
  </si>
  <si>
    <t>1441760904920518670</t>
  </si>
  <si>
    <t>1442862762577698823</t>
  </si>
  <si>
    <t>1442805778025369604</t>
  </si>
  <si>
    <t>1443031210528153608</t>
  </si>
  <si>
    <t>1443030662659952642</t>
  </si>
  <si>
    <t>1442802729789923329</t>
  </si>
  <si>
    <t>1443042680800354304</t>
  </si>
  <si>
    <t>1440119609919606789</t>
  </si>
  <si>
    <t>1440628958471487492</t>
  </si>
  <si>
    <t>1440816214532452359</t>
  </si>
  <si>
    <t>1441402697416986634</t>
  </si>
  <si>
    <t>1442082559811362818</t>
  </si>
  <si>
    <t>1442252906980429825</t>
  </si>
  <si>
    <t>1440040576892616709</t>
  </si>
  <si>
    <t>1442285118928818181</t>
  </si>
  <si>
    <t>1442430419459264518</t>
  </si>
  <si>
    <t>1442288012629471238</t>
  </si>
  <si>
    <t>1442529604921557002</t>
  </si>
  <si>
    <t>1442582389386002436</t>
  </si>
  <si>
    <t>1443001774017765378</t>
  </si>
  <si>
    <t>1442668727196061697</t>
  </si>
  <si>
    <t>22864100</t>
  </si>
  <si>
    <t>31139434</t>
  </si>
  <si>
    <t>9317502</t>
  </si>
  <si>
    <t>1351188841558913025</t>
  </si>
  <si>
    <t>2204369970</t>
  </si>
  <si>
    <t>59912646</t>
  </si>
  <si>
    <t>220780288</t>
  </si>
  <si>
    <t>55087834</t>
  </si>
  <si>
    <t>85327394</t>
  </si>
  <si>
    <t>1259305899824484356</t>
  </si>
  <si>
    <t>224882018</t>
  </si>
  <si>
    <t>3182862287</t>
  </si>
  <si>
    <t>128372940</t>
  </si>
  <si>
    <t>1123437353283063809</t>
  </si>
  <si>
    <t>19612753</t>
  </si>
  <si>
    <t>1049689799467122688</t>
  </si>
  <si>
    <t>50456603</t>
  </si>
  <si>
    <t>3094889434</t>
  </si>
  <si>
    <t>1090291692744466433</t>
  </si>
  <si>
    <t>2924640456</t>
  </si>
  <si>
    <t>1262317363984306177</t>
  </si>
  <si>
    <t>1124740952650854400</t>
  </si>
  <si>
    <t>1409665314770522112</t>
  </si>
  <si>
    <t>1277717399895236609</t>
  </si>
  <si>
    <t>1396884914079940614</t>
  </si>
  <si>
    <t>301217839</t>
  </si>
  <si>
    <t>977642641251799040</t>
  </si>
  <si>
    <t>1084181788082270209</t>
  </si>
  <si>
    <t>26455222</t>
  </si>
  <si>
    <t>215113524</t>
  </si>
  <si>
    <t>797472318104727552</t>
  </si>
  <si>
    <t>23138365</t>
  </si>
  <si>
    <t>2304222866</t>
  </si>
  <si>
    <t>325562320</t>
  </si>
  <si>
    <t>1349109448971874306</t>
  </si>
  <si>
    <t>3132404397</t>
  </si>
  <si>
    <t>1246528995442769927</t>
  </si>
  <si>
    <t>1009830355015102464</t>
  </si>
  <si>
    <t>1328867160291205121</t>
  </si>
  <si>
    <t>1202108075231989760</t>
  </si>
  <si>
    <t>18286139</t>
  </si>
  <si>
    <t>2455740283</t>
  </si>
  <si>
    <t>139081308</t>
  </si>
  <si>
    <t>1371073243466104832</t>
  </si>
  <si>
    <t>64716630</t>
  </si>
  <si>
    <t>47596019</t>
  </si>
  <si>
    <t>9571702</t>
  </si>
  <si>
    <t>407201697</t>
  </si>
  <si>
    <t>1222939896349970432</t>
  </si>
  <si>
    <t>1171057981661831169</t>
  </si>
  <si>
    <t>34759495</t>
  </si>
  <si>
    <t>9604032</t>
  </si>
  <si>
    <t>1423426566319640579</t>
  </si>
  <si>
    <t>1432152549038120964</t>
  </si>
  <si>
    <t>190535830</t>
  </si>
  <si>
    <t>1226629831263215617</t>
  </si>
  <si>
    <t>1133953512365338624</t>
  </si>
  <si>
    <t>1194145981589315584</t>
  </si>
  <si>
    <t>590423274</t>
  </si>
  <si>
    <t>1427344989072277504</t>
  </si>
  <si>
    <t>938560699374202880</t>
  </si>
  <si>
    <t>1236164256040726529</t>
  </si>
  <si>
    <t>1088133295735537664</t>
  </si>
  <si>
    <t>1297673716772614147</t>
  </si>
  <si>
    <t>90556761</t>
  </si>
  <si>
    <t>1017840862653493248</t>
  </si>
  <si>
    <t>186188353</t>
  </si>
  <si>
    <t>60356221</t>
  </si>
  <si>
    <t>39116717</t>
  </si>
  <si>
    <t>1178673799505551362</t>
  </si>
  <si>
    <t>1045651626638397440</t>
  </si>
  <si>
    <t>210538923</t>
  </si>
  <si>
    <t>416908307</t>
  </si>
  <si>
    <t>1131713513141997568</t>
  </si>
  <si>
    <t>61040194</t>
  </si>
  <si>
    <t>1373723879168950276</t>
  </si>
  <si>
    <t>1363527059532902402</t>
  </si>
  <si>
    <t>37122131</t>
  </si>
  <si>
    <t>1114869204962947072</t>
  </si>
  <si>
    <t>1374087821674360834</t>
  </si>
  <si>
    <t>43340387</t>
  </si>
  <si>
    <t>1223710797341372416</t>
  </si>
  <si>
    <t>72371342</t>
  </si>
  <si>
    <t>119888114</t>
  </si>
  <si>
    <t>3128856419</t>
  </si>
  <si>
    <t>1264040420742438914</t>
  </si>
  <si>
    <t>1433193417014718465</t>
  </si>
  <si>
    <t>84134067</t>
  </si>
  <si>
    <t>1053032084724441088</t>
  </si>
  <si>
    <t>187270685</t>
  </si>
  <si>
    <t>375941690</t>
  </si>
  <si>
    <t>994033058797023232</t>
  </si>
  <si>
    <t>1050458761117257728</t>
  </si>
  <si>
    <t>174396298</t>
  </si>
  <si>
    <t>2677675820</t>
  </si>
  <si>
    <t>1137886740545495040</t>
  </si>
  <si>
    <t>22262308</t>
  </si>
  <si>
    <t>1361918244861444103</t>
  </si>
  <si>
    <t>198014461</t>
  </si>
  <si>
    <t>1174998400393252864</t>
  </si>
  <si>
    <t>104160766</t>
  </si>
  <si>
    <t>25842391</t>
  </si>
  <si>
    <t>58024193</t>
  </si>
  <si>
    <t>1022134176097738755</t>
  </si>
  <si>
    <t>256730310</t>
  </si>
  <si>
    <t>1365627638581239810</t>
  </si>
  <si>
    <t>852149583123816449</t>
  </si>
  <si>
    <t>76049312</t>
  </si>
  <si>
    <t>19247625</t>
  </si>
  <si>
    <t>4634782175</t>
  </si>
  <si>
    <t>20345378</t>
  </si>
  <si>
    <t>869383977844342784</t>
  </si>
  <si>
    <t>25535042</t>
  </si>
  <si>
    <t>48298703</t>
  </si>
  <si>
    <t>610666504</t>
  </si>
  <si>
    <t>917704927388094464</t>
  </si>
  <si>
    <t>1180599378408562688</t>
  </si>
  <si>
    <t>1361129485471518725</t>
  </si>
  <si>
    <t>1140056037585805316</t>
  </si>
  <si>
    <t>250217099</t>
  </si>
  <si>
    <t>1415639969658327040</t>
  </si>
  <si>
    <t>883466562480594945</t>
  </si>
  <si>
    <t>1224637848298672129</t>
  </si>
  <si>
    <t>1434731542463528962</t>
  </si>
  <si>
    <t>1142088211478536193</t>
  </si>
  <si>
    <t>80575628</t>
  </si>
  <si>
    <t>2391173414</t>
  </si>
  <si>
    <t>1249364123802120194</t>
  </si>
  <si>
    <t>1100152144206987265</t>
  </si>
  <si>
    <t>63118359</t>
  </si>
  <si>
    <t>49696756</t>
  </si>
  <si>
    <t>1406080428499476486</t>
  </si>
  <si>
    <t>1358987032677265409</t>
  </si>
  <si>
    <t>2690989873</t>
  </si>
  <si>
    <t>1047237903267581953</t>
  </si>
  <si>
    <t>1856755496</t>
  </si>
  <si>
    <t>1214364672222203904</t>
  </si>
  <si>
    <t>3438498433</t>
  </si>
  <si>
    <t>2184217405</t>
  </si>
  <si>
    <t>297471230</t>
  </si>
  <si>
    <t>39068703</t>
  </si>
  <si>
    <t>2189036407</t>
  </si>
  <si>
    <t>101805057</t>
  </si>
  <si>
    <t>370940231</t>
  </si>
  <si>
    <t>73862924</t>
  </si>
  <si>
    <t>735858508898373632</t>
  </si>
  <si>
    <t>1421099253376585736</t>
  </si>
  <si>
    <t>235102523</t>
  </si>
  <si>
    <t>1024134285668896768</t>
  </si>
  <si>
    <t>2441912605</t>
  </si>
  <si>
    <t>1343340018660745218</t>
  </si>
  <si>
    <t>2785172682</t>
  </si>
  <si>
    <t>83387425</t>
  </si>
  <si>
    <t>1370957062159564800</t>
  </si>
  <si>
    <t>1349383195133947904</t>
  </si>
  <si>
    <t>795985457796575233</t>
  </si>
  <si>
    <t>3259077422</t>
  </si>
  <si>
    <t>43023158</t>
  </si>
  <si>
    <t>32529120</t>
  </si>
  <si>
    <t>204368952</t>
  </si>
  <si>
    <t>1295511565312065536</t>
  </si>
  <si>
    <t>156719729</t>
  </si>
  <si>
    <t>14594813</t>
  </si>
  <si>
    <t>14594698</t>
  </si>
  <si>
    <t>33374761</t>
  </si>
  <si>
    <t>54341363</t>
  </si>
  <si>
    <t>3331429624</t>
  </si>
  <si>
    <t>18601589</t>
  </si>
  <si>
    <t>1153343476135792641</t>
  </si>
  <si>
    <t>th</t>
  </si>
  <si>
    <t>ro</t>
  </si>
  <si>
    <t>1440269972383539207</t>
  </si>
  <si>
    <t>1440501456323309576</t>
  </si>
  <si>
    <t>1440905090462846976</t>
  </si>
  <si>
    <t>1441105197468508160</t>
  </si>
  <si>
    <t>1441856785820880896</t>
  </si>
  <si>
    <t>1441778722990870529</t>
  </si>
  <si>
    <t>1442397310504292352</t>
  </si>
  <si>
    <t>1442100048985219072</t>
  </si>
  <si>
    <t>1442133531724034053</t>
  </si>
  <si>
    <t>1442442870477180930</t>
  </si>
  <si>
    <t>1442281595042336772</t>
  </si>
  <si>
    <t>1442514483037888514</t>
  </si>
  <si>
    <t>1442811910873919488</t>
  </si>
  <si>
    <t>1443035299030962181</t>
  </si>
  <si>
    <t>swonkie</t>
  </si>
  <si>
    <t>SAPO Blogs</t>
  </si>
  <si>
    <t>Twitter Media Studio</t>
  </si>
  <si>
    <t>AutoTweetPublico</t>
  </si>
  <si>
    <t>RD Station</t>
  </si>
  <si>
    <t>ZAP AEIOU</t>
  </si>
  <si>
    <t>Sprout Social</t>
  </si>
  <si>
    <t>HubSpot</t>
  </si>
  <si>
    <t>internacionalzip</t>
  </si>
  <si>
    <t>Twitter Update News</t>
  </si>
  <si>
    <t>AutomaticPosts</t>
  </si>
  <si>
    <t>Wordpress O MINHO</t>
  </si>
  <si>
    <t>Jornal de Negócios Post</t>
  </si>
  <si>
    <t>Postcron App</t>
  </si>
  <si>
    <t>-46,826039,-24,008814 
-46,365052,-24,008814 
-46,365052,-23,356792 
-46,826039,-23,356792</t>
  </si>
  <si>
    <t>106,757595,-6,213853 
106,791417,-6,213853 
106,791417,-6,157351 
106,757595,-6,157351</t>
  </si>
  <si>
    <t>-51,324349,-23,853841 
-50,8754466,-23,853841 
-50,8754466,-23,1722019 
-51,324349,-23,1722019</t>
  </si>
  <si>
    <t>-48,623684,-1,526453 
-48,295911,-1,526453 
-48,295911,-1,019406 
-48,623684,-1,019406</t>
  </si>
  <si>
    <t>106,807441,-6,180635 
106,846151,-6,180635 
106,846151,-6,157287 
106,807441,-6,157287</t>
  </si>
  <si>
    <t>-46,821862,-23,607363 
-46,747106,-23,607363 
-46,747106,-23,459503 
-46,821862,-23,459503</t>
  </si>
  <si>
    <t>112,625659,-7,431653 
112,696615,-7,431653 
112,696615,-7,385562 
112,625659,-7,385562</t>
  </si>
  <si>
    <t>112,57746,-7,20845 
112,666582,-7,20845 
112,666582,-7,14433 
112,57746,-7,14433</t>
  </si>
  <si>
    <t>Brazil</t>
  </si>
  <si>
    <t>United States</t>
  </si>
  <si>
    <t>BR</t>
  </si>
  <si>
    <t>Sao Paulo, Brazil</t>
  </si>
  <si>
    <t>Londrina, Brasil</t>
  </si>
  <si>
    <t>Belém, Brazil</t>
  </si>
  <si>
    <t>Gambir, Indonesia</t>
  </si>
  <si>
    <t>Osasco, Brasil</t>
  </si>
  <si>
    <t>Sukodono, Indonesia</t>
  </si>
  <si>
    <t>Kebomas, Indonesia</t>
  </si>
  <si>
    <t>68e019afec7d0ba5</t>
  </si>
  <si>
    <t>4e804e21f22144e1</t>
  </si>
  <si>
    <t>8aed51289a235ff4</t>
  </si>
  <si>
    <t>f3587bc643e7d7b8</t>
  </si>
  <si>
    <t>25f5e9dbc1b635ac</t>
  </si>
  <si>
    <t>32e64dedd065063f</t>
  </si>
  <si>
    <t>8b58170c3b5c9585</t>
  </si>
  <si>
    <t>814feb98943c7ce1</t>
  </si>
  <si>
    <t>Sao Paulo</t>
  </si>
  <si>
    <t>Kebon Jeruk</t>
  </si>
  <si>
    <t>Londrina</t>
  </si>
  <si>
    <t>Belém</t>
  </si>
  <si>
    <t>Gambir</t>
  </si>
  <si>
    <t>Osasco</t>
  </si>
  <si>
    <t>Sukodono</t>
  </si>
  <si>
    <t>Kebomas</t>
  </si>
  <si>
    <t>Valeria Scher</t>
  </si>
  <si>
    <t>Paulo Pimenta</t>
  </si>
  <si>
    <t>Casa de Oswaldo Cruz | Fiocruz</t>
  </si>
  <si>
    <t>parker</t>
  </si>
  <si>
    <t>Sleeping Giants Brasil</t>
  </si>
  <si>
    <t>Folha de S.Paulo</t>
  </si>
  <si>
    <t>Gleisi Hoffmann</t>
  </si>
  <si>
    <t>Randolfe Rodrigues 💉👓</t>
  </si>
  <si>
    <t>Jair M. Bolsonaro</t>
  </si>
  <si>
    <t>Estadão</t>
  </si>
  <si>
    <t>Juliette</t>
  </si>
  <si>
    <t>🇧🇷 GILL🌿</t>
  </si>
  <si>
    <t>Ana Sofia Reboleira</t>
  </si>
  <si>
    <t>Ciências ULisboa</t>
  </si>
  <si>
    <t>Subterranean Ecology @cE3c</t>
  </si>
  <si>
    <t>Tropical and Mediterranean Biodiversity @cE3c</t>
  </si>
  <si>
    <t>jena | ia 📚</t>
  </si>
  <si>
    <t>Eduardo Gaspar</t>
  </si>
  <si>
    <t>rodrigo gregory vill</t>
  </si>
  <si>
    <t>Leonino</t>
  </si>
  <si>
    <t>ORIANA Y PAULO</t>
  </si>
  <si>
    <t>official kpop goods</t>
  </si>
  <si>
    <t>O Jogo</t>
  </si>
  <si>
    <t>E.T. Bilau 👽</t>
  </si>
  <si>
    <t>Lucas N.</t>
  </si>
  <si>
    <t>Tico Santta Cruz 🆘🇧🇷</t>
  </si>
  <si>
    <t>밸 // GO POB SUBK</t>
  </si>
  <si>
    <t>@Lelecaa</t>
  </si>
  <si>
    <t>Marco🛡️OPS🇧🇷</t>
  </si>
  <si>
    <t>Karina Oliveira</t>
  </si>
  <si>
    <t>InternetLab</t>
  </si>
  <si>
    <t>Rebeca Capozzi</t>
  </si>
  <si>
    <t>inimigo #1 da aula síncrona</t>
  </si>
  <si>
    <t>Cecília Olliveira</t>
  </si>
  <si>
    <t>Coletividad</t>
  </si>
  <si>
    <t>filocriatividade - Joana Rita 💭🎨</t>
  </si>
  <si>
    <t>Amanda Evelyn</t>
  </si>
  <si>
    <t>Beatriz Gerhardt / Bolsonarista 🇧🇷</t>
  </si>
  <si>
    <t>NELI🌹 🇧🇷🏴</t>
  </si>
  <si>
    <t>V.R #MarcoTemporalNão</t>
  </si>
  <si>
    <t>Jornal O Globo</t>
  </si>
  <si>
    <t>IFCH DA UFRGS</t>
  </si>
  <si>
    <t>Santos</t>
  </si>
  <si>
    <t>carlos Golle</t>
  </si>
  <si>
    <t>Alexandreplatynni</t>
  </si>
  <si>
    <t>@BastosJuJu</t>
  </si>
  <si>
    <t>Itamarzinho</t>
  </si>
  <si>
    <t>Eryck Douglas 🇧🇷</t>
  </si>
  <si>
    <t>KellyYasmin38conta2</t>
  </si>
  <si>
    <t>Marco Aurélio</t>
  </si>
  <si>
    <t>Ester Borges</t>
  </si>
  <si>
    <t>✞GΛBI✞ 🍀 |📖 Última parada: Auschwitz</t>
  </si>
  <si>
    <t>Lumena Azevedo</t>
  </si>
  <si>
    <t>Uai sô</t>
  </si>
  <si>
    <t>Paulo - Prescrição É crime!! 🇧🇷🇧🇷</t>
  </si>
  <si>
    <t>Carlos Dantas 🇧🇷</t>
  </si>
  <si>
    <t>Claudiopesse</t>
  </si>
  <si>
    <t>carlos Trump souza</t>
  </si>
  <si>
    <t>Fernando Welten</t>
  </si>
  <si>
    <t>Vânia Maia</t>
  </si>
  <si>
    <t>PijatFullbody</t>
  </si>
  <si>
    <t>JAGA NKRI</t>
  </si>
  <si>
    <t>☕Paidi🇮🇩</t>
  </si>
  <si>
    <t>ChandBerkelana</t>
  </si>
  <si>
    <t>Lanna Jjang | never ending limit 🤡</t>
  </si>
  <si>
    <t>Oktober Big Win ☘️✡️</t>
  </si>
  <si>
    <t>pengskyyyy</t>
  </si>
  <si>
    <t>TerariniyBigWin</t>
  </si>
  <si>
    <t>♡ANYA BETADINE</t>
  </si>
  <si>
    <t>🍀 Farida Mufaridah 🍀</t>
  </si>
  <si>
    <t>Pejuang UGM</t>
  </si>
  <si>
    <t>🍀❤BongWinner💙🍀</t>
  </si>
  <si>
    <t>WHEN I GET BIGWIN? BALLYACHE</t>
  </si>
  <si>
    <t>@paulacrisbau</t>
  </si>
  <si>
    <t>Pawith Marie</t>
  </si>
  <si>
    <t>Raoni Lourenço</t>
  </si>
  <si>
    <t>Ani</t>
  </si>
  <si>
    <t>Musa Rudy S</t>
  </si>
  <si>
    <t>Yusuwa Wijaksono</t>
  </si>
  <si>
    <t>analulu</t>
  </si>
  <si>
    <t>saris</t>
  </si>
  <si>
    <t>Bupati Planet Mars</t>
  </si>
  <si>
    <t>Rizal</t>
  </si>
  <si>
    <t>Bayu</t>
  </si>
  <si>
    <t>Al Jendra</t>
  </si>
  <si>
    <t>Tia Robô do Zap</t>
  </si>
  <si>
    <t>Bolso22</t>
  </si>
  <si>
    <t>Jap Jr B-38. 🇧🇷🇮🇱🇺🇸</t>
  </si>
  <si>
    <t>syah</t>
  </si>
  <si>
    <t>Vanijkjk</t>
  </si>
  <si>
    <t>Wapança</t>
  </si>
  <si>
    <t>Jose Abbade</t>
  </si>
  <si>
    <t>Suka seblak</t>
  </si>
  <si>
    <t>um caipira moderno</t>
  </si>
  <si>
    <t>ruby📍san</t>
  </si>
  <si>
    <t>☁️</t>
  </si>
  <si>
    <t>Cikieyntiny💎⚓</t>
  </si>
  <si>
    <t>nisha ☾ | busy</t>
  </si>
  <si>
    <t>Zara | STREAM DEJAVU 🔥</t>
  </si>
  <si>
    <t>Bedjo Selalu Beroetoeng</t>
  </si>
  <si>
    <t>April</t>
  </si>
  <si>
    <t>Warung D'Jabbar</t>
  </si>
  <si>
    <t>🟣 joana rita sousa 🦄 💩💎</t>
  </si>
  <si>
    <t>Mamis Patriota🇧🇷</t>
  </si>
  <si>
    <t>Altamont</t>
  </si>
  <si>
    <t>Mademoiselle vaccine</t>
  </si>
  <si>
    <t>queropublicar.com</t>
  </si>
  <si>
    <t>isabel luz -🇧🇷🇧🇷🇧🇷🇧🇷🇧🇷🇧🇷</t>
  </si>
  <si>
    <t>Tercio Arnaud Tomaz</t>
  </si>
  <si>
    <t>Sarita Coelho</t>
  </si>
  <si>
    <t>Alexandre pepe xandy</t>
  </si>
  <si>
    <t>@panchitoblanco</t>
  </si>
  <si>
    <t>Eliane Amorim</t>
  </si>
  <si>
    <t>Kado Untuk Iona</t>
  </si>
  <si>
    <t>Rada Malandro&amp;Indolente&amp;Fritador de Aracajé&amp;Hacker</t>
  </si>
  <si>
    <t>Thole</t>
  </si>
  <si>
    <t>La Tahzan</t>
  </si>
  <si>
    <t>Wan Doank</t>
  </si>
  <si>
    <t>Rede de Pesquisa em Governança da Internet</t>
  </si>
  <si>
    <t>BINO Biasutti</t>
  </si>
  <si>
    <t>Victor Coutinho Lage</t>
  </si>
  <si>
    <t>Uallace Moreira🇧🇷🇰🇷</t>
  </si>
  <si>
    <t>Pedro Salgado</t>
  </si>
  <si>
    <t>Devitale</t>
  </si>
  <si>
    <t>Daniel Tourinho Peres #MilitaresForadaPolítica</t>
  </si>
  <si>
    <t>Renata Nagamine</t>
  </si>
  <si>
    <t>Ana Cristina Rodrigues lançou livro novo</t>
  </si>
  <si>
    <t>Alanildo Guimarães 🌐</t>
  </si>
  <si>
    <t>brebs</t>
  </si>
  <si>
    <t>Dino Ancap 🐍🥑🍎</t>
  </si>
  <si>
    <t>Carol Nowlen, MS, CGC</t>
  </si>
  <si>
    <t>ACMG</t>
  </si>
  <si>
    <t>U. B.</t>
  </si>
  <si>
    <t>REALcides</t>
  </si>
  <si>
    <t>Gazeta Brasil</t>
  </si>
  <si>
    <t>2m</t>
  </si>
  <si>
    <t>Siidezin apelão</t>
  </si>
  <si>
    <t>Wander Gonçalves</t>
  </si>
  <si>
    <t>Santos Futebol Clube</t>
  </si>
  <si>
    <t>Márcio leme 🇧🇷🇮🇹🇪🇦🐋🐳⚽</t>
  </si>
  <si>
    <t>Apenas uma brasileira</t>
  </si>
  <si>
    <t>Pedro Rocha</t>
  </si>
  <si>
    <t>CAPES</t>
  </si>
  <si>
    <t>não posso deixar de perder</t>
  </si>
  <si>
    <t>Camis</t>
  </si>
  <si>
    <t>Janine Mendes</t>
  </si>
  <si>
    <t>DvDinna Berta🗯️🔥❄️🌊🌪️</t>
  </si>
  <si>
    <t>Stella, mas não a da cerveja</t>
  </si>
  <si>
    <t>Sai da bolha esquerdista!</t>
  </si>
  <si>
    <t>Sueli Leles Fialho</t>
  </si>
  <si>
    <t>Isabel Rizzo</t>
  </si>
  <si>
    <t>Dyluisa</t>
  </si>
  <si>
    <t>Remauler</t>
  </si>
  <si>
    <t>Ana 🕊️ Liberdade 🕊️🇧🇷</t>
  </si>
  <si>
    <t>Ari 🇧🇷💪🙏👫</t>
  </si>
  <si>
    <t>Andy May</t>
  </si>
  <si>
    <t>esquerdanuncamais 🇧🇷🇧🇷🇧🇷</t>
  </si>
  <si>
    <t>Daniel Storti</t>
  </si>
  <si>
    <t>後藤 祐貴🦎特徴が無いのが特徴です</t>
  </si>
  <si>
    <t>Lisa Duwiry</t>
  </si>
  <si>
    <t>Everaldo Fontes</t>
  </si>
  <si>
    <t>🔰Candy 🔰</t>
  </si>
  <si>
    <t>Sílvia</t>
  </si>
  <si>
    <t>Lusouto</t>
  </si>
  <si>
    <t>Thaty</t>
  </si>
  <si>
    <t>Stevenson Soares da Silva</t>
  </si>
  <si>
    <t>Bruno ☽︎☾︎</t>
  </si>
  <si>
    <t xml:space="preserve">miguel angel zavala </t>
  </si>
  <si>
    <t>Volaris</t>
  </si>
  <si>
    <t>Dip. Armando Reyes Ledesma</t>
  </si>
  <si>
    <t>Carlos Zúñiga Pérez</t>
  </si>
  <si>
    <t>herlianto</t>
  </si>
  <si>
    <t>Airlangga Hartarto</t>
  </si>
  <si>
    <t>Kemenko Bidang Kemaritiman dan Investasi</t>
  </si>
  <si>
    <t>Άντζελα</t>
  </si>
  <si>
    <t>`tyra` °buying ban°</t>
  </si>
  <si>
    <t>Beleza37</t>
  </si>
  <si>
    <t>António Reis 🇵🇹 🇪🇺</t>
  </si>
  <si>
    <t>RHmagazine by IIRH</t>
  </si>
  <si>
    <t>tvi24</t>
  </si>
  <si>
    <t>tvi24 Últimas</t>
  </si>
  <si>
    <t>GotoTheJek</t>
  </si>
  <si>
    <t>Nita ❘</t>
  </si>
  <si>
    <t>Diário de Notícias</t>
  </si>
  <si>
    <t>soalagogo</t>
  </si>
  <si>
    <t>Manuel(KANANKA)Castro</t>
  </si>
  <si>
    <t>SIC Notícias</t>
  </si>
  <si>
    <t>Monyi emaknya Cimot</t>
  </si>
  <si>
    <t>Olisan |</t>
  </si>
  <si>
    <t>Semanário V</t>
  </si>
  <si>
    <t>Público</t>
  </si>
  <si>
    <t>Público Mundo</t>
  </si>
  <si>
    <t>LeonFern41</t>
  </si>
  <si>
    <t>aguinaldo silva</t>
  </si>
  <si>
    <t>Dendrito Axônio de Mielina Silva</t>
  </si>
  <si>
    <t>deividd</t>
  </si>
  <si>
    <t>Xande 🌈🏳️‍🌈🇧🇷🚩🟥</t>
  </si>
  <si>
    <t>José de Abreu</t>
  </si>
  <si>
    <t>Blog da Cidadania</t>
  </si>
  <si>
    <t>Lia Ribeiro ♓do PT13🚩🚩🚩</t>
  </si>
  <si>
    <t>FMKBR™🇮🇩</t>
  </si>
  <si>
    <t>Elisabeth Fiuza</t>
  </si>
  <si>
    <t>Renascença</t>
  </si>
  <si>
    <t>Charlotte</t>
  </si>
  <si>
    <t>Xerpay</t>
  </si>
  <si>
    <t>Adolfo Neto</t>
  </si>
  <si>
    <t>namikaze</t>
  </si>
  <si>
    <t>ElLegadoDelLimitado</t>
  </si>
  <si>
    <t>𝕮𝖍𝖆𝖛𝖊𝖘 ✞</t>
  </si>
  <si>
    <t>Dalva Trevisan Ferreira</t>
  </si>
  <si>
    <t>Euly Nettles Da Silva</t>
  </si>
  <si>
    <t>{ name: 'Eliseu Oliveira' } 💻 🇧🇷</t>
  </si>
  <si>
    <t>UOL Notícias</t>
  </si>
  <si>
    <t>Rose Vanzan</t>
  </si>
  <si>
    <t>Polícia Federal</t>
  </si>
  <si>
    <t>Ministério da Justiça e Segurança Pública</t>
  </si>
  <si>
    <t>Luiz Augusto 🇧🇷🇺🇸🇮🇱 #DesculpeJairMasEuFui ®</t>
  </si>
  <si>
    <t>Eliana cristina Coito</t>
  </si>
  <si>
    <t>NANDU'S GRILL - FERNANDO MACEDO.</t>
  </si>
  <si>
    <t>Artesanato Edu</t>
  </si>
  <si>
    <t>João Mattar</t>
  </si>
  <si>
    <t>ULHT - Universidade Lusófona</t>
  </si>
  <si>
    <t>Bruno Lopes🌵 🏳️‍🌈🏳️‍🌈🏳️‍🌈</t>
  </si>
  <si>
    <t>Jackson</t>
  </si>
  <si>
    <t>Ana Saturnina</t>
  </si>
  <si>
    <t>O Globo Política</t>
  </si>
  <si>
    <t>Jornada EaD</t>
  </si>
  <si>
    <t>Nuclear Social</t>
  </si>
  <si>
    <t>aya</t>
  </si>
  <si>
    <t>Samir</t>
  </si>
  <si>
    <t>Hugo Souza</t>
  </si>
  <si>
    <t>Winci</t>
  </si>
  <si>
    <t>O Pepe Lopes 🛰️🇨🇺🇧🇷🇵🇹</t>
  </si>
  <si>
    <t>BLITZ</t>
  </si>
  <si>
    <t>as @emgalego</t>
  </si>
  <si>
    <t>f; puppy/mars</t>
  </si>
  <si>
    <t>👾</t>
  </si>
  <si>
    <t>Rengga Maulana</t>
  </si>
  <si>
    <t>Reinaldo Azevedo</t>
  </si>
  <si>
    <t>Thomas Simmons</t>
  </si>
  <si>
    <t>MrBeast</t>
  </si>
  <si>
    <t>Game_gozth</t>
  </si>
  <si>
    <t>Café Pixel ☕️ 👾</t>
  </si>
  <si>
    <t>Roseli Matos</t>
  </si>
  <si>
    <t>Valor Econômico</t>
  </si>
  <si>
    <t>fullsun</t>
  </si>
  <si>
    <t>jose marques dos santos</t>
  </si>
  <si>
    <t>Ratna Dewi</t>
  </si>
  <si>
    <t>novel baswedan</t>
  </si>
  <si>
    <t>Sociedade Portuguesa de Terapia da Fala</t>
  </si>
  <si>
    <t>Lilia 🇧🇷</t>
  </si>
  <si>
    <t>Krusty o palhaço</t>
  </si>
  <si>
    <t>Pablo Villaça</t>
  </si>
  <si>
    <t>Engenheiro Cidadão (25/45)! 🏴</t>
  </si>
  <si>
    <t>Paulo Sérgio 🆘️</t>
  </si>
  <si>
    <t>Wilson Gomes</t>
  </si>
  <si>
    <t>O (X.) Dousi Veiga 🌰🌰☄️</t>
  </si>
  <si>
    <t>🇧🇷José (Zé) Martinez🇧🇷</t>
  </si>
  <si>
    <t>Helena LimaB38 Sou robô e miliciano.🇧🇷🤖🤖🇧🇷</t>
  </si>
  <si>
    <t>G</t>
  </si>
  <si>
    <t>AEIOU</t>
  </si>
  <si>
    <t>Paula.</t>
  </si>
  <si>
    <t>isabel carvalho</t>
  </si>
  <si>
    <t>Sempre Pronto</t>
  </si>
  <si>
    <t>Observador</t>
  </si>
  <si>
    <t>Jesus pistola</t>
  </si>
  <si>
    <t>JornalismoWando</t>
  </si>
  <si>
    <t>Jafari Adisa Bomani</t>
  </si>
  <si>
    <t>Daniel - DC FAN DOME</t>
  </si>
  <si>
    <t>Jards</t>
  </si>
  <si>
    <t>orlando domingos rodrigues</t>
  </si>
  <si>
    <t>radit</t>
  </si>
  <si>
    <t>Liputan6.com</t>
  </si>
  <si>
    <t>TheAveragePM</t>
  </si>
  <si>
    <t>Pedro Veiga</t>
  </si>
  <si>
    <t>JoãoMiranda</t>
  </si>
  <si>
    <t>PMA</t>
  </si>
  <si>
    <t>Josuel Castro</t>
  </si>
  <si>
    <t>Revista Oeste</t>
  </si>
  <si>
    <t>Alyaaa</t>
  </si>
  <si>
    <t>Bot da Universidade Federal da Bahia</t>
  </si>
  <si>
    <t>Maíra Kubík Mano</t>
  </si>
  <si>
    <t>BorboletasnosOlhos</t>
  </si>
  <si>
    <t>Bárbara Araújo</t>
  </si>
  <si>
    <t>Jéssica</t>
  </si>
  <si>
    <t>Marinho, Luiz Carlos</t>
  </si>
  <si>
    <t>Felipe Milanez</t>
  </si>
  <si>
    <t>Mario Sergio Lima</t>
  </si>
  <si>
    <t>𝕱𝖔𝖗𝖆𝖘𝖙𝖊𝖎𝖗𝖔 (𝕹𝖊𝖝𝖚𝖘-7)</t>
  </si>
  <si>
    <t>Leandrosc🇧🇷🏳️‍🌈🇺🇳</t>
  </si>
  <si>
    <t>Marcia Rangel Candido</t>
  </si>
  <si>
    <t>Antônio Carvalho Agora é Lula Democraticamente Já</t>
  </si>
  <si>
    <t>Lauro Jardim</t>
  </si>
  <si>
    <t>Bianca Leite</t>
  </si>
  <si>
    <t>Jefferson Vasconcelos🇧🇷</t>
  </si>
  <si>
    <t>Samy Dana</t>
  </si>
  <si>
    <t>DEMOCRACIA</t>
  </si>
  <si>
    <t>celine</t>
  </si>
  <si>
    <t>Renato Francisquini</t>
  </si>
  <si>
    <t>Anabelle</t>
  </si>
  <si>
    <t>PICAH</t>
  </si>
  <si>
    <t>Multishow</t>
  </si>
  <si>
    <t>Fábio Periandro</t>
  </si>
  <si>
    <t>Genesys Brasil</t>
  </si>
  <si>
    <t>ProfPetistaBR</t>
  </si>
  <si>
    <t>Porrada na Esquerda</t>
  </si>
  <si>
    <t>CPI DOS MEMES</t>
  </si>
  <si>
    <t>Raquel Barreto</t>
  </si>
  <si>
    <t>eu memo</t>
  </si>
  <si>
    <t>Alfiandar | Blogger Aceh</t>
  </si>
  <si>
    <t>Strategi + Bisnis</t>
  </si>
  <si>
    <t>Giub</t>
  </si>
  <si>
    <t>PULGUINHA GAVIÕES 🏴🏳️</t>
  </si>
  <si>
    <t>Fritz Von Furtwängler</t>
  </si>
  <si>
    <t>victor</t>
  </si>
  <si>
    <t>DEI - PUC-Rio</t>
  </si>
  <si>
    <t>Daniel Aquino</t>
  </si>
  <si>
    <t>Marcos Aude</t>
  </si>
  <si>
    <t>V.</t>
  </si>
  <si>
    <t>Gustavo Castañon 🇧🇷🌹☘️</t>
  </si>
  <si>
    <t>ZLU PIZA</t>
  </si>
  <si>
    <t>Leonardo Rubim Franco</t>
  </si>
  <si>
    <t>Sergio Moro</t>
  </si>
  <si>
    <t>Anderson F. Stivanelli🇧🇷🇺🇲🇬🇧🇯🇵🇮🇱🇰🇷🇦🇺</t>
  </si>
  <si>
    <t>G_L</t>
  </si>
  <si>
    <t>Cinzento</t>
  </si>
  <si>
    <t>Observatório do Continente Africano</t>
  </si>
  <si>
    <t>𝖌𝖎𝖗𝖎𝖗𝖎</t>
  </si>
  <si>
    <t>🌜𝔞𝔪𝔬𝔯𝔞🌛</t>
  </si>
  <si>
    <t>one queer to rule them all</t>
  </si>
  <si>
    <t>Shamomyam RdM</t>
  </si>
  <si>
    <t>HUMAS POLSEK SIPIROK POLRES TAPANULI SELATAN</t>
  </si>
  <si>
    <t>Miguel Manibardo</t>
  </si>
  <si>
    <t>Expresso</t>
  </si>
  <si>
    <t>ivan</t>
  </si>
  <si>
    <t>Rodrigo Daniel Silva</t>
  </si>
  <si>
    <t>Prince ♥️🇪🇺</t>
  </si>
  <si>
    <t>Rosanna 🐳 💫</t>
  </si>
  <si>
    <t>Claudio Casares</t>
  </si>
  <si>
    <t>ABPHE</t>
  </si>
  <si>
    <t>Gustavo</t>
  </si>
  <si>
    <t>JALUGUE</t>
  </si>
  <si>
    <t>Nina Tigret 🐯</t>
  </si>
  <si>
    <t>Meu nome ñ é James 🍥</t>
  </si>
  <si>
    <t>Kelly 🌙🌹</t>
  </si>
  <si>
    <t>Liberal Sulista 🌹🇧🇷🕊️</t>
  </si>
  <si>
    <t>Merecemos Um Brasil Melhor 🆘🌹</t>
  </si>
  <si>
    <t>Rodrigo Oliveira</t>
  </si>
  <si>
    <t>Teatro do Bairro Alto</t>
  </si>
  <si>
    <t>laura. 🏁</t>
  </si>
  <si>
    <t>ATEEZ 🇲🇾 trade buy sell</t>
  </si>
  <si>
    <t>Notyourbabes</t>
  </si>
  <si>
    <t>volia almeida</t>
  </si>
  <si>
    <t>Bernardo P Küster LIVRE</t>
  </si>
  <si>
    <t>Liam Bourn</t>
  </si>
  <si>
    <t>RJ McFly</t>
  </si>
  <si>
    <t>AteezMall Malaysia 🇲🇾</t>
  </si>
  <si>
    <t>DomingoSantos</t>
  </si>
  <si>
    <t>Ana Kehl, A Esquerdopata Vacinada🐊🚩</t>
  </si>
  <si>
    <t>Social Democrata</t>
  </si>
  <si>
    <t>Yuri Diogenes</t>
  </si>
  <si>
    <t>Drika-ching</t>
  </si>
  <si>
    <t>Francisco Rocha 🏳️‍🌈🏳️‍⚧️🇨🇺🇵🇸</t>
  </si>
  <si>
    <t>ISCTE Executive Education</t>
  </si>
  <si>
    <t>Internacional</t>
  </si>
  <si>
    <t>Henrique Alvarez</t>
  </si>
  <si>
    <t>Fernando Ferro</t>
  </si>
  <si>
    <t>🍊MUGE Brasil🍊 🇧🇷 🍌🍌</t>
  </si>
  <si>
    <t>Gabriel #forabolsonaro</t>
  </si>
  <si>
    <t>Caio Augusto</t>
  </si>
  <si>
    <t>NOVO Semanário</t>
  </si>
  <si>
    <t>Diário Record</t>
  </si>
  <si>
    <t>ATEEZ 📌</t>
  </si>
  <si>
    <t>@cintiapb🇧🇷🇧🇷🇧🇷💚💚💚</t>
  </si>
  <si>
    <t>Jandira Feghali 🇧🇷🚩</t>
  </si>
  <si>
    <t>Priscilla Cruz EM DEFESA DO REI MICHAEL JACKSON🍎</t>
  </si>
  <si>
    <t>CIGANO</t>
  </si>
  <si>
    <t>!!Nailizarb Xov</t>
  </si>
  <si>
    <t>Santo Gigolô</t>
  </si>
  <si>
    <t>Vivo</t>
  </si>
  <si>
    <t>YouTube Brasil</t>
  </si>
  <si>
    <t>Samuel</t>
  </si>
  <si>
    <t>Janaina Paschoal</t>
  </si>
  <si>
    <t>Humberto</t>
  </si>
  <si>
    <t>Aline</t>
  </si>
  <si>
    <t>Marcoocram</t>
  </si>
  <si>
    <t>Eduardo Paes</t>
  </si>
  <si>
    <t>Noé da Matta (Movimento Conservador Capixaba)</t>
  </si>
  <si>
    <t>Francisco de Assis câmara🥛🥛🥛🍼🍼</t>
  </si>
  <si>
    <t>Ponderando</t>
  </si>
  <si>
    <t>SONINHA</t>
  </si>
  <si>
    <t>BRASIL_Brasiliano</t>
  </si>
  <si>
    <t>mi costa FORA DORIA</t>
  </si>
  <si>
    <t>Paulikita</t>
  </si>
  <si>
    <t>sandrotca 🇧🇷</t>
  </si>
  <si>
    <t>Edson Moraes</t>
  </si>
  <si>
    <t>Tito Macedo</t>
  </si>
  <si>
    <t>FREEDOMBRAZIL21</t>
  </si>
  <si>
    <t>Ana Herrera 🇧🇷💚💛💙🇧🇷</t>
  </si>
  <si>
    <t>Maria Teixeira Alves</t>
  </si>
  <si>
    <t>Jornal Económico</t>
  </si>
  <si>
    <t>FeCruz</t>
  </si>
  <si>
    <t>Amauri</t>
  </si>
  <si>
    <t>#ÉticaJá 🇧🇷 Márcia ✨</t>
  </si>
  <si>
    <t>Marcelo Mesquita</t>
  </si>
  <si>
    <t>Sammir🇧🇷🇮🇱🇺🇸 Viva Taiwan!</t>
  </si>
  <si>
    <t>Maria</t>
  </si>
  <si>
    <t>Táta Abreu</t>
  </si>
  <si>
    <t>Angela</t>
  </si>
  <si>
    <t>Ditpamobvit_Poldabanten</t>
  </si>
  <si>
    <t>Edo Stepanus</t>
  </si>
  <si>
    <t>José Costa</t>
  </si>
  <si>
    <t>Elenara Lobato 🇧🇷🇺🇸</t>
  </si>
  <si>
    <t>Bes</t>
  </si>
  <si>
    <t>Regina Arcuri</t>
  </si>
  <si>
    <t>mina ⚡️ ia</t>
  </si>
  <si>
    <t>Pantanal74</t>
  </si>
  <si>
    <t>syiqin (d-11)</t>
  </si>
  <si>
    <t>Amanda Biar 🇧🇷💚💛</t>
  </si>
  <si>
    <t>lulu</t>
  </si>
  <si>
    <t>Jef🇪🇪</t>
  </si>
  <si>
    <t>yan want taejin mots dvd pc</t>
  </si>
  <si>
    <t>𝖒𝖔𝖆𝖓𝖔🇦🇹</t>
  </si>
  <si>
    <t>Липе 🇧🇷🇧🇷🇧🇷</t>
  </si>
  <si>
    <t>Legends of Runeterra Brasil</t>
  </si>
  <si>
    <t>Tuninho 🇧🇷</t>
  </si>
  <si>
    <t>José  Brandão</t>
  </si>
  <si>
    <t>João Gomez</t>
  </si>
  <si>
    <t>E conhecereis a verdade e a verdade vos libertará</t>
  </si>
  <si>
    <t>Tim Cook</t>
  </si>
  <si>
    <t>Dr Gavin Sullivan A.N.A.E.S.T.H.E.T.I.S.T</t>
  </si>
  <si>
    <t>Ptk 🤯</t>
  </si>
  <si>
    <t>Jₕₒw MᵢₜcHₑₗₗ 🦅</t>
  </si>
  <si>
    <t>Ana 🐝🍩</t>
  </si>
  <si>
    <t>⟭⟬태디⁷</t>
  </si>
  <si>
    <t>Ricardo Cavalcanti</t>
  </si>
  <si>
    <t>Ramiro Lula Schwarzenegger 🚩🚩🚩</t>
  </si>
  <si>
    <t>🚩#MonicaAraujo 🌈 o/🚩💉</t>
  </si>
  <si>
    <t>Hildegard Angel</t>
  </si>
  <si>
    <t>Timbul Suryanto PKB</t>
  </si>
  <si>
    <t>Margareth Goes</t>
  </si>
  <si>
    <t>Tulio Henrique .'.🇧🇷👊</t>
  </si>
  <si>
    <t>GEPE SMI</t>
  </si>
  <si>
    <t>Alex Sonaro</t>
  </si>
  <si>
    <t>SAPO</t>
  </si>
  <si>
    <t>#TIMBETA #BETA</t>
  </si>
  <si>
    <t>Peuzim</t>
  </si>
  <si>
    <t>Mariana Cabral</t>
  </si>
  <si>
    <t>Seneguini</t>
  </si>
  <si>
    <t>WEAYL</t>
  </si>
  <si>
    <t>Maria Aspasia</t>
  </si>
  <si>
    <t>N Estrangeiros PT</t>
  </si>
  <si>
    <t>Amina J Mohammed</t>
  </si>
  <si>
    <t>United Nations</t>
  </si>
  <si>
    <t>Nações Unidas</t>
  </si>
  <si>
    <t>Raptor 🥊🇧🇷🦅🔫</t>
  </si>
  <si>
    <t>Felippe Hermes</t>
  </si>
  <si>
    <t>Alex Bitcoiner</t>
  </si>
  <si>
    <t>Alexandre Reis👈👈🇧🇷👉👉</t>
  </si>
  <si>
    <t>Paulo Paim</t>
  </si>
  <si>
    <t>Tulipa Bolsoringa🇧🇷🌷🇪🇺</t>
  </si>
  <si>
    <t>bubuzinha - Sou da luz, sou da paz, sou do amor.</t>
  </si>
  <si>
    <t>emily 🐏</t>
  </si>
  <si>
    <t>fabio paiva fagundes</t>
  </si>
  <si>
    <t>Polemmico DVJ</t>
  </si>
  <si>
    <t>sof⁷manifesting someone knock my dm</t>
  </si>
  <si>
    <t>IEBS Escola de Negócios #10AnosIEBS</t>
  </si>
  <si>
    <t>Jônathas, o trouxa</t>
  </si>
  <si>
    <t>AditBobo • Vaccinated</t>
  </si>
  <si>
    <t>Pos Bloc Jakarta</t>
  </si>
  <si>
    <t>Twitch.tv/akakarota</t>
  </si>
  <si>
    <t>danielle</t>
  </si>
  <si>
    <t>JM Dali</t>
  </si>
  <si>
    <t>DCM ONLINE</t>
  </si>
  <si>
    <t>Marcelo</t>
  </si>
  <si>
    <t>Diogo</t>
  </si>
  <si>
    <t>catarina</t>
  </si>
  <si>
    <t>Leonidas O Piedoso 🇧🇷🇮🇱🇺🇸🇬🇷</t>
  </si>
  <si>
    <t>Eliane Cantanhêde</t>
  </si>
  <si>
    <t>Celso Alves</t>
  </si>
  <si>
    <t>DhiegoFC</t>
  </si>
  <si>
    <t>Atila Imunizando *de licença-paternidade</t>
  </si>
  <si>
    <t>Alexandre Davis</t>
  </si>
  <si>
    <t>diniz450</t>
  </si>
  <si>
    <t>José Higino Soares Neto</t>
  </si>
  <si>
    <t>ASEREIONA</t>
  </si>
  <si>
    <t>M.M.</t>
  </si>
  <si>
    <t>Dzzy2021</t>
  </si>
  <si>
    <t>James Cleverly🇬🇧</t>
  </si>
  <si>
    <t>Fr Ian Maher SCP🏴󠁧󠁢󠁷󠁬󠁳󠁿🇪🇺💙🐝#RejoinEU</t>
  </si>
  <si>
    <t>Julian O'Donovan</t>
  </si>
  <si>
    <t>Paul Henderson💙</t>
  </si>
  <si>
    <t>ivanelson</t>
  </si>
  <si>
    <t>Matheus</t>
  </si>
  <si>
    <t>Vinicios B.</t>
  </si>
  <si>
    <t>Brasil 247</t>
  </si>
  <si>
    <t>EduardodeBraga 🇧🇷🇵🇹</t>
  </si>
  <si>
    <t>Ciro Gomes</t>
  </si>
  <si>
    <t>Regina Fátima</t>
  </si>
  <si>
    <t>Douglas Barbosa</t>
  </si>
  <si>
    <t>Inimigo do Rei</t>
  </si>
  <si>
    <t>Petrussacra</t>
  </si>
  <si>
    <t>Tabata Amaral</t>
  </si>
  <si>
    <t>E. Cavendish</t>
  </si>
  <si>
    <t>Augusto</t>
  </si>
  <si>
    <t>Bronson</t>
  </si>
  <si>
    <t>James S R🇹🇼🇭🇰</t>
  </si>
  <si>
    <t>Lucas lioes</t>
  </si>
  <si>
    <t>WILL OFICIAL 🎤🎶</t>
  </si>
  <si>
    <t>Silvia Branco</t>
  </si>
  <si>
    <t>Felipe Neto</t>
  </si>
  <si>
    <t>Wladimir</t>
  </si>
  <si>
    <t>Fabiana 🇧🇷</t>
  </si>
  <si>
    <t>Anvisa</t>
  </si>
  <si>
    <t>Ana Maria Navarro</t>
  </si>
  <si>
    <t>Luiz Carlos 🦚</t>
  </si>
  <si>
    <t>Belmiro_Vila PC</t>
  </si>
  <si>
    <t>Bruno Raso</t>
  </si>
  <si>
    <t>Herbert Boger Jr</t>
  </si>
  <si>
    <t>Michel Matias</t>
  </si>
  <si>
    <t>Heyssen Cordero  🔌</t>
  </si>
  <si>
    <t>Gustavo Fonseca</t>
  </si>
  <si>
    <t>дгtyг</t>
  </si>
  <si>
    <t>Vinícius Souza</t>
  </si>
  <si>
    <t>Padre Geovane</t>
  </si>
  <si>
    <t>+ Catolicismo</t>
  </si>
  <si>
    <t>Agência Ecclesia</t>
  </si>
  <si>
    <t>rinarisi</t>
  </si>
  <si>
    <t>ゆーあ❣</t>
  </si>
  <si>
    <t>ポッさん</t>
  </si>
  <si>
    <t>Tamine Tanous🚩🚩🚩🚩🚩</t>
  </si>
  <si>
    <t>Lula</t>
  </si>
  <si>
    <t>🆘Fábio Lula Martins</t>
  </si>
  <si>
    <t>Algoritmo de festa</t>
  </si>
  <si>
    <t>jô hallack</t>
  </si>
  <si>
    <t>Rocaramicoli</t>
  </si>
  <si>
    <t>lini</t>
  </si>
  <si>
    <t>Lucas</t>
  </si>
  <si>
    <t>#EuAvisei</t>
  </si>
  <si>
    <t>o passatempista 🏴 🇵🇸</t>
  </si>
  <si>
    <t>Leonardo ⭐🚩</t>
  </si>
  <si>
    <t>Marcelo Pimentel JS</t>
  </si>
  <si>
    <t>Gerson</t>
  </si>
  <si>
    <t>Diego</t>
  </si>
  <si>
    <t>Elaine Torres</t>
  </si>
  <si>
    <t>Proletario do rs ;) ☯️🎮 501°BE</t>
  </si>
  <si>
    <t>Adaa 🇵🇸</t>
  </si>
  <si>
    <t>gabriel 🇭🇺🇧🇷 (32/45)</t>
  </si>
  <si>
    <t>Ivan 🌎</t>
  </si>
  <si>
    <t>saudosa mandioca</t>
  </si>
  <si>
    <t>Enio Taniguti</t>
  </si>
  <si>
    <t>Chega de Ovo</t>
  </si>
  <si>
    <t>André</t>
  </si>
  <si>
    <t>Guilherme Cunha</t>
  </si>
  <si>
    <t>Vivi + anne</t>
  </si>
  <si>
    <t>Sandroka13📖🐝 🎗️ 💉</t>
  </si>
  <si>
    <t>Amílcar Rodrigues</t>
  </si>
  <si>
    <t>José Cantídio</t>
  </si>
  <si>
    <t>Mauricio Harada</t>
  </si>
  <si>
    <t>🎗️Trajano_豪尔赫_DC🚩🇧🇷</t>
  </si>
  <si>
    <t>Paulo Silva</t>
  </si>
  <si>
    <t>Tia Velha</t>
  </si>
  <si>
    <t>Pré jacaré 🐊</t>
  </si>
  <si>
    <t>gato de rua</t>
  </si>
  <si>
    <t>🚩 sonia 🚩</t>
  </si>
  <si>
    <t>SILAS VIEIRA DE ARRUDA NETO</t>
  </si>
  <si>
    <t>Mário LULA Malerba</t>
  </si>
  <si>
    <t>Pedro Garcia</t>
  </si>
  <si>
    <t>☭ Ｄｒｉｇｏ Ｍｅｎｅｚｅｓ ☭</t>
  </si>
  <si>
    <t>Eder Rodríguez Soles</t>
  </si>
  <si>
    <t>Grande Orn</t>
  </si>
  <si>
    <t>Vilma Viana</t>
  </si>
  <si>
    <t>Miguel 🇧🇷🚩</t>
  </si>
  <si>
    <t>Mateus, o Rodrigues!</t>
  </si>
  <si>
    <t>Cláudia Sarti 🇻🇳</t>
  </si>
  <si>
    <t>Carlos Henrique</t>
  </si>
  <si>
    <t>William Teufel🇨🇳🇨🇳🇧🇷🇧🇷🚩🚩🚩🚩🏴🏴🏴</t>
  </si>
  <si>
    <t>Garotadpi na luta</t>
  </si>
  <si>
    <t>Orlando</t>
  </si>
  <si>
    <t>Siljr</t>
  </si>
  <si>
    <t>🚩Neide Lopes 🚩</t>
  </si>
  <si>
    <t>Apolonio Graciano</t>
  </si>
  <si>
    <t>Fernando Cesar</t>
  </si>
  <si>
    <t>Cartomante da Elis</t>
  </si>
  <si>
    <t>Anália Varela🚩✊🏽 ˢᶜᶜᵖ</t>
  </si>
  <si>
    <t>Antonio Fernandes</t>
  </si>
  <si>
    <t>ROSENY J. - #FechadoComBolsonaro</t>
  </si>
  <si>
    <t>Paulo Rocha</t>
  </si>
  <si>
    <t>Rafa AKA Luthien</t>
  </si>
  <si>
    <t>Claus</t>
  </si>
  <si>
    <t>Renata</t>
  </si>
  <si>
    <t>Iza SoaCoe</t>
  </si>
  <si>
    <t>João Victor 🇧🇷</t>
  </si>
  <si>
    <t>matheus</t>
  </si>
  <si>
    <t>João Spezia</t>
  </si>
  <si>
    <t>B. J. Song</t>
  </si>
  <si>
    <t>100%Vacinado e inteiraço para defender o Brasil</t>
  </si>
  <si>
    <t>Claudio</t>
  </si>
  <si>
    <t>Dinha Dias</t>
  </si>
  <si>
    <t>Luciana Maria</t>
  </si>
  <si>
    <t>gus</t>
  </si>
  <si>
    <t>Lícia</t>
  </si>
  <si>
    <t>Lúcia #Lula2022 🚩🚩</t>
  </si>
  <si>
    <t>Alexandre Fortes</t>
  </si>
  <si>
    <t>Tania</t>
  </si>
  <si>
    <t>VIVEREMOS E VENCEREMOS!!! - Fora Bolsonaro</t>
  </si>
  <si>
    <t>Alessandre de Sena S</t>
  </si>
  <si>
    <t>Ciro</t>
  </si>
  <si>
    <t>Warley Lopes - Um admirador de Kairós</t>
  </si>
  <si>
    <t>Raquel Emidio🚩#SempreNaLuta🚩🚩</t>
  </si>
  <si>
    <t>Fiat Lux</t>
  </si>
  <si>
    <t>Sylvio freitas</t>
  </si>
  <si>
    <t>Esequias Pierre</t>
  </si>
  <si>
    <t>Angell #CPICOVID 🚩🌵</t>
  </si>
  <si>
    <t>natália</t>
  </si>
  <si>
    <t>Malu</t>
  </si>
  <si>
    <t>🚩Paulo: “eu vi o futuro baby, ele é passado”.</t>
  </si>
  <si>
    <t>Sonia🐙⭐ #PTsempreeprasempre</t>
  </si>
  <si>
    <t>Liliana Monteiro Loureiro Martins da Silva</t>
  </si>
  <si>
    <t>Paulino Brandim</t>
  </si>
  <si>
    <t>Embaixadora do Brasil em Wakanda</t>
  </si>
  <si>
    <t>Patrícia #Lula2022</t>
  </si>
  <si>
    <t>RUI ALVES DA SILVA</t>
  </si>
  <si>
    <t>Pedro Sancandi</t>
  </si>
  <si>
    <t>Monica Galvao Duque</t>
  </si>
  <si>
    <t>comunamarine☭</t>
  </si>
  <si>
    <t>Manosp</t>
  </si>
  <si>
    <t>Keisari Cisar 🚩</t>
  </si>
  <si>
    <t>Tania Reis</t>
  </si>
  <si>
    <t>julinha✨</t>
  </si>
  <si>
    <t>Bastin 🇦🇹</t>
  </si>
  <si>
    <t>Alexandre Kosteczka</t>
  </si>
  <si>
    <t>Marcelo Gonçalves 🇧🇷 🇵🇹💢</t>
  </si>
  <si>
    <t>João Vitor</t>
  </si>
  <si>
    <t>Selma_Lula</t>
  </si>
  <si>
    <t>só vim para procrastinar</t>
  </si>
  <si>
    <t>vanessa salin</t>
  </si>
  <si>
    <t>𝓜𝓪𝓻𝓾𝔁</t>
  </si>
  <si>
    <t>Milenial cheirador de Melange</t>
  </si>
  <si>
    <t>Ana Valéria Toledo</t>
  </si>
  <si>
    <t>José Fabrício Macêdo</t>
  </si>
  <si>
    <t>iendiS</t>
  </si>
  <si>
    <t>thiago 🏳️‍🌈</t>
  </si>
  <si>
    <t>paulo soares</t>
  </si>
  <si>
    <t>🚩 Geraldo Azevedo 💉🐊 #LulaPresidente</t>
  </si>
  <si>
    <t>Marido de Profª. da UnB 🇨🇺</t>
  </si>
  <si>
    <t>Sandro Cão</t>
  </si>
  <si>
    <t>Aceita na seita</t>
  </si>
  <si>
    <t>RTP Madeira</t>
  </si>
  <si>
    <t>Educação Ambiental</t>
  </si>
  <si>
    <t>Victor das Neves</t>
  </si>
  <si>
    <t>Mar 🌊🐺🎗️🇧🇷 #Lulaem2022 #pec32NÃO</t>
  </si>
  <si>
    <t>Abner Vinicius</t>
  </si>
  <si>
    <t>☭Rosa¹³☆Krasnaya☭#LULA2022</t>
  </si>
  <si>
    <t>Nelson 横山 @PTDemocracia</t>
  </si>
  <si>
    <t>J</t>
  </si>
  <si>
    <t>Silvana.Teixeira🌵🆘🇧🇷🚩</t>
  </si>
  <si>
    <t>Paulo Dantas</t>
  </si>
  <si>
    <t>Alessandra Koren</t>
  </si>
  <si>
    <t>Eliana</t>
  </si>
  <si>
    <t>Marcos Cruzeiro</t>
  </si>
  <si>
    <t>Cassiana Cotica</t>
  </si>
  <si>
    <t>Eliane Sanguine</t>
  </si>
  <si>
    <t>A Voz do Cerrado</t>
  </si>
  <si>
    <t>Andre’</t>
  </si>
  <si>
    <t>WINWAY</t>
  </si>
  <si>
    <t>Bandeira Amarela</t>
  </si>
  <si>
    <t>David Mourão</t>
  </si>
  <si>
    <t>ELEVEN Portugal</t>
  </si>
  <si>
    <t>a isa adora 🦑</t>
  </si>
  <si>
    <t>Elis Araújo</t>
  </si>
  <si>
    <t>Ruben Moreira</t>
  </si>
  <si>
    <t>Leonardo</t>
  </si>
  <si>
    <t>Sandra Farias 💉</t>
  </si>
  <si>
    <t>cris reis</t>
  </si>
  <si>
    <t>Wannessa Alves</t>
  </si>
  <si>
    <t>Trabalhistas - Construindo A Nova Maioria</t>
  </si>
  <si>
    <t>𝕭𝕣𝕖𝕟𝕕𝕒</t>
  </si>
  <si>
    <t>Lúcia Gracinda da Silva Froufe</t>
  </si>
  <si>
    <t>Gerusaide ♀️♖</t>
  </si>
  <si>
    <t>OvelhaSonhadora</t>
  </si>
  <si>
    <t>luise</t>
  </si>
  <si>
    <t>Mutterseelinallein</t>
  </si>
  <si>
    <t>Maria Maria</t>
  </si>
  <si>
    <t>Seoade Lula🇪🇪🇧🇷🚩</t>
  </si>
  <si>
    <t>JamesLima</t>
  </si>
  <si>
    <t>Mister Renque</t>
  </si>
  <si>
    <t>Jair Desgovernado 🏴</t>
  </si>
  <si>
    <t>Mari Mundim</t>
  </si>
  <si>
    <t>Elaneide</t>
  </si>
  <si>
    <t>Thiago Pains</t>
  </si>
  <si>
    <t>Comitê Olímpico Sulivan Cabano #MarcoTemporalNao</t>
  </si>
  <si>
    <t>Ricardo Castro</t>
  </si>
  <si>
    <t>Benfica FM</t>
  </si>
  <si>
    <t>Gonçalo C. Vale</t>
  </si>
  <si>
    <t>João Flávio</t>
  </si>
  <si>
    <t>Yvy marã ey ★</t>
  </si>
  <si>
    <t>juds</t>
  </si>
  <si>
    <t>HEROIAL LULA</t>
  </si>
  <si>
    <t>Octavio Cardozzo</t>
  </si>
  <si>
    <t>Legnar</t>
  </si>
  <si>
    <t>Roberto Requião</t>
  </si>
  <si>
    <t>joao rios🌹🚜</t>
  </si>
  <si>
    <t>Rafael Senna</t>
  </si>
  <si>
    <t>CARLUXO PRESO AMANHÃ!</t>
  </si>
  <si>
    <t>🚩🇧🇷 Diego - MG - 🚩🇧🇷 🏳️‍🌈</t>
  </si>
  <si>
    <t>TADEU</t>
  </si>
  <si>
    <t>Deedee ♎🤏💸🆘</t>
  </si>
  <si>
    <t>bonita e triste</t>
  </si>
  <si>
    <t>Vinícius Messias</t>
  </si>
  <si>
    <t>Ana 🚩</t>
  </si>
  <si>
    <t>justiça partidária !!!🤦‍♂️</t>
  </si>
  <si>
    <t>LJ maior escândalo judic da história da humanidade</t>
  </si>
  <si>
    <t>José Alfredo</t>
  </si>
  <si>
    <t>Gabriel Musso</t>
  </si>
  <si>
    <t>Jones Manoel - Youtube: Jones Manoel</t>
  </si>
  <si>
    <t>Eu</t>
  </si>
  <si>
    <t>Beguinho13🚩🚩🚩</t>
  </si>
  <si>
    <t>Mauro Rato</t>
  </si>
  <si>
    <t>!vo⚔🛡</t>
  </si>
  <si>
    <t>Filipa Lula</t>
  </si>
  <si>
    <t>O MINHO</t>
  </si>
  <si>
    <t>João José da Silva</t>
  </si>
  <si>
    <t>João Amoêdo</t>
  </si>
  <si>
    <t>marco temporal NÃO! 🇵🇸🇨🇺</t>
  </si>
  <si>
    <t>Doralice Campagnolli</t>
  </si>
  <si>
    <t>Assessor 2 - O inesquecível e injustiçado</t>
  </si>
  <si>
    <t>Eclipse</t>
  </si>
  <si>
    <t>Manu Denora</t>
  </si>
  <si>
    <t>Comunismo</t>
  </si>
  <si>
    <t>Osmar Sempre Lula Magnabosco</t>
  </si>
  <si>
    <t>Fabio Soares 🇧🇷🚩</t>
  </si>
  <si>
    <t>lari</t>
  </si>
  <si>
    <t>Geraldo Delfim</t>
  </si>
  <si>
    <t>Vacina do SUS para todos</t>
  </si>
  <si>
    <t>Antônio Dias</t>
  </si>
  <si>
    <t>mari</t>
  </si>
  <si>
    <t>Láthspell 🇦🇶🚅🐲</t>
  </si>
  <si>
    <t>lipa ☆</t>
  </si>
  <si>
    <t>Jorge Luiz Lopes</t>
  </si>
  <si>
    <t>Isadora Morena</t>
  </si>
  <si>
    <t>Cleópatra VII Filópator Tupiniquim Milituda</t>
  </si>
  <si>
    <t>🚩A raiva e a fome é coisa dos home!</t>
  </si>
  <si>
    <t>Welton Castro 🦂 (na ✋e em 🏡)🚩Lula2022🚩</t>
  </si>
  <si>
    <t>Olguita</t>
  </si>
  <si>
    <t>VacinaParaTodos</t>
  </si>
  <si>
    <t>Bozó bobo</t>
  </si>
  <si>
    <t>90Aless</t>
  </si>
  <si>
    <t>Ariane</t>
  </si>
  <si>
    <t>Gil</t>
  </si>
  <si>
    <t>Lincoln Botelho da Cunha</t>
  </si>
  <si>
    <t>Paulinho Oliveira (semifinalista 🦁🦁🇫🇷🇫🇷)</t>
  </si>
  <si>
    <t>千夏@Ridill鯖</t>
  </si>
  <si>
    <t>S E N A✨🌻</t>
  </si>
  <si>
    <t>Taramela</t>
  </si>
  <si>
    <t>Zé Gotinha suprapartidário e humanista</t>
  </si>
  <si>
    <t>José Lula da Silva</t>
  </si>
  <si>
    <t>green heart</t>
  </si>
  <si>
    <t>Fabiana Muniz (28/45)🏁😷💉</t>
  </si>
  <si>
    <t>Lucier</t>
  </si>
  <si>
    <t>jAA🇧🇷🇧🇷🙏</t>
  </si>
  <si>
    <t>Humberto Costa</t>
  </si>
  <si>
    <t>Purisimplesmente</t>
  </si>
  <si>
    <t>Joao Quadros</t>
  </si>
  <si>
    <t>Osodrac</t>
  </si>
  <si>
    <t>Ricardo Marques</t>
  </si>
  <si>
    <t>WallaceBarreto</t>
  </si>
  <si>
    <t>Mirani Barbosa Neves Mota</t>
  </si>
  <si>
    <t>jessy james 🇵🇸</t>
  </si>
  <si>
    <t>Afonso Tang Mamolli</t>
  </si>
  <si>
    <t>🇧🇷🇧🇷🚩Lula é amor 🚩🇧🇷🇧🇷🇵🇸🇵🇸</t>
  </si>
  <si>
    <t>Nayara Ayres</t>
  </si>
  <si>
    <t>@albertocalmeida</t>
  </si>
  <si>
    <t>Bruno</t>
  </si>
  <si>
    <t>LULA Sandra Miria HADDAD</t>
  </si>
  <si>
    <t>Inês Pedrosa</t>
  </si>
  <si>
    <t>Ricardo Gaio Alves</t>
  </si>
  <si>
    <t>wts suga/yoongi dope pc</t>
  </si>
  <si>
    <t>無為無為</t>
  </si>
  <si>
    <t>めろーん🍈</t>
  </si>
  <si>
    <t>Mart Race🚩🏁</t>
  </si>
  <si>
    <t>Pedro Henrique Carmona 🇵🇹🇧🇷</t>
  </si>
  <si>
    <t>Andressa de Sá</t>
  </si>
  <si>
    <t>Rita Yuliana</t>
  </si>
  <si>
    <t>Transportasi Jakarta</t>
  </si>
  <si>
    <t>Lamara 🚩 Pelotão! Ao meu comando-Esquerda volver!</t>
  </si>
  <si>
    <t>Wil Menezes-Bolsonaro 🇧🇷 #WeareTrump</t>
  </si>
  <si>
    <t>richy muller</t>
  </si>
  <si>
    <t>👑 Paulo Rossi</t>
  </si>
  <si>
    <t>Carlos Ivan Carmo - #VaiSerUmFiasco</t>
  </si>
  <si>
    <t>Augusto Leitão</t>
  </si>
  <si>
    <t>VISÃO</t>
  </si>
  <si>
    <t>Podcast Marketing por Idiotas 🔊</t>
  </si>
  <si>
    <t>ionline</t>
  </si>
  <si>
    <t>Edan Abpen</t>
  </si>
  <si>
    <t>Dória Aventureira</t>
  </si>
  <si>
    <t>vana</t>
  </si>
  <si>
    <t>Unfollowed</t>
  </si>
  <si>
    <t>Pedro Ivo Leal</t>
  </si>
  <si>
    <t>daRaia</t>
  </si>
  <si>
    <t>polivalente</t>
  </si>
  <si>
    <t>Universidade Aberta de Portugal</t>
  </si>
  <si>
    <t>Esc. Nac. Bombeiros</t>
  </si>
  <si>
    <t>Tiago Catrola Raposeira 🇵🇹</t>
  </si>
  <si>
    <t>Marcos Eugênio Bortolini</t>
  </si>
  <si>
    <t>Paulo Brito</t>
  </si>
  <si>
    <t>Rimas e Batidas</t>
  </si>
  <si>
    <t>o otimista é um tolo. O pessimista, um chato.'</t>
  </si>
  <si>
    <t>Tiago J. Ferreira</t>
  </si>
  <si>
    <t>Marcelo Coutinho</t>
  </si>
  <si>
    <t>Marco Vieira</t>
  </si>
  <si>
    <t>神誓🌻</t>
  </si>
  <si>
    <t>Barbara</t>
  </si>
  <si>
    <t>Luiz Carlos Tessima</t>
  </si>
  <si>
    <t>Cate</t>
  </si>
  <si>
    <t>Jorge Alberto</t>
  </si>
  <si>
    <t>Zé Luiz</t>
  </si>
  <si>
    <t>Jacque Brigagão</t>
  </si>
  <si>
    <t>Emanuel Bissiatti</t>
  </si>
  <si>
    <t>Influencer ao Contrário</t>
  </si>
  <si>
    <t>Joice Reis vacinadah! 💉</t>
  </si>
  <si>
    <t>Rafael GC 🌹</t>
  </si>
  <si>
    <t>elda de carvalho</t>
  </si>
  <si>
    <t>Cable Daciolo ❁</t>
  </si>
  <si>
    <t>Letícia</t>
  </si>
  <si>
    <t>Cláudia Vilardi</t>
  </si>
  <si>
    <t>Iuri Faria Codas</t>
  </si>
  <si>
    <t>Miguel Barreira</t>
  </si>
  <si>
    <t>Iniciativa Liberal Coimbra</t>
  </si>
  <si>
    <t>Abell4</t>
  </si>
  <si>
    <t>T.G. Meirelles🇨🇺🇻🇪🇵🇸🇨🇳🇷🇺</t>
  </si>
  <si>
    <t>tiz quadros</t>
  </si>
  <si>
    <t>🚩🚩🚩DOUTOR CIÊNCIA COM CANAIS NO YOUTUBE.</t>
  </si>
  <si>
    <t>geral@inspsic.pt</t>
  </si>
  <si>
    <t>Carlos Boto</t>
  </si>
  <si>
    <t>MaRo</t>
  </si>
  <si>
    <t>rodrigo alves</t>
  </si>
  <si>
    <t>ShaolinTrader</t>
  </si>
  <si>
    <t>かなた@理学療法士</t>
  </si>
  <si>
    <t>Cláudio Santos Neves</t>
  </si>
  <si>
    <t>André Buriti</t>
  </si>
  <si>
    <t>Adan</t>
  </si>
  <si>
    <t>Carlos Alexandre Ribeiro de Souza Menezes</t>
  </si>
  <si>
    <t>Postal do Algarve</t>
  </si>
  <si>
    <t>conservador</t>
  </si>
  <si>
    <t>Candão</t>
  </si>
  <si>
    <t>Roseli Rothermel</t>
  </si>
  <si>
    <t>Luciana de Quarentena</t>
  </si>
  <si>
    <t>Martinha 💯%PT 13 🦅</t>
  </si>
  <si>
    <t>K A R M A I S A B I T C H</t>
  </si>
  <si>
    <t>♀️A🅽O🅽🆈🅼🆄🆂.</t>
  </si>
  <si>
    <t>ana paula</t>
  </si>
  <si>
    <t>mello (ela/elu) (she/they)</t>
  </si>
  <si>
    <t>Fabio 🇧🇷</t>
  </si>
  <si>
    <t>Hélio Magalhães ᶜʳᶠ (de 🏠) 🚩</t>
  </si>
  <si>
    <t>giovani</t>
  </si>
  <si>
    <t>™️</t>
  </si>
  <si>
    <t>Martins Leitão</t>
  </si>
  <si>
    <t>ᴄᴀᴍᴍ 🇦🇷 || selca¡!📌🤑</t>
  </si>
  <si>
    <t>Dani ♡</t>
  </si>
  <si>
    <t>Esperança e Fé</t>
  </si>
  <si>
    <t>Marines</t>
  </si>
  <si>
    <t>Marieta Peixoto</t>
  </si>
  <si>
    <t>Gaúcha🇧🇷🇧🇷🇧🇷</t>
  </si>
  <si>
    <t>Rodrigo Von Kluge</t>
  </si>
  <si>
    <t>Metrópoles</t>
  </si>
  <si>
    <t>Dimi Beckman ᶜʳ1905 ˢᵖᶠᶜ1930</t>
  </si>
  <si>
    <t>Neto-CR,.. 🚩🦁🚩</t>
  </si>
  <si>
    <t>Helder Salomão</t>
  </si>
  <si>
    <t>Gi 🚩🚩🚩</t>
  </si>
  <si>
    <t>Fátima Ponciano</t>
  </si>
  <si>
    <t>Linda</t>
  </si>
  <si>
    <t>lilice</t>
  </si>
  <si>
    <t>T R I N D A D E</t>
  </si>
  <si>
    <t>Corona Vítor</t>
  </si>
  <si>
    <t>fabioneZZ 🎶_🏳️♥️... 🚫➕...🥺⬆️...✌️_🎶</t>
  </si>
  <si>
    <t>🇧🇷🌹21-9-29🐽🐷</t>
  </si>
  <si>
    <t>andante😷🌎⚔💚</t>
  </si>
  <si>
    <t>cidadão de bem</t>
  </si>
  <si>
    <t>Em surtos</t>
  </si>
  <si>
    <t>felipe</t>
  </si>
  <si>
    <t>Jean Piter 🚩🇵🇸</t>
  </si>
  <si>
    <t>Milton Apasil</t>
  </si>
  <si>
    <t>Teodoro A C</t>
  </si>
  <si>
    <t>Maria do Rosário</t>
  </si>
  <si>
    <t>José Guimarães</t>
  </si>
  <si>
    <t>@FrontNacionalista</t>
  </si>
  <si>
    <t>Cirão Carioca 🇧🇷🌹</t>
  </si>
  <si>
    <t>Daniel Ramalho</t>
  </si>
  <si>
    <t>Luiissˢᶠᶜ</t>
  </si>
  <si>
    <t>Vitor⛄️</t>
  </si>
  <si>
    <t>LadoCertoDaHistoria</t>
  </si>
  <si>
    <t>naz</t>
  </si>
  <si>
    <t>GOT7BESTIE 🌴🐰👑🍑🌞🐍🌼🔗🐥</t>
  </si>
  <si>
    <t>Jennifer MLS</t>
  </si>
  <si>
    <t>Nah, I'm a nerd. 🌈</t>
  </si>
  <si>
    <t>💼 KARIRFESS | ON ⚡</t>
  </si>
  <si>
    <t>Um cara aleatório/ A random guy</t>
  </si>
  <si>
    <t>Pedro Cavalcanti Ferreira</t>
  </si>
  <si>
    <t>Loker Pekanbaru</t>
  </si>
  <si>
    <t>jornal diariOnline Região Sul</t>
  </si>
  <si>
    <t>TSF Rádio</t>
  </si>
  <si>
    <t>ilino</t>
  </si>
  <si>
    <t>ִֶָ</t>
  </si>
  <si>
    <t>Bêbada</t>
  </si>
  <si>
    <t>vitor</t>
  </si>
  <si>
    <t>PENGEN PELUK LUCAS</t>
  </si>
  <si>
    <t>abil</t>
  </si>
  <si>
    <t>MNC Bank</t>
  </si>
  <si>
    <t>Zoom</t>
  </si>
  <si>
    <t>far🦋 | ON BUYING BAN UNTIL NEXT COMEBACK</t>
  </si>
  <si>
    <t>📌 WTS Chanhee Collections</t>
  </si>
  <si>
    <t>mai 🐰</t>
  </si>
  <si>
    <t>Faz || kinda ia ♡</t>
  </si>
  <si>
    <t>웨이루•pru•</t>
  </si>
  <si>
    <t>SALMA</t>
  </si>
  <si>
    <t>gyuloml</t>
  </si>
  <si>
    <t>nyu | ia</t>
  </si>
  <si>
    <t>juyo</t>
  </si>
  <si>
    <t>ezzy 🦊 Eternal 💫</t>
  </si>
  <si>
    <t>Hana</t>
  </si>
  <si>
    <t>— nana ♡♡ ; ATTACCA</t>
  </si>
  <si>
    <t>𝚍𝚎𝚘-𝚛𝚒 ⁽ '.ㅅ' ⁾</t>
  </si>
  <si>
    <t>PENN</t>
  </si>
  <si>
    <t>꧁༺BATCH 9 CLOSED!༻꧂</t>
  </si>
  <si>
    <t>nyuubies :3</t>
  </si>
  <si>
    <t>hani || exam</t>
  </si>
  <si>
    <t>▼・ᴥ・▼ aya ♡˚✧</t>
  </si>
  <si>
    <t>Secretaria-Geral da Economia PT</t>
  </si>
  <si>
    <t>hujana</t>
  </si>
  <si>
    <t>mia ☺︎︎</t>
  </si>
  <si>
    <t>;)</t>
  </si>
  <si>
    <t>dd ◡̈</t>
  </si>
  <si>
    <t>Kimi</t>
  </si>
  <si>
    <t>Nicodemos R. Lula de Sales</t>
  </si>
  <si>
    <t>Lu</t>
  </si>
  <si>
    <t>Carlos Latuff</t>
  </si>
  <si>
    <t>TromPETISTA 🎺 ⭐</t>
  </si>
  <si>
    <t>M</t>
  </si>
  <si>
    <t>João Silva</t>
  </si>
  <si>
    <t>FC Porto</t>
  </si>
  <si>
    <t>𝐉𝐨𝐭𝐚 𝐄𝐧𝐞</t>
  </si>
  <si>
    <t>Luiz Jr</t>
  </si>
  <si>
    <t>Sebastião Melo</t>
  </si>
  <si>
    <t>Amanda | Pres. Bolsonaro estou com você!</t>
  </si>
  <si>
    <t>(ﾉ◕ヮ◕)ﾉ*.✧</t>
  </si>
  <si>
    <t>A special tree</t>
  </si>
  <si>
    <t>Lilian 🚩🚩🚩</t>
  </si>
  <si>
    <t>Sandoval Nascimento</t>
  </si>
  <si>
    <t>Shifter</t>
  </si>
  <si>
    <t>Jornal de Negócios</t>
  </si>
  <si>
    <t>A Cidade Branca</t>
  </si>
  <si>
    <t>FNE</t>
  </si>
  <si>
    <t>CES_UC</t>
  </si>
  <si>
    <t>Herbett tigre</t>
  </si>
  <si>
    <t>Wallace Soares</t>
  </si>
  <si>
    <t>CVLN</t>
  </si>
  <si>
    <t>8 Foot Kitty's</t>
  </si>
  <si>
    <t>Valdaaaa</t>
  </si>
  <si>
    <t>Renata Schmitt</t>
  </si>
  <si>
    <t>🇧🇼 Loco de Humaita 🇧🇼</t>
  </si>
  <si>
    <t>wahyu putro</t>
  </si>
  <si>
    <t>MOACIRSAMPAIOJR - UNDERTAKERRSBR</t>
  </si>
  <si>
    <t>Léo Moura 🐙⭐🚩</t>
  </si>
  <si>
    <t>Josemar Moisés</t>
  </si>
  <si>
    <t>yagobarros23 🌹🔴⚫️🐶🐱🐱👨‍👩‍👦</t>
  </si>
  <si>
    <t>Carol - Blonde, but not blind... 🇧🇷💛💚💛💚🇧🇷</t>
  </si>
  <si>
    <t>Sissi @saiadamatrixbr</t>
  </si>
  <si>
    <t>The King AF🇯🇵 🇺🇸 🇧🇷 🇮🇱 #GoBolsonaroMundial</t>
  </si>
  <si>
    <t>Vipper</t>
  </si>
  <si>
    <t>AveVeritas</t>
  </si>
  <si>
    <t>📚 Sophia 📚</t>
  </si>
  <si>
    <t>ΟΥΔΕΙΣ</t>
  </si>
  <si>
    <t>Claire²³ | STREAM STICKER ❤️ | 📌DAEGAL EDIT</t>
  </si>
  <si>
    <t>nanaʕ •ᴥ•ʔ</t>
  </si>
  <si>
    <t>⁷⁷</t>
  </si>
  <si>
    <t>reo</t>
  </si>
  <si>
    <t>amani :)</t>
  </si>
  <si>
    <t>Beautyskinz.co</t>
  </si>
  <si>
    <t>syananana 🇵🇸♡</t>
  </si>
  <si>
    <t>Gwei🤖 ˙◠ ̫◠</t>
  </si>
  <si>
    <t>s h y r a 🐰</t>
  </si>
  <si>
    <t>Bangber</t>
  </si>
  <si>
    <t>한스⚡️</t>
  </si>
  <si>
    <t>Guilherme Moreira 🌐</t>
  </si>
  <si>
    <t>Duquesa de Tax</t>
  </si>
  <si>
    <t>Moreira 🇧🇷🥊</t>
  </si>
  <si>
    <t>Antonio Oliveira</t>
  </si>
  <si>
    <t>Gustavo Barreto</t>
  </si>
  <si>
    <t>OPAS/OMS Brasil</t>
  </si>
  <si>
    <t>UNICEF Brasil</t>
  </si>
  <si>
    <t>UNESCO no Brasil</t>
  </si>
  <si>
    <t>PNUD Brasil</t>
  </si>
  <si>
    <t>SBGC</t>
  </si>
  <si>
    <t>ONU Brasil</t>
  </si>
  <si>
    <t>chico brito cruz</t>
  </si>
  <si>
    <t>taehaa</t>
  </si>
  <si>
    <t>ESCE-IPVC</t>
  </si>
  <si>
    <t>Julio Sosa ✊✊🏴🏴🚩🚩 🏳️‍🌈🏳️‍🌈</t>
  </si>
  <si>
    <t>Paraiba_sim_senhor🚩🏳️‍🌈</t>
  </si>
  <si>
    <t>MARIA LETICIA</t>
  </si>
  <si>
    <t>Heisenberg</t>
  </si>
  <si>
    <t>Piá da Catarinense</t>
  </si>
  <si>
    <t>Victor Hitzschky</t>
  </si>
  <si>
    <t>DESEMPREGADOS UNIDOS!</t>
  </si>
  <si>
    <t>Flavio Vasques 🌹 1️⃣2️⃣</t>
  </si>
  <si>
    <t>I'm clinically insane</t>
  </si>
  <si>
    <t>yours</t>
  </si>
  <si>
    <t>Party 🇧🇷</t>
  </si>
  <si>
    <t>Fernando Haddad</t>
  </si>
  <si>
    <t>Haddad Debochado</t>
  </si>
  <si>
    <t>🚩Audrei VP🦑</t>
  </si>
  <si>
    <t>Elnino Evenguin🐧</t>
  </si>
  <si>
    <t>oka antara</t>
  </si>
  <si>
    <t>Imanwahid</t>
  </si>
  <si>
    <t>Régia Estevam</t>
  </si>
  <si>
    <t>rjmj</t>
  </si>
  <si>
    <t>Луиз Клаудио Виэира</t>
  </si>
  <si>
    <t>IMPEACHMENT JÁ</t>
  </si>
  <si>
    <t>Avante PT! Resistência!</t>
  </si>
  <si>
    <t>Comunadeusaaaaaaaaaa</t>
  </si>
  <si>
    <t>🇨🇺 Gilsonmunista 🇵🇸</t>
  </si>
  <si>
    <t>oiasmargensplacidas</t>
  </si>
  <si>
    <t>Eltito</t>
  </si>
  <si>
    <t>Augusto de Franco</t>
  </si>
  <si>
    <t>Roosevelt Progressista☘🌎</t>
  </si>
  <si>
    <t>Likaliku</t>
  </si>
  <si>
    <t>Sukma</t>
  </si>
  <si>
    <t>Luciano Huck</t>
  </si>
  <si>
    <t>SoLulaland13 ✠🚩</t>
  </si>
  <si>
    <t>Mª Lucia Fattorelli</t>
  </si>
  <si>
    <t>MarcioLote @marciolopeste🚩🚩🚩🚩🚩</t>
  </si>
  <si>
    <t>Vera Nilce Cordeiro</t>
  </si>
  <si>
    <t>Daniel Simonas</t>
  </si>
  <si>
    <t>Jacaroa Comunista 🚩🚩🚩</t>
  </si>
  <si>
    <t>Débora Mustafá</t>
  </si>
  <si>
    <t>Claudia#OdeioBolsonazi 🚩🚩🚩</t>
  </si>
  <si>
    <t>Catia Amorim</t>
  </si>
  <si>
    <t>Anna Carolina</t>
  </si>
  <si>
    <t>Marusa Lula da Silva</t>
  </si>
  <si>
    <t>Basta!</t>
  </si>
  <si>
    <t>ConexãoPtistaAdm</t>
  </si>
  <si>
    <t>Tonho da Lua 🌙/🟣🗣️🎙️Microfone Solidário</t>
  </si>
  <si>
    <t>𝖘𝖔𝖑 🏚️🤍</t>
  </si>
  <si>
    <t>PATYY</t>
  </si>
  <si>
    <t>Odir(Prof., Geógrafo, num país que se chama Pará)</t>
  </si>
  <si>
    <t>Lu 🚩🚩🚩Lula da Silva</t>
  </si>
  <si>
    <t>иυиϲα ѕє νєиϲє υмα gυєяяα ℓυταи∂ο  ѕοzιинο.</t>
  </si>
  <si>
    <t>Luciana Fabiano😷❤ LulaPresidente2022🇧🇷</t>
  </si>
  <si>
    <t>Elaine Nascimento⚖♐🔥⚡🚩</t>
  </si>
  <si>
    <t>Kalily Rocha 👸🏾</t>
  </si>
  <si>
    <t>Glauco Braga</t>
  </si>
  <si>
    <t>Srtª Pati 🍫🌶️</t>
  </si>
  <si>
    <t>bruna</t>
  </si>
  <si>
    <t>Fifico Siebra</t>
  </si>
  <si>
    <t>Tiago Machado</t>
  </si>
  <si>
    <t>Rodrigo Elpidio Ferrante🚩🚩</t>
  </si>
  <si>
    <t>william bassanelli</t>
  </si>
  <si>
    <t>Emanoel Seabra 🚩🚩🚩🚩🚩</t>
  </si>
  <si>
    <t>Felipe Fernandes</t>
  </si>
  <si>
    <t>A RUA É NOSSA 🚩🚩🚩</t>
  </si>
  <si>
    <t>Fabio Alcantara</t>
  </si>
  <si>
    <t>Rê Soares 🚩✊🏾❤️</t>
  </si>
  <si>
    <t>Anay🚩🚩🚩</t>
  </si>
  <si>
    <t>Isabel Feijó Machado🚩🚩🚩</t>
  </si>
  <si>
    <t>Luiz Lula do Brasil 🚩🚩🚩🚩 13 @LulaOficial</t>
  </si>
  <si>
    <t>luiz gervasio ferretti</t>
  </si>
  <si>
    <t>CrisBapp</t>
  </si>
  <si>
    <t>Mano Ju Oliveira</t>
  </si>
  <si>
    <t>Beto 🛑🚩🇧🇷</t>
  </si>
  <si>
    <t>@MicrofoneSolidario</t>
  </si>
  <si>
    <t>Simone Capadocia</t>
  </si>
  <si>
    <t>🟣Tony🌵🎙️🌐☆</t>
  </si>
  <si>
    <t>Diva Olinda🚩🚩🚩@Lula2022 Ante#Bolsnaro</t>
  </si>
  <si>
    <t>Nilton Possati®</t>
  </si>
  <si>
    <t>Viomundo</t>
  </si>
  <si>
    <t>IGOT7 Malaysia Mass Trading</t>
  </si>
  <si>
    <t>hourly #pasarNCT 🇲🇾</t>
  </si>
  <si>
    <t>kha 生</t>
  </si>
  <si>
    <t>OposisiCerdas.com</t>
  </si>
  <si>
    <t>🏴PolicePartikelir🏴</t>
  </si>
  <si>
    <t>Diego S👼ntos🌈🌵.</t>
  </si>
  <si>
    <t>Jupiter</t>
  </si>
  <si>
    <t>MYGOT7Market 🐥</t>
  </si>
  <si>
    <t>🄵🄸🄽🄰🅉 : 🄲🄾🄻🄾🅁🅂</t>
  </si>
  <si>
    <t>89282975</t>
  </si>
  <si>
    <t>133415058</t>
  </si>
  <si>
    <t>27506495</t>
  </si>
  <si>
    <t>3133060425</t>
  </si>
  <si>
    <t>169913717</t>
  </si>
  <si>
    <t>936936150769569793</t>
  </si>
  <si>
    <t>1309129157834682368</t>
  </si>
  <si>
    <t>458878625</t>
  </si>
  <si>
    <t>3957191693</t>
  </si>
  <si>
    <t>1200069794336247808</t>
  </si>
  <si>
    <t>1176894795907837952</t>
  </si>
  <si>
    <t>1199852856972652544</t>
  </si>
  <si>
    <t>17595890</t>
  </si>
  <si>
    <t>1175678623069720576</t>
  </si>
  <si>
    <t>211132548</t>
  </si>
  <si>
    <t>1435492153895972867</t>
  </si>
  <si>
    <t>387304906</t>
  </si>
  <si>
    <t>1150455884310560777</t>
  </si>
  <si>
    <t>3894621507</t>
  </si>
  <si>
    <t>1303427223609847814</t>
  </si>
  <si>
    <t>14499351</t>
  </si>
  <si>
    <t>158151456</t>
  </si>
  <si>
    <t>19682772</t>
  </si>
  <si>
    <t>1060527500588130306</t>
  </si>
  <si>
    <t>3336972946</t>
  </si>
  <si>
    <t>94547604</t>
  </si>
  <si>
    <t>974364900809216001</t>
  </si>
  <si>
    <t>106065260</t>
  </si>
  <si>
    <t>1266492202244603906</t>
  </si>
  <si>
    <t>1430893385045319685</t>
  </si>
  <si>
    <t>1037362499786604544</t>
  </si>
  <si>
    <t>1009278393945346049</t>
  </si>
  <si>
    <t>1382793181360754701</t>
  </si>
  <si>
    <t>1436408307812601857</t>
  </si>
  <si>
    <t>1367809246885249027</t>
  </si>
  <si>
    <t>636510528</t>
  </si>
  <si>
    <t>965254978397982720</t>
  </si>
  <si>
    <t>1232859792470925315</t>
  </si>
  <si>
    <t>719183241027141633</t>
  </si>
  <si>
    <t>1098963895832768513</t>
  </si>
  <si>
    <t>2741738687</t>
  </si>
  <si>
    <t>353216600</t>
  </si>
  <si>
    <t>1235635671525515265</t>
  </si>
  <si>
    <t>184309039</t>
  </si>
  <si>
    <t>2554019484</t>
  </si>
  <si>
    <t>2364929450</t>
  </si>
  <si>
    <t>1332581764091371521</t>
  </si>
  <si>
    <t>1379246716541542400</t>
  </si>
  <si>
    <t>360977327</t>
  </si>
  <si>
    <t>1270678342908342273</t>
  </si>
  <si>
    <t>1213796838370766848</t>
  </si>
  <si>
    <t>1392279727994392577</t>
  </si>
  <si>
    <t>882121175068942336</t>
  </si>
  <si>
    <t>1417043276973056000</t>
  </si>
  <si>
    <t>1397411959922839553</t>
  </si>
  <si>
    <t>1264565662103465984</t>
  </si>
  <si>
    <t>734179328020320256</t>
  </si>
  <si>
    <t>184347679</t>
  </si>
  <si>
    <t>15084892</t>
  </si>
  <si>
    <t>824630037412343808</t>
  </si>
  <si>
    <t>1266023464663568396</t>
  </si>
  <si>
    <t>1118484708424216577</t>
  </si>
  <si>
    <t>2968399834</t>
  </si>
  <si>
    <t>1253725809350672390</t>
  </si>
  <si>
    <t>1013411658247442432</t>
  </si>
  <si>
    <t>3281646865</t>
  </si>
  <si>
    <t>2835212822</t>
  </si>
  <si>
    <t>1201660704555536384</t>
  </si>
  <si>
    <t>1064195337538162688</t>
  </si>
  <si>
    <t>1433923721400627201</t>
  </si>
  <si>
    <t>707230292596150272</t>
  </si>
  <si>
    <t>173610629</t>
  </si>
  <si>
    <t>1030869794432724992</t>
  </si>
  <si>
    <t>1120980490956066816</t>
  </si>
  <si>
    <t>55907875</t>
  </si>
  <si>
    <t>1340293026304802818</t>
  </si>
  <si>
    <t>1047003323340075009</t>
  </si>
  <si>
    <t>968078961119907840</t>
  </si>
  <si>
    <t>786900810969993216</t>
  </si>
  <si>
    <t>1374602325944266754</t>
  </si>
  <si>
    <t>1415004006527557633</t>
  </si>
  <si>
    <t>1367810026274885632</t>
  </si>
  <si>
    <t>1413091250039709699</t>
  </si>
  <si>
    <t>2699993566</t>
  </si>
  <si>
    <t>3076997062</t>
  </si>
  <si>
    <t>1269809906</t>
  </si>
  <si>
    <t>152337614</t>
  </si>
  <si>
    <t>1140583094862385152</t>
  </si>
  <si>
    <t>76992201</t>
  </si>
  <si>
    <t>1348587630343106560</t>
  </si>
  <si>
    <t>305774527</t>
  </si>
  <si>
    <t>1027613056392679425</t>
  </si>
  <si>
    <t>783893746043629570</t>
  </si>
  <si>
    <t>42918587</t>
  </si>
  <si>
    <t>318831793</t>
  </si>
  <si>
    <t>92709585</t>
  </si>
  <si>
    <t>993465687808008192</t>
  </si>
  <si>
    <t>897644570095345667</t>
  </si>
  <si>
    <t>1245372231582171137</t>
  </si>
  <si>
    <t>197778277</t>
  </si>
  <si>
    <t>1386134066794319877</t>
  </si>
  <si>
    <t>163256142</t>
  </si>
  <si>
    <t>1339268718677856256</t>
  </si>
  <si>
    <t>166368041</t>
  </si>
  <si>
    <t>201579531</t>
  </si>
  <si>
    <t>13323622</t>
  </si>
  <si>
    <t>2176570934</t>
  </si>
  <si>
    <t>111182770</t>
  </si>
  <si>
    <t>1277059574202281985</t>
  </si>
  <si>
    <t>1192160585846267909</t>
  </si>
  <si>
    <t>83987145</t>
  </si>
  <si>
    <t>257958322</t>
  </si>
  <si>
    <t>763906677502570497</t>
  </si>
  <si>
    <t>180462525</t>
  </si>
  <si>
    <t>49751816</t>
  </si>
  <si>
    <t>1153740959248764934</t>
  </si>
  <si>
    <t>175185199</t>
  </si>
  <si>
    <t>53090898</t>
  </si>
  <si>
    <t>1020385106727440384</t>
  </si>
  <si>
    <t>50743952</t>
  </si>
  <si>
    <t>4274118317</t>
  </si>
  <si>
    <t>1211759471480848384</t>
  </si>
  <si>
    <t>929384126406451200</t>
  </si>
  <si>
    <t>1266912166919245825</t>
  </si>
  <si>
    <t>1116507770059149312</t>
  </si>
  <si>
    <t>310550036</t>
  </si>
  <si>
    <t>1039181111505641472</t>
  </si>
  <si>
    <t>1040917413108301824</t>
  </si>
  <si>
    <t>1852542362</t>
  </si>
  <si>
    <t>4475723053</t>
  </si>
  <si>
    <t>55493389</t>
  </si>
  <si>
    <t>1654227680</t>
  </si>
  <si>
    <t>1107074382197915648</t>
  </si>
  <si>
    <t>2479170204</t>
  </si>
  <si>
    <t>1377558167136129025</t>
  </si>
  <si>
    <t>1282586121592070157</t>
  </si>
  <si>
    <t>3015845354</t>
  </si>
  <si>
    <t>35764728</t>
  </si>
  <si>
    <t>1149074742504116224</t>
  </si>
  <si>
    <t>62212539</t>
  </si>
  <si>
    <t>2734971967</t>
  </si>
  <si>
    <t>2989211223</t>
  </si>
  <si>
    <t>23373309</t>
  </si>
  <si>
    <t>1835243893</t>
  </si>
  <si>
    <t>717874436</t>
  </si>
  <si>
    <t>1139289044</t>
  </si>
  <si>
    <t>21783395</t>
  </si>
  <si>
    <t>454395581</t>
  </si>
  <si>
    <t>3908639473</t>
  </si>
  <si>
    <t>395388847</t>
  </si>
  <si>
    <t>1310585080973148165</t>
  </si>
  <si>
    <t>781756054367510528</t>
  </si>
  <si>
    <t>17163446</t>
  </si>
  <si>
    <t>1425698055114825728</t>
  </si>
  <si>
    <t>2541716540</t>
  </si>
  <si>
    <t>2906201033</t>
  </si>
  <si>
    <t>2561091</t>
  </si>
  <si>
    <t>113680261</t>
  </si>
  <si>
    <t>1090719479192006656</t>
  </si>
  <si>
    <t>105761223</t>
  </si>
  <si>
    <t>956348573037355008</t>
  </si>
  <si>
    <t>109154347</t>
  </si>
  <si>
    <t>206222507</t>
  </si>
  <si>
    <t>2314390500</t>
  </si>
  <si>
    <t>1237662095971254272</t>
  </si>
  <si>
    <t>64217144</t>
  </si>
  <si>
    <t>20380673</t>
  </si>
  <si>
    <t>3443676981</t>
  </si>
  <si>
    <t>3345765574</t>
  </si>
  <si>
    <t>14341495</t>
  </si>
  <si>
    <t>1359727384929263618</t>
  </si>
  <si>
    <t>1062089467949973504</t>
  </si>
  <si>
    <t>1377019094780760066</t>
  </si>
  <si>
    <t>1262523450217938950</t>
  </si>
  <si>
    <t>1434228984376594439</t>
  </si>
  <si>
    <t>1229089922675617792</t>
  </si>
  <si>
    <t>106714016</t>
  </si>
  <si>
    <t>68810711</t>
  </si>
  <si>
    <t>851338790</t>
  </si>
  <si>
    <t>1370252771363074052</t>
  </si>
  <si>
    <t>1325740240842186753</t>
  </si>
  <si>
    <t>222550066</t>
  </si>
  <si>
    <t>9500222</t>
  </si>
  <si>
    <t>54496644</t>
  </si>
  <si>
    <t>1428147648914145282</t>
  </si>
  <si>
    <t>722471581210054657</t>
  </si>
  <si>
    <t>365701309</t>
  </si>
  <si>
    <t>1467809664</t>
  </si>
  <si>
    <t>3382346020</t>
  </si>
  <si>
    <t>2954593572</t>
  </si>
  <si>
    <t>1221848727155068942</t>
  </si>
  <si>
    <t>50640639</t>
  </si>
  <si>
    <t>3620077936</t>
  </si>
  <si>
    <t>1344900542514905090</t>
  </si>
  <si>
    <t>1313796323611570176</t>
  </si>
  <si>
    <t>795293396860628992</t>
  </si>
  <si>
    <t>1357038644851331075</t>
  </si>
  <si>
    <t>1346512919111069696</t>
  </si>
  <si>
    <t>1394721220134940678</t>
  </si>
  <si>
    <t>16193162</t>
  </si>
  <si>
    <t>97913015</t>
  </si>
  <si>
    <t>1336806192497242114</t>
  </si>
  <si>
    <t>565922454</t>
  </si>
  <si>
    <t>1221603347863625729</t>
  </si>
  <si>
    <t>13653812</t>
  </si>
  <si>
    <t>67536011</t>
  </si>
  <si>
    <t>31490951</t>
  </si>
  <si>
    <t>2800529756</t>
  </si>
  <si>
    <t>1308901808367194118</t>
  </si>
  <si>
    <t>1288614823</t>
  </si>
  <si>
    <t>1112960079949492224</t>
  </si>
  <si>
    <t>55591083</t>
  </si>
  <si>
    <t>700528695</t>
  </si>
  <si>
    <t>1069376713</t>
  </si>
  <si>
    <t>605933238</t>
  </si>
  <si>
    <t>1690412382</t>
  </si>
  <si>
    <t>2463899971</t>
  </si>
  <si>
    <t>362033655</t>
  </si>
  <si>
    <t>1405622616958943238</t>
  </si>
  <si>
    <t>1216793539</t>
  </si>
  <si>
    <t>1216390117310464000</t>
  </si>
  <si>
    <t>1036296841</t>
  </si>
  <si>
    <t>120650877</t>
  </si>
  <si>
    <t>2615143489</t>
  </si>
  <si>
    <t>19083439</t>
  </si>
  <si>
    <t>42058613</t>
  </si>
  <si>
    <t>1177242129577328640</t>
  </si>
  <si>
    <t>1393251606179745794</t>
  </si>
  <si>
    <t>45428696</t>
  </si>
  <si>
    <t>127207829</t>
  </si>
  <si>
    <t>963894186276728832</t>
  </si>
  <si>
    <t>52598127</t>
  </si>
  <si>
    <t>10002062</t>
  </si>
  <si>
    <t>86438458</t>
  </si>
  <si>
    <t>968243641906065414</t>
  </si>
  <si>
    <t>19540066</t>
  </si>
  <si>
    <t>1396568200922402827</t>
  </si>
  <si>
    <t>61058501</t>
  </si>
  <si>
    <t>1423759296198848514</t>
  </si>
  <si>
    <t>105350737</t>
  </si>
  <si>
    <t>81671513</t>
  </si>
  <si>
    <t>715364459099856896</t>
  </si>
  <si>
    <t>865613653</t>
  </si>
  <si>
    <t>848014159501459458</t>
  </si>
  <si>
    <t>1392999347780980736</t>
  </si>
  <si>
    <t>1849697408</t>
  </si>
  <si>
    <t>302853572</t>
  </si>
  <si>
    <t>2447915935</t>
  </si>
  <si>
    <t>237297309</t>
  </si>
  <si>
    <t>1205585363957436416</t>
  </si>
  <si>
    <t>1256660459228409856</t>
  </si>
  <si>
    <t>209467064</t>
  </si>
  <si>
    <t>1290824648763080705</t>
  </si>
  <si>
    <t>94602545</t>
  </si>
  <si>
    <t>1082365232968884224</t>
  </si>
  <si>
    <t>791352688671940612</t>
  </si>
  <si>
    <t>1429393798535262211</t>
  </si>
  <si>
    <t>1123573743450824705</t>
  </si>
  <si>
    <t>1274519433738883072</t>
  </si>
  <si>
    <t>1113094855281008641</t>
  </si>
  <si>
    <t>17637572</t>
  </si>
  <si>
    <t>1274822460077154304</t>
  </si>
  <si>
    <t>961266705472290816</t>
  </si>
  <si>
    <t>170078027</t>
  </si>
  <si>
    <t>1420584146175336450</t>
  </si>
  <si>
    <t>2936292323</t>
  </si>
  <si>
    <t>8665852</t>
  </si>
  <si>
    <t>374556377</t>
  </si>
  <si>
    <t>70698293</t>
  </si>
  <si>
    <t>889508568533217280</t>
  </si>
  <si>
    <t>1360769400182341641</t>
  </si>
  <si>
    <t>85250742</t>
  </si>
  <si>
    <t>1255544722204098560</t>
  </si>
  <si>
    <t>825500194842275844</t>
  </si>
  <si>
    <t>1390782259817504768</t>
  </si>
  <si>
    <t>1144050082209304576</t>
  </si>
  <si>
    <t>2784472498</t>
  </si>
  <si>
    <t>1430659724601614342</t>
  </si>
  <si>
    <t>1338334647688761344</t>
  </si>
  <si>
    <t>1011285423174406146</t>
  </si>
  <si>
    <t>1257066009938313216</t>
  </si>
  <si>
    <t>1358939873403539456</t>
  </si>
  <si>
    <t>1421527996003880961</t>
  </si>
  <si>
    <t>1303722103493914624</t>
  </si>
  <si>
    <t>1027765568814899201</t>
  </si>
  <si>
    <t>1290049409993117696</t>
  </si>
  <si>
    <t>1036261928241426434</t>
  </si>
  <si>
    <t>1336353870264471552</t>
  </si>
  <si>
    <t>1315245043783880704</t>
  </si>
  <si>
    <t>1631494729</t>
  </si>
  <si>
    <t>1142840683302203401</t>
  </si>
  <si>
    <t>71349346</t>
  </si>
  <si>
    <t>193168399</t>
  </si>
  <si>
    <t>2677148557</t>
  </si>
  <si>
    <t>1404480457106939904</t>
  </si>
  <si>
    <t>199338666</t>
  </si>
  <si>
    <t>979860672354881537</t>
  </si>
  <si>
    <t>58875595</t>
  </si>
  <si>
    <t>1380141606838407169</t>
  </si>
  <si>
    <t>19663485</t>
  </si>
  <si>
    <t>1246394020076503041</t>
  </si>
  <si>
    <t>1148629429620547584</t>
  </si>
  <si>
    <t>1335317415421472768</t>
  </si>
  <si>
    <t>2975639092</t>
  </si>
  <si>
    <t>1013882169775808516</t>
  </si>
  <si>
    <t>1088746477566992386</t>
  </si>
  <si>
    <t>43218789</t>
  </si>
  <si>
    <t>377627357</t>
  </si>
  <si>
    <t>2912051164</t>
  </si>
  <si>
    <t>759001618884939776</t>
  </si>
  <si>
    <t>1256701203435716613</t>
  </si>
  <si>
    <t>1269087538649739264</t>
  </si>
  <si>
    <t>70003769</t>
  </si>
  <si>
    <t>42482159</t>
  </si>
  <si>
    <t>991360751561560066</t>
  </si>
  <si>
    <t>1034438254047703042</t>
  </si>
  <si>
    <t>1423783658201272321</t>
  </si>
  <si>
    <t>2851955518</t>
  </si>
  <si>
    <t>1615665403</t>
  </si>
  <si>
    <t>1062417933526355968</t>
  </si>
  <si>
    <t>1036673410087231488</t>
  </si>
  <si>
    <t>873979805976350720</t>
  </si>
  <si>
    <t>18973946</t>
  </si>
  <si>
    <t>1430644805370011651</t>
  </si>
  <si>
    <t>1078821626278563840</t>
  </si>
  <si>
    <t>20826460</t>
  </si>
  <si>
    <t>23585685</t>
  </si>
  <si>
    <t>1278138802394091521</t>
  </si>
  <si>
    <t>118205942</t>
  </si>
  <si>
    <t>95197063</t>
  </si>
  <si>
    <t>2751004142</t>
  </si>
  <si>
    <t>59125953</t>
  </si>
  <si>
    <t>928025563293462528</t>
  </si>
  <si>
    <t>333432783</t>
  </si>
  <si>
    <t>94291981</t>
  </si>
  <si>
    <t>1114279885323816960</t>
  </si>
  <si>
    <t>1427863792235413507</t>
  </si>
  <si>
    <t>1427868456527953920</t>
  </si>
  <si>
    <t>1302380425801879554</t>
  </si>
  <si>
    <t>124828487</t>
  </si>
  <si>
    <t>33867955</t>
  </si>
  <si>
    <t>873366923983171584</t>
  </si>
  <si>
    <t>1304734791716147202</t>
  </si>
  <si>
    <t>1402797596331155465</t>
  </si>
  <si>
    <t>1149023471755833344</t>
  </si>
  <si>
    <t>1251657282162757637</t>
  </si>
  <si>
    <t>854042154611728387</t>
  </si>
  <si>
    <t>1199950016141504513</t>
  </si>
  <si>
    <t>1172610448451166208</t>
  </si>
  <si>
    <t>3077577842</t>
  </si>
  <si>
    <t>1216115695118888965</t>
  </si>
  <si>
    <t>218315118</t>
  </si>
  <si>
    <t>3288470632</t>
  </si>
  <si>
    <t>1415931405507440643</t>
  </si>
  <si>
    <t>1126907540305010688</t>
  </si>
  <si>
    <t>1026662551025840129</t>
  </si>
  <si>
    <t>1231104722947526657</t>
  </si>
  <si>
    <t>34051680</t>
  </si>
  <si>
    <t>1404424947330543620</t>
  </si>
  <si>
    <t>1364885521978302464</t>
  </si>
  <si>
    <t>1092857491325632512</t>
  </si>
  <si>
    <t>4221215859</t>
  </si>
  <si>
    <t>1393939299998044161</t>
  </si>
  <si>
    <t>14842285</t>
  </si>
  <si>
    <t>704822645473337344</t>
  </si>
  <si>
    <t>1295016108404113417</t>
  </si>
  <si>
    <t>57405072</t>
  </si>
  <si>
    <t>1192933854992117767</t>
  </si>
  <si>
    <t>1371118433962631174</t>
  </si>
  <si>
    <t>712678133086961665</t>
  </si>
  <si>
    <t>3066095291</t>
  </si>
  <si>
    <t>14159148</t>
  </si>
  <si>
    <t>47961740</t>
  </si>
  <si>
    <t>1147715268807995398</t>
  </si>
  <si>
    <t>2324619756</t>
  </si>
  <si>
    <t>1255199526631211009</t>
  </si>
  <si>
    <t>4084876925</t>
  </si>
  <si>
    <t>16982294</t>
  </si>
  <si>
    <t>2744518130</t>
  </si>
  <si>
    <t>972608916348645377</t>
  </si>
  <si>
    <t>45068583</t>
  </si>
  <si>
    <t>889857763077238784</t>
  </si>
  <si>
    <t>1228126532406857728</t>
  </si>
  <si>
    <t>2932020415</t>
  </si>
  <si>
    <t>1349606532669874179</t>
  </si>
  <si>
    <t>114323214</t>
  </si>
  <si>
    <t>1351208343776473090</t>
  </si>
  <si>
    <t>1196834423825731584</t>
  </si>
  <si>
    <t>1027694072880873472</t>
  </si>
  <si>
    <t>1220414361254141955</t>
  </si>
  <si>
    <t>4921122813</t>
  </si>
  <si>
    <t>169981146</t>
  </si>
  <si>
    <t>13769472</t>
  </si>
  <si>
    <t>1246647115381714945</t>
  </si>
  <si>
    <t>1192074431218233344</t>
  </si>
  <si>
    <t>1242840766927560704</t>
  </si>
  <si>
    <t>802108939995230216</t>
  </si>
  <si>
    <t>1400016132577402882</t>
  </si>
  <si>
    <t>14077382</t>
  </si>
  <si>
    <t>1949420935</t>
  </si>
  <si>
    <t>1386734706809581568</t>
  </si>
  <si>
    <t>20383368</t>
  </si>
  <si>
    <t>1002228114309730304</t>
  </si>
  <si>
    <t>1137885440768450561</t>
  </si>
  <si>
    <t>248890506</t>
  </si>
  <si>
    <t>19806939</t>
  </si>
  <si>
    <t>1395037652420866048</t>
  </si>
  <si>
    <t>4799185540</t>
  </si>
  <si>
    <t>1430210086379659264</t>
  </si>
  <si>
    <t>1001251931812220928</t>
  </si>
  <si>
    <t>1054726240723189760</t>
  </si>
  <si>
    <t>23063424</t>
  </si>
  <si>
    <t>744373173169299456</t>
  </si>
  <si>
    <t>1409557663617331202</t>
  </si>
  <si>
    <t>1238294440126676994</t>
  </si>
  <si>
    <t>14128609</t>
  </si>
  <si>
    <t>46248401</t>
  </si>
  <si>
    <t>59477935</t>
  </si>
  <si>
    <t>1441914855871565827</t>
  </si>
  <si>
    <t>1351334926461890561</t>
  </si>
  <si>
    <t>210621733</t>
  </si>
  <si>
    <t>2166818375</t>
  </si>
  <si>
    <t>3077935230</t>
  </si>
  <si>
    <t>133036414</t>
  </si>
  <si>
    <t>374090716</t>
  </si>
  <si>
    <t>1151075101573615616</t>
  </si>
  <si>
    <t>1287961630236696582</t>
  </si>
  <si>
    <t>118865071</t>
  </si>
  <si>
    <t>105173141</t>
  </si>
  <si>
    <t>77272609</t>
  </si>
  <si>
    <t>832322231082635264</t>
  </si>
  <si>
    <t>22756445</t>
  </si>
  <si>
    <t>697803976180436992</t>
  </si>
  <si>
    <t>2412324834</t>
  </si>
  <si>
    <t>4472872513</t>
  </si>
  <si>
    <t>738519948348280834</t>
  </si>
  <si>
    <t>2670726740</t>
  </si>
  <si>
    <t>35651851</t>
  </si>
  <si>
    <t>20558580</t>
  </si>
  <si>
    <t>22847210</t>
  </si>
  <si>
    <t>202740647</t>
  </si>
  <si>
    <t>1486060219</t>
  </si>
  <si>
    <t>399092326</t>
  </si>
  <si>
    <t>128520019</t>
  </si>
  <si>
    <t>1395777932484911107</t>
  </si>
  <si>
    <t>352250921</t>
  </si>
  <si>
    <t>1139339764707053568</t>
  </si>
  <si>
    <t>111145623</t>
  </si>
  <si>
    <t>152601193</t>
  </si>
  <si>
    <t>83741845</t>
  </si>
  <si>
    <t>736251259594940417</t>
  </si>
  <si>
    <t>591934908</t>
  </si>
  <si>
    <t>11998482</t>
  </si>
  <si>
    <t>2811462838</t>
  </si>
  <si>
    <t>405900747</t>
  </si>
  <si>
    <t>1433784665358454786</t>
  </si>
  <si>
    <t>180629262</t>
  </si>
  <si>
    <t>1973191910</t>
  </si>
  <si>
    <t>1298346611291181056</t>
  </si>
  <si>
    <t>72849180</t>
  </si>
  <si>
    <t>1426315020430987269</t>
  </si>
  <si>
    <t>58312254</t>
  </si>
  <si>
    <t>395011753</t>
  </si>
  <si>
    <t>79453663</t>
  </si>
  <si>
    <t>1297305174</t>
  </si>
  <si>
    <t>843239537748992000</t>
  </si>
  <si>
    <t>80447331</t>
  </si>
  <si>
    <t>42271371</t>
  </si>
  <si>
    <t>1182099722242273280</t>
  </si>
  <si>
    <t>2383668986</t>
  </si>
  <si>
    <t>1424151221800247296</t>
  </si>
  <si>
    <t>16782757</t>
  </si>
  <si>
    <t>1176299152428257280</t>
  </si>
  <si>
    <t>1622838614</t>
  </si>
  <si>
    <t>3854766575</t>
  </si>
  <si>
    <t>1124696802714898433</t>
  </si>
  <si>
    <t>1292238632716206091</t>
  </si>
  <si>
    <t>1100408021925023744</t>
  </si>
  <si>
    <t>324453347</t>
  </si>
  <si>
    <t>38324224</t>
  </si>
  <si>
    <t>8169392</t>
  </si>
  <si>
    <t>1320496644836700162</t>
  </si>
  <si>
    <t>989265071078625280</t>
  </si>
  <si>
    <t>287351302</t>
  </si>
  <si>
    <t>755164243339669505</t>
  </si>
  <si>
    <t>22735093</t>
  </si>
  <si>
    <t>1123373487962324992</t>
  </si>
  <si>
    <t>389787690</t>
  </si>
  <si>
    <t>721710775111389184</t>
  </si>
  <si>
    <t>3044797474</t>
  </si>
  <si>
    <t>349777897</t>
  </si>
  <si>
    <t>1139222753037508608</t>
  </si>
  <si>
    <t>2498241807</t>
  </si>
  <si>
    <t>1040699374316277762</t>
  </si>
  <si>
    <t>851568599047208960</t>
  </si>
  <si>
    <t>1247019452253843457</t>
  </si>
  <si>
    <t>1366753211009409026</t>
  </si>
  <si>
    <t>717485137638866945</t>
  </si>
  <si>
    <t>1206027263550115842</t>
  </si>
  <si>
    <t>164271643</t>
  </si>
  <si>
    <t>1583554081</t>
  </si>
  <si>
    <t>46459003</t>
  </si>
  <si>
    <t>1399466295817609221</t>
  </si>
  <si>
    <t>1037118152835047424</t>
  </si>
  <si>
    <t>918764831477518341</t>
  </si>
  <si>
    <t>1400173944712351747</t>
  </si>
  <si>
    <t>1070775404363988992</t>
  </si>
  <si>
    <t>1156581107686621185</t>
  </si>
  <si>
    <t>2817953792</t>
  </si>
  <si>
    <t>1204361035748171777</t>
  </si>
  <si>
    <t>97436269</t>
  </si>
  <si>
    <t>176618654</t>
  </si>
  <si>
    <t>72818858</t>
  </si>
  <si>
    <t>3091708529</t>
  </si>
  <si>
    <t>128774135</t>
  </si>
  <si>
    <t>1439971049035161600</t>
  </si>
  <si>
    <t>902956580</t>
  </si>
  <si>
    <t>1330604130184916994</t>
  </si>
  <si>
    <t>1210929352344387584</t>
  </si>
  <si>
    <t>239010657</t>
  </si>
  <si>
    <t>821475233005715458</t>
  </si>
  <si>
    <t>1442132339098742795</t>
  </si>
  <si>
    <t>2595534589</t>
  </si>
  <si>
    <t>26343090</t>
  </si>
  <si>
    <t>3007214188</t>
  </si>
  <si>
    <t>1185169981006368768</t>
  </si>
  <si>
    <t>821181843923996672</t>
  </si>
  <si>
    <t>1145065177974546432</t>
  </si>
  <si>
    <t>73893896</t>
  </si>
  <si>
    <t>1016528673380491264</t>
  </si>
  <si>
    <t>53157739</t>
  </si>
  <si>
    <t>65649421</t>
  </si>
  <si>
    <t>1166719569081327618</t>
  </si>
  <si>
    <t>309175130</t>
  </si>
  <si>
    <t>131716054</t>
  </si>
  <si>
    <t>127993834</t>
  </si>
  <si>
    <t>1101136222750167040</t>
  </si>
  <si>
    <t>3374984517</t>
  </si>
  <si>
    <t>1303465749420310529</t>
  </si>
  <si>
    <t>1424100198326931467</t>
  </si>
  <si>
    <t>1156924277704339456</t>
  </si>
  <si>
    <t>46403304</t>
  </si>
  <si>
    <t>39665711</t>
  </si>
  <si>
    <t>68782410</t>
  </si>
  <si>
    <t>1350240180691755009</t>
  </si>
  <si>
    <t>272699714</t>
  </si>
  <si>
    <t>30731506</t>
  </si>
  <si>
    <t>455929387</t>
  </si>
  <si>
    <t>1201697587906170880</t>
  </si>
  <si>
    <t>73530234</t>
  </si>
  <si>
    <t>3317618397</t>
  </si>
  <si>
    <t>868842544725209089</t>
  </si>
  <si>
    <t>1656441458</t>
  </si>
  <si>
    <t>253130170</t>
  </si>
  <si>
    <t>885296427374661632</t>
  </si>
  <si>
    <t>377986344</t>
  </si>
  <si>
    <t>750865082238767104</t>
  </si>
  <si>
    <t>2709232282</t>
  </si>
  <si>
    <t>75175351</t>
  </si>
  <si>
    <t>3540432617</t>
  </si>
  <si>
    <t>1058510955053809664</t>
  </si>
  <si>
    <t>3306901233</t>
  </si>
  <si>
    <t>899229629071994880</t>
  </si>
  <si>
    <t>1014850097308368898</t>
  </si>
  <si>
    <t>754778062433161233</t>
  </si>
  <si>
    <t>563258272</t>
  </si>
  <si>
    <t>1093821000561639424</t>
  </si>
  <si>
    <t>1016356881873424385</t>
  </si>
  <si>
    <t>27033166</t>
  </si>
  <si>
    <t>1229458397839396864</t>
  </si>
  <si>
    <t>1319862517724741632</t>
  </si>
  <si>
    <t>326799964</t>
  </si>
  <si>
    <t>110149101</t>
  </si>
  <si>
    <t>422311437</t>
  </si>
  <si>
    <t>1417175940598226947</t>
  </si>
  <si>
    <t>46556135</t>
  </si>
  <si>
    <t>1065397935104581632</t>
  </si>
  <si>
    <t>984813341146263553</t>
  </si>
  <si>
    <t>760557686</t>
  </si>
  <si>
    <t>96275086</t>
  </si>
  <si>
    <t>340461710</t>
  </si>
  <si>
    <t>867258444</t>
  </si>
  <si>
    <t>1909578013</t>
  </si>
  <si>
    <t>1541568944</t>
  </si>
  <si>
    <t>80724670</t>
  </si>
  <si>
    <t>3998018079</t>
  </si>
  <si>
    <t>1141840546744475649</t>
  </si>
  <si>
    <t>198992190</t>
  </si>
  <si>
    <t>124272417</t>
  </si>
  <si>
    <t>1057701362157477889</t>
  </si>
  <si>
    <t>69666161</t>
  </si>
  <si>
    <t>312298693</t>
  </si>
  <si>
    <t>913554287703347205</t>
  </si>
  <si>
    <t>1254144048593604612</t>
  </si>
  <si>
    <t>35853238</t>
  </si>
  <si>
    <t>1665563887</t>
  </si>
  <si>
    <t>192760696</t>
  </si>
  <si>
    <t>145684047</t>
  </si>
  <si>
    <t>1416930323682758659</t>
  </si>
  <si>
    <t>95253000</t>
  </si>
  <si>
    <t>825810204935782400</t>
  </si>
  <si>
    <t>1360017398154289154</t>
  </si>
  <si>
    <t>1380304948999651333</t>
  </si>
  <si>
    <t>101935558</t>
  </si>
  <si>
    <t>2741674619</t>
  </si>
  <si>
    <t>129030748</t>
  </si>
  <si>
    <t>1333188668455088130</t>
  </si>
  <si>
    <t>3153149182</t>
  </si>
  <si>
    <t>2458064395</t>
  </si>
  <si>
    <t>1012469182359842816</t>
  </si>
  <si>
    <t>106117550</t>
  </si>
  <si>
    <t>74638848</t>
  </si>
  <si>
    <t>889628930436730881</t>
  </si>
  <si>
    <t>1349446797148758028</t>
  </si>
  <si>
    <t>1263805122024484864</t>
  </si>
  <si>
    <t>933393694526500864</t>
  </si>
  <si>
    <t>16951979</t>
  </si>
  <si>
    <t>1068951554651287553</t>
  </si>
  <si>
    <t>873139116401209346</t>
  </si>
  <si>
    <t>3070303182</t>
  </si>
  <si>
    <t>388783155</t>
  </si>
  <si>
    <t>1386803882140094468</t>
  </si>
  <si>
    <t>760294382851555333</t>
  </si>
  <si>
    <t>116018620</t>
  </si>
  <si>
    <t>1109471668957786112</t>
  </si>
  <si>
    <t>36407568</t>
  </si>
  <si>
    <t>2847656313</t>
  </si>
  <si>
    <t>198282873</t>
  </si>
  <si>
    <t>974392735238119424</t>
  </si>
  <si>
    <t>121255676</t>
  </si>
  <si>
    <t>1202830784</t>
  </si>
  <si>
    <t>37178646</t>
  </si>
  <si>
    <t>1150475473350287361</t>
  </si>
  <si>
    <t>984822369477910533</t>
  </si>
  <si>
    <t>57495210</t>
  </si>
  <si>
    <t>1212737511241371654</t>
  </si>
  <si>
    <t>1442247569120186372</t>
  </si>
  <si>
    <t>2752331528</t>
  </si>
  <si>
    <t>1031561887828389888</t>
  </si>
  <si>
    <t>1326088583741120512</t>
  </si>
  <si>
    <t>940766397914910720</t>
  </si>
  <si>
    <t>314286788</t>
  </si>
  <si>
    <t>337308428</t>
  </si>
  <si>
    <t>1367601955196055557</t>
  </si>
  <si>
    <t>209589137</t>
  </si>
  <si>
    <t>1267367088403779584</t>
  </si>
  <si>
    <t>3173204877</t>
  </si>
  <si>
    <t>90531052</t>
  </si>
  <si>
    <t>62174825</t>
  </si>
  <si>
    <t>1266145391227133952</t>
  </si>
  <si>
    <t>1343398081098727424</t>
  </si>
  <si>
    <t>1373080623817048066</t>
  </si>
  <si>
    <t>1422972442398531585</t>
  </si>
  <si>
    <t>69706522</t>
  </si>
  <si>
    <t>369521249</t>
  </si>
  <si>
    <t>369028288</t>
  </si>
  <si>
    <t>2584184802</t>
  </si>
  <si>
    <t>139113712</t>
  </si>
  <si>
    <t>1058146114157842432</t>
  </si>
  <si>
    <t>1424527924569546755</t>
  </si>
  <si>
    <t>17454080</t>
  </si>
  <si>
    <t>1198612170310856706</t>
  </si>
  <si>
    <t>1198189183837376513</t>
  </si>
  <si>
    <t>1115249481602215937</t>
  </si>
  <si>
    <t>1376935928363630592</t>
  </si>
  <si>
    <t>11136302</t>
  </si>
  <si>
    <t>1240430285898108929</t>
  </si>
  <si>
    <t>3325338610</t>
  </si>
  <si>
    <t>832338648234356736</t>
  </si>
  <si>
    <t>62291119</t>
  </si>
  <si>
    <t>1053681848</t>
  </si>
  <si>
    <t>405123394</t>
  </si>
  <si>
    <t>3433164013</t>
  </si>
  <si>
    <t>225649635</t>
  </si>
  <si>
    <t>1288681806502465536</t>
  </si>
  <si>
    <t>82360247</t>
  </si>
  <si>
    <t>765376234083594240</t>
  </si>
  <si>
    <t>104556071</t>
  </si>
  <si>
    <t>55910443</t>
  </si>
  <si>
    <t>1207914082273153025</t>
  </si>
  <si>
    <t>1185520377738362880</t>
  </si>
  <si>
    <t>27660599</t>
  </si>
  <si>
    <t>49202319</t>
  </si>
  <si>
    <t>92979491</t>
  </si>
  <si>
    <t>115716741</t>
  </si>
  <si>
    <t>1408348290140286980</t>
  </si>
  <si>
    <t>572511136</t>
  </si>
  <si>
    <t>1427081472582709249</t>
  </si>
  <si>
    <t>26276346</t>
  </si>
  <si>
    <t>2288954713</t>
  </si>
  <si>
    <t>1185006297923641347</t>
  </si>
  <si>
    <t>73431264</t>
  </si>
  <si>
    <t>1083109629138292743</t>
  </si>
  <si>
    <t>2490738257</t>
  </si>
  <si>
    <t>1406709876370333702</t>
  </si>
  <si>
    <t>1025174702</t>
  </si>
  <si>
    <t>125625907</t>
  </si>
  <si>
    <t>2315756742</t>
  </si>
  <si>
    <t>1370768318634819584</t>
  </si>
  <si>
    <t>747863545686155265</t>
  </si>
  <si>
    <t>995774984</t>
  </si>
  <si>
    <t>3044716233</t>
  </si>
  <si>
    <t>1149088543140175872</t>
  </si>
  <si>
    <t>38572998</t>
  </si>
  <si>
    <t>11302782</t>
  </si>
  <si>
    <t>1475239706</t>
  </si>
  <si>
    <t>892844295018995712</t>
  </si>
  <si>
    <t>1272366588</t>
  </si>
  <si>
    <t>521503586</t>
  </si>
  <si>
    <t>153268173</t>
  </si>
  <si>
    <t>57417211</t>
  </si>
  <si>
    <t>787126046105755648</t>
  </si>
  <si>
    <t>42648104</t>
  </si>
  <si>
    <t>1398101071336202250</t>
  </si>
  <si>
    <t>68533741</t>
  </si>
  <si>
    <t>1088602443812925441</t>
  </si>
  <si>
    <t>93619760</t>
  </si>
  <si>
    <t>1044436079372382208</t>
  </si>
  <si>
    <t>1118267180792131586</t>
  </si>
  <si>
    <t>309286569</t>
  </si>
  <si>
    <t>1220741249117847552</t>
  </si>
  <si>
    <t>1251869359691227148</t>
  </si>
  <si>
    <t>18783599</t>
  </si>
  <si>
    <t>58062081</t>
  </si>
  <si>
    <t>206396925</t>
  </si>
  <si>
    <t>1400100177973854208</t>
  </si>
  <si>
    <t>1952597966</t>
  </si>
  <si>
    <t>2252422640</t>
  </si>
  <si>
    <t>1435241622430703619</t>
  </si>
  <si>
    <t>982013743155634181</t>
  </si>
  <si>
    <t>2958550972</t>
  </si>
  <si>
    <t>1396796604930211846</t>
  </si>
  <si>
    <t>59974085</t>
  </si>
  <si>
    <t>1028431718083174400</t>
  </si>
  <si>
    <t>1249035654887079937</t>
  </si>
  <si>
    <t>273929133</t>
  </si>
  <si>
    <t>870399800000348160</t>
  </si>
  <si>
    <t>963133133062275072</t>
  </si>
  <si>
    <t>210118514</t>
  </si>
  <si>
    <t>56814907</t>
  </si>
  <si>
    <t>1276480917998129155</t>
  </si>
  <si>
    <t>1020154622068043776</t>
  </si>
  <si>
    <t>3437124874</t>
  </si>
  <si>
    <t>39287697</t>
  </si>
  <si>
    <t>55406681</t>
  </si>
  <si>
    <t>16642874</t>
  </si>
  <si>
    <t>1153479181235294208</t>
  </si>
  <si>
    <t>1431667940068401157</t>
  </si>
  <si>
    <t>1177978588294995968</t>
  </si>
  <si>
    <t>591935354</t>
  </si>
  <si>
    <t>766712700240101376</t>
  </si>
  <si>
    <t>1103444400888311809</t>
  </si>
  <si>
    <t>728769842212392960</t>
  </si>
  <si>
    <t>1339624792257867777</t>
  </si>
  <si>
    <t>2947009271</t>
  </si>
  <si>
    <t>318146771</t>
  </si>
  <si>
    <t>1274093303466778628</t>
  </si>
  <si>
    <t>1000457428075466754</t>
  </si>
  <si>
    <t>1055865514520653825</t>
  </si>
  <si>
    <t>1254614240134148096</t>
  </si>
  <si>
    <t>68589486</t>
  </si>
  <si>
    <t>36447240</t>
  </si>
  <si>
    <t>34501642</t>
  </si>
  <si>
    <t>1307127796720971776</t>
  </si>
  <si>
    <t>36659756</t>
  </si>
  <si>
    <t>33979748</t>
  </si>
  <si>
    <t>1418372386970288128</t>
  </si>
  <si>
    <t>1242122089328492553</t>
  </si>
  <si>
    <t>910181970134564865</t>
  </si>
  <si>
    <t>1001851800104906752</t>
  </si>
  <si>
    <t>2783180441</t>
  </si>
  <si>
    <t>17561203</t>
  </si>
  <si>
    <t>220858759</t>
  </si>
  <si>
    <t>1330449759757275144</t>
  </si>
  <si>
    <t>806685479315849221</t>
  </si>
  <si>
    <t>1314840619378896896</t>
  </si>
  <si>
    <t>1100122385997545473</t>
  </si>
  <si>
    <t>609291869</t>
  </si>
  <si>
    <t>42625523</t>
  </si>
  <si>
    <t>15392221</t>
  </si>
  <si>
    <t>1337748923494985731</t>
  </si>
  <si>
    <t>1314587611315556354</t>
  </si>
  <si>
    <t>1216258832</t>
  </si>
  <si>
    <t>1258934002766934017</t>
  </si>
  <si>
    <t>1393036831030005760</t>
  </si>
  <si>
    <t>2848323925</t>
  </si>
  <si>
    <t>522701657</t>
  </si>
  <si>
    <t>1335204327208538116</t>
  </si>
  <si>
    <t>1382689603442868232</t>
  </si>
  <si>
    <t>1295379045056536576</t>
  </si>
  <si>
    <t>1410097093662810112</t>
  </si>
  <si>
    <t>1412290485859753984</t>
  </si>
  <si>
    <t>907545564</t>
  </si>
  <si>
    <t>1394761171169861637</t>
  </si>
  <si>
    <t>1438232009654956033</t>
  </si>
  <si>
    <t>616876348</t>
  </si>
  <si>
    <t>1266577387598180352</t>
  </si>
  <si>
    <t>308514909</t>
  </si>
  <si>
    <t>934119864901320707</t>
  </si>
  <si>
    <t>543252073</t>
  </si>
  <si>
    <t>239176634</t>
  </si>
  <si>
    <t>1346187858869014528</t>
  </si>
  <si>
    <t>1401486603466403842</t>
  </si>
  <si>
    <t>1354832758640533506</t>
  </si>
  <si>
    <t>733522466367102980</t>
  </si>
  <si>
    <t>1257671330285191168</t>
  </si>
  <si>
    <t>45523007</t>
  </si>
  <si>
    <t>1223508484907360257</t>
  </si>
  <si>
    <t>2945852570</t>
  </si>
  <si>
    <t>1437344171296112649</t>
  </si>
  <si>
    <t>1115671338654429184</t>
  </si>
  <si>
    <t>3467943495</t>
  </si>
  <si>
    <t>1571428436</t>
  </si>
  <si>
    <t>1013494732834639874</t>
  </si>
  <si>
    <t>912036270473347077</t>
  </si>
  <si>
    <t>21390674</t>
  </si>
  <si>
    <t>4822567361</t>
  </si>
  <si>
    <t>48767515</t>
  </si>
  <si>
    <t>1439566390231539717</t>
  </si>
  <si>
    <t>70033085</t>
  </si>
  <si>
    <t>1416875819536949254</t>
  </si>
  <si>
    <t>1369316678</t>
  </si>
  <si>
    <t>17884125</t>
  </si>
  <si>
    <t>61330854</t>
  </si>
  <si>
    <t>185401860</t>
  </si>
  <si>
    <t>22491905</t>
  </si>
  <si>
    <t>167520306</t>
  </si>
  <si>
    <t>2181482893</t>
  </si>
  <si>
    <t>1347532285566881795</t>
  </si>
  <si>
    <t>353381318</t>
  </si>
  <si>
    <t>721474105</t>
  </si>
  <si>
    <t>931496884320993280</t>
  </si>
  <si>
    <t>1434143492100345856</t>
  </si>
  <si>
    <t>1052254609425731585</t>
  </si>
  <si>
    <t>1375885667478159362</t>
  </si>
  <si>
    <t>1266689209923969025</t>
  </si>
  <si>
    <t>1268676655557619718</t>
  </si>
  <si>
    <t>1039632663018135553</t>
  </si>
  <si>
    <t>1246914613310033928</t>
  </si>
  <si>
    <t>1407132823480381441</t>
  </si>
  <si>
    <t>1437541139696037895</t>
  </si>
  <si>
    <t>1317838712777166848</t>
  </si>
  <si>
    <t>1263468409334968322</t>
  </si>
  <si>
    <t>1391254247564398597</t>
  </si>
  <si>
    <t>1286296161721044992</t>
  </si>
  <si>
    <t>1280805964656959488</t>
  </si>
  <si>
    <t>1428744687691567105</t>
  </si>
  <si>
    <t>1053702810762534913</t>
  </si>
  <si>
    <t>1091698102455529473</t>
  </si>
  <si>
    <t>1112215973933637633</t>
  </si>
  <si>
    <t>1113102590877696000</t>
  </si>
  <si>
    <t>1345921121258975233</t>
  </si>
  <si>
    <t>70210431</t>
  </si>
  <si>
    <t>187015620</t>
  </si>
  <si>
    <t>16974422</t>
  </si>
  <si>
    <t>1009084690333085696</t>
  </si>
  <si>
    <t>44734487</t>
  </si>
  <si>
    <t>62703362</t>
  </si>
  <si>
    <t>57776660</t>
  </si>
  <si>
    <t>65432991</t>
  </si>
  <si>
    <t>57763444</t>
  </si>
  <si>
    <t>607515866</t>
  </si>
  <si>
    <t>1333632885962665985</t>
  </si>
  <si>
    <t>3023122810</t>
  </si>
  <si>
    <t>107329307</t>
  </si>
  <si>
    <t>1193285024981880833</t>
  </si>
  <si>
    <t>824432233</t>
  </si>
  <si>
    <t>1437594511845302274</t>
  </si>
  <si>
    <t>1321172145926508549</t>
  </si>
  <si>
    <t>1425161995519676418</t>
  </si>
  <si>
    <t>1280829459696885762</t>
  </si>
  <si>
    <t>1591353031</t>
  </si>
  <si>
    <t>1307025012679794688</t>
  </si>
  <si>
    <t>1028017456856612864</t>
  </si>
  <si>
    <t>354095556</t>
  </si>
  <si>
    <t>1050174967298629633</t>
  </si>
  <si>
    <t>1353701511566561285</t>
  </si>
  <si>
    <t>229623448</t>
  </si>
  <si>
    <t>1048306604263845890</t>
  </si>
  <si>
    <t>1433410845921329152</t>
  </si>
  <si>
    <t>72852473</t>
  </si>
  <si>
    <t>706211041819099136</t>
  </si>
  <si>
    <t>85228830</t>
  </si>
  <si>
    <t>17231726</t>
  </si>
  <si>
    <t>1368860178720899075</t>
  </si>
  <si>
    <t>713074799942242305</t>
  </si>
  <si>
    <t>25673896</t>
  </si>
  <si>
    <t>1419511175016902664</t>
  </si>
  <si>
    <t>2884739723</t>
  </si>
  <si>
    <t>145758202</t>
  </si>
  <si>
    <t>1125153857963745280</t>
  </si>
  <si>
    <t>572843753</t>
  </si>
  <si>
    <t>91158662</t>
  </si>
  <si>
    <t>905884567260860416</t>
  </si>
  <si>
    <t>2931344637</t>
  </si>
  <si>
    <t>1084841563858092032</t>
  </si>
  <si>
    <t>856999084313505792</t>
  </si>
  <si>
    <t>915390632444743680</t>
  </si>
  <si>
    <t>712092295827492864</t>
  </si>
  <si>
    <t>2820893155</t>
  </si>
  <si>
    <t>1357357773030379520</t>
  </si>
  <si>
    <t>1417568321692655628</t>
  </si>
  <si>
    <t>110830583</t>
  </si>
  <si>
    <t>1268742887543656450</t>
  </si>
  <si>
    <t>1417242025544622088</t>
  </si>
  <si>
    <t>1035892272976617472</t>
  </si>
  <si>
    <t>889456343714865152</t>
  </si>
  <si>
    <t>1197148073950089217</t>
  </si>
  <si>
    <t>827092548858609665</t>
  </si>
  <si>
    <t>1269702340484923397</t>
  </si>
  <si>
    <t>71687791</t>
  </si>
  <si>
    <t>213417742</t>
  </si>
  <si>
    <t>1277673837224738817</t>
  </si>
  <si>
    <t>2268730459</t>
  </si>
  <si>
    <t>266849729</t>
  </si>
  <si>
    <t>92546272</t>
  </si>
  <si>
    <t>1419837452500586497</t>
  </si>
  <si>
    <t>972413358</t>
  </si>
  <si>
    <t>1175814303196356614</t>
  </si>
  <si>
    <t>1322297576788496386</t>
  </si>
  <si>
    <t>1230085678383476736</t>
  </si>
  <si>
    <t>1407135189034278918</t>
  </si>
  <si>
    <t>107314606</t>
  </si>
  <si>
    <t>1391417518238142466</t>
  </si>
  <si>
    <t>1416084926030622723</t>
  </si>
  <si>
    <t>1384890937311117312</t>
  </si>
  <si>
    <t>1399526872241913856</t>
  </si>
  <si>
    <t>1241759596760489984</t>
  </si>
  <si>
    <t>190494593</t>
  </si>
  <si>
    <t>1428476678725046278</t>
  </si>
  <si>
    <t>887512127241584641</t>
  </si>
  <si>
    <t>106585203</t>
  </si>
  <si>
    <t>964547541084921857</t>
  </si>
  <si>
    <t>1044756697074479104</t>
  </si>
  <si>
    <t>1417535380425900035</t>
  </si>
  <si>
    <t>982870131054227457</t>
  </si>
  <si>
    <t>887743587579944960</t>
  </si>
  <si>
    <t>3074097878</t>
  </si>
  <si>
    <t>240125098</t>
  </si>
  <si>
    <t>2992196176</t>
  </si>
  <si>
    <t>1364487715832520705</t>
  </si>
  <si>
    <t>715350344385990658</t>
  </si>
  <si>
    <t>“Se eu mudar uma pessoa, já mudei o mundo” "Não sabendo que era impossível, foi lá e fez" “Não importa onde estamos, nossa mente é nosso lar”</t>
  </si>
  <si>
    <t>Paulo Pimenta é jornalista, nascido em Santa Maria. Foi líder da Bancada do PT em 2018 e 2019. Foi o deputado federal mais votado do PT/RS em 2010/2014/2018.</t>
  </si>
  <si>
    <t>Instituto da @Fiocruz dedicado à história, ao patrimônio cultural e à divulgação das ciências e da saúde.</t>
  </si>
  <si>
    <t>web4</t>
  </si>
  <si>
    <t>Um movimento de consumidores contra o financiamento do discurso de ódio e das Fake News! ✊🏻 ✊🏼 ✊🏽 ✊🏾 ✊🏿</t>
  </si>
  <si>
    <t>Um jornal a serviço da democracia. No Insta: https://t.co/gJfvNuf8me. No Telegram: https://t.co/hAmN2lKJtS. Assine a Folha: https://t.co/0830jQJJ0g</t>
  </si>
  <si>
    <t>Deputada federal pelo Estado do Paraná e Presidenta nacional do Partido dos Trabalhadores (PT).</t>
  </si>
  <si>
    <t>Líder da oposição no Senado, eleito pela Rede Sustentabilidade do Amapá. Tem mestrado em políticas públicas, foi deputado estadual 2x.</t>
  </si>
  <si>
    <t>Capitão do Exército Brasileiro, eleito 38° Presidente da República Federativa do Brasil. 🇧🇷.</t>
  </si>
  <si>
    <t>🇧🇷</t>
  </si>
  <si>
    <t>A versão online do jornal O Estado de S. Paulo. Acompanhe também as atualizações pelo Facebook: https://t.co/lk7LrlF9vV</t>
  </si>
  <si>
    <t>Assista agora Diferença Mara</t>
  </si>
  <si>
    <t>Livre e de Bons Costumes 💖Pai de Menina 🎯Defesa PessoALL Mulheres e Crianças 🍀Projeto Social Kenpo Para Todos 🌹AMORC 💼#SolomonMultiBenefícios✨</t>
  </si>
  <si>
    <t>Biologist, studying life in subterranean ecosystems. Prof. @FC_UL @ULisboa_ @cE3cResearch @ReboleiraLab. Research Associate @NHM_Denmark @koebenhavns_uni.</t>
  </si>
  <si>
    <t>Vem fazer parte da nossa História construindo o teu Futuro! | Faculdade de Ciências da Universidade de Lisboa.</t>
  </si>
  <si>
    <t>We focus on the study of life in subterranean ecosystems and its relation with the surface. @CE3CResearch @FC_UL</t>
  </si>
  <si>
    <t>Tropical and Mediterranean Biodiversity Research Group @CE3CResearch</t>
  </si>
  <si>
    <t>selling, trading account 🇲🇾</t>
  </si>
  <si>
    <t>Conservador, carnívoro, hetero, patriota. Dane-se o politicamente correto, a esquerda e os comunistas de plantão.</t>
  </si>
  <si>
    <t>Onde o Sporting é notícia - #AgendaLeonino #AnáliseLeonino #SondagensLeonino #ExclusivoLeonino #ExplicadorLeonino #OpiniãoLeonino #CartoonLeonino #OLeãoPodeCast</t>
  </si>
  <si>
    <t>🇵🇹🇧🇷 Perfil oficial da Juventus em português. 🇮🇹@juventusfc, 🇬🇧@juventusfcen, 🇪🇸@juventusfces, 🇮🇩@juventusfcid, ♀@JuventusFCWomen</t>
  </si>
  <si>
    <t>PRIMERO PAULA DYBALA Y DESPUÉS TAMBIÉN😍SHIPEANDO DYBATINI😍CONOCI A PAULO 18/11/18 MG 11/09/20 20/11/20 MG ORIANA 7/12/19 ME MENCIONO 7/01/20 10/02/20 17/03/20</t>
  </si>
  <si>
    <t>🇰🇷🇲🇾 ETA 2~4 WEEKS, NO RUSH POSTAGE
🚛 LOCAL POSTAGE: EVERY SAT
📩REQUEST/ORDER VIA DM
👉#kmerchssstockupdates #kmerchsssarrival #kmerchsssfeedback</t>
  </si>
  <si>
    <t>Confesso que às vezes me pergunto: Ah... Por quê? Por que eu não tomei a pílula azul?</t>
  </si>
  <si>
    <t>idiota no país dos espertos</t>
  </si>
  <si>
    <t>#linobungafeedback #linobungaupdate</t>
  </si>
  <si>
    <t>Amo pessoas boas,honestas.Amo os animais.Detesto politico safado. SIMPLES ASSIM.</t>
  </si>
  <si>
    <t>🇧🇷Militar⚓PMC Armamentista🙏QUIS SICUT DOMINUS🙏
 o néctar d vitória deve ser saboreado em cálice de sacrifício🇧🇷Fortune audaces sequitur #ArmasSalvaVidas</t>
  </si>
  <si>
    <t>Jornalista | Coord. de comunicação do @internetlabbr | Antes, @Laut_br e #Revoar | Ex-@agmural | Graduanda em Letras pela USP. Por aqui, opiniões pessoais.</t>
  </si>
  <si>
    <t>Centro independente de pesquisa focado em internet e direitos humanos.</t>
  </si>
  <si>
    <t>Historiadora, doutoranda em história das ciências e da saúde . PPGHCS/ FIOCRUZ</t>
  </si>
  <si>
    <t>19 | 8 or none
#skzanddstayfeedback</t>
  </si>
  <si>
    <t>talk to me nicely</t>
  </si>
  <si>
    <t>Jornalista. El Pais | Fellow @ShuttleworthFdn Ex-Contributing Editor @TheInterceptBR  📬 16022 CEP: 2222171
📨contato@ceciliaolliveira.com</t>
  </si>
  <si>
    <t>Organize the World’s Learning resources in one place. List, write, register, promote your Design, Technology, and Innovation event, article, course, and more.</t>
  </si>
  <si>
    <t>filosofia e criatividade | philosophy and creativity 
#FilosofiaAoVivo 
#filocri 
#ChatP4C team member
🙋🏽 @joanarssousa MSc in #p4c</t>
  </si>
  <si>
    <t>Pós-doc @nevusp, pesquisadora @decisoiesp, doutora @uerj_iesp, former visiting student @unipisa. Profissões jurídicas, anticorrupção no Brasil e Itália.</t>
  </si>
  <si>
    <t>💛💚 APOIO no Presidente até 2026💚💚💚💚</t>
  </si>
  <si>
    <t>Progressista que sonha com Projeto Nacional de Desenvolvimento</t>
  </si>
  <si>
    <t>Doutorando em RI, Mestre em Economia Política Internacional e Boêmio nas horas vagas.
RJ
PhD Student in IR at @irelunb.
Instagram: 505vini
Ele/Dele</t>
  </si>
  <si>
    <t>Assine nossas newsletters: https://t.co/mbfuWOnkaW
Siga a gente no Instagram: https://t.co/7A96TSSm5K
Siga a gente no Telegram:  https://t.co/nemAfuoGXR</t>
  </si>
  <si>
    <t>Perfil gerenciado pela Gerência de Comunicação do Instituto de Filosofia e Ciências Humanas (IFCH UFRGS) comunicacao_ifch@ufrgs.br | - https://t.co/HwdtzQDl4E</t>
  </si>
  <si>
    <t>Consciente e experiente, suficiente para conhecer um rengo sentado e um cego dormindo</t>
  </si>
  <si>
    <t>Cristão🇧🇷🇮🇱   Conservador.🇧🇷🇮🇱Armamentista 🇧🇷🇮🇱 Servo de Deus.🏁PÁTRIA &amp; FAMILIA🇧🇷🇧🇷🇧🇷🇧🇷🇧🇷🇧🇷🇧🇷</t>
  </si>
  <si>
    <t>Sou Bolsonariana, Anti petista , AntiComunista, Cristã,Baiana de Nascimento mais Mineira de coração “Eu Tenho Medos Bobos,e Coragem Absurdas”Clarice Lispector</t>
  </si>
  <si>
    <t>Vinícius Sanches Pinho, 22, humanista em valores políticos. Opino, desabafo e falo mal da vida nesse microblog.</t>
  </si>
  <si>
    <t>Cristão Protestante 🙏 Ativista Conservador Aprendendo a viver aos modos de Deus 🕵️📚 Yeshua 🔥</t>
  </si>
  <si>
    <t>Gosto de gatos e de chutar petistas. Esquerda Jamais!!!</t>
  </si>
  <si>
    <t>Cristão, brasileiro totalmente contra o comunismo e a corrupção. Lugar de bandido é na cadeia.</t>
  </si>
  <si>
    <t>mestranda na @usponline, pesquisadora no @internetlabbr &amp; parte do @minasprogramam | em algum lugar entre discussões de gênero, tec, mídia e ciência política</t>
  </si>
  <si>
    <t>°ᴏʟᴅ ꜱᴛᴀɴ - ᴍᴜʟᴛɪꜰᴀɴᴅᴏᴍ - ᴋʜʜ ꜱᴛᴀɴ.
ꜱᴏᴜ ᴛᴜᴅᴏ Qᴜᴇ ᴋᴘᴏᴘᴘᴇʀ ᴏᴅᴇɪᴀ.
ɪɴᴄʟᴜꜱɪᴠᴇ ꜱᴏᴜ ✨ꜱᴇᴜɴɢʀᴇᴛᴇ✨</t>
  </si>
  <si>
    <t>🇧🇷🇧🇷🇧🇷🇧🇷🇧🇷🇧🇷🇧🇷🇧🇷 Defendendo o Mito em modo turbo !!!!SDV</t>
  </si>
  <si>
    <t>😉100% conservador/Bolsonarista e sobrevivente ao vírus chinês
15 dias de internação (9 dias de  UTI)</t>
  </si>
  <si>
    <t>Prescrição É crime porque a vítima não prescreve!!
Voto impresso e auditável É a garantia de DEMOCRACIA!!</t>
  </si>
  <si>
    <t>Autodeclarado Bolsonarista. 
Radio Web Sertanejo: https://t.co/Fnj779W1Mr</t>
  </si>
  <si>
    <t>Avô do Benício e da Valentina, militar da reserva, feliz, estou com Bolsonaro, amo meu país, esquerdistas não são bem vindos!!!
#PL2630NÃO</t>
  </si>
  <si>
    <t>Brasil acima de tudo, Deus acima de todos</t>
  </si>
  <si>
    <t>Jornalista da revista VISÃO / Press addict / Planing to share good reads</t>
  </si>
  <si>
    <t>Pijit fullbody /
Makassar /
Dm</t>
  </si>
  <si>
    <t>INDONESIA MAJU TANPA PENCUCIAN UANG|INDEPENDENT|TIDAK MEWAKILI LEMBAGA PEMERINTAH|HANYA CINTA INDONESIA &amp; BENCI TPPU-PT</t>
  </si>
  <si>
    <t>Kdrama Lovers since AD #iksong 😜||
#NFT veggies and photo collector
part of gaw hunter nation #KingFamily #tigergang #LiTNation #iamcryptoning</t>
  </si>
  <si>
    <t>Sedang mencari rezeki ☘️ hanya seorang ibu rumah tangga ❤️ #AP8testi
#SobatGarangan #ShillCrewLegit</t>
  </si>
  <si>
    <t>Yaa Syafiiq Yaa Syafiiq
Idzhab 'Anniy Ad dhiyq
Wala Tuhammillniy maala uthyiiq
Fainnaka biiy Rofiyq</t>
  </si>
  <si>
    <t>❤NKRI
black coffee lover, a housewife
#LaskarBerbagiKasih #DJ_WINNERS  #GyroCryptoGives #KimiiWins #yadazai
#iamCryptonning</t>
  </si>
  <si>
    <t>Worry about character, not ur reputation.ur character is who you are.ur reputation is who pple think you are🖤
👦👧❤️
#GAHunter  #NotiGank #SunsetFreak🌅</t>
  </si>
  <si>
    <t>#PejuangMentalHealth
#PejuangRindu
#Introvert
#unclewintesti</t>
  </si>
  <si>
    <t>UGM²²</t>
  </si>
  <si>
    <t>#HunterGA #AP8Testi
#SobatGarangan
#cutetesty #iamcryptonning</t>
  </si>
  <si>
    <t>Aktif tiap hari kecuali hari kiamat</t>
  </si>
  <si>
    <t>Tudo posso naquele que me fortalece! Esquerdista de fé, profissional administrativo da área de saúde privada.</t>
  </si>
  <si>
    <t>Hidup hanya sekali. Berusaha agar dapat bermanfaat bagi orang lain.</t>
  </si>
  <si>
    <t>Caboco | Capoeira | Ph.D. in Computer Science @nyutandon | He, him, his, ele, dele</t>
  </si>
  <si>
    <t>Always bismillah😄
Pecandu kopi tanpa gula</t>
  </si>
  <si>
    <t>Berusaha utk ber Manfaat bagi org Banyak</t>
  </si>
  <si>
    <t>stay cool</t>
  </si>
  <si>
    <t>daqui pra frente é só pra trás || 🏳️‍🌈</t>
  </si>
  <si>
    <t>#Cehlos #PickNavaLegit #ShillCrewLegit #LaskarBerbagiKasih #AMLTF ♡♡ 
#IndonesiaTangguh</t>
  </si>
  <si>
    <t>Penikmat kopi item ☕
#sofialegit #natgang #CKlegit #cutetesty #MasterProofs #tigergang #CBLove
#LegitLadyCryptoGem</t>
  </si>
  <si>
    <t>Bagimu Negeri, Jiwa Raga Kami</t>
  </si>
  <si>
    <t>meski gw bajingan setidaknya gw bukan penjahat perang 
#GerakanMERAHPUTIH🇮🇩❤️🇮🇩
mancing adalah jalan ninjaku 🎣🎣</t>
  </si>
  <si>
    <t>@VeraCariocaBr</t>
  </si>
  <si>
    <t>Direita</t>
  </si>
  <si>
    <t>Administrador, Católico, Casado, Conservador . Apoiador de Jair Messias. Brasil acima de tudo, DEUS acima de todos!</t>
  </si>
  <si>
    <t>Apaixonada por gatos e Motos! Resumo! passo o tempo escrevendo 
Não sou uma pessoa que chama a atenção, só busco fazer o que é certo!!</t>
  </si>
  <si>
    <t>Luta diária com o xis tudão continua.</t>
  </si>
  <si>
    <t>"Examinai tudo !, mas retende o bem !"</t>
  </si>
  <si>
    <t>Suka makan, suka tidur, suka kaMU | Manchester United #GGMU | IG: hidetanti | Persib Nu Aing. Aing Nu Saha??</t>
  </si>
  <si>
    <t>produtor de experiências rurais. não gosta de gado político, só leiteiro 🐮</t>
  </si>
  <si>
    <t>slowing down. have a good day 🤍 #sanflwrfeedback of my sold items</t>
  </si>
  <si>
    <t>21 y/o 🐲
CARAT💎
ATINY⚓
🇲🇾🇵🇸🇰🇷</t>
  </si>
  <si>
    <t>exo,svt, sf9 and ateez enthusiast</t>
  </si>
  <si>
    <t>#에이티즈 : hard work won't betray you | *°« in love with 8 pirates and 9 aliens »°* | •stan acc•</t>
  </si>
  <si>
    <t>Choi San 💕 | #noonasellproof</t>
  </si>
  <si>
    <t>Bahagia itu penting.</t>
  </si>
  <si>
    <t>Hallo</t>
  </si>
  <si>
    <t>#LaskarBerbagiKasih
#LBKINDONESIA
G-map Warung D'JABBAR
Lihat Warung D'JABBAR di Google!
https://t.co/Gg7X7doN6I…</t>
  </si>
  <si>
    <t>philosopher &amp; digital strategist
🎢 #twitterchatpt founder &amp; host 
💁🏽 #twittersmarter team member 
📱live tweeter #joanadotwitter #filadafrente
💬 #filocri</t>
  </si>
  <si>
    <t>OU FICAR A PÁTRIA LIVRE, OU MORRER PELO BRASIL🇧🇷🇧🇷🇧🇷🇧🇷🇧🇷🇧🇷.  BOLSONARO É UM ENVIADO DE DEUS. Não respondo DM.</t>
  </si>
  <si>
    <t>Somos um site que fala sobre música; com críticas, agenda, playlists, reportagens. Culminamos com as festas Altamont.</t>
  </si>
  <si>
    <t>cool girl 😎</t>
  </si>
  <si>
    <t>removemos angústias acadêmicas 👩🏽‍💻 https://t.co/LIK2rWdqkx</t>
  </si>
  <si>
    <t>Vovó do Zap, católica, de direita e altamente anti pt e anti comunista</t>
  </si>
  <si>
    <t>Assessor Especial do Presidente Jair Bolsonaro</t>
  </si>
  <si>
    <t>Servidora federal concursada, jornalista (Comunicação UFRJ), mestre em Sociologia (UnB), assessora de comunicação. Acredito muito no novo Brasil. 🇧🇷👉🏼👉🏼</t>
  </si>
  <si>
    <t>gosto de música ,teatro e cinema..._x000D_
especializado em ARTES GRÁFICAS, praticante de MUAY THAI,.Pai de Stephanie Regina.. sou defensor do Socialismo</t>
  </si>
  <si>
    <t>Dê-me a visão além do alcance.</t>
  </si>
  <si>
    <t>Buatmu anakku tercinta 6⃣5⃣🎹
Seorang ibu &amp; istri.
Otaku.😁
Hunter GA,Freelance apa aja,
99% follback.asal bukan account Hatespeech/porno/scam.</t>
  </si>
  <si>
    <t>CoRadavirus, Preto, Baiano, Engenheiro, Físico, Adolesênior e Putodavida com Ganância e filhadaputice‼️😡
Essas "listas" SDV caíram em minha suspeição. TÔ FORA!</t>
  </si>
  <si>
    <t>🇮🇩 Balas dendam terbaik adalah dengan memperbaiki akhlaq sendiri.</t>
  </si>
  <si>
    <t>Jadi lah orang baik dan benar di jalan_NYA
|| Ig: @sukmariana_sari || 
|| no body's perfect || 
|| Sabar tak ada batasnya ||</t>
  </si>
  <si>
    <t>🇲🇨 LASKAR BERBAGI KASIH 🇲🇨
KITA_AMLTF-ANTI TPPU-PT
*Tetap Selalu Bersyukur Meski Hanya Seorang Pendosa* #6️⃣5️⃣🎹</t>
  </si>
  <si>
    <t>Esta é uma rede formada por pesquisadorxs de temas relativos à Governança da Internet. Desde 2017, temos encontros anuais e publicação dos Anais da Rede. Acesse</t>
  </si>
  <si>
    <t>Professor da Faculdade de Economia da Universidade Federal da Bahia (UFBA) - Professor of Economics , Institute of Economics (UFBA)</t>
  </si>
  <si>
    <t>He/him. Lecturer at @ihac_ufba. Postdoc at @rosaluxstiftung and ICDD-Kassel. IR Theory, Global Political Economy, Historical Sociology. RPGs and Flamengo.</t>
  </si>
  <si>
    <t>Professor Departamento de Filosofia - UFBA "nenhum minuto sem Bolsonaro será tarde demais" Ruy Castro.</t>
  </si>
  <si>
    <t>Escrevo/traduzo/edito.
Historiadora que já foi cronista e vice-versa. Agenciada @increasycl.
D/Ela, cishet. Doutoranda em História Moderna UFF</t>
  </si>
  <si>
    <t>Professor do IFMA,  Doutor em Desenvolvimento Regional. Um eterno estudante, aprendendo sempre. Vasco!</t>
  </si>
  <si>
    <t>declarações meramente ilustrativas
Ela/She</t>
  </si>
  <si>
    <t>🇻🇦 Católico, 🐍🥑🍎 ancap raiz, 
₿ 📈 Bitcoin maximalista, 😎👉👉 anarcobolsonarista, ⚔️🛡️ kogosiano, 🔫 armamentista, 🧬 vida, 🗽 propriedade e 🕊️🤝 paz.</t>
  </si>
  <si>
    <t>A place for a more professional discourse. Fewer memes and internet garbage.•••prenatal genetic counselor, she/her</t>
  </si>
  <si>
    <t>American College of Medical Genetics and Genomics (ACMG): Translating Genes into Health® @GIMJournal #ACMGMtg22 #ACMGFoundation Site Use https://t.co/9QchBLtCEG</t>
  </si>
  <si>
    <t>Father, husband, GP, POCUS-, FOAMed-lover and user</t>
  </si>
  <si>
    <t>Ativo</t>
  </si>
  <si>
    <t>O que está acontecendo no 🇧🇷 e no 🌎 agora. Notícias sobre economia, política, TV, entretenimento e +</t>
  </si>
  <si>
    <t>pokas ideias, poucos amigos - apreciador de boas iguarias ❄️</t>
  </si>
  <si>
    <t>in God we trust - tdm x tda ㊙️</t>
  </si>
  <si>
    <t>Amo minha Família  e o SantosFC</t>
  </si>
  <si>
    <t>Twitter Oficial do Santos Futebol Clube
• https://t.co/0WwANTkO4z 
• https://t.co/b5K6gX9O2t 
• https://t.co/3Eza3qxfzo</t>
  </si>
  <si>
    <t>Construir e ter prazer em jogar futebol. O que se treina é o que se joga. O time que cria mais e oferece menos chances é o time que está mais perto de ganhar.</t>
  </si>
  <si>
    <t>Advocacia criminal, Direitos Humanos e outras coisas. Odiamos ancap e a familícia</t>
  </si>
  <si>
    <t>Uma mistura de produto, tech, política. Por vezes música, cinema e vinhos. Fundamentalmente tweets avulsos.</t>
  </si>
  <si>
    <t>Fundação vinculada ao MEC, atua no âmbito da pós-graduação stricto sensu (mestrado e doutorado) e na formação e valorização de professores da Educação Básica.</t>
  </si>
  <si>
    <t>muita cachaça e pouca oração os problemas do brasil são - Papanaima</t>
  </si>
  <si>
    <t>embaixadora do twitter</t>
  </si>
  <si>
    <t>Eu sei que sou chata e me orgulho muito disso!</t>
  </si>
  <si>
    <t>👉 é só seguir que eu sigo de volta 👈
👊🤜🤛👍</t>
  </si>
  <si>
    <t>sim, eu já escutei essa piada/cantada antes</t>
  </si>
  <si>
    <t>Anticomunista, bolsonarista, defensor da liberdade e acreditando num Brasil melhor. 🇧🇷</t>
  </si>
  <si>
    <t>Sou Bolsonaro,mito enviado por Deus,minha conta era de 2017,@lelesfialho,não sou sdv,para todos,somente àqueles q já conheço nesta luta em prol do governo.Grata</t>
  </si>
  <si>
    <t>Amor a vida e aos meus amores, mãe ,avó ,liberdade ,justiça e princípios Jeová acima de tudo.</t>
  </si>
  <si>
    <t>🇧🇷Brasil acima de tudo,
Deus acima de Todos!🇧🇷</t>
  </si>
  <si>
    <t>Que a Santa Cruz seja minha luz.
Que o dragão nunca seja meu guia.
Vá embora Satanás.Nunca me tente com suas vaidades.
O que você me oferece é mau. 
DEUS VULT</t>
  </si>
  <si>
    <t>Mãe e Professora
Perfeito é Cristo ✝️ 
Perfil POLÍTICO: JB 🇧🇷
Não suporto desonestidade intelectual.
Avatar: Rita Hayworth
Perfis s/ posts DM 🔑🚫</t>
  </si>
  <si>
    <t>Anticomunista, conservador, patriota, hetero, cristão e democrata.</t>
  </si>
  <si>
    <t>#Bolsonaroate2026</t>
  </si>
  <si>
    <t>#DireitaUnida</t>
  </si>
  <si>
    <t>“Nunca foi tão difícil ser cruzeirense, mas também nunca foi tão importante ser cruzeirense.” (frase do Pig e Ikis). Empresário, cruzeirense e em dieta.</t>
  </si>
  <si>
    <t>理学療法士(PT)/回復期リハビリテーション病院勤務./悩んで，学んで，そして疑問を持ち，対話をし，解決へ進む./Reha_on_demandにてコラムを執筆しています./Life isn’t worth living, unless it is lived for someone else./</t>
  </si>
  <si>
    <t>Eu não me importo com o que os outros pensam sobre o que eu faço, mas eu me importo muito com o q eu penso sobre o que eu faço. Isso é caráter. BolsolulaCiroOUT</t>
  </si>
  <si>
    <t>CONTA RESERVA ➡ @silviajjrj ! FAMÍLIA É TUDO ESQUERDA É NADA! LULA NO INFERNO! NÃO DEFENDO POLÍTICO NENHUM!!! TUDO É FILHO DE KENGA, SAFADOS E MENTIROSOS!</t>
  </si>
  <si>
    <t>Casada, mãe, patriota🇧🇷🇧🇷🇧🇷 Bolsonarista #direita</t>
  </si>
  <si>
    <t>Msc em Educação Matemática, Esp: Informática, Matemática e Gestão. Prof. Rede Estadual, Municipal e UniFacol.</t>
  </si>
  <si>
    <t>se veio aqui pra ver conteúdo político vai passar fome, aqui reina o caos, a desordem, a insalubridade e a bissexualidade/ qualquer pronome</t>
  </si>
  <si>
    <t>Viaja con nosotros a los mejores precios, con las mejores medidas de bioseguridad. Reserva ahora: https://t.co/zTxfqJoct6</t>
  </si>
  <si>
    <t>Diputado Federal del distrito 04 Ensenada B.C por el Partido del Trabajo de la LXIV legislatura del congreso de la unión.</t>
  </si>
  <si>
    <t>Periodista nacido regio. Conductor de @telediario Noche. Conductor en #HeraldoRadio. Autor de la columna #AccesoLibre en @heraldodemexico. Opiniones propias.</t>
  </si>
  <si>
    <t>punya usaha modal keringet sendiri. seorang Ayah yg sayang sama anak2nya banget</t>
  </si>
  <si>
    <t>Menteri Koordinator Bidang Perekonomian RI periode 2019-2024                                                               Ketua Umum DPP Partai Golkar</t>
  </si>
  <si>
    <t>The official Twitter Account of Coordinating Ministry for Maritime and Investment Affairs https://t.co/wKStCE3HPa</t>
  </si>
  <si>
    <t>"If I didn't define myself for myself, I would be crunched into other people's fantasies for me and eaten alive." - Audre Lorde</t>
  </si>
  <si>
    <t>Produtos de Estética e Cabeleireiro.</t>
  </si>
  <si>
    <t>☁️▪︎°♡°• stick to #방탄 #스키즈 #ㅌXㅌ #갓7 •°♡°•☁️</t>
  </si>
  <si>
    <t>"Sou um guardador de rebanhos. 
O rebanho é os meus pensamentos
E os meus pensamentos são todos sensações."
#AlbertoCaeiro</t>
  </si>
  <si>
    <t>A Gestão de Pessoas em revista!</t>
  </si>
  <si>
    <t>O Mundo Agora</t>
  </si>
  <si>
    <t>#gojekdriver
#anytime_x000D_
#anywhere_x000D_
#anyplace
#GGMU
#kecebong
#WongNdeso
#JokowiLagi
#NKRIHargaMati
🇮🇩🇮🇩</t>
  </si>
  <si>
    <t>To say that you can kill in the name of God is blasphemy
~Pope Francis~ | Akun ke-2
 https://t.co/dPJZFdNulX</t>
  </si>
  <si>
    <t>A Grande Referência Diária</t>
  </si>
  <si>
    <t>لَا حَوْلَ وَلَا قُوَّةَ إِلَّا بِاللَّهِ الْعَلِيِّ الْعَظِيمِ 
 Tidak ada daya dan upaya kecuali
 dengan pertolongan Allah yang Maha Tinggi lagi Maha Agung.</t>
  </si>
  <si>
    <t>I just Love my Serbian Queen, My Tatjana Popovic!!!!!!!!!!
R.I.P.
Im so sorry!</t>
  </si>
  <si>
    <t>O como e o porquê das notícias de #últimahora, a análise e a #opinião que interessa. Siga #portugal e o mundo com a #SICNoticias</t>
  </si>
  <si>
    <t>Menepi untuk sepi
https://t.co/thFtu6xx1y</t>
  </si>
  <si>
    <t>“Believe you can and you’re halfway there.”</t>
  </si>
  <si>
    <t>Notícias e opinião de Portugal e do Mundo. | https://t.co/H6GEtq8J7D | https://t.co/luj0Va9w3H | @ipsilononline | @publico_impar | @fugaspublico | @publicop3</t>
  </si>
  <si>
    <t>A salvação é esta: que adquiram conhecimento...</t>
  </si>
  <si>
    <t>aguinaldo silva, novelista de televisão,  ganhador de dois prêmios Emmy, jornalista vencedor do I Prêmio Abril de Jornalismo,autor de romances e peças de teatro</t>
  </si>
  <si>
    <t>Patriota e conservador com um pouco mais que dois neurônios.</t>
  </si>
  <si>
    <t>alguém não tão interessante</t>
  </si>
  <si>
    <t>agenciamento: contato@zecavitorino.com.br     Do rio que tudo arrasta, diz-se que é violento.Mas ninguém chama violentas as margens que o comprimem. (Brecht)</t>
  </si>
  <si>
    <t>Um dos mais antigos sites de política do Brasil, fundado em 2005, o Blog da Cidadania é editado por Eduardo Guimarães</t>
  </si>
  <si>
    <t>Cientista Social-Políticas Públicas#CitizenoftheWorld🌎🌍 na dúvida, vire à esquerda. 💃🏽🚩🏴
#EsquerdistasSeguemEsquerdistas</t>
  </si>
  <si>
    <t>Forum Mitra Kerja Blitar Raya
📌 Jln. Imam Bonjol II No. 2 Sananwetan 
       Kota Blitar - INDONESIA
IG : fmkbr20  🍎 Twit : @fmkbr1 
email : fmkbr20@gmail.com</t>
  </si>
  <si>
    <t>A par com o mundo</t>
  </si>
  <si>
    <t>Just a potato</t>
  </si>
  <si>
    <t>Um plano de saúde financeira que oferece aos colaboradores mais organização, controle e economia sobre seu salário.</t>
  </si>
  <si>
    <t>Associate Professor at @UTFPR_Curitiba. Elixir enthusiast.  Podcaster at @fronteirases, @elixiremfoco, @emilias_utfpr and https://t.co/nbuREvi0Qw.
He/him.</t>
  </si>
  <si>
    <t>NKRI ✊♥️🇮🇩🇮🇩🇮🇩
https://t.co/zFLUrqduir</t>
  </si>
  <si>
    <t>Laid back smooth operator</t>
  </si>
  <si>
    <t>BRASILLivre Aposentada Professor/pesquisador Univer.Est.Londrina.Terra do https://t.co/Y1XSi9lxvaúcha de S Maria RS.Ass.dos Diplomados da Escola Superior de Guerra</t>
  </si>
  <si>
    <t>fidelidade</t>
  </si>
  <si>
    <t>Programmer FullStack Pleno, .NetCore
👨‍💻</t>
  </si>
  <si>
    <t>Acompanhe as últimas notícias de política, economia, cotidiano, internacional, saúde, ciência, ambiente, educação e outras áreas</t>
  </si>
  <si>
    <t>Perfil oficial da Polícia Federal</t>
  </si>
  <si>
    <t>Seja bem-vindo ao perfil oficial do Ministério da Justiça e Segurança Pública no twitter.
Telegram: https://t.co/UKn8LvZHaE</t>
  </si>
  <si>
    <t>🇧🇷 FOD do GDO 🇧🇷 ROBÔ É A MÃE, TALKEY! 🇧🇷
Corretor de seguros, patriota apaixonado pelo Brasil.
Antes a porrada da verdade que a carícia da mentira</t>
  </si>
  <si>
    <t>BRASILEIRO, CEARENSE, FORTALEZENSE, CRISTÃO, TORCEDOR DO CEARÁ.
- VENDAS DE ASSADOS NA BRASA EM FORTALEZA, CEARÁ, BRASIL.</t>
  </si>
  <si>
    <t>Tecnologia Educacional &amp; Educação a Distância</t>
  </si>
  <si>
    <t>EdTech</t>
  </si>
  <si>
    <t>Imagina o teu Futuro!
Universidade Lusófona de Humanidades e Tecnologias
Whatsapp: +351 963 640 100</t>
  </si>
  <si>
    <t>Como foi por mais de dois séculos, o progresso vai vir com ajustes e recomeços. Nem sempre é uma linha reta, nem sempre é um caminho fácil.</t>
  </si>
  <si>
    <t>Gaúcha, Casada, Colorada e 100% Bolsonaro</t>
  </si>
  <si>
    <t>Acompanhe o que acontece pelo país e a cobertura política feita pela equipe do jornal O Globo</t>
  </si>
  <si>
    <t>VIII Jornada Educação a Distância. Coordenação: João Mattar</t>
  </si>
  <si>
    <t>Nuclear Social é um espaço para divulgação de informações sobre a energia nuclear. Siga-nos também no site http://t.co/LBcdudILq6.</t>
  </si>
  <si>
    <t>26,
Arquiteta-urbanista,
Assessoria Técnica Popular,
Asiático-brasileira
alterego @4y4_aya só para amigos próximos</t>
  </si>
  <si>
    <t>Saudades no coração e lágrimas no rosto</t>
  </si>
  <si>
    <t>Atleta do @flamengo. Servo de Deus!!!</t>
  </si>
  <si>
    <t>💍 Kitashin's
🖤 Rindou's bby
🌸 She/Her • 20+
📖 Interior designer
👑 Random fandom
☡ NSFW - R18 - BL - Harshword
🍒 Don't repost my art without permission</t>
  </si>
  <si>
    <t>Cada um vai á feira co que tem.</t>
  </si>
  <si>
    <t>BLITZ a melhor música desde 1984</t>
  </si>
  <si>
    <t>Bem-vindas ao consultório linguístico da @AGALgz! | Dicionário: https://t.co/y8WaPkm9oS | Ortografia Galega Moderna: https://t.co/VKiraojQUH</t>
  </si>
  <si>
    <t>## / 15 /❗cbyf❗/ priv @ikissdxd</t>
  </si>
  <si>
    <t>L-O-V-E really doesnt mean much</t>
  </si>
  <si>
    <t>Hanya pecinta NKRI🇮🇩🇮🇩 #hubbulwathonminaliman  
akun pertama
link yutub : 
https://t.co/FQ5vFzEw5f</t>
  </si>
  <si>
    <t>Reinaldo Azevedo, jornalista, escreve e fala o que quer ainda que não queiram. No @UOLNoticias, na @folha e na @radiobandnewsfm. Seguir não é concordar.</t>
  </si>
  <si>
    <t>Just being who God created me to be and helping those who I can along my journey. T1D 💙/ Animal and nature lover /Loves democracy and The Big 🌊!</t>
  </si>
  <si>
    <t>I want to make the world a better place before I die</t>
  </si>
  <si>
    <t>Era el morro que le decían “vicioso” de los videojuegos. Leer de temas social y jugar nintendos 🎮https://t.co/JJyKAl7mUd</t>
  </si>
  <si>
    <t>Vamos de paseo con Jandra y Frank por el nostálgico mundo de los videojuegos 🎮 Episodio nuevo todos los martes a las 10:30AM en https://t.co/YysDpyimNM</t>
  </si>
  <si>
    <t>Interesse na humanidade. Matéria prima da vida</t>
  </si>
  <si>
    <t>A mais completa e admirada cobertura de economia, negócios e finanças. Notícias que geram negócios.</t>
  </si>
  <si>
    <t>for Jungwoo ft rindu @leehaedery loml @i9YHC @nrirae ᰔᩚ</t>
  </si>
  <si>
    <t>"Que tempos são estes, em que temos de defender o óbvio?", Bertolt Brecht</t>
  </si>
  <si>
    <t>I Love R</t>
  </si>
  <si>
    <t>Bila dunia mulai menarik bagimu, dan akhirat terasa jauh darimu | Pejamkanlah mata, dan ingat kegelapan yg menanti di kubur.</t>
  </si>
  <si>
    <t>A SPTF tem como objeto principal a promoção, o desenvolvimento e a divulgação de atividades de investigação científica na área da terapia da fala.</t>
  </si>
  <si>
    <t>Deus acima de Todos!!!</t>
  </si>
  <si>
    <t>Escritor, crítico de cinema desde 1994 e diretor do @cinemaemcena. Quer saber mais sobre mim? https://t.co/KOB8p9Jf28 insta: @pablovillaca</t>
  </si>
  <si>
    <t>#VidasNegrasImpotam 
Futuro Engenheiro Civil , negro, bonito
Atualmente sou Proprietário de uma Tocha Olímpica Oficial e uma conta Premium do Spotify!</t>
  </si>
  <si>
    <t>Sou esquerda sempre... E interessado no cotidiano do país.</t>
  </si>
  <si>
    <t>Professor titular da @ufba | @inctdd | Pesquisador @CNPq 1/A| Colunista da @revistacult e da rádio @metropole. Autor de Crônica de uma Tragédia Anunciada + 10</t>
  </si>
  <si>
    <t>Física, estrelas, astroturismo, indignación. Redactor @Astronomia_mag. Ex-tradutor galego @apod @NASA. Editor @CeosGalegos @apodgalego #Pint20ES #AstroGalicia</t>
  </si>
  <si>
    <t>Solteiro, Hétero, Cristão, Jornalista, Aquariano, Conservador de Direita, Patriota, Trabalhador, Amigo, Anti-Canhotas.
Checador de matérias canhotas falsas!</t>
  </si>
  <si>
    <t>#QueroBolsonaroAte2026
Em campanha eterna 
pró-Bolsonaro.
Sou robô e miliciano.
Bolsonaro2022👍👍</t>
  </si>
  <si>
    <t>Notícias, vídeo, lazer, entretenimento, webmail grátis e chat Blá</t>
  </si>
  <si>
    <t>«A prayer for the wild at heart kept in cages.» (Tennessee Williams) - #cinema, #poetry and random declarations of love.</t>
  </si>
  <si>
    <t>Meio de comunicação nascido digital, com vocação global, em português | Vamos dando notícias!</t>
  </si>
  <si>
    <t>Engenheiro Mecânico, pai do salem, perdido nas horas vagas...
Mateus 7:15.</t>
  </si>
  <si>
    <t>Palmeirense, cientista social e jornalista. Escrevo para o @theinterceptbr.</t>
  </si>
  <si>
    <t>Constituido por Games, livros, filmes e cultura pop. Adoro MTG, trilhas dos anos 80/90. - Analista de B.I. 📊</t>
  </si>
  <si>
    <t>Economista.
Anticapitalista.</t>
  </si>
  <si>
    <t>cristão, brasileiro conservador, advogado e avô da Malu, presente de DEUS, marido da Jackeline, CONTINUO APOIANDO O BOLSONARO</t>
  </si>
  <si>
    <t>Download Apps Liputan6 di https://t.co/DkBRaoqgmX 
Website : https://t.co/Tg70sLl3Dc                                   
Contact us: Liputan6Socmed@gmail.com</t>
  </si>
  <si>
    <t>Laugh, and the world laughs with you. Cry, and I’ll give you something to cry about, you little bastard.</t>
  </si>
  <si>
    <t>Bacharel em administração de empresas. Public officer - Remo Club fan ⚽️</t>
  </si>
  <si>
    <t>Allah is all knowing and all giving.</t>
  </si>
  <si>
    <t>Virtute spiritus.
Damos retuíte a qualquer menção à Universidade Federal da Bahia.
(projetado pelo @labhdufba)</t>
  </si>
  <si>
    <t>Da academia e da boemia. Jornalista, professora do Dep. de Estudos de Gênero e Feminismo da @ufba. Visiting scholar na @nssrnews</t>
  </si>
  <si>
    <t>1. De maneira geral, eu pegaria geral e
2. na luta é que a gente se encontra</t>
  </si>
  <si>
    <t>Professora do CAp-UERJ, historiadora e humana do Juca Peralta 🐶.
Ela/Dela</t>
  </si>
  <si>
    <t>Economista deprimida e feminista cansada tentando ser pesquisadora nesse Brasil. Twitter de opiniões pessoais e um pouco de bagunça. Ela/dela.</t>
  </si>
  <si>
    <t>Escritor e baderneiro.</t>
  </si>
  <si>
    <t>Professor do @ihac_ufba. Visiting scholar at @ExtractivesCU / Fall 2021. Co-coordena o @ecoAbyaYala. Autor de "Guerras da Conquista" com @FabricioLyrio</t>
  </si>
  <si>
    <t>Senior Brazil analyst for @medleyadvisors. Formerly at @Control_Risks, @business, @folha, @AgenciaEstado. All opinions my own. RT are not endorsements.</t>
  </si>
  <si>
    <t>Se eu tiver que passar pelo pão que o Diabo amassou, passo, sim, na dignidade mas não mudarei quem eu sou</t>
  </si>
  <si>
    <t>Cientista Política | Bolsista de Pós-Doc @GEMAA_IESP | Editora Assistente @dadosrevista | Pesquisadora colab. júnior @Ipol_UnB e @ANPOCS | @horizontesaosul</t>
  </si>
  <si>
    <t>Ser e Realmente acreditar
Que a luta vai acontecer
Que a Vitória chegará
Lula lá somos todos juntos!
Democracia Sempre a Luz da Constituição
Pelo Povo!</t>
  </si>
  <si>
    <t>Colunista de O Globo</t>
  </si>
  <si>
    <t>Engenheiro-Agrônomo, https://t.co/TRFPL9TdEz Agr°, Analista de Mercados e Produtor Rural.</t>
  </si>
  <si>
    <t>Ph.D em Business. professor da FGV e comentarista econômico.</t>
  </si>
  <si>
    <t>Paz, Amor, Igualdade, Democracia, Resistência.</t>
  </si>
  <si>
    <t>odonto-cesu // reclamações e desabafos</t>
  </si>
  <si>
    <t>"O AMOR me explicou tudo!"(S.JPII)</t>
  </si>
  <si>
    <t>A gente se diverte ✨</t>
  </si>
  <si>
    <t>Pai de Luisa, Doutor e Mestre em Direito (UFBA), Advogado e Professor Universitário.</t>
  </si>
  <si>
    <t>A Genesys® potencializa as melhores CX do mundo em mais setores e países em todos os canais, na nuvem e nas instalações da empresa.</t>
  </si>
  <si>
    <t>Nada e ninguém, impede um povo, que é capaz e que vai à luta por seus direitos!!! Sou Química e Pedagoga... 100% LULA COM ORGULHO!!!!</t>
  </si>
  <si>
    <t>o meu objetivo é fazer parte do teu *TOP 10 ANTIBOLSONARISTAS* | relator dessa comissão @ghmagnani | insta: https://t.co/ubu7l8DpZN</t>
  </si>
  <si>
    <t>Essencialmente mãe</t>
  </si>
  <si>
    <t>Blogger | Terhubung dengan saya di https://t.co/L76T9uH3R7</t>
  </si>
  <si>
    <t>Anda mau mendapatkan 5 buku bisnis &amp; pengembangan diri secara GRATIS? Unduh gratis dg klik link di bawah.....</t>
  </si>
  <si>
    <t>🍃👩‍🔬🧪❤️🐮🌱🌎</t>
  </si>
  <si>
    <t>Eu na rede ➡️ https://t.co/mZUpzd2ZxN</t>
  </si>
  <si>
    <t>“você nunca precisará de um argumento contra o uso de violência, você precisa de um argumento pra ela”- N. Chomsky</t>
  </si>
  <si>
    <t>PSN: Victor_Fitness</t>
  </si>
  <si>
    <t>Department of Industrial Engineering of #pucrio. 
Training highly-qualified #productionengineers, from #undergraduation to #phd, since 1967.</t>
  </si>
  <si>
    <t>Professor de Filosofia e Psicologia na Universidade Federal de Juiz de Fora.</t>
  </si>
  <si>
    <t>Ele/dele - He/His 🇧🇷🏳️‍🌈🌈✊🏽🍮🍫🍪🍩🍦
Tenho 31, Bi, preto, cristão de João Pessoa – PB.
7 anos @zludoces
YouTube: ZLU PIZA
https://t.co/LxuX7A2YN9</t>
  </si>
  <si>
    <t>Professor, sallus populi suprema lex esto</t>
  </si>
  <si>
    <t>Conservador por natureza.</t>
  </si>
  <si>
    <t>Publisher, art director, graphic designer, illustrator, MAD contributor, small business owner. g_l2009@live.com</t>
  </si>
  <si>
    <t>Quem é que está certo?</t>
  </si>
  <si>
    <t>Grupo que acompanha notícias de cunho político, econômico e social sobre o continente africano. Por alunos de RI da @nafaap e coordenado por @lucasableite</t>
  </si>
  <si>
    <t>doida, flopada, bipolar, porém, o coração é bonzinho 🔛</t>
  </si>
  <si>
    <t>virginiana bagunceira ;)</t>
  </si>
  <si>
    <t>just a 24 y/o with an unhealthy dependency on a specific gardener and shield maiden... // agender // reading The Hobbit</t>
  </si>
  <si>
    <t>Humas polsek sipirok</t>
  </si>
  <si>
    <t>Dudo, busco y a veces encuentro. Soy un animal más, planto árboles. Animalista. Feminista. Somos unos bárbaros. Eskerrik asko mundua</t>
  </si>
  <si>
    <t>Toda a informação do site do jornal de referência líder em Portugal</t>
  </si>
  <si>
    <t>Jornalista | 🗞 repórter da Tribuna da Bahia | Mestrando/PósCom-Ufba</t>
  </si>
  <si>
    <t>Europeísta federalista 🇪🇺 Ecosocialismo aka Social-Democracia Europeia🌹 Modelo ambientalista nórdico. #EuropeanGreenDeal🌱
My kingdom is not from this world!</t>
  </si>
  <si>
    <t>MBA | CFO | Entrepreneur | Options Trader | Equities Trader | Investor | #PositiveOptionsTrading | #Tech #Disruptors #Crypto | Sharing Financial Wellness 💙</t>
  </si>
  <si>
    <t>Associação Brasileira de Pesquisadores em História Econômica (ABPHE)</t>
  </si>
  <si>
    <t>Professor de História (Pré Social da Juventude).
Mestre em História Social (UERJ).
Membro da Comissão Executiva da Rede de Pesquisadores Visões da Ásia.</t>
  </si>
  <si>
    <t>pescador marítimo santista desde sempre , gosto , futebol, política , rock e samba
Apaixonado por Deus pai criador do universo . busco soluções com Jesus Cristo</t>
  </si>
  <si>
    <t>Singer, songwriter, actress, dancer, poet.
Aqui não é lugar de bolsominion.</t>
  </si>
  <si>
    <t>Mas discuto política por aqui. 
Sim, tenho cara de doido. 
PhD Student in Public Health. Defensor do SUS.</t>
  </si>
  <si>
    <t>Estudante de Mecatrônica no SENAI</t>
  </si>
  <si>
    <t>O TBA é um novo teatro de Lisboa dedicado à criação experimental / TBA is devoted to the presentation of experimental performing arts. #teatrodobairroalto</t>
  </si>
  <si>
    <t>𝑃ℎ𝑖𝑙 𝐹𝑜𝑑𝑒𝑛, 𝐾𝑎𝑖 𝐻𝑎𝑣𝑒𝑟𝑡𝑧 𝑎𝑛𝑑 𝐹𝑒𝑟𝑟𝑎𝑛 𝑇𝑜𝑟𝑟𝑒𝑠. #LN4 #EO31</t>
  </si>
  <si>
    <t>Dedicated to 에이티즈 for trade, wts, wtb</t>
  </si>
  <si>
    <t>selling + buying + trading 🐯 she/her</t>
  </si>
  <si>
    <t>Médica , interesse jornalismo, economia e política . Esportes vôlei e MTB. Flamenguista !  RT não é endosso!</t>
  </si>
  <si>
    <t>Perfil reserva de @bernardopkuster Diretor de opinião do @jornalbsm - escritor e empreendedor cultural. ACESSE O LINK ABAIXO 👇</t>
  </si>
  <si>
    <t>Cidadão brasileiro.
"Os homens não podem melhorar uma sociedade ateando fogo nela: precisam buscar suas antigas virtudes e trazê-las de volta à luz.“ 
R. Kirk</t>
  </si>
  <si>
    <t>Where are you John Titor?</t>
  </si>
  <si>
    <t>#pasarATEEZ
BIAR MENYESAL BELI DARIPADA MENYESAL TAK BELI - 🌼
group wtt/wts/wtb
https://t.co/d7c09g0AiK</t>
  </si>
  <si>
    <t>a place for wts/wtt/wtb thread of ateez official &amp; unofficial merch ☁️</t>
  </si>
  <si>
    <t>Historiadora, candomblecista, sempre a esquerda 👩🏾‍🎓🚩</t>
  </si>
  <si>
    <t>Mineiro, estudante de Engenharia ambiental pela UFRJ, keynesiano, desenvolvimentista e social democrata.</t>
  </si>
  <si>
    <t>Principal Program Manager at Microsoft C+AI Security, Father, Published Author, Speaker, EC-Council University Professor, MsC Cybersecurity. Tweets are my own!</t>
  </si>
  <si>
    <t>Vício, perversão e socialismo.</t>
  </si>
  <si>
    <t>Psicanalista, pesquisador, escritor, ativista LGBTQIA+. 🏳️‍🌈 
Mestrando em saúde coletiva pela UNIFESP. 
Medicina de família e saúde mental.</t>
  </si>
  <si>
    <t>Economista - UNESP |
MBA Finanças - IBMEC |
Nacionalista</t>
  </si>
  <si>
    <t>Era uma vez um país chamado Brasil. Uma esquerda carola chegou ao poder. Então as oligarquias deram de presente um cavalo de madeira chamado Lava Jato. Fim</t>
  </si>
  <si>
    <t>Arquiteto Urbanista, professor de Arq&amp; Urb, nortista, cervejista e de esquerda. 🌹🇧🇷</t>
  </si>
  <si>
    <t>Economia, memes, aleatoriedades e alegria (nem sempre). Este perfil contém altas doses de ironia. Produzo isso aqui👇</t>
  </si>
  <si>
    <t>Diário de informação generalista especializado em desporto</t>
  </si>
  <si>
    <t>— a place to trade, buy &amp; sell any ATEEZ related items inc official and fanmade
#pasarAtinyfeedback</t>
  </si>
  <si>
    <t>CRISTÃ,CASADA, CONSERVADORA, BRASIL ACIMA DE TUDO E DEUS ACIMA DE TODOS, 100% BOLSONARO , REPÚDIO AOS ESQUERDOPATAS, SÓ SIGO QUEM ME SEGUE, SDV</t>
  </si>
  <si>
    <t>Fã de Michael Jackson, protetora de animais e revendedora nas horas vagas.🇧🇷🇧🇷</t>
  </si>
  <si>
    <t>Girondino raiz. 
Brasil acima de tudo, Deus acima de todos. 
OUT MATRIX.</t>
  </si>
  <si>
    <t>#NordesteComBolsonaro 🇧🇷🌵🦎 #SomosMilhoesDeBolsonaros  #OlavoTemRazao Monarquista, Bolsonarista, Anti-comunista, Anti-terrorista, Anti-PT/MST/CUT</t>
  </si>
  <si>
    <t>Sou gigolo chupador de cu, devorador de cu inocentes e salientes</t>
  </si>
  <si>
    <t>Vivo Nas Ideias: o primeiro reality show que une tecnologia e diversidade. Toda terça e quinta no nosso LinkedIn.</t>
  </si>
  <si>
    <t>Faça novas histórias, crie comunidades e explore o mundo!
É criador? Siga a gente no @YTCriadores. 
E, se precisar de suporte, conte com o nosso @TeamYouTube.</t>
  </si>
  <si>
    <t>Advogado. Músico e compositor.</t>
  </si>
  <si>
    <t>Professora Livre Docente de Direito Penal na USP (licenciada) e Advogada; atualmente cumpre mandato de Deputada Estadual, com dedicação integral</t>
  </si>
  <si>
    <t>BRASIL SEM COMUNISMO... AMÉM?
RT-NOS SEUS TWITTERS...ACHOU RUIM?
NÃO USO APP DE unfolow...ante unf
brasil SIGO TAMBÉM...SEGUE AÍ</t>
  </si>
  <si>
    <t>Prefeito do Rio de Janeiro, marido da Cristine e pai do Bernardo e da Isabela. RT não significa concordância.</t>
  </si>
  <si>
    <t>Sou um cara legal. Deus acima de tudo. Lealdade ao nosso Presidente Bolsonaro.
Conservador, hétero e questionador.</t>
  </si>
  <si>
    <t>Bem-vindos ao mundo real. Aqui, unicórnios não peidam arcos-íris, em meio a nuvens de algodão-doce, em contraste ao céu cor-de-rosa.</t>
  </si>
  <si>
    <t>Um cara que defende a liberdade individual, prefere um estado menor, eficiente e que interfira o mínimo na vida do cidadão comum. Simples.</t>
  </si>
  <si>
    <t>UM POVO ARMADO IMPEDE GOVERNOS AUTORITÁRIOS!  😎👍🇧🇷</t>
  </si>
  <si>
    <t>amo mais q tudo a liberdade odeio tiranos e tirantes q se revelaram durante a praga chinesa. . quero meu direito básico de ir e vir e de reunião</t>
  </si>
  <si>
    <t>Amar a Deus sobre todas as coisas. Deus acima de todos.</t>
  </si>
  <si>
    <t>Family supporter. Fighting hard to leave a better place to the next generation 🇧🇷🇺🇸</t>
  </si>
  <si>
    <t>LIBERDADE E SOBERANIA É IR ALEM COM MEU JESUS QUERIDO.</t>
  </si>
  <si>
    <t>Casada e Mãe de 2 anjinhos!!! CRISTIANA/ DE DERECHA/ APAIXONADA PELO BRASIL!</t>
  </si>
  <si>
    <t>Jornalista da área financeira, autora do livro Terramoto no BCP e do livro O Fim da Era Espírito Santo, Grande Repórter do Diário Económico e Jornal Económico</t>
  </si>
  <si>
    <t>Jornal de Economia com notícias ao minuto.
Seja assinante do Jornal Económico 👉 https://t.co/drTt48bMoT
Acompanhe o JE no youtube 📽️ https://t.co/VhvcX7IgPr</t>
  </si>
  <si>
    <t>Não sou da extrema direita, mas sou extremamente de direita😂 Cruzeiro e Rock’n roll nas (raras) horas vagas.</t>
  </si>
  <si>
    <t>Venha a nós o teu reino... ? assim rogou Jesus ao Pai Celestial, sabendo que só o Plano de Deus pode conceder-nos a verdadeira felicidade. Mas, _x000D_
SALVE DEUS</t>
  </si>
  <si>
    <t>É no problema da educação que assenta o grande segredo do aperfeiçoamento da humanidade. Immanuel Kant. EDUCAÇÃO É UM DIREITO DE TODOS E DEVER DO ESTADO ...</t>
  </si>
  <si>
    <t>Patriota,concervardor,anti-esquerda, cristão!</t>
  </si>
  <si>
    <t>Discorde de mim, mas discorde com Educação. Sempre em Análise. 
Se vc é 100% algo ou alguém.Desconfie de você,Não espere de mim lados. 🇧🇷💚Made in Brasil💛</t>
  </si>
  <si>
    <t>Hidup harus terus berjalan tetap semangat</t>
  </si>
  <si>
    <t>Publicitária, casada. 
                   🇧🇷💛💚🇺🇸❤️💙
                           🚫 NO DMs, PLEASE! 🚫</t>
  </si>
  <si>
    <t>Arquiteta e Urbanista. “Há uma força motriz mais poderosa que o vapor, a eletricidade e a energia atômica: a vontade. “ A.E. #EuAutorizoPresidente</t>
  </si>
  <si>
    <t>meu outro perfil foi bloqueado...</t>
  </si>
  <si>
    <t>STRAY KIDS : 넌 잘 하고 있어.</t>
  </si>
  <si>
    <t>Conservador, Deus, Pátria e Família, e sempre contra a quadrilha do PT.</t>
  </si>
  <si>
    <t>Amo a Deus, minha família e país. Sigo firme acreditando nos meus princípios e valores!🇧🇷💚💛🤖</t>
  </si>
  <si>
    <t>•só falo bobagem e sobre futebol•
▪︎ conta antiga bloqueada ▪︎</t>
  </si>
  <si>
    <t>goleiro, gremista, acho que essa última é a melhor das qualidades.</t>
  </si>
  <si>
    <t>A vida é bela, este mundo não...</t>
  </si>
  <si>
    <t>Página OFICIAL de Legends of Runeterra, o jogo de cartas de League of Legends multiplataforma para PC e dispositivos móveis!
Baixe agora https://t.co/69WgGvcXKj</t>
  </si>
  <si>
    <t>Sagitário com ascendente em socialismo</t>
  </si>
  <si>
    <t>#AcontaDoGolpe2016chegou</t>
  </si>
  <si>
    <t>19 anos</t>
  </si>
  <si>
    <t>Bath-based anaesthetist and occasional intensivist. Own views except where I borrow others’ views I like. Insta @timcooksnaps</t>
  </si>
  <si>
    <t>Anaesthetist/anaesthesiologist, simulationist, MTBist, greenist, nerdist, aviationist, motorist. I generate my own thoughts - some you’ll see here...he/him</t>
  </si>
  <si>
    <t>Ph &amp; Maria Antonia 💙💜</t>
  </si>
  <si>
    <t>Jonathan Souza Mitchell /
Aprendiz da língua inglesa 🇺🇸
Sempre disposto a aprender coisas novas.
Futuro fotógrafo 📷</t>
  </si>
  <si>
    <t>Tentando ser justa e paciente como era Jesus.</t>
  </si>
  <si>
    <t>100% humano, nem gado, nem robô, um produtor musical, de planta ornamental, 
pai e avô.</t>
  </si>
  <si>
    <t>Não sou escravo de ninguém...</t>
  </si>
  <si>
    <t>Quem está do lado da destruição não pode ser chamado de cristão. 
SDV para quem me seguir e tenha uma 🚩.</t>
  </si>
  <si>
    <t>Jornalista. A democracia começa pelos mulambos e não pelos cartolas 🎩</t>
  </si>
  <si>
    <t>Akun Resmi Timbul Suryanto | DPRD Kabupaten Gunungkidul, Fraksi PKB | 
#GusAMI2024
#PKB2024</t>
  </si>
  <si>
    <t>me amar sempre</t>
  </si>
  <si>
    <t>Direita,conservador, Armamentista Bolsonaro!
meu partido é o Brasil!</t>
  </si>
  <si>
    <t>Porém, se a Pátria amada
For um dia ultrajada
Lutaremos sem temor</t>
  </si>
  <si>
    <t>Portal Português</t>
  </si>
  <si>
    <t>Não vou almoçar, já tomei meu leite. TÔ ÓTIMA!</t>
  </si>
  <si>
    <t>Advogada | Liberal | Aquário com asc em Leão |@centrismos @bemcapital. Toda vez que alguém se diz liberal só na economia um bebê panda morre.</t>
  </si>
  <si>
    <t>`When the seagulls follow the trawler, it is because they think sardines will be thrown into the sea'</t>
  </si>
  <si>
    <t>- Well? Shall we go?
- Yes, let's go.
.......... They do not move.</t>
  </si>
  <si>
    <t>Pensar é preciso</t>
  </si>
  <si>
    <t>⠀ ⠀ 𝐚 𝐧𝐮𝐦𝐛𝐞𝐫 𝐭𝐡𝐚𝐭 𝐢𝐬 𝐨𝐧𝐞 𝐦𝐨𝐫𝐞 𝐭𝐡𝐚𝐧 𝐭𝐡𝐢𝐫𝐭𝐲-𝐭𝐰𝐨 🦋 ⠀ ⠀ ⠀ ⠀ ⠀ ⠀ ⠀ ⠀ ⠀ ⠀ ⠀ ⠀ ⠀ ⠀ ⠀ ⠀ ⠀ ⠀ ⠀ ⠀ ⠀ ⠀ ⠀ ⠀ ⠀ ⠀ ⠀ ⠀ ⠀ ⠀ ⠀ ⠀ ⠀ ⠀ ⠀ ⠀ ⠀ ⠀ ⠀</t>
  </si>
  <si>
    <t>Conta Oficial do Gabinete do Ministro de Estado e dos Negócios Estrangeiros/Official account of the Cabinet of Minister of State for Foreign Affairs of Portugal</t>
  </si>
  <si>
    <t>Deputy Secretary-General of the @UN Amina J Mohammed. Committed to keeping the promise of the #SDGs and building a better world for all.</t>
  </si>
  <si>
    <t>Official account of the United Nations. 
For peace, dignity &amp; equality on a healthy planet.</t>
  </si>
  <si>
    <t>Conta oficial das Nações Unidas 🇺🇳 em Português. 
Pela paz, dignidade &amp; igualdade em um planeta saudável.</t>
  </si>
  <si>
    <t>The only thing necessary for the triumph of the evil is for good men to do nothing</t>
  </si>
  <si>
    <t>Colunista do @Infomoney e editor-chefe do @blocktrendsbr , parte do grupo @qrcapital. Gaúcho e Colorado.</t>
  </si>
  <si>
    <t>#bitcoin. Somos todos Satoshi / We are all Satoshi.
⚡alexbtc@zbd.gg</t>
  </si>
  <si>
    <t>Empresário, pai de família, Patriota, armamentista,  amo a nação brasileira lutarei até a vitória da nossa nação contra o comunismo e corruptos👈👈🇧🇷👉👉</t>
  </si>
  <si>
    <t>Atua na defesa dos Direitos Humanos, Sociais e Trabalhistas. É autor das Leis dos Estatutos do Idoso, da Igualdade Racial e da Pessoa com Deficiência.</t>
  </si>
  <si>
    <t>#
LulaPresidente22</t>
  </si>
  <si>
    <t>LOEYIXING ❤️</t>
  </si>
  <si>
    <t>No momento o twitter bloqueou a minha função de seguir.</t>
  </si>
  <si>
    <t>DVJ, ou VIDEO-DJ. Trabalho que consiste em tocar as músicas junto com os videos originais, mixagens ao vivo de som e imagem simultaneamente com as versões remix</t>
  </si>
  <si>
    <t>#TudoMuda e nossa forma de aprender também. Descubra a escola de negócios que mudou as regras. Top 10 entre as escolas de Negócios e nº 1 Online segundo o CSIC.</t>
  </si>
  <si>
    <t>eu sou sem rumo eu</t>
  </si>
  <si>
    <t>“The purpose of our lives is to be happy.” — Dalai Lama.</t>
  </si>
  <si>
    <t>Ruang kreatif publik warisan kolonial dengan elan milenial. Buka 17 Agustus 2021.
“House of vibrant gigs and creative culture”</t>
  </si>
  <si>
    <t>Estudante de biomedicina, streamer na twitch e apresentadora de torneios da comunidade de Runeterra | https://t.co/6IonWC5R1e | ✉️ contatoakakarota@gmail.com</t>
  </si>
  <si>
    <t>perdi a outra conta amigos 🥺</t>
  </si>
  <si>
    <t>It doesn't matter who I am, what matters is what I say. In my head, there are more ideas than social status. Ordinary people also know.</t>
  </si>
  <si>
    <t>Site apartidário de notícias e análises. Nossa missão é lutar por uma sociedade menos desigual. Diretor: Kiko Nogueira</t>
  </si>
  <si>
    <t>probably  listening to joey badass
ig:marcelo_barret017</t>
  </si>
  <si>
    <t>19 | 03.04 • @di__priv</t>
  </si>
  <si>
    <t>Ex Brizolista/esquerdista,
Hoje Patriota,
Cristão Conservador,
Monarquista,
Direita,
Militarismo.
Torcedor do Botafogo FR.</t>
  </si>
  <si>
    <t>colunista do Estadão e comentarista do Globonews Em Pauta, da rádio Eldorado (SP) e da rádio Jornal (PE). Foi colunista da Folha por 17 anos</t>
  </si>
  <si>
    <t>Judiaria para os amigos. Absolutamente conservador. 110% Bolsonaro. Sulista, contra extremistas. Bandido bom é bandido preso e trabalhando duro pela diária.</t>
  </si>
  <si>
    <t>Um brasileiro pelo mundo...</t>
  </si>
  <si>
    <t>Divulgador científico e explicador do mundo por opção contato@atilaiamarino.com.br Tenho um livro didático sobre COVID! https://t.co/AMWXeJr8IW</t>
  </si>
  <si>
    <t>sou de Direita Bolsonaro 38 aliança pelo Brasil sigo todos que são Bolsonaro</t>
  </si>
  <si>
    <t>Os assuntos aqui são muitos aleatórios</t>
  </si>
  <si>
    <t>Make journalism great again. MJGA🗞📰</t>
  </si>
  <si>
    <t>Tôi đang học tiếng Việt</t>
  </si>
  <si>
    <t>MP for the Braintree Constituency. Minister for Middle East &amp; North Africa in the Foreign, Commonwealth &amp; Development Office</t>
  </si>
  <si>
    <t>Priest; Welsh &amp; European; husband, father, grandfather; Welsh rugby supporter. My own views. Racists &amp; bigots blocked. 💙 #JohnsonOut</t>
  </si>
  <si>
    <t>Family man, my family are everything. Ex british army engineer. #nffc fan for my sins</t>
  </si>
  <si>
    <t>European, Remainer, 🇪🇺🇬🇧🇦🇹🇩🇪🇮🇪Rejoin the EU! I think that covers it. May contain typos. Runs on coffee.</t>
  </si>
  <si>
    <t>I have an opinion, convince me I'm wrong.</t>
  </si>
  <si>
    <t>eu não existo/ esse perfil não tem compromisso com a coerência</t>
  </si>
  <si>
    <t>Verso l'Alto</t>
  </si>
  <si>
    <t>Jornalismo independente, progressista e para todos, 24 horas por dia, 7 dias por semana. Assine: (https://t.co/9osqP6SbjD)
Telegram: https://t.co/gb0hkDsJy4 📢</t>
  </si>
  <si>
    <t>Φέρτε μια κούπα με κρασί
και κάντε μου παρέα,
για μένα απόψε η βραδιά
είναι η τελευταία</t>
  </si>
  <si>
    <t>Seja Racional!</t>
  </si>
  <si>
    <t>Foi deputado, prefeito, governador e ministro. Viabilizou grandes obras, ajudou a consolidar o Plano Real e nunca foi processado por roubalheira.</t>
  </si>
  <si>
    <t>No puedo
#SomosTodosMigrantes</t>
  </si>
  <si>
    <t>Economia | Crypto | Política | Esportes |Co-Founder da @Somas_io. Para mercados somente: @CavendishTS. Em busca de um futuro melhor para nossos filhos. 🇧🇷#1</t>
  </si>
  <si>
    <t>O rapaz das tecnologias e tal</t>
  </si>
  <si>
    <t>Carbono – 23% Cálcio – 1,4% Fósforo – 0,83% Nitrogênio – 2,6% Água – 55% Enxofre – 0,2% Cloro e sódio – 0,27% Potássio – 0,2% Metais – 0,009%</t>
  </si>
  <si>
    <t>Remember David Dorn
IT
Interested in Information Security
Capitalist
O ditador Díaz-Canel é um covarde!! 
#FreeCuba #LibertadParaCuba</t>
  </si>
  <si>
    <t>formado em Administração de Empresas, Pai e músico nas horas vagas.</t>
  </si>
  <si>
    <t>Funcionária Pública Municipal. Graduada em Pedagogia USP-RP.
Graduada em Gestão Pública.</t>
  </si>
  <si>
    <t>Tudólogo especializado em xadrez e peladas. felipeneto@gmail.com</t>
  </si>
  <si>
    <t>Perfil oficial da Agência Nacional de Vigilância Sanitária (Anvisa). Atendimento ao público: 0800-642 9782.</t>
  </si>
  <si>
    <t>Jornalista. Repórter de hard news do @terra; já colaborei também para o @estadao. Ligado 24 horas por dia nas bobagens ditas nessa rede social. 🇾🇪</t>
  </si>
  <si>
    <t>Escrevedor</t>
  </si>
  <si>
    <t>Esposo, padre de dos hijas y pastor de la Iglesia Adventista del 7 Dia.</t>
  </si>
  <si>
    <t>Pr. Herbert Boger Jr.              III João 4</t>
  </si>
  <si>
    <t>Un Discípulo de JESÚS! Me apasiona predicar de Él! Actualmente Director de MiPES, Misión Global, ASA y Evangelista en @AdventistasUPS 🇵🇪</t>
  </si>
  <si>
    <t>Advogado, cristão Adventista, pai de um lindo filho, esposo de uma mulher incrível.</t>
  </si>
  <si>
    <t>siliga vai pra porra</t>
  </si>
  <si>
    <t>🏴‍☠️🦜☠️</t>
  </si>
  <si>
    <t>“If you’re going through hell, keep going” - Winston Churchill</t>
  </si>
  <si>
    <t>Um projecto GRATUITO, de divulgação do desporto no geral, sem excepção, suportado pela Internet e pela revista desportiva O Praticante</t>
  </si>
  <si>
    <t>Sacerdote de origem simples e humilde, iniciou o estudo das primeiras letras na Escola Pública de Mazagão, Distrito de Capistrano-CE.</t>
  </si>
  <si>
    <t>Informações, notícias e reflexões sobre as questões humanas à luz do catolicismo.</t>
  </si>
  <si>
    <t>Agência de Notícias da Igreja Católica em Portugal</t>
  </si>
  <si>
    <t>He said:"Whom shall I send?”."Send me,but not alone!”.He.replied:“Why worrying? Look at the lilies!”.Many years have gone by.Still, I praise HIM for the lilies.</t>
  </si>
  <si>
    <t>嫌いな食べ物→ファンカツ</t>
  </si>
  <si>
    <t>ゲーム、声優、アニメ全般大好き島村卯月ファン数一億↑、plv408↑、イベント2桁経験あり(イリュージョニスタ、満開スマイル、Happy NEW Yeah、アンデッドダンスロック、Max beat、Trust me、)</t>
  </si>
  <si>
    <t>No meu mundo o impossível é um detalhe 🤩</t>
  </si>
  <si>
    <t>Filho de dona Lindu. Nascido em Pernambuco, criado no Sindicato dos Metalúrgicos do ABC. Presidente da República do Brasil de 2003 a 2010.</t>
  </si>
  <si>
    <t>é preciso dar o nome correto a paz: Justiça social
(Lula)</t>
  </si>
  <si>
    <t>campeão mundial de imitações diferentes</t>
  </si>
  <si>
    <t>Roteirista, escritora, fanzineira vintage e petista.</t>
  </si>
  <si>
    <t>Qdo nasci veio um anjo safado,o chato do querubim, e decretou que eu tava predestinado a ser errado assim,mas vou até o fim. Chico</t>
  </si>
  <si>
    <t>Os militantes não vem ao mundo em busca do seu, vem entregar a alma por um punhado de sonhos. Mujica</t>
  </si>
  <si>
    <t>matutando as gentes e a paisagem interna
e zen passatempista em madeirar.
"para cada um segundo suas habilidades e 
para cada qual segundo suas necessidades."</t>
  </si>
  <si>
    <t>Filiado ao PT ⭐
Programador 💻
Eng. Comp UFRGS</t>
  </si>
  <si>
    <t>Quando a política entra no quartel por uma porta, a disciplina e a sensatez saem pela outra' (Gen Peri Bevilacqua)</t>
  </si>
  <si>
    <t>Acredito em fatos. Não acredito em mitos.</t>
  </si>
  <si>
    <t>#FlorenceTheMachine
#MaggieRogers</t>
  </si>
  <si>
    <t>"Aja somente segundo a máxima tal que sua ação possa ao mesmo tempo se tornar lei universal". Kant
Não traga senso comum para quem ama a Filosofia.</t>
  </si>
  <si>
    <t>{o importante é o principal;    o resto é secundário}  do filósofo VICENTINHO;) ... obrigado pelas curtidas mas  PREFIRO RETWITTS ;
SEXIGENARIO😎</t>
  </si>
  <si>
    <t>Pássaro proibido de voar.
We can find way to expand what you know. I can be the actress you shoud be Tarantino.</t>
  </si>
  <si>
    <t>Esse perfil não é palco para debates. Emito minhas opiniões e não ligo para o que você pensa.</t>
  </si>
  <si>
    <t>e a chuva promete não deixar vestígios ♪</t>
  </si>
  <si>
    <t>saudosa maloca; saúde a mandioca. pouco seguidor por fazer sempre a Mari Kondo.</t>
  </si>
  <si>
    <t>Eu já sabia</t>
  </si>
  <si>
    <t>Esquerda sempre! 
Lula2022!</t>
  </si>
  <si>
    <t>Escritor amador, sonhador profissional...</t>
  </si>
  <si>
    <t>Hoje sei quem sou, amanhã não sei 🤷‍♀️</t>
  </si>
  <si>
    <t>“O Brasil que come não conhece o Brasil que tem fome” - @FinesProjeto #FINES - lulista, dilmista, petista com muito orgulho</t>
  </si>
  <si>
    <t>Advogado, Antifa, Aqui é Galo
#ReformaAgráriaJá
#Lula2022</t>
  </si>
  <si>
    <t>" Já tentei fugir de mim, mas onde eu ia eu tava." - Tiririca</t>
  </si>
  <si>
    <t>Mestre em Processo Químico, Professor e Bacharel em Química e Professor de Biologia</t>
  </si>
  <si>
    <t>Ninguém em particular.</t>
  </si>
  <si>
    <t>Precisamos vencer a fome, a miséria e a exclusão social</t>
  </si>
  <si>
    <t>Petista,Corinthiana , AMOOLULA  e Putin ...e só gosto de quem gosta de mim</t>
  </si>
  <si>
    <t>Sociedade Esportiva Palmeiras/Partido dos Trabalhadores</t>
  </si>
  <si>
    <t>♑ Capricórnio 
🎙️ Podcaster
💬 HQ maníaco
☭ Esquerdopata
#lgbtqiaplus #gay</t>
  </si>
  <si>
    <t>Siervo de Dios sirviendo junto con mi familia. Lucerito, Enoc, Yoshua, Martha.</t>
  </si>
  <si>
    <t>Posts Aleatórios Sobre a Política BRASILEIRA.</t>
  </si>
  <si>
    <t>Militante e membro do Diretório do PT-DF | Comunicação na UnB ¯\_(ツ)_/¯</t>
  </si>
  <si>
    <t>#LulaPresidente2022 ✊ https://t.co/14BIXzXkw3</t>
  </si>
  <si>
    <t>Santista</t>
  </si>
  <si>
    <t>Tudo que sei é que nada sei!!!</t>
  </si>
  <si>
    <t>Especialista em acessibilidade digital. Mãe que faz doutorado. Ecologista, designer, quadrinista, hacker e de esquerda. #eunascihadezmilanostrás
Em sabático.</t>
  </si>
  <si>
    <t>Foi candidata a prefeita em Epitaciolândia .Presidenta do PT. Prof. de História .Foi Coord.da SEE.O amor vencerá o ódio Marx e Jesus são minhas inspirações.</t>
  </si>
  <si>
    <t>Somos instantes....</t>
  </si>
  <si>
    <t>Nunca confie no gosto dos outros.</t>
  </si>
  <si>
    <t>Vivas nos queremos 💚💜💉</t>
  </si>
  <si>
    <t>Corinthiana, Feminista, Nordestina, Petista. #ForaBolsonaroGenocida
Instagram: @varelaal TikTok: @varelaal92
Twitter alternativo: @AVarela25210438</t>
  </si>
  <si>
    <t>Líder do PT no Senado e autor de 9 leis.</t>
  </si>
  <si>
    <t>Bem aventurados os que mentem, felizes são aqueles que não sentem.</t>
  </si>
  <si>
    <t>Alguém que odeia injustiça e quer um país mais justo para todos</t>
  </si>
  <si>
    <t>Em permanente estado de Delírio Comunista🚩</t>
  </si>
  <si>
    <t>Filiado ao PT, estudante universitário e presidente de escola de samba.</t>
  </si>
  <si>
    <t>nesse perfil falamos mal de bolsonaro</t>
  </si>
  <si>
    <t>Fora, Bolsonaro!</t>
  </si>
  <si>
    <t>Onde querem esquecer, vamos lembrar.</t>
  </si>
  <si>
    <t>Falo sobre Filmes e Séries e um pouco de política</t>
  </si>
  <si>
    <t>#concursofiscal</t>
  </si>
  <si>
    <t>História/FFLCH-USP.
Biblioteconomia, Arquivologia,
Museologia, Museografia.
Veganismo, Feminismo, Marxismo.</t>
  </si>
  <si>
    <t>★</t>
  </si>
  <si>
    <t>Palmeirense, esquerda, a mãe dos gatos fã de rock, reggae, samba, rap, DnB, house. Fã de séries, política e reality, perfil exclusivo p/esse fim.</t>
  </si>
  <si>
    <t>Historiador do Trabalho</t>
  </si>
  <si>
    <t>Lulista, Petista e Esquerdopata. De luto pelo Brasil.
Chute na boca de nazista é carinho.</t>
  </si>
  <si>
    <t>Mais Ribatejo diário online. A informação regional que interessa</t>
  </si>
  <si>
    <t>ele/dele
gay
Cientista político em formação.                                                          
https://t.co/EfybJdFj2V</t>
  </si>
  <si>
    <t>Ex-CTDCA por 8 anos, Ex-APM e servidor público. #Goianidade 
Ele diz que se dane o que vão pensar de mim, ele diz eles vão falar de mim ❤🎼</t>
  </si>
  <si>
    <t>BRIZOLA, DARCY RIBEIRO , LULA e DILMA! Ativista, brigando sempre pelo equilíbrio da pirâmide, para que ela se transforme em losango! Sempre na luta!</t>
  </si>
  <si>
    <t>Instagram @esequiaspierre</t>
  </si>
  <si>
    <t>Conhecereis a verdade e A VERDADE vos libertará do Bolsonaro!</t>
  </si>
  <si>
    <t>@ForadePrumo #MulheresPodcasters Ano passado eu morri, mas esse ano eu não morro</t>
  </si>
  <si>
    <t>há um rio afogando em mim</t>
  </si>
  <si>
    <t>Historiador-Professor-Investigador, de esquerda, Botafoguense, e retuíto tudo que possa gerar reflexão ou riso; Reaça, não perde seu tempo 👍🏻</t>
  </si>
  <si>
    <t>Viver!!💓 #LULA2022✊🏽⭐</t>
  </si>
  <si>
    <t>Andar caminho errado pela simples alegria de ser. (Coração Selvagem-Belchior). Pai, advogado, humanista, socialista, motociclista e fotógrafo amador.</t>
  </si>
  <si>
    <t>Não me sigam.</t>
  </si>
  <si>
    <t>Não seja diferente para agradar às outras pessoas. Tenha sua própria personalidade e agrade a si mesmo.</t>
  </si>
  <si>
    <t>APOSENTADO,COMUNISTA=SOCIALISTA,ATEU!D CRISTAOS CAPITALISTAS,HA O BRASIL,O PLANETA,E OS INFERNOS,SUPERLOTADOS!ANALISANDO FATOS,E EXPONDO OPINIOES!</t>
  </si>
  <si>
    <t>🚩🚩🚩🚩🚩🚩🚩🚩🚩🚩🚩🚩🚩
🕊🕊🕊🕊🕊🕊🕊🕊🕊🕊🕊🕊🕊</t>
  </si>
  <si>
    <t>É do inferno dos pobres que é feito o paraíso dos ricos</t>
  </si>
  <si>
    <t>homem</t>
  </si>
  <si>
    <t>Fobia Social; Esquerdista; Pensador Calado; Pânico em se Manifestar; Depressão; Pensamento radical introspectivo...🤓😱😨😢👽🙊🖥️💔</t>
  </si>
  <si>
    <t>#LULALIVRE.</t>
  </si>
  <si>
    <t>mãe se tu tiver me stalkeando dnv lembra que eu te amo</t>
  </si>
  <si>
    <t>Vascaíno, carioca, morador da ZN, petista, motociclista e trilheiro. Nessa ordem...</t>
  </si>
  <si>
    <t>vinte e sete anos de pura tranquilidade, calma e paz no coração. graduado em direito e mestre em ciência política pela @ufmg.</t>
  </si>
  <si>
    <t>Tem que mudar o governo pra poder estancar essa sangria.
É um acordo, botar o Michel, num grande acordo nacional.
Com o Supremo, com tudo. Jucá/Machado</t>
  </si>
  <si>
    <t>Procrastinador em série.</t>
  </si>
  <si>
    <t>Assessora do Lula (sem que ele saiba). Filiada ao Partido dos Trabalhadores.</t>
  </si>
  <si>
    <t>#Lula2022
Before you say something look in a water mirror.
Diretor do Instituto Airam de DH.
músico, e louco
~PT de São Paulo~
 SPFC, Bears, BULLS, Cubs</t>
  </si>
  <si>
    <t>Educador do instituto MR, minionfobico e amigo intimo do chupacu de Goiâninha.</t>
  </si>
  <si>
    <t>ESQUERDISTA CARNÍVORO E SANTISTA</t>
  </si>
  <si>
    <t>Eu sou um sujeito cuja descrição das características e qualidades não chegaria a 160 caracteres mesmo!</t>
  </si>
  <si>
    <t>eu sou a vaca que, na cela do matadouro, compreende o absurdo dos pastos. (Beckett)</t>
  </si>
  <si>
    <t>Uma vez professor de história, sempre professor de história.</t>
  </si>
  <si>
    <t>Se não há justiça para o povo, que não haja paz para o governo. - Emiliano Zapata, do México. PETISTA e filiado. LULA PRESIDENTE 2022</t>
  </si>
  <si>
    <t>of House Drumond, first of his name, son of National Faculty of Law, Defender of Human Rights.</t>
  </si>
  <si>
    <t>Arquiteto e Cartunista</t>
  </si>
  <si>
    <t>dialogando com a direitalha a partir de uma abordagem gonzo pós-putaça</t>
  </si>
  <si>
    <t>A RTP Madeira é um canal de características regionais, alternativo, assumindo a responsabilidade e a missão pela prestação do serviço público de televisão.</t>
  </si>
  <si>
    <t>Cristalina como água e profunda como o oceano 
Sapatão graças a Deus
Precisa conversar?
https://t.co/Kwv7klRaQU
Disque 188</t>
  </si>
  <si>
    <t>Digital Strategist | lover Marketing | Traveller| 
Life is like a riding a bike 
insta/Snap abnervinicius01</t>
  </si>
  <si>
    <t>#Lula2022 
“Não sigam nenhum  conselho Imbecil  do presidente  da república: tomem vacina, usem máscara e façam isolamento social.” 
@LulaOficial</t>
  </si>
  <si>
    <t>“Se você é capaz de tremer de indignação a cada vez que se comete uma injustiça no mundo, então somos companheiros”.
- Che Guevara</t>
  </si>
  <si>
    <t>wubba lubba dub dub</t>
  </si>
  <si>
    <t>Professora de Matemática, Mestre em Antropologia Social, Interessada nas pessoas e no mundo. Divide a conta com a filha, Alice (tudo por Naruto).</t>
  </si>
  <si>
    <t>Metade de mim_x000D_
é preguiça.._x000D_
A outra metade_x000D_
eu falo depois,_x000D_
por que to cansado...!</t>
  </si>
  <si>
    <t>🚩🚩🚩🏴🏴🏴🏴🏴🏴🏴🏴🏴</t>
  </si>
  <si>
    <t>Direitista e Bolsonariano de coração. Brasileiro com muito orgulho. Cristão de corpo e alma. Bruto, rústico e sistemático.</t>
  </si>
  <si>
    <t>🔎 Quem visitou seu perfil? 🔎 _x000D_
                👆 Clique aqui: https://t.co/mW28r1Kzpx 👆</t>
  </si>
  <si>
    <t>Economista para debater com taxista ; progressista; ótimos amigos; informada com livros e vivendo. Aposentada e não burra.</t>
  </si>
  <si>
    <t>Sou o Flávio Rezende e este é o perfil A Voz do Cerrado.
Acesse o Blog https://t.co/b6soe52aku</t>
  </si>
  <si>
    <t>Driver Coaching and Management. Drivers: D. Juncadella, R.Frijns, L. Stroll, L. Sa Silva, J.Daruvala, Sean Gelael.  Teams: PREMA POWER TEAM and FORTEC</t>
  </si>
  <si>
    <t>Desporto motorizado, com destaque nos Portugueses
Beyond the Grid, Bandeira Amarela is faster than you - bio de: @lidiapgomes
🎙️ de @diogocunha e @jpscleite</t>
  </si>
  <si>
    <t>Canal Oficial da Champions League, F1, Formula E, LaLiga, Bundesliga, Ligue 1, ATP, NFL, NASCAR e muito mais. Adere ao PASSE SEMESTRAL por €9,99 por mês.</t>
  </si>
  <si>
    <t>Sim, sou eu no colo do Lula | Estudo intervenções dos EUA na A.L., integração latino-americana e disputa EUAxChina | Futura mestranda, agora vai 🙏❤️</t>
  </si>
  <si>
    <t>LulaLivre! Surfista, skatista, feminista, antifascista, antirracista, esquerdista, petista, lulista, dilmista e socialista.     ellis.soares.940 instagram</t>
  </si>
  <si>
    <t>Em constante procura da sanidade.</t>
  </si>
  <si>
    <t>sou o que sou.</t>
  </si>
  <si>
    <t>Lulista desde sempre, petista por tabela, esquerdista e progressista por convicção. 
#LulaPresidente2022.
 A resposta pra BOT, minion e hater é BLOCK direto.</t>
  </si>
  <si>
    <t>#forabolsonaro...
🏳️‍🌈🚩🐕🐈</t>
  </si>
  <si>
    <t>Socialista, funcionária pública, filiada ao partido dos trabalhadores, mulher trans e cozinheira armadora!</t>
  </si>
  <si>
    <t>TRABALHISTAS - Construindo a nova maioria</t>
  </si>
  <si>
    <t>𝖘𝖔𝖚 𝖕𝖗𝖎𝖓𝖈𝖊𝖘𝖆 𝖉𝖆 𝖋𝖆𝖛𝖊𝖑𝖆 𝖊 𝖒𝖎𝖓𝖍𝖆 𝖇𝖚𝖈𝖊𝖙𝖆 𝖊 𝖛𝖎𝖈𝖎𝖆𝖓𝖙𝖊</t>
  </si>
  <si>
    <t>Prevencionista/fotógrafa/instrutora de xadrez/Partido dos trabalhadores e trabalhadoras!/fora,Bozo!✊🏼♀</t>
  </si>
  <si>
    <t>A cultura é uma coisa apavorante para os ditadores. Um povo que lê nunca será um povo escravizado- Antonio Lobo Antunes</t>
  </si>
  <si>
    <t>ela/ ella/ she - 
esquerda -
não vou falar que faço medicina porque você vai me odiar sem me conhecer</t>
  </si>
  <si>
    <t>Professor, pseudo-escritor, web-redator e crítico.</t>
  </si>
  <si>
    <t>🇪🇪Os militantes não vem ao mundo buscar o seu, vem entregar a alma por um punhado de sonhos.(Mujica)</t>
  </si>
  <si>
    <t>Contra a manipulação midiática e sobre as verdades que eles escondem.</t>
  </si>
  <si>
    <t>Tribalista marciano vivendo na Terra - Edificações 4/4 - Arquitetura e Urbanismo 4/10</t>
  </si>
  <si>
    <t>Seja + 1 a pedir a minha saída do governo federal.</t>
  </si>
  <si>
    <t>Antropófago Existencial - Sujeito dos Trópicos Úmidos 
*Meu delírio é  a experiência com coisas reais*
Belém  🌳 Belo Horizonte🍂
Égua, Uai</t>
  </si>
  <si>
    <t>business plan: enjoy living.</t>
  </si>
  <si>
    <t>Os amigos Pringle, Pissi, Edcarlos, Nelo e Jamir juntam-se todas as semanas para um debate benfiquista no Youtube. Segue-nos e subscreve o canal. #benficafm</t>
  </si>
  <si>
    <t>I tweet on first date.</t>
  </si>
  <si>
    <t>Sou pai, precisa dizer mais?</t>
  </si>
  <si>
    <t>革命无罪，造反有理'
'天下大乱，形势大好'
🏴☠️ | 🏳️‍🌈🏳️‍⚧️ | 🇧🇷🇨🇳🇵🇸🇨🇺🇻🇳🇧🇫🇨🇱🇧🇴🇰🇵
'Amar e mudar as coisas me interessa mais..'
Jornalista e umas outras coisas</t>
  </si>
  <si>
    <t>o Brasil é muito grande!
Bacharelado em Direito e esquerdista;   BRASIL LIVRE #Lula2022</t>
  </si>
  <si>
    <t>Petista🚩🥀</t>
  </si>
  <si>
    <t>Brazilian singer, composer (@smpbrazil) and editor, as well as a cultural activist and popular artist in his home town: Belo Horizonte.</t>
  </si>
  <si>
    <t>Brasileiro,Nacionalista, Progressista</t>
  </si>
  <si>
    <t>Paranista da Turma Boa, apoio o Projeto Nacional de Desenvolvimento de Ciro Gomes 🌹</t>
  </si>
  <si>
    <t>Sol Hidramix Riosraiosparaíso Diforças Halmeixeixas Hynfinito!</t>
  </si>
  <si>
    <t>Lula 2022!
Fora Bolsonaro e Mourão!
Imbecis que apoiam a perda dos próprios direitos são sumariamente bloqueados!</t>
  </si>
  <si>
    <t>Sou um aventureiro livre, com ênfase no livre.
A fuga das galinhas.</t>
  </si>
  <si>
    <t>Andar com fé eu vou, que a fé não costuma faiá</t>
  </si>
  <si>
    <t>dattebayo</t>
  </si>
  <si>
    <t>Pela democracia sempre! 🇧🇷🏳️‍🌈</t>
  </si>
  <si>
    <t>Amar e mudar as coisas me interessa mais</t>
  </si>
  <si>
    <t>#foramiliciano</t>
  </si>
  <si>
    <t>O interessado @jairbolsonaro; O criminoso @flaviobolsonaro; 
O empregado @deltanmd; O mentor @SF_Moro; A laranja @thameadanelon; O torcedor @RHPozzobo; A incent</t>
  </si>
  <si>
    <t>Cientista político que n salva o Brasil é foda e quita pra salvar a gente e se juntar a luta'</t>
  </si>
  <si>
    <t>Economista, M.A. Ciências Políticas. Sindicalista. Socialista na economia e liberal nos costumes. Rapatacho convicto.</t>
  </si>
  <si>
    <t>Historiador, professor, educador popular, Youtuber (Jones Manoel), Podcaster (@revolushow) e militante do PCB (@PCBpartidao).</t>
  </si>
  <si>
    <t>🚩</t>
  </si>
  <si>
    <t>não siga nenhuma decisão imbecil do presidente, tome vacina, use mascara, mantenha o distanciamento  
        -Lula Voltaire</t>
  </si>
  <si>
    <t>Buscando</t>
  </si>
  <si>
    <t>Jornal desportivo único, nativo digital, que vive diariamente todas as emoções do desporto, em particular do futebol nacional e internacional.</t>
  </si>
  <si>
    <t>1 92 1 ⚔ CIDADE &amp; CLUBE ⚔</t>
  </si>
  <si>
    <t>Não reconhecer os avanços sociais promovidos pelo Presidente Lula/ PT é de uma falta de honestidade sem igual...
#EsquerdistaSegueEsquerdista</t>
  </si>
  <si>
    <t>Porque o Minho já merecia um jornal digital assim. @ominhopt</t>
  </si>
  <si>
    <t>Nunca peça mais do que você daria e nunca aceite menos do que você merece. ⚠️
Prepara-te para o pior e trabalhe para o melhor.💯</t>
  </si>
  <si>
    <t>Administrador, engenheiro, um dos fundadores e ex-presidente do @partidonovo30.</t>
  </si>
  <si>
    <t>vim ao mundo pra esculhambar bolsominions e a '3ª via' | ele/dele, mas pouco importa | nunca fui obrigado a leiloar meu apartamento pro Eunicio de Oliveira.</t>
  </si>
  <si>
    <t>Engenheira e MSc em Tecnologia de Alimentos. Receita para mitigar os males do mundo: redução da desigualdade social! #LulaPresidente2022</t>
  </si>
  <si>
    <t>Jornalista por formação. Social Media, Redator e Conteúdo por necessidade de pagar os boleto.</t>
  </si>
  <si>
    <t>Arquiteto Urbanista e Professor.                              
 Resistindo ao avanço do obscurantismo.</t>
  </si>
  <si>
    <t>Subcelebridade jurídica local.</t>
  </si>
  <si>
    <t>Sou a favor do comunismo e da economia planificada.</t>
  </si>
  <si>
    <t>Lula Livre Presidente</t>
  </si>
  <si>
    <t>cadelinha (e funcionária) do SUS e do Freud (os dois)</t>
  </si>
  <si>
    <t>Artista plástica de formação.Alguém que observa a vida e pensa na contramão do mundo.. estou no Twitter desde q *tudo isso aqui era mato* e havia menos imbecis</t>
  </si>
  <si>
    <t>#EsquerdistaSegueEsquerdista
#Lulasempre
#ForaBolsonaro</t>
  </si>
  <si>
    <t>vai todo mundo perder</t>
  </si>
  <si>
    <t>ele/they
Aufere, trucidare, rapere, falsis nominibus imperium Atque ubi solitudinem faciunt pacem apellant</t>
  </si>
  <si>
    <t>she/her
there will be a lot of typos sorry</t>
  </si>
  <si>
    <t>raise your hand if you're constantly missing nct</t>
  </si>
  <si>
    <t>Pai, afasta de mim esse cálice(cale-se)
De vinho tinto de sangue.            Gil e Chico 
                   Petista Lulista 13</t>
  </si>
  <si>
    <t>Ela/Ella
Potiguar convicta, jornalista, conselheira @apyb.</t>
  </si>
  <si>
    <t>Cleópatra, rainha do Egito de 51-30aC, filha de Ptolomeu XII Auletes. 
Reencarnada no corpo de Amanda de Schrodinger do Brasil mas pobre, sacaneada por Amon-Rá.</t>
  </si>
  <si>
    <t>FORA BOLSONARO 😡 !!!</t>
  </si>
  <si>
    <t>Pernambucano, torcedor do Náutico, advogado, casado, pai de Maitê e secretário da comissão de direitos humanos da OAB/PE - seccional Garanhuns.</t>
  </si>
  <si>
    <t>FLUMINENSE de nascimento (Resende) e Coração. (Aqui falamos de tudo um pouco. Vc tem sua opinião e eu a respeito, pfv, respeite a minha.)1⃣3⃣🚩</t>
  </si>
  <si>
    <t>🙏❤</t>
  </si>
  <si>
    <t>Inconstitucionalissimamente</t>
  </si>
  <si>
    <t>🇧🇷 Patriota | Antifeminismo | Conservadora | Economicamente Liberal | Morte ao comunismo | Devemos muito aos militares de 64.</t>
  </si>
  <si>
    <t>Ciclista, apaixonada pela a vida.</t>
  </si>
  <si>
    <t>Jornalista. Escritor. De ESQUERDA. PETISTA. 🇻🇳 Marido da Vivi. Pai da Andréa, do Juan e do Zaion. Torcedor do FORTALEZA. 🇫🇷</t>
  </si>
  <si>
    <t>2020年末ぐらいから始めていつの間にか若葉毟られてた者のFF14垢。心にいつも若葉マーク。GaiaDCで漆黒5.55までクリア済。5.55までのネタバレ配慮してません。本垢はこちら@starsuka // Copyright (C) SQUARE ENIX CO., LTD. All Rights Reserved.</t>
  </si>
  <si>
    <t>fiz essa conta só pra reclamar da minha vida, não há nada interessante aqui #Lula2022</t>
  </si>
  <si>
    <t>Fã de Nicola Tesla. Defendo o SUS. Esse perfil apoia os povos originários. Eu votei no professor.</t>
  </si>
  <si>
    <t>MPF = marajás do Olimpo
Judiciário = marajás do Olimpo
militares brasileiros = lixo
Globo = câncer
C++ programmer
alma mater: USP</t>
  </si>
  <si>
    <t>Seeking, Sharing Info &amp; Knowledge abt Politics, Economy, Philosophy, Arts, Religion ... 2 reach Health, Truth, Peace, Freedom, Justice, Beauty, Love, God ...</t>
  </si>
  <si>
    <t>I swear I'm just a bird...
I'm just another bird!</t>
  </si>
  <si>
    <t>Professora por profissão, alfabetizadora por vocação. Nordestina, cearense, alvinegra, feminista e sempre esquerdista.</t>
  </si>
  <si>
    <t>Perfil oficial do Senador Humberto Costa (PT-PE). Ex-ministro da Saúde, atual presidente da Comissão de Direitos Humanos do Senado. #TrabalhoQueViraRealidade</t>
  </si>
  <si>
    <t>autor de coisas - este twitter é para maiores de 18.</t>
  </si>
  <si>
    <t>I'm feeling Bath</t>
  </si>
  <si>
    <t>Empresário, Carioca, Ariano, Vascaíno, Patriota, Bolsonarista 🇧🇷</t>
  </si>
  <si>
    <t>amo meu país</t>
  </si>
  <si>
    <t>🎓 Cinema • 📚 Pedagogia e pesquiso avaliação e currículo • filosofia • psicanálise • ENFJ-T • sabedoria feminino+masculino 🌓 • materialismo dialético</t>
  </si>
  <si>
    <t>Um grande país espero do fundo da noite chegar (Márcio Borges, Milton Nascimento)</t>
  </si>
  <si>
    <t>Advogada -
Direito Eleitoral; Administrativo; Cível; Consumidor; Família; Mulheres; LGBTQI+; Direitos Humanos e de Crianças e Adolescentes.</t>
  </si>
  <si>
    <t>Cientista Político. Autor de A cabeça do brasileiro, A cabeça do eleitor, e O voto do brasileiro. Não sou militante, não espere de mim reforço para suas crenças</t>
  </si>
  <si>
    <t>Muito ciente.</t>
  </si>
  <si>
    <t>Brasileira, feliz, otimista, persistente , petista, GALOO.Nas horas vagas adoro fritar coxinhas. #LulaLivreJá 🌟1⃣3⃣
Perfil alternativo @SandraMiria2 siga lá 👍</t>
  </si>
  <si>
    <t>Escritora/writer.  Agent: Thomas Colchie colchieagency@gmail.com</t>
  </si>
  <si>
    <t>Dirigente da @laicidade .
Independente de esquerda. 
Formado em ciências não sociais.</t>
  </si>
  <si>
    <t>限界看護大生です　PT輪舞とTeが好きな異常者
https://t.co/yZOye7OeEX…</t>
  </si>
  <si>
    <t>Ship4,10に生息中。another account. ep4から始めました。よろしくお願いします。アイコンとヘッダーはゆめさん(@yhm54)から 質問箱 https://t.co/sALW3187fN</t>
  </si>
  <si>
    <t>#SDV Sigo ESQUERDA Conc públicoSIM
SUS↔️Sim
Serv públicoSIM
VacinaSIM💉</t>
  </si>
  <si>
    <t>Um simples homem que pensa muito.'</t>
  </si>
  <si>
    <t>Sempre em frente</t>
  </si>
  <si>
    <t>Olahraga Klub Media</t>
  </si>
  <si>
    <t>Akun Twitter resmi PT Transportasi Jakarta. Jika memiliki pertanyaan dapat menghubungi twitter, 1500-102 atau halo TiJe pada apps Tije</t>
  </si>
  <si>
    <t>Eu deleto tweets — A vida me disse milhões d "Não", mas ela teve ke   engolir goela abaixo! #followme\#followyou  #freepalestine</t>
  </si>
  <si>
    <t>rikiheejake collector's life ❤️ #yenfeedback #yenupdatee #GAbyyenn #yenGA_proof
(灬º‿º灬)♡ @shedruce ^^</t>
  </si>
  <si>
    <t>O melhor programa econômico de governo é não atrapalhar aqueles que produzem, investem, poupam, empregam, trabalham e consomem. - Barão de Mauá. No left here!</t>
  </si>
  <si>
    <t>Segunda conta. Cristão, armamentista, pró-vida, Bolsonarista, conservador, valoriza família e lealdade. Comunistas e progressistas fora!!</t>
  </si>
  <si>
    <t>aqui é pra reclamar mesmo fingir felicidade a gente finge nas outras redes sociais</t>
  </si>
  <si>
    <t>Conservador de Extrema Direita, Cristão, Patriota, Olavette, Gado hétero, Carnívoro, Anticomunismo, Antiglobalismo e contra os dois PCC's.</t>
  </si>
  <si>
    <t>de Penamacor à Motown, fraternamente incorrecto</t>
  </si>
  <si>
    <t>A newsmagazine mais lida do país</t>
  </si>
  <si>
    <t>Era para ser Marketing para totós mas alguns de nós já não têm cabelo. https://t.co/cnucVIVwz9</t>
  </si>
  <si>
    <t>i de informação</t>
  </si>
  <si>
    <t>Sou do mundo. Ando por lá mas gosto de vir cá.</t>
  </si>
  <si>
    <t>são tudo percepções, a realidade é outra… sou da raia.</t>
  </si>
  <si>
    <t>Não sabendo que era impossível foi lá e soube</t>
  </si>
  <si>
    <t>A Universidade Pública Portuguesa de Educação a Distância, aberta ao mundo, inovadora e sustentável</t>
  </si>
  <si>
    <t>A Escola Nacional de Bombeiros (ENB) é a autoridade pedagógica na formação técnica dos bombeiros portugueses.</t>
  </si>
  <si>
    <t>Engenheiro Técnico de Segurança, Técnico Sup. Segurança do Trabalho, Técnico Sup. Proteção Civil, FORMADOR, Bombeiro Voluntário, Ribatejano e Almeirinense</t>
  </si>
  <si>
    <t>A cultura hip hop e sons emergentes em português.</t>
  </si>
  <si>
    <t>Cientista da Computação, Sysadmin aprendiz de DevOps. TI que trabalha/estuda de Anísio Teixeira a Inovação em Aprendizagem. Curto história, música, literatura</t>
  </si>
  <si>
    <t>aforismos sem sex appeal.</t>
  </si>
  <si>
    <t>Calm like a bomb</t>
  </si>
  <si>
    <t>👩🏻‍🔬🦠🧬🔬 | ni-jû-roku, プチ。no bs back off ⚠️</t>
  </si>
  <si>
    <t>Phd, 30 years in public health administration, love my country and my president! No DMs, here for Trump</t>
  </si>
  <si>
    <t>#LulaLivre 
#LulaInocente
#LulaPresidente</t>
  </si>
  <si>
    <t>Engenheiro Eletricista.. tricolor de aço eternamente</t>
  </si>
  <si>
    <t>jornalista, comerciais, radialista (criador do balacobaco 89 fm a radio rock e âncora do Rock Bola) , apresentador de tv, pai da Cat e da Manu.</t>
  </si>
  <si>
    <t>Corintiano, Progressista, Trabalhista...</t>
  </si>
  <si>
    <t>Não é porque eu não falo as coisas, que eu não as percebo. Muito pelo contrário. Repare bem no que eu não digo.</t>
  </si>
  <si>
    <t>Não me siga</t>
  </si>
  <si>
    <t>Desde muitos anos influenciando ngm.
Não me siga, flw vlw.</t>
  </si>
  <si>
    <t>ㅤ   》NCT《ㅤㅤ Não seja como eu e não perca seu tempo discutindo com quem acredita em ameaça comunista ☆ Não me segue só dou rt em kpop e política ☆</t>
  </si>
  <si>
    <t>Otimista, esperançoso e grato.</t>
  </si>
  <si>
    <t>Sou a favor da verdade, não importa quem a conte. Sou a favor da justiça, não importa pra quem ou contra quem. Malcom X</t>
  </si>
  <si>
    <t>Paródia.</t>
  </si>
  <si>
    <t>Mestrando em filosofia na UFABC, filho de Oxóssi e Iemanjá.</t>
  </si>
  <si>
    <t>Biólogo
Todo o Liberalismo foi ocupado pelos direitistas... Todo? Não! Uma ala povoada por irredutíveis bloquistas resiste ainda e sempre ao invasor!</t>
  </si>
  <si>
    <t>Página do Núcleo Territorial de Coimbra da Iniciativa @LiberalPT
https://t.co/UR1xfMkTkf
coimbra@liberal.pt
#EuEscolhoCoimbra #PolíticaConsciente</t>
  </si>
  <si>
    <t>Ex-Governador Civil de Lisboa, ex-Deputado, Presidente de uma IPSS, Consultor de Empresas, Diretor Geral em Agência de Comunicação</t>
  </si>
  <si>
    <t>A desobediência, para quem conhece a história, é a virtude específica do homem. É pela desobediência que ele progrediu - pela desobediência e pela revolta.
O.W.</t>
  </si>
  <si>
    <t>I help teams that need to collaborate on complex documents save 70% of their time and eliminate all the zero value-added activities when working globally.</t>
  </si>
  <si>
    <t>理学療法士/2010年取得/2016年～機能訓練指導員として高齢者施設で勤務/知見は福祉分野寄り/生活リハビリ/拘縮予防/褥瘡予防/動画編集/講師/資産形成(FP)/医療・福祉業界の方と情報交換がしたいです</t>
  </si>
  <si>
    <t>年商2億円規模の訪問看護ステーションで所長をしているPT 【✍️ブログ】訪看、医療介護制度、お金、雑記 【🌈興味】FP、簿記、投資【📘関連】PT/訪看/訪リハ/福祉住環境コーディネーター/簿記/FP/インデックス投資/仮想通貨/高配当株投資/FIRE/子育て/ブログ/せどり/楽天経済圏/ ブログURL↙️ ↙️↙️</t>
  </si>
  <si>
    <t>Triste demais pra reclamar (mentira reclamo sempre)
@sportrecife e @dccomics</t>
  </si>
  <si>
    <t>Patriota Conservador</t>
  </si>
  <si>
    <t>Uma bio bem escrita (vivida), é um belo incentivo para quem está procurando escrever a sua......</t>
  </si>
  <si>
    <t>Jornal regional generalista. Ao sábado em conjunto com o EXPRESSO em todas as bancas do Algarve. Caderno Cultura.Sul na primeira sexta-feira de cada mês.</t>
  </si>
  <si>
    <t>Josué 1.8</t>
  </si>
  <si>
    <t>Olhando pra frente</t>
  </si>
  <si>
    <t>Sol em Shura de Capricórnio e ascendente em Camus de Aquário. Serei uma supercentenária em 2109. 🙏😊
#ForaBolsonaroGenocida e #LulaPresidente2022</t>
  </si>
  <si>
    <t>Historiadora da arte, corinthiana, Lulista, Dilmista, petista. Só voto no PT, não insista!  @LulaOficial💯%PT 13</t>
  </si>
  <si>
    <t>Proud to be Romanian,unvaccinated.</t>
  </si>
  <si>
    <t>#Sarcasm &amp; #caterinca TWEETS
🚫DM / No followback to Porn🚫</t>
  </si>
  <si>
    <t>🌎 my world 🌎</t>
  </si>
  <si>
    <t>bmi atual: 27.6 // goal bmi: 18/19 | ed desde 2018, a conta é nova mas eu n sou n | pro recovery</t>
  </si>
  <si>
    <t>Engenheiro, palmeirense, conservador, Católico, Deus Vult, guitarrista de fim de semana! 🐷🇮🇹⚽️🎸
Engineer, conservative, Catholic, weekend guitarist</t>
  </si>
  <si>
    <t>Rubro-negro, mineiro, divorciado, esquerdista.</t>
  </si>
  <si>
    <t>Enfrente que se vai em frente!</t>
  </si>
  <si>
    <t>6 e onibus</t>
  </si>
  <si>
    <t>Membro IL Coimbra: https://t.co/H3ePTF2juM. Gosto da palavra "Renew"</t>
  </si>
  <si>
    <t>ㅤㅤyo⮯
ㅤㅤㅤ𖨆 + 𓃡𓃠𓃠   =  ♡🏡🌎♡
ㅤㅤ ㅤㅤㅤ ⮬mis mascotas
ʚ𖨆ɞ-ʚ𓃡ɞ-ʚ𓃡ɞ-ʚ𓃠ɞ tengo ángeles
ㅤㅤㅤㅤㅤㅤㅤㅤㅤㅤㅤㅤ🥇BEST KIRISHIMA STAN</t>
  </si>
  <si>
    <t>GUEREANDO SEMPRE POR DUAS PÁTRIAS,  A CELESTE 🌌 E A TERRESTRE,🌍.
     PORQUE PRA MIM O VIVER É CRISTO        E O MORRER É LUCRO!  
⏳MARANATA!</t>
  </si>
  <si>
    <t>Feliz o povo que anda na luz da minha face. Sl.89. Paz e bem!</t>
  </si>
  <si>
    <t>Fã de chimarrão. Conservadora dos bons costumes. Patriota, defensora do Brasil. Professora de idiomas.</t>
  </si>
  <si>
    <t>🇧🇷🇦🇹    Povo precisa de educação, saúde, transporte, melhores salários....
Povo não precisa de armas</t>
  </si>
  <si>
    <t>📱 O seu portal de notícias. Tudo sobre política, saúde, justiça, comportamento, entretenimento. Confira os fatos relevantes do país e do mundo em tempo real.</t>
  </si>
  <si>
    <t>De direita, Paraense, casado e apaixonado por futebol. Clube do Remo (Leão Azul Paraense) 🦁⚓ e S.P.F.C (tricolor paulista, Soberano) 🇾🇪</t>
  </si>
  <si>
    <t>trabalhador, responsável, sócio torcedor em dia, capricorniano, Esquerdista , FORA BOLSONAR*</t>
  </si>
  <si>
    <t>Deputado Federal PT-ES, ex-prefeito de Cariacica, poeta e professor de filosofia.</t>
  </si>
  <si>
    <t>Fatinha</t>
  </si>
  <si>
    <t>🤍 @cruzeiro
@dudewhoisaliceb</t>
  </si>
  <si>
    <t>a meta é ser 🤑 aos 20 🤝@Cristiano / @Cruzeiro / https://t.co/0PlSq18pLY</t>
  </si>
  <si>
    <t>bandeira branca amor...
não posso mais...
pela saudade que me invade
eu peço paz</t>
  </si>
  <si>
    <t>#DireitosHumanos
Tratar políticos como ídolos só destrói a democracia. 
políticos verdadeiros devem ser representantes de um coletivo.meu twitter, minhas regras</t>
  </si>
  <si>
    <t>postando tweets para ser cancelado quando virar uma subcelebridade</t>
  </si>
  <si>
    <t>Meu alter ego controla aqui as vezes. Sim, estou no Rj e to na tv(não precisa perguntar toda hora)</t>
  </si>
  <si>
    <t>sociável até certo ponto</t>
  </si>
  <si>
    <t>Argentino, jornalista e anti-herói.
🎬 @CinemaEscurinho</t>
  </si>
  <si>
    <t>♈ acadêmico de 💊⬅🌈⭐</t>
  </si>
  <si>
    <t>Professora e Deputada Federal, Secretária de Formação Política do PT/Brasil, ex Ministra de Direitos Humanos do Brasil.</t>
  </si>
  <si>
    <t>Advogado, deputado federal (PT/CE) eleito para o 4º mandato consecutivo e vice-presidente nacional do @ptbrasil #sempreaoladodopovo</t>
  </si>
  <si>
    <t>Ultra Nacionalista trabalhista!</t>
  </si>
  <si>
    <t>Face: https://t.co/z4KzxOdsqe                       
Insta: @cirogomesmemes
TikTok: @cirogomesnotiktok
Canal no Telegram: https://t.co/nhz6dOKLHV</t>
  </si>
  <si>
    <t>Engenheiro civil e Empresário.</t>
  </si>
  <si>
    <t>Leitor de manga e light novel em tempo integral, estudante de ADM nas horas vagas. Fã de YouJitsu, 86 e Re:Zero 🥶</t>
  </si>
  <si>
    <t>Tudo bom? Não leve tudo a serio aqui⛄️
17y | Conta antiga @vitoristo1</t>
  </si>
  <si>
    <t>✨big5ang✨b7ob✨seventeen✨treasure✨ateez ✨ pentagon✨winner✨7KON✨</t>
  </si>
  <si>
    <t>oxente</t>
  </si>
  <si>
    <t>O portal do futebol mundial! Siga-nos também no Facebook: http://t.co/kEqkNTc3</t>
  </si>
  <si>
    <t>Take the risk or lose the chance.</t>
  </si>
  <si>
    <t>(DRIVE YOU HOME)https://t.co/Rc9jv9VLfX
(riBBon)https://t.co/vTngbhQ83U
(All Your Fault) https://t.co/2idqtuPInQ</t>
  </si>
  <si>
    <t>Recent CLS grad, with 2 daughters, and married to a a great guy. Working at a job I love (most days) and trying to enjoy life and survive.</t>
  </si>
  <si>
    <t>Medical Technologist; lover of democracy, the separation of church and state, my dog &amp; aquariums, and learning. Also super jaded &amp; political.</t>
  </si>
  <si>
    <t>Layanan autobase seputar info Lowongan Kerja, Magang, Volunteer &amp; Karir 💼 | Trigger word: kr | Yuk kirim menfess ! 🚀 | https://t.co/PN6qChYRFS | Admin @hrdfess</t>
  </si>
  <si>
    <t>Só alguém que tem opiniões próprias e faz questão de dizer quando quer!</t>
  </si>
  <si>
    <t>EPGE-FGV, FGV Growth &amp; Development</t>
  </si>
  <si>
    <t>jornal diariOnline  Região Sul</t>
  </si>
  <si>
    <t>Lisboa: 89.5 FM | Porto: 105.3 FM</t>
  </si>
  <si>
    <t>a staytiny • 8 is fate and 8 makes 1 team 🖤</t>
  </si>
  <si>
    <t>#스트레이키즈 #방찬 “많이 좋았어 미안” || teamsvs 🐝🔮 || s/h</t>
  </si>
  <si>
    <t>não quero críticas. @saopaulofc</t>
  </si>
  <si>
    <t>A mais bêbada do site 📩 bebada@loopinfluencia.com.br 📩</t>
  </si>
  <si>
    <t>life is so sad, he would think in those moments. it's so sad, and yet we all do it.</t>
  </si>
  <si>
    <t>kinda ia</t>
  </si>
  <si>
    <t>sbt akun</t>
  </si>
  <si>
    <t>Official Twitter of MNC Bank | Part of MNC Group | Listed and Supervised by Financial Services Authority (OJK) | Customer Care 24 Hr Call 1500188</t>
  </si>
  <si>
    <t>Bringing the world together, one meeting at a time.</t>
  </si>
  <si>
    <t>for 하루토🦋 | 최찬희🆕🐧 | 김선우☀️🦝 | 스테이씨🤍☘️ ~ #tbz #treasure #stayc‏‏‏‏‎ ‎‏‏‏multi :33</t>
  </si>
  <si>
    <t>Buying and Selling account #chanheeamorfeedback</t>
  </si>
  <si>
    <t>#밀릭 🐻🦄 #다보이즈 #THEBOYZ #SEVENTEEN #AESPA { visual group with powerful talent✨ } { my happiness 🐝 } { TheB &amp; Carat &amp; MY }  #maiNakupdate</t>
  </si>
  <si>
    <t>#선우  OH MY pEaCh!</t>
  </si>
  <si>
    <t>🇲🇾living in🇰🇷#THEBOYZ #ASTRO #NCTDREAM #CIIPHER #ENHYPEN #EPEX #MIRAE #2PM #PLOUD #LOUD #prufeedbacks #prupdates 더비3기 엔진1기 아로하5기 LOUD STANS➡️@sungjjunniee</t>
  </si>
  <si>
    <t>fans THE BOYZ ❣ the boyz come back 🎢</t>
  </si>
  <si>
    <t>as your wish</t>
  </si>
  <si>
    <t>this user cant choose between 🐧, 🦊, ☀️ &amp; 🌙 help- #sarahwtfupdates #saraaahwtffeedbacks theb 💓 moa</t>
  </si>
  <si>
    <t>#bbangjukyufeedback #bbangjukyuupdate #bbangjukyuyangdoproof #bbangjukyuarrival #bbangjukyutrading #bbangjukyupostage</t>
  </si>
  <si>
    <t>Wife/Mama. MYDAY</t>
  </si>
  <si>
    <t>Fan of B1A4,ONF,DAY6 |Retweet FA|
✨A precious love doesn't fade but lingers 🥰❤️✨ #FreePalestine🇵🇸</t>
  </si>
  <si>
    <t>#SEUNGCHEOL 🍒 #JEONGHAN 👼🏻 - ready to love #BAEKHYUN - bambi #LUCAS - neomu lonely jigeum neomu happy 💟</t>
  </si>
  <si>
    <t>오래보자 오래오래 사랑하자 ❦ 겟잇? 갓잇!</t>
  </si>
  <si>
    <t>🗿</t>
  </si>
  <si>
    <t>INFP-T Multistan Mediocre , mostly Nyuubies :3 |WTS THREAD| Price can nego , for srs buyer :)</t>
  </si>
  <si>
    <t>multis ༉‧₊˚✧ 1612  i'm broke ㅠㅠ                
#F4IRYWHOfeedback</t>
  </si>
  <si>
    <t>A SGE assegura o apoio técnico e administrativo à área de governação da Economia e da Transição Digital.</t>
  </si>
  <si>
    <t>#더보이즈: 항상 함께 행복하자 ♥︎♥︎</t>
  </si>
  <si>
    <t>a multifandom 😉</t>
  </si>
  <si>
    <t>22 || 𝘛𝘪𝘮𝘦 𝘪𝘴 𝘵𝘩𝘦 𝘦𝘴𝘴𝘦𝘯𝘤𝘦 𝘰𝘧 𝘩𝘦𝘢𝘭𝘪𝘯𝘨 || selective in following || ᴱᴿᴵᶜ • ᴶᴬᶜᴼᴮ • ᴶᴬᴱᴴʸᵁᴺ • ᴰᴼʸᴼᵁᴺᴳ • ᴬᴱˁᴾᴬ • ᴿᵛ ♡</t>
  </si>
  <si>
    <t>hey i draw ▪︎multifandom ▪︎ mostly KPOP and anime✨Store &amp; Commission https://t.co/LlysQsTmlO</t>
  </si>
  <si>
    <t>Professor de Física - SEDUC-CE
Professor de Ciências - SME - CE
Eng. Agrônomo - UFC
Petista vermelho 🚩</t>
  </si>
  <si>
    <t>Esquerdista,Petista,Anti Fascista,creio em Deus e na ciência. O Brasil é maior que Bolsonaro♀️🚩🇧🇷</t>
  </si>
  <si>
    <t>Political cartoonist: visual chronicler of barbarism.</t>
  </si>
  <si>
    <t>Azucrino constantemente emissoras golpistas.</t>
  </si>
  <si>
    <t>INTJ, cientista social, marxista, ateísta, administrador de umas páginas aí, aficionado por música brasileira (principalmente o lado b). Cerveja &amp; Gudang.</t>
  </si>
  <si>
    <t>insta: jsilva7_2
@FCPorto 💙💙</t>
  </si>
  <si>
    <t>Twitter oficial do FC Porto</t>
  </si>
  <si>
    <t>➙ Amante intrínseco do mosto extraído da uva preta 🍇 | ©️ 𝕁𝕠𝕥𝕒 𝔼𝕟𝕖 𝕥𝕨𝕚𝕥𝕥𝕖𝕣 ✍🏼</t>
  </si>
  <si>
    <t>SEJA BEM VINDO AO MEU TWITTER😊</t>
  </si>
  <si>
    <t>Gaúcho de coração, pai do Pablo e João Artur, marido da Valéria, advogado e prefeito de Porto Alegre.</t>
  </si>
  <si>
    <t>200% FELIZ DA VIDA com BOLSONARO PRESIDENTE!!!
Patriota e Armamentista!</t>
  </si>
  <si>
    <t>Spam@hwxall</t>
  </si>
  <si>
    <t>Being born an olive doesn't mean you'll automatically grow to be a strong tree.</t>
  </si>
  <si>
    <t>Assistente Social Petralha Lulista</t>
  </si>
  <si>
    <t>Ser simples, natural e respeitar pra ser respeitado esse e meu lema</t>
  </si>
  <si>
    <t>A #3 Revista do Shifter está disponível para venda 🙌 Compra a tua revista em: https://t.co/QpLG5sy37n</t>
  </si>
  <si>
    <t>Notícias sobre economia, empresas e mercados. Análises e opinião.</t>
  </si>
  <si>
    <t>Arquitecto, Curioso, Pensador e Comentador</t>
  </si>
  <si>
    <t>O Centro de Estudos Sociais da Universidade de Coimbra é uma instituição científica dedicada à investigação e à formação nas ciências sociais e nas humanidades.</t>
  </si>
  <si>
    <t>vivendo e aprendendo</t>
  </si>
  <si>
    <t>Lizard, come home 
#matofeedback🍅 | #matoupdates🍅</t>
  </si>
  <si>
    <t>-Arsyilla-</t>
  </si>
  <si>
    <t>#LulaLivre
#ANTIFA</t>
  </si>
  <si>
    <t>Política sem romantismos, pé na realidade. Grêmio. 
Antes de mais nada, antineoliberal! 
100% Lula e Brizola.
🇧🇷🇧🇷Esquerda POPULAR e NACIONAL🇧🇷🇧🇷</t>
  </si>
  <si>
    <t>Seekor Ojol &amp; Pembuat Donat
depewepe@gmail.com
dwipermadi.grab@gmail.com
WA 082245072204</t>
  </si>
  <si>
    <t>Em casa mesmo q o bozo e o resto da população pensem q a pandemia acabou...</t>
  </si>
  <si>
    <t>Eu sou apenas um rapaz latino americano, sem dinheiro no banco, sem tweets importantes e vindo do Norte do Brasil...</t>
  </si>
  <si>
    <t>Uno ser bien simple y directo, en su forma de pensar, actua para que los demás sean los actores principales, mientras sigue su vida humilde y honesta, y no más.</t>
  </si>
  <si>
    <t>Resistência é o mundo que deus deu. Criolo.</t>
  </si>
  <si>
    <t>Sometimes people don't want to hear the truth because they don't want their illusions destroyed. F.N
Bolsonarista. Favor não colocar minha @ em SDV.</t>
  </si>
  <si>
    <t>Cristã, pró-vida, pró-familia, armamentista, anti-comunista e derivados, combatente da inJustiça, patriota 💙💚💛
Telegram: https://t.co/SBWuzde90G</t>
  </si>
  <si>
    <t>🇯🇵 名誉、正義、自由と平等。
🇺🇸 Honor, Justice , Freedom and Equality.
🇧🇷 Honra, Justiça, Liberdade e Igualdade🇮🇱 כבוד, צדק, חופש ושוויון 😎👊🙏🙌</t>
  </si>
  <si>
    <t>Para cada escolha um resultado!
Desperte enquanto é tempo!!!
Ao invés de trocar de Celular, Compre uma Arma. 
Você irá Precisar em Breve!!!</t>
  </si>
  <si>
    <t>Série de podcasts que abordam o processo de subversão dos EUA pelo movimento comunista.</t>
  </si>
  <si>
    <t>Cristã, brasileira, advogada, conservadora, defensora da Pátria e direitos humanos.
Perfil com foco consciencial.
⛔ NO listas de sdv
⛔ NÃO respondo DM</t>
  </si>
  <si>
    <t>she/her  multistan
                                                                markhyuck addict    yeonjun and jaemin enthu</t>
  </si>
  <si>
    <t>175/70 || Taurus ♉ || Final Year Engineering Student || Sometimes sing (a lot)</t>
  </si>
  <si>
    <t>beep beep✈  
neo got my back🫂</t>
  </si>
  <si>
    <t>KAYMAN BEAUTY PERAK 
بِسْمِ اللَّهِ الرَّحْمَنِ الرَّحِيم
🚗 Kg Gajah, Tg tualang, Kampar, Batu gajah, Seri iskandar 
🏡 Self pickup Uitm Kg gajah</t>
  </si>
  <si>
    <t>~ʚ(•”̮•)ɞ</t>
  </si>
  <si>
    <t>한/ENG/MY || 더비들!! 우리 친구 할래? || another side of me: @darkskyatnight</t>
  </si>
  <si>
    <t>#jaexfeedback #jaexupdate</t>
  </si>
  <si>
    <t>Ada yang bisa dibanting?</t>
  </si>
  <si>
    <t>8 Is A Good Number</t>
  </si>
  <si>
    <t>💡Um cara aí de 15 anos que fala de economia e gosta de desburocratização.</t>
  </si>
  <si>
    <t>Eu explico tributário pra não passar raiva sozinha. Não sou contadora. Para o Podcast, busque por Duquesa de Tax no seu agregador.</t>
  </si>
  <si>
    <t>Trader/ Investor/ Politics/ Bully</t>
  </si>
  <si>
    <t>Agricultor, com passado multindisciplinar. Um rapaz direitinho desse jeito não tem mais.</t>
  </si>
  <si>
    <t>Journalist at the @UN / Jornalista nas @NacoesUnidas 🇺🇳🇧🇷</t>
  </si>
  <si>
    <t>Escritório da Organização Pan-Americana da Saúde/Organização Mundial da Saúde (OPAS/OMS) no Brasil. Trabalhamos para melhorar e proteger a saúde da população.</t>
  </si>
  <si>
    <t>Assegurar que cada criança e adolescente tenha seus direitos humanos integralmente cumpridos, respeitados e protegidos é a principal missão do UNICEF.</t>
  </si>
  <si>
    <t>#Educação #Ciências #Cultura
Construindo a paz na mente dos homens e das mulheres.
Instagram @unescobrasil</t>
  </si>
  <si>
    <t>Perfil oficial do Programa das Nações Unidas para o Desenvolvimento (PNUD) no Brasil. Trabalhamos para empoderar vidas e construir nações mais resilientes.</t>
  </si>
  <si>
    <t>Sociedade Brasileira de Gestão do Conhecimento</t>
  </si>
  <si>
    <t>Perfil oficial das Nações Unidas no Brasil.</t>
  </si>
  <si>
    <t>diretor @internetlabbr /
doutor @usponline /
rt não é apoio / e por aqui posto minhas opiniões pessoais.</t>
  </si>
  <si>
    <t>Escola Superior de Ciências Empresariais - Instituto Politécnico de Viana do Castelo (ESCE-IPVC) | Twitter oficial</t>
  </si>
  <si>
    <t>Prof e Me em Ensino da História; petista; sempre à esquerda; LGBTQ+; colorado; portelense.
Me movo como educador, porque, primeiro, me movo como gente. Freire</t>
  </si>
  <si>
    <t>Professora, sempre à esquerda, acredito na luta por um mundo melhor. Vamos juntos resgatar o Brasil.</t>
  </si>
  <si>
    <t>Graduada em pedagogia pela Universidade Federal de Pernambuco, casada, mãe de 3. Sigo de volta, exceto bolsominions!</t>
  </si>
  <si>
    <t>Sou lindo, comedor de casadas nas horas vagas</t>
  </si>
  <si>
    <t>Um cara excêntrico e que gosta de falar sobre vinhos, whiskies, charutos e mercado financeiro. Apaixonado por aviação e armas, além de ser muito legal</t>
  </si>
  <si>
    <t>Nada</t>
  </si>
  <si>
    <t>🚨Bot que da rt em tudo sobre desemprego🚨</t>
  </si>
  <si>
    <t>meu copo tem droga e tem fé // INTP // @atletico</t>
  </si>
  <si>
    <t>Na luta para ganhar minha carteirinha de “esquerdista”com autorização do PT 🌹💚🌱</t>
  </si>
  <si>
    <t>Sou professor da USP. Fui ministro da Educação (2005-2012), prefeito de São Paulo (2013-2016) e candidato a Presidente da República (2018).</t>
  </si>
  <si>
    <t>Um deboche em meio ao caos político é sempre bem-vindo</t>
  </si>
  <si>
    <t>Cosplay ELNINO #IkatanCinta || Oshiin @Eve_JKT48 || Part of @utinistic</t>
  </si>
  <si>
    <t>Actor. Indonesian. 🇲🇨 Instagram: @oks_antara</t>
  </si>
  <si>
    <t>You follow,  I'm follback...</t>
  </si>
  <si>
    <t>Doutora em Geografia e pesquisadora: degradação do solo, desertificação, mudanças climáticas, sensoriamento remoto e GIS. 
Embaixadora Regional @YouthMappers</t>
  </si>
  <si>
    <t>nctzen x gem</t>
  </si>
  <si>
    <t>Sempre na luta!
Escarro em nazifascistóide e desejo que Belzebu os receba com aquele infinito estoque de abacaxis bem coroados para serem enfiados em seus rabos</t>
  </si>
  <si>
    <t>À esquerda sempre! Tenho NOJO de reaça! Retornando ao Twitter depois de um longo tempo!</t>
  </si>
  <si>
    <t>O velho comunista se aliançou
Ao rubro do rubor do meu amor!</t>
  </si>
  <si>
    <t>#AlmaSuína, anarcotroska, jornalista irresponsável e tia do pavê.</t>
  </si>
  <si>
    <t>ouviram do ipiranga as margens placidas
de um povo heroico o brado retumbante
e o sol da liberdade em raios fulgidos
brilhou no ceu da patria nesse instante</t>
  </si>
  <si>
    <t>Augusto de Franco é um dos netweavers da Escola-de-Redes</t>
  </si>
  <si>
    <t>'Fale com suavidade e tenha na mão um grande porrete'' (T.R.)  Imperialista e Anti trist a base de porrete em idiotas iludidos</t>
  </si>
  <si>
    <t>😘 Muach Udel™</t>
  </si>
  <si>
    <t>curious / curioso</t>
  </si>
  <si>
    <t>🗣 Perfil criado para servir ao #VascoDaGama #Lula #Dilma e #PT. não gostou? desgoste aí na sua casa. aqui só quem tem delírios comunista!</t>
  </si>
  <si>
    <t>Coordenadora Nacional da Auditoria Cidadã da Dívida. https://t.co/ZDjQBfwsIz</t>
  </si>
  <si>
    <t>Estou de volta, Bolsominions não são bem vindos.</t>
  </si>
  <si>
    <t>Esquerda, PTista, Lulista, latino-americana, paixão por Cuba e defensora da Venezuela. Corecon ja guardei a carteirinha. Aos 70 medo só do vírus. Vermes, nojo!</t>
  </si>
  <si>
    <t>🚩Não sou novela, mas pode me seguir.
Tudo pode acontecer, inclusive nada.
Se não há justiça para o povo, que não haja paz para o governo.(E. Zapata)🚩</t>
  </si>
  <si>
    <t>Casada com Bernardo Felipe; mãe de Guilherme, Caetano e Samuel; Professora, Lulista, feminista, esquerdista, antifascista e antirracista</t>
  </si>
  <si>
    <t>O Jair Messias Bolsonaro é um genocida miliciano que tomou de assalto o Brasil!
#ForaBolsonaro</t>
  </si>
  <si>
    <t>O universo conspira a meu favor!!!</t>
  </si>
  <si>
    <t>Sou da área de saúde! Esquerdista. Sou Lula e Dilma, e foi GOLPE sim.</t>
  </si>
  <si>
    <t>Visão de mundo voltada à esquerda.
Na luta contra a imbecilização imposta pela mídia capitalista.
Em Brasília desde 1966, quando (quase) tudo aqui era mato.</t>
  </si>
  <si>
    <t>Perfil utilizado para administração dos grupos do coletivo Conexão Petista 🚩🚩🚩🚩🚩</t>
  </si>
  <si>
    <t>Perfil humor🤪 Tonho da🌛 - #TonhoSDV
Debochado e dono de métodos questionáveis de humor.
CEO @TonhoSDV
🟣🗣️🎙️@MicrofoneSolida #MicrofoneSolidario</t>
  </si>
  <si>
    <t>Воља народа је много моћнија од силе војске.</t>
  </si>
  <si>
    <t>ANTICOISO Corintiana, Esquerdista, Kardecista, Feminista... Em Evolução 💪🤜🤛🌻❤🙏🏼</t>
  </si>
  <si>
    <t>Eu sou o cheiro dos livros desesperados, sou Gitá gogoya Seu olho me olha, mas não me pode alcançar Não tenho escolha, careta, vou descartar ...</t>
  </si>
  <si>
    <t>Filiada ao Partido dos Trabalhadores. Lulista e Dilmista. 
#LulapeloNordeste #ComLulaAmanhãExiste
@conexãopetista</t>
  </si>
  <si>
    <t>@RedeLula</t>
  </si>
  <si>
    <t>Professora da Universidade Federal de Rondônia; 👩🏻‍🏫
Bacharel em Gestão Ambiental🌴🏙
Técnica em Informática para Internet 👩🏻‍💻
#ForaBolsonaro</t>
  </si>
  <si>
    <t>... já não sonho, hoje faço com meus braços o meu viver...
Advogada, sagitariana e muito feliz!</t>
  </si>
  <si>
    <t>mãe, esposa, bailarina, patriota e de esquerda.</t>
  </si>
  <si>
    <t>Jornalista Diplomado, repórter, assessor de imprensa</t>
  </si>
  <si>
    <t>Esquerdista, feminista, nordestina raiz, espírita, adoro balbúrdia, na estrada da vida desde 2000.
Sem a mínima paciência pra Minions de qualquer natureza.</t>
  </si>
  <si>
    <t>🎗️🚩1️⃣3️⃣🦑🌟❤️🚩🚩👊👊✊🤝
seja você a sua melhor versão!!</t>
  </si>
  <si>
    <t>Sem frescuras...   
#ConexãoPetista 🤜🚩🤛
#LulaPresidente</t>
  </si>
  <si>
    <t>Conhecimento muda comportamento, o conhecimento liberta! libriano, corredor de rua, de esquerda #agroecologia</t>
  </si>
  <si>
    <t>Amo artes e música toco alguns instrumentos e sou do bem ( não confunda com cidadão de bem kkk) tenho bom coração. Amo os animais e pai da Elis.🎷🎸🎧🚩🚩🚩✊🏿</t>
  </si>
  <si>
    <t>Eu me entrego totalmente  a Misericórdia Divina e a Divina Providência.
Hoje e Sempre amém!</t>
  </si>
  <si>
    <t>Soldador, Pai dos 2 melhores filhos do mundo, subversivo que sempre vai defender o Trabalhador nas injustiças .</t>
  </si>
  <si>
    <t>Mais vale dois pássaros voando do que um na mão.</t>
  </si>
  <si>
    <t>fabio</t>
  </si>
  <si>
    <t>Não serei livre enquanto alguma mulher for prisioneira, mesmo que as correntes dela sejam diferentes das minhas – Audre Lorde 🌻</t>
  </si>
  <si>
    <t>Professora  aposentada do governo  de Rondônia. 
Apaixonada por flores em especial orquídeas e rosas do deserto. 
Esquerda segue Esquerda.
#ForaBolsonaro</t>
  </si>
  <si>
    <t>Amo minha família. Sou esquerdista LULA PRESIDENTE!</t>
  </si>
  <si>
    <t>Consciência política de esquerda. Filiado ao PT, mas amo todos da ESQUERDA independente do partido de esquerda a qual pertence. Defensor da ciência e do planeta</t>
  </si>
  <si>
    <t>aposentado</t>
  </si>
  <si>
    <t>🌹#Ciro2022. SDV🌳🐶🐱vegetariana
#EsquerdaSegueEsquerda</t>
  </si>
  <si>
    <t>Professor de História...sempre à esquerda!!!</t>
  </si>
  <si>
    <t>Graduado em História e Direito.
Pós graduado em: EAD; Direito e Processo do Trabalho; Direito Constitucional.
Professor e 🏳️‍🌈 Membro da @renosplgbti .</t>
  </si>
  <si>
    <t>🟣🗣️🎙️@MicrofoneSolida Café &amp; Cia ☕
Espaço de troca de saberes em diálogo.
#CafeeCia ☕
#MicrofoneSolidario 🟣🗣️🎙️</t>
  </si>
  <si>
    <t>Na escola da vida um eterno aprendiz. @MicrofoneSolida °🔺°#TwitterSpacesBr 
 #CafeeCia ☕
#SpacePapoFuraBolha
#MicrofoneSolidario
🟣🗣🎙️#TwitterSpacesBr</t>
  </si>
  <si>
    <t>mas quem não entendeu foi eu que esqueci quem foi Jesus que fez o bem maior que o meu e mesmo assim morreu na cruz ✝️ 👰🏻👸🏻</t>
  </si>
  <si>
    <t>Mestrando em Ciências Jurídico-Politicas (Universidade do Porto-PT); MBA em Direito Tributário (FGV); LLM em Direito Societário (FGV); Advogado.</t>
  </si>
  <si>
    <t>Diário da Resistência</t>
  </si>
  <si>
    <t>Hi! This account is for Malaysian ahgase trading purposes. Please be careful of scammers and fake items. we are not responsible for them. Thank you💚💚</t>
  </si>
  <si>
    <t>🇲🇾 based! rt-ing account for 시즈니 to sell/ trade their items💚 #NCT #WAYV</t>
  </si>
  <si>
    <t>💚 | 21 (◜◡◝)</t>
  </si>
  <si>
    <t>Email : 
oposisicerdas@yahoo.com
oposisicerdasnews@gmail.com</t>
  </si>
  <si>
    <t>Inlader yg dibenci Penjajah dan pengkhianat
Hanya Allah Yg dapat Membuka Aib Pejabat² Negara ini</t>
  </si>
  <si>
    <t>♋ Cancerianis
🍺 Animador de boteco;
🎶 Cantor de chuveiro e 
🌈 LGBTQI+
32 anos de carreira divulgada apenas para os íntimos.</t>
  </si>
  <si>
    <t>Ahmad NorAmirul Putra 🌸🥰 got a bun in the oven 🤫</t>
  </si>
  <si>
    <t>🐥 ahgase MY wtt/wts/wtb tweets for GOT7 💚 Do tag us in your tweets for GOT7 trading/selling/buying! (◍•ᴗ•◍)❤ You can put #pasargot7 in your tweets!</t>
  </si>
  <si>
    <t>♥ 𝔾𝕆𝕋𝟟 ♥ 𝕄𝕖𝕨 ♥ 𝔾𝕦𝕝𝕗 ♥ #zanifaysronGO #zanifaysronGA</t>
  </si>
  <si>
    <t>Porto Alegre, Brasil</t>
  </si>
  <si>
    <t>Rio de Janeiro, Brasil</t>
  </si>
  <si>
    <t>Lisbon, Portugal</t>
  </si>
  <si>
    <t>Rio Grande do Sul, Brasil</t>
  </si>
  <si>
    <t>Rio de Janeiro</t>
  </si>
  <si>
    <t>🇺🇸</t>
  </si>
  <si>
    <t>Brasil</t>
  </si>
  <si>
    <t>Santo André</t>
  </si>
  <si>
    <t>República Federativa do Brasil</t>
  </si>
  <si>
    <t>São Paulo, Brazil</t>
  </si>
  <si>
    <t>Pernambuco, Brasil</t>
  </si>
  <si>
    <t>Curitiba - Brasil</t>
  </si>
  <si>
    <t>Sao Paulo, Brasil</t>
  </si>
  <si>
    <t>Amapá, Brasil</t>
  </si>
  <si>
    <t>Aracaju, Brasil</t>
  </si>
  <si>
    <t>SP</t>
  </si>
  <si>
    <t>São Paulo, Brasil</t>
  </si>
  <si>
    <t>Brasília, Brasil</t>
  </si>
  <si>
    <t>Vila Velha, Brasil</t>
  </si>
  <si>
    <t>Fortaleza, Brasil</t>
  </si>
  <si>
    <t>Recife, Brasil</t>
  </si>
  <si>
    <t>Portugal</t>
  </si>
  <si>
    <t>Miami, FL</t>
  </si>
  <si>
    <t>São Paulo</t>
  </si>
  <si>
    <t>Paraíba, Brasil</t>
  </si>
  <si>
    <t>Salvador, Brasil</t>
  </si>
  <si>
    <t>@FC_UL</t>
  </si>
  <si>
    <t>Funchal, Portugal</t>
  </si>
  <si>
    <t>Paulínia, Brasil</t>
  </si>
  <si>
    <t>Lisboa, Portugal</t>
  </si>
  <si>
    <t>Turin</t>
  </si>
  <si>
    <t>kmerch2013@gmail.com</t>
  </si>
  <si>
    <t>República das Bananas</t>
  </si>
  <si>
    <t>Brasil🇧🇷</t>
  </si>
  <si>
    <t>RJ/MG</t>
  </si>
  <si>
    <t>joana@filosofiaparacriancas.pt</t>
  </si>
  <si>
    <t>Porto Alegre, Rio Grande do Sul</t>
  </si>
  <si>
    <t>São Paulo/SP</t>
  </si>
  <si>
    <t>RJ</t>
  </si>
  <si>
    <t>Belo Horizonte, Brasil</t>
  </si>
  <si>
    <t>João Pessoa, Brasil</t>
  </si>
  <si>
    <t>my soul belongs to TVXQ ~</t>
  </si>
  <si>
    <t xml:space="preserve">Uberlândia </t>
  </si>
  <si>
    <t>Contagem - MG</t>
  </si>
  <si>
    <t>Washington, USA</t>
  </si>
  <si>
    <t>Guarapari, ES, Brasil</t>
  </si>
  <si>
    <t>Lisboa</t>
  </si>
  <si>
    <t>Jakarta-Indonesia</t>
  </si>
  <si>
    <t>Sidoarjo, Indonesia</t>
  </si>
  <si>
    <t>Ngawi, Indonesia</t>
  </si>
  <si>
    <t>Kota Malang, Jawa Timur</t>
  </si>
  <si>
    <t>Tulungagung, Indonesia</t>
  </si>
  <si>
    <t>Nusantara</t>
  </si>
  <si>
    <t>Brooklyn, NY</t>
  </si>
  <si>
    <t>Jatisampurna</t>
  </si>
  <si>
    <t>Simalungun, Sumatera Utara</t>
  </si>
  <si>
    <t>Hijrahlah lalu istiqomah</t>
  </si>
  <si>
    <t>Madiun</t>
  </si>
  <si>
    <t>Jampangkulon, Indonesia</t>
  </si>
  <si>
    <t>Porto Alegre</t>
  </si>
  <si>
    <t>Tasikmalaya, Jawa Barat</t>
  </si>
  <si>
    <t>+60 | RCBYF ー</t>
  </si>
  <si>
    <t>Semarang</t>
  </si>
  <si>
    <t>info@joanarita.eu</t>
  </si>
  <si>
    <t>Peruíbe, Brasil</t>
  </si>
  <si>
    <t>São Paulo | Bologna</t>
  </si>
  <si>
    <t>Onde mora a felicidade</t>
  </si>
  <si>
    <t>Tegal, Jawa Tengah</t>
  </si>
  <si>
    <t>Kalimantan Timur, Indonesia</t>
  </si>
  <si>
    <t>Espírito Santo</t>
  </si>
  <si>
    <t>Juiz de Fora/Salvador</t>
  </si>
  <si>
    <t>Niterói, RJ, Brasil</t>
  </si>
  <si>
    <t>Belém, Brasil</t>
  </si>
  <si>
    <t>Americana, SP</t>
  </si>
  <si>
    <t>Bethesda, MD</t>
  </si>
  <si>
    <t>Chiemgau, Deutschland</t>
  </si>
  <si>
    <t xml:space="preserve">aonde o mal olhado não chega </t>
  </si>
  <si>
    <t>Mount Zion, IL</t>
  </si>
  <si>
    <t>Santos, SP, Brasil</t>
  </si>
  <si>
    <t>São Caetano do Sul</t>
  </si>
  <si>
    <t>Cuiabá, Brasil</t>
  </si>
  <si>
    <t>Brasília - DF</t>
  </si>
  <si>
    <t>Jaboticabal, Brasil</t>
  </si>
  <si>
    <t>Anápolis, Brasil</t>
  </si>
  <si>
    <t>Angra dos Reis, Brasil</t>
  </si>
  <si>
    <t>Araraquara, Brasil</t>
  </si>
  <si>
    <t>Santa Catarina, Brasil</t>
  </si>
  <si>
    <t>Chapecó SC</t>
  </si>
  <si>
    <t>Paraná, Brasil</t>
  </si>
  <si>
    <t>Osaka</t>
  </si>
  <si>
    <t>São Paulo, SP, Brasil</t>
  </si>
  <si>
    <t>Algum lugar de poa</t>
  </si>
  <si>
    <t>México</t>
  </si>
  <si>
    <t>Ensenada, Baja California</t>
  </si>
  <si>
    <t>Centro de la Ciudad de México</t>
  </si>
  <si>
    <t>Jl. M.H. Thamrin No. 8 10340</t>
  </si>
  <si>
    <t>B/W Venus, Mercury &amp; Jupiter</t>
  </si>
  <si>
    <t>Mafra</t>
  </si>
  <si>
    <t>ahgastaymoarmy♡</t>
  </si>
  <si>
    <t>jabodetabek</t>
  </si>
  <si>
    <t xml:space="preserve"> ❤️🇮🇩</t>
  </si>
  <si>
    <t>Porto, Portugal</t>
  </si>
  <si>
    <t xml:space="preserve">SC,itajai </t>
  </si>
  <si>
    <t>brasil</t>
  </si>
  <si>
    <t>Cornélio Procópio, Brasil</t>
  </si>
  <si>
    <t xml:space="preserve">Copacabana Rio de Janeiro </t>
  </si>
  <si>
    <t>São Paulo - Brasil</t>
  </si>
  <si>
    <t>Goiânia-Go</t>
  </si>
  <si>
    <t>PORTO ALEGRE(RS)BRASIL</t>
  </si>
  <si>
    <t>Curitiba, Brazil</t>
  </si>
  <si>
    <t>stc z.o</t>
  </si>
  <si>
    <t>Madripoor</t>
  </si>
  <si>
    <t>Australia</t>
  </si>
  <si>
    <t>FORTALEZA - CEARÁ - BRASIL.</t>
  </si>
  <si>
    <t>Campo Grande, Lisboa</t>
  </si>
  <si>
    <t>Maringá, Brasil</t>
  </si>
  <si>
    <t>Duque de Caxias</t>
  </si>
  <si>
    <t>Galiza</t>
  </si>
  <si>
    <t>she it that mew</t>
  </si>
  <si>
    <t>São Paulo, Brasil.</t>
  </si>
  <si>
    <t>Georgia, USA</t>
  </si>
  <si>
    <t>Follow me for a cookie</t>
  </si>
  <si>
    <t>Azeitão, Portugal</t>
  </si>
  <si>
    <t>Belo Horizonte</t>
  </si>
  <si>
    <t>Salvador/Bahia</t>
  </si>
  <si>
    <t>Salvador, Bahia, Brasil</t>
  </si>
  <si>
    <t>Gallaecia</t>
  </si>
  <si>
    <t>Portimão, Portugal 🇵🇹</t>
  </si>
  <si>
    <t>Estados Unidos.🇺🇲 ES/RJ</t>
  </si>
  <si>
    <t xml:space="preserve">埼玉 </t>
  </si>
  <si>
    <t>portugal</t>
  </si>
  <si>
    <t>Franca, Brasil</t>
  </si>
  <si>
    <t>Unaí, Brasil</t>
  </si>
  <si>
    <t>DFW area</t>
  </si>
  <si>
    <t>Hester, 140 NY</t>
  </si>
  <si>
    <t>Syurga 🌼</t>
  </si>
  <si>
    <t>Bahia</t>
  </si>
  <si>
    <t>Terra - Sol - Via Láctea</t>
  </si>
  <si>
    <t>Salvador, Brazil</t>
  </si>
  <si>
    <t>Resende, Brasil</t>
  </si>
  <si>
    <t>Aparecida de Goiania Go Brasil</t>
  </si>
  <si>
    <t>Uberlândia, Brasil</t>
  </si>
  <si>
    <t>Salvador/BA</t>
  </si>
  <si>
    <t xml:space="preserve">ative as notificações </t>
  </si>
  <si>
    <t>Capital do Ceará</t>
  </si>
  <si>
    <t>Rio de Janeiro, Brazil</t>
  </si>
  <si>
    <t>ZLU doces</t>
  </si>
  <si>
    <t>Curitiba, Brasil</t>
  </si>
  <si>
    <t>Ericeira, Óbidos</t>
  </si>
  <si>
    <t>Caraguatatuba, Brasil</t>
  </si>
  <si>
    <t>Caraguatatuba, Brasil🐍</t>
  </si>
  <si>
    <t>he/they</t>
  </si>
  <si>
    <t xml:space="preserve"> World E.U. France Portugal</t>
  </si>
  <si>
    <t>southerm european</t>
  </si>
  <si>
    <t>캐덥진아</t>
  </si>
  <si>
    <t>Eucaliptugal d'AssunçãoCristas</t>
  </si>
  <si>
    <t>NY - not investment advice</t>
  </si>
  <si>
    <t>Guarujá, Brasil</t>
  </si>
  <si>
    <t>Florianópolis, Brazil</t>
  </si>
  <si>
    <t>ManCity</t>
  </si>
  <si>
    <t>rs in likes</t>
  </si>
  <si>
    <t>feel free to tag me okey</t>
  </si>
  <si>
    <t>tag me to rt yours</t>
  </si>
  <si>
    <t>Dallas, Texas</t>
  </si>
  <si>
    <t>Belo Horizonte, BR</t>
  </si>
  <si>
    <t>1600-189 Lisboa</t>
  </si>
  <si>
    <t xml:space="preserve">Santarém, Tapajós </t>
  </si>
  <si>
    <t xml:space="preserve">Somewhere </t>
  </si>
  <si>
    <t>Goiânia, Brasil</t>
  </si>
  <si>
    <t>Vitória-ES</t>
  </si>
  <si>
    <t>Estados Unidos</t>
  </si>
  <si>
    <t>JN - CEARA</t>
  </si>
  <si>
    <t>Banten, Indonesia</t>
  </si>
  <si>
    <t>🤍🌙 cbyf</t>
  </si>
  <si>
    <t>Canoas, Brasil</t>
  </si>
  <si>
    <t>Somewhere</t>
  </si>
  <si>
    <t>Runeterra</t>
  </si>
  <si>
    <t>URSS</t>
  </si>
  <si>
    <t xml:space="preserve">Fortaleza  </t>
  </si>
  <si>
    <t>Bath, England</t>
  </si>
  <si>
    <t>Australia c/o UK</t>
  </si>
  <si>
    <t>🇷🇴</t>
  </si>
  <si>
    <t>12/12 🍼 01/01🥣</t>
  </si>
  <si>
    <t>Brasil/RJ</t>
  </si>
  <si>
    <t>Rio de Janeiro, RJ</t>
  </si>
  <si>
    <t>Rio de Janeiro - Londres</t>
  </si>
  <si>
    <t>soon to be a star in due time</t>
  </si>
  <si>
    <t>New York, NY</t>
  </si>
  <si>
    <t>Nova York</t>
  </si>
  <si>
    <t>Brasília - Brasil.</t>
  </si>
  <si>
    <t>RIO DE JANEIRO / BRAZIL</t>
  </si>
  <si>
    <t>Lisboa, Porto, Sao Paulo, Rio</t>
  </si>
  <si>
    <t>Me siga no Facebook!</t>
  </si>
  <si>
    <t>Mafra, Ericeira</t>
  </si>
  <si>
    <t>Brasilia, Brasil</t>
  </si>
  <si>
    <t>Não pertenço a lugar algum :)</t>
  </si>
  <si>
    <t>Belo Horizonte, MG</t>
  </si>
  <si>
    <t xml:space="preserve">Porto, Portugal, 🇪🇺 </t>
  </si>
  <si>
    <t>Long Beach, CA</t>
  </si>
  <si>
    <t>North Essex</t>
  </si>
  <si>
    <t>Sheffield</t>
  </si>
  <si>
    <t>Crowland, Lincolnshire</t>
  </si>
  <si>
    <t>Out and about</t>
  </si>
  <si>
    <t>matinho do seu juca</t>
  </si>
  <si>
    <t>São Gonçalo</t>
  </si>
  <si>
    <t>São Paulo, SP</t>
  </si>
  <si>
    <t>Braga, Portugal</t>
  </si>
  <si>
    <t>Alagoas, Brasil</t>
  </si>
  <si>
    <t>Brasília, DF, Brasil</t>
  </si>
  <si>
    <t>Brasília</t>
  </si>
  <si>
    <t>Lima, Perú</t>
  </si>
  <si>
    <t>por air</t>
  </si>
  <si>
    <t>Fortaleza</t>
  </si>
  <si>
    <t>World</t>
  </si>
  <si>
    <t>Bahia, Brasil</t>
  </si>
  <si>
    <t>São Bernardo do Campo</t>
  </si>
  <si>
    <t>belo horizonte, desculpa</t>
  </si>
  <si>
    <t>Brasilia DF</t>
  </si>
  <si>
    <t>Arujá, São Paulo - Brasil</t>
  </si>
  <si>
    <t>Porto Alegre, RS</t>
  </si>
  <si>
    <t>Recife</t>
  </si>
  <si>
    <t>MUNDO</t>
  </si>
  <si>
    <t>SWAGGRSTAN / BRASIL</t>
  </si>
  <si>
    <t>Espírito Santo, Brasil</t>
  </si>
  <si>
    <t>Criciúma-SC</t>
  </si>
  <si>
    <t>Sao Paulo, SP</t>
  </si>
  <si>
    <t>Belo Horizonte/MG</t>
  </si>
  <si>
    <t>Duque de Caxias, Brasil</t>
  </si>
  <si>
    <t xml:space="preserve">Rio de Janeiro </t>
  </si>
  <si>
    <t>Ribeirão Pires-SP</t>
  </si>
  <si>
    <t>Santo Domingo, Ecuador</t>
  </si>
  <si>
    <t>Gama - DF</t>
  </si>
  <si>
    <t>Acre- Brasil</t>
  </si>
  <si>
    <t>Brasilty</t>
  </si>
  <si>
    <t>El país del no me acuerdo</t>
  </si>
  <si>
    <t>Natal - RN - Brasil</t>
  </si>
  <si>
    <t>Arroio Grande - RS</t>
  </si>
  <si>
    <t>Santo André, Brasil</t>
  </si>
  <si>
    <t xml:space="preserve">Jaboatão dos Guararapes </t>
  </si>
  <si>
    <t>Sta Bárbara e Gyn</t>
  </si>
  <si>
    <t>Amalfi, Campania</t>
  </si>
  <si>
    <t>Niteroi- RJ</t>
  </si>
  <si>
    <t>Teresina, Brasil</t>
  </si>
  <si>
    <t>Pilar,Alagoas</t>
  </si>
  <si>
    <t>CURITIBA-PR./NASC=18/10/1951!</t>
  </si>
  <si>
    <t xml:space="preserve">Brasil </t>
  </si>
  <si>
    <t>Ribeirão Preto</t>
  </si>
  <si>
    <t>na sua</t>
  </si>
  <si>
    <t>Tatooine</t>
  </si>
  <si>
    <t>Recife, Pernambuco</t>
  </si>
  <si>
    <t>São Paulo, SP, Brazil</t>
  </si>
  <si>
    <t>Brasílialand, Brazil</t>
  </si>
  <si>
    <t>Joinville</t>
  </si>
  <si>
    <t>Norwegian Wood</t>
  </si>
  <si>
    <t>Madeira</t>
  </si>
  <si>
    <t>Lua</t>
  </si>
  <si>
    <t>meu primeiro tweet #LulaInocente Petista,Lulista.</t>
  </si>
  <si>
    <t>He | Ele</t>
  </si>
  <si>
    <t>Manaus, Amazonas</t>
  </si>
  <si>
    <t>Niterói, Rio de Janeiro</t>
  </si>
  <si>
    <t>Oporto, Portugal</t>
  </si>
  <si>
    <t>Área 51</t>
  </si>
  <si>
    <t xml:space="preserve">Catolé do Rocha </t>
  </si>
  <si>
    <t>Juiz de Fora,Minas Gerais</t>
  </si>
  <si>
    <t>BH(MG)</t>
  </si>
  <si>
    <t>Rio Grande do Sul</t>
  </si>
  <si>
    <t>Barra do Garças, Brasil</t>
  </si>
  <si>
    <t>BH/MG - BEL/PA - Brasil</t>
  </si>
  <si>
    <t>Cascais, Portugal</t>
  </si>
  <si>
    <t>Lisbon</t>
  </si>
  <si>
    <t>Brasília/Paraná</t>
  </si>
  <si>
    <t>SBC-Brasil</t>
  </si>
  <si>
    <t>Minas Gerais, Brasil</t>
  </si>
  <si>
    <t>Mariana- MG</t>
  </si>
  <si>
    <t>Rio De Janeiro</t>
  </si>
  <si>
    <t>Manaus, Brasil</t>
  </si>
  <si>
    <t>tucanistao,brasil</t>
  </si>
  <si>
    <t>Lula da Silva do Brasil</t>
  </si>
  <si>
    <t>URSAL</t>
  </si>
  <si>
    <t xml:space="preserve">Canudos </t>
  </si>
  <si>
    <t>Minho</t>
  </si>
  <si>
    <t>Capivari, SP, Brasil</t>
  </si>
  <si>
    <t>Dark side of the earth</t>
  </si>
  <si>
    <t>Juiz de Fora, Brasil</t>
  </si>
  <si>
    <t>Contagem</t>
  </si>
  <si>
    <t>Ascia</t>
  </si>
  <si>
    <t xml:space="preserve">Barris - Salvador </t>
  </si>
  <si>
    <t>Natal, Brazil</t>
  </si>
  <si>
    <t>Garanhuns, Brasil</t>
  </si>
  <si>
    <t>MINAS GERAIS - BR</t>
  </si>
  <si>
    <t>Sou do mundo Sou Minas Gerais</t>
  </si>
  <si>
    <t>Serra, Brasil</t>
  </si>
  <si>
    <t>Sergipe</t>
  </si>
  <si>
    <t>Volta Redonda, RJ, Brasil</t>
  </si>
  <si>
    <t>Onde o vento faz a curva</t>
  </si>
  <si>
    <t>Motunui</t>
  </si>
  <si>
    <t>perto de São Paulo (cidade)</t>
  </si>
  <si>
    <t>Everywhere</t>
  </si>
  <si>
    <t>Pernambuco</t>
  </si>
  <si>
    <t>Barra da Tijuca</t>
  </si>
  <si>
    <t>Palmas, Brasil</t>
  </si>
  <si>
    <t>Nas nuvens</t>
  </si>
  <si>
    <t>"Bonaire islands" 🏖🏝</t>
  </si>
  <si>
    <t>Here There and Everywhere</t>
  </si>
  <si>
    <t>yen ^_^ she her 🇲🇾, jake's</t>
  </si>
  <si>
    <t>Araruama, Brasil</t>
  </si>
  <si>
    <t>Crato, Ceará</t>
  </si>
  <si>
    <t>Richmond USA</t>
  </si>
  <si>
    <t>15 - she/her - bi - filo</t>
  </si>
  <si>
    <t>i luv sandy +60♡</t>
  </si>
  <si>
    <t>Lausanne, Lisboa e mais alguns</t>
  </si>
  <si>
    <t>Niterói, Brasil</t>
  </si>
  <si>
    <t>Almeirim, Portugal</t>
  </si>
  <si>
    <t>Balneário Camboriú/SC</t>
  </si>
  <si>
    <t>he/them 🇲🇨</t>
  </si>
  <si>
    <t>Campo Grande, MS</t>
  </si>
  <si>
    <t>Refuse Resist</t>
  </si>
  <si>
    <t>Salvador, BA</t>
  </si>
  <si>
    <t>São Paulo - SP - Brasil</t>
  </si>
  <si>
    <t>Sao Paulo -SP</t>
  </si>
  <si>
    <t>são paulo</t>
  </si>
  <si>
    <t>Belo Horizonte, Brazil</t>
  </si>
  <si>
    <t>Nordeste, maior e melhor ❤</t>
  </si>
  <si>
    <t>Abrantes/Coimbra</t>
  </si>
  <si>
    <t>Coimbra, Portugal</t>
  </si>
  <si>
    <t>Lisboa e Caldas da Rainha</t>
  </si>
  <si>
    <t>Coimbra, PT</t>
  </si>
  <si>
    <t>Distrito Federal, Brasil</t>
  </si>
  <si>
    <t>Algarve, Portugal</t>
  </si>
  <si>
    <t>Maraan-AM</t>
  </si>
  <si>
    <t>Hell de Janeiro, Brasil.</t>
  </si>
  <si>
    <t>São Paulo Brasil</t>
  </si>
  <si>
    <t>Romania</t>
  </si>
  <si>
    <t>Macapá, Brasil</t>
  </si>
  <si>
    <t>INFJ // 4w3 // mel-san</t>
  </si>
  <si>
    <t>Terra Boa, PR - Brasil</t>
  </si>
  <si>
    <t>shella | 卍 | INFP | ♒</t>
  </si>
  <si>
    <t>en la mierda</t>
  </si>
  <si>
    <t xml:space="preserve">Gaúcha, residente no Piauí. </t>
  </si>
  <si>
    <t>Ivoti, RS</t>
  </si>
  <si>
    <t xml:space="preserve">Minas Gerais </t>
  </si>
  <si>
    <t>Belém - PA - Brasil</t>
  </si>
  <si>
    <t xml:space="preserve">Belém PARÁ </t>
  </si>
  <si>
    <t>Cariacica-ES</t>
  </si>
  <si>
    <t>Curitiba</t>
  </si>
  <si>
    <t>Congonhas, Brasil</t>
  </si>
  <si>
    <t>Minokamo-shi, Gifu</t>
  </si>
  <si>
    <t>São Paulo, BR</t>
  </si>
  <si>
    <t>Ceará</t>
  </si>
  <si>
    <t>Kamina City</t>
  </si>
  <si>
    <t>Repubilca De Banania Boza</t>
  </si>
  <si>
    <t>Texas, USA</t>
  </si>
  <si>
    <t>PP/Rules ada di website</t>
  </si>
  <si>
    <t>Kota Pekan Baru, Riau</t>
  </si>
  <si>
    <t>Algarve - Portugal</t>
  </si>
  <si>
    <t>Lisboa - Portugal</t>
  </si>
  <si>
    <t>selective follow</t>
  </si>
  <si>
    <t>Bar</t>
  </si>
  <si>
    <t>ele/dele</t>
  </si>
  <si>
    <t xml:space="preserve">mars </t>
  </si>
  <si>
    <t>San Jose, CA</t>
  </si>
  <si>
    <t>s/her 16</t>
  </si>
  <si>
    <t xml:space="preserve"> 🇲🇾</t>
  </si>
  <si>
    <t xml:space="preserve">tbz/svt heart ♥ | SHE¦HER </t>
  </si>
  <si>
    <t>she/ her, ot11</t>
  </si>
  <si>
    <t>she/her 01'</t>
  </si>
  <si>
    <t>JORDAN 🇯🇴</t>
  </si>
  <si>
    <t>selective fb</t>
  </si>
  <si>
    <t>KL | MY 🇲🇾</t>
  </si>
  <si>
    <t>svt exo nuest nct 🇲🇾🇰🇷</t>
  </si>
  <si>
    <t>🇲🇾 she/her | #MILNYU</t>
  </si>
  <si>
    <t>Rest from collecting poca rn:)</t>
  </si>
  <si>
    <t>Ceará, Brasil</t>
  </si>
  <si>
    <t>Piauí, Brazil</t>
  </si>
  <si>
    <t>Dragão, Porto, Portugal</t>
  </si>
  <si>
    <t>📌 Lx, 𝕻𝖔𝖗𝖙𝖚𝖌𝖆𝖑</t>
  </si>
  <si>
    <t>Santa Maria de Oliveira</t>
  </si>
  <si>
    <t>Aracruz</t>
  </si>
  <si>
    <t>São Luís, MA</t>
  </si>
  <si>
    <t>Balneário Camboriú-SC</t>
  </si>
  <si>
    <t>POA</t>
  </si>
  <si>
    <t>Canelones, Uruguay</t>
  </si>
  <si>
    <t xml:space="preserve">Aracaju </t>
  </si>
  <si>
    <t>Matrix</t>
  </si>
  <si>
    <t xml:space="preserve">#clairemyfb #clairemyupdate </t>
  </si>
  <si>
    <t>SUB-SDA</t>
  </si>
  <si>
    <t>i have 64 bfs ☺︎</t>
  </si>
  <si>
    <t>주연이 마음</t>
  </si>
  <si>
    <t xml:space="preserve">Pedarga </t>
  </si>
  <si>
    <t xml:space="preserve">She/her 19 </t>
  </si>
  <si>
    <t xml:space="preserve">Ubajara, Ceará, Brasil </t>
  </si>
  <si>
    <t>Rio de Janeiro, RJ, Brasil</t>
  </si>
  <si>
    <t>Valença - Portugal</t>
  </si>
  <si>
    <t>Rio Grande, Brasil</t>
  </si>
  <si>
    <t>Recife/PE</t>
  </si>
  <si>
    <t>Toxit City</t>
  </si>
  <si>
    <t>billie's house 😎</t>
  </si>
  <si>
    <t>Ribeirão Preto, Brasil</t>
  </si>
  <si>
    <t>Cluster Nirwana Yg terkutuk</t>
  </si>
  <si>
    <t>West Borneo</t>
  </si>
  <si>
    <t>Cozinha, Inferno.</t>
  </si>
  <si>
    <t>Pelotas, Rio Grande do Sul</t>
  </si>
  <si>
    <t>Ipiranga, São Paulo, Brasil</t>
  </si>
  <si>
    <t>Desa Tumaritis</t>
  </si>
  <si>
    <t>Sisi Raga</t>
  </si>
  <si>
    <t>RB, Acre, Amazônia, Brasil</t>
  </si>
  <si>
    <t xml:space="preserve">Dependendo: aqui, ali e acolá </t>
  </si>
  <si>
    <t>São Luís, Maranhão</t>
  </si>
  <si>
    <t>Recife, Brazil</t>
  </si>
  <si>
    <t>Litoral Sul SP.</t>
  </si>
  <si>
    <t>Guajará-Mirim, Brasil</t>
  </si>
  <si>
    <t>Nordeste do BR</t>
  </si>
  <si>
    <t>Rio De Janeiro, BR</t>
  </si>
  <si>
    <t>Lauro de Freitas - BA</t>
  </si>
  <si>
    <t>Criciúma, Brasil</t>
  </si>
  <si>
    <t>Medeiros Neto, Brasil</t>
  </si>
  <si>
    <t>Vilhena, Brasil</t>
  </si>
  <si>
    <t>Catarina, Brasil</t>
  </si>
  <si>
    <t>neocity 🇲🇾</t>
  </si>
  <si>
    <t>Tanah airku</t>
  </si>
  <si>
    <t>Campos dos Goytacazes, Brasil</t>
  </si>
  <si>
    <t>valeriascher
Peço a todos q tiveram efeitos
adversos pós vac, que façam o registro
no site da Anvisa. Cada tuíte q
faço sobre isso aparecem inúmeros
relatos. Precisamos transformar
isso em números concretos, para
n falarem q são “casos isolados”.
Dia p vcs! https://t.co/qSlUHTLNi0</t>
  </si>
  <si>
    <t xml:space="preserve">deputadofederal
</t>
  </si>
  <si>
    <t>casaoswaldocruz
Tem chamada pública para a seleção
de bolsistas nível pós-doutorado
na Casa! Ela contempla os departamentos
de Pesquisa em História das Ciências
e da Saúde; Museu da Vida; Patrimônio
Histórico; e Arquivo e Documentação.
Mais informações 👉https://t.co/tQLLIHY1Em
https://t.co/TIb63mDwHu</t>
  </si>
  <si>
    <t xml:space="preserve">pt
</t>
  </si>
  <si>
    <t xml:space="preserve">slpng_giants_pt
</t>
  </si>
  <si>
    <t xml:space="preserve">folha
</t>
  </si>
  <si>
    <t xml:space="preserve">gleisi
</t>
  </si>
  <si>
    <t xml:space="preserve">randolfeap
</t>
  </si>
  <si>
    <t xml:space="preserve">jairbolsonaro
</t>
  </si>
  <si>
    <t xml:space="preserve">estadao
</t>
  </si>
  <si>
    <t xml:space="preserve">juliette
</t>
  </si>
  <si>
    <t xml:space="preserve">sicepat_ekspres
</t>
  </si>
  <si>
    <t>gillcombr
FICOU SABENDO DE ALGUM EFEITO ADVERSO
PÓS VACINA? Registre oficialmente
o caso no site da #Anvisa. Há inúmeros
relatos pelas redes sociais de
reações suspeitas de estarem ligadas
às vacinas experimentais. Registre!
https://t.co/CxfoK2FyvF</t>
  </si>
  <si>
    <t>sreboleira
ALERTA 3.ª fase de candidatura
a Mestrados e Pós-Graduações: 20
a 24 de setembro de 2021💙 Encontras
a informação necessária aqui: https://t.co/BFtz9J5h6I
Boa sorte e até já 🏠😃 https://t.co/CXZR5SfJDb</t>
  </si>
  <si>
    <t>fc_ul
ALERTA 3.ª fase de candidatura
a Mestrados e Pós-Graduações: 20
a 24 de setembro de 2021💙 Encontras
a informação necessária aqui: https://t.co/BFtz9J5h6I
Boa sorte e até já 🏠😃 https://t.co/CXZR5SfJDb</t>
  </si>
  <si>
    <t>reboleiralab
ALERTA 3.ª fase de candidatura
a Mestrados e Pós-Graduações: 20
a 24 de setembro de 2021💙 Encontras
a informação necessária aqui: https://t.co/BFtz9J5h6I
Boa sorte e até já 🏠😃 https://t.co/CXZR5SfJDb</t>
  </si>
  <si>
    <t>tmb_ce3c
ALERTA 3.ª fase de candidatura
a Mestrados e Pós-Graduações: 20
a 24 de setembro de 2021💙 Encontras
a informação necessária aqui: https://t.co/BFtz9J5h6I
Boa sorte e até já 🏠😃 https://t.co/CXZR5SfJDb</t>
  </si>
  <si>
    <t>gaseduardo
Dever cívico dos portugueses pôs
de parte obrigação de vacinar,
diz Costa https://t.co/x90w0zICvH</t>
  </si>
  <si>
    <t>rgvillalba
Peço a todos q tiveram efeitos
adversos pós vac, que façam o registro
no site da Anvisa. Cada tuíte q
faço sobre isso aparecem inúmeros
relatos. Precisamos transformar
isso em números concretos, para
n falarem q são “casos isolados”.
Dia p vcs! https://t.co/qSlUHTLNi0</t>
  </si>
  <si>
    <t>leoninopt
#FutebolSCP | Sporting de Amorim
100% vitorioso depois de goleadas
sofridas na Europa: #SportingCP
https://t.co/AKHuFUrn2H</t>
  </si>
  <si>
    <t>juventusfcpt
Pós-jogo de #JuveMilan ⚽️ 🗞 Resumo:
https://t.co/mGjGnYpKOK 📸 Fotos:
https://t.co/1lI0C6kx2C 🗣 Entrevistas:
https://t.co/0d2lXbz36T https://t.co/QuwTqgWN4Z</t>
  </si>
  <si>
    <t>moyanoestefania
Pós-jogo de #JuveMilan ⚽️ 🗞 Resumo:
https://t.co/mGjGnYpKOK 📸 Fotos:
https://t.co/1lI0C6kx2C 🗣 Entrevistas:
https://t.co/0d2lXbz36T https://t.co/QuwTqgWN4Z</t>
  </si>
  <si>
    <t>kmerchsss
#kmerchssstockupdates Settled @
18 Sep: CJ Century&amp;amp;Pos Laju
●ATEEZ ZERO FEVER PT 2 WDWL FS
PC ●AESPA NEXT LEVEL MD ●ATEEZ
DREAMERS MD TRACKING NO.👇 https://t.co/9Z0jUaokZA
*please dm if you couldnt find
your ID in the list ASAP Feedback
Hashtag👇 #kmerchsssfeedback</t>
  </si>
  <si>
    <t>ojogo
FIFPro indica que dois em cada
três futebolistas não tem perspetiva
pós-carreira https://t.co/RXDfE7aulb</t>
  </si>
  <si>
    <t>jardani_gun
Peço a todos q tiveram efeitos
adversos pós vac, que façam o registro
no site da Anvisa. Cada tuíte q
faço sobre isso aparecem inúmeros
relatos. Precisamos transformar
isso em números concretos, para
n falarem q são “casos isolados”.
Dia p vcs! https://t.co/qSlUHTLNi0</t>
  </si>
  <si>
    <t>lucasnicoo_
@Ticostacruz Bater? Tico, não é
só uma questão eleitoral, é muito
mais que isso. O PT foi o partido
que mais tempo ficou no poder pós
redemocratização e olha onde estamos.
O Brasil precisa sair desse buraco
não só com o resultado da eleição,
mas sim romper com esse modelo</t>
  </si>
  <si>
    <t xml:space="preserve">ticostacruz
</t>
  </si>
  <si>
    <t>erzabellchan
WTS Black frame changbin, i.n:
rm8 each ds: rm22 each normal pc:
rm20 each i.n nacific: rm15 (excl
pos) Jnt- wm: rm8 - em: rm14 Postage
on thursday Help me clear my extras🥺
#pasarSKZ https://t.co/hU7Tw2eAyd</t>
  </si>
  <si>
    <t>lelecaa3
Peço a todos q tiveram efeitos
adversos pós vac, que façam o registro
no site da Anvisa. Cada tuíte q
faço sobre isso aparecem inúmeros
relatos. Precisamos transformar
isso em números concretos, para
n falarem q são “casos isolados”.
Dia p vcs! https://t.co/qSlUHTLNi0</t>
  </si>
  <si>
    <t>bravo_zulu86
Peço a todos q tiveram efeitos
adversos pós vac, que façam o registro
no site da Anvisa. Cada tuíte q
faço sobre isso aparecem inúmeros
relatos. Precisamos transformar
isso em números concretos, para
n falarem q são “casos isolados”.
Dia p vcs! https://t.co/qSlUHTLNi0</t>
  </si>
  <si>
    <t>karinaoliveirs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</si>
  <si>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internetlabbr
Edital p/ fellow de pós-doc em
ciências humanas permanece aberto!
A pessoa selecionada participará
de projeto de pesquisa sobre o
impacto do racismo sistêmico e
do acesso digital em pessoas negras
e indígenas no Brasil. Prazo: 28/09!
Inscreva-se: https://t.co/MvhlYihB5o
https://t.co/6bRvTFdiWf</t>
  </si>
  <si>
    <t>rebeca_capozzi
Tem chamada pública para a seleção
de bolsistas nível pós-doutorado
na Casa! Ela contempla os departamentos
de Pesquisa em História das Ciências
e da Saúde; Museu da Vida; Patrimônio
Histórico; e Arquivo e Documentação.
Mais informações 👉https://t.co/tQLLIHY1Em
https://t.co/TIb63mDwHu</t>
  </si>
  <si>
    <t>wwnnddff
perderia fácil um braço pra voltar
no tempo pra planet hemp no pepsi,
pra podfalar tour da pirâmide perdida
x ceia e pro meu primeiro show
do BK x Djonga mesmo que eu tenha
dado um PT feio pós show</t>
  </si>
  <si>
    <t>cecillia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</si>
  <si>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coletividad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</si>
  <si>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filocri_p4c
#filocri #p4c #p4wc pós-graduação
em filosofia para crianças e jovens
- candidaturas até 24 de setembro
https://t.co/vnP7B21tkb</t>
  </si>
  <si>
    <t>amandaevelynl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</si>
  <si>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gerhardtbeatriz
Peço a todos q tiveram efeitos
adversos pós vac, que façam o registro
no site da Anvisa. Cada tuíte q
faço sobre isso aparecem inúmeros
relatos. Precisamos transformar
isso em números concretos, para
n falarem q são “casos isolados”.
Dia p vcs! https://t.co/qSlUHTLNi0</t>
  </si>
  <si>
    <t>nelisteixeira
@Viniciusgrg @JornalOGlobo Ah eleitor
de Ciro não é gado. Pouquíssimos
devem ter votado no Bolsonaro ou
anulado.Boa parte c/certeza fez
como Ciro, pôs o dedo no nariz
e apertou o 13, independente do
Ciro. Sabiam q. Bolsonaro seria
uma desgraça.O PT deve estar adorando
essa desgraça toda,inverteu a rejeição</t>
  </si>
  <si>
    <t xml:space="preserve">viniciusgrg
</t>
  </si>
  <si>
    <t xml:space="preserve">jornaloglobo
</t>
  </si>
  <si>
    <t>comunicacaoifch
Chamada pública para a seleção
de bolsistas pós-doutorado na @casaoswaldocruz
Ela contempla os quatro departamentos
da Casa - Pesquisa em História
das Ciências e da Saúde; Museu
da Vida; Patrimônio Histórico;
Arquivo e Documentação Para saber
mais: https://t.co/3tGCWzdcJt</t>
  </si>
  <si>
    <t>mirsantos
Chamada pública para a seleção
de bolsistas pós-doutorado na @casaoswaldocruz
Ela contempla os quatro departamentos
da Casa - Pesquisa em História
das Ciências e da Saúde; Museu
da Vida; Patrimônio Histórico;
Arquivo e Documentação Para saber
mais: https://t.co/3tGCWzdcJt</t>
  </si>
  <si>
    <t>carlosgolle
@randolfeap Esta é uma situação
pós era PT, e, pós pandemia, com
políticos que defendem pautas do
partido, contra os interesses do
povo e do país, cada vez é maior
o número de robôs , a mídia tradicional
já era. Destes, raros serão os
de-eleitos</t>
  </si>
  <si>
    <t>telkomindonesia
Selamat ulang tahun ke-275 PT Pos
Indonesia (Persero) @PosIndonesia,
semoga sukses menjadi postal operator,
penyedia jasa kurir, logistik,
dan keuangan paling kompetitif.
#DigitalBisa #UntukIndonesiaLebihBaik
https://t.co/mAF5n8bNNz</t>
  </si>
  <si>
    <t>alexandreplaty2
@BastosJusmari Exatamente, eis
ai um genogida verdadeiro. Deu
PT na grana da União, deu PT na
Saúde pública, de Pecra Tolal onde
pôs as mão e os pés.</t>
  </si>
  <si>
    <t xml:space="preserve">bastosjusmari
</t>
  </si>
  <si>
    <t>littleitamar
@brolshevik Difícil é achar quem
vai encarnar o pós PT. Todos que
tentaram viraram antipetistas.</t>
  </si>
  <si>
    <t>eryckdouglas123
Peço a todos q tiveram efeitos
adversos pós vac, que façam o registro
no site da Anvisa. Cada tuíte q
faço sobre isso aparecem inúmeros
relatos. Precisamos transformar
isso em números concretos, para
n falarem q são “casos isolados”.
Dia p vcs! https://t.co/qSlUHTLNi0</t>
  </si>
  <si>
    <t>yasmin38conta2
É inacreditável como confiar nessa
organização criminosa, quem poderia
imaginar que o responsavel pela
investigaçao sobre a morte da adolescente
pos Pfizer é o presidente do sindicato
dos medicos de SP e filiado ao
PT? https://t.co/1EFMVGJyAt</t>
  </si>
  <si>
    <t>marco88086753
É inacreditável como confiar nessa
organização criminosa, quem poderia
imaginar que o responsavel pela
investigaçao sobre a morte da adolescente
pos Pfizer é o presidente do sindicato
dos medicos de SP e filiado ao
PT? https://t.co/1EFMVGJyAt</t>
  </si>
  <si>
    <t>__esterborges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</si>
  <si>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xmissjjx
Preciso usar essa semana pra revisar
os assuntos da última aula da Pós,
pq o prof falou todas as línguas,
menos pt. Cheguei a me questionar
se era isso msm q eu queria.</t>
  </si>
  <si>
    <t>lumenaazevedo14
@cdantas5 @GodinhoAlmino O Nordeste
vai produzir muito feijão e trigo!!
Coisa que o lula, o pt, fhc, e
toda a bandidagem não queria! Queriam
os Nordestinos de joelhos. Bolsonaro
os pôs em pé!!</t>
  </si>
  <si>
    <t xml:space="preserve">godinhoalmino
</t>
  </si>
  <si>
    <t>paulospcx
O Nordeste vai produzir muito FEIJÃO
e TRIGO!! Coisa que o lula, o pt,
fhc, e toda a bandidagem não queria!
Queriam os Nordestinos de joelhos.
Bolsonaro os pôs em pé!!</t>
  </si>
  <si>
    <t xml:space="preserve">cdantas5
</t>
  </si>
  <si>
    <t>claudiopesse1
@cdantas5 @GodinhoAlmino O Nordeste
vai produzir muito feijão e trigo!!
Coisa que o lula, o pt, fhc, e
toda a bandidagem não queria! Queriam
os Nordestinos de joelhos. Bolsonaro
os pôs em pé!!</t>
  </si>
  <si>
    <t>souzacpedrosa40
@cdantas5 @GodinhoAlmino O Nordeste
vai produzir muito feijão e trigo!!
Coisa que o lula, o pt, fhc, e
toda a bandidagem não queria! Queriam
os Nordestinos de joelhos. Bolsonaro
os pôs em pé!!</t>
  </si>
  <si>
    <t>fernandowelten
@cdantas5 @GodinhoAlmino O Nordeste
vai produzir muito feijão e trigo!!
Coisa que o lula, o pt, fhc, e
toda a bandidagem não queria! Queriam
os Nordestinos de joelhos. Bolsonaro
os pôs em pé!!</t>
  </si>
  <si>
    <t>vaniamaiapress
E o texto que a Visão escreveu
sobre este mesmo tema: https://t.co/vki86mnI9d</t>
  </si>
  <si>
    <t>yusuf40566090
KUISS dl aaah… 1 KLEPON MANISS
dan 10 AMLers @ 100K. RT &amp;amp;
❤️ ya, kasih pendapatmu, ini kasus
ada PENCUCIAN UANG nya gak? Tetap
asas praduga tak bersalah ya… End
like2 me…aku jg masih ada 1 KUISS
yg blm tutup…ikut jg ya… ❤️❤️❤️🇮🇩🇮🇩🇮🇩
https://t.co/JzTH4s3LPo</t>
  </si>
  <si>
    <t>kita_amltf
KUISS dl aaah… 1 KLEPON MANISS
dan 10 AMLers @ 100K. RT &amp;amp;
❤️ ya, kasih pendapatmu, ini kasus
ada PENCUCIAN UANG nya gak? Tetap
asas praduga tak bersalah ya… End
like2 me…aku jg masih ada 1 KUISS
yg blm tutup…ikut jg ya… ❤️❤️❤️🇮🇩🇮🇩🇮🇩
https://t.co/JzTH4s3LPo</t>
  </si>
  <si>
    <t>kulinerbocah
KUISS dl aaah… 1 KLEPON MANISS
dan 10 AMLers @ 100K. RT &amp;amp;
❤️ ya, kasih pendapatmu, ini kasus
ada PENCUCIAN UANG nya gak? Tetap
asas praduga tak bersalah ya… End
like2 me…aku jg masih ada 1 KUISS
yg blm tutup…ikut jg ya… ❤️❤️❤️🇮🇩🇮🇩🇮🇩
https://t.co/JzTH4s3LPo</t>
  </si>
  <si>
    <t>chenatmadja
KUISS dl aaah… 1 KLEPON MANISS
dan 10 AMLers @ 100K. RT &amp;amp;
❤️ ya, kasih pendapatmu, ini kasus
ada PENCUCIAN UANG nya gak? Tetap
asas praduga tak bersalah ya… End
like2 me…aku jg masih ada 1 KUISS
yg blm tutup…ikut jg ya… ❤️❤️❤️🇮🇩🇮🇩🇮🇩
https://t.co/JzTH4s3LPo</t>
  </si>
  <si>
    <t>lannajjang
KUISS dl aaah… 1 KLEPON MANISS
dan 10 AMLers @ 100K. RT &amp;amp;
❤️ ya, kasih pendapatmu, ini kasus
ada PENCUCIAN UANG nya gak? Tetap
asas praduga tak bersalah ya… End
like2 me…aku jg masih ada 1 KUISS
yg blm tutup…ikut jg ya… ❤️❤️❤️🇮🇩🇮🇩🇮🇩
https://t.co/JzTH4s3LPo</t>
  </si>
  <si>
    <t>hoppeluckyyyy
KUISS dl aaah… 1 KLEPON MANISS
dan 10 AMLers @ 100K. RT &amp;amp;
❤️ ya, kasih pendapatmu, ini kasus
ada PENCUCIAN UANG nya gak? Tetap
asas praduga tak bersalah ya… End
like2 me…aku jg masih ada 1 KUISS
yg blm tutup…ikut jg ya… ❤️❤️❤️🇮🇩🇮🇩🇮🇩
https://t.co/JzTH4s3LPo</t>
  </si>
  <si>
    <t>bigwinoctocityx
KUISS dl aaah… 1 KLEPON MANISS
dan 10 AMLers @ 100K. RT &amp;amp;
❤️ ya, kasih pendapatmu, ini kasus
ada PENCUCIAN UANG nya gak? Tetap
asas praduga tak bersalah ya… End
like2 me…aku jg masih ada 1 KUISS
yg blm tutup…ikut jg ya… ❤️❤️❤️🇮🇩🇮🇩🇮🇩
https://t.co/JzTH4s3LPo</t>
  </si>
  <si>
    <t>hadehehh
KUISS dl aaah… 1 KLEPON MANISS
dan 10 AMLers @ 100K. RT &amp;amp;
❤️ ya, kasih pendapatmu, ini kasus
ada PENCUCIAN UANG nya gak? Tetap
asas praduga tak bersalah ya… End
like2 me…aku jg masih ada 1 KUISS
yg blm tutup…ikut jg ya… ❤️❤️❤️🇮🇩🇮🇩🇮🇩
https://t.co/JzTH4s3LPo</t>
  </si>
  <si>
    <t>terariniy
KUISS dl aaah… 1 KLEPON MANISS
dan 10 AMLers @ 100K. RT &amp;amp;
❤️ ya, kasih pendapatmu, ini kasus
ada PENCUCIAN UANG nya gak? Tetap
asas praduga tak bersalah ya… End
like2 me…aku jg masih ada 1 KUISS
yg blm tutup…ikut jg ya… ❤️❤️❤️🇮🇩🇮🇩🇮🇩
https://t.co/JzTH4s3LPo</t>
  </si>
  <si>
    <t>memetwin1707_
KUISS dl aaah… 1 KLEPON MANISS
dan 10 AMLers @ 100K. RT &amp;amp;
❤️ ya, kasih pendapatmu, ini kasus
ada PENCUCIAN UANG nya gak? Tetap
asas praduga tak bersalah ya… End
like2 me…aku jg masih ada 1 KUISS
yg blm tutup…ikut jg ya… ❤️❤️❤️🇮🇩🇮🇩🇮🇩
https://t.co/JzTH4s3LPo</t>
  </si>
  <si>
    <t>dwi_adhliza
KUISS dl aaah… 1 KLEPON MANISS
dan 10 AMLers @ 100K. RT &amp;amp;
❤️ ya, kasih pendapatmu, ini kasus
ada PENCUCIAN UANG nya gak? Tetap
asas praduga tak bersalah ya… End
like2 me…aku jg masih ada 1 KUISS
yg blm tutup…ikut jg ya… ❤️❤️❤️🇮🇩🇮🇩🇮🇩
https://t.co/JzTH4s3LPo</t>
  </si>
  <si>
    <t>jodohnyaugm22
KUISS dl aaah… 1 KLEPON MANISS
dan 10 AMLers @ 100K. RT &amp;amp;
❤️ ya, kasih pendapatmu, ini kasus
ada PENCUCIAN UANG nya gak? Tetap
asas praduga tak bersalah ya… End
like2 me…aku jg masih ada 1 KUISS
yg blm tutup…ikut jg ya… ❤️❤️❤️🇮🇩🇮🇩🇮🇩
https://t.co/JzTH4s3LPo</t>
  </si>
  <si>
    <t>udud_bongwinner
KUISS dl aaah… 1 KLEPON MANISS
dan 10 AMLers @ 100K. RT &amp;amp;
❤️ ya, kasih pendapatmu, ini kasus
ada PENCUCIAN UANG nya gak? Tetap
asas praduga tak bersalah ya… End
like2 me…aku jg masih ada 1 KUISS
yg blm tutup…ikut jg ya… ❤️❤️❤️🇮🇩🇮🇩🇮🇩
https://t.co/JzTH4s3LPo</t>
  </si>
  <si>
    <t>orangperancis
KUISS dl aaah… 1 KLEPON MANISS
dan 10 AMLers @ 100K. RT &amp;amp;
❤️ ya, kasih pendapatmu, ini kasus
ada PENCUCIAN UANG nya gak? Tetap
asas praduga tak bersalah ya… End
like2 me…aku jg masih ada 1 KUISS
yg blm tutup…ikut jg ya… ❤️❤️❤️🇮🇩🇮🇩🇮🇩
https://t.co/JzTH4s3LPo</t>
  </si>
  <si>
    <t>paulacrisbau
@jairbolsonaro Faz 5 anos que o
PT saiu do governo até então deixou
reservas cambiais,porém a incompetência
nesse período pós nada fez apenas
aponta o dedo sem apontar solução
assim é fácil,em qualquer empresa
privada já teria sido demitido.</t>
  </si>
  <si>
    <t>pawithmarie
KUISS dl aaah… 1 KLEPON MANISS
dan 10 AMLers @ 100K. RT &amp;amp;
❤️ ya, kasih pendapatmu, ini kasus
ada PENCUCIAN UANG nya gak? Tetap
asas praduga tak bersalah ya… End
like2 me…aku jg masih ada 1 KUISS
yg blm tutup…ikut jg ya… ❤️❤️❤️🇮🇩🇮🇩🇮🇩
https://t.co/JzTH4s3LPo</t>
  </si>
  <si>
    <t>raonilourenco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</si>
  <si>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astiani_ani
KUISS dl aaah… 1 KLEPON MANISS
dan 10 AMLers @ 100K. RT &amp;amp;
❤️ ya, kasih pendapatmu, ini kasus
ada PENCUCIAN UANG nya gak? Tetap
asas praduga tak bersalah ya… End
like2 me…aku jg masih ada 1 KUISS
yg blm tutup…ikut jg ya… ❤️❤️❤️🇮🇩🇮🇩🇮🇩
https://t.co/JzTH4s3LPo</t>
  </si>
  <si>
    <t>musarudy_stpl
KUISS dl aaah… 1 KLEPON MANISS
dan 10 AMLers @ 100K. RT &amp;amp;
❤️ ya, kasih pendapatmu, ini kasus
ada PENCUCIAN UANG nya gak? Tetap
asas praduga tak bersalah ya… End
like2 me…aku jg masih ada 1 KUISS
yg blm tutup…ikut jg ya… ❤️❤️❤️🇮🇩🇮🇩🇮🇩
https://t.co/JzTH4s3LPo</t>
  </si>
  <si>
    <t>yusuwaw
KUISS dl aaah… 1 KLEPON MANISS
dan 10 AMLers @ 100K. RT &amp;amp;
❤️ ya, kasih pendapatmu, ini kasus
ada PENCUCIAN UANG nya gak? Tetap
asas praduga tak bersalah ya… End
like2 me…aku jg masih ada 1 KUISS
yg blm tutup…ikut jg ya… ❤️❤️❤️🇮🇩🇮🇩🇮🇩
https://t.co/JzTH4s3LPo</t>
  </si>
  <si>
    <t>anapslu
Aí eu seria tão feliz se em 2022
já tiver bem pra ir em rock e poder
cantar um "vai dar PT, vai dar"
Imagina um rock pós resultado da
eleição com a linda notícia de
que o lulinha venceu</t>
  </si>
  <si>
    <t>sarita_montiell
Aí eu seria tão feliz se em 2022
já tiver bem pra ir em rock e poder
cantar um "vai dar PT, vai dar"
Imagina um rock pós resultado da
eleição com a linda notícia de
que o lulinha venceu</t>
  </si>
  <si>
    <t>win_waw_wew
KUISS dl aaah… 1 KLEPON MANISS
dan 10 AMLers @ 100K. RT &amp;amp;
❤️ ya, kasih pendapatmu, ini kasus
ada PENCUCIAN UANG nya gak? Tetap
asas praduga tak bersalah ya… End
like2 me…aku jg masih ada 1 KUISS
yg blm tutup…ikut jg ya… ❤️❤️❤️🇮🇩🇮🇩🇮🇩
https://t.co/JzTH4s3LPo</t>
  </si>
  <si>
    <t>kalitrizal
KUISS dl aaah… 1 KLEPON MANISS
dan 10 AMLers @ 100K. RT &amp;amp;
❤️ ya, kasih pendapatmu, ini kasus
ada PENCUCIAN UANG nya gak? Tetap
asas praduga tak bersalah ya… End
like2 me…aku jg masih ada 1 KUISS
yg blm tutup…ikut jg ya… ❤️❤️❤️🇮🇩🇮🇩🇮🇩
https://t.co/JzTH4s3LPo</t>
  </si>
  <si>
    <t>b_adikusuma
KUISS dl aaah… 1 KLEPON MANISS
dan 10 AMLers @ 100K. RT &amp;amp;
❤️ ya, kasih pendapatmu, ini kasus
ada PENCUCIAN UANG nya gak? Tetap
asas praduga tak bersalah ya… End
like2 me…aku jg masih ada 1 KUISS
yg blm tutup…ikut jg ya… ❤️❤️❤️🇮🇩🇮🇩🇮🇩
https://t.co/JzTH4s3LPo</t>
  </si>
  <si>
    <t>al_jendra
KUISS dl aaah… 1 KLEPON MANISS
dan 10 AMLers @ 100K. RT &amp;amp;
❤️ ya, kasih pendapatmu, ini kasus
ada PENCUCIAN UANG nya gak? Tetap
asas praduga tak bersalah ya… End
like2 me…aku jg masih ada 1 KUISS
yg blm tutup…ikut jg ya… ❤️❤️❤️🇮🇩🇮🇩🇮🇩
https://t.co/JzTH4s3LPo</t>
  </si>
  <si>
    <t>veracariocabr
Peço a todos q tiveram efeitos
adversos pós vac, que façam o registro
no site da Anvisa. Cada tuíte q
faço sobre isso aparecem inúmeros
relatos. Precisamos transformar
isso em números concretos, para
n falarem q são “casos isolados”.
Dia p vcs! https://t.co/qSlUHTLNi0</t>
  </si>
  <si>
    <t>bolso228bolso22
É inacreditável como confiar nessa
organização criminosa, quem poderia
imaginar que o responsavel pela
investigaçao sobre a morte da adolescente
pos Pfizer é o presidente do sindicato
dos medicos de SP e filiado ao
PT? https://t.co/1EFMVGJyAt</t>
  </si>
  <si>
    <t>jalvespinheiro1
@cdantas5 @GodinhoAlmino O Nordeste
vai produzir muito feijão e trigo!!
Coisa que o lula, o pt, fhc, e
toda a bandidagem não queria! Queriam
os Nordestinos de joelhos. Bolsonaro
os pôs em pé!!</t>
  </si>
  <si>
    <t>vanijkjk
@abbade_jose @eduardobkuhn @randolfeap
Em vez de culpar o PT culpa Bolsonaro,
porque se estamos mal das pernas
é porque ele é os ministros não
fizeram direito o trabalho deles
de gestões quanto a crise no pós
pandemia. Ele é o Presidente hoje
e mansão de 6 milhões do filho
não foi trabalhando, foi vagabundeando.</t>
  </si>
  <si>
    <t xml:space="preserve">eduardobkuhn
</t>
  </si>
  <si>
    <t xml:space="preserve">abbade_jose
</t>
  </si>
  <si>
    <t>tantinunna
KUISS dl aaah… 1 KLEPON MANISS
dan 10 AMLers @ 100K. RT &amp;amp;
❤️ ya, kasih pendapatmu, ini kasus
ada PENCUCIAN UANG nya gak? Tetap
asas praduga tak bersalah ya… End
like2 me…aku jg masih ada 1 KUISS
yg blm tutup…ikut jg ya… ❤️❤️❤️🇮🇩🇮🇩🇮🇩
https://t.co/JzTH4s3LPo</t>
  </si>
  <si>
    <t>1caipiramoderno
Agradecemos às pessoas que trouxeram
suas posições e críticas ao edital.
A discussão sobre idioma é parte
fundamental da discussão sobre
igualdade no conhec. e a seleção
em si é parte fundamental do projeto
que vamos desenvolver. Aguardamos
as candidaturas!https://t.co/MvhlYihB5o</t>
  </si>
  <si>
    <t>teezer_qrzx
for pc fever pt 2 update 📢 now
ada problem dgn pos laju so i akan
sattelkan asap btw can u guys isi
google form ni untk mudahkan i
nak post nanti https://t.co/wT7M2BcTKw
thank you🙇🏻‍♀️❤️ @noona_stan
@purplevioletsan @cxunssbev @17_CARATMY
@_sanflwr</t>
  </si>
  <si>
    <t xml:space="preserve">_sanflwr
</t>
  </si>
  <si>
    <t xml:space="preserve">17_caratmy
</t>
  </si>
  <si>
    <t xml:space="preserve">cxunssbev
</t>
  </si>
  <si>
    <t xml:space="preserve">purplevioletsan
</t>
  </si>
  <si>
    <t xml:space="preserve">noona_stan
</t>
  </si>
  <si>
    <t>sserumpum
KUISS dl aaah… 1 KLEPON MANISS
dan 10 AMLers @ 100K. RT &amp;amp;
❤️ ya, kasih pendapatmu, ini kasus
ada PENCUCIAN UANG nya gak? Tetap
asas praduga tak bersalah ya… End
like2 me…aku jg masih ada 1 KUISS
yg blm tutup…ikut jg ya… ❤️❤️❤️🇮🇩🇮🇩🇮🇩
https://t.co/JzTH4s3LPo</t>
  </si>
  <si>
    <t>april63394283
KUISS dl aaah… 1 KLEPON MANISS
dan 10 AMLers @ 100K. RT &amp;amp;
❤️ ya, kasih pendapatmu, ini kasus
ada PENCUCIAN UANG nya gak? Tetap
asas praduga tak bersalah ya… End
like2 me…aku jg masih ada 1 KUISS
yg blm tutup…ikut jg ya… ❤️❤️❤️🇮🇩🇮🇩🇮🇩
https://t.co/JzTH4s3LPo</t>
  </si>
  <si>
    <t>em_7015
KUISS dl aaah… 1 KLEPON MANISS
dan 10 AMLers @ 100K. RT &amp;amp;
❤️ ya, kasih pendapatmu, ini kasus
ada PENCUCIAN UANG nya gak? Tetap
asas praduga tak bersalah ya… End
like2 me…aku jg masih ada 1 KUISS
yg blm tutup…ikut jg ya… ❤️❤️❤️🇮🇩🇮🇩🇮🇩
https://t.co/JzTH4s3LPo</t>
  </si>
  <si>
    <t>joanarssousa
ebook disponível aqui: https://t.co/oUIKyMinvg</t>
  </si>
  <si>
    <t>normacastro2005
@cdantas5 @GodinhoAlmino O Nordeste
vai produzir muito feijão e trigo!!
Coisa que o lula, o pt, fhc, e
toda a bandidagem não queria! Queriam
os Nordestinos de joelhos. Bolsonaro
os pôs em pé!!</t>
  </si>
  <si>
    <t>teamaltamont
O álbum de estreia dos Strokes,
Is This It, é garage na produção
propositadamente tosca mas indie
no charme e inteligência das canções.
O disco-bandeira do renascimento
do rock pós-2001. https://t.co/DemnY3YwNm</t>
  </si>
  <si>
    <t>mllemenezes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</si>
  <si>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euqueropublicar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</si>
  <si>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isabeluz
@saritacoelho @TercioTomaz @jairbolsonaro
A maioria dos imigrantes brasileiros
nos EUA são de pessoas que o partido
das trevas tirou tudo, emprego,
esperança. Tenho diversos parentes
lá e que são anti pt. Os que estão
protestando são os q tinham bolsa
paga pelo gov p pós e não querem
trabalhar, viver as custas do gov</t>
  </si>
  <si>
    <t xml:space="preserve">terciotomaz
</t>
  </si>
  <si>
    <t xml:space="preserve">saritacoelho
</t>
  </si>
  <si>
    <t>blogdopepe
@folha Qual é a novidade!? COMEDIA!
PIADA! Sempre foi assim! A politica
monetária neoliberal antes e pós
PT herdeira de D.pedro e da política
escravocrata de Senzala e casa
grande. E depois da herança maldita
neoliberal FHC E PSDB que entregou
o governo com 18 milhões de desempregados!?</t>
  </si>
  <si>
    <t>elianea91788511
Peço a todos q tiveram efeitos
adversos pós vac, que façam o registro
no site da Anvisa. Cada tuíte q
faço sobre isso aparecem inúmeros
relatos. Precisamos transformar
isso em números concretos, para
n falarem q são “casos isolados”.
Dia p vcs! https://t.co/qSlUHTLNi0</t>
  </si>
  <si>
    <t>attayona
KUISS dl aaah… 1 KLEPON MANISS
dan 10 AMLers @ 100K. RT &amp;amp;
❤️ ya, kasih pendapatmu, ini kasus
ada PENCUCIAN UANG nya gak? Tetap
asas praduga tak bersalah ya… End
like2 me…aku jg masih ada 1 KUISS
yg blm tutup…ikut jg ya… ❤️❤️❤️🇮🇩🇮🇩🇮🇩
https://t.co/JzTH4s3LPo</t>
  </si>
  <si>
    <t>radamanto
@folha Qual é a novidade!? COMEDIA!
PIADA! Sempre foi assim! A politica
monetária neoliberal antes e pós
PT herdeira de D.pedro e da política
escravocrata de Senzala e casa
grande. E depois da herança maldita
neoliberal FHC E PSDB que entregou
o governo com 18 milhões de desempregados!?</t>
  </si>
  <si>
    <t>kangthole81
KUISS dl aaah… 1 KLEPON MANISS
dan 10 AMLers @ 100K. RT &amp;amp;
❤️ ya, kasih pendapatmu, ini kasus
ada PENCUCIAN UANG nya gak? Tetap
asas praduga tak bersalah ya… End
like2 me…aku jg masih ada 1 KUISS
yg blm tutup…ikut jg ya… ❤️❤️❤️🇮🇩🇮🇩🇮🇩
https://t.co/JzTH4s3LPo</t>
  </si>
  <si>
    <t>sukmariana_10
KUISS dl aaah… 1 KLEPON MANISS
dan 10 AMLers @ 100K. RT &amp;amp;
❤️ ya, kasih pendapatmu, ini kasus
ada PENCUCIAN UANG nya gak? Tetap
asas praduga tak bersalah ya… End
like2 me…aku jg masih ada 1 KUISS
yg blm tutup…ikut jg ya… ❤️❤️❤️🇮🇩🇮🇩🇮🇩
https://t.co/JzTH4s3LPo</t>
  </si>
  <si>
    <t>wanlovesaja
KUISS dl aaah… 1 KLEPON MANISS
dan 10 AMLers @ 100K. RT &amp;amp;
❤️ ya, kasih pendapatmu, ini kasus
ada PENCUCIAN UANG nya gak? Tetap
asas praduga tak bersalah ya… End
like2 me…aku jg masih ada 1 KUISS
yg blm tutup…ikut jg ya… ❤️❤️❤️🇮🇩🇮🇩🇮🇩
https://t.co/JzTH4s3LPo</t>
  </si>
  <si>
    <t>redegovernanca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</si>
  <si>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binobiasutti
Foram publicados hoje os editais
para o Mestrado e o Doutorado no
PPGRI/UFBA. São professores no
programa @danieltperes, @Devitale1,
@pedrosalt, @moreira_uallace, @victorclage,
eu e outros não-tagueáveis. - Mestrado:
https://t.co/DBCDbmUBZF - Doutorado:
https://t.co/nCt9dKW2oP</t>
  </si>
  <si>
    <t xml:space="preserve">victorclage
</t>
  </si>
  <si>
    <t xml:space="preserve">moreira_uallace
</t>
  </si>
  <si>
    <t>pedrosalt
Foram publicados hoje os editais
para o Mestrado e o Doutorado no
PPGRI/UFBA. São professores no
programa @danieltperes, @Devitale1,
@pedrosalt, @moreira_uallace, @victorclage,
eu e outros não-tagueáveis. - Mestrado:
https://t.co/DBCDbmUBZF - Doutorado:
https://t.co/nCt9dKW2oP</t>
  </si>
  <si>
    <t xml:space="preserve">devitale1
</t>
  </si>
  <si>
    <t>danieltperes
Entendo a estratégia para Dória
- no final das contas é algo Bolsonarista.
Mas acho que Ciro era. Ciro deve,
claro, manter a candidatura, ter
paciência e sangue frio. Afirmar
diferenças, mas sem atacar o PT.
Pensar não na eleição e sim no
pós eleição. https://t.co/mplgf7IUl5</t>
  </si>
  <si>
    <t>r_nagamine
Foram publicados hoje os editais
para o Mestrado e o Doutorado no
PPGRI/UFBA. São professores no
programa @danieltperes, @Devitale1,
@pedrosalt, @moreira_uallace, @victorclage,
eu e outros não-tagueáveis. - Mestrado:
https://t.co/DBCDbmUBZF - Doutorado:
https://t.co/nCt9dKW2oP</t>
  </si>
  <si>
    <t>anadefinisterra
Foram publicados hoje os editais
para o Mestrado e o Doutorado no
PPGRI/UFBA. São professores no
programa @danieltperes, @Devitale1,
@pedrosalt, @moreira_uallace, @victorclage,
eu e outros não-tagueáveis. - Mestrado:
https://t.co/DBCDbmUBZF - Doutorado:
https://t.co/nCt9dKW2oP</t>
  </si>
  <si>
    <t>alanildo_geo
Foram publicados hoje os editais
para o Mestrado e o Doutorado no
PPGRI/UFBA. São professores no
programa @danieltperes, @Devitale1,
@pedrosalt, @moreira_uallace, @victorclage,
eu e outros não-tagueáveis. - Mestrado:
https://t.co/DBCDbmUBZF - Doutorado:
https://t.co/nCt9dKW2oP</t>
  </si>
  <si>
    <t>brendacarduus
Foram publicados hoje os editais
para o Mestrado e o Doutorado no
PPGRI/UFBA. São professores no
programa @danieltperes, @Devitale1,
@pedrosalt, @moreira_uallace, @victorclage,
eu e outros não-tagueáveis. - Mestrado:
https://t.co/DBCDbmUBZF - Doutorado:
https://t.co/nCt9dKW2oP</t>
  </si>
  <si>
    <t>dinoancap
Peço a todos q tiveram efeitos
adversos pós vac, que façam o registro
no site da Anvisa. Cada tuíte q
faço sobre isso aparecem inúmeros
relatos. Precisamos transformar
isso em números concretos, para
n falarem q são “casos isolados”.
Dia p vcs! https://t.co/qSlUHTLNi0</t>
  </si>
  <si>
    <t>carolnowlencgc
In their update, @TheACMG rec's
offering dx testing if a pt tests
pos on carrier screen and FOB testing
is not feasible. "A lab willing
to perform the testing must be
ID'd b4 performing the dx procedure."
Anyone know labs that will do dx
testing w/o FOB results for AR
conditions?</t>
  </si>
  <si>
    <t xml:space="preserve">theacmg
</t>
  </si>
  <si>
    <t>_boerbn
More information? Pt. was intermittend
symptomatic the next day, next
EKG and a trop =&amp;gt; pos. In cath
lab 99% stenosis RCX. Cardiology:
Haven‘t y seen this subacute STEMI?
Sign. ST-elevation in III, aVF
at 2. EKG and furhermore d1 there
was a r in III, at d2 there us
just a q.</t>
  </si>
  <si>
    <t>algranz
@SigaGazetaBR Já está sendo feito
pós era pt</t>
  </si>
  <si>
    <t xml:space="preserve">sigagazetabr
</t>
  </si>
  <si>
    <t>2doism
@crlhosiide Kkkkkkkkkkkkkkkkkkk
sonhou que tava desmaiando Mateus
gordin na porrada, pós pt?</t>
  </si>
  <si>
    <t xml:space="preserve">crlhosiide
</t>
  </si>
  <si>
    <t>wandersfc
Aqui o gol de Luiz Henrique que
pôs o @SantosFC de novo na frente
do placar na Vila Belmiro ! https://t.co/7u84ZAy19d</t>
  </si>
  <si>
    <t xml:space="preserve">santosfc
</t>
  </si>
  <si>
    <t>marciolleme
Aqui o gol de Luiz Henrique que
pôs o @SantosFC de novo na frente
do placar na Vila Belmiro ! https://t.co/7u84ZAy19d</t>
  </si>
  <si>
    <t>mahabdalla
@slpng_giants_pt o advogado puxando
o cliente pós a mrd dita, impagável.
Minhas condolências ao colega.</t>
  </si>
  <si>
    <t>pedrofelixrocha
Na verdade acho que ninguém vai
ficar muito infeliz no Porto. O
Moreira ganha, o PS aparentemente
perde (perdendo votos) mas fica
bem colocado para o pós Selminho,
o PSD sobe. Porto: sondagem dá
maioria absoluta a Moreira e PS
a cair dez pontos https://t.co/KL4WwRvDiK</t>
  </si>
  <si>
    <t>capes_oficial
“A Avaliação corre bem, do ponto
de vista do comprometimento da
equipe, dos coordenadores, dos
avaliadores”, disse Cláudia de
Toledo, presidente da CAPES. Saiba
mais: https://t.co/Mb4dNkfGif https://t.co/CjtpMsKfVC</t>
  </si>
  <si>
    <t>luiz3underline
@stellanaoartois @divadinnaberta
@ninemends @DotoraCamis A ladainha
anti pt começa realmente no pós
mensalão, mas era realmente um
público muito elitizado (quem falava
em mises em 2007?) E se popularizou,
entre outros fenomenos, qnd o idiota
do felipe neto chilicou pedindo
preco justo em playstation 3 😂😂😂</t>
  </si>
  <si>
    <t xml:space="preserve">dotoracamis
</t>
  </si>
  <si>
    <t xml:space="preserve">ninemends
</t>
  </si>
  <si>
    <t xml:space="preserve">divadinnaberta
</t>
  </si>
  <si>
    <t xml:space="preserve">stellanaoartois
</t>
  </si>
  <si>
    <t>mab2828
@AriSouzadeArau2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</si>
  <si>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 xml:space="preserve">fialholeles
</t>
  </si>
  <si>
    <t xml:space="preserve">isabelrizzo9
</t>
  </si>
  <si>
    <t>dyluisa2
@AriSouzadeArau2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</si>
  <si>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 xml:space="preserve">zepykenu
</t>
  </si>
  <si>
    <t xml:space="preserve">anaprofbrasil
</t>
  </si>
  <si>
    <t xml:space="preserve">arisouzadearau2
</t>
  </si>
  <si>
    <t>andymay66667747
@AriSouzadeArau2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</si>
  <si>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esquerdanuncam1
@AriSouzadeArau2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</si>
  <si>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daniel_storti
Dilmae ao lado do pior governador
da história de MG pos 98, condenado
em 2019 a 10 anos e 6 meses por
tráfico de influência, e não sabia
de corrupção no seu governo. Bozo
🤝 PT, farinha do mesmo saco. https://t.co/deNDd3Wk6Z</t>
  </si>
  <si>
    <t>pt_reha
たとえミスをしてしまっても、 取り違えたり、覚えれず何度も聞いたりしてしまっても
何かをしようと思う、実際にする、人の方が当たり前に好感持てます
優秀とそうじゃないで区別しがちだけど POSで同じ担当(チーム)になるなら
いくらミスをしたとしても立ち直り行動をおこす人とチームになりたい</t>
  </si>
  <si>
    <t>duwiry
nontonin ceo pt pos indo yg baru,
keren euy dr isi omongannya bau2
kemajuam macam pt kai.</t>
  </si>
  <si>
    <t>qfontes
@macunaimaz21 Se essa sua mentira
indecorosa fosse contra um Ministro
do STF,vc agora estaria preso(a).
Mas como é contra o PRESIDENTE
ELEITO E APOIADO DEMOCRATICAMENTE
PELO POVO, uma pessoa sem compostura
como vc aí, destilando pilhérias
impunemente. Infelizmente, esse
é o Brasil, pós PT.</t>
  </si>
  <si>
    <t xml:space="preserve">macunaimaz21
</t>
  </si>
  <si>
    <t>sbrjjo
@QFontes @macunaimaz21 Pós?? O
pt continua aí com Bolsonaro!!
Tem mais petista que ele no mundo??
TEM NÃO! E QUANTO AOS MINISTROS
DO STF, QUERO TODOS NA JUSTIÇA
DIVINA!! JUNTO COM TODOS OS POLÍTICOS
DE MERDA! NÃO TEM SANTO NENHUM
NESSA REPÚBLICA! E MAIS UMA COISA!
TEU MACHO DE ESTIMAÇÃO É CORNO
SIM! https://t.co/eb5oitbCdM</t>
  </si>
  <si>
    <t>lusouto6
@gleisi O Brasil divide - se em
dois, era PT de mentiras e falcatruas
e pós PT de verdade e prosperidades.
Quem discursou na ONU foi Bolsonaro,
o melhor presidente que o Brasil
já teve, não foi o Lula q é especialista
em mentiras, acho q vc se enganou.
Apaga que dá tempo!</t>
  </si>
  <si>
    <t>thatyzzsp
@AriSouzadeArau2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</si>
  <si>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stevensonsoare4
Deputados do PT impedem tramitação
de Projeto sobre bioinsumos agrícolas
que poderia reduzir o valor dos
alimentos ao consumidor e dispensar
a necessidade de uso de agrotóxicos.
Logo eles que criticam o uso de
agrotóxicos químicos e que reclamam
tanto da alta de preços pós "FEC"
https://t.co/vKQOmg40QB</t>
  </si>
  <si>
    <t>cpx_sla
date mais caro da minha vida foi
por volta de um pau KKKKKKKKKKKK
viagem pro Uruguai pra pegar gente
foi a segunda maior aventura da
minha vida só perde pra ter acordado
em outro estado pós pt https://t.co/1fEYJR1PZZ</t>
  </si>
  <si>
    <t>perrorex2
@Carloszup @dip_reyes @viajaVolaris
Del PT? Compañero de ''la roña''?
Pos trai escuela radical... Que
se suelen los demás pasajeros,
él es elegido por.... MALO?</t>
  </si>
  <si>
    <t xml:space="preserve">viajavolaris
</t>
  </si>
  <si>
    <t xml:space="preserve">dip_reyes
</t>
  </si>
  <si>
    <t xml:space="preserve">carloszup
</t>
  </si>
  <si>
    <t>kendari_pos
DPRD Desak Aktivitas PT GMS Dihentikan
https://t.co/ZBy22VKJ7y</t>
  </si>
  <si>
    <t>huwietan
@KemenBUMN @erickthohir ini pegimana
ya pegawai pt pos? Mohon ditindak,
Cc @kemenkomarves @airlangga_hrt
https://t.co/kWOnOJp3W5</t>
  </si>
  <si>
    <t xml:space="preserve">airlangga_hrt
</t>
  </si>
  <si>
    <t xml:space="preserve">kemenkomarves
</t>
  </si>
  <si>
    <t>lowongankerjalu
Lowongan Kerja SPG pospay PT Pos
Indonesia (Persero) Tingkat SMA
Sederajat SPG pospay Kualifikasi
: Wanita usia maksimal 27 tahun
Minimal SMA Berpenampilan menarik
(good looking) Kirim lamaran anda
paling lambat 24 september 2021…https://t.co/bHXp1pweZE
https://t.co/INSeil3HjW</t>
  </si>
  <si>
    <t>southerngemgal
Volunteered at the food bank as
well. Even applied to do this pt
pos. w/ helping people learn to
how to cook w/less and healthy.</t>
  </si>
  <si>
    <t>beleza37
Óleo Pós Depilatório Chocolate
que deixa a pele suave, remove
o excesso de cera e evita a vermelhidão
e irritação da pele. &amp;gt;&amp;gt;&amp;gt;
https://t.co/s1tPJGiVoO https://t.co/meNecIZQEc</t>
  </si>
  <si>
    <t>antonio_reis_70
Capítulos pós-autárquicas https://t.co/qeCWmCG94s
https://t.co/qeCWmCG94s</t>
  </si>
  <si>
    <t>rhmagazine_iirh
Segundo o estudo realizado pela
Mercer, o cenário salarial em Portugal
está em recuperação pós-pandemia,
31% das empresas devem contratar
ainda em 2021. #rhmagazine #estudo
#salario #recuperação https://t.co/vp48toitSm</t>
  </si>
  <si>
    <t>gotothejek
PT. BDL dalam tafsirnya pada UU
30 tahun 2014 sesuai berita pada
Manado Pos tanggal 19 September
2021 bersikukuh bahwa bila dalam
10 hari permohonan tak mendapat
respon maka permohonan itu dikabulkan.
https://t.co/cVKwrK3Jzi</t>
  </si>
  <si>
    <t>leonita_lestari
PT. BDL dalam tafsirnya pada UU
30 tahun 2014 sesuai berita pada
Manado Pos tanggal 19 September
2021 bersikukuh bahwa bila dalam
10 hari permohonan tak mendapat
respon maka permohonan itu dikabulkan.
https://t.co/cVKwrK3Jzi</t>
  </si>
  <si>
    <t>dntwit
Autárquicas: Jerónimo alerta que
apoios tem de continuar no pós-pandemia
https://t.co/b1pTvnWopY</t>
  </si>
  <si>
    <t>sonsih56gmailc1
PT. BDL dalam tafsirnya pada UU
30 tahun 2014 sesuai berita pada
Manado Pos tanggal 19 September
2021 bersikukuh bahwa bila dalam
10 hari permohonan tak mendapat
respon maka permohonan itu dikabulkan.
https://t.co/cVKwrK3Jzi</t>
  </si>
  <si>
    <t>sidvicious6691
Recuperados do cancro da cabeça
e pescoço sentem falta de acompanhamento
no pós-tratamento https:https://t.co/7P3GwjODZm
via @sicnoticias</t>
  </si>
  <si>
    <t>sicnoticias
O complexo e imprevisível pós-Merkel
https://t.co/W6Fd93OwvZ</t>
  </si>
  <si>
    <t>monyiikuu
PT. BDL dalam tafsirnya pada UU
30 tahun 2014 sesuai berita pada
Manado Pos tanggal 19 September
2021 bersikukuh bahwa bila dalam
10 hari permohonan tak mendapat
respon maka permohonan itu dikabulkan.
https://t.co/cVKwrK3Jzi</t>
  </si>
  <si>
    <t>olisandita
PT. BDL dalam tafsirnya pada UU
30 tahun 2014 sesuai berita pada
Manado Pos tanggal 19 September
2021 bersikukuh bahwa bila dalam
10 hari permohonan tak mendapat
respon maka permohonan itu dikabulkan.
https://t.co/cVKwrK3Jzi</t>
  </si>
  <si>
    <t>semanariov
Autárquicas. Jerónimo alerta que
apoios têm de continuar no pós-pandemia
https://t.co/uWSwbrm3fP</t>
  </si>
  <si>
    <t>publico
Diplomacia: Acordo pós-“Brexit”
entre EUA e Reino Unido “não é
uma prioridade” para Biden https://t.co/XzFJjRqswo</t>
  </si>
  <si>
    <t>p_mundo
Diplomacia: Acordo pós-“Brexit”
entre EUA e Reino Unido “não é
uma prioridade” para Biden https://t.co/2kntxPoGLk</t>
  </si>
  <si>
    <t>dipper2130c
@alex_altini @aguinaldaosilva Não
sei, não sou anti vacinas, sou
a favor da ciência. https://t.co/sRmf9HOspG,)%2C%20como%20o%20da%20Pfizer.</t>
  </si>
  <si>
    <t xml:space="preserve">aguinaldaosilva
</t>
  </si>
  <si>
    <t xml:space="preserve">alex_altini
</t>
  </si>
  <si>
    <t>sav4ge_bull
@itsdcntr eu tava na prática hj
com um instrutor formado em historia
com pós graduação. Tava pregando
a palavra do PT pra mim, tu ia
amar ksksksk</t>
  </si>
  <si>
    <t>leuxande
@eduguim @zehdeabreu Me diga aí:
o que o "pêtê" não tem culpa? Se
o sol se pós, é culpa do PT. Se
amanheceu o dia, é culpa do PT.
Se tá fazendo frio ou calor, é
culpa do PT. Se a roda gira, e
culpa do PT. Se eu ainda não entrei
no bbb, foi culpa do pt. Se Ruth
e Raquel são irmãs, é culpa do
pt</t>
  </si>
  <si>
    <t>zehdeabreu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</si>
  <si>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 xml:space="preserve">eduguim
</t>
  </si>
  <si>
    <t>euzaribeiro
@eduguim @zehdeabreu Me diga aí:
o que o "pêtê" não tem culpa? Se
o sol se pós, é culpa do PT. Se
amanheceu o dia, é culpa do PT.
Se tá fazendo frio ou calor, é
culpa do PT. Se a roda gira, e
culpa do PT. Se eu ainda não entrei
no bbb, foi culpa do pt. Se Ruth
e Raquel são irmãs, é culpa do
pt</t>
  </si>
  <si>
    <t>fmkbr1
PT. BDL dalam tafsirnya pada UU
30 tahun 2014 sesuai berita pada
Manado Pos tanggal 19 September
2021 bersikukuh bahwa bila dalam
10 hari permohonan tak mendapat
respon maka permohonan itu dikabulkan.
https://t.co/cVKwrK3Jzi</t>
  </si>
  <si>
    <t>fiuzaelisabeth
Deputados do PT impedem tramitação
de Projeto sobre bioinsumos agrícolas
que poderia reduzir o valor dos
alimentos ao consumidor e dispensar
a necessidade de uso de agrotóxicos.
Alta de preços pós "fique em casa"...
https://t.co/gL2XQfQgxP</t>
  </si>
  <si>
    <t>renascenca
Apoios Covid-19 têm de continuar
no pós-pandemia, defende PCP https://t.co/FJKvznGYRM</t>
  </si>
  <si>
    <t>umamaistempo
Sério @xerpayoficial ? Aumento
de imposto não é para custear programas
específicos, mas sim para acumulo
do tesouro para ser usado para
qualquer coisa. Você não tem vergonha
desse email ? Essa demonização
do bolsa família e do PT que pôs
Bolsonaro no poder. Vergonhoso
esse email https://t.co/b17m7B1vJi</t>
  </si>
  <si>
    <t xml:space="preserve">xerpayoficial
</t>
  </si>
  <si>
    <t>adolfont
Sério @xerpayoficial ? Aumento
de imposto não é para custear programas
específicos, mas sim para acumulo
do tesouro para ser usado para
qualquer coisa. Você não tem vergonha
desse email ? Essa demonização
do bolsa família e do PT que pôs
Bolsonaro no poder. Vergonhoso
esse email https://t.co/b17m7B1vJi</t>
  </si>
  <si>
    <t>2five02
PT. BDL dalam tafsirnya pada UU
30 tahun 2014 sesuai berita pada
Manado Pos tanggal 19 September
2021 bersikukuh bahwa bila dalam
10 hari permohonan tak mendapat
respon maka permohonan itu dikabulkan.
https://t.co/cVKwrK3Jzi</t>
  </si>
  <si>
    <t>limitedhangout1
BTW my PT in Vinco since I'm trading
this POS (back when it was trading
below $3) ...was $6.15 I thing
this is the worst case escenario.
Shorting here makes no sense at
all IMO.... but you do you</t>
  </si>
  <si>
    <t>tremchaves
que o moha não dê pt no primeiro
rolê pós quarentena 🙏</t>
  </si>
  <si>
    <t>dalva_trevisan
Deputados PT impedem tramitação
Projeto bioinsumos agrícolas q
poderia reduzir o valor dos alimentos
ao consumidor dispensar a necessidade
d uso de agrotóxicos.Logo eles
q criticam o uso d agrotóxicos
e q reclamam tanto da alta d preços
pós "fique em casa" https://t.co/hh067lSwhJ</t>
  </si>
  <si>
    <t>da_euly
@eliseudev @CunhaElderson @UOLNoticias
Pós vai ficar sonhando, porque
nós queremos bolsolula na desputa,
vai ser lindo provar que o povo
brasileiro não é retardado foi
só falta de opção devido ao bombardeio
contra o PT.</t>
  </si>
  <si>
    <t xml:space="preserve">cunhaelderson
</t>
  </si>
  <si>
    <t xml:space="preserve">eliseudev
</t>
  </si>
  <si>
    <t xml:space="preserve">uolnoticias
</t>
  </si>
  <si>
    <t>vanzanrose
#CAPACITAÇÃO | A @policiafederal
está com cinco cursos de pós-graduação
com vagas abertas para policiais
Federais e Civis. As capacitações
são oferecidas pela Academia Nacional
de Polícia (ANP). ➡️ Saiba mais
em: https://t.co/uZox8hXJzP https://t.co/MF4iUY5RAC</t>
  </si>
  <si>
    <t xml:space="preserve">policiafederal
</t>
  </si>
  <si>
    <t>justicagovbr
#CAPACITAÇÃO | A @policiafederal
está com cinco cursos de pós-graduação
com vagas abertas para policiais
Federais e Civis. As capacitações
são oferecidas pela Academia Nacional
de Polícia (ANP). ➡️ Saiba mais
em: https://t.co/uZox8hXJzP https://t.co/MF4iUY5RAC</t>
  </si>
  <si>
    <t>soubelemlz
#CAPACITAÇÃO | A @policiafederal
está com cinco cursos de pós-graduação
com vagas abertas para policiais
Federais e Civis. As capacitações
são oferecidas pela Academia Nacional
de Polícia (ANP). ➡️ Saiba mais
em: https://t.co/uZox8hXJzP https://t.co/MF4iUY5RAC</t>
  </si>
  <si>
    <t>coito_cristina
#CAPACITAÇÃO | A @policiafederal
está com cinco cursos de pós-graduação
com vagas abertas para policiais
Federais e Civis. As capacitações
são oferecidas pela Academia Nacional
de Polícia (ANP). ➡️ Saiba mais
em: https://t.co/uZox8hXJzP https://t.co/MF4iUY5RAC</t>
  </si>
  <si>
    <t>grillnandus
#CAPACITAÇÃO | A @policiafederal
está com cinco cursos de pós-graduação
com vagas abertas para policiais
Federais e Civis. As capacitações
são oferecidas pela Academia Nacional
de Polícia (ANP). ➡️ Saiba mais
em: https://t.co/uZox8hXJzP https://t.co/MF4iUY5RAC</t>
  </si>
  <si>
    <t>artesanatoedu
Educação Pós Pandemia: um guia
para desafiar as escolas https://t.co/7mZfVFtPxe
publicação portuguesa gratuita
para download com meu testemunho:
O Futuro será a Aprendizagem Híbrida?
https://t.co/DwPeRspvGh</t>
  </si>
  <si>
    <t>joaomattar
Educação Pós Pandemia: um guia
para desafiar as escolas https://t.co/7mZfVFtPxe
publicação portuguesa gratuita
para download com meu testemunho:
O Futuro será a Aprendizagem Híbrida?
https://t.co/DwPeRspvGh</t>
  </si>
  <si>
    <t>ulusofona
A evolução e a criação de próteses
levantam uma questão na área do
Desporto. Atletas com próteses
podem competir de forma justa e
igualitária com atletas sem deficiência?
Reflete este e outros temas na
Pós-Graduação em Direito do Desporto.
Candidata-te em https://t.co/h9IyUWEuLX
https://t.co/4u4yzuFVDQ</t>
  </si>
  <si>
    <t>brunolo15379312
@AnaSaturnina1 @Jacksondavirada
@OGloboPolitica @jairbolsonaro
De prefeituras, o número de filiados
superou o de desfiliados pós processo
de impeachment, foi o segundo que
mais elegeu deputados estaduais
em 2018. Sim! Ainda existe ódio
ao PT, mas ele é inferior ao ódio
pelo bolsonarismo.</t>
  </si>
  <si>
    <t xml:space="preserve">jacksondavirada
</t>
  </si>
  <si>
    <t xml:space="preserve">anasaturnina1
</t>
  </si>
  <si>
    <t xml:space="preserve">oglobopolitica
</t>
  </si>
  <si>
    <t>jornadaead
Educação Pós Pandemia: um guia
para desafiar as escolas https://t.co/7mZfVFtPxe
publicação portuguesa gratuita
para download com meu testemunho:
O Futuro será a Aprendizagem Híbrida?
https://t.co/DwPeRspvGh</t>
  </si>
  <si>
    <t>nuclearsocial
Diretoria de Pesquisa e Desenvolvimento
(DPD) da Comissão Nacional de Energia
Nuclear (Cnen) divulga resultado
final do Edital Cnen 05/2021 para
Concessão de Bolsas de Pós-Doutorado
https://t.co/FSuoVIzId4</t>
  </si>
  <si>
    <t>ayanishimuta
a fim de explorar as barreiras
à participação online dessas pessoas
no conhecimento, e identificar
como a desigualdade racial é refletida
na disponibilidade de conteúdo
online em português e no território
brasileiro. Mais informações aqui
também: https://t.co/OihVYYsy4G</t>
  </si>
  <si>
    <t>eusamircrf
@Hugo99_ Meu tiktok a maioria dos
vídeos são cristão pos to caminhando
https://t.co/coNzzEIm8y</t>
  </si>
  <si>
    <t xml:space="preserve">hugo99_
</t>
  </si>
  <si>
    <t>wincayyy
@monicawysteria Hai. Ini belinya
di AliExp. Utk ekspedisi dr Ali
sendiri biasanya Cainiao trs pindah
ke Yanwen pas transit. Nnti klo
udh msk k Indo baru pake PT.Pos
(bayar ongkir pas cod klo aku)
tp gatau sih pas barang smp k Indo
apa semua sama dikirim pk PT.Pos
atau yg lain</t>
  </si>
  <si>
    <t>dind55319228
📰«O programa tornou-se um impactante
fenómeno social e em poucos anos
gravou dezenas de canções, produziu
vídeos musicais e organizou digressões
de concertos. Pelo caminho saltou
a fronteira a Sul para mostrar
sons lusófonos a nenos e nenas.»
@blitz_twit https://t.co/8BKAq78Dki</t>
  </si>
  <si>
    <t>blitz_twit
Rita Redshoes: “Por ter tido uma
depressão pós-parto, sentia-me
má mãe. Então era o que mais queria
e agora não consigo lidar com isto?“
https://t.co/KnjxeBQELh</t>
  </si>
  <si>
    <t>emgalego
📰«O programa tornou-se um impactante
fenómeno social e em poucos anos
gravou dezenas de canções, produziu
vídeos musicais e organizou digressões
de concertos. Pelo caminho saltou
a fronteira a Sul para mostrar
sons lusófonos a nenos e nenas.»
@blitz_twit https://t.co/8BKAq78Dki</t>
  </si>
  <si>
    <t>marswasstars
@PrincessCeIest hug gif pt 2 u
r also pos https://t.co/rflfTO0Nxj</t>
  </si>
  <si>
    <t xml:space="preserve">princessceiest
</t>
  </si>
  <si>
    <t>wongkalibanteng
PT. BDL dalam tafsirnya pada UU
30 tahun 2014 sesuai berita pada
Manado Pos tanggal 19 September
2021 bersikukuh bahwa bila dalam
10 hari permohonan tak mendapat
respon maka permohonan itu dikabulkan.
https://t.co/cVKwrK3Jzi</t>
  </si>
  <si>
    <t xml:space="preserve">reinaldoazevedo
</t>
  </si>
  <si>
    <t>loball357
@MrBeast Pt/4. I cannot remember
the last time that I slept in a
bed. I thank God for Planet Fitness
b/c they allow me to shower and
stay groomed 7 days a/wk. For free.
I don't do drugs, drink alcohol
or smoke cigarettes. I'm in this
pos b/c I lost my job and hlth
ins due to...</t>
  </si>
  <si>
    <t xml:space="preserve">mrbeast
</t>
  </si>
  <si>
    <t>ggozth
Listos para los sustos? Pos si
le da miedo cómase un Bolillo pa’l
susto Resident Evil Village pt.Trauma
https://t.co/RV6n4hRgTb</t>
  </si>
  <si>
    <t>cafepxl
Listos para los sustos? Pos si
le da miedo cómase un Bolillo pa’l
susto Resident Evil Village pt.Trauma
https://t.co/RV6n4hRgTb</t>
  </si>
  <si>
    <t>roselimatos10
@valoreconomico COMÉDIA! PIADA!
Sempre foi todos contra o PT !
A politica monetária neoliberal
gerando pobreza e desigualdades
sociais antes e pós PT e meteram
o rabinho entre as pernas pelo
mérito petista de esquerda ter
conseguido o que nenhum outro governo
conseguiu em 100 anos. Até o Golpe!</t>
  </si>
  <si>
    <t xml:space="preserve">valoreconomico
</t>
  </si>
  <si>
    <t>bursakerja20
Lowongan Kerja PT Pos Indonesia
Persero Makassar 2021 Frontliner,
Dibuka hingga 24 ... - Tribun:
PT Pos Indonesia membuka lowongan
kerja dalam rangka mencari calon
pegawai yang siap untuk bergabung
sebagai karyawan perusahaan. PT…
https://t.co/LcZwxZ2EyP #loker
#lowongankerja</t>
  </si>
  <si>
    <t>josemssantos
«as medidas excecionais criadas
para "debelar os impactos" da pandemia
"não podem desaparecer na totalidade
e no imediato, ignorando as dificuldades
pelas quais passam milhares de
famílias e empresas".» https://t.co/Mp7lQD5tX1</t>
  </si>
  <si>
    <t>ratnadewi1392
@nazaqistsha Kasian amat nih orang,
kan udah ditawarin kerja di BUMN,
udah pilih PT Pos saja ...</t>
  </si>
  <si>
    <t xml:space="preserve">nazaqistsha
</t>
  </si>
  <si>
    <t>sptf_org_pt
Já começou o II Congresso Internacional
oficialmente com abertura por Paula
Correia, Presidente da Sociedade
Portuguesa de Terapia da Fala,
seguido da conferência "O Outro
Lado do Virtual" por Gonçalo Leal,
com moderação de Sónia Pós de Mina.
https://t.co/0SSQjFBZpD</t>
  </si>
  <si>
    <t>nutellabra
Peço a todos q tiveram efeitos
adversos pós vac, que façam o registro
no site da Anvisa. Cada tuíte q
faço sobre isso aparecem inúmeros
relatos. Precisamos transformar
isso em números concretos, para
n falarem q são “casos isolados”.
Dia p vcs! https://t.co/qSlUHTLNi0</t>
  </si>
  <si>
    <t>palhacokrusty00
@PauloSr88038070 @jpesafi @pablovillaca
@willgomes Sim, o PT pôs o bozonaro
no governo e depois seguiu fazendo
acordo com os bolsonaristas. Agora
não quer o impeachment dele. Petistas
são tão fanáticos quanto bolsominions.</t>
  </si>
  <si>
    <t xml:space="preserve">pablovillaca
</t>
  </si>
  <si>
    <t xml:space="preserve">jpesafi
</t>
  </si>
  <si>
    <t xml:space="preserve">paulosr88038070
</t>
  </si>
  <si>
    <t xml:space="preserve">willgomes
</t>
  </si>
  <si>
    <t>dosiveiga
📰«O programa tornou-se um impactante
fenómeno social e em poucos anos
gravou dezenas de canções, produziu
vídeos musicais e organizou digressões
de concertos. Pelo caminho saltou
a fronteira a Sul para mostrar
sons lusófonos a nenos e nenas.»
@blitz_twit https://t.co/8BKAq78Dki</t>
  </si>
  <si>
    <t>jamportugal10
No Brasil pós PT está tão desconfigurado
que o Rock In Rio virou samba!
Aos amantes do rock o meu recado,
boicotem, pois isso é propaganda
enganosa! Chega de aceitar jeitinhos!
Ou fazem um bom trabalho ou não
compramos o serviço ou produto!
A começar dos políticos, vamos
boicotar</t>
  </si>
  <si>
    <t>helenarubensl
No Brasil pós PT está tão desconfigurado
que o Rock In Rio virou samba!
Aos amantes do rock o meu recado,
boicotem, pois isso é propaganda
enganosa! Chega de aceitar jeitinhos!
Ou fazem um bom trabalho ou não
compramos o serviço ou produto!
A começar dos políticos, vamos
boicotar</t>
  </si>
  <si>
    <t>ptmt2161
PTって絶対に機能改善させるという変なプライド持ちすぎな人ちょっと多い気がする
それ自体は悪くないと思うんだけど、それが先行しすぎると自宅復帰に調整が間に合わなくなること多いねん
ちゃんとPOS連携してます？ 主観的な感覚っすけど、自宅生活イメージは圧倒的にOTの方が秀でてると思うんすよ</t>
  </si>
  <si>
    <t>aeiou_pt
https://t.co/SfPOkVPJ92</t>
  </si>
  <si>
    <t>paulaponto
[estou a guardar para memória futura.
vou precisar deste artigo como
referência.] #covid19 Covid-19.
"Situações de stress pós-traumático
não são assim tão raras" https://t.co/8LjUYrbnLx</t>
  </si>
  <si>
    <t>isabecarve
[estou a guardar para memória futura.
vou precisar deste artigo como
referência.] #covid19 Covid-19.
"Situações de stress pós-traumático
não são assim tão raras" https://t.co/8LjUYrbnLx</t>
  </si>
  <si>
    <t>alrguerreiro
A noite em que Rangel e Pinto Luz
deram o tiro de partida para o
pós-autárquicas: https://t.co/euzS3WbVYz
via @observadorpt</t>
  </si>
  <si>
    <t>observadorpt
Fórum do BCE debate online o futuro
pós-pandemia da política monetária
https://t.co/QcLYii0IhY</t>
  </si>
  <si>
    <t>thiagolamboglia
@jadircorrea @Dark_Dan01 @AdisaBomani
@JornalismoWando Na margem amigão,
maior spread bancário da história,
juros mais altos do mundo. Cartelizacao
do sistema financeiro, e o gênio
do gestor econômico do PT ainda
converteu dívida externa em passivo
interno com juro pós fixado maior,
pra bater no peito e dizer que
guardou dólar</t>
  </si>
  <si>
    <t xml:space="preserve">jornalismowando
</t>
  </si>
  <si>
    <t xml:space="preserve">adisabomani
</t>
  </si>
  <si>
    <t xml:space="preserve">dark_dan01
</t>
  </si>
  <si>
    <t xml:space="preserve">jadircorrea
</t>
  </si>
  <si>
    <t>orlando29389818
MIDIA ABRIU OS OLHOS SÓ NO PÓS
PT https://t.co/y8q6N2DaiH</t>
  </si>
  <si>
    <t>openkerja
Lowongan Kerja PT Pos Logistik
Indonesia Posisi, Lokasi, Kualifikasi
dan Panduan melamar buka link:
https://t.co/8ZF6jYQRHe Batas Lamaran:
27 September 2021 • "GABUNG DI
CHANNEL TELEGRAM 👉 https://t.co/SfaaWgxZ1h
(GRATIS)"</t>
  </si>
  <si>
    <t>radityoarifn
@liputan6dotcom Ayo mana suaranya
PT. Pos?Waktunya ekspansi, siapkan
kapal besar angkut hasil kreasi
anak bangsa ke luar negeri.</t>
  </si>
  <si>
    <t xml:space="preserve">liputan6dotcom
</t>
  </si>
  <si>
    <t>averagepm
@pt In my experience (in the POS
industry) the folks using Square
that have the tip screen exposed
are counter service where workers
get a normal wage. The $2.13 seems
thrown in for maximum outrage.
I feel for the folks affected,
but live by technology, die by
technology.</t>
  </si>
  <si>
    <t>pt_veiga
@pmacedo216 @joaomiranda É o que
a malta do North Music festival
invoca como argumento para ter
cancelado o festival. Mas se os
delegados de saúde mantiverem esse
nível de poder pós-1/10, vai ser
muito confuso.</t>
  </si>
  <si>
    <t xml:space="preserve">joaomiranda
</t>
  </si>
  <si>
    <t xml:space="preserve">pmacedo216
</t>
  </si>
  <si>
    <t>josuel_castro
@revistaoeste O FHC defende o Lula
e o PT pq em tese, travavam uma
disputa de quem "seria o melhor",
daí provado que seu inimigo é corrupto
e bandido, qual a moral de vc ser
melhor que ele? Os dois se uniram
pra enfrentar aquele que pôs os
dois nos seus débitos lugares,
de mais um PR ruim.</t>
  </si>
  <si>
    <t xml:space="preserve">revistaoeste
</t>
  </si>
  <si>
    <t>alyashahsuhaimi
sounds like the only pos player
as pt tmrw . Override seriously
has a thing for me or what</t>
  </si>
  <si>
    <t>botufba
Está aberto o edital para mestrado
e doutorado do PPGNEIM (Programa
de Pós Graduação em Estudos Interdisciplinares
sobre Mulheres, Gênero e Feminismo)
da UFBA: https://t.co/7P5671CuYF
Bora? 😊</t>
  </si>
  <si>
    <t>mairakubik
Está aberto o edital para mestrado
e doutorado do PPGNEIM (Programa
de Pós Graduação em Estudos Interdisciplinares
sobre Mulheres, Gênero e Feminismo)
da UFBA: https://t.co/7P5671CuYF
Bora? 😊</t>
  </si>
  <si>
    <t>lucianahn
Está aberto o edital para mestrado
e doutorado do PPGNEIM (Programa
de Pós Graduação em Estudos Interdisciplinares
sobre Mulheres, Gênero e Feminismo)
da UFBA: https://t.co/7P5671CuYF
Bora? 😊</t>
  </si>
  <si>
    <t>araujombarbara
Está aberto o edital para mestrado
e doutorado do PPGNEIM (Programa
de Pós Graduação em Estudos Interdisciplinares
sobre Mulheres, Gênero e Feminismo)
da UFBA: https://t.co/7P5671CuYF
Bora? 😊</t>
  </si>
  <si>
    <t>jssclmgmn
Está aberto o edital para mestrado
e doutorado do PPGNEIM (Programa
de Pós Graduação em Estudos Interdisciplinares
sobre Mulheres, Gênero e Feminismo)
da UFBA: https://t.co/7P5671CuYF
Bora? 😊</t>
  </si>
  <si>
    <t>lcmarinho
Está aberto o edital para mestrado
e doutorado do PPGNEIM (Programa
de Pós Graduação em Estudos Interdisciplinares
sobre Mulheres, Gênero e Feminismo)
da UFBA: https://t.co/7P5671CuYF
Bora? 😊</t>
  </si>
  <si>
    <t>felipedjeguaka
Está aberto o edital para mestrado
e doutorado do PPGNEIM (Programa
de Pós Graduação em Estudos Interdisciplinares
sobre Mulheres, Gênero e Feminismo)
da UFBA: https://t.co/7P5671CuYF
Bora? 😊</t>
  </si>
  <si>
    <t>chokitodecarne
@Leandrosc18 @oldboy_monster @mariosbessa
Seja mais humilde e procure o video
do Ghiraldelli sobre como as narrativas
da alt-right surgem através da
pós verdade. O PT é neoliberal,
nao se engane</t>
  </si>
  <si>
    <t xml:space="preserve">mariosbessa
</t>
  </si>
  <si>
    <t xml:space="preserve">oldboy_monster
</t>
  </si>
  <si>
    <t xml:space="preserve">leandrosc18
</t>
  </si>
  <si>
    <t>marciarcandido
Está aberto o edital para mestrado
e doutorado do PPGNEIM (Programa
de Pós Graduação em Estudos Interdisciplinares
sobre Mulheres, Gênero e Feminismo)
da UFBA: https://t.co/7P5671CuYF
Bora? 😊</t>
  </si>
  <si>
    <t>antnioc23355379
@laurojardim LÓGICO! Seguindo essa
cartilha a politica monetária neoliberal
antes e pós PT vai sangrando o
povo brasileiro gerando pobreza
e desigualdades sociais. Nem o
TCU acusando um aumento da dívida
pública de 30% somente no último
ano sem nenhuma contrapartida!?
1.38 TRILHÕES ANUAIS!?</t>
  </si>
  <si>
    <t xml:space="preserve">laurojardim
</t>
  </si>
  <si>
    <t>biaml
Está aberto o edital para mestrado
e doutorado do PPGNEIM (Programa
de Pós Graduação em Estudos Interdisciplinares
sobre Mulheres, Gênero e Feminismo)
da UFBA: https://t.co/7P5671CuYF
Bora? 😊</t>
  </si>
  <si>
    <t>riobonitoac
@samydana Pós PT, MTST e afins
são movimentos nulos. O líder deles
é um hipócrita. Melhor ignorar,
do que tentar entender...</t>
  </si>
  <si>
    <t xml:space="preserve">samydana
</t>
  </si>
  <si>
    <t>odio_nao
Está aberto o edital para mestrado
e doutorado do PPGNEIM (Programa
de Pós Graduação em Estudos Interdisciplinares
sobre Mulheres, Gênero e Feminismo)
da UFBA: https://t.co/7P5671CuYF
Bora? 😊</t>
  </si>
  <si>
    <t>celinequadra
Qual pior pt q ja deu? — Numa chacara
role de pós vestiba https://t.co/uYr0ZvPgXc</t>
  </si>
  <si>
    <t>renatofrancisq2
Está aberto o edital para mestrado
e doutorado do PPGNEIM (Programa
de Pós Graduação em Estudos Interdisciplinares
sobre Mulheres, Gênero e Feminismo)
da UFBA: https://t.co/7P5671CuYF
Bora? 😊</t>
  </si>
  <si>
    <t>anabell84264132
@multishow @juliette @Pocah Já
rolou um PT pós bbb? #TVZJuliette</t>
  </si>
  <si>
    <t xml:space="preserve">pocah
</t>
  </si>
  <si>
    <t xml:space="preserve">multishow
</t>
  </si>
  <si>
    <t>fabioperiandro
Está aberto o edital para mestrado
e doutorado do PPGNEIM (Programa
de Pós Graduação em Estudos Interdisciplinares
sobre Mulheres, Gênero e Feminismo)
da UFBA: https://t.co/7P5671CuYF
Bora? 😊</t>
  </si>
  <si>
    <t>genesys_brasil
O #GenesysCloudCX foi a escolha
da Atlas Eletrodomésticos para
conectar, Com a implementação sistema,
em parceria com a Coddera, a Atlas,
obteve uma redução de 15% no tempo
médio de atendimento das chamadas,
de acordo com Tony Texeira, gerente
de pós venda.https://t.co/9T2OJ2daop
https://t.co/kG39lrWukS</t>
  </si>
  <si>
    <t>krysbrasil
.. Infelizmente, por conta de um
golpe no PT, foi eleito ... E pôs
em prática o seu plano macabro,
doentio ... 600 Mil inocentes,
foram para as valas no Brasil,
140 mil órfãos, milhares de sequelados,
após servirem de cobaias para medicamentos
ineficazes e por falta de vacinas..
https://t.co/Gfccvr9FZf</t>
  </si>
  <si>
    <t>naoesquerda
@ver54c3 @Raquel90299473 @cpidosmemes
Eu? https://t.co/9QQyLTiPL7</t>
  </si>
  <si>
    <t xml:space="preserve">cpidosmemes
</t>
  </si>
  <si>
    <t xml:space="preserve">raquel90299473
</t>
  </si>
  <si>
    <t xml:space="preserve">ver54c3
</t>
  </si>
  <si>
    <t>ompian
@Strategi_Bisnis Contoh yg lamban:
PT Pos 😁</t>
  </si>
  <si>
    <t xml:space="preserve">strategi_bisnis
</t>
  </si>
  <si>
    <t>gomesgiuliaa
bota 4 fotos…….. c sono, acabada,
de ressaca e pós pt 🙏🏼 https://t.co/8x0MZJFgIT
https://t.co/lwJDqgKKt4</t>
  </si>
  <si>
    <t>pulguinhalhp
@FurtwanglerVon Fake seu perfil
de bunda mole que não põe a cara
.. faz pra isso né ? Pra ficar
pentelhando os outros. Prego do
caralho. Acho isso mesmo, que ela
pós saída do PT só teve posicionamento
de merda. Minha opinião e Pau no
Cu se vc não gostou ... Vacilão
..</t>
  </si>
  <si>
    <t xml:space="preserve">furtwanglervon
</t>
  </si>
  <si>
    <t>victoraciarlini
Enquete do dia: Dos 3 principais
partidos pós 88(PT, PSDB e MDB)
qual/is vocês acreditam que continuarão
como uma força relevante após esse
ciclo de mudanças 14~22(Lava Jato,
ascensão da direita bolsonarista,
fusão do PSL/DEM, fortalecimento
do PP, PSD...)?</t>
  </si>
  <si>
    <t>deipucrio
[PT] Já estão abertas as inscrições
para o #mestrado e #doutorado em
Engenharia de Produção da PUC-Rio!
Contamos com novas áreas de concentração:
{Pesquisa Operacional} e {Operações
e Negócios em Engenharia}. Inscrições
em https://t.co/5uJzaNRXjA https://t.co/VRSATSswfa</t>
  </si>
  <si>
    <t>roccosi96495550
@orodrigovaz @gustavocastanon @Marcosaude1978
Anos depois dos governos do PT
tivemos que importar máscaras!
Quem foi governo esses anos pós
PT?</t>
  </si>
  <si>
    <t xml:space="preserve">marcosaude1978
</t>
  </si>
  <si>
    <t xml:space="preserve">orodrigovaz
</t>
  </si>
  <si>
    <t xml:space="preserve">gustavocastanon
</t>
  </si>
  <si>
    <t>zlupiza
Quando vejo Alemanha pós nazismo
e na atualidade, vejo nação q ñ
esqueceu do feito e vivido, existe
dívida histórica. https://t.co/QqFnXZvqyL</t>
  </si>
  <si>
    <t>francorubim
@af_stivanelli @SF_Moro O que a
Vaza Jato mostrou é que o Moro
estava mancomunado com o Dalagnol
em uma clara perseguição ao PT.
Isso fica evidente na mensagem
onde diz pra não investigar o Serra!
Nunca gostei do Lula e nem do PT,
mas pós Bolsonaro, percebi que
vivia no paraíso e não sabia! Hoje
é Lula</t>
  </si>
  <si>
    <t xml:space="preserve">sf_moro
</t>
  </si>
  <si>
    <t xml:space="preserve">af_stivanelli
</t>
  </si>
  <si>
    <t>g_l
@Cinzento19 Quanto custa a negociata
do terreno? - - E o processo de
292 milhões de euros que a Goldman
de Barroso pôs contra a Rep. PT?</t>
  </si>
  <si>
    <t xml:space="preserve">cinzento19
</t>
  </si>
  <si>
    <t>ocafricano
Egito 🇪🇬 Morreu Mohammed Hussein
Tantawi, primeiro governante do
Egito pós-Mubarak https://t.co/EjQmnz5f69
A.S.</t>
  </si>
  <si>
    <t>_mardega
@amorimgabaa uma aí foi um pós
pt kkkkkkkkkkkkkkkkkkkkkk</t>
  </si>
  <si>
    <t xml:space="preserve">amorimgabaa
</t>
  </si>
  <si>
    <t>gayhobbit
about everything which is way more
than I could have ever asked for.
And we had so much fun that we
wound up spending last night (Wed)
doing the same thing! Last night,
we watched The Greatest Showman
(I know PT Barnum was a POS but
I like the music and found family
is Important)</t>
  </si>
  <si>
    <t>shamomyam
8 plantas !? 8 plantas e como não
houve uma edição especial na televisão
!? As rádios estão onde para cobrir
uma notícia tão relevante como
esta !? O Presidente já fez uma
declaração !? O Costinha pôs as
Forças armadas de prevenção !?
Epá... https://t.co/kEI24LzwvQ</t>
  </si>
  <si>
    <t>humas_sipirok
Kamis tanggal 23 September 2021
pukul 09.00 Wib, KSPK C Polsek
Sipirok AIPDA ERWINSYAH SIREGAR
Melaksanakan giat Pengamanan Petugas
Medis UPT . PUSKESMAS DANAU MARSABUT
di halaman kantor PT. Pos Sipirok
untuk melaksanakan Swab Anti Gen
Covid - 19, kepada warga masyarakat
https://t.co/T6s1mwkd1S</t>
  </si>
  <si>
    <t>mybigbozz
Lowongan Kerja PT Bank Mandiri
Taspen https://t.co/SNe0M1kaHR
https://t.co/EUuiOXVOdm</t>
  </si>
  <si>
    <t>miguelhilargiak
Costa pôs as fichas do futuro na
campanha https://t.co/UOH7lGdEBX</t>
  </si>
  <si>
    <t>expresso
Fórum do BCE debate esta terça-feira
o futuro pós-pandemia da política
monetária https://t.co/1Q99pXnRH5</t>
  </si>
  <si>
    <t>jjyumilkyu
belajar bakor pt.2 ketika lo harus
jelasin cara kerja pos indo ke
org kr tanpa dia bingung samsek
ft. grammar pas pas gua: struggle
nyet</t>
  </si>
  <si>
    <t>rodansilva
O vice-governador João Leão (PP)
negou que o ex-presidente Lula
tenha lhe oferecido um ministério,
caso o petista vença a eleição
presidencial no próximo ano. A
informação foi revelada pelo senador
Jaques Wagner (PT) em entrevista
ao site BNews. https://t.co/ia0IyuE3os</t>
  </si>
  <si>
    <t>prince_x007
Sete tendências no pós-pandemia:
restaurantes vão ser mais digitais
e focados nos detalhes, comida
para fora e esplanadas vieram para
ficar https://t.co/bsxmCbXu2j</t>
  </si>
  <si>
    <t>rosannatrades
$LSPD Lightspeed POS PT increased
by CIBC from $155.00 to $195.00.
🚀 I picked up more calls/leaps
yesterday $LSPD 120 Jan23. 🤑</t>
  </si>
  <si>
    <t>cocasares
Não há nenhum caso relatado de
miocardite pós-vacinação no Brasil.
https://t.co/nRcKFaPb3J Incrível!
https://t.co/dK5FLm7LBP</t>
  </si>
  <si>
    <t>abphe2
Seleção de bolsistas pós-doutorado:
Pesquisa em História das Ciências
e da Saúde; Museu da Vida; Patrimônio
Histórico; Arquivo e Documentação.
Bolsa de até 12 meses, passível
de ser prorrogada por mais seis
meses. https://t.co/T89SX7M9hj
Inscrições: até 15.10.21.</t>
  </si>
  <si>
    <t>gnrdias
Seleção de bolsistas pós-doutorado:
Pesquisa em História das Ciências
e da Saúde; Museu da Vida; Patrimônio
Histórico; Arquivo e Documentação.
Bolsa de até 12 meses, passível
de ser prorrogada por mais seis
meses. https://t.co/T89SX7M9hj
Inscrições: até 15.10.21.</t>
  </si>
  <si>
    <t>jaimequebara
@MLimapassos @SulistaLiberal @kgabrielam
@BelemJameson A amiga internalta
parece ser jovem .. talvez não
viveu o passado ruim que o Brasil
atravessou com total desiquilibrio
social onde a carência predominava
a infração aumentava dia pós dia
a desigualdade social (como acontece
no momento) Podemos sim dizer que
o PT estabilizou</t>
  </si>
  <si>
    <t xml:space="preserve">realninatigret
</t>
  </si>
  <si>
    <t xml:space="preserve">belemjameson
</t>
  </si>
  <si>
    <t xml:space="preserve">kgabrielam
</t>
  </si>
  <si>
    <t xml:space="preserve">sulistaliberal
</t>
  </si>
  <si>
    <t xml:space="preserve">mlimapassos
</t>
  </si>
  <si>
    <t>rodrigo89789957
Entendo a estratégia para Dória
- no final das contas é algo Bolsonarista.
Mas acho que Ciro era. Ciro deve,
claro, manter a candidatura, ter
paciência e sangue frio. Afirmar
diferenças, mas sem atacar o PT.
Pensar não na eleição e sim no
pós eleição. https://t.co/mplgf7IUl5</t>
  </si>
  <si>
    <t>tba_lisboa
A Casa Pós- de #XavierdeSousa está
agora aberta e promete confissões
e reflexões sobre identidade, género,
nacionalidade e pertença. Só até
domingo, no #TBA. Bilhetes em https://t.co/OlzDmiAfn0
https://t.co/utAlxRDEvk</t>
  </si>
  <si>
    <t>hxbitualnorris
O pt desse pós módulo foi intenso</t>
  </si>
  <si>
    <t>pasarateez
help rt wts 🇲🇾 #pasarATEEZ hongjoong
ktown pob fever pt 1 rm20 mingi
thanxx ver rm25 wooyoung lightstick
ls pc rm18 exc pos : rm7 wm | rm14
em (flexi rm5) help me clear this
🥺 https://t.co/b9BLjE89GX</t>
  </si>
  <si>
    <t>mrklite
help rt wts 🇲🇾 #pasarATEEZ hongjoong
ktown pob fever pt 1 rm20 mingi
thanxx ver rm25 wooyoung lightstick
ls pc rm18 exc pos : rm7 wm | rm14
em (flexi rm5) help me clear this
🥺 https://t.co/b9BLjE89GX</t>
  </si>
  <si>
    <t>sxyzx08
help rt wts 🇲🇾 #pasarATEEZ hongjoong
ktown pob fever pt 1 rm20 mingi
thanxx ver rm25 wooyoung lightstick
ls pc rm18 exc pos : rm7 wm | rm14
em (flexi rm5) help me clear this
🥺 https://t.co/b9BLjE89GX</t>
  </si>
  <si>
    <t>lem0n4de_sh0p
help rt wts 🇲🇾 #pasarATEEZ hongjoong
ktown pob fever pt 1 rm20 mingi
thanxx ver rm25 wooyoung lightstick
ls pc rm18 exc pos : rm7 wm | rm14
em (flexi rm5) help me clear this
🥺 https://t.co/b9BLjE89GX</t>
  </si>
  <si>
    <t>voliaalmeida
@tato_rj @LiamBourn Exatamente!
Sínodo da Amazônia! O @bernardokuster2
fez vários vídeos à época! https://t.co/2rYRy0tkVw</t>
  </si>
  <si>
    <t xml:space="preserve">bernardokuster2
</t>
  </si>
  <si>
    <t xml:space="preserve">liambourn
</t>
  </si>
  <si>
    <t xml:space="preserve">tato_rj
</t>
  </si>
  <si>
    <t>ateezmall_my
help rt wts 🇲🇾 #pasarATEEZ hongjoong
ktown pob fever pt 1 rm20 mingi
thanxx ver rm25 wooyoung lightstick
ls pc rm18 exc pos : rm7 wm | rm14
em (flexi rm5) help me clear this
🥺 https://t.co/b9BLjE89GX</t>
  </si>
  <si>
    <t>ateezselling_my
help rt wts 🇲🇾 #pasarATEEZ hongjoong
ktown pob fever pt 1 rm20 mingi
thanxx ver rm25 wooyoung lightstick
ls pc rm18 exc pos : rm7 wm | rm14
em (flexi rm5) help me clear this
🥺 https://t.co/b9BLjE89GX</t>
  </si>
  <si>
    <t>santosdomansa
@DemocrataBR @reinaldoazevedo Qual
é a proposta do Ciro? Falar mal
do PT ao invés de criticar o que
aconteceu com a nossa economia
e relações internacionais, pós
golpe? Eu achava que ele era maior
do que isso.</t>
  </si>
  <si>
    <t>analuz1503
@DemocrataBR @reinaldoazevedo Qual
é a proposta do Ciro? Falar mal
do PT ao invés de criticar o que
aconteceu com a nossa economia
e relações internacionais, pós
golpe? Eu achava que ele era maior
do que isso.</t>
  </si>
  <si>
    <t xml:space="preserve">democratabr
</t>
  </si>
  <si>
    <t>yuridiogenes
A PUC PR abriu uma nova Pos, chamada
Direito Digital, Proteção de Dados
e #Cibersegurança e eu estarei
ministrando a disciplina Gestão
de #Segurança da Informação: Prevenção,
Contenção e Continuidade! Maiores
info em https://t.co/iJZazitdj4
https://t.co/nR0dCdbiWL</t>
  </si>
  <si>
    <t>adadriano
@franetcisco A n ser q prendam
ou matem ele, Lula vai ganhar.
O problema: nem que ele fosse Madonna
descida para salvar o Brasil, ele
n vai conseguir as coisas nos trilhos,
e vão usar isso p enterrar a pouca
credibilidade que o PT conseguiu
manter/recuperar. Temo o Brasil
pós Lula.</t>
  </si>
  <si>
    <t xml:space="preserve">franetcisco
</t>
  </si>
  <si>
    <t>iscte_execed
A Conferência Internacional da
European Athlete as Student (EAS)
decorreu no Iscte e o Professor
Pedro Dionísio, Diretor da Pós-Graduação
em Gestão e Marketing do Desporto,
apresentou o Curso Gestor da Carreira
Dual. https://t.co/9X7RN42afk https://t.co/2Xu1Wj3mUI</t>
  </si>
  <si>
    <t>internacionalzp
A Conferência Internacional da
European Athlete as Student (EAS)
decorreu no Iscte e o Professor
Pedro Dionísio, Diretor da Pós-Graduação
em Gestão e Marketing do Desporto,
apresentou o Curso Gestor da Carreira
Dual. https://t.co/9X7RN42afk https://t.co/2Xu1Wj3mUI</t>
  </si>
  <si>
    <t>henriquefavp
@Gabjooao @Fernandoaferro Cara,
não força. Se o governo tem o maior
corruptor da história, logo, seria
o estruturalmente mais corrupto.
Sendo que os indícios citados são
delações premiadas e operações
que só poderia existir pós PT devido
a mecanismos criados por governo
ou sociedade.</t>
  </si>
  <si>
    <t xml:space="preserve">fernandoaferro
</t>
  </si>
  <si>
    <t>ivansb2009
@Gabjooao @Fernandoaferro Ciro
vem aderindo ao discurso "PT governo
mais corrupto", oq beneficia governos
como Bolsonaro, FHC e ditadura,
que impediam investigações. A lava
jato só existiu por mecanismos
anti corrupção criados pós PT.
Criticar a corrupção sim, mas esse
papo de mais corrupto é lavajatismo</t>
  </si>
  <si>
    <t xml:space="preserve">gabjooao
</t>
  </si>
  <si>
    <t>caioaugstor
Isso me lembra o clássico "mea
culpa" do PT pós impeachment da
Dilma que basicamente dizia "todos
erraram, então vocês precisam perdoar
nosso erro ligeiramente maior".
Isso aqui é risível. Coisa de quem
tem compromisso com o erro. https://t.co/KhQczeeIxI</t>
  </si>
  <si>
    <t>novosemanario
Nas últimas eleições autárquicas
foi surpreendida com o resultado
que pôs fim a mais de quatro décadas
de gestão comunista em Almada.
Pelo que entende ter sido o sucesso
do diálogo com o PSD e pelo comportamento
da CDU na oposição https://t.co/qN0KgScmcG
https://t.co/qY3jU2rY39</t>
  </si>
  <si>
    <t>malaysia_trade
❗️help rt❗️WTS BTS pc 🇲🇾 -must
bought by set -dm to buy 🚚 price
exc pos -rm8 jnt -rm7 pgeon #pasarbts
help rt thanks 💜 @pasarBTS @malaysia_trade
@kpopsellingmy_ @BTStrading_MY
https://t.co/dFPJuTpr2F</t>
  </si>
  <si>
    <t>record_portugal
Ginástica - O pós-Tóquio de Simone
Biles: saúde mental, abuso sexual
e muito mais https://t.co/essRnkhzKd</t>
  </si>
  <si>
    <t>pasaratiny
help rt wts 🇲🇾 #pasarATEEZ hongjoong
ktown pob fever pt 1 rm20 mingi
thanxx ver rm25 wooyoung lightstick
ls pc rm18 exc pos : rm7 wm | rm14
em (flexi rm5) help me clear this
🥺 https://t.co/b9BLjE89GX</t>
  </si>
  <si>
    <t>cintiapb2
@jandira_feghali Pós e né, TRABALHAM
, enquanto vcs ROUBAM , e pelo
que vi chegou em um Jatinho Particular
que veio da África com o Filho
de um Ditador uma mala cheia de
Dólar e Euros e outra cheia de
Rolex , para ajudar na Campanha
Do PT 2018</t>
  </si>
  <si>
    <t xml:space="preserve">jandira_feghali
</t>
  </si>
  <si>
    <t>cruzdefesa
@jandira_feghali Pós e né, TRABALHAM
, enquanto vcs ROUBAM , e pelo
que vi chegou em um Jatinho Particular
que veio da África com o Filho
de um Ditador uma mala cheia de
Dólar e Euros e outra cheia de
Rolex , para ajudar na Campanha
Do PT 2018</t>
  </si>
  <si>
    <t>ciganosazul7
Quem poderia imaginar que o responsável
pela investigação sobre a morte
da adolescente pós Pfizer é o presidente
do sindicato dos médicos de SP
e filiado ao PT? https://t.co/rODgWett3o</t>
  </si>
  <si>
    <t>nailizarbxov
Quem poderia imaginar que o responsável
pela investigação sobre a morte
da adolescente pós Pfizer é o presidente
do sindicato dos médicos de SP
e filiado ao PT? https://t.co/rODgWett3o</t>
  </si>
  <si>
    <t>gigolosanto
@slpng_giants_pt @YouTubeBrasil
@vivobr sou cliente pós querem
ainda ter um cliente? Então deixe
essa grade</t>
  </si>
  <si>
    <t xml:space="preserve">vivobr
</t>
  </si>
  <si>
    <t xml:space="preserve">youtubebrasil
</t>
  </si>
  <si>
    <t>samgq7
https://t.co/t5CziaW0dH</t>
  </si>
  <si>
    <t>janainadobrasil
https://t.co/t5CziaW0dH</t>
  </si>
  <si>
    <t>humbert69914038
https://t.co/t5CziaW0dH</t>
  </si>
  <si>
    <t>alinealamonica
https://t.co/t5CziaW0dH</t>
  </si>
  <si>
    <t>marcoocramalan
@eduardopaes https://t.co/t5CziaW0dH</t>
  </si>
  <si>
    <t xml:space="preserve">eduardopaes
</t>
  </si>
  <si>
    <t>noahwardrobe
https://t.co/t5CziaW0dH</t>
  </si>
  <si>
    <t>franciscodecama
https://t.co/t5CziaW0dH</t>
  </si>
  <si>
    <t>ponderadoo
@eduardopaes https://t.co/t5CziaW0dH</t>
  </si>
  <si>
    <t>soninha28906779
@eduardopaes https://t.co/t5CziaW0dH</t>
  </si>
  <si>
    <t>r0d3s
https://t.co/t5CziaW0dH</t>
  </si>
  <si>
    <t>mia170963
https://t.co/t5CziaW0dH</t>
  </si>
  <si>
    <t>paulikita2
https://t.co/t5CziaW0dH</t>
  </si>
  <si>
    <t>sandrotca
https://t.co/t5CziaW0dH</t>
  </si>
  <si>
    <t>epmoraes2
https://t.co/t5CziaW0dH</t>
  </si>
  <si>
    <t>tito_macedo
https://t.co/t5CziaW0dH</t>
  </si>
  <si>
    <t>freedombrazil21
@gleisi #BolsonaroSalvouPobre pq
o PT e qu3m mandou FICAR EM CASA
E FODA SE a Economia. Portanto
a Esquerda e culpada dos desemprego
e da óbvia inflação Mundial pós
pandemia... E dos Comunistas governadores
e prefeitos . Não Fosse MITO morreriamos
todos de fome</t>
  </si>
  <si>
    <t>anaherr68016722
@eduardopaes https://t.co/t5CziaW0dH</t>
  </si>
  <si>
    <t>mariatalves
Governo lança Linha Retomar de
mil milhões para crédito a empresas
pós-moratórias https://t.co/xIjqdGgX1i
via @ojeconomico</t>
  </si>
  <si>
    <t>ojeconomico
Fórum do BCE debate 'online' o
futuro pós-pandemia da política
monetária https://t.co/NAX4whWrbD</t>
  </si>
  <si>
    <t>cruzfermes
https://t.co/t5CziaW0dH</t>
  </si>
  <si>
    <t>smwarley
@eduardopaes https://t.co/t5CziaW0dH</t>
  </si>
  <si>
    <t>jaguajb
https://t.co/t5CziaW0dH</t>
  </si>
  <si>
    <t>discurso2014
@eduardopaes https://t.co/t5CziaW0dH</t>
  </si>
  <si>
    <t>marcelao_veiga
https://t.co/t5CziaW0dH</t>
  </si>
  <si>
    <t>sammirsouza
https://t.co/t5CziaW0dH</t>
  </si>
  <si>
    <t>mfecha
@eduardopaes https://t.co/t5CziaW0dH</t>
  </si>
  <si>
    <t>renabreu20
@eduardopaes https://t.co/t5CziaW0dH</t>
  </si>
  <si>
    <t>karawangfess
Gokar! Info nya dong kakak-kakak
di pt santos jaya abadi masih bisa
nge pos ga? Hatur nuhun sa te acan
na</t>
  </si>
  <si>
    <t>angela40638513
https://t.co/t5CziaW0dH</t>
  </si>
  <si>
    <t>stepanusedo
Personil pengamanan PT. Chemindo
Gemilang melaksanakan cek dan riksa
sesuai prokes di Pos Access F https://t.co/LJcQ4PUiTZ</t>
  </si>
  <si>
    <t>joscost00443299
https://t.co/t5CziaW0dH</t>
  </si>
  <si>
    <t>elenara_lobato
https://t.co/t5CziaW0dH</t>
  </si>
  <si>
    <t>bes8
https://t.co/t5CziaW0dH</t>
  </si>
  <si>
    <t>reginargaa
https://t.co/vsBySF0ESb</t>
  </si>
  <si>
    <t>prettydongjuu
❗️help rt❗️WTS BTS pc 🇲🇾 -dm
to buy 🚚 price exc pos -rm8 jnt
-rm7 pgeon #pasarbts help rt thanks
💜 @pasarBTS @malaysia_trade @kpopsellingmy_
@BTStrading_MY https://t.co/7L7uTdjfLv</t>
  </si>
  <si>
    <t>pantanal741
https://t.co/t5CziaW0dH</t>
  </si>
  <si>
    <t>biar_amanda
@eduardopaes https://t.co/t5CziaW0dH</t>
  </si>
  <si>
    <t>luisamrgarcia
@jeflisboa1 Pra elogiar minha foto
pós pt realmente hahahshshahsa</t>
  </si>
  <si>
    <t xml:space="preserve">jeflisboa1
</t>
  </si>
  <si>
    <t>netinho_muller
no mesmo dia assinei contrato do
trampo, comi lanche de graça, bebi
com meus amgs, quebrei meu celular,
comprei um novo e vi minha irma
bebaça pós pt</t>
  </si>
  <si>
    <t>lipe_r_s
@4777boy @RuneterraBrasil Na real
é o nacionalismo que elege esse
tipo de presidente. Qualquer figura
política forte que possa ser apresentada
como "solução de todos os problemas"
acaba de elegendo. Florianismo
no início da república, Getulismo
pós coronelismo, Lulismo pós inflações
e Bolsonarismo pós PT.</t>
  </si>
  <si>
    <t xml:space="preserve">runeterrabrasil
</t>
  </si>
  <si>
    <t xml:space="preserve">4777boy
</t>
  </si>
  <si>
    <t>jccbrandao29
@gustavocastanon Ciristas, tal
qual os bolsominiuns, convenientemente
esquecem que o PT não é mais governo
há mais de 5 anos, desconsiderando
o desmonte feito pelo Temeroso
e o bozo no período pós golpe 2016.</t>
  </si>
  <si>
    <t>gabrielfergomes
@gustavocastanon Ciristas, tal
qual os bolsominiuns, convenientemente
esquecem que o PT não é mais governo
há mais de 5 anos, desconsiderando
o desmonte feito pelo Temeroso
e o bozo no período pós golpe 2016.</t>
  </si>
  <si>
    <t>antoniocsfilho
https://t.co/t5CziaW0dH</t>
  </si>
  <si>
    <t>doctimcook
@lotusgav But I guess you want
to have decided before all that
whether you think this pt poses
a risk &amp;amp; what IPC and PPE precautions
you will take. If the pt is SARS-CoV-2
pos I’ll be wearing airborne precaution
PPE. If SGA removal smooth &amp;amp;
no coughing I’ll then declare ‘no
aerosol’ 1/2</t>
  </si>
  <si>
    <t xml:space="preserve">lotusgav
</t>
  </si>
  <si>
    <t>pt_viiannaa
Aquela caipirinha pós festinha
🤤🍹</t>
  </si>
  <si>
    <t>jhowmitchel
@Annacomentts Ata kkkk se isso
é estão conciente então eu nunca
dei PT kkkkk só o jeito que eles
tavam falando pós festa já mostra
que estavam bêbados.</t>
  </si>
  <si>
    <t xml:space="preserve">annacomentts
</t>
  </si>
  <si>
    <t>ricoricar1
https://t.co/t5CziaW0dH</t>
  </si>
  <si>
    <t>ingamiro
@hilde_angel Lembrando, q o vampiro
golpista Temer, foi no seu governo
pós golpe q começou a se taxar
os produtos derivados do petróleo
de acordo com o preço do barril
no mercado internacional! Se ñ
foi pior já naquela época, foi
pq a economia ainda tinha muito
fôlego dos governos do PT!</t>
  </si>
  <si>
    <t>monicaaraujorj
@hilde_angel Lembrando, q o vampiro
golpista Temer, foi no seu governo
pós golpe q começou a se taxar
os produtos derivados do petróleo
de acordo com o preço do barril
no mercado internacional! Se ñ
foi pior já naquela época, foi
pq a economia ainda tinha muito
fôlego dos governos do PT!</t>
  </si>
  <si>
    <t xml:space="preserve">hilde_angel
</t>
  </si>
  <si>
    <t>timbul_suryanto
Penyerahan TV 21 inci,dr PT Sudibyo
Timbul Sukses,untuk pos ronda karang
nduwet rt 2,karang rejek,wonosari.smoga
manfaat dan giat siskamling tambah
semangat. #perumahan_amalia_regency
#perumahan_subsidi #perumahan_gunungkidul
#perumahan_murah_mewah PT Sudibyo
Timbul Sukses https://t.co/1FYubb0BPV</t>
  </si>
  <si>
    <t>margarethgoes4
https://t.co/t5CziaW0dH</t>
  </si>
  <si>
    <t>tuliohe95287973
https://t.co/t5CziaW0dH</t>
  </si>
  <si>
    <t>gepesmi
Fórum do BCE debate 'online' o
futuro pós-pandemia da política
monetária https://t.co/2rozi7WpfZ
https://t.co/R587nUE8uS</t>
  </si>
  <si>
    <t>alexsonaro17
https://t.co/t5CziaW0dH</t>
  </si>
  <si>
    <t>sapo
Popcorner“, o magazine SAPO Mag
e da Comic Con Portugal. Esta semana,
reencontramos Neo e Trinity em
“Matrix: Ressurrections“, vamos
ao cinema com Woody Allen e “Y:
O Último Homem“. Veja o programa
no vídeo abaixo. https://t.co/Xnql6JZzO2
https://t.co/aQUZnpQktq</t>
  </si>
  <si>
    <t>obilonbeta
Fórum do BCE debate 'online' o
futuro pós-pandemia da política
monetária https://t.co/rOtP8ZSl3v
https://t.co/Y7uRchZLnZ</t>
  </si>
  <si>
    <t>opeugusmao
@Seneguini @marianacabralc Nossa
incrível pq na época do PT, gente
igual a mim, teve acesso total
e 100% gratuito à universidade,
ciências sem fronteiras, inclusive
pós graduações. Enquanto isso,
hoje, os jovens mal conseguem terminar
o ensino médio, q é completamente
falho. Realmente, mesma coisa</t>
  </si>
  <si>
    <t xml:space="preserve">marianacabralc
</t>
  </si>
  <si>
    <t xml:space="preserve">seneguini
</t>
  </si>
  <si>
    <t>weayl
https://t.co/b9oI8bF9a4</t>
  </si>
  <si>
    <t>aspasia_maria
https://t.co/t5CziaW0dH</t>
  </si>
  <si>
    <t>33poryx
โรงพยาบาลกูแตกอีกแล้ว ward ศัลเจอคนไข้เป็นโควิด
8 คน ส่ง PT ไปแล้ว 4 คน fuck ส่วนพยบกับหมอมี
pos 3 incon 1 ชิบหาย</t>
  </si>
  <si>
    <t>nestrangeiro_pt
A conversa com a Vice Secretária-Geral
das @NacoesUnidas @UN, @AminaJMohammed,
pôs em evidência a íntima articulação
entre a agenda climática e a agenda
dos oceanos. Foi também ocasião
para as Nações Unidas valorizarem
o empenhamento de 🇵🇹 nas causas
humanitárias. https://t.co/fJUywrnt1X</t>
  </si>
  <si>
    <t xml:space="preserve">aminajmohammed
</t>
  </si>
  <si>
    <t xml:space="preserve">un
</t>
  </si>
  <si>
    <t xml:space="preserve">nacoesunidas
</t>
  </si>
  <si>
    <t>heliasfs
@alex_bitcoiner @Felippe_Hermes
Nao, não tem não!! https://t.co/bEInCYB9KL</t>
  </si>
  <si>
    <t xml:space="preserve">felippe_hermes
</t>
  </si>
  <si>
    <t xml:space="preserve">alex_bitcoiner
</t>
  </si>
  <si>
    <t>alexand82848379
@paulopaim PT pôs a mão podre,
não sobra nada, bandidos da esquerda</t>
  </si>
  <si>
    <t xml:space="preserve">paulopaim
</t>
  </si>
  <si>
    <t>ssnaterse
Peço a todos q tiveram efeitos
adversos pós vac, que façam o registro
no site da Anvisa. Cada tuíte q
faço sobre isso aparecem inúmeros
relatos. Precisamos transformar
isso em números concretos, para
n falarem q são “casos isolados”.
Dia p vcs! https://t.co/qSlUHTLNi0</t>
  </si>
  <si>
    <t>kyueel
wts unsealed digipack blue ver
rm 30 all inclusion postage rm
8 jnt (pos using box) freebies
will given 🤍 can reserve 🥰 -
bole dm for more detail 🦋 #pasarexomy
#pasarexo @pasar_EXO @KogiEXOrealPC
https://t.co/d9HCkSLd1L</t>
  </si>
  <si>
    <t>fabiopf08fabio
O complexo e imprevisível pós-Merkel
https://t.co/PlwXjz2tbE via @sicnoticias</t>
  </si>
  <si>
    <t>polemmicodvj
@eduardopaes https://t.co/t5CziaW0dH</t>
  </si>
  <si>
    <t>iebsescola
🎓 "Eu amei tudo que eu aprendi
no curso e do que eu tenho sido
capaz de alcançar " Lucia Moreno,
depois de passar pela pós #MarketingDigital.
Faça parte da IEBS e eleve sua
carreira a outro nível! #IEBSXperience
https://t.co/H1bvD3YcyI</t>
  </si>
  <si>
    <t>blacklamb19
🚨🚨 LETÍCIA PRIMA deu PT pós festa
mas já se recuperou🚨🚨 https://t.co/A2PhewiE0Y</t>
  </si>
  <si>
    <t>visualtraveller
Strolling Around @posblocjkt .
. #30SecVideo #PosBloc #PosBlocJkt
#CreativeSpace #Nice #Place #To
#Visit #MasBo @ Gedung Filateli
PT POS (PERSERO) https://t.co/DWrdRIYMhf</t>
  </si>
  <si>
    <t xml:space="preserve">posblocjkt
</t>
  </si>
  <si>
    <t>akakarota
@danibenevenuto1 Deixa seu corpinho
fazer digestão muié, hahahahah
Se não passou mal na academia tá
tudo certo, pq geralmente da uma
sensação ruim demais 😣 Já dei
pt pós janta no cross e não recomendo
kkkkkk</t>
  </si>
  <si>
    <t xml:space="preserve">danibenevenuto1
</t>
  </si>
  <si>
    <t>dalilam75947344
@DCM_online Não vai, parem de se
iludir. Ele pôs gado na PF pra
isso, retardar tudo e conta com
o André Mendonça no STF. Bolsonaro
é egocêntrico demais pra sair da
disputa. E se ele sair, o PT ganha
com mais facilidade ainda. Ele
quer ser o Rei e seus filhos bandidos
os principes sempre</t>
  </si>
  <si>
    <t xml:space="preserve">dcm_online
</t>
  </si>
  <si>
    <t>marcelo_barret0
@catarinaparada_ @_diogo_delgado_
Mas IQ significa intelligence quotient
apenas pôs em inglês porque não
gosto e nunca digo em pt</t>
  </si>
  <si>
    <t xml:space="preserve">_diogo_delgado_
</t>
  </si>
  <si>
    <t xml:space="preserve">catarinaparada_
</t>
  </si>
  <si>
    <t>guedes_leonidas
@ECantanhede E o apagão ético do
jornalismo pós abstinência de verbas
gordas de publicidade dos governos
PT/PSDB ? Não passa não?</t>
  </si>
  <si>
    <t xml:space="preserve">ecantanhede
</t>
  </si>
  <si>
    <t>celsojalves
Comunidcado da ANVISA. Se alguém
não encontrou, segue o link...
https://t.co/wL56PQHhUm</t>
  </si>
  <si>
    <t>canaldhiegofc
@alexandre_davis @oatila Houve
um corte no programa, redução da
oferta, mas o programa iria continuar.
Ainda existia novas bolsas para
pós graduação. Quem DESTRUIU o
programa foi o Temer com suas políticas
liberais. Liberalismo não gosta
de investimento na educação. Quem
criou o programa foi o PT.</t>
  </si>
  <si>
    <t xml:space="preserve">oatila
</t>
  </si>
  <si>
    <t xml:space="preserve">alexandre_davis
</t>
  </si>
  <si>
    <t>diniz4501
@paulopaim Um erro foi ter PT que
onde pôs as mãos ou quebrou ou
roubo tudo assim essa esquerda
nojenta</t>
  </si>
  <si>
    <t>joshiginosoare2
Fórum do BCE debate 'online' o
futuro pós-pandemia da política
monetária https://t.co/NAX4whWrbD</t>
  </si>
  <si>
    <t>robertabrandaum
1 churras pós pandemia Expectativa:
ficar louca e dar PT Realidade:
17h - pq eu comi assim ?</t>
  </si>
  <si>
    <t>nonducorduco11
Isso te PROVA que o PT já governa
o país em muitos sentidos através
do STF e parlamentares que tudo
judicializam nesta corte. Eduardo,
você está entendendo q o q Barroso
está fazendo não é pós vitória
do PT??🤦🏻‍♀️ Meu Deus!!! Socorro!
https://t.co/X3qyqqKPWU</t>
  </si>
  <si>
    <t>rascaldizzy1
@katiesdad52 @JulianOD @scotty9094
@IanMaher7 @JamesCleverly Nope,
it's just illogical one as it ignores
cause and effect. The cause of
the increase in demand was the
news that BP had not supplied enough
petrol to meet demand. This is
known as a shortage, or shortage
at pos. You are starting your point
in pt.3, because pt 1-2 don't suit
it</t>
  </si>
  <si>
    <t xml:space="preserve">jamescleverly
</t>
  </si>
  <si>
    <t xml:space="preserve">ianmaher7
</t>
  </si>
  <si>
    <t xml:space="preserve">scotty9094
</t>
  </si>
  <si>
    <t xml:space="preserve">julianod
</t>
  </si>
  <si>
    <t xml:space="preserve">katiesdad52
</t>
  </si>
  <si>
    <t>_ivandeso
@mathfjacinto Estava vendo o vídeo
do governo de SP e é bizarro como
pós ditadura SP só teve PSDB E
PMDB. Nas minhas memorias de criança
era o contraste entre os meus parentes
que moravam em MG e defendiam o
PT enquanto por estas bandas já
se cultivava o antipetismo</t>
  </si>
  <si>
    <t xml:space="preserve">mathfjacinto
</t>
  </si>
  <si>
    <t>mb_vinicios1
@eduardodebraga6 @LileTaxus @brasil247
@cirogomes Como não sou desse tempo?
Em 2007 eu estava no 3° congresso
nacional do PT. Na época eu era
só um estudante de graduação. Hoje
tenho pós e mestrado em geopolítica.
O problema de vcs é falta de coragem
de assumirem que foram enrolados.
Acham sempre que os outros são
inocentes.</t>
  </si>
  <si>
    <t xml:space="preserve">brasil247
</t>
  </si>
  <si>
    <t xml:space="preserve">liletaxus
</t>
  </si>
  <si>
    <t xml:space="preserve">eduardodebraga6
</t>
  </si>
  <si>
    <t xml:space="preserve">cirogomes
</t>
  </si>
  <si>
    <t>reginaftima6
@hilde_angel Lembrando, q o vampiro
golpista Temer, foi no seu governo
pós golpe q começou a se taxar
os produtos derivados do petróleo
de acordo com o preço do barril
no mercado internacional! Se ñ
foi pior já naquela época, foi
pq a economia ainda tinha muito
fôlego dos governos do PT!</t>
  </si>
  <si>
    <t>abelmaxwell2
@cyrusafa Não sei se ela conseguiria
corrigir seus erros. Os resultados
na economia foram bem ruins pós
2014 pesando para ela (e para o
PT tbm). De certa forma o impeachment
salvou parte da imagem dela que
estava no buraco.</t>
  </si>
  <si>
    <t xml:space="preserve">cyrusafa
</t>
  </si>
  <si>
    <t>petrussacra
@BRJamesSR @Bronson_X @nix1337
@ducavendish @tabataamaralsp É
triste, mas agora a direita fica
meio contaminada. A real é que
o bolsonaro estragou a direita,
imagina um presidente melhor no
pós PT, hoje estaríamos totalmente
diferente. Se pá o Lula seria irrelevante.
Mas é isso, querendo ou não, ser
de esquerda virou sinônimo de bom
senso</t>
  </si>
  <si>
    <t xml:space="preserve">tabataamaralsp
</t>
  </si>
  <si>
    <t xml:space="preserve">ducavendish
</t>
  </si>
  <si>
    <t xml:space="preserve">nix1337
</t>
  </si>
  <si>
    <t xml:space="preserve">bronson_x
</t>
  </si>
  <si>
    <t xml:space="preserve">brjamessr
</t>
  </si>
  <si>
    <t>lioeslucas
@sasbranco @euwillarauujo @PandaBandoleiro
@felipeneto Eu sou advogado e tenho
pós graduação em direito de família
e eu tenho que estudar? A eleitora
do pt mandando alguém estudar kkkkkk
vc compara preços de coisas e poder
de compra em décadas diferentes.
Isso é coisa de analfabeto funcional</t>
  </si>
  <si>
    <t xml:space="preserve">euwillarauujo
</t>
  </si>
  <si>
    <t xml:space="preserve">sasbranco
</t>
  </si>
  <si>
    <t xml:space="preserve">felipeneto
</t>
  </si>
  <si>
    <t xml:space="preserve">pandabandoleiro
</t>
  </si>
  <si>
    <t>fabilcp
Comunicado da @anvisa_oficial Trata-se
de um alerta sobre miocardite e
pericardite pós vacina. Vale a
leitura. Ah sim , não estão dizendo
para que não tomem as vacinas,
apenas para estarmos atentos a,
possíveis,sintomas após tomar as
vacinas ! https://t.co/UY9kGgXpAY</t>
  </si>
  <si>
    <t xml:space="preserve">anvisa_oficial
</t>
  </si>
  <si>
    <t>anamari95145322
@LuizCarlosPavao É lógico que com
a crise pós governos do PT mais
a pandêmia enfrentada, os cidadãos
se encontram em situação financeira
abalada,sendo assim deixando seus
planos de saúde e partindo em busca
de outros mais viáveis financeiramente.
O que acontece é que a Prevent
veio nesse nixo e</t>
  </si>
  <si>
    <t xml:space="preserve">luizcarlospavao
</t>
  </si>
  <si>
    <t>vila_pc
Dor imensa já quando militava em
favelas, mortos e bairros afastados
entre 1981-1991 minha passagem
pelo PT. EU E TANTOS OUTROS CONSTRUIMOS
O PT. LULA OU DESTRÓI CADA DIA
POR SUA $EDE DE GRANA. MINHA PETROBRÁS
DESCEU DEMAIS. FOI ESQUARTEJADA
POR DENTRO. Quando Dilma pos Graça...
https://t.co/HE95EXs4c7</t>
  </si>
  <si>
    <t>brunoraso
Na continuidade do pós evangelismo
começa uma nova fase com estudos
bíblicos. Uma excelente sugestão
é Jesus Restaurador da Vida. No
site você encontra pdf com links,
Power Point, versão feminina etc.
https://t.co/ZbufAeAhMF https://t.co/zTy5F1dmHc</t>
  </si>
  <si>
    <t>bogerjr
Na continuidade do pós evangelismo
começa uma nova fase com estudos
bíblicos. Uma excelente sugestão
é Jesus Restaurador da Vida. No
site você encontra pdf com links,
Power Point, versão feminina etc.
https://t.co/ZbufAeAhMF https://t.co/zTy5F1dmHc</t>
  </si>
  <si>
    <t>prmichel73
Na continuidade do pós evangelismo
começa uma nova fase com estudos
bíblicos. Uma excelente sugestão
é Jesus Restaurador da Vida. No
site você encontra pdf com links,
Power Point, versão feminina etc.
https://t.co/ZbufAeAhMF https://t.co/zTy5F1dmHc</t>
  </si>
  <si>
    <t>heyssencordero
Na continuidade do pós evangelismo
começa uma nova fase com estudos
bíblicos. Uma excelente sugestão
é Jesus Restaurador da Vida. No
site você encontra pdf com links,
Power Point, versão feminina etc.
https://t.co/ZbufAeAhMF https://t.co/zTy5F1dmHc</t>
  </si>
  <si>
    <t>mamilooooo
Naninha pos pt sem or q podre</t>
  </si>
  <si>
    <t>arttwrrr
esquerdas pós pt = pdt pós morte
do brizola</t>
  </si>
  <si>
    <t>phnx20
https://t.co/t5CziaW0dH</t>
  </si>
  <si>
    <t>opraticante
Vitória Sport Club vence na LEN
Champions League https://t.co/eLZNRghgGZ
via @creativejuiz A equipa portuguesa
do Vitória Sport Club pôs fim a
uma serie de resultados desfavoráveis
e venceu os polacos dos AZS UW
Warsaw ... https://t.co/RefkJPmock</t>
  </si>
  <si>
    <t>pegeovane
Dia Mundial do Migrante e Refugiado:
Papa alerta para risco de nacionalismos
«agressivos» e sociedades mais
fechadas (c/vídeo) https://t.co/fzaTllggtY</t>
  </si>
  <si>
    <t>maiscatolicismo
RT @agenciaecclesia: Dia Mundial
do Migrante e Refugiado: Papa alerta
para risco de nacionalismos «agressivos»
e sociedades mais fechadas (c/vídeo)
https://t.co/AYOSexcH2T</t>
  </si>
  <si>
    <t>agenciaecclesia
Dia Mundial do Migrante e Refugiado:
Papa alerta para risco de nacionalismos
«agressivos» e sociedades mais
fechadas (c/vídeo) https://t.co/YvuOJuEOw3</t>
  </si>
  <si>
    <t>fiordaliso21
Dia Mundial do Migrante e Refugiado:
Papa alerta para risco de nacionalismos
«agressivos» e sociedades mais
fechadas (c/vídeo) https://t.co/YvuOJuEOw3</t>
  </si>
  <si>
    <t>iilyknight
あの領域到達────────── 最後意識飛びまくるし、pt調整計算出来ないし…だったのでちゃんとしたのは明日の結果発表で👊
https://t.co/ENLP48dwdb</t>
  </si>
  <si>
    <t>taminebb
@Fabiomarbinho @LulaOficial É isso
Fábio! Ontem falava com meu filho
que não ente do esse preconceito
da mídia contra Lula! Será que
são cegos e não vêem a diferença
entre o país do PT e do país pós
Golpe!</t>
  </si>
  <si>
    <t xml:space="preserve">lulaoficial
</t>
  </si>
  <si>
    <t>fabiomarbinho
@Fabiomarbinho @LulaOficial É isso
Fábio! Ontem falava com meu filho
que não ente do esse preconceito
da mídia contra Lula! Será que
são cegos e não vêem a diferença
entre o país do PT e do país pós
Golpe!</t>
  </si>
  <si>
    <t>gatosabado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</si>
  <si>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johallack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</si>
  <si>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rocaramicoli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</si>
  <si>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stalininha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</si>
  <si>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lnpfc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</si>
  <si>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rangel_lucia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</si>
  <si>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herege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</si>
  <si>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llc1395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</si>
  <si>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 xml:space="preserve">marcelopjs
</t>
  </si>
  <si>
    <t xml:space="preserve">so_ellipsis
</t>
  </si>
  <si>
    <t>diego_8813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</si>
  <si>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lan_torres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</si>
  <si>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proletariors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</si>
  <si>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cyberadaa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</si>
  <si>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souza_g1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</si>
  <si>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ilbentinho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</si>
  <si>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maedojorel_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</si>
  <si>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eniotaniguti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</si>
  <si>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observotariopig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</si>
  <si>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shock0031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</si>
  <si>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guilhermetom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</si>
  <si>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yzaaia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</si>
  <si>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sandroka131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</si>
  <si>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amilcarodrigues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</si>
  <si>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cantidio_jose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</si>
  <si>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tunado70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</si>
  <si>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trajanojorge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</si>
  <si>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frieira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</si>
  <si>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elmacambuzio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</si>
  <si>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daviralb1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</si>
  <si>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gato0800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</si>
  <si>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sonia_divinaa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</si>
  <si>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silasvieiradea1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</si>
  <si>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mariomalerba_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</si>
  <si>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ananindeua_77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</si>
  <si>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gayemquadrinhos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</si>
  <si>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yoshuarodrguez3
Na continuidade do pós evangelismo
começa uma nova fase com estudos
bíblicos. Uma excelente sugestão
é Jesus Restaurador da Vida. No
site você encontra pdf com links,
Power Point, versão feminina etc.
https://t.co/ZbufAeAhMF https://t.co/zTy5F1dmHc</t>
  </si>
  <si>
    <t>grandeorn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</si>
  <si>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vilmarvs60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</si>
  <si>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miguel_de_que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</si>
  <si>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suetamr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</si>
  <si>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claudia_sarti13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</si>
  <si>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chass1978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</si>
  <si>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wpz13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</si>
  <si>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garotadpi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</si>
  <si>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franciorlando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</si>
  <si>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siljr2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</si>
  <si>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neidelopesacre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</si>
  <si>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ap_skywalker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</si>
  <si>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fernandocesar77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</si>
  <si>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calicedochico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</si>
  <si>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analia_varela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</si>
  <si>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nicofernandes_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</si>
  <si>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rosenyjulio
@senadorpaulor Pôs pra fora a quadrilha
do PT, que por longos anos subtraiu
o dinheiro do contribuinte. Ter
um Presidente honesto e patriota
no Poder, tras dignidade ao brasileiro.</t>
  </si>
  <si>
    <t xml:space="preserve">senadorpaulor
</t>
  </si>
  <si>
    <t>naosabelidar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</si>
  <si>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clausfarscape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</si>
  <si>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rtitareis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</si>
  <si>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izasaocoe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</si>
  <si>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jv_larroza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</si>
  <si>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mattteusalves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</si>
  <si>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spezian0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</si>
  <si>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bem_jonson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</si>
  <si>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claudiocalente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</si>
  <si>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dinhasmile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</si>
  <si>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lune_blanche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</si>
  <si>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ombudsgus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</si>
  <si>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mendoncalicia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</si>
  <si>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luciluladasilva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</si>
  <si>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alexand04132949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</si>
  <si>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tania12446771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</si>
  <si>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mariocrpl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</si>
  <si>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alessandresena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</si>
  <si>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maisribatejo
O Presidente da República disse
hoje ser “difícil de entender”
se os portugueses não votassem
nas autárquicas, numas eleições
que considera “decisiva”, por permitir
escolher quem vai gerir os fundos
europeus pós pandemia. #eleiçõesautarquicas
#marcelo https://t.co/2NEdCHTQTH
https://t.co/N3jwQzlpMg</t>
  </si>
  <si>
    <t>sage_nada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</si>
  <si>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warley_lopes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</si>
  <si>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emidrr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</si>
  <si>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r1000nobrega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</si>
  <si>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sylviofreitas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</si>
  <si>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esequiaspierre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</si>
  <si>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emillyluh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</si>
  <si>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arrobanmg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</si>
  <si>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malusntssz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</si>
  <si>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paulopaulada39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</si>
  <si>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liliana37799256
A escola no pós-pandemia - Blogue
RBE https://t.co/cdHLDr0uiT</t>
  </si>
  <si>
    <t>paulinobrandim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</si>
  <si>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matsia_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</si>
  <si>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patricia_paes10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</si>
  <si>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ruialvesdasilv6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</si>
  <si>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psancandi
Não acredito q me encontrei ontem
com uma garota q me viu pelado
pós pt😂🤦‍♂️🤦‍♂️</t>
  </si>
  <si>
    <t>duquegalvao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</si>
  <si>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alobarreto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</si>
  <si>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manosp17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</si>
  <si>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keisaricisar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</si>
  <si>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taniarjreis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</si>
  <si>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jlia_cristinaa
@bastoss_rn eu comendo batata pos
pt ?</t>
  </si>
  <si>
    <t xml:space="preserve">bastoss_rn
</t>
  </si>
  <si>
    <t>alex_kosteczka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</si>
  <si>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marcelojgonca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</si>
  <si>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joaovitorjv
eu particularmente estou achando
a postura do lyla nos últimos meses
até razoável - ele parece estar
numa posição mediana entre o discurso
do PT pós-2016 + política macroeconômica
desenvolvimentista estilo Lula
2 e a full conciliação com o centrão
+ social-liberalismo paloccista</t>
  </si>
  <si>
    <t>selma_lula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</si>
  <si>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maicao94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</si>
  <si>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vnssalin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</si>
  <si>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maruxdopt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</si>
  <si>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milenialnarede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</si>
  <si>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anavalriatoled1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</si>
  <si>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jfmacedo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</si>
  <si>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bangslester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</si>
  <si>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omeuecomaga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</si>
  <si>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paulo_profhis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</si>
  <si>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geraldoazevedof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</si>
  <si>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igordrumond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</si>
  <si>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sandro_cao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</si>
  <si>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euliricopistola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</si>
  <si>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rtpmadeira
O Presidente da República disse
hoje ser “difícil de entender”
se os portugueses não votassem
nas autárquicas, numas eleições
que considera “decisiva”, por permitir
escolher quem vai gerir os fundos
europeus pós pandemia. https://t.co/64hQJH2GiA</t>
  </si>
  <si>
    <t>feduambiental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</si>
  <si>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victornamatrix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</si>
  <si>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lobasolitari4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</si>
  <si>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abnervinicius01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</si>
  <si>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rosaskarlate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</si>
  <si>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nelsony2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</si>
  <si>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muauj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</si>
  <si>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nilzasilvana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</si>
  <si>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irondant
@PandaBandoleiro @felipeneto O
brasileiro sendo barbarizado dia
a pós dia diante desse desgoverno,
corrupção roendo livre nas custa
de vidas inocentes, e o cara preocupado
com o PT. O Brasil está sendo barbarizado
por @jairbolsonaro , se liga, não
temos mais tempo para falsa equivalência.</t>
  </si>
  <si>
    <t>alessandrakoren
@PandaBandoleiro @felipeneto O
brasileiro sendo barbarizado dia
a pós dia diante desse desgoverno,
corrupção roendo livre nas custa
de vidas inocentes, e o cara preocupado
com o PT. O Brasil está sendo barbarizado
por @jairbolsonaro , se liga, não
temos mais tempo para falsa equivalência.</t>
  </si>
  <si>
    <t>elianadacruzro1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</si>
  <si>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marcoscruzeiro5
@senadorpaulor Kkkkjjk. Perguntaram
pra quem? Pós caras da sede do
pt?????? Kkkkkkkkk</t>
  </si>
  <si>
    <t>cassianacotica
@senadorpaulor Kkkkjjk. Perguntaram
pra quem? Pós caras da sede do
pt?????? Kkkkkkkkk</t>
  </si>
  <si>
    <t>sanguineeliane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</si>
  <si>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avozdocerrado_
derrotar o Bolsonaro. Essa coisa
de adolescente rebelde não tem
nenhuma ligação com a vida real
do povo que passa fome neste momento
no Brasil. Lembremos da fome da
era FHC, da segurança alimentar
da era Lula e da volta ao mapa
da fome na era pós golpe de 2016
quando tiraram o PT</t>
  </si>
  <si>
    <t>andresifernande
@DavidMouro2 @bandeiramarela @_winway
O @_winway avisou logo no pre prova
na @ElevenSports_PT que não poderia
estar no pós prova. Já sabia que
teria coisas marcadas</t>
  </si>
  <si>
    <t xml:space="preserve">_winway
</t>
  </si>
  <si>
    <t xml:space="preserve">bandeiramarela
</t>
  </si>
  <si>
    <t xml:space="preserve">davidmouro2
</t>
  </si>
  <si>
    <t xml:space="preserve">elevensports_pt
</t>
  </si>
  <si>
    <t>isabeatle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</si>
  <si>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elisaraujo2010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</si>
  <si>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cmdrmoreira
@elisaraujo2010 Ele tem muita razão
em muito daquilo que diz nesse
post. A sorte do Brasil é que excluindo
militantes, partisans e afins +
ninguém confunde o Lula com o PT.
Sem Lula o PT sofre pra ter 30%.
É esse o pós Lula que os petistas
querem? Se é, boa sorte.</t>
  </si>
  <si>
    <t>leonard20717489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</si>
  <si>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sandraffarias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</si>
  <si>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cristinareisarq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</si>
  <si>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wannessaalves13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</si>
  <si>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tmaioria
@gustavocastanon Eles acreditam
que voltando ao PT, e como pseudo
estrutura organizada, irão ser
o pós Lula. Desde o início de sua
fundação pensam isso, todos os
exemplos até agora mostraram que
estão errados.</t>
  </si>
  <si>
    <t>brendaheloisa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</si>
  <si>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lgsfroufe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</si>
  <si>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gerusaide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</si>
  <si>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ovelhavermelha7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</si>
  <si>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melatolira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</si>
  <si>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fallen_arch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</si>
  <si>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arretada13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</si>
  <si>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seoade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</si>
  <si>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democraciasempr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</si>
  <si>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james_glima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</si>
  <si>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mister_renque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</si>
  <si>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jairdesgovernad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</si>
  <si>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marianemundim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</si>
  <si>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elaneide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</si>
  <si>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painsthiago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</si>
  <si>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kakashi10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</si>
  <si>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rac_pt
@goncalocvale @benfica_fm teve
chances no pós Felix. e não demonstrou
a qualidade que tem.</t>
  </si>
  <si>
    <t xml:space="preserve">benfica_fm
</t>
  </si>
  <si>
    <t xml:space="preserve">goncalocvale
</t>
  </si>
  <si>
    <t>joaoflaviobg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</si>
  <si>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wjjunyor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</si>
  <si>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thejuds_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</si>
  <si>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heroial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</si>
  <si>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ocardozzo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</si>
  <si>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legnar03615740
@r_senna @joaorrios79 @gustavocastanon
@requiaooficial Eu não coloco Ciro
ao "lado deles", até porque o lado
deles é o poder. Eles apoiaram
todos os governos pós 89 e esses
governos precisaram deles. Continuarão
a fazê-lo se os ditos "progressistas"
seguirem se agredindo. Uns do PDT,
tem sido agressivos em relação
ao PT e ao PSOL.</t>
  </si>
  <si>
    <t xml:space="preserve">requiaooficial
</t>
  </si>
  <si>
    <t xml:space="preserve">joaorrios79
</t>
  </si>
  <si>
    <t xml:space="preserve">r_senna
</t>
  </si>
  <si>
    <t>solhidramix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</si>
  <si>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mgdiegogo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</si>
  <si>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tadeuuuuu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</si>
  <si>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dilibra22maria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</si>
  <si>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olivrubia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</si>
  <si>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messiasvinii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</si>
  <si>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anakajsantos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</si>
  <si>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juspartidaria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</si>
  <si>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mariademirai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</si>
  <si>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josealfredojr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</si>
  <si>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gabrielmusso
@Puracoragem @_makavelijones Conheço
as tendências o suficiente para
saber da insatisfação delas com
os processos decisórios e a forma
de condução das políticas pelo
campo majoritário. Mas o Brasil
não se resume ao PT. Se quiser
continuar com o apoio da esquerda
pós eleição, vai ter que saber
ouvir criticas</t>
  </si>
  <si>
    <t xml:space="preserve">_makavelijones
</t>
  </si>
  <si>
    <t xml:space="preserve">puracoragem
</t>
  </si>
  <si>
    <t>beguinho9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</si>
  <si>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maurorato74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</si>
  <si>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malipe6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</si>
  <si>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ivo_borges19
Carlos Carvalhal: «A equipa pôs-se
atrás e pôs-se a jeito» https://t.co/RILJArTt02
https://t.co/Eqhay60pOd</t>
  </si>
  <si>
    <t>filipamm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</si>
  <si>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ominhopt
“A equipa pôs-se cá atrás e pôs-se
a jeito” https://t.co/XGOMPTnZU3
#Braga #CarlosCarvalhal #DanielRamos</t>
  </si>
  <si>
    <t>jjsilva4
@joaoamoedonovo 👀 "O acordo, assinado
em 2016, pôs fim a 56 anos de luta
armada que deixou 260 mil MORTOS
e milhões de deslocados." https://t.co/7gb0bKtMhx</t>
  </si>
  <si>
    <t xml:space="preserve">joaoamoedonovo
</t>
  </si>
  <si>
    <t>naosouoiuar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</si>
  <si>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doraaamora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</si>
  <si>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oleomorato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</si>
  <si>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quelemem1908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</si>
  <si>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manudenora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</si>
  <si>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tuiterdomarvin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</si>
  <si>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osmagna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</si>
  <si>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fabiosoares0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</si>
  <si>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larissnacif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</si>
  <si>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geraldodelfim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</si>
  <si>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artista_fran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</si>
  <si>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antniod22914115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</si>
  <si>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pavulagem__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</si>
  <si>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kotonoaware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</si>
  <si>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strwbblipa
@i7DREAMy já não ando, mas talvez
volte no próximo ano para mestrado/pós
graduação ahah a ementa muda todos
os dias, podes ver numa folha afixada
na cantina ou aqui https://t.co/kwtNW0m1ne
se bem que depois quando chegas
lá nem sempre está correto ahah</t>
  </si>
  <si>
    <t xml:space="preserve">i7dreamy
</t>
  </si>
  <si>
    <t>lopes_jorgeluiz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</si>
  <si>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morenacl_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</si>
  <si>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cleopatradobr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</si>
  <si>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pelintrate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</si>
  <si>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deco_lima2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</si>
  <si>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weltoncalves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</si>
  <si>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olguitarj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</si>
  <si>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raquelrnogueira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</si>
  <si>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bozbobo1
@Aripatriota @Alesson90 @jairbolsonaro
O Brasil afundou nos números econômicos,
educação,desmatamento e o gado
fala em PT ? O presidente não sabe
governar pós PT pq e um incompetente
.</t>
  </si>
  <si>
    <t xml:space="preserve">alesson90
</t>
  </si>
  <si>
    <t xml:space="preserve">aripatriota
</t>
  </si>
  <si>
    <t>gilhistoria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</si>
  <si>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lincolnloos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</si>
  <si>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paulinhopt2020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</si>
  <si>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starsuka_ff14
★個人的レアFate湧かせ時の手順 ①その場で&amp;lt;t&amp;gt;:&amp;lt;pos&amp;gt;をshout
②PT募集に↑＋鯖名＋開始予定時間をETで記載 ③出来れば②を3都市（リムサが良い？）でもshout
④何度か①をしつつその場に人が集まってきたら②を改めてshout
でいいのかな……慌てるからマクロ組も……。</t>
  </si>
  <si>
    <t>ataminhaquerida
E gente do céu, as promessas de
"tão cedo eu não bebo de novo"
dos pós porres e pt's são um fracasso
a cada fds. 🤣</t>
  </si>
  <si>
    <t>semtaramela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</si>
  <si>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barretonessa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</si>
  <si>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zabumbista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</si>
  <si>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br_green_heart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</si>
  <si>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lia004_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</si>
  <si>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fabi_muniz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</si>
  <si>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lucier96025171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</si>
  <si>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josapar99649858
@senadorhumberto Cala há boca seu
crápula bicho escroto, você não
chega nem aos pés dele, pós tu
e um assassino por ser corrupto,
tem suas mãos cheia de sangue de
inocentes PT maldito.</t>
  </si>
  <si>
    <t xml:space="preserve">senadorhumberto
</t>
  </si>
  <si>
    <t>purisimp
@omalestafeito Lei autárquica eleitoral
não prevê coligações pós eleitorais.
É presidente quem tem mais votos
mesmo que não tenha maioria no
executivo.</t>
  </si>
  <si>
    <t xml:space="preserve">omalestafeito
</t>
  </si>
  <si>
    <t>osodrac_pt
@omalestafeito Lei autárquica eleitoral
não prevê coligações pós eleitorais.
É presidente quem tem mais votos
mesmo que não tenha maioria no
executivo.</t>
  </si>
  <si>
    <t>ricardo00805054
Anvisa alerta sobre risco de miocardite
e pericardite pós-vacinação — Português
(Brasil) https://t.co/T1upoEULPc</t>
  </si>
  <si>
    <t>wallace11268754
Anvisa alerta sobre risco de miocardite
e pericardite pós-vacinação — Português
(Brasil) https://t.co/T1upoEULPc</t>
  </si>
  <si>
    <t>miranimota
Anvisa alerta sobre risco de miocardite
e pericardite pós-vacinação — Português
(Brasil) https://t.co/T1upoEULPc</t>
  </si>
  <si>
    <t>jessilva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</si>
  <si>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amamolli
Anvisa alerta sobre risco de miocardite
e pericardite pós-vacinação — Português
(Brasil) https://t.co/T1upoEULPc</t>
  </si>
  <si>
    <t>odara_10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</si>
  <si>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nayaraayres
@brunomaracci @albertocalmeida
@LulaOficial Os governos do PT
mudaram o acesso da casa própria,
o ingresso à universidade, ao crédito,
deram oportunidades ao sertanejo
ficarem no Nordeste e cultivar
sua terra por meio do projeto cisterna.
Nordeste é o maior espelho disso,
ainda que impactado com os retrocessos
pós 16.</t>
  </si>
  <si>
    <t xml:space="preserve">albertocalmeida
</t>
  </si>
  <si>
    <t xml:space="preserve">brunomaracci
</t>
  </si>
  <si>
    <t>sandra_miria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</si>
  <si>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inespedrosa_pt
@RicardoGAlves Corrupção na Câmara
não praticou.Pelo contrário: pós
computadores e internet em casa
dos 1500 estudantes q não tinham.
Pobres não pagam os remédios, em
Oeiras. Máscaras gratuitas para
todos os munícipes. Bons auditórios
de teatro, música e debates, sempre
cheios. Etc, etc.</t>
  </si>
  <si>
    <t xml:space="preserve">ricardogalves
</t>
  </si>
  <si>
    <t>himafifmipaunri
Sebagai contoh, PT Pos Indonesia
menghentikan Hari Bhakti Postel
ke-76 dengan mengadakan acara "Online
Tour Museum Pos Indonesia" pada
Senin, 27 September 2021. Acara
tur virtual untuk Museum Pos Indonesia
tersebut dibuka untuk masyarakat
umum secara gratis.</t>
  </si>
  <si>
    <t>muimui_zunda
@me10n4 /toge 弱すぎてPTから追放された&amp;lt;me&amp;gt;が&amp;lt;cl&amp;gt;で無双して&amp;lt;pa&amp;gt;でエタロナに！？今更&amp;lt;pos&amp;gt;に戻って来いと言われても【もう遅い】</t>
  </si>
  <si>
    <t xml:space="preserve">me10n4
</t>
  </si>
  <si>
    <t>martinholistica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</si>
  <si>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phbcarmona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</si>
  <si>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ndressa_alves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</si>
  <si>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himasejarahfkip
𝐇𝐚𝐫𝐢 𝐏𝐨𝐬 𝐓𝐞𝐥𝐞𝐤𝐨𝐦𝐮𝐧𝐢𝐤𝐚𝐬𝐢
𝐓𝐞𝐥𝐞𝐠𝐫𝐚𝐟 Senin (27/09/2021)
- Hari Pos Telekomunikasi Telegraf
Republik Indonesia sering disebut
dengan PT Pos Indonesia. Arus perkembangan
teknologi telepon dan https://t.co/wNzuMimAHR</t>
  </si>
  <si>
    <t>ritayul12
Min @PT_Transjakarta busway joglo-tanahabang,
posisi dimana ( arah joglo)?. Sy
di pos pengumben trims</t>
  </si>
  <si>
    <t>pt_transjakarta
@kimidilois Malam kak. Mohon maaf
telah menunggu, saat ini bus terdekat
mendekati Halte Kebon Jeruk arah
Harmoni dan bus berikutnya berada
di sekitar Pos Pengumben. Terima
kasih ^RSN</t>
  </si>
  <si>
    <t>fattoconsumado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</si>
  <si>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kimnryn
WTS NCT 🇲🇾 [HELPING A FRIEND]
❤️ NCT 2020 RESONANCE Pt. 1 - KUN
❤️ NCT 2020 RESONANCE Pt. 1 The
Future - KUN rm30/ea exc pos, postage
rm8 wm *price can nego rts: my
friend is broke af can dm if interested,
I'll give you my friend's tele
id #pasarNCT https://t.co/nq6VhuTYk7</t>
  </si>
  <si>
    <t>nicholepwue
WTS NCT 🇲🇾 [HELPING A FRIEND]
❤️ NCT 2020 RESONANCE Pt. 1 - KUN
❤️ NCT 2020 RESONANCE Pt. 1 The
Future - KUN rm30/ea exc pos, postage
rm8 wm *price can nego rts: my
friend is broke af can dm if interested,
I'll give you my friend's tele
id #pasarNCT https://t.co/nq6VhuTYk7</t>
  </si>
  <si>
    <t>wilmenbr
Anvisa alerta sobre risco de miocardite
e pericardite pós-vacinação — Português
(Brasil) https://t.co/T1upoEULPc</t>
  </si>
  <si>
    <t>richymuller4
Anvisa alerta sobre risco de miocardite
e pericardite pós-vacinação — Português
(Brasil) https://t.co/T1upoEULPc</t>
  </si>
  <si>
    <t>eipaulorossi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</si>
  <si>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ivancarmito
Anvisa alerta sobre risco de miocardite
e pericardite pós-vacinação — Português
(Brasil) https://t.co/T1upoEULPc</t>
  </si>
  <si>
    <t>augustoleito2
@Visao_pt Não, pôs guito no bolso.
Arroios já existia antes.</t>
  </si>
  <si>
    <t xml:space="preserve">visao_pt
</t>
  </si>
  <si>
    <t>marketingidiota
Holmes Place aposta em campanha
intimista no regresso pós-férias
https://t.co/Ol9Vj2GkeY https://t.co/xBuRwqDODn</t>
  </si>
  <si>
    <t>salv1e
im... im not okay. /pos (pt idk
anymore) https://t.co/IlVu9UdEVf</t>
  </si>
  <si>
    <t>itwitting
https://t.co/6s8RTfRxzD</t>
  </si>
  <si>
    <t>eabpen
Sigesit Riyanto @sicepat_ekspres
tolong paket saya yg sekarang sedang
dibawa jgn di taruh di pos satpam
lagi ya. Dari tadi sudah dibawa2
dari jam 9 pagi</t>
  </si>
  <si>
    <t>driaaventureir1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</si>
  <si>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vanrenaultpsi
Anvisa alerta sobre risco de miocardite
e pericardite pós-vacinação — Português
(Brasil) https://t.co/T1upoEULPc</t>
  </si>
  <si>
    <t>cristia56019993
@Visao_pt Pos no mapa pelos piores
motivos. Deveria ser vergonha e
não orgulho…</t>
  </si>
  <si>
    <t>pivozleal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</si>
  <si>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dianinha_mea
@Visao_pt Não há dúvida que pos
arroios no mapa.</t>
  </si>
  <si>
    <t>hgrcst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</si>
  <si>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uaberta
Pós-graduação que tem por objetivo
a exploração, a análise e a interpretação
de dados para uma tomada de decisão
mais informada. ⏳ Candidaturas
só até 30 de setembro 👉 https://t.co/1hGI611rES
#UAb #PG #Dados #Gestão #Estatística
#matemática https://t.co/UFwhKSeDrP</t>
  </si>
  <si>
    <t>enbombeiros
PÓS-GRADUAÇÃO || Ainda está a tempo
de fazer a sua inscrição na 2ª
Edição da Pós-Graduação em Gestão
e Direção na Proteção Civil, desenvolvida
pela Universidade Lusófona com
o apoio da #ENBombeiros: https://t.co/UCxkr1vO0v
Faça aqui a sua inscrição: https://t.co/8gf5lWSpXJ
https://t.co/uqq0nCOXpk</t>
  </si>
  <si>
    <t>tiagocatrola77
PÓS-GRADUAÇÃO || Ainda está a tempo
de fazer a sua inscrição na 2ª
Edição da Pós-Graduação em Gestão
e Direção na Proteção Civil, desenvolvida
pela Universidade Lusófona com
o apoio da #ENBombeiros: https://t.co/UCxkr1vO0v
Faça aqui a sua inscrição: https://t.co/8gf5lWSpXJ
https://t.co/uqq0nCOXpk</t>
  </si>
  <si>
    <t>bortolini_e
@eduardopaes https://t.co/t5CziaW0dH</t>
  </si>
  <si>
    <t>paulpessoa18
@Visao_pt Pos no mapa especialmente
o mercado 🤣</t>
  </si>
  <si>
    <t>rimasebatidas
https://t.co/0zjdaFIjlH</t>
  </si>
  <si>
    <t>aurintheo2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</si>
  <si>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tiagojferreira
https://t.co/WbFA2xWOcl</t>
  </si>
  <si>
    <t>marcelocoutinho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</si>
  <si>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marcopevieira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</si>
  <si>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elkrstyyy
for in-source kmk org akn check
dolok in system b4 we decide to
run the test on the sample. meanwhile
for out-source if we detect nya
adalah PCR pos &amp;gt;10 days within
6 months &amp;amp; pos we‘ll conclude
the result is known case &amp;amp;
kindly to check the pt’s detail
b4 send the test for PCR.</t>
  </si>
  <si>
    <t>barbara49962035
Talked to a friend yesterday who
does billing for hospitals and
Drs across US. She said no matter
what a pt died from if they also
had or were pos for covid they
are required to count them as a
covid death. This is why numbers
just keep going up.</t>
  </si>
  <si>
    <t>lctessima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</si>
  <si>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vacinadaefeliz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</si>
  <si>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jorge84rjr
@EmanuelBissiatt @Jacquebri @Diegoalbertodos
@zeluizlhesdiz @cirogomes Claro
porra...a lei da reeleiçao pos
1994...qdo terminou o mandato dele...vc
queria oq ? Depois de eleito pra
deputado so tentou pra presidencia...
foi ministros governo do pt e do
psdb...nao vive de politica nao...vc
ta certissimo</t>
  </si>
  <si>
    <t xml:space="preserve">zeluizlhesdiz
</t>
  </si>
  <si>
    <t xml:space="preserve">diegoalbertodos
</t>
  </si>
  <si>
    <t xml:space="preserve">jacquebri
</t>
  </si>
  <si>
    <t xml:space="preserve">emanuelbissiatt
</t>
  </si>
  <si>
    <t>influencersqn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</si>
  <si>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joicereis_
@CludiaVilardi1 @leticialopes171
@DacioloCable @eldacarvalhobsb
@RafaelG64084392 @UOLNoticias Novamente,
tinha condições de ganhar, tanto
que foi para o segundo turno, o
PT não tem que ser culpado pelo
que foi feito CONTRA si. Lançou
candidato, foi impedido ilegalmente.
Quem tinha chances de bater o Bolsonaro
pós facada? Ciro não era, falo
isso como alguém que votou nele.</t>
  </si>
  <si>
    <t xml:space="preserve">rafaelg64084392
</t>
  </si>
  <si>
    <t xml:space="preserve">eldacarvalhobsb
</t>
  </si>
  <si>
    <t xml:space="preserve">daciolocable
</t>
  </si>
  <si>
    <t xml:space="preserve">leticialopes171
</t>
  </si>
  <si>
    <t xml:space="preserve">cludiavilardi1
</t>
  </si>
  <si>
    <t>codasiuri
da política brasileira pós redemocratização.
Para se conquistar o "pouco" q
foi feito nos govs do PT exigiu
muito trabalho, tanto da militância
quanto de quem tava no Estado.
Achar q bastava mais vontade em
ser radical não responde aos nossos
desafios. Pra fazer mais é preciso(3)</t>
  </si>
  <si>
    <t>aftaminas
Mensagem pós-eleitoral Iniciativa
Liberal COIMBRA https://t.co/LVOzYeh7ax
via @CoimbraLiberal</t>
  </si>
  <si>
    <t>coimbraliberal
Mensagem pós-eleitoral Iniciativa
Liberal COIMBRA https://t.co/cf7HrdkSYQ
via @CoimbraLiberal</t>
  </si>
  <si>
    <t>abell417
Anvisa alerta sobre risco de miocardite
e pericardite pós-vacinação — Português
(Brasil) https://t.co/T1upoEULPc</t>
  </si>
  <si>
    <t>antoniogalamba
O pós-pandemia de cá https://t.co/DFvNVducrf</t>
  </si>
  <si>
    <t>tg_meirelles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</si>
  <si>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tizquadros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</si>
  <si>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ciencia_o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</si>
  <si>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inspsic
𝗨𝗣𝗴𝗿𝗮𝗱𝗲 𝗠𝗲𝗱𝗶𝗰𝗶𝗻𝗮
🎯Especialização Avançada Pós-Universitária
em Psicologia da Saúde Ocupacional
🗓 13 novembro de 2021, Livestream
/ Online 🖥 https://t.co/iYzD5i0IVN
INSPSIC, Aqui para SI. https://t.co/e2QY52msxO</t>
  </si>
  <si>
    <t>csmboto
Quero felicitar José Manuel Silva
pela vitória do projecto político
Juntos Somos Coimbra. https://t.co/gqrabMfz08
#EuEscolhoCoimbra #PoliticaConsciente
https://t.co/1RVTjni0DS</t>
  </si>
  <si>
    <t>maro92084115
@Mobysnatch @willgomes Análise
perfeita. Mas como conquistar eleitores
do PT, atacando o próprio?Não faz
sentindo isso pra mim. Eu estava
nos grupos pro Ciro em 2018 e fiquei
putaça com a atitude dele pós 1
turno. Óbvio que ele não indo pra
Paris, não mudaria muita coisa.
Mas esse ato dele influenciou</t>
  </si>
  <si>
    <t xml:space="preserve">mobysnatch
</t>
  </si>
  <si>
    <t>shaolintrader88
$DOCU counter trend pos div ...
1 pt late long 263.95 avg sold
partial 265.83 266.37 have residual</t>
  </si>
  <si>
    <t>kanata_pt
@pos_reha 見習います！</t>
  </si>
  <si>
    <t>pos_reha
@kanata_pt 中々無い場面ですが、機会がありましたら是非👐</t>
  </si>
  <si>
    <t>youarecoringa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</si>
  <si>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cludiosantosne2
https://t.co/t5CziaW0dH</t>
  </si>
  <si>
    <t>andreburiti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</si>
  <si>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adanjonas2
Anvisa alerta sobre risco de miocardite
e pericardite pós-vacinação — Português
(Brasil) https://t.co/T1upoEULPc</t>
  </si>
  <si>
    <t>carlosa76979782
Anvisa alerta sobre risco de miocardite
e pericardite pós-vacinação — Português
(Brasil) https://t.co/T1upoEULPc</t>
  </si>
  <si>
    <t>postaldoalgarve
Autárquicas: PS espera poder formar
maioria com CDU em Vila Real de
Santo António: Vitória do PS no
município pôs termo a 16 anos de
gestão do PSD, mas o partido obteve
o mesmo número de eleitos que a
formação social-democrata (3),
e o único vereador da… https://t.co/QpbsWtN43s</t>
  </si>
  <si>
    <t>marceloperes28
@RoseRothermel @Candao20 @gleisi
2-Bolsonaro assumiu um Brasil pós
estrago do PT com uma dívida que
batia 4 trilhões, teto de gastos,
Congresso hostil por falta do Mensalão,
pandemia, crise mundial e tendo
que gastar trilhões com a pandemia.
Se O ex presidiário do Lula assumisse
um Brasil assim queria ver kkkkkk
https://t.co/thiJKgqGgl</t>
  </si>
  <si>
    <t xml:space="preserve">candao20
</t>
  </si>
  <si>
    <t xml:space="preserve">roserothermel
</t>
  </si>
  <si>
    <t>luindarkness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</si>
  <si>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dfmartinha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</si>
  <si>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karmaisaroundus
@StatusAnonim Pai fac un vax experimental
cu pos ef adverse grave pe term
lung,dovedit ca nu prev transmiterea,infectarea
sau decesul,toate astea pt un virus
cu mort sub 1%.Eu cred ca au tot
ce le trebuie sa bage degetele
in priza.😅</t>
  </si>
  <si>
    <t xml:space="preserve">statusanonim
</t>
  </si>
  <si>
    <t>anapxv
Só agora tô vendo O Mecanismo,
quero saber quem vai fazer uma
série pós PT e lava jato 🗣</t>
  </si>
  <si>
    <t>traumacoeur
pensando na ex pt 2 1 "eu te amei
porra" 2 "obg pos nada" so q sem
vogais https://t.co/N4OvN23kG9</t>
  </si>
  <si>
    <t>fabiobra_sep
Praticamente uma decada e meia
de PT no gov federal e o pobre
além de continuar pobre saiu endividado,
sem seg, saúde, saneamento, etc!
Agora pós pandemia os "fiquem em
casa" tentam passar a bomba p/
o gov atual! Hipócritas! Não somos
otarios!! #TaCaroCulpaDoBolsonaro</t>
  </si>
  <si>
    <t>mineirimgo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</si>
  <si>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giovanidias
@btiemih É a bad pós pt é foda</t>
  </si>
  <si>
    <t xml:space="preserve">btiemih
</t>
  </si>
  <si>
    <t>acaojoanina
Mensagem pós-eleitoral Iniciativa
Liberal COIMBRA https://t.co/cf7HrdkSYQ
via @CoimbraLiberal</t>
  </si>
  <si>
    <t>camiibich_
no pos si, k bella pt,m https://t.co/KNeuYJBKwe</t>
  </si>
  <si>
    <t>bakugosluvr
no pos si, k bella pt,m https://t.co/KNeuYJBKwe</t>
  </si>
  <si>
    <t>esperan45343564
Mas, tudo bem, podemos continuar…
https://t.co/40OqJPPlPx https://t.co/96gMLYaNuh</t>
  </si>
  <si>
    <t>nycamary
Mas, tudo bem, podemos continuar…
https://t.co/40OqJPPlPx https://t.co/96gMLYaNuh</t>
  </si>
  <si>
    <t>marietapeixoto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</si>
  <si>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tkorndorfer
Mas, tudo bem, podemos continuar…
https://t.co/40OqJPPlPx https://t.co/96gMLYaNuh</t>
  </si>
  <si>
    <t>klugerodrigo
@Metropoles Nenhum outro governo
indexou á preços internacionais!
Essa é a pior politica monetária
neoliberal antes e pós PT! Privatizando
8 blocos do pré sal por 10 BILHÕES
e 4 em águas rasas por 6 BILHÕES
isentando HUM TRILHÃO! PIADA! 36
BILHÕES aos acionistas no último
ano!? BRINCADEIRA!</t>
  </si>
  <si>
    <t xml:space="preserve">metropoles
</t>
  </si>
  <si>
    <t>dimibeckman
@heldersalomao @Marcelodied Se
sobrou pós PT, relaxa... Vamos
conseguir...</t>
  </si>
  <si>
    <t xml:space="preserve">marcelodied
</t>
  </si>
  <si>
    <t xml:space="preserve">heldersalomao
</t>
  </si>
  <si>
    <t>gi_gyka
@Metropoles Nenhum outro governo
indexou á preços internacionais!
Essa é a pior politica monetária
neoliberal antes e pós PT! Privatizando
8 blocos do pré sal por 10 BILHÕES
e 4 em águas rasas por 6 BILHÕES
isentando HUM TRILHÃO! PIADA! 36
BILHÕES aos acionistas no último
ano!? BRINCADEIRA!</t>
  </si>
  <si>
    <t>ftimaponciano1
Mas, tudo bem, podemos continuar…
https://t.co/40OqJPPlPx https://t.co/96gMLYaNuh</t>
  </si>
  <si>
    <t>elinalv12774504
Mas, tudo bem, podemos continuar…
https://t.co/40OqJPPlPx https://t.co/96gMLYaNuh</t>
  </si>
  <si>
    <t>whoisaliceb
@vitorrborba @BrunoTr06 quero fotos
suas pós pt!</t>
  </si>
  <si>
    <t xml:space="preserve">brunotr06
</t>
  </si>
  <si>
    <t xml:space="preserve">vitorrborba
</t>
  </si>
  <si>
    <t>fbnzz
@andante40428500 @cirogomes @LulaOficial
Quanto.mais vc assistir lives e
entrevistas do CG12 vc vai ver
que o mote não é atacar o PT, mas
que a crítica ao modelo econômico
que a cúpula LuloInsperPetista
pôs em prática, que é a mesma dos
demais antes e depois, estrutura
a proposta adversa.</t>
  </si>
  <si>
    <t>chacoxeio
@andante40428500 @cirogomes @LulaOficial
Quanto.mais vc assistir lives e
entrevistas do CG12 vc vai ver
que o mote não é atacar o PT, mas
que a crítica ao modelo econômico
que a cúpula LuloInsperPetista
pôs em prática, que é a mesma dos
demais antes e depois, estrutura
a proposta adversa.</t>
  </si>
  <si>
    <t xml:space="preserve">andante40428500
</t>
  </si>
  <si>
    <t>roistorez
Lowongan Kerja BUMN PT Pos Indonesia
(Persero) Oktober 2021 https://t.co/EY7KWkCu8f</t>
  </si>
  <si>
    <t>lowongankerja07
Lowongan Kerja BUMN PT Pos Indonesia
(Persero) Oktober 2021 https://t.co/K4oPkvOHxS</t>
  </si>
  <si>
    <t>uaigabriel
fico vendo esses videos dos artistas
no pós democratização nas campanhas
do pt... e já fico todo me tremendo
pra vitória do lyla ano que vem,
e dps ir pra bsb na posse, nadar
no laguinho do congresso, mta emoção.
lyla la</t>
  </si>
  <si>
    <t>fergga22
@felipebstos Essa foto me veio
um filme na cabeça, acredito que
eu seja a pessoa atrás de você,
pós pt ou pré</t>
  </si>
  <si>
    <t xml:space="preserve">felipebstos
</t>
  </si>
  <si>
    <t>jeanpiter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</si>
  <si>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miltonapasil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</si>
  <si>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ac5tap
@guimaraes13PT PT cria mais estatais
que todos os governos pós-ditadura
militar @estadao: https://t.co/y3laH7Tvbw</t>
  </si>
  <si>
    <t xml:space="preserve">mariadorosario
</t>
  </si>
  <si>
    <t xml:space="preserve">guimaraes13pt
</t>
  </si>
  <si>
    <t>frontnacaobr
@DanielRamalho_ @CiraoCarioca PSOL
foi um partido cooptado pela CIA
há muito tempo pra combater o PT
pela esquerda e fazer Guerra Híbrida
! Agora que o imperialismo pos
a faca no pescoço do PT via Lava
a Jato , e PT se rendeu , o PSOL
se tornou inútil</t>
  </si>
  <si>
    <t xml:space="preserve">ciraocarioca
</t>
  </si>
  <si>
    <t xml:space="preserve">danielramalho_
</t>
  </si>
  <si>
    <t>luiiss7am
@vitoristo2 No site Pleiades translations
tem quase todo o arco 5 (pós anime)
em pt Acho que pra ler do começo
seria só comprando ou lendo em
inglês, aí tem todos os volumes
lançados nessa língua no jnovels</t>
  </si>
  <si>
    <t xml:space="preserve">vitoristo2
</t>
  </si>
  <si>
    <t>ana_paularochas
@Metropoles Nenhum outro governo
indexou á preços internacionais!
Essa é a pior politica monetária
neoliberal antes e pós PT! Privatizando
8 blocos do pré sal por 10 BILHÕES
e 4 em águas rasas por 6 BILHÕES
isentando HUM TRILHÃO! PIADA! 36
BILHÕES aos acionistas no último
ano!? BRINCADEIRA!</t>
  </si>
  <si>
    <t>futebol365
Fórum do BCE debate hoje o futuro
pós-pandemia da política monetária
https://t.co/falYKhVRJ7 https://t.co/NzNCa5rWa2</t>
  </si>
  <si>
    <t>nxyraa
poslaju lagi peform ni dari jnt,
seller pos semalam harini dah sampai</t>
  </si>
  <si>
    <t>jwjb_7
WTS WTS WTS -youngjae BOL gotoon
RM 22 -yugyeom DYE pc RM 20 -price
exc pos RM8 wm // em dm -use jnt
-for more pic can dm but only serious
or else will be block!! #pasarGOT7
https://t.co/DDy7p8Cz1a</t>
  </si>
  <si>
    <t>nolenscuba
@SallyMaelstrom As for the RBCs
for an MTP everything goes out
the window and they would end up
get RH pos and then RHIG later
unless they have an anti-D. We
turned an O- trauma pt O+ because
&amp;gt;50 and type unknown.</t>
  </si>
  <si>
    <t xml:space="preserve">sallymaelstrom
</t>
  </si>
  <si>
    <t>karirfess
kr! mau coba kirim lamaran via
pos gitu, dan riwayat hidupnya
tulis tangan, menurut kalian kalo
punya pengalaman kerja di pt cuma
2 bulan dan ga ada packlaring nya
better dicantumin atau ga perlu?</t>
  </si>
  <si>
    <t>umcara786
@pcgFerreira Sim o Lula é corrupto,
igual a todos os outros que vieram
antes e depois dele, exceto talvez
pela Dilma, q era extremamente
incompetente. O PT fez o governo
+ transparente de tds, o q foi
um tiro no pé, além do Lula ter
sido o + competente dos presidentes
pós redemocratização.</t>
  </si>
  <si>
    <t xml:space="preserve">pcgferreira
</t>
  </si>
  <si>
    <t>lokerpku1
Loker Pekanbaru PT Pos Indonesia
28 September 2021: https://t.co/Lf0708r0jw
#infopku #lokerpekanbaru</t>
  </si>
  <si>
    <t>regiaosul
https://t.co/OAwUWRPGR1</t>
  </si>
  <si>
    <t>mysticm1nho
@dnacy_ jnt sekarang slow u, biasa
pos harini esok sampai tapi now
up to 3 days baru sampai</t>
  </si>
  <si>
    <t xml:space="preserve">dnacy_
</t>
  </si>
  <si>
    <t>anamitou
@goldenhaaI @frasesdebebada eu
pós pt fico assim</t>
  </si>
  <si>
    <t xml:space="preserve">frasesdebebada
</t>
  </si>
  <si>
    <t xml:space="preserve">goldenhaai
</t>
  </si>
  <si>
    <t>salsabillah127
@sellkpopfess Fee bisa dibicarakan
baik2 nderr, aku dom jatim lebih
tepatnya gresik dan rumahku deket
banget sama ekpedisi, jnt, jne,
id, pos</t>
  </si>
  <si>
    <t>jkungege
@dagangkorea Hallo nder udh dapet
belum? Aku dom jatim Lebih tepatnya
gresik rumahku juga deket sm jne,
jnt, id, pos kalo fee bisa dibicarakan
baik2</t>
  </si>
  <si>
    <t>mncbank
Saksikan penandatanganan kerjasama
MNC Group (dan unit-unit) X PT
Pos Indonesia Rabu, 29 September
2021 | 10.00 WIB Live @Zoom Webinar:
https://t.co/haW4l23ojB Hub1500188
| https://t.co/j6lwNRi1rL #MNCBank
Melayani Semua https://t.co/mGGcaOaehO</t>
  </si>
  <si>
    <t xml:space="preserve">zoom
</t>
  </si>
  <si>
    <t>rut0san
WTS / Help RT 🇲🇾 The Boyz Chanhee
New 🐧 Price in the picture 🐧
Accept online banking and shopeepay
🐧 Accept reservation with small
deposit 🐧 Postage -RM6 wm/em (flexi)
-RM8 wm (Pos Laju, JnT) ❗️ Free
Postage if buy more than 5 (flexi)
#pasartheboyz #pasartbz https://t.co/DuiA9OwcuB</t>
  </si>
  <si>
    <t>ataraxia_tbz
WTS / Help RT 🇲🇾 The Boyz Chanhee
New 🐧 Price in the picture 🐧
Accept online banking and shopeepay
🐧 Accept reservation with small
deposit 🐧 Postage -RM6 wm/em (flexi)
-RM8 wm (Pos Laju, JnT) ❗️ Free
Postage if buy more than 5 (flexi)
#pasartheboyz #pasartbz https://t.co/DuiA9OwcuB</t>
  </si>
  <si>
    <t>sunwooistiny
WTS / Help RT 🇲🇾 The Boyz Chanhee
New 🐧 Price in the picture 🐧
Accept online banking and shopeepay
🐧 Accept reservation with small
deposit 🐧 Postage -RM6 wm/em (flexi)
-RM8 wm (Pos Laju, JnT) ❗️ Free
Postage if buy more than 5 (flexi)
#pasartheboyz #pasartbz https://t.co/DuiA9OwcuB</t>
  </si>
  <si>
    <t>pruuwoojae
WTS / Help RT 🇲🇾 The Boyz Chanhee
New 🐧 Price in the picture 🐧
Accept online banking and shopeepay
🐧 Accept reservation with small
deposit 🐧 Postage -RM6 wm/em (flexi)
-RM8 wm (Pos Laju, JnT) ❗️ Free
Postage if buy more than 5 (flexi)
#pasartheboyz #pasartbz https://t.co/DuiA9OwcuB</t>
  </si>
  <si>
    <t>salma10740541
WTS / Help RT 🇲🇾 The Boyz Chanhee
New 🐧 Price in the picture 🐧
Accept online banking and shopeepay
🐧 Accept reservation with small
deposit 🐧 Postage -RM6 wm/em (flexi)
-RM8 wm (Pos Laju, JnT) ❗️ Free
Postage if buy more than 5 (flexi)
#pasartheboyz #pasartbz https://t.co/DuiA9OwcuB</t>
  </si>
  <si>
    <t>gyuubestie
WTS / Help RT 🇲🇾 The Boyz Chanhee
New 🐧 Price in the picture 🐧
Accept online banking and shopeepay
🐧 Accept reservation with small
deposit 🐧 Postage -RM6 wm/em (flexi)
-RM8 wm (Pos Laju, JnT) ❗️ Free
Postage if buy more than 5 (flexi)
#pasartheboyz #pasartbz https://t.co/DuiA9OwcuB</t>
  </si>
  <si>
    <t>chnheewtf
WTS / Help RT 🇲🇾 The Boyz Chanhee
New 🐧 Price in the picture 🐧
Accept online banking and shopeepay
🐧 Accept reservation with small
deposit 🐧 Postage -RM6 wm/em (flexi)
-RM8 wm (Pos Laju, JnT) ❗️ Free
Postage if buy more than 5 (flexi)
#pasartheboyz #pasartbz https://t.co/DuiA9OwcuB</t>
  </si>
  <si>
    <t>ezzyoungk
@hana_cnu6 Kek jelita marble boleh
pos hana. Tapi ezzy kena guna poslaju.
Jnt tak terima pos makanan 😢 kalau
nak pos kena hari isnin selasa
macam tu. Poslaju kan</t>
  </si>
  <si>
    <t xml:space="preserve">hana_cnu6
</t>
  </si>
  <si>
    <t>fluffycoupss
WTS / Help RT 🇲🇾 The Boyz Chanhee
New 🐧 Price in the picture 🐧
Accept online banking and shopeepay
🐧 Accept reservation with small
deposit 🐧 Postage -RM6 wm/em (flexi)
-RM8 wm (Pos Laju, JnT) ❗️ Free
Postage if buy more than 5 (flexi)
#pasartheboyz #pasartbz https://t.co/DuiA9OwcuB</t>
  </si>
  <si>
    <t>kinaleeya
WTS / Help RT 🇲🇾 The Boyz Chanhee
New 🐧 Price in the picture 🐧
Accept online banking and shopeepay
🐧 Accept reservation with small
deposit 🐧 Postage -RM6 wm/em (flexi)
-RM8 wm (Pos Laju, JnT) ❗️ Free
Postage if buy more than 5 (flexi)
#pasartheboyz #pasartbz https://t.co/DuiA9OwcuB</t>
  </si>
  <si>
    <t>fadhlixzahari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</si>
  <si>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littlerose_go
WTS / Help RT 🇲🇾 The Boyz Chanhee
New 🐧 Price in the picture 🐧
Accept online banking and shopeepay
🐧 Accept reservation with small
deposit 🐧 Postage -RM6 wm/em (flexi)
-RM8 wm (Pos Laju, JnT) ❗️ Free
Postage if buy more than 5 (flexi)
#pasartheboyz #pasartbz https://t.co/DuiA9OwcuB</t>
  </si>
  <si>
    <t>amirassdina
WTS / Help RT 🇲🇾 The Boyz Chanhee
New 🐧 Price in the picture 🐧
Accept online banking and shopeepay
🐧 Accept reservation with small
deposit 🐧 Postage -RM6 wm/em (flexi)
-RM8 wm (Pos Laju, JnT) ❗️ Free
Postage if buy more than 5 (flexi)
#pasartheboyz #pasartbz https://t.co/DuiA9OwcuB</t>
  </si>
  <si>
    <t>f4irywho
WTS / Help RT 🇲🇾 The Boyz Chanhee
New 🐧 Price in the picture 🐧
Accept online banking and shopeepay
🐧 Accept reservation with small
deposit 🐧 Postage -RM6 wm/em (flexi)
-RM8 wm (Pos Laju, JnT) ❗️ Free
Postage if buy more than 5 (flexi)
#pasartheboyz #pasartbz https://t.co/DuiA9OwcuB</t>
  </si>
  <si>
    <t>geraleconomia
Semana do Turismo 2021: Debate
“A Inovação no Turismo no pós-pandemia"
- dia 30 de setembro https://t.co/BlrPFiAzes
https://t.co/u8AlMzrphA</t>
  </si>
  <si>
    <t>rainaverina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</si>
  <si>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luvlych4nhee
WTS / Help RT 🇲🇾 The Boyz Chanhee
New 🐧 Price in the picture 🐧
Accept online banking and shopeepay
🐧 Accept reservation with small
deposit 🐧 Postage -RM6 wm/em (flexi)
-RM8 wm (Pos Laju, JnT) ❗️ Free
Postage if buy more than 5 (flexi)
#pasartheboyz #pasartbz https://t.co/DuiA9OwcuB</t>
  </si>
  <si>
    <t>joshyyyy111
WTS / Help RT 🇲🇾 The Boyz Chanhee
New 🐧 Price in the picture 🐧
Accept online banking and shopeepay
🐧 Accept reservation with small
deposit 🐧 Postage -RM6 wm/em (flexi)
-RM8 wm (Pos Laju, JnT) ❗️ Free
Postage if buy more than 5 (flexi)
#pasartheboyz #pasartbz https://t.co/DuiA9OwcuB</t>
  </si>
  <si>
    <t>diamondsjuliet
WTS / Help RT 🇲🇾 The Boyz Chanhee
New 🐧 Price in the picture 🐧
Accept online banking and shopeepay
🐧 Accept reservation with small
deposit 🐧 Postage -RM6 wm/em (flexi)
-RM8 wm (Pos Laju, JnT) ❗️ Free
Postage if buy more than 5 (flexi)
#pasartheboyz #pasartbz https://t.co/DuiA9OwcuB</t>
  </si>
  <si>
    <t>ppongric
WTS / Help RT 🇲🇾 The Boyz Chanhee
New 🐧 Price in the picture 🐧
Accept online banking and shopeepay
🐧 Accept reservation with small
deposit 🐧 Postage -RM6 wm/em (flexi)
-RM8 wm (Pos Laju, JnT) ❗️ Free
Postage if buy more than 5 (flexi)
#pasartheboyz #pasartbz https://t.co/DuiA9OwcuB</t>
  </si>
  <si>
    <t xml:space="preserve">kimidilois
</t>
  </si>
  <si>
    <t>nicodemos_r
@MatheusBrinhosa @Trom_Petista
@LatuffCartoons @LuanaLift O #PT
tem programa e já pôs em prática.
E o Siru fazia parte. Lembra?</t>
  </si>
  <si>
    <t xml:space="preserve">luanalift
</t>
  </si>
  <si>
    <t xml:space="preserve">latuffcartoons
</t>
  </si>
  <si>
    <t xml:space="preserve">trom_petista
</t>
  </si>
  <si>
    <t xml:space="preserve">matheusbrinhosa
</t>
  </si>
  <si>
    <t>jsilva_72
@___Jota___ @ElevenSports_PT @FCPorto
1893 -- Foi neste ano que António
Nicolau d'Almeida, desportista
por excelência e exímio comerciante
de Vinho do Porto, pôs em marcha
o seu projeto de um clube de futebol
na cidade. A fundação comemora-se
a 28 de setembro.</t>
  </si>
  <si>
    <t xml:space="preserve">fcporto
</t>
  </si>
  <si>
    <t xml:space="preserve">___jota___
</t>
  </si>
  <si>
    <t>luizcarlosalm19
@amandamoraes500 @SebastiaoMelo
sim... não duvido que o PSDB, não
ganhava uns trocos do PT, pós eleições
passadas.</t>
  </si>
  <si>
    <t xml:space="preserve">sebastiaomelo
</t>
  </si>
  <si>
    <t xml:space="preserve">amandamoraes500
</t>
  </si>
  <si>
    <t>snwo0412
WTS / Help RT 🇲🇾 The Boyz Chanhee
New 🐧 Price in the picture 🐧
Accept online banking and shopeepay
🐧 Accept reservation with small
deposit 🐧 Postage -RM6 wm/em (flexi)
-RM8 wm (Pos Laju, JnT) ❗️ Free
Postage if buy more than 5 (flexi)
#pasartheboyz #pasartbz https://t.co/DuiA9OwcuB</t>
  </si>
  <si>
    <t>burnout_pt
Para umas coisas (subverter vontade
do povo com coligações pós eleitorais)
não interessa a vontade expressa
pelo povo e vale tudo, mas quando
não lhes interessa mexer (pq Moedas
caindo ganha de novo e quem sabe
com maioria) já tem de se respeitar
a democracia... 🤷‍♂️ https://t.co/e0zfCFMD7w</t>
  </si>
  <si>
    <t>lillysol2
O povo comia Antes do PT: calango
Durante PT: picanha Pós golpe no
PT: osso</t>
  </si>
  <si>
    <t>sandovalnascim5
@gleisi Essas pragas que assumiram
pós golpe do temer só trouxeram
o caos e miséria pro país,não fizeram
uma obra sequer só todas inauguradas
foram do pt pós golpe lotou o governo
de militares com altos salário
e secou o cofre público ,</t>
  </si>
  <si>
    <t>jnegocios
Portugal, Luxemburgo e Bélgica
foram os primeiros países a receber
o pré-financiamento da "bazuca"
europeia https://t.co/xcCDJWnfYF</t>
  </si>
  <si>
    <t>acidadebranca
Portugal, Luxemburgo e Bélgica
foram os primeiros países a receber
o pré-financiamento da "bazuca"
europeia https://t.co/xcCDJWnfYF</t>
  </si>
  <si>
    <t>fneduca
Edusummit - Reflexão sobre a educação
para o pós-pandemia acontece já
este fim de semana https://t.co/TgUuMoXP4W
https://t.co/FXw8UBYyVm</t>
  </si>
  <si>
    <t>ces_uc
PODCAST 🔉 «Há Vida(s) nesta Cidade!»
#7, com Sílvia Roque e Teresa Almeida
Cravo » (25 SET 21), Rádio Universidade
de Coimbra 🎧 Inês Rodrigues conversa
com as investigadoras do CES sobre
o "percurso pós-colonial da Guiné-Bissau"
https://t.co/WFrB2GDVYw</t>
  </si>
  <si>
    <t>herbettigre
@1carll @lalazinho_show @PandaBandoleiro
@felipeneto provavelmente deve
usar o datafolha como fonte tbm,
e provavelmente não viveu todos
os mandatos do PT, enquanto mascaravam
o crescimento junto as falcatruas
e roubos que fizeram a Dilma cair
na era pós lula, pobre gado de
mortadela..</t>
  </si>
  <si>
    <t xml:space="preserve">lalazinho_show
</t>
  </si>
  <si>
    <t xml:space="preserve">1carll
</t>
  </si>
  <si>
    <t>jungmatoo
WTS / Help RT 🇲🇾 The Boyz Chanhee
New 🐧 Price in the picture 🐧
Accept online banking and shopeepay
🐧 Accept reservation with small
deposit 🐧 Postage -RM6 wm/em (flexi)
-RM8 wm (Pos Laju, JnT) ❗️ Free
Postage if buy more than 5 (flexi)
#pasartheboyz #pasartbz https://t.co/DuiA9OwcuB</t>
  </si>
  <si>
    <t>nvlda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</si>
  <si>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schmittrenata
A alta burguesia sabe identificar
o inimigo central como ninguém.
Com a atual configuração do capital
no Brasil e a agenda ultraliberal
pós golpe de 16, tudo o que eles
não querem é a volta do PT. https://t.co/LvFLolRavP</t>
  </si>
  <si>
    <t>ellocohumaita
A alta burguesia sabe identificar
o inimigo central como ninguém.
Com a atual configuração do capital
no Brasil e a agenda ultraliberal
pós golpe de 16, tudo o que eles
não querem é a volta do PT. https://t.co/LvFLolRavP</t>
  </si>
  <si>
    <t>permadiwahyu007
https://t.co/3GX0pL3JNU</t>
  </si>
  <si>
    <t>mjuniorx
A alta burguesia sabe identificar
o inimigo central como ninguém.
Com a atual configuração do capital
no Brasil e a agenda ultraliberal
pós golpe de 16, tudo o que eles
não querem é a volta do PT. https://t.co/LvFLolRavP</t>
  </si>
  <si>
    <t>lbmoura13
A alta burguesia sabe identificar
o inimigo central como ninguém.
Com a atual configuração do capital
no Brasil e a agenda ultraliberal
pós golpe de 16, tudo o que eles
não querem é a volta do PT. https://t.co/LvFLolRavP</t>
  </si>
  <si>
    <t>josemarmoises
@yagobarros231 @willgomes o que
se tornou a carreira política delas,
pós saída do PT. E não venha me
justificar com alegações de perseguição...,
de todos os diretórios municipais,
estaduais e nacional, SOMENTE a
elas?! Bem, Ivan Valente, assim
como Luciana Genro e outros, de
tão radicais, livremente,(+)</t>
  </si>
  <si>
    <t xml:space="preserve">yagobarros231
</t>
  </si>
  <si>
    <t>ufanistacut3
@oudeis_br @sacredwisdom2 @AveVeritas1
@Vipper1711 @Ryujapan2020BR @saiadamatrixbr
https://t.co/QnexuBMIta</t>
  </si>
  <si>
    <t xml:space="preserve">saiadamatrixbr
</t>
  </si>
  <si>
    <t xml:space="preserve">ryujapan2020br
</t>
  </si>
  <si>
    <t xml:space="preserve">vipper1711
</t>
  </si>
  <si>
    <t xml:space="preserve">aveveritas1
</t>
  </si>
  <si>
    <t xml:space="preserve">sacredwisdom2
</t>
  </si>
  <si>
    <t xml:space="preserve">oudeis_br
</t>
  </si>
  <si>
    <t>sunteroids_444
WTS -renjun hello pola RM 13 exc
pos use jnt RM 8 wm help rt #pasarNCT
#mynctjual https://t.co/t8ogQFFIdt</t>
  </si>
  <si>
    <t>nrqstnalya_
WTS -renjun hello pola RM 13 exc
pos use jnt RM 8 wm help rt #pasarNCT
#mynctjual https://t.co/t8ogQFFIdt</t>
  </si>
  <si>
    <t>oreolize
adakah yang udah pengalaman kirim2
barang ama dokumen lewat jne/jnt/kantor
pos gitu ga? mau nanya dong, ntar
aku dm eheh makasi 🙌</t>
  </si>
  <si>
    <t>cookieshoneydew
WTS -renjun hello pola RM 13 exc
pos use jnt RM 8 wm help rt #pasarNCT
#mynctjual https://t.co/t8ogQFFIdt</t>
  </si>
  <si>
    <t>_beautyskinz
Kalau yg jauh2 tu jngn risau saya
boleh pos ke tempat awak💕✨ 📍Jnt
📍Poslaju https://t.co/qiTwnHyG5N</t>
  </si>
  <si>
    <t>syanayahya
WTS -renjun hello pola RM 13 exc
pos use jnt RM 8 wm help rt #pasarNCT
#mynctjual https://t.co/t8ogQFFIdt</t>
  </si>
  <si>
    <t>moonjyuuu
WTS / Help RT 🇲🇾 The Boyz Chanhee
New 🐧 Price in the picture 🐧
Accept online banking and shopeepay
🐧 Accept reservation with small
deposit 🐧 Postage -RM6 wm/em (flexi)
-RM8 wm (Pos Laju, JnT) ❗️ Free
Postage if buy more than 5 (flexi)
#pasartheboyz #pasartbz https://t.co/DuiA9OwcuB</t>
  </si>
  <si>
    <t>jaexquisitee
WTS / Help RT 🇲🇾 The Boyz Chanhee
New 🐧 Price in the picture 🐧
Accept online banking and shopeepay
🐧 Accept reservation with small
deposit 🐧 Postage -RM6 wm/em (flexi)
-RM8 wm (Pos Laju, JnT) ❗️ Free
Postage if buy more than 5 (flexi)
#pasartheboyz #pasartbz https://t.co/DuiA9OwcuB</t>
  </si>
  <si>
    <t>bbyerics
WTS / Help RT 🇲🇾 The Boyz Chanhee
New 🐧 Price in the picture 🐧
Accept online banking and shopeepay
🐧 Accept reservation with small
deposit 🐧 Postage -RM6 wm/em (flexi)
-RM8 wm (Pos Laju, JnT) ❗️ Free
Postage if buy more than 5 (flexi)
#pasartheboyz #pasartbz https://t.co/DuiA9OwcuB</t>
  </si>
  <si>
    <t>berylvisaariza
Nah baru masuk ke “pengiriman/pengembalian”
Ada 3 opsi : 1. Dikirim ke rumah
lewat PT Pos Indonesia -&amp;gt; tinggal
isi nama dan alamat. Diujungnya
ada ongkirnya juga yang nanti ke
input pas mau bayar. SIM dikirim
dari satgas yg temen2 isi, makanya
isi terdekat dari rumah</t>
  </si>
  <si>
    <t>hsnaann_
WTS SKZ PC 🇲🇾 ONLY • DS Pc -
RM26 • Lee Know Beret - RM22 •
Han Red - RM20 • Chan, Changbin,
I.N Std PC - RM18 🖇 Exc pos jnt/flexi
🖇 shopeepay/online banking ❌ NO
rush postage 📩DM if interested
#pasarskz https://t.co/AfDTajoVDq</t>
  </si>
  <si>
    <t>guilhermoney_
@MetodoMoreira @DuquesaDetax Beleza,
agora me responde: O aumento de
preços é culpa dos estados ou do
BC e do governo que ligaram as
impressoras como verdadeiros pós
keynesianos? Ah, mas é que do teu
mito e do RCN vc não pode falar
mal, senão o PT volta...</t>
  </si>
  <si>
    <t xml:space="preserve">duquesadetax
</t>
  </si>
  <si>
    <t xml:space="preserve">metodomoreira
</t>
  </si>
  <si>
    <t>piquename
A alta burguesia sabe identificar
o inimigo central como ninguém.
Com a atual configuração do capital
no Brasil e a agenda ultraliberal
pós golpe de 16, tudo o que eles
não querem é a volta do PT. https://t.co/LvFLolRavP</t>
  </si>
  <si>
    <t xml:space="preserve">opasomsbrasil
</t>
  </si>
  <si>
    <t xml:space="preserve">unescobrasil
</t>
  </si>
  <si>
    <t xml:space="preserve">pnudbrasil
</t>
  </si>
  <si>
    <t>sbgcnacional
Relatório "COVID-19 e Desenvolvimento
Sustentável: avaliando a crise
de olho na recuperação" será lançado
na quarta-feira (29), às 11h, por
@PNUDBrasil, @UNESCOBrasil, @unicefbrasil
e @OPASOMSBrasil, com transmissão
pelo YouTube do @PNUDBrasil. https://t.co/lWxhDBEPvf</t>
  </si>
  <si>
    <t>britocruz_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</si>
  <si>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softyhyunjaee
WTS / Help RT 🇲🇾 The Boyz Chanhee
New 🐧 Price in the picture 🐧
Accept online banking and shopeepay
🐧 Accept reservation with small
deposit 🐧 Postage -RM6 wm/em (flexi)
-RM8 wm (Pos Laju, JnT) ❗️ Free
Postage if buy more than 5 (flexi)
#pasartheboyz #pasartbz https://t.co/DuiA9OwcuB</t>
  </si>
  <si>
    <t>esceipvc
🔴 Últimas vagas! 💻 Está a decorrer
até 3 de outubro a 3.ª fase de
candidaturas para a Pós-Graduação
em Gestão da Qualidade. Candidaturas
online em https://t.co/MzM6RSuLxR
Assegura já uma das últimas vagas!
✅ ℹ️ https://t.co/pXr1yplhQj ESCE-IPVC
o teu 🔴 de partida! https://t.co/lux0KS517U</t>
  </si>
  <si>
    <t>profsosa13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</si>
  <si>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sim_paraiba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</si>
  <si>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mlet_brasil
@AngelSinnerC @flavioaugusto_1
@desempregobot @VictorHitzschky
@cirogomes @Luchinex13 @heisenbergpeep
Ou seja, nova geração pós 2015
formada pela tecnologia do WhatsApp
e vídeos do YouTube, mais recentemente
Tik tok e Kwai, criticando o acesso
ao Ensino Superior facilitado pelos
gov do PT entre 2003 e 2014. Tá
"sertu".</t>
  </si>
  <si>
    <t xml:space="preserve">heisenbergpeep
</t>
  </si>
  <si>
    <t xml:space="preserve">luchinex13
</t>
  </si>
  <si>
    <t xml:space="preserve">victorhitzschky
</t>
  </si>
  <si>
    <t xml:space="preserve">desempregobot
</t>
  </si>
  <si>
    <t xml:space="preserve">flavioaugusto_1
</t>
  </si>
  <si>
    <t xml:space="preserve">angelsinnerc
</t>
  </si>
  <si>
    <t>pijahheyyoo
Papepun i rasa abang dekat jnt
tu tadi mesti cakap i stupid macam
tak pernah pegi pos barang 😭</t>
  </si>
  <si>
    <t>amessiasleal
@Giohvp1 @profsosa13 @HaddadDebochado
@Haddad_Fernando Acho que não entendeu
… “apaixonado por um PT que não
existe mais” entendeu?” Aquele
PT honesto que nos dava orgulho,
hoje é so o PT pós Palocci.</t>
  </si>
  <si>
    <t xml:space="preserve">haddad_fernando
</t>
  </si>
  <si>
    <t xml:space="preserve">haddaddebochado
</t>
  </si>
  <si>
    <t xml:space="preserve">giohvp1
</t>
  </si>
  <si>
    <t>elninoob_
@okaantara Kan JNE itu pos om Wkwkwkw
Ponpel temennya tompel Balon biru
yang dijual abang-abang om</t>
  </si>
  <si>
    <t xml:space="preserve">okaantara
</t>
  </si>
  <si>
    <t>imanborneo
@erickthohir Pt pos bagian dari
sejarah kemerdekaan. Para pejuang
Am PTT merebut kantor pos dari
penjajah dengan darah dan nyawa..tetapi
miris kantor pos Jakarta Utara
sekarang malah dibubarkan direktur
utamanya. Sepertinya direksi dan
komisaris ya tidak mengerti sejarah
pos Indonesia.</t>
  </si>
  <si>
    <t>bravobeacukai
@Hana75088057 Hai kak, untuk resi
tsb jasa pengiriman nya atas nama
PT. DIRGANTARA POS INDONESIA silahkan
hubungi nomor yg tertera di https://t.co/jW6vO3DrVM
untuk melakukan konfirmasi atas
pengirimannya ya kak ~boy</t>
  </si>
  <si>
    <t xml:space="preserve">hana75088057
</t>
  </si>
  <si>
    <t>pasarnctrt
WTS -renjun hello pola RM 13 exc
pos use jnt RM 8 wm help rt #pasarNCT
#mynctjual https://t.co/t8ogQFFIdt</t>
  </si>
  <si>
    <t>estevamregia
Relatório "COVID-19 e Desenvolvimento
Sustentável: avaliando a crise
de olho na recuperação" será lançado
na quarta-feira (29), às 11h, por
@PNUDBrasil, @UNESCOBrasil, @unicefbrasil
e @OPASOMSBrasil, com transmissão
pelo YouTube do @PNUDBrasil. https://t.co/lWxhDBEPvf</t>
  </si>
  <si>
    <t>foxyrj00
WTS -renjun hello pola RM 13 exc
pos use jnt RM 8 wm help rt #pasarNCT
#mynctjual https://t.co/t8ogQFFIdt</t>
  </si>
  <si>
    <t>luclavilo
@MarNaoSereno Nazismo em plenitude!
Demorando demais jogar essa corriola
miliciana narconazifascista genocida
em Haia, para depois irem ao cadafalso
em Nuremberg, aos moldes do pós
II Guerra!!!! https://t.co/qhgX1GYPiY</t>
  </si>
  <si>
    <t xml:space="preserve">marnaosereno
</t>
  </si>
  <si>
    <t>avante_pt
@MarNaoSereno Nazismo em plenitude!
Demorando demais jogar essa corriola
miliciana narconazifascista genocida
em Haia, para depois irem ao cadafalso
em Nuremberg, aos moldes do pós
II Guerra!!!! https://t.co/qhgX1GYPiY</t>
  </si>
  <si>
    <t>nideoliveira71
o Esquerda Online hoje me lembrou
o Em Tempo, nas edições pós encontros
nacionais do PT. #SDDS "isso foi
há 84 anos..."</t>
  </si>
  <si>
    <t>natransversal
o Esquerda Online hoje me lembrou
o Em Tempo, nas edições pós encontros
nacionais do PT. #SDDS "isso foi
há 84 anos..."</t>
  </si>
  <si>
    <t>oiasmargenspla1
Faz parte da democracia alternancia
de poder, pós 24 anos de PT/PSDB,
socialistas, com alta corrupção,
temos 2 anos e 9 meses, 1000 dias,
de um governo conservador de direita,
sem corrupçao, certamente maioria
do povo nao quer socialistas PT+PSDB
de volta, muito menos PDT https://t.co/Xae7WwBcDf
https://t.co/IcyG42F6hv</t>
  </si>
  <si>
    <t>eueltito
@theoporrete @augustodefranco Ele
e o PT que pôs o fogo na floresta
que queima até hoje. E agora querem
posar de bombeiros que vão salvar
a floresta</t>
  </si>
  <si>
    <t xml:space="preserve">augustodefranco
</t>
  </si>
  <si>
    <t xml:space="preserve">theoporrete
</t>
  </si>
  <si>
    <t>likaliku6969
@bolukubolukeju @ShopeeID Hahaha
PT. Pos Indonesia</t>
  </si>
  <si>
    <t xml:space="preserve">bolukubolukeju
</t>
  </si>
  <si>
    <t xml:space="preserve">lucianohuck
</t>
  </si>
  <si>
    <t>solcaetanocost1
@de_possati @divaolinda55 @tonyjosebr
@CapadociLe @MicrofoneSolida @Beto1berto
@ManoJuOliveira1 @MariaCr64955277
@ferretti_luiz @LuizDominguesF1
@Dri_Pedagoga @IsabelFeijMach1
@AnayAAnacleto @ReSoares_77 @Fabio70544222
@PauloDella4 @felipe89f @emanoelseabra
@williambassane2 @PTsigaZaqueu
@rodrigoelpidio @tmachado84 @fjosi1
@acm1065 @bruna85172176 @doce_pimenta13
@GlaucoRBraga @RochaKalily @elaineN1960
@LucianaFabiano_ @oliveiraalves5
@GpwLu @geografo2004 @PATY_VACINA
@sol_tropical @TonhoSDV @AdmConexao
@BastaSil @marusa_sales @Annacaralb
@CatiaAmorim5 @clauregsil @DeboraMustafa
@ednacamiloyaho1 @danielsimonas
@sim_paraiba @verancorrea @LoteMarcio
@solcaetanocost1 Um escrutínio
inescrupuloso a soberania orquestrado
desde o Golpe pela política monetária
neoliberal antes e pós PT . PETRÓLEO,PRIVATIZAÇÕES
E O SISTEMA DA DÍVIDA. DESMASCARADO
NA CCJ POR @mlfattorelli na https://t.co/dphdTncTtg
revelando todos os mecanismos com
números oficiais.</t>
  </si>
  <si>
    <t xml:space="preserve">mlfattorelli
</t>
  </si>
  <si>
    <t>lotemarcio
@de_possati @divaolinda55 @tonyjosebr
@CapadociLe @MicrofoneSolida @Beto1berto
@ManoJuOliveira1 @MariaCr64955277
@ferretti_luiz @LuizDominguesF1
@Dri_Pedagoga @IsabelFeijMach1
@AnayAAnacleto @ReSoares_77 @Fabio70544222
@PauloDella4 @felipe89f @emanoelseabra
@williambassane2 @PTsigaZaqueu
@rodrigoelpidio @tmachado84 @fjosi1
@acm1065 @bruna85172176 @doce_pimenta13
@GlaucoRBraga @RochaKalily @elaineN1960
@LucianaFabiano_ @oliveiraalves5
@GpwLu @geografo2004 @PATY_VACINA
@sol_tropical @TonhoSDV @AdmConexao
@BastaSil @marusa_sales @Annacaralb
@CatiaAmorim5 @clauregsil @DeboraMustafa
@ednacamiloyaho1 @danielsimonas
@sim_paraiba @verancorrea @LoteMarcio
@solcaetanocost1 Um escrutínio
inescrupuloso a soberania orquestrado
desde o Golpe pela política monetária
neoliberal antes e pós PT . PETRÓLEO,PRIVATIZAÇÕES
E O SISTEMA DA DÍVIDA. DESMASCARADO
NA CCJ POR @mlfattorelli na https://t.co/dphdTncTtg
revelando todos os mecanismos com
números oficiais.</t>
  </si>
  <si>
    <t xml:space="preserve">verancorrea
</t>
  </si>
  <si>
    <t xml:space="preserve">danielsimonas
</t>
  </si>
  <si>
    <t xml:space="preserve">ednacamiloyaho1
</t>
  </si>
  <si>
    <t xml:space="preserve">deboramustafa
</t>
  </si>
  <si>
    <t xml:space="preserve">clauregsil
</t>
  </si>
  <si>
    <t>catiaamorim5
@de_possati @divaolinda55 @tonyjosebr
@CapadociLe @MicrofoneSolida @Beto1berto
@ManoJuOliveira1 @MariaCr64955277
@ferretti_luiz @LuizDominguesF1
@Dri_Pedagoga @IsabelFeijMach1
@AnayAAnacleto @ReSoares_77 @Fabio70544222
@PauloDella4 @felipe89f @emanoelseabra
@williambassane2 @PTsigaZaqueu
@rodrigoelpidio @tmachado84 @fjosi1
@acm1065 @bruna85172176 @doce_pimenta13
@GlaucoRBraga @RochaKalily @elaineN1960
@LucianaFabiano_ @oliveiraalves5
@GpwLu @geografo2004 @PATY_VACINA
@sol_tropical @TonhoSDV @AdmConexao
@BastaSil @marusa_sales @Annacaralb
@CatiaAmorim5 @clauregsil @DeboraMustafa
@ednacamiloyaho1 @danielsimonas
@sim_paraiba @verancorrea @LoteMarcio
@solcaetanocost1 Um escrutínio
inescrupuloso a soberania orquestrado
desde o Golpe pela política monetária
neoliberal antes e pós PT . PETRÓLEO,PRIVATIZAÇÕES
E O SISTEMA DA DÍVIDA. DESMASCARADO
NA CCJ POR @mlfattorelli na https://t.co/dphdTncTtg
revelando todos os mecanismos com
números oficiais.</t>
  </si>
  <si>
    <t xml:space="preserve">annacaralb
</t>
  </si>
  <si>
    <t xml:space="preserve">marusa_sales
</t>
  </si>
  <si>
    <t xml:space="preserve">bastasil
</t>
  </si>
  <si>
    <t xml:space="preserve">admconexao
</t>
  </si>
  <si>
    <t xml:space="preserve">tonhosdv
</t>
  </si>
  <si>
    <t xml:space="preserve">sol_tropical
</t>
  </si>
  <si>
    <t xml:space="preserve">paty_vacina
</t>
  </si>
  <si>
    <t xml:space="preserve">geografo2004
</t>
  </si>
  <si>
    <t xml:space="preserve">gpwlu
</t>
  </si>
  <si>
    <t xml:space="preserve">oliveiraalves5
</t>
  </si>
  <si>
    <t xml:space="preserve">lucianafabiano_
</t>
  </si>
  <si>
    <t xml:space="preserve">elainen1960
</t>
  </si>
  <si>
    <t xml:space="preserve">rochakalily
</t>
  </si>
  <si>
    <t xml:space="preserve">glaucorbraga
</t>
  </si>
  <si>
    <t xml:space="preserve">doce_pimenta13
</t>
  </si>
  <si>
    <t xml:space="preserve">bruna85172176
</t>
  </si>
  <si>
    <t xml:space="preserve">fjosi1
</t>
  </si>
  <si>
    <t xml:space="preserve">tmachado84
</t>
  </si>
  <si>
    <t xml:space="preserve">rodrigoelpidio
</t>
  </si>
  <si>
    <t xml:space="preserve">williambassane2
</t>
  </si>
  <si>
    <t xml:space="preserve">emanoelseabra
</t>
  </si>
  <si>
    <t xml:space="preserve">felipe89f
</t>
  </si>
  <si>
    <t xml:space="preserve">paulodella4
</t>
  </si>
  <si>
    <t xml:space="preserve">fabio70544222
</t>
  </si>
  <si>
    <t xml:space="preserve">resoares_77
</t>
  </si>
  <si>
    <t xml:space="preserve">anayaanacleto
</t>
  </si>
  <si>
    <t xml:space="preserve">isabelfeijmach1
</t>
  </si>
  <si>
    <t xml:space="preserve">luizdominguesf1
</t>
  </si>
  <si>
    <t xml:space="preserve">ferretti_luiz
</t>
  </si>
  <si>
    <t>mariacr64955277
@de_possati @divaolinda55 @tonyjosebr
@CapadociLe @MicrofoneSolida @Beto1berto
@ManoJuOliveira1 @MariaCr64955277
@ferretti_luiz @LuizDominguesF1
@Dri_Pedagoga @IsabelFeijMach1
@AnayAAnacleto @ReSoares_77 @Fabio70544222
@PauloDella4 @felipe89f @emanoelseabra
@williambassane2 @PTsigaZaqueu
@rodrigoelpidio @tmachado84 @fjosi1
@acm1065 @bruna85172176 @doce_pimenta13
@GlaucoRBraga @RochaKalily @elaineN1960
@LucianaFabiano_ @oliveiraalves5
@GpwLu @geografo2004 @PATY_VACINA
@sol_tropical @TonhoSDV @AdmConexao
@BastaSil @marusa_sales @Annacaralb
@CatiaAmorim5 @clauregsil @DeboraMustafa
@ednacamiloyaho1 @danielsimonas
@sim_paraiba @verancorrea @LoteMarcio
@solcaetanocost1 Um escrutínio
inescrupuloso a soberania orquestrado
desde o Golpe pela política monetária
neoliberal antes e pós PT . PETRÓLEO,PRIVATIZAÇÕES
E O SISTEMA DA DÍVIDA. DESMASCARADO
NA CCJ POR @mlfattorelli na https://t.co/dphdTncTtg
revelando todos os mecanismos com
números oficiais.</t>
  </si>
  <si>
    <t xml:space="preserve">manojuoliveira1
</t>
  </si>
  <si>
    <t xml:space="preserve">beto1berto
</t>
  </si>
  <si>
    <t xml:space="preserve">microfonesolida
</t>
  </si>
  <si>
    <t xml:space="preserve">capadocile
</t>
  </si>
  <si>
    <t xml:space="preserve">tonyjosebr
</t>
  </si>
  <si>
    <t xml:space="preserve">divaolinda55
</t>
  </si>
  <si>
    <t xml:space="preserve">de_possati
</t>
  </si>
  <si>
    <t xml:space="preserve">viomundo
</t>
  </si>
  <si>
    <t>igot7mytrades
WTS -jb mirror card RM 10 exc pos
-youngjae bookmark RM 7 -buy both
RM 15 exc pos -use jnt RM8 wm//
em dm - no backout seller // time
waster will be block - rts: need
money for studies #pasarGOT7 https://t.co/LDhmV2m0Sz</t>
  </si>
  <si>
    <t>tinggibdnalami
BARANG PACKING!! SIAP KIRIM! TRUSTED
OLSHOP! Pengiriman dengan JNE/POS.
PIN:778B048 WA:081322071239 https://t.co/SxmrVRSb3D</t>
  </si>
  <si>
    <t>nctmytrade
WTS -renjun hello pola RM 13 exc
pos use jnt RM 8 wm help rt #pasarNCT
#mynctjual https://t.co/t8ogQFFIdt</t>
  </si>
  <si>
    <t>levanterjimin
WTS -renjun hello pola RM 13 exc
pos use jnt RM 8 wm help rt #pasarNCT
#mynctjual https://t.co/t8ogQFFIdt</t>
  </si>
  <si>
    <t>oposisicerdas
Dugaan Korupsi Rp 52 Miliar di
Anak Perusahaan PT Pos Indonesia,
Seorang Tersangka Kembali Ditahan
https://t.co/acVMfowLtO</t>
  </si>
  <si>
    <t>inlandertengik
Dugaan Korupsi Rp 52 Miliar di
Anak Perusahaan PT Pos Indonesia,
Seorang Tersangka Kembali Ditahan
https://t.co/acVMfowLtO</t>
  </si>
  <si>
    <t>didsanttos
Rico tá com o satamoita no corpo
agora no pós roça!!!Confira o vídeo
de Diego Santos! #TikTok https://t.co/e1va0fw5G4
#AFazenda #Fazenda13 #tretanafazenda
#tatiquebrabarraco #ricomelquiades🤮</t>
  </si>
  <si>
    <t>aish4hismail
Laju pulak jnt buat kerja. Baru
semalam seller pos. Yg satu lagi
still dkt kubang pasu. Satu lagi
courier baru pick up. Sabor sabor
hihi</t>
  </si>
  <si>
    <t>mygot7market
WTS -RM 15 exc pos to wm for both
-use jnt Help rt and help me find
new homes for them #pasarGOT7 https://t.co/AX6GWjaN1k</t>
  </si>
  <si>
    <t>zanifaysron
WTS -youngjae BOL -yugyeom DYE
-RM45 inc pos to wm -use jnt Help
rt and help me find new home for
these pcs #pasarGOT7 https://t.co/lx1OFMTMOe</t>
  </si>
  <si>
    <t>kagu_al</t>
  </si>
  <si>
    <t>onimawma</t>
  </si>
  <si>
    <t>essalcoitao</t>
  </si>
  <si>
    <t>wintershakitty</t>
  </si>
  <si>
    <t>jjaeluvm</t>
  </si>
  <si>
    <t>saawadikap</t>
  </si>
  <si>
    <t>sindonews</t>
  </si>
  <si>
    <t>jaewoolatte</t>
  </si>
  <si>
    <t>mnctrijaya</t>
  </si>
  <si>
    <t>naylyinasri</t>
  </si>
  <si>
    <t>rendaewoo</t>
  </si>
  <si>
    <t>netuno598</t>
  </si>
  <si>
    <t>tangselpos_new</t>
  </si>
  <si>
    <t>sulaimaniman_</t>
  </si>
  <si>
    <t>harismaulanaaku</t>
  </si>
  <si>
    <t>aisydalilah</t>
  </si>
  <si>
    <t>investorid</t>
  </si>
  <si>
    <t>_peanutttt</t>
  </si>
  <si>
    <t>debapirez</t>
  </si>
  <si>
    <t>starktuni</t>
  </si>
  <si>
    <t>digitalbotrt</t>
  </si>
  <si>
    <t>frhainaaa</t>
  </si>
  <si>
    <t>handayaniherbal</t>
  </si>
  <si>
    <t>vademetroananas</t>
  </si>
  <si>
    <t>yeonjjunineun</t>
  </si>
  <si>
    <t>swamediainc</t>
  </si>
  <si>
    <t>madugibran123</t>
  </si>
  <si>
    <t>julyannewy</t>
  </si>
  <si>
    <t>beritasatu</t>
  </si>
  <si>
    <t>jopintopt</t>
  </si>
  <si>
    <t>lamalif24</t>
  </si>
  <si>
    <t>cezarkr</t>
  </si>
  <si>
    <t>sheikhkhan3</t>
  </si>
  <si>
    <t>pos_tolmas</t>
  </si>
  <si>
    <t>covercouch</t>
  </si>
  <si>
    <t>leandro78671009</t>
  </si>
  <si>
    <t>fabianomendonca</t>
  </si>
  <si>
    <t>nwaissmann</t>
  </si>
  <si>
    <t>jay_woojae</t>
  </si>
  <si>
    <t>fitrijanuzaj</t>
  </si>
  <si>
    <t>republikaonline</t>
  </si>
  <si>
    <t>jornalnoticias</t>
  </si>
  <si>
    <t>fdesporto</t>
  </si>
  <si>
    <t>sweetsjhwanie</t>
  </si>
  <si>
    <t>chittawildinn</t>
  </si>
  <si>
    <t>mirahan0612</t>
  </si>
  <si>
    <t>joscunh1965</t>
  </si>
  <si>
    <t>soleil_mil</t>
  </si>
  <si>
    <t>infoans_pt</t>
  </si>
  <si>
    <t>mun_valenca</t>
  </si>
  <si>
    <t>radaraktual</t>
  </si>
  <si>
    <t>cyllenon</t>
  </si>
  <si>
    <t>adilson28173410</t>
  </si>
  <si>
    <t>uma_musu</t>
  </si>
  <si>
    <t>lxl_747</t>
  </si>
  <si>
    <t>trilubiusgrow</t>
  </si>
  <si>
    <t>revistaposvenda</t>
  </si>
  <si>
    <t>kreatifsultanid</t>
  </si>
  <si>
    <t>aep62247434</t>
  </si>
  <si>
    <t>eco_pt</t>
  </si>
  <si>
    <t>luveiga13</t>
  </si>
  <si>
    <t>pedro13091398</t>
  </si>
  <si>
    <t>iusedtobed</t>
  </si>
  <si>
    <t>xchsan99</t>
  </si>
  <si>
    <t>kimnana1987</t>
  </si>
  <si>
    <t>yehetddeonghwa</t>
  </si>
  <si>
    <t>qtshwajy</t>
  </si>
  <si>
    <t>cascais24_</t>
  </si>
  <si>
    <t>heartfullofhwaa</t>
  </si>
  <si>
    <t>velvhong</t>
  </si>
  <si>
    <t>andarom</t>
  </si>
  <si>
    <t>univdecoimbra</t>
  </si>
  <si>
    <t>luisb</t>
  </si>
  <si>
    <t>alephwang</t>
  </si>
  <si>
    <t>cmvm_pt</t>
  </si>
  <si>
    <t>marcio_clay</t>
  </si>
  <si>
    <t>flyztrex</t>
  </si>
  <si>
    <t>ellathree2</t>
  </si>
  <si>
    <t>jaeemann</t>
  </si>
  <si>
    <t>kamlaiyin</t>
  </si>
  <si>
    <t>naynayli_</t>
  </si>
  <si>
    <t>sweettyprncss</t>
  </si>
  <si>
    <t>antniosrgiomen4</t>
  </si>
  <si>
    <t>aestheticallyeo</t>
  </si>
  <si>
    <t>qtpiejcm</t>
  </si>
  <si>
    <t>ester12897249</t>
  </si>
  <si>
    <t>jarodrigues88</t>
  </si>
  <si>
    <t>aliaisyin</t>
  </si>
  <si>
    <t>bibliotecaippur</t>
  </si>
  <si>
    <t>marcinhaboar</t>
  </si>
  <si>
    <t>modemoodmove</t>
  </si>
  <si>
    <t>bianchi_jc</t>
  </si>
  <si>
    <t>gio73568992</t>
  </si>
  <si>
    <t>marciomanoo</t>
  </si>
  <si>
    <t>iasd</t>
  </si>
  <si>
    <t>valdenizo07</t>
  </si>
  <si>
    <t>soyrach</t>
  </si>
  <si>
    <t>biabionica</t>
  </si>
  <si>
    <t>ficaramsabendo</t>
  </si>
  <si>
    <t>edi33850787</t>
  </si>
  <si>
    <t>gyomsi</t>
  </si>
  <si>
    <t>cristin11420887</t>
  </si>
  <si>
    <t>joaoboscorocha</t>
  </si>
  <si>
    <t>mjq20983</t>
  </si>
  <si>
    <t>karl92s</t>
  </si>
  <si>
    <t>nmbaudelaire</t>
  </si>
  <si>
    <t>marcsure00</t>
  </si>
  <si>
    <t>angelarosane</t>
  </si>
  <si>
    <t>do0rnjun</t>
  </si>
  <si>
    <t>patchabalgo</t>
  </si>
  <si>
    <t>julene30141380</t>
  </si>
  <si>
    <t>yochiyayaya</t>
  </si>
  <si>
    <t>roseforkayla</t>
  </si>
  <si>
    <t>izzaknj</t>
  </si>
  <si>
    <t>gdvbstyong</t>
  </si>
  <si>
    <t>formywoos</t>
  </si>
  <si>
    <t>andreahelenago4</t>
  </si>
  <si>
    <t>mintgreenfilm</t>
  </si>
  <si>
    <t>antonie46522009</t>
  </si>
  <si>
    <t>nffrhinn</t>
  </si>
  <si>
    <t>kokosungjin</t>
  </si>
  <si>
    <t>chriscrfla</t>
  </si>
  <si>
    <t>gremiothreads</t>
  </si>
  <si>
    <t>laurissimaspfc</t>
  </si>
  <si>
    <t>l_fighera</t>
  </si>
  <si>
    <t>rejaneyarasilv1</t>
  </si>
  <si>
    <t>fairyschengg</t>
  </si>
  <si>
    <t>seabraped</t>
  </si>
  <si>
    <t>jpurwa01</t>
  </si>
  <si>
    <t>michell15303291</t>
  </si>
  <si>
    <t>riccard4andre</t>
  </si>
  <si>
    <t>haechiedotco</t>
  </si>
  <si>
    <t>nctzen_my</t>
  </si>
  <si>
    <t>domingoparque</t>
  </si>
  <si>
    <t>ddaisyyarchives</t>
  </si>
  <si>
    <t>rnjn000</t>
  </si>
  <si>
    <t>oning0ning</t>
  </si>
  <si>
    <t>win4nity</t>
  </si>
  <si>
    <t>jwisungwy</t>
  </si>
  <si>
    <t>yangyang335</t>
  </si>
  <si>
    <t>mylifesiwon</t>
  </si>
  <si>
    <t>lilkdyct</t>
  </si>
  <si>
    <t>josemaralves</t>
  </si>
  <si>
    <t>eewiinn_</t>
  </si>
  <si>
    <t>wnrashida1</t>
  </si>
  <si>
    <t>ttalgijaemdonut</t>
  </si>
  <si>
    <t>f41ryygyuu</t>
  </si>
  <si>
    <t>j3rrybbo_</t>
  </si>
  <si>
    <t>lilytrisy</t>
  </si>
  <si>
    <t>rebeccaeberger</t>
  </si>
  <si>
    <t>jenddongie_</t>
  </si>
  <si>
    <t>glittooglitchie</t>
  </si>
  <si>
    <t>euronewspt</t>
  </si>
  <si>
    <t>anamarchetti</t>
  </si>
  <si>
    <t>hary_tanoe</t>
  </si>
  <si>
    <t>lignummare</t>
  </si>
  <si>
    <t>cinemjaem</t>
  </si>
  <si>
    <t>mintainfo1</t>
  </si>
  <si>
    <t>duualexandrejr</t>
  </si>
  <si>
    <t>frrznh</t>
  </si>
  <si>
    <t>rosanaa80357793</t>
  </si>
  <si>
    <t>hellowawawax</t>
  </si>
  <si>
    <t>marlisilveira</t>
  </si>
  <si>
    <t>dorapereira2</t>
  </si>
  <si>
    <t>gusticputra</t>
  </si>
  <si>
    <t>stefanusdians</t>
  </si>
  <si>
    <t>cortez_hsp</t>
  </si>
  <si>
    <t>pos_vibes_24</t>
  </si>
  <si>
    <t>lilieslalisamn</t>
  </si>
  <si>
    <t>jaejaesy</t>
  </si>
  <si>
    <t>panutmanee</t>
  </si>
  <si>
    <t>mentalyupiiiiii</t>
  </si>
  <si>
    <t>seungaaaaaah</t>
  </si>
  <si>
    <t>itsdcntr</t>
  </si>
  <si>
    <t>pasar_exo</t>
  </si>
  <si>
    <t>todietonight</t>
  </si>
  <si>
    <t>efenerr</t>
  </si>
  <si>
    <t>azreen_raub</t>
  </si>
  <si>
    <t>pzgomes</t>
  </si>
  <si>
    <t>pedro__patricio</t>
  </si>
  <si>
    <t>babygbsld</t>
  </si>
  <si>
    <t>agneesls</t>
  </si>
  <si>
    <t>guilherme_amado</t>
  </si>
  <si>
    <t>guimarrocos</t>
  </si>
  <si>
    <t>graxa_ln</t>
  </si>
  <si>
    <t>marceloperescft</t>
  </si>
  <si>
    <t>alyphilot</t>
  </si>
  <si>
    <t>janainalimasp</t>
  </si>
  <si>
    <t>jessicabalbino</t>
  </si>
  <si>
    <t>daisiecart</t>
  </si>
  <si>
    <t>kmcultvsnf</t>
  </si>
  <si>
    <t>pasartreasure</t>
  </si>
  <si>
    <t>qtwindoie</t>
  </si>
  <si>
    <t>andreventurac</t>
  </si>
  <si>
    <t>andrecventura</t>
  </si>
  <si>
    <t>charliebrown_pt</t>
  </si>
  <si>
    <t>santolas9</t>
  </si>
  <si>
    <t>pedrofilipevas1</t>
  </si>
  <si>
    <t>tuca_nos</t>
  </si>
  <si>
    <t>andregguerrero</t>
  </si>
  <si>
    <t>budocaio</t>
  </si>
  <si>
    <t>posindonesia279</t>
  </si>
  <si>
    <t>kejaksaanri</t>
  </si>
  <si>
    <t>kejati_jabar</t>
  </si>
  <si>
    <t>guilhermearrow</t>
  </si>
  <si>
    <t>gabrielavinhal</t>
  </si>
  <si>
    <t>reporterenato</t>
  </si>
  <si>
    <t>sbc_cientifico</t>
  </si>
  <si>
    <t>mqueiroga2</t>
  </si>
  <si>
    <t>j_livres</t>
  </si>
  <si>
    <t>sen_alessandro</t>
  </si>
  <si>
    <t>mauricinho2507</t>
  </si>
  <si>
    <t>edwin_niles_fox</t>
  </si>
  <si>
    <t>slvgm</t>
  </si>
  <si>
    <t>pt_caveira</t>
  </si>
  <si>
    <t>chico_pinheiro</t>
  </si>
  <si>
    <t>ruyfarias</t>
  </si>
  <si>
    <t>brunocastilho</t>
  </si>
  <si>
    <t>douglasbaiao</t>
  </si>
  <si>
    <t>costajr2022</t>
  </si>
  <si>
    <t>siconline</t>
  </si>
  <si>
    <t>tvi</t>
  </si>
  <si>
    <t>sporttvportugal</t>
  </si>
  <si>
    <t>joo_jalexandre</t>
  </si>
  <si>
    <t>andretrig</t>
  </si>
  <si>
    <t>globonews</t>
  </si>
  <si>
    <t>camilorocha</t>
  </si>
  <si>
    <t>gabrielabilo1</t>
  </si>
  <si>
    <t>leandropradodj</t>
  </si>
  <si>
    <t>fta018</t>
  </si>
  <si>
    <t>ccf_imchiefs</t>
  </si>
  <si>
    <t>medpedshosp</t>
  </si>
  <si>
    <t>cheinrich86</t>
  </si>
  <si>
    <t>raparigota</t>
  </si>
  <si>
    <t>sandrabrasilia</t>
  </si>
  <si>
    <t>mouraedu2</t>
  </si>
  <si>
    <t>hrdbacot</t>
  </si>
  <si>
    <t>mncsekuritas</t>
  </si>
  <si>
    <t>patrickxavera</t>
  </si>
  <si>
    <t>@mentalyupiiiiii Lewat JNE &amp;amp; kantor pos E.. 👍🤩🤩</t>
  </si>
  <si>
    <t>@seungAAAAAAH ohh kalau guna jnt kita boleh lah cek dia dh post ke belum kalau pos laju taktau pulak :(</t>
  </si>
  <si>
    <t>PÓS-GRADUAÇÃO - 6ª edição
Formação avançada em FISIOTERAPIA RESPIRATÓRIA
🗓️Candidaturas online: até 26 de novembro de 2021
Início das aulas: 27 de janeiro de 2022
Consulte as condições especiais!
👉 https://t.co/5ALtPYWdmE https://t.co/FagpqL8WrD</t>
  </si>
  <si>
    <t>PÓS-GRADUAÇÃO em Terapia da Fala - 4ª edição
Intervenção na Infância 💻CURSO ONLINE
🗓️Candidaturas online até 10 de outubro de 2021
Consulte as condições especiais!
Início das aulas: 30 de outubro
https://t.co/eMFcfSO2QQ https://t.co/0I3D0BWw9y</t>
  </si>
  <si>
    <t>I NAK JUAL BARANG TAPI MAK I MALAS PERGI PEJABAT POS TAPI JNT DALAM TAMAN I DEKAT JE BOLEH JALAN KAKI TAPI KENA JOGING TAPI I MALAS NAK KELUAR RUMAH TAPI TAK TAHU NAK JUAL APA TAPI KALAU JUAL KAWAN BOLEH JUGAK TAPI HM TAPI NANTI MAK DIA MARAH TAPIII</t>
  </si>
  <si>
    <t>Penandatanganan Kemitraan MNC Group | Pos Indonesia
Saksikan prosesi penandatanganan kerja sama MNC Group dan juga unit-unit, seperti MotionBanking, MotionPay, MNC e-Commerce dengan PT Pos Indonesia (Persero).
Live @Zoom Webinar: https://t.co/fJbOpnKy7F https://t.co/Q8oFMX15qK</t>
  </si>
  <si>
    <t>MotionPay, MNC e-Commerce dengan PT Pos Indonesia (Persero) untuk semakin dapat memberikan berbagai kemudahan dalam setiap transaksi digital di seluruh Indonesia.
SAVE THE DATE
Rabu, 29 September 2021 | 10.00 WIB
Live @Zoom Webinar: https://t.co/EKrBrE3DKT</t>
  </si>
  <si>
    <t>Serial Cerita Tuhan Yesus, bacaan untuk si kecil mengenal Tuhan lebih dalam melalui berbagai cerita serial ini💖Delivery Malang kota 10K (spd mtr), luar Kota Malang via JNE, J&amp;amp;T, POS.
WA/Line: +6282143502209
IG: tarbantinbookstoremalang
MAKE GREAT GENERATION
#kids #children #anak https://t.co/mgNK4YoNBG</t>
  </si>
  <si>
    <t>@todietonight @slpng_giants_pt Criaram um crime chamado " protocolo de 21 dias " onde o paciente que até então estaria na UTI isolado agora pode se juntar a outros pacientes, o que chamam de " pós Covid " Só que escondem isso.
Sendo que o mesmo ainda está completamente infectado e seus pulmões comprometidos.</t>
  </si>
  <si>
    <t>Tangsel Pos Edisi 29/09/2021. Jabatan Pimpinan PT PITS Kian Terkatung Katung. PAW Dewan dari Golkar dan PDIP Temui Kendala. Kafe di Bintaro Berdayakan Tunarungu. Melihat Pembekalan 20 Pasangan Calon Pengantin di KUA Pamulang. https://t.co/RDwD60cSqo</t>
  </si>
  <si>
    <t>Kembangkan Layanan Setor Tunai, PT Pos Indonesia Gandeng MNC https://t.co/CDyefjoQgL https://t.co/DZsRj3861f</t>
  </si>
  <si>
    <t>Stock Minipack licin.
Tunggu jnt pos stock minipack kita be like: https://t.co/EnLTTD64Us</t>
  </si>
  <si>
    <t>MNC E-Commerce Rangkul PT Pos Tingkatkan Layanan Pengiriman  https://t.co/Jfacrq1TzK https://t.co/yqfoVY7mvB</t>
  </si>
  <si>
    <t>Walaupun postage free jnt dah naik, tapi barang pos semalam harini dah out for delivery geng. Bapak laju ah!</t>
  </si>
  <si>
    <t>@efenerr bahkan dulu bisa diantar ke rumah. kerjasama dengan PT POS bayar cm 10rb</t>
  </si>
  <si>
    <t>@azreen_raub Kasi bayar double harini juga. Esok aku kasi pos itu barang pakai JNT. 😂</t>
  </si>
  <si>
    <t>Amazing photoshoot for Pospay PT POS Indonesia Products with Rahmat Erwin, 
The bronze medal winner in the men's 73kg class weightlifting  at the 2020 Tokyo Olympics.
#DoneWithFlaga
#Flagamediaasia #FMA
#digitalmarketing #eventorganizer  #eventmanagement 
#Pospay #posindonesia https://t.co/id70scdlWs</t>
  </si>
  <si>
    <t>Tetiba cam bersyukur tak jadi pos ke sana guna jnt https://t.co/V3CwvqXcqG</t>
  </si>
  <si>
    <t>Jasa kirim available diantaranya :
✓GOSEND
✓GRAB
✓SICEPAT
✓J&amp;amp;T
✓Anteraja
✓Lion Parcel
✓JNE
✓POS
✓Wahana
Untuk produk Herbal yang ready stock :
✓QnC Jelly Gamat
✓Samulinpro
✓Propolis Sm
✓Hexabumin
✓KurmaQu
✓Sabun Natural Oud
✓Spirulna G-Plantesis https://t.co/IWfJ9Ln79F</t>
  </si>
  <si>
    <t>Jasa kirim available diantaranya :
✓GOSEND
✓GRAB
✓SICEPAT
✓J&amp;amp;T
✓Anteraja
✓JNE
✓POS
✓Ninja
✓Tiki
Untuk produk Herbal yang ready stock :
✓QnC Jelly Gamat
✓Samulinpro
✓Propolis Sm
✓Hexabumin
✓KurmaQu
✓Sabun Natural Oud
✓Spirulna G-Plantesis https://t.co/vlXegbX9Eh</t>
  </si>
  <si>
    <t>@pedro__patricio @pzgomes Maioria simples não existe, uma maioria simples é uma minoria. Se todos os outros votarem contra uma moção de confiança o governo cai. É uma mentira que se inventou em PT no pos-25 de Abril para garantir que só o PS ou PSD governariam sem precisar dos outros partidos.</t>
  </si>
  <si>
    <t>@babygbsld HAHAHAH takk. Pos Malaysia. Tp Min ada gak order brg guna jnt</t>
  </si>
  <si>
    <t>Gandeng MNC, PT Pos Indonesia Kembangkan Layanan Setor Tunai https://t.co/Hp48FzMcex</t>
  </si>
  <si>
    <t>ONGKOS KIRIM DENGAN JNE DALAM 1KG MUAT 4 PAKET, DENGAN POS HANYA MUAT 2 PAKET
100% ASLI
Disclaimer : Reaksi Yang Di Dapat Setiap Individu Akan Berbeda-Beda, Tergantung Pada Penerimaan Tubuh, Kondisi Penyakit Serta Kerutinan Dalam Mengkonsumsinya</t>
  </si>
  <si>
    <t>Kegiatan ini dihadiri oleh perwakilan Bank Mantap, Bank Bukopin, BNI, BTN, BRI, BTPN, dan PT POS (Indonesia).
#kegiatanAsabri #Asabrievents https://t.co/xqLMXyYhVd</t>
  </si>
  <si>
    <t>Motiobanking besutan PT Bank MNC Internasional Tbk menandatangani perjanjian kerja sama dengan PT Pos Indonesia untuk layanan tarik tunai.
Selengkapnya: 👇 #Motiobanking https://t.co/AxZsSPXmca</t>
  </si>
  <si>
    <t>Boa leitura: https://t.co/Bqqfj2zela</t>
  </si>
  <si>
    <t>@AgneesLS importnya pake jne apa pos indo?</t>
  </si>
  <si>
    <t>@MarceloPerescft @Graxa_ln @guimarrocos @guilherme_amado Cara! Acorda!! Se blindou, pôs sigilo, é por que tem muita coisa errada, kd a transparência que ele tanto falava!? E prq tem q por o PT no meio!? O presidente é o Bolsonaro, e não fez nada até hj, a não ser blindar a ele e a família, acooooooorda!!!</t>
  </si>
  <si>
    <t>@ALYPhilot bole pos byr jnt pm mari pit details</t>
  </si>
  <si>
    <t>MNC Bank telah menandatangani perjanjian kerja sama dengan PT Pos Indonesia (Persero) untuk mengembangkan layanan setor tunai/top up dan tarik tunai/cash out di seluruh kantor pos dan aplikasi Pospay milik Pos Indonesia. https://t.co/qY92dlkUja</t>
  </si>
  <si>
    <t>IDLES - THE BEACHLAND BALLROOM (Official Video, Pt. 1) https://t.co/iLi5ARc4N7</t>
  </si>
  <si>
    <t>Pelanggan kesayangan sdh memiilih frame cantiknya utk gift orang terkasih💕Terima kasih buat pemesanannya🙏yg lagi hunting souvenir merapat ke Tarbantin💖Delivery Malang kota 10k(spd mtr), luar Kota Malang via JNE, J&amp;amp;T,POS
WA/Line: +6282143502209
IG: tarbantinsouvenir
#decoration https://t.co/Z7YvSi4zTE</t>
  </si>
  <si>
    <t>@janainalimasp @joaoamoedonovo N é querer te dá um banho de água fria n mas pelos seus segmentos pós eleição 2018 dificilmente ele passa da margem de erros,esse q vc diz novo foi aquele q se uniu com o PT, Psol, PDT, PCO, PC do B na Paulista dia 12 e foi um fracasso total.
Amoedo deixou seus 3% subir a cabeça</t>
  </si>
  <si>
    <t>Agências da ONU lançam relatório sobre recuperação pós-pandemia de COVID-19 https://t.co/7jQvn2yedj</t>
  </si>
  <si>
    <t>@jessicabalbino Ultimo namorido, dei PT no casamento da minha irma!Lembro de flashes pós PT,+ perfeitamente dele em cima de mim já em casa.Contei dps de mts anos e ele disse q n aconteceu, se recusou a assumir! + eu tenho CERTEZA lembro inclusive q ele me forçou a por a boca e eu vomitei nele!</t>
  </si>
  <si>
    <t>@daisiecart Ya ampun aku stress ye hhhahaha patut harini tau dia kena pos, tapi haram jnt tak pick up lagi. Jnt pun cam haram 😩 dari sabtu kot aku placed order</t>
  </si>
  <si>
    <t>@kmcultvsnf itula tp i nk pos utk trade so takpela mahal sikit pon since trader i guna jnt</t>
  </si>
  <si>
    <t>Ni aku tak suka dapat pos laju. Memang kena collect dekat office dia la. Mai rumah pagi memang tak dak orang la. Orang pergi keja. Barang mahal dpt jnt dia tinggai bodo ja. Barang murah dpt pos laju dia p bawa balik pulak.</t>
  </si>
  <si>
    <t>Sinergi itu untuk meningkatkan kualitas dan jangkauan layanan pengiriman barang. https://t.co/cmVnGrr9qp</t>
  </si>
  <si>
    <t>PCP rejeita acordos pós-eleições https://t.co/7NAUrisirK https://t.co/3QAnsCEyfB</t>
  </si>
  <si>
    <t>A Pós-Graduação em Direito do Desporto, organizada pela Autónoma Academy da Universidade Autónoma de Lisboa, vai iniciar a sua 6.ª Edição no ano letivo 2021-2022 no próximo dia 29 de outubro.
Ler mais: https://t.co/x4HLDTI9wK https://t.co/8YP6QWiICA</t>
  </si>
  <si>
    <t>(WTS/PREORDER) Hi, Im letting go my slots for Jeongwoo standee JAPAN SUMMER GOODS. 
💰 RM70 INC POS 
❌ NO SEC PAYMENT
❌ NO BACKOUT 
✅ FPFS, BANKIN, SHOPEEPAY 
‼️ DM FOR PROOFS, ALREADY SECURED 
‼️ POSTAGE USING JNT 
#pasarTREASURE @pasarTREASURE HELP RT 💥💥💥 TQSM 💗 https://t.co/L0Okup3iyq</t>
  </si>
  <si>
    <t>WTS
The Boyz Thrill-ing Inclusions 
🐿 Q/Changmin set - RM15
🍊 Haknyeon set - RM25
🦄 Eric set - RM25
Postage 
- RM6 wm/em (flexi)
- RM8 wm (Pos Laju, JnT)
#pasartheboyz #pasarTBZ https://t.co/7N2zpdAU3t</t>
  </si>
  <si>
    <t>@qtwindoie setiap kali abang pos laju ke jnt sampai mak I rakde kat rumah hehe</t>
  </si>
  <si>
    <t>@PedroFilipeVas1 @Santolas9 @CharlieBrown_PT @AndreCVentura @AndreVenturaC Bem, o andrézito pôs anúncio no jornal para arranjar candidatos... Também um exemplo de decência...</t>
  </si>
  <si>
    <t>Togo – Iniciado o novo ano pastoral do #pósnoviciado salesiano de Lomé https://t.co/5vAoDIsEc3 https://t.co/X1WAR5Vavh</t>
  </si>
  <si>
    <t>Essa é a politica monetária neoliberal antes e pós PT !
BRINCADEIRA!
Num país autossuficiente e com 80% do transporte rodoviário!
Privatizando tudo a preço de banana e isentando HUM TRILHÃO!?
COMEDIA! PIADA!
AUDITORIA JÁ!
ADI 6417 STFJ !
XEQUE MATE !
PT SAUDAÇÕES. https://t.co/4hVo2U0wYa</t>
  </si>
  <si>
    <t>Você sabe qual foi o padrão ético e moral de Jesus, em seus relacionamentos sociais, enquanto esteve na Terra? 🤔  Vem descobrir. 👉 https://t.co/QE8XBHVCWl https://t.co/tOHrramOcM</t>
  </si>
  <si>
    <t>Dugaan Korupsi Rp.52 Miliar di PT Pos Finance, Kejati Jabar Kembali Tetapkan Tersangka https://t.co/0fStjM99Sn</t>
  </si>
  <si>
    <t>@budocaio @AndreGGuerrero @tuca_nos @LulaOficial Acredito que sim, embora hoje Ciro tenha quebrado qualquer ponte com o PT e maior parte da esquerda, o que vai, fatalmente, sepulta-lo politicamente. O fator renovação será implacável no pós Lula.</t>
  </si>
  <si>
    <t>【イベント開催】
9/29(水) 12:00から、ストーリーイベント「Make up in Halloween！」を開催中です！
イベントPtを集めるとイベント限定サポートカードや虹の結晶片が獲得できます！
イベント限定ストーリーもお見逃しなく！
https://t.co/TVOztWDlhm
#ウマ娘 #ゲームウマ娘 https://t.co/k16PdKK1EL</t>
  </si>
  <si>
    <t>Presidente pôs "os pontos nos is". Melo Gomes critica polémica com exoneração de chefe da Armada https://t.co/VGEUKOb7bA Em https://t.co/MDmhqgtnSp https://t.co/Xf1rJIVwtu</t>
  </si>
  <si>
    <t>A Academia Sino-Lusófona da #UCoimbra organiza na segunda-feira, dia 4 de outubro, a conferência internacional "(Acesso à) Justiça e Digitalização: Desafios Pós-Pandemia", que será transmitida no canal de YouTube da @UnivdeCoimbra.  https://t.co/5l9VYQr9U1</t>
  </si>
  <si>
    <t>#posvenda
Parceiros no Pós-Venda
Pós-Venda lança Guia do Aftermarket 2021/2022: https://t.co/fremMgzLua</t>
  </si>
  <si>
    <t>Kejaksaan Tinggi (Kejati) Jawa Barat kembali melakukan penahanan terhadap tersangka kasus dugaan korupsi PT Pos Financial (Posfin) senilai Rp52 miliar.
#kejatijabar #posfin #ptposfin #kajatijabar #kejaksaantinggijawabarat @kejati_jabar @KejaksaanRI  @posindonesia279 https://t.co/uzMvGAKHEo</t>
  </si>
  <si>
    <t>Fim das moratórias, financiamento sustentável e transformação digital: (alguns) temas da banca no pós-pandemia https://t.co/MVR4qBCi0x</t>
  </si>
  <si>
    <t>@Guilhermearrow @LulaOficial Mandam sim e tu sabes disso amigo . Lula investiu em educação a verba era enviada . muito investimento e não se faça de ingênuo . sanes como funciona as coisas neste país . COM a eleição de Dilma pós lula se criou um grupo rebelde e a causa era destruir os projetos do PT .</t>
  </si>
  <si>
    <t>@reporterenato @gabrielavinhal Ele disse que no governo PT pegou alguns empréstimos, ele não disse sobre o pós PT.  Certo ou entendi errado?</t>
  </si>
  <si>
    <t>HELP RT 🇲🇾
[WTS] ATEEZ WOOYOUNG/ YEOSANG/SEONGHWA MUART 2.0 PC
RM 130/all inc pos (flexi)
RM 45/each
+RM5(flexi)
+RM8(jnt)WM
Seonghwa and wooyoung need to pair with yeosang, if only want yeosang no need pairing ☺️
DM if you interested or for more pictures^^
#pasarATEEZ https://t.co/DTnFnGw10o</t>
  </si>
  <si>
    <t>CASCAIS24 : O regresso ao escritório pós-Covid: modelos e medi... https://t.co/9PwNrzLqKK https://t.co/9gHlZN1nKE</t>
  </si>
  <si>
    <t>Aku pelik dgn jnt... Pelik doe.. Parcel aku stu lg mana.. Kenapa smpai yg lain dlu pdahal tmpt pos sama, tauke sama, hri sama... Allahu</t>
  </si>
  <si>
    <t>A presidente da CMVM, Gabriela Figueiredo Dias, participa amanhã na conferência anual do #CIRSF sobre #sistemafinanceiro e recuperação económica. Falará sobre “Desafios pós-#pandemia: Uma alteração de paradigma para o setor financeiro?" https://t.co/Yk8H9pxl85
⏰ 30.09 | 9h15 https://t.co/MLFGWjixL6</t>
  </si>
  <si>
    <t>@mqueiroga2 @sbc_cientifico Se há risco pra que autorizar vacinação em adolescentes?
@jairbolsonaro
https://t.co/TG9X4PNAwO.</t>
  </si>
  <si>
    <t>[HELP RT] #pasarNCT 🇲🇾
WTS PC Jaemin
Puff Hogwarts ep1
💸 rm375 exc pos
📮rm5 WM rm9 EM JNT (through shopee)
can post out by this evening if pay before 11 am
accept WW🌍 but pls make sure u have Malaysian address &amp;amp; bank acc since i can’t ship WW. https://t.co/IJ5tB9t3ot</t>
  </si>
  <si>
    <t>[HELP RT] #pasarNCT 🇲🇾
WTS PC Jaemin
Puff Hanbok ep2
💸 rm375 exc pos
📮rm5 WM rm9 EM JNT (through shopee)
can post out by this evening if pay before 11 am
accept WW🌍 but pls make sure u have Malaysian address &amp;amp; bank acc since i can’t ship WW. https://t.co/xRuHoSiHpR</t>
  </si>
  <si>
    <t>[HELP RT] #pasarNCT 
WTS PC Jaemin
Puff police sticker 
💸 rm40 exc pos
📮rm5 WM rm9 EM JNT (through shopee)
can post out by this evening if pay before 11 am
accept WW🌍 but pls make sure u have Malaysian address &amp;amp; bank acc since i can’t ship WW. https://t.co/2eDkDmauZk</t>
  </si>
  <si>
    <t>@J_LIVRES E nós lembramos do Banco Santander, e mesmo que acatou o pedido do lulaladrão, para demitir uma funcionária do banco, por ter alertado um cliente para não fazê investimentos no mercado pôs o PT, estava afundando o país</t>
  </si>
  <si>
    <t>@cirogomes Toda essa conversa fiada tem apenas um objetivo!?
Tentar tirar o mérito da administração petista de esquerda LULA E DILMA e a liderança nas pesquisas levando no 1º turno com 70%.
Mas na verdade o que realmente existe é a diferença da politica monetária neoliberal antes e pós PT.</t>
  </si>
  <si>
    <t>@UOLNoticias O modelo é o mesmo que tirou o Brasil da 15/6 sexta economia do mundo.
Procurando cumprir a maior prioridade da Constituição .O artigo 195 .
E o que a politica monetária neoliberal antes e pós PT fez !.
Promessas!? Privatizando tudo a preço de banana e retirando direitos!?
PIADA!</t>
  </si>
  <si>
    <t>Ñ temos certeza se foi por conta da vacina (astrazeneca há 30 dias) ou alguma infecção, mas fica o alerta pra todos. A Anvisa já noticiou sobre o assunto e encontrei muitos relatos no YouTube e aqui no Twitter sobre essa síndrome. Sejamos vigilantes. https://t.co/zIUkSBVmYY</t>
  </si>
  <si>
    <t>Relatório destaca indicadores para medidas de recuperação socioeconômica, proteção social e inclusão digital como forma de inserir o Brasil em uma rota de desenvolvimento inclusiva e sustentável.
@PNUDBrasil @UNESCOBrasil @unicefbrasil @OPASOMSBrasil 
https://t.co/zynpY0NDII</t>
  </si>
  <si>
    <t>Relatório destaca indicadores para medidas de recuperação socioeconômica, proteção social e inclusão digital como forma de inserir o Brasil em uma rota de desenvolvimento inclusiva e sustentável.
@PNUDBrasil @UNESCOBrasil @unicefbrasil @OPASOMSBrasil 
https://t.co/XJxP4gvhun</t>
  </si>
  <si>
    <t>PCP rejeita acordos pós-eleições Autárquicas https://t.co/L6CZPvEls2</t>
  </si>
  <si>
    <t>Perda de bola em transição... e Lewandowski bisa, pos claro https://t.co/vVaxH6kfhG</t>
  </si>
  <si>
    <t>PCP rejeita acordos pós-eleições Autárquicas https://t.co/TtUtRQWtho</t>
  </si>
  <si>
    <t>Perda de bola em transição... e Lewandowski bisa, pos claro https://t.co/7gvmHork6Q</t>
  </si>
  <si>
    <t>Perda de bola em transição... e Lewandowski bisa, pos claro https://t.co/KEQz2lkIDZ</t>
  </si>
  <si>
    <t>@slvgm @edwin_niles_fox @mauricinho2507 @pt_caveira @Sen_Alessandro Também sou formado em Direito, Música, História e Teatro. Tenho duas pós em educação e especialista em processo internacional. Mas nãoa doro Satã igual aos bozolóides. Se você ama Bozo tem genocida de estimação sim</t>
  </si>
  <si>
    <t>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</si>
  <si>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@DeputadoFederal Pessoas honestas que luta por uma Brasil melhor do que eles pegaram, pós pt .</t>
  </si>
  <si>
    <t>@douglasbaiao @brunocastilho @Ruyfarias @chico_pinheiro Meu querido, ele BOICOTOU as vacinas, enfiou Cloroquina no rabo do povo, cagou pras necessidade do povo, aprovou um auxílio emergencial sem mais nem menos só pq o congresso pôs pra frente. Isso é conduzir a PANDEMIA? Com o PT estaríamos sim, muito melhor obrigado!</t>
  </si>
  <si>
    <t>Chega, Ventura - is going after the Roma. Allegedly doesn't want to "expel them from the country" but I've seen this movie before
No deals w/other parties? Passive threats towards ethnic groups?
Não passarão, you POS
https://t.co/DwMG6YL60t</t>
  </si>
  <si>
    <t>@CostaJr2022 Brasil pós PT</t>
  </si>
  <si>
    <t>ANVISA alerta sobre risco de MIOCARDITE e PERICARDITE pós vaxx.
https://t.co/D2KVuGVu0n</t>
  </si>
  <si>
    <t>@PT_Transjakarta kenapa jak53 arah grogol lama banget, padahal yg ke arah pos pengumben udah 5 kali lewat ini yg grogol blom sama sekali</t>
  </si>
  <si>
    <t>A verdade é que essa porta nunca mais será fechada,a tendência é piorar com a saída do bolsonaro ou não,eles gostaram do gostinho de poder que eles estão tendo pós PT e não vão abrir mão de novo,Lula q não se cuide com esse discurso conciliador pq vão passar o pau nele de novo https://t.co/d2FXNRtqoO</t>
  </si>
  <si>
    <t>@joo_jalexandre @ElevenSports_PT @SPORTTVPortugal @tvi @SIConline Estou de acordo. Tbém fiz o mmo e logo no pós jogo de dínamo/Benfica ouvi os comentários e discussão e comentei aqui o mmo. Gostei imenso</t>
  </si>
  <si>
    <t>@PosIndo PT Pos Indonesia gimana BUMN mau bersaing sama swasta kalau layanannya aja kaya gini, paket dokumen butuh waktu berhari-hari padahal jakarta-tangsel tuh gak jauh2 amat 🤣 @KemenBUMN @erickthohir https://t.co/OuxsmOYY8P</t>
  </si>
  <si>
    <t>@JornalOGlobo Brasil pós golpe, e aquela aberração de" escolha difícil  " entre um professor e ex ministro da educação,  e esse presimente miliciano.  
Mas o importante era tirar o PT né.</t>
  </si>
  <si>
    <t>@pt_caveira @GloboNews @andretrig É mentira dizer que ele não podia trabalhar pois iria salvá-lo da covid. E que agora ele viverá de miséria do governo? A Argentina está melhor que nós no pós fique em casa?hahahaha Vai piorar muitooo ainda, tá só começando.</t>
  </si>
  <si>
    <t>Lagi hunting souvenir atau dekorasi rumah? Ada nih... rangkaian imut yg cantik, langsung meluncur ke Tarbantin 😍Tinggal dipilih &amp;amp; di sesuaikan, ada spesial diskon juga yaaaaa💖Delivery Malang kota 10k (spd mtr), luar Kota Malang via JNE, J&amp;amp;T, POS
WA/Line: +6282143502209
#flower https://t.co/dpd6wiFnAn</t>
  </si>
  <si>
    <t>@fta018 @LeandroPradodj @gabrielabilo1 @camilorocha As bases estão sendo desmontadas no Temer e neste! O Brasil era pós FHC dívidas e juros alto. A turbulência de q? Da retirada de Dilma? A gente estava com uma taxa de 4% de desemprego. O pib de outros países não recuou e aumentou o do Brasil teve um recuo. A culpa é do PT</t>
  </si>
  <si>
    <t>WTS
-sungchan resonance future pc RM25 exc pos 
-condition 10/10
-use jnt RM 8 to wm // em not sure 
-not on hand yet 
-rts: I need money 
#pasarNCT</t>
  </si>
  <si>
    <t>@jandira_feghali Nossa o crime pós PT passou ser uma brincadeirinha onde os bandidos só precisam pedir desculpas e ficam livres de punição,quanto progresso no combate a bandidagem hein Brasil ?</t>
  </si>
  <si>
    <t>@cheinrich86 @medpedshosp @CCF_IMCHIEFS Most common times I see this is either premature switch to SQ (pt not taking POs, bicarbonate/pH not normalized) or insufficient overlap with SQ (min 2-3 hours)</t>
  </si>
  <si>
    <t>Reino Unido rejeitou licenças de pesca a mais de uma centena de barcos franceses, incluindo 75 pela ilha de Jersey, justificadas com os critérios do acordo de transição pós #Brexit https://t.co/YoNsbiW3Kr</t>
  </si>
  <si>
    <t>PT Bank MNC Internasional Tbk (BABP) dan PT MNC Teknologi Nusantara, anak perusahaan dari PT MNC Kapital Indonesia Tbk (BCAP), serta MNC e-Commerce telah menandatangani perjanjian kerja sama dengan PT Pos Indonesia (Persero) 
https://t.co/bLxUK8tt3C https://t.co/LBPRElsPxv</t>
  </si>
  <si>
    <t>Suatu kehormatan bagi MNC Group atas kerja sama dengan PT Pos Indonesia (Persero) ini. 
Zaman sekarang ini harus mengembangkan ekosistem yang sebesar-besarnya. Jadi, harus beraliansi, harus berkolaborasi. 
https://t.co/X0j5KVkuQy</t>
  </si>
  <si>
    <t>Lowongan Kerja PT Pos Indonesia (Persero) Bangkinang September 2021 https://t.co/p80N0JKkTI</t>
  </si>
  <si>
    <t>@raparigota Pós Enem vamo dar PT</t>
  </si>
  <si>
    <t>Nak order boleh terus ke shopee okay🐣
within 24 hour saya akan pos kat JNT nanti check je update tracking kat shopee tu
https://t.co/Wy2x50wMcP</t>
  </si>
  <si>
    <t>@mouraedu2 @sandrabrasilia @JanainaDoBrasil Eu acho que ela se enganou na data, eu procurei e encontrei esse, mas no dia 09/07/2021.
Concordo com você, é complicado de achar.
https://t.co/dZlB2avQfM</t>
  </si>
  <si>
    <t>@MNCSekuritas 
Saya kirim dokumen penutupan akun ke PT MNC SEKURITAS melalui grab express dan di resepsionis/security ditolak, saya call CS katanya hanya terima melalui JNE/kantor pos, jadi dokumen saya harus dibawa kembali dan dikirim ulang.
Luar biasa servis anda
Cc @hrdbacot</t>
  </si>
  <si>
    <t>@patrickxavera Nek iso kon milih ekspedisi selain JNE tak pilih liyane wesan wingi 🥺. Nek iso milih ngirim nggo kantor pos yo tak pilih kui timbang JNE</t>
  </si>
  <si>
    <t>Personil Ditpamobvit melaksanakan cek dan riksa R2 di pos access F PT. Chemindo Gemilang bersama security https://t.co/xtM8hj17Xm</t>
  </si>
  <si>
    <t>Stand by di pos utama kawasan PT. KIEC https://t.co/tavVpNUou4</t>
  </si>
  <si>
    <t>I feel like there’s this huge disconnect btwn myself &amp;amp; the battle rap culture!!! I don’t necessarily think “Cortez Gets Hated On” unless it’s from the Tsuzie Fan Base BUT more of a “We Wanna See ‘Tez Get His Just Due On All Levels”!!! (Pt.1)…</t>
  </si>
  <si>
    <t>ด่วน!!! รับสมัครพนักงานขายประจำร้าน
(ระบบเครื่องPOS) #ร้านมุมกะเพรา
•สาขาบางบอน(ปั๊มPT ตรงข้ามแมคโครบางบอน)
•สาขาท่ามหาราช(ในคอมมิวนิตี้มอลล์)
•สาขากาญจนา ในปั๊มเชลล์(ตรงข้ามพาซิโอ้พาร์ค)
•สาขาเดอะมอลล์ งามวงศ์วาน(ชั้นG) (ต่อ)</t>
  </si>
  <si>
    <t>https://www.tsf.pt/portugal/politica/presidente-pos-os-pontos-nos-is-melo-gomes-critica-polemica-com-exoneracao-de-chefe-da-armada-14173125.html?utm_source=dlvr.it&amp;utm_medium=twitter https://www.tsf.pt/</t>
  </si>
  <si>
    <t>essa.pt</t>
  </si>
  <si>
    <t>zoom.us</t>
  </si>
  <si>
    <t>investor.id</t>
  </si>
  <si>
    <t>beritasatu.com</t>
  </si>
  <si>
    <t>youtube.com</t>
  </si>
  <si>
    <t>unesco.org</t>
  </si>
  <si>
    <t>jn.pt</t>
  </si>
  <si>
    <t>fundacaodesporto.pt</t>
  </si>
  <si>
    <t>infoans.org</t>
  </si>
  <si>
    <t>radaraktual.com</t>
  </si>
  <si>
    <t>umamusume.jp</t>
  </si>
  <si>
    <t>uc.pt</t>
  </si>
  <si>
    <t>posvenda.pt</t>
  </si>
  <si>
    <t>cascais24.pt</t>
  </si>
  <si>
    <t>cirsf.eu</t>
  </si>
  <si>
    <t>euronews.com</t>
  </si>
  <si>
    <t>com.my</t>
  </si>
  <si>
    <t>kids children anak</t>
  </si>
  <si>
    <t>donewithflaga flagamediaasia fma digitalmarketing eventorganizer eventmanagement pospay posindonesia</t>
  </si>
  <si>
    <t>motiobanking</t>
  </si>
  <si>
    <t>decoration</t>
  </si>
  <si>
    <t>pósnoviciado</t>
  </si>
  <si>
    <t>ウマ娘 ゲームウマ娘</t>
  </si>
  <si>
    <t>ucoimbra</t>
  </si>
  <si>
    <t>posvenda</t>
  </si>
  <si>
    <t>kejatijabar posfin ptposfin kajatijabar kejaksaantinggijawabarat</t>
  </si>
  <si>
    <t>cirsf sistemafinanceiro pandemia</t>
  </si>
  <si>
    <t>flower</t>
  </si>
  <si>
    <t>brexit</t>
  </si>
  <si>
    <t>ร้านมุมกะเพรา</t>
  </si>
  <si>
    <t>16:00:03</t>
  </si>
  <si>
    <t>09:58:28</t>
  </si>
  <si>
    <t>14:36:34</t>
  </si>
  <si>
    <t>09:17:22</t>
  </si>
  <si>
    <t>10:25:46</t>
  </si>
  <si>
    <t>14:31:06</t>
  </si>
  <si>
    <t>10:56:52</t>
  </si>
  <si>
    <t>04:45:16</t>
  </si>
  <si>
    <t>05:05:32</t>
  </si>
  <si>
    <t>05:13:28</t>
  </si>
  <si>
    <t>05:27:03</t>
  </si>
  <si>
    <t>05:39:43</t>
  </si>
  <si>
    <t>04:28:54</t>
  </si>
  <si>
    <t>06:15:03</t>
  </si>
  <si>
    <t>06:17:36</t>
  </si>
  <si>
    <t>06:28:25</t>
  </si>
  <si>
    <t>06:44:29</t>
  </si>
  <si>
    <t>06:46:39</t>
  </si>
  <si>
    <t>06:52:39</t>
  </si>
  <si>
    <t>07:08:19</t>
  </si>
  <si>
    <t>07:10:20</t>
  </si>
  <si>
    <t>07:11:31</t>
  </si>
  <si>
    <t>07:20:36</t>
  </si>
  <si>
    <t>07:45:48</t>
  </si>
  <si>
    <t>07:56:27</t>
  </si>
  <si>
    <t>08:24:21</t>
  </si>
  <si>
    <t>08:36:53</t>
  </si>
  <si>
    <t>09:01:45</t>
  </si>
  <si>
    <t>09:14:48</t>
  </si>
  <si>
    <t>09:23:56</t>
  </si>
  <si>
    <t>09:28:48</t>
  </si>
  <si>
    <t>09:34:43</t>
  </si>
  <si>
    <t>09:35:51</t>
  </si>
  <si>
    <t>09:38:40</t>
  </si>
  <si>
    <t>09:41:54</t>
  </si>
  <si>
    <t>09:53:41</t>
  </si>
  <si>
    <t>10:12:02</t>
  </si>
  <si>
    <t>10:13:00</t>
  </si>
  <si>
    <t>10:24:01</t>
  </si>
  <si>
    <t>10:37:31</t>
  </si>
  <si>
    <t>11:10:50</t>
  </si>
  <si>
    <t>11:56:39</t>
  </si>
  <si>
    <t>11:57:04</t>
  </si>
  <si>
    <t>12:09:28</t>
  </si>
  <si>
    <t>12:21:09</t>
  </si>
  <si>
    <t>12:38:24</t>
  </si>
  <si>
    <t>12:40:31</t>
  </si>
  <si>
    <t>12:43:03</t>
  </si>
  <si>
    <t>12:51:35</t>
  </si>
  <si>
    <t>03:27:06</t>
  </si>
  <si>
    <t>12:52:21</t>
  </si>
  <si>
    <t>13:03:45</t>
  </si>
  <si>
    <t>13:06:03</t>
  </si>
  <si>
    <t>13:09:01</t>
  </si>
  <si>
    <t>13:09:43</t>
  </si>
  <si>
    <t>13:10:57</t>
  </si>
  <si>
    <t>13:20:34</t>
  </si>
  <si>
    <t>13:23:11</t>
  </si>
  <si>
    <t>13:29:02</t>
  </si>
  <si>
    <t>13:30:00</t>
  </si>
  <si>
    <t>12:59:18</t>
  </si>
  <si>
    <t>13:39:33</t>
  </si>
  <si>
    <t>13:42:50</t>
  </si>
  <si>
    <t>13:54:08</t>
  </si>
  <si>
    <t>14:07:35</t>
  </si>
  <si>
    <t>14:17:49</t>
  </si>
  <si>
    <t>14:24:58</t>
  </si>
  <si>
    <t>14:25:52</t>
  </si>
  <si>
    <t>03:05:04</t>
  </si>
  <si>
    <t>14:29:34</t>
  </si>
  <si>
    <t>14:38:00</t>
  </si>
  <si>
    <t>14:39:03</t>
  </si>
  <si>
    <t>15:24:15</t>
  </si>
  <si>
    <t>15:25:15</t>
  </si>
  <si>
    <t>05:04:04</t>
  </si>
  <si>
    <t>15:30:21</t>
  </si>
  <si>
    <t>15:31:10</t>
  </si>
  <si>
    <t>15:34:08</t>
  </si>
  <si>
    <t>15:46:29</t>
  </si>
  <si>
    <t>16:16:22</t>
  </si>
  <si>
    <t>16:16:40</t>
  </si>
  <si>
    <t>16:16:49</t>
  </si>
  <si>
    <t>16:17:08</t>
  </si>
  <si>
    <t>16:20:54</t>
  </si>
  <si>
    <t>16:21:59</t>
  </si>
  <si>
    <t>16:22:47</t>
  </si>
  <si>
    <t>16:15:32</t>
  </si>
  <si>
    <t>16:24:12</t>
  </si>
  <si>
    <t>16:45:11</t>
  </si>
  <si>
    <t>15:15:16</t>
  </si>
  <si>
    <t>17:03:24</t>
  </si>
  <si>
    <t>17:24:21</t>
  </si>
  <si>
    <t>17:30:24</t>
  </si>
  <si>
    <t>17:32:42</t>
  </si>
  <si>
    <t>17:34:06</t>
  </si>
  <si>
    <t>17:42:29</t>
  </si>
  <si>
    <t>17:42:32</t>
  </si>
  <si>
    <t>17:42:35</t>
  </si>
  <si>
    <t>17:50:45</t>
  </si>
  <si>
    <t>17:51:01</t>
  </si>
  <si>
    <t>17:51:06</t>
  </si>
  <si>
    <t>17:53:06</t>
  </si>
  <si>
    <t>17:53:32</t>
  </si>
  <si>
    <t>17:54:44</t>
  </si>
  <si>
    <t>17:54:53</t>
  </si>
  <si>
    <t>17:56:09</t>
  </si>
  <si>
    <t>17:56:14</t>
  </si>
  <si>
    <t>18:07:12</t>
  </si>
  <si>
    <t>18:07:19</t>
  </si>
  <si>
    <t>18:09:38</t>
  </si>
  <si>
    <t>18:14:02</t>
  </si>
  <si>
    <t>18:14:21</t>
  </si>
  <si>
    <t>18:19:14</t>
  </si>
  <si>
    <t>18:26:06</t>
  </si>
  <si>
    <t>18:26:34</t>
  </si>
  <si>
    <t>18:28:29</t>
  </si>
  <si>
    <t>18:29:08</t>
  </si>
  <si>
    <t>14:19:16</t>
  </si>
  <si>
    <t>18:40:57</t>
  </si>
  <si>
    <t>13:49:45</t>
  </si>
  <si>
    <t>18:53:07</t>
  </si>
  <si>
    <t>18:53:58</t>
  </si>
  <si>
    <t>18:53:51</t>
  </si>
  <si>
    <t>18:54:00</t>
  </si>
  <si>
    <t>18:54:12</t>
  </si>
  <si>
    <t>19:00:43</t>
  </si>
  <si>
    <t>19:03:03</t>
  </si>
  <si>
    <t>19:04:09</t>
  </si>
  <si>
    <t>19:04:37</t>
  </si>
  <si>
    <t>19:08:32</t>
  </si>
  <si>
    <t>19:29:55</t>
  </si>
  <si>
    <t>13:05:42</t>
  </si>
  <si>
    <t>19:40:27</t>
  </si>
  <si>
    <t>19:46:03</t>
  </si>
  <si>
    <t>20:03:23</t>
  </si>
  <si>
    <t>14:06:38</t>
  </si>
  <si>
    <t>20:05:14</t>
  </si>
  <si>
    <t>20:16:37</t>
  </si>
  <si>
    <t>20:17:57</t>
  </si>
  <si>
    <t>20:21:38</t>
  </si>
  <si>
    <t>20:21:46</t>
  </si>
  <si>
    <t>20:25:54</t>
  </si>
  <si>
    <t>20:26:35</t>
  </si>
  <si>
    <t>20:44:46</t>
  </si>
  <si>
    <t>20:52:02</t>
  </si>
  <si>
    <t>20:55:39</t>
  </si>
  <si>
    <t>21:13:51</t>
  </si>
  <si>
    <t>21:16:20</t>
  </si>
  <si>
    <t>21:44:22</t>
  </si>
  <si>
    <t>22:03:04</t>
  </si>
  <si>
    <t>18:59:50</t>
  </si>
  <si>
    <t>21:20:32</t>
  </si>
  <si>
    <t>22:10:46</t>
  </si>
  <si>
    <t>22:19:14</t>
  </si>
  <si>
    <t>22:36:07</t>
  </si>
  <si>
    <t>22:42:57</t>
  </si>
  <si>
    <t>23:04:11</t>
  </si>
  <si>
    <t>23:10:33</t>
  </si>
  <si>
    <t>23:40:33</t>
  </si>
  <si>
    <t>23:52:30</t>
  </si>
  <si>
    <t>23:52:49</t>
  </si>
  <si>
    <t>23:54:29</t>
  </si>
  <si>
    <t>23:54:38</t>
  </si>
  <si>
    <t>00:03:29</t>
  </si>
  <si>
    <t>00:04:12</t>
  </si>
  <si>
    <t>00:04:41</t>
  </si>
  <si>
    <t>00:07:49</t>
  </si>
  <si>
    <t>00:14:27</t>
  </si>
  <si>
    <t>00:16:06</t>
  </si>
  <si>
    <t>00:16:50</t>
  </si>
  <si>
    <t>00:27:29</t>
  </si>
  <si>
    <t>00:28:01</t>
  </si>
  <si>
    <t>20:16:07</t>
  </si>
  <si>
    <t>00:37:09</t>
  </si>
  <si>
    <t>22:26:52</t>
  </si>
  <si>
    <t>00:38:54</t>
  </si>
  <si>
    <t>00:47:44</t>
  </si>
  <si>
    <t>00:50:21</t>
  </si>
  <si>
    <t>00:53:24</t>
  </si>
  <si>
    <t>01:04:12</t>
  </si>
  <si>
    <t>01:20:42</t>
  </si>
  <si>
    <t>01:26:50</t>
  </si>
  <si>
    <t>01:27:07</t>
  </si>
  <si>
    <t>01:31:49</t>
  </si>
  <si>
    <t>01:32:09</t>
  </si>
  <si>
    <t>10:36:58</t>
  </si>
  <si>
    <t>01:35:25</t>
  </si>
  <si>
    <t>01:43:15</t>
  </si>
  <si>
    <t>01:45:03</t>
  </si>
  <si>
    <t>01:48:31</t>
  </si>
  <si>
    <t>01:49:31</t>
  </si>
  <si>
    <t>01:49:37</t>
  </si>
  <si>
    <t>01:49:49</t>
  </si>
  <si>
    <t>01:49:52</t>
  </si>
  <si>
    <t>08:22:10</t>
  </si>
  <si>
    <t>01:55:10</t>
  </si>
  <si>
    <t>01:55:18</t>
  </si>
  <si>
    <t>00:36:59</t>
  </si>
  <si>
    <t>02:05:39</t>
  </si>
  <si>
    <t>01:35:48</t>
  </si>
  <si>
    <t>02:07:27</t>
  </si>
  <si>
    <t>02:08:50</t>
  </si>
  <si>
    <t>02:09:28</t>
  </si>
  <si>
    <t>02:15:25</t>
  </si>
  <si>
    <t>00:33:00</t>
  </si>
  <si>
    <t>02:15:45</t>
  </si>
  <si>
    <t>02:19:28</t>
  </si>
  <si>
    <t>02:24:25</t>
  </si>
  <si>
    <t>02:32:03</t>
  </si>
  <si>
    <t>02:33:31</t>
  </si>
  <si>
    <t>02:33:39</t>
  </si>
  <si>
    <t>02:33:56</t>
  </si>
  <si>
    <t>02:36:16</t>
  </si>
  <si>
    <t>02:40:25</t>
  </si>
  <si>
    <t>13:47:27</t>
  </si>
  <si>
    <t>02:46:24</t>
  </si>
  <si>
    <t>00:58:37</t>
  </si>
  <si>
    <t>00:59:58</t>
  </si>
  <si>
    <t>02:37:20</t>
  </si>
  <si>
    <t>02:46:47</t>
  </si>
  <si>
    <t>02:50:19</t>
  </si>
  <si>
    <t>02:54:00</t>
  </si>
  <si>
    <t>02:57:53</t>
  </si>
  <si>
    <t>03:11:38</t>
  </si>
  <si>
    <t>03:21:31</t>
  </si>
  <si>
    <t>17:34:52</t>
  </si>
  <si>
    <t>03:34:47</t>
  </si>
  <si>
    <t>03:52:24</t>
  </si>
  <si>
    <t>03:54:43</t>
  </si>
  <si>
    <t>03:48:12</t>
  </si>
  <si>
    <t>04:01:00</t>
  </si>
  <si>
    <t>04:21:01</t>
  </si>
  <si>
    <t>17:28:43</t>
  </si>
  <si>
    <t>17:32:31</t>
  </si>
  <si>
    <t>17:36:14</t>
  </si>
  <si>
    <t>04:31:08</t>
  </si>
  <si>
    <t>04:31:24</t>
  </si>
  <si>
    <t>1439982698836099074</t>
  </si>
  <si>
    <t>1440616477116153861</t>
  </si>
  <si>
    <t>1439961689839988745</t>
  </si>
  <si>
    <t>1440606137343041541</t>
  </si>
  <si>
    <t>1440985736791175173</t>
  </si>
  <si>
    <t>1441772253201326085</t>
  </si>
  <si>
    <t>1442805500735737861</t>
  </si>
  <si>
    <t>1443074374785921026</t>
  </si>
  <si>
    <t>1443079475948777474</t>
  </si>
  <si>
    <t>1443081469593747458</t>
  </si>
  <si>
    <t>1443084888870031362</t>
  </si>
  <si>
    <t>1443088077757497346</t>
  </si>
  <si>
    <t>1443070254406533121</t>
  </si>
  <si>
    <t>1443096969585389569</t>
  </si>
  <si>
    <t>1443097608772222980</t>
  </si>
  <si>
    <t>1443100330921631750</t>
  </si>
  <si>
    <t>1443104376269144065</t>
  </si>
  <si>
    <t>1443104922317189128</t>
  </si>
  <si>
    <t>1443106431423561734</t>
  </si>
  <si>
    <t>1443110373532454912</t>
  </si>
  <si>
    <t>1443110882024701954</t>
  </si>
  <si>
    <t>1443111178390102019</t>
  </si>
  <si>
    <t>1443113467171393537</t>
  </si>
  <si>
    <t>1443119808455667717</t>
  </si>
  <si>
    <t>1443122488590831619</t>
  </si>
  <si>
    <t>1443129509662822402</t>
  </si>
  <si>
    <t>1443132663376744449</t>
  </si>
  <si>
    <t>1443138921869709316</t>
  </si>
  <si>
    <t>1443142205237956611</t>
  </si>
  <si>
    <t>1443144501686571009</t>
  </si>
  <si>
    <t>1443145728977604614</t>
  </si>
  <si>
    <t>1443147216290340865</t>
  </si>
  <si>
    <t>1443147502203641859</t>
  </si>
  <si>
    <t>1443148211103830020</t>
  </si>
  <si>
    <t>1443149026334056451</t>
  </si>
  <si>
    <t>1443151988254855170</t>
  </si>
  <si>
    <t>1443156609497112579</t>
  </si>
  <si>
    <t>1443156850640363525</t>
  </si>
  <si>
    <t>1443159622198730755</t>
  </si>
  <si>
    <t>1443163021791141889</t>
  </si>
  <si>
    <t>1443171405747703815</t>
  </si>
  <si>
    <t>1443182933913784321</t>
  </si>
  <si>
    <t>1443183039497089025</t>
  </si>
  <si>
    <t>1443186162877693954</t>
  </si>
  <si>
    <t>1443189101801267202</t>
  </si>
  <si>
    <t>1443193440691310602</t>
  </si>
  <si>
    <t>1443193972948566019</t>
  </si>
  <si>
    <t>1443194613045481473</t>
  </si>
  <si>
    <t>1443196758792806401</t>
  </si>
  <si>
    <t>1426022474538311682</t>
  </si>
  <si>
    <t>1443196952502407177</t>
  </si>
  <si>
    <t>1443199819724451844</t>
  </si>
  <si>
    <t>1443200401801576451</t>
  </si>
  <si>
    <t>1443201148169588739</t>
  </si>
  <si>
    <t>1443201324888117251</t>
  </si>
  <si>
    <t>1443201631844069389</t>
  </si>
  <si>
    <t>1443204054713311232</t>
  </si>
  <si>
    <t>1443204712094863360</t>
  </si>
  <si>
    <t>1443206183708348419</t>
  </si>
  <si>
    <t>1443206429565882372</t>
  </si>
  <si>
    <t>1443198701665538054</t>
  </si>
  <si>
    <t>1443208831152967684</t>
  </si>
  <si>
    <t>1443209658563497992</t>
  </si>
  <si>
    <t>1443212503060828163</t>
  </si>
  <si>
    <t>1443215887146835975</t>
  </si>
  <si>
    <t>1443218459781959691</t>
  </si>
  <si>
    <t>1443220262367924227</t>
  </si>
  <si>
    <t>1443220487820255234</t>
  </si>
  <si>
    <t>1443049158831534082</t>
  </si>
  <si>
    <t>1443221419144343554</t>
  </si>
  <si>
    <t>1443223541810302976</t>
  </si>
  <si>
    <t>1443223806152097794</t>
  </si>
  <si>
    <t>1443235179431186434</t>
  </si>
  <si>
    <t>1443235430896386053</t>
  </si>
  <si>
    <t>1443079106464083971</t>
  </si>
  <si>
    <t>1443236712784695297</t>
  </si>
  <si>
    <t>1443236921744973831</t>
  </si>
  <si>
    <t>1443237667437699078</t>
  </si>
  <si>
    <t>1443240773391163401</t>
  </si>
  <si>
    <t>1443248294277234691</t>
  </si>
  <si>
    <t>1443248371930525696</t>
  </si>
  <si>
    <t>1443248408404189185</t>
  </si>
  <si>
    <t>1443248488465133570</t>
  </si>
  <si>
    <t>1443249434284867584</t>
  </si>
  <si>
    <t>1443249708311343104</t>
  </si>
  <si>
    <t>1443249911911391236</t>
  </si>
  <si>
    <t>1443248083937103873</t>
  </si>
  <si>
    <t>1443250264664797190</t>
  </si>
  <si>
    <t>1443255545172041733</t>
  </si>
  <si>
    <t>1443232918529314825</t>
  </si>
  <si>
    <t>1443260132536750080</t>
  </si>
  <si>
    <t>1443265402826465284</t>
  </si>
  <si>
    <t>1443266924885024768</t>
  </si>
  <si>
    <t>1443267504730685443</t>
  </si>
  <si>
    <t>1443267857807151105</t>
  </si>
  <si>
    <t>1443269968016003072</t>
  </si>
  <si>
    <t>1443269981672669185</t>
  </si>
  <si>
    <t>1443269994180071426</t>
  </si>
  <si>
    <t>1443272047149268992</t>
  </si>
  <si>
    <t>1443272114740416512</t>
  </si>
  <si>
    <t>1443272134805975040</t>
  </si>
  <si>
    <t>1443272640760741889</t>
  </si>
  <si>
    <t>1443272749053460481</t>
  </si>
  <si>
    <t>1443273051588608000</t>
  </si>
  <si>
    <t>1443273088389369859</t>
  </si>
  <si>
    <t>1443273406493851648</t>
  </si>
  <si>
    <t>1443273428459393024</t>
  </si>
  <si>
    <t>1443276187476783104</t>
  </si>
  <si>
    <t>1443276217638031360</t>
  </si>
  <si>
    <t>1443276800465858561</t>
  </si>
  <si>
    <t>1443277908970070017</t>
  </si>
  <si>
    <t>1443277987445567490</t>
  </si>
  <si>
    <t>1443279216938782720</t>
  </si>
  <si>
    <t>1443280944627019776</t>
  </si>
  <si>
    <t>1443281062885425157</t>
  </si>
  <si>
    <t>1443281542134972422</t>
  </si>
  <si>
    <t>1443281707361193984</t>
  </si>
  <si>
    <t>1443218826871640064</t>
  </si>
  <si>
    <t>1443284681286377480</t>
  </si>
  <si>
    <t>1443211397278617601</t>
  </si>
  <si>
    <t>1443287742243381259</t>
  </si>
  <si>
    <t>1443287957075550211</t>
  </si>
  <si>
    <t>1443287929040769024</t>
  </si>
  <si>
    <t>1443287963622789121</t>
  </si>
  <si>
    <t>1443288014927523842</t>
  </si>
  <si>
    <t>1443289656762802193</t>
  </si>
  <si>
    <t>1443290243155861504</t>
  </si>
  <si>
    <t>1443290521267494915</t>
  </si>
  <si>
    <t>1443290635411226631</t>
  </si>
  <si>
    <t>1443290673889697795</t>
  </si>
  <si>
    <t>1443291624046579722</t>
  </si>
  <si>
    <t>1443297005636358146</t>
  </si>
  <si>
    <t>1443200311984893974</t>
  </si>
  <si>
    <t>1443299653664092161</t>
  </si>
  <si>
    <t>1443200314140766213</t>
  </si>
  <si>
    <t>1443299655555616781</t>
  </si>
  <si>
    <t>1443301064468570113</t>
  </si>
  <si>
    <t>1443305425609318410</t>
  </si>
  <si>
    <t>1443215645894717442</t>
  </si>
  <si>
    <t>1443305891747483655</t>
  </si>
  <si>
    <t>1443308754775183366</t>
  </si>
  <si>
    <t>1443309092580347907</t>
  </si>
  <si>
    <t>1443310017755717632</t>
  </si>
  <si>
    <t>1443310053109469187</t>
  </si>
  <si>
    <t>1443311093351428097</t>
  </si>
  <si>
    <t>1443311263627546637</t>
  </si>
  <si>
    <t>1443315840150130691</t>
  </si>
  <si>
    <t>1443317669218996241</t>
  </si>
  <si>
    <t>1443318580565745668</t>
  </si>
  <si>
    <t>1443323160791748608</t>
  </si>
  <si>
    <t>1443323783994089476</t>
  </si>
  <si>
    <t>1443330837848772614</t>
  </si>
  <si>
    <t>1443335547007688706</t>
  </si>
  <si>
    <t>1443289431620919296</t>
  </si>
  <si>
    <t>1443324840958627842</t>
  </si>
  <si>
    <t>1443337484180631554</t>
  </si>
  <si>
    <t>1443339615226662914</t>
  </si>
  <si>
    <t>1443343860604850176</t>
  </si>
  <si>
    <t>1443345581993304065</t>
  </si>
  <si>
    <t>1443350923665809410</t>
  </si>
  <si>
    <t>1443352508785565699</t>
  </si>
  <si>
    <t>1443352529148932102</t>
  </si>
  <si>
    <t>1443360076417302530</t>
  </si>
  <si>
    <t>1443363084282720256</t>
  </si>
  <si>
    <t>1443363165111152641</t>
  </si>
  <si>
    <t>1443363585573343234</t>
  </si>
  <si>
    <t>1443363623850504201</t>
  </si>
  <si>
    <t>1443365849788817412</t>
  </si>
  <si>
    <t>1443366027841060869</t>
  </si>
  <si>
    <t>1443366150063091720</t>
  </si>
  <si>
    <t>1443366941603909636</t>
  </si>
  <si>
    <t>1443368610185973764</t>
  </si>
  <si>
    <t>1443369025002622979</t>
  </si>
  <si>
    <t>1443369208872509440</t>
  </si>
  <si>
    <t>1443371888932130816</t>
  </si>
  <si>
    <t>1443372022495592456</t>
  </si>
  <si>
    <t>1443308628971294722</t>
  </si>
  <si>
    <t>1443374319875366915</t>
  </si>
  <si>
    <t>1443341533508419584</t>
  </si>
  <si>
    <t>1443374761757880322</t>
  </si>
  <si>
    <t>1443376984927571968</t>
  </si>
  <si>
    <t>1443377642196152321</t>
  </si>
  <si>
    <t>1443378409803956228</t>
  </si>
  <si>
    <t>1443381130791641089</t>
  </si>
  <si>
    <t>1443385279398780934</t>
  </si>
  <si>
    <t>1443386824261443590</t>
  </si>
  <si>
    <t>1443386894201491464</t>
  </si>
  <si>
    <t>1443388080665231368</t>
  </si>
  <si>
    <t>1443388164513558529</t>
  </si>
  <si>
    <t>1443162884335288326</t>
  </si>
  <si>
    <t>1443388986303533058</t>
  </si>
  <si>
    <t>1443390955126542336</t>
  </si>
  <si>
    <t>1443391410909192195</t>
  </si>
  <si>
    <t>1443392283194183686</t>
  </si>
  <si>
    <t>1443392534244298755</t>
  </si>
  <si>
    <t>1443392557841485825</t>
  </si>
  <si>
    <t>1443392608357650434</t>
  </si>
  <si>
    <t>1443392620558831620</t>
  </si>
  <si>
    <t>1443128959718232064</t>
  </si>
  <si>
    <t>1443393953240260610</t>
  </si>
  <si>
    <t>1443393988770222080</t>
  </si>
  <si>
    <t>1443395609965121539</t>
  </si>
  <si>
    <t>1443374277730844675</t>
  </si>
  <si>
    <t>1443396593839837190</t>
  </si>
  <si>
    <t>1443389080222404610</t>
  </si>
  <si>
    <t>1443397045377658884</t>
  </si>
  <si>
    <t>1443397392288534531</t>
  </si>
  <si>
    <t>1443397554603839488</t>
  </si>
  <si>
    <t>1443399052717084673</t>
  </si>
  <si>
    <t>1443373278521741312</t>
  </si>
  <si>
    <t>1443399135797735424</t>
  </si>
  <si>
    <t>1443400071609946115</t>
  </si>
  <si>
    <t>1443401314168279042</t>
  </si>
  <si>
    <t>1443403236736569346</t>
  </si>
  <si>
    <t>1443403607211057153</t>
  </si>
  <si>
    <t>1443403640291528712</t>
  </si>
  <si>
    <t>1443403712840486918</t>
  </si>
  <si>
    <t>1443404298277113865</t>
  </si>
  <si>
    <t>1443405340947582980</t>
  </si>
  <si>
    <t>1443210818192089094</t>
  </si>
  <si>
    <t>1443406848443523077</t>
  </si>
  <si>
    <t>1443379722910507011</t>
  </si>
  <si>
    <t>1443380062980435970</t>
  </si>
  <si>
    <t>1443404568570712067</t>
  </si>
  <si>
    <t>1443406944283230212</t>
  </si>
  <si>
    <t>1443407833706287112</t>
  </si>
  <si>
    <t>1443408759351615494</t>
  </si>
  <si>
    <t>1443409737761099777</t>
  </si>
  <si>
    <t>1443413197025734660</t>
  </si>
  <si>
    <t>1443415684009111553</t>
  </si>
  <si>
    <t>1443415727499739142</t>
  </si>
  <si>
    <t>1443268052368384002</t>
  </si>
  <si>
    <t>1443419024357040128</t>
  </si>
  <si>
    <t>1443423456997961728</t>
  </si>
  <si>
    <t>1443424042191495176</t>
  </si>
  <si>
    <t>1443422400654102532</t>
  </si>
  <si>
    <t>1443425622932353027</t>
  </si>
  <si>
    <t>1443231946381926402</t>
  </si>
  <si>
    <t>1443430658106433538</t>
  </si>
  <si>
    <t>1443266503743139844</t>
  </si>
  <si>
    <t>1443267457129467904</t>
  </si>
  <si>
    <t>1443268392996139009</t>
  </si>
  <si>
    <t>1443433205957152769</t>
  </si>
  <si>
    <t>1443433270742433794</t>
  </si>
  <si>
    <t>1439975285080801284</t>
  </si>
  <si>
    <t>1440616091181477893</t>
  </si>
  <si>
    <t>1443074371275292675</t>
  </si>
  <si>
    <t>1443086323997364230</t>
  </si>
  <si>
    <t>1443103955890814982</t>
  </si>
  <si>
    <t>1443106673539698688</t>
  </si>
  <si>
    <t>1443119803187679232</t>
  </si>
  <si>
    <t>1443122483175981059</t>
  </si>
  <si>
    <t>1443127033769381888</t>
  </si>
  <si>
    <t>1443132308345671680</t>
  </si>
  <si>
    <t>1443142203044368386</t>
  </si>
  <si>
    <t>1443145714226253827</t>
  </si>
  <si>
    <t>1442861687204241408</t>
  </si>
  <si>
    <t>1442879455823859718</t>
  </si>
  <si>
    <t>1443149339975569409</t>
  </si>
  <si>
    <t>1442920677254729732</t>
  </si>
  <si>
    <t>1443182711259140098</t>
  </si>
  <si>
    <t>1443185870245298186</t>
  </si>
  <si>
    <t>1443188769981558786</t>
  </si>
  <si>
    <t>1443200079871954948</t>
  </si>
  <si>
    <t>1443197160145698821</t>
  </si>
  <si>
    <t>1443213747317886982</t>
  </si>
  <si>
    <t>1443235378765389825</t>
  </si>
  <si>
    <t>1443239642866798596</t>
  </si>
  <si>
    <t>1443263568644878339</t>
  </si>
  <si>
    <t>1443271965880602632</t>
  </si>
  <si>
    <t>1443211778440192002</t>
  </si>
  <si>
    <t>1443280670856564737</t>
  </si>
  <si>
    <t>1443287955221647366</t>
  </si>
  <si>
    <t>1443300204803932163</t>
  </si>
  <si>
    <t>1443268316970237960</t>
  </si>
  <si>
    <t>1443219530323484675</t>
  </si>
  <si>
    <t>1443232659795230728</t>
  </si>
  <si>
    <t>1443320638052110351</t>
  </si>
  <si>
    <t>1443172590797811717</t>
  </si>
  <si>
    <t>1443383578549755906</t>
  </si>
  <si>
    <t>1443378610258288641</t>
  </si>
  <si>
    <t>1443243791826231303</t>
  </si>
  <si>
    <t>1443378870284165123</t>
  </si>
  <si>
    <t>1443409594311708676</t>
  </si>
  <si>
    <t>1443409189741547520</t>
  </si>
  <si>
    <t>1443241690387603458</t>
  </si>
  <si>
    <t>1443417185175494657</t>
  </si>
  <si>
    <t>1349359086727426050</t>
  </si>
  <si>
    <t>1273887022235578368</t>
  </si>
  <si>
    <t>88593647</t>
  </si>
  <si>
    <t>1310013331944681473</t>
  </si>
  <si>
    <t>89326335</t>
  </si>
  <si>
    <t>130340405</t>
  </si>
  <si>
    <t>2270215470</t>
  </si>
  <si>
    <t>842308754666344448</t>
  </si>
  <si>
    <t>1173959195864907784</t>
  </si>
  <si>
    <t>1440242759017713664</t>
  </si>
  <si>
    <t>130152356</t>
  </si>
  <si>
    <t>358342365</t>
  </si>
  <si>
    <t>1471454606</t>
  </si>
  <si>
    <t>826655671416401921</t>
  </si>
  <si>
    <t>827266153</t>
  </si>
  <si>
    <t>1023970020802486272</t>
  </si>
  <si>
    <t>1336152831041028096</t>
  </si>
  <si>
    <t>1382501820522582017</t>
  </si>
  <si>
    <t>1376356167560093700</t>
  </si>
  <si>
    <t>1105097828022603776</t>
  </si>
  <si>
    <t>2389795748</t>
  </si>
  <si>
    <t>59150875</t>
  </si>
  <si>
    <t>2823869072</t>
  </si>
  <si>
    <t>3090382647</t>
  </si>
  <si>
    <t>157075827</t>
  </si>
  <si>
    <t>275729465</t>
  </si>
  <si>
    <t>29024401</t>
  </si>
  <si>
    <t>1262852157885353989</t>
  </si>
  <si>
    <t>1744241364</t>
  </si>
  <si>
    <t>1405458368609800192</t>
  </si>
  <si>
    <t>162819248</t>
  </si>
  <si>
    <t>48180463</t>
  </si>
  <si>
    <t>1028626005336965121</t>
  </si>
  <si>
    <t>1282869860767129600</t>
  </si>
  <si>
    <t>1248043816323612679</t>
  </si>
  <si>
    <t>2349339355</t>
  </si>
  <si>
    <t>96572253</t>
  </si>
  <si>
    <t>fr</t>
  </si>
  <si>
    <t>1441585731080654848</t>
  </si>
  <si>
    <t>1443072880359653382</t>
  </si>
  <si>
    <t>1443349698392334341</t>
  </si>
  <si>
    <t>Investor Daily</t>
  </si>
  <si>
    <t>Digital Marketing Bot</t>
  </si>
  <si>
    <t>cctweeting</t>
  </si>
  <si>
    <t>roltweet</t>
  </si>
  <si>
    <t>EngageManager</t>
  </si>
  <si>
    <t>Alguém ficou sabendo</t>
  </si>
  <si>
    <t>-9,2298264,38,6913748 
-9,0901639,38,6913748 
-9,0901639,38,7958529 
-9,2298264,38,7958529</t>
  </si>
  <si>
    <t>106,127458,-6,172153 
106,220372,-6,172153 
106,220372,-6,097427 
106,127458,-6,097427</t>
  </si>
  <si>
    <t>112,581564,-8,032391 
112,635586,-8,032391 
112,635586,-7,947026 
112,581564,-7,947026</t>
  </si>
  <si>
    <t>110,346283,-7,172963 
110,501512,-7,172963 
110,501512,-7,0502248 
110,346283,-7,0502248</t>
  </si>
  <si>
    <t>PT</t>
  </si>
  <si>
    <t>Cipocok Jaya, Indonesia</t>
  </si>
  <si>
    <t>Sukun, Indonesia</t>
  </si>
  <si>
    <t>c1430b24da8e9229</t>
  </si>
  <si>
    <t>ac27dd716bc6aad5</t>
  </si>
  <si>
    <t>e4d3eb9106fe011f</t>
  </si>
  <si>
    <t>cfa79d6dc1e95750</t>
  </si>
  <si>
    <t>Cipocok Jaya</t>
  </si>
  <si>
    <t>Sukun</t>
  </si>
  <si>
    <t>Ungaran</t>
  </si>
  <si>
    <t>🦄</t>
  </si>
  <si>
    <t>dayah slow reply</t>
  </si>
  <si>
    <t>iam.evansanders(lagi di insert) !</t>
  </si>
  <si>
    <t>ini asem</t>
  </si>
  <si>
    <t>Ryuk Shin Bigwin aamiin 🇮🇩</t>
  </si>
  <si>
    <t>bev🌟🪐</t>
  </si>
  <si>
    <t>OPEN DM - BASE RASA CRUSH</t>
  </si>
  <si>
    <t>qy🧋| help rt pinned! 📌</t>
  </si>
  <si>
    <t>Wawa || 💙🤍</t>
  </si>
  <si>
    <t>이용복 sya 🐥</t>
  </si>
  <si>
    <t>avo ↯</t>
  </si>
  <si>
    <t>anjay jual jajan enak! IG: snackzone.co</t>
  </si>
  <si>
    <t>dudia</t>
  </si>
  <si>
    <t>Elderson Cunha 1️⃣2️⃣🌹🏳️‍🌈👨‍❤️‍👨🛢️🛢️</t>
  </si>
  <si>
    <t>ESSAlcoitão</t>
  </si>
  <si>
    <t>𝓦𝓲𝓷𝓽𝓮𝓻 ❄️</t>
  </si>
  <si>
    <t>weena ✿</t>
  </si>
  <si>
    <t>fiy (sara day)</t>
  </si>
  <si>
    <t>im the alien hobi flirting with | 🇵🇸</t>
  </si>
  <si>
    <t>rein⁷ ♡ | dalmajung mini pc 📌</t>
  </si>
  <si>
    <t>gab | nad's day</t>
  </si>
  <si>
    <t>jeno lee</t>
  </si>
  <si>
    <t>Pasar EXO 🇲🇾</t>
  </si>
  <si>
    <t>manilo</t>
  </si>
  <si>
    <t>Novi bigwin🍀🍀🍀</t>
  </si>
  <si>
    <t>NFT PROMOTER🚀</t>
  </si>
  <si>
    <t>yen | sya's day ! ❤️</t>
  </si>
  <si>
    <t>just finished 2 weeks of hell</t>
  </si>
  <si>
    <t>farina 🖤</t>
  </si>
  <si>
    <t>salvie ♡s luca • 74/90</t>
  </si>
  <si>
    <t>AA💳 giveaway 📌</t>
  </si>
  <si>
    <t>えるま@理学療法士 訪問看護@独立する</t>
  </si>
  <si>
    <t>Bae Treechada Suzy Petcharat</t>
  </si>
  <si>
    <t>Dee⚡️| GA 📌</t>
  </si>
  <si>
    <t>🌚BACA RULES🌚</t>
  </si>
  <si>
    <t>|| Jie ✨ || 傑 ||</t>
  </si>
  <si>
    <t>SINDOnews</t>
  </si>
  <si>
    <t>MNC Trijaya 104.6 FM</t>
  </si>
  <si>
    <t>Naynay</t>
  </si>
  <si>
    <t>aida (baca bio)</t>
  </si>
  <si>
    <t>Netuno 🏳️‍🌈 💙🎮♋🐻</t>
  </si>
  <si>
    <t>Marilyn</t>
  </si>
  <si>
    <t>Tangsel Pos</t>
  </si>
  <si>
    <t>Mantrans_</t>
  </si>
  <si>
    <t>HM</t>
  </si>
  <si>
    <t>Adalilah</t>
  </si>
  <si>
    <t>🥜🦋⁷</t>
  </si>
  <si>
    <t>Dedy Bagus Prakasa</t>
  </si>
  <si>
    <t>Farchan Noor Rachman</t>
  </si>
  <si>
    <t>Tuni Stark #FreePalestine 🇵🇸</t>
  </si>
  <si>
    <t>AZ®EEN RAUB</t>
  </si>
  <si>
    <t>DIGITAL BOT</t>
  </si>
  <si>
    <t>aaaaiiiinnnnaaaa</t>
  </si>
  <si>
    <t>Jual Obat Herbal Bisa COD dan Gratis Ongkir 🤝📦💯</t>
  </si>
  <si>
    <t>vademetroananas 🏳️‍🌈🐹🍍</t>
  </si>
  <si>
    <t>paulo z. gomes</t>
  </si>
  <si>
    <t>Pedro Patricio</t>
  </si>
  <si>
    <t>minn</t>
  </si>
  <si>
    <t>Fahim</t>
  </si>
  <si>
    <t>SWA Media Inc.</t>
  </si>
  <si>
    <t>madugibran.bandung</t>
  </si>
  <si>
    <t>Julyanne Wy</t>
  </si>
  <si>
    <t>BeritaSatu</t>
  </si>
  <si>
    <t>Jorge Pinto</t>
  </si>
  <si>
    <t>Fslrd</t>
  </si>
  <si>
    <t>Agnest•</t>
  </si>
  <si>
    <t>Cezar kr🇧🇷</t>
  </si>
  <si>
    <t>Guilherme Amado</t>
  </si>
  <si>
    <t>Gui Marrocos 🏴</t>
  </si>
  <si>
    <t>Graxin</t>
  </si>
  <si>
    <t>Milícia Digital 🇧🇷🇪🇦🇮🇱</t>
  </si>
  <si>
    <t>Sheikh Mohd Khan</t>
  </si>
  <si>
    <t>Alifffffff</t>
  </si>
  <si>
    <t>postolmas</t>
  </si>
  <si>
    <t>CoverCouch</t>
  </si>
  <si>
    <t>Leandro Borges</t>
  </si>
  <si>
    <t>Janaína Lima</t>
  </si>
  <si>
    <t>Fabiano Mendonça</t>
  </si>
  <si>
    <t>Nicole waissmann</t>
  </si>
  <si>
    <t>Jéssica Balbino</t>
  </si>
  <si>
    <t>나릿 / ia for while due to uni stuffs</t>
  </si>
  <si>
    <t>qi</t>
  </si>
  <si>
    <t>teha ia for school 🧸</t>
  </si>
  <si>
    <t>Muhammad Fitri</t>
  </si>
  <si>
    <t>Republika.co.id</t>
  </si>
  <si>
    <t>Jornal de Notícias</t>
  </si>
  <si>
    <t>Fundação do Desporto</t>
  </si>
  <si>
    <t>trsr my 🇲🇾</t>
  </si>
  <si>
    <t>𝐦𝐢𝐦𝐢𝐧 ♡</t>
  </si>
  <si>
    <t>*+:｡.｡ rina || moved!!check pin 📌 ｡.｡:+*</t>
  </si>
  <si>
    <t>faqihah¹²⁷</t>
  </si>
  <si>
    <t>JJ-Han 🐝📢💗</t>
  </si>
  <si>
    <t>José Cunha</t>
  </si>
  <si>
    <t>André Ventura</t>
  </si>
  <si>
    <t>Charlie Brown</t>
  </si>
  <si>
    <t>Santolas</t>
  </si>
  <si>
    <t>Pedro Filipe Vasconcelos</t>
  </si>
  <si>
    <t>LA VIE EST BELLE</t>
  </si>
  <si>
    <t>AgênciaiNfoSalesiana</t>
  </si>
  <si>
    <t>VALENÇA DO MINHO</t>
  </si>
  <si>
    <t>Adventistas Brasil</t>
  </si>
  <si>
    <t>radaraktualdotcom</t>
  </si>
  <si>
    <t>Cileno A Figueiredo</t>
  </si>
  <si>
    <t>Ádis</t>
  </si>
  <si>
    <t>Arthur Lopes</t>
  </si>
  <si>
    <t>Andre Guerrero</t>
  </si>
  <si>
    <t>Caio Marques</t>
  </si>
  <si>
    <t>ウマ娘プロジェクト公式アカウント</t>
  </si>
  <si>
    <t>Lizette_747 🎨 | ALBUM CUTIE 🍀✨</t>
  </si>
  <si>
    <t>grow</t>
  </si>
  <si>
    <t>Universidade de Coimbra</t>
  </si>
  <si>
    <t>Pós-Venda</t>
  </si>
  <si>
    <t>SULTANTV</t>
  </si>
  <si>
    <t>kantorpos</t>
  </si>
  <si>
    <t>Aep</t>
  </si>
  <si>
    <t>Kejaksaan RI</t>
  </si>
  <si>
    <t>Kejati Jabar</t>
  </si>
  <si>
    <t>ECO</t>
  </si>
  <si>
    <t>Mana 🚩🆘 ⭐🌈</t>
  </si>
  <si>
    <t>Guilherme santos</t>
  </si>
  <si>
    <t>Pedro</t>
  </si>
  <si>
    <t>Gabriela Vinhal</t>
  </si>
  <si>
    <t>Renato Souza</t>
  </si>
  <si>
    <t>dann✨ | STREAM DEJA VU</t>
  </si>
  <si>
    <t>ikaaa ⧖</t>
  </si>
  <si>
    <t>nat</t>
  </si>
  <si>
    <t>Vv 💛💜 (hvg finals:')</t>
  </si>
  <si>
    <t>umai || exol &amp; atiny 🍒</t>
  </si>
  <si>
    <t>𝙬𝙖𝙣𝙞 ღ</t>
  </si>
  <si>
    <t>wani 🍀 🐥 😩</t>
  </si>
  <si>
    <t>CASCAIS24</t>
  </si>
  <si>
    <t>ari. Deja Vu</t>
  </si>
  <si>
    <t>Andréia</t>
  </si>
  <si>
    <t>Luis Batista</t>
  </si>
  <si>
    <t>𝐀𝐥𝐞𝐩𝐩❤️</t>
  </si>
  <si>
    <t>CMVM - Comissão do Mercado de Valores Mobiliários</t>
  </si>
  <si>
    <t>Márcio Castelo Branco 🙏🇧🇷🙏</t>
  </si>
  <si>
    <t>SBC Científico</t>
  </si>
  <si>
    <t>Marcelo Queiroga</t>
  </si>
  <si>
    <t>c--</t>
  </si>
  <si>
    <t>NANA 🦄</t>
  </si>
  <si>
    <t>🧚🏻‍♀️ ELLA 🧚🏻‍♀️</t>
  </si>
  <si>
    <t>asha</t>
  </si>
  <si>
    <t>farah🌹</t>
  </si>
  <si>
    <t>𝓣𝔂 (⦁ᴗ⦁) | TERTAEYONG-TAEYONG</t>
  </si>
  <si>
    <t>shella🌻</t>
  </si>
  <si>
    <t>Antônio Sérgio</t>
  </si>
  <si>
    <t>Jornalistas Livres</t>
  </si>
  <si>
    <t>nono transfer service ♡</t>
  </si>
  <si>
    <t>sby</t>
  </si>
  <si>
    <t>Ester</t>
  </si>
  <si>
    <t>Jander Rodrigues''</t>
  </si>
  <si>
    <t>sarah ❥</t>
  </si>
  <si>
    <t>BIBLIOTECA DO IPPUR/UFRJ</t>
  </si>
  <si>
    <t>Marcinha Boar🦉#luto</t>
  </si>
  <si>
    <t>♓︎</t>
  </si>
  <si>
    <t>Carlos Bianchi</t>
  </si>
  <si>
    <t>Gio</t>
  </si>
  <si>
    <t>Marcio Campos</t>
  </si>
  <si>
    <t>Senador Alessandro Vieira</t>
  </si>
  <si>
    <t>Mauricio Pereira Rosa</t>
  </si>
  <si>
    <t>☭ Ⓐ Edwin Fox 🏳️‍🌈</t>
  </si>
  <si>
    <t>🇧🇷Roberto Bezerra</t>
  </si>
  <si>
    <t>Caveira PT</t>
  </si>
  <si>
    <t>🇧🇷VALDENIZO BATISTA🇧🇷</t>
  </si>
  <si>
    <t>Soy Nada</t>
  </si>
  <si>
    <t>Gremista Frustrada</t>
  </si>
  <si>
    <t>biabionica - PICANHA, CERVEJA &amp; LULA</t>
  </si>
  <si>
    <t>Alguém ficou sabendo!</t>
  </si>
  <si>
    <t>Edicarlos</t>
  </si>
  <si>
    <t>Gy</t>
  </si>
  <si>
    <t>Cristina Oliveira♥️💫✊</t>
  </si>
  <si>
    <t>João Bosco Rocha</t>
  </si>
  <si>
    <t>José Mesquita</t>
  </si>
  <si>
    <t>Chico Pinheiro</t>
  </si>
  <si>
    <t>Ruy Farias Barbosa</t>
  </si>
  <si>
    <t>Bruno Castilho</t>
  </si>
  <si>
    <t>Douglas B. A.</t>
  </si>
  <si>
    <t>kαrl center 27/45</t>
  </si>
  <si>
    <t>N. M. Baudelaire</t>
  </si>
  <si>
    <t>FORA BOLSONARO!</t>
  </si>
  <si>
    <t>Costa Jr</t>
  </si>
  <si>
    <t>Angela Rosane</t>
  </si>
  <si>
    <t>zati ♡</t>
  </si>
  <si>
    <t>patcampos</t>
  </si>
  <si>
    <t>Lu 🇧🇷</t>
  </si>
  <si>
    <t>Julene</t>
  </si>
  <si>
    <t>yochi 🐣</t>
  </si>
  <si>
    <t>🧸</t>
  </si>
  <si>
    <t>iza 🌹 finding atiny moots</t>
  </si>
  <si>
    <t>𝐭𝐲.</t>
  </si>
  <si>
    <t>wafa</t>
  </si>
  <si>
    <t>Andrea Goes</t>
  </si>
  <si>
    <t>‎ً</t>
  </si>
  <si>
    <t>Antoniel</t>
  </si>
  <si>
    <t>e'en no bias era 🤸‍♀️|| ✧ D:D ✧</t>
  </si>
  <si>
    <t>clodism</t>
  </si>
  <si>
    <t>Christopher Santos 🤙🏾</t>
  </si>
  <si>
    <t>l .........a.......u........r.......a</t>
  </si>
  <si>
    <t>Rejane Yara Silva</t>
  </si>
  <si>
    <t>lyn☆</t>
  </si>
  <si>
    <t>Ana Paula Seabra Pedro</t>
  </si>
  <si>
    <t>SIC</t>
  </si>
  <si>
    <t>TVI</t>
  </si>
  <si>
    <t>SPORT TV</t>
  </si>
  <si>
    <t>João Alexandre</t>
  </si>
  <si>
    <t>Jonny Purwanto</t>
  </si>
  <si>
    <t>Michelle Neves</t>
  </si>
  <si>
    <t>Rigardo</t>
  </si>
  <si>
    <t>André Trigueiro</t>
  </si>
  <si>
    <t>GloboNews</t>
  </si>
  <si>
    <t>૮ ˶ᵔ ᵕ ᵔ˶ ა</t>
  </si>
  <si>
    <t>Ju 🐙</t>
  </si>
  <si>
    <t>Camilo Rocha</t>
  </si>
  <si>
    <t>Gabriela Biló</t>
  </si>
  <si>
    <t>leandro prado</t>
  </si>
  <si>
    <t>Filipe</t>
  </si>
  <si>
    <t>hee 🍩</t>
  </si>
  <si>
    <t>,</t>
  </si>
  <si>
    <t>Ain is possessed</t>
  </si>
  <si>
    <t>ecaa</t>
  </si>
  <si>
    <t>(💗˘◡˘💗)</t>
  </si>
  <si>
    <t>shopee acc : flowers.gie</t>
  </si>
  <si>
    <t>Miaaa🧸</t>
  </si>
  <si>
    <t>🦋</t>
  </si>
  <si>
    <t>Josemar Alves</t>
  </si>
  <si>
    <t>iwin wts 📌 giveaway</t>
  </si>
  <si>
    <t>_rshdx81</t>
  </si>
  <si>
    <t>aten is in semi ia</t>
  </si>
  <si>
    <t>alya 🧸</t>
  </si>
  <si>
    <t>piqa ♡︎ wts pinned📌</t>
  </si>
  <si>
    <t>trisya</t>
  </si>
  <si>
    <t>Rebecca Berger</t>
  </si>
  <si>
    <t>Cleveland Clinic IM</t>
  </si>
  <si>
    <t>Med Peds Hospitalist</t>
  </si>
  <si>
    <t>Chris Heinrich</t>
  </si>
  <si>
    <t>wawa | 아갓츄</t>
  </si>
  <si>
    <t>Fulltime Sijeunieee</t>
  </si>
  <si>
    <t>Euronews Português</t>
  </si>
  <si>
    <t>Ana Lucia Marchetti</t>
  </si>
  <si>
    <t>Hary Tanoesoedibjo</t>
  </si>
  <si>
    <t>lignum</t>
  </si>
  <si>
    <t>sarahay | wts nct pc📌</t>
  </si>
  <si>
    <t>Mintainfo</t>
  </si>
  <si>
    <t>du 🤪</t>
  </si>
  <si>
    <t>raparigota 🧚‍♀️</t>
  </si>
  <si>
    <t>ㅍㅈㄴ</t>
  </si>
  <si>
    <t>Rosana🆘️🇧🇷</t>
  </si>
  <si>
    <t>piu wawawax here!</t>
  </si>
  <si>
    <t>Marli Silveira</t>
  </si>
  <si>
    <t>Maria A S V Pereira🇧🇷💕🐾</t>
  </si>
  <si>
    <t>Wendy Weintraub 2026 🇧🇷</t>
  </si>
  <si>
    <t>Nacionalista_NE 🇧🇷🇧🇷🇧🇷</t>
  </si>
  <si>
    <t>klining serpis</t>
  </si>
  <si>
    <t>MNC Sekuritas</t>
  </si>
  <si>
    <t>Stefanus Dian Suprayoga</t>
  </si>
  <si>
    <t>pat</t>
  </si>
  <si>
    <t>BODEGA 🇵🇷</t>
  </si>
  <si>
    <t>positive_vibes_24</t>
  </si>
  <si>
    <t>jaejae's 🤍</t>
  </si>
  <si>
    <t>A Little Thing ของเธอ 🇹🇭💛🦋</t>
  </si>
  <si>
    <t>1352252468260818946</t>
  </si>
  <si>
    <t>1405157031053447172</t>
  </si>
  <si>
    <t>1060559795349020672</t>
  </si>
  <si>
    <t>1434886471438061573</t>
  </si>
  <si>
    <t>1219866074092408832</t>
  </si>
  <si>
    <t>231355136</t>
  </si>
  <si>
    <t>2607326437</t>
  </si>
  <si>
    <t>1281971932485677057</t>
  </si>
  <si>
    <t>266297021</t>
  </si>
  <si>
    <t>462832305</t>
  </si>
  <si>
    <t>1296897328238850048</t>
  </si>
  <si>
    <t>943456959138709504</t>
  </si>
  <si>
    <t>887158167766880256</t>
  </si>
  <si>
    <t>238091066</t>
  </si>
  <si>
    <t>2545646882</t>
  </si>
  <si>
    <t>134413496</t>
  </si>
  <si>
    <t>1355508837109747719</t>
  </si>
  <si>
    <t>1271509151772897281</t>
  </si>
  <si>
    <t>1538061187</t>
  </si>
  <si>
    <t>731615696019460097</t>
  </si>
  <si>
    <t>1184839502608646146</t>
  </si>
  <si>
    <t>1030687684455354368</t>
  </si>
  <si>
    <t>38128899</t>
  </si>
  <si>
    <t>1440507335030427648</t>
  </si>
  <si>
    <t>154102750</t>
  </si>
  <si>
    <t>3266364020</t>
  </si>
  <si>
    <t>1349585204898222082</t>
  </si>
  <si>
    <t>809040442864074752</t>
  </si>
  <si>
    <t>25029808</t>
  </si>
  <si>
    <t>1588591592</t>
  </si>
  <si>
    <t>2747048884</t>
  </si>
  <si>
    <t>972135187</t>
  </si>
  <si>
    <t>3383292069</t>
  </si>
  <si>
    <t>2218432902</t>
  </si>
  <si>
    <t>1275078882656305153</t>
  </si>
  <si>
    <t>76728412</t>
  </si>
  <si>
    <t>31842898</t>
  </si>
  <si>
    <t>1275153787334909953</t>
  </si>
  <si>
    <t>3254562828</t>
  </si>
  <si>
    <t>22126902</t>
  </si>
  <si>
    <t>15391813</t>
  </si>
  <si>
    <t>3236173515</t>
  </si>
  <si>
    <t>1272137156299907072</t>
  </si>
  <si>
    <t>1272185974743687170</t>
  </si>
  <si>
    <t>1344617625158995968</t>
  </si>
  <si>
    <t>1266702074533707778</t>
  </si>
  <si>
    <t>1429063122069905412</t>
  </si>
  <si>
    <t>1330152975399084032</t>
  </si>
  <si>
    <t>1097962618596327424</t>
  </si>
  <si>
    <t>20427899</t>
  </si>
  <si>
    <t>1408480436137959434</t>
  </si>
  <si>
    <t>1291784267085668352</t>
  </si>
  <si>
    <t>615042257</t>
  </si>
  <si>
    <t>105164381</t>
  </si>
  <si>
    <t>19233442</t>
  </si>
  <si>
    <t>853782937782714368</t>
  </si>
  <si>
    <t>332640504</t>
  </si>
  <si>
    <t>1349316688303550464</t>
  </si>
  <si>
    <t>3076355853</t>
  </si>
  <si>
    <t>105839402</t>
  </si>
  <si>
    <t>769070659943235584</t>
  </si>
  <si>
    <t>1376746851454513161</t>
  </si>
  <si>
    <t>1190673374940401664</t>
  </si>
  <si>
    <t>223411301</t>
  </si>
  <si>
    <t>3402644416</t>
  </si>
  <si>
    <t>907810884226973697</t>
  </si>
  <si>
    <t>262982580</t>
  </si>
  <si>
    <t>1236651319428956161</t>
  </si>
  <si>
    <t>705276546735407104</t>
  </si>
  <si>
    <t>265847724</t>
  </si>
  <si>
    <t>778667805734469632</t>
  </si>
  <si>
    <t>78064510</t>
  </si>
  <si>
    <t>1084991581571170311</t>
  </si>
  <si>
    <t>908399589664927744</t>
  </si>
  <si>
    <t>1189109329271508992</t>
  </si>
  <si>
    <t>912829256</t>
  </si>
  <si>
    <t>1180133658419576832</t>
  </si>
  <si>
    <t>1349382169</t>
  </si>
  <si>
    <t>814170069303316480</t>
  </si>
  <si>
    <t>1132309612600864770</t>
  </si>
  <si>
    <t>1534514683</t>
  </si>
  <si>
    <t>1062308235443494912</t>
  </si>
  <si>
    <t>314583623</t>
  </si>
  <si>
    <t>6477792</t>
  </si>
  <si>
    <t>1216006402998562817</t>
  </si>
  <si>
    <t>1037985980119220224</t>
  </si>
  <si>
    <t>162446025</t>
  </si>
  <si>
    <t>62524565</t>
  </si>
  <si>
    <t>1305763148801011712</t>
  </si>
  <si>
    <t>1351912306666401793</t>
  </si>
  <si>
    <t>1397611930097897475</t>
  </si>
  <si>
    <t>1199650398262329344</t>
  </si>
  <si>
    <t>1200483093691301888</t>
  </si>
  <si>
    <t>1376867366303277058</t>
  </si>
  <si>
    <t>1243227999920467968</t>
  </si>
  <si>
    <t>1436374209014517775</t>
  </si>
  <si>
    <t>2958228468</t>
  </si>
  <si>
    <t>1294252691397304320</t>
  </si>
  <si>
    <t>1241021911435534337</t>
  </si>
  <si>
    <t>2410520545</t>
  </si>
  <si>
    <t>361897752</t>
  </si>
  <si>
    <t>862790892985491456</t>
  </si>
  <si>
    <t>1262113186871799808</t>
  </si>
  <si>
    <t>1199697792631025666</t>
  </si>
  <si>
    <t>1407316160459284488</t>
  </si>
  <si>
    <t>119103398</t>
  </si>
  <si>
    <t>4250596815</t>
  </si>
  <si>
    <t>1435321303955869700</t>
  </si>
  <si>
    <t>1190288141539778564</t>
  </si>
  <si>
    <t>2748469408</t>
  </si>
  <si>
    <t>57188975</t>
  </si>
  <si>
    <t>1397585908048842756</t>
  </si>
  <si>
    <t>18436797</t>
  </si>
  <si>
    <t>1441484909382709249</t>
  </si>
  <si>
    <t>1105893280158572545</t>
  </si>
  <si>
    <t>271556357</t>
  </si>
  <si>
    <t>1406073139918999559</t>
  </si>
  <si>
    <t>56402542</t>
  </si>
  <si>
    <t>1216523034179391495</t>
  </si>
  <si>
    <t>51282549</t>
  </si>
  <si>
    <t>167076315</t>
  </si>
  <si>
    <t>28504039</t>
  </si>
  <si>
    <t>57100510</t>
  </si>
  <si>
    <t>4152690441</t>
  </si>
  <si>
    <t>2849068624</t>
  </si>
  <si>
    <t>245118924</t>
  </si>
  <si>
    <t>1295003911548329985</t>
  </si>
  <si>
    <t>1039550079915487232</t>
  </si>
  <si>
    <t>58453554</t>
  </si>
  <si>
    <t>1000785362124500992</t>
  </si>
  <si>
    <t>1362002452673748995</t>
  </si>
  <si>
    <t>900670141746360320</t>
  </si>
  <si>
    <t>1441486926754709504</t>
  </si>
  <si>
    <t>1296405429145096192</t>
  </si>
  <si>
    <t>1384911395641122817</t>
  </si>
  <si>
    <t>4729990287</t>
  </si>
  <si>
    <t>1406197784416452610</t>
  </si>
  <si>
    <t>1101854126147809280</t>
  </si>
  <si>
    <t>1285468263757918209</t>
  </si>
  <si>
    <t>1154023523347599360</t>
  </si>
  <si>
    <t>2645106550</t>
  </si>
  <si>
    <t>470783062</t>
  </si>
  <si>
    <t>1064262330849079301</t>
  </si>
  <si>
    <t>1409853712160288772</t>
  </si>
  <si>
    <t>766033435693580290</t>
  </si>
  <si>
    <t>8665572</t>
  </si>
  <si>
    <t>498086098</t>
  </si>
  <si>
    <t>40019154</t>
  </si>
  <si>
    <t>154843669</t>
  </si>
  <si>
    <t>1346218147314102273</t>
  </si>
  <si>
    <t>854534443436044290</t>
  </si>
  <si>
    <t>42593930</t>
  </si>
  <si>
    <t>142393421</t>
  </si>
  <si>
    <t>1393408969545191425</t>
  </si>
  <si>
    <t>1113029918789521408</t>
  </si>
  <si>
    <t>2395003038</t>
  </si>
  <si>
    <t>8627962</t>
  </si>
  <si>
    <t>1534526779</t>
  </si>
  <si>
    <t>50806520</t>
  </si>
  <si>
    <t>1418156770908721161</t>
  </si>
  <si>
    <t>1409269912246251522</t>
  </si>
  <si>
    <t>1247377198283026433</t>
  </si>
  <si>
    <t>1572561806</t>
  </si>
  <si>
    <t>1265654737120051201</t>
  </si>
  <si>
    <t>1302486423644196865</t>
  </si>
  <si>
    <t>1304396126066335744</t>
  </si>
  <si>
    <t>1275352760456671241</t>
  </si>
  <si>
    <t>1420860296760020994</t>
  </si>
  <si>
    <t>1354768015854723078</t>
  </si>
  <si>
    <t>1329623845565726721</t>
  </si>
  <si>
    <t>1404258008830332929</t>
  </si>
  <si>
    <t>1148888619425255424</t>
  </si>
  <si>
    <t>1414181669175652355</t>
  </si>
  <si>
    <t>1432609681088737283</t>
  </si>
  <si>
    <t>2277297199</t>
  </si>
  <si>
    <t>1563149796</t>
  </si>
  <si>
    <t>16352975</t>
  </si>
  <si>
    <t>1343781814129676288</t>
  </si>
  <si>
    <t>1379665188685709315</t>
  </si>
  <si>
    <t>266677514</t>
  </si>
  <si>
    <t>41863614</t>
  </si>
  <si>
    <t>460655540</t>
  </si>
  <si>
    <t>1361963366575529987</t>
  </si>
  <si>
    <t>813772200675151872</t>
  </si>
  <si>
    <t>1395161968479129602</t>
  </si>
  <si>
    <t>796134973162094592</t>
  </si>
  <si>
    <t>942744804189921280</t>
  </si>
  <si>
    <t>1189625661729787906</t>
  </si>
  <si>
    <t>93300235</t>
  </si>
  <si>
    <t>339775109</t>
  </si>
  <si>
    <t>177048412</t>
  </si>
  <si>
    <t>936227347912540160</t>
  </si>
  <si>
    <t>501800437</t>
  </si>
  <si>
    <t>276290875</t>
  </si>
  <si>
    <t>26127407</t>
  </si>
  <si>
    <t>1111792749995589633</t>
  </si>
  <si>
    <t>1382338893811359751</t>
  </si>
  <si>
    <t>92430203</t>
  </si>
  <si>
    <t>👸 𝐋𝐌𝐇'𝐬</t>
  </si>
  <si>
    <t>BA of FULLO BLASTO
FULLO gha bolong
Otak Nino BOLONG..  ☺️☺️☺️</t>
  </si>
  <si>
    <t>muka asem aldebaran makan mangga muda ngidam nya andin || random post🌈 || twitter ku gabisa upload video jd di upload di ig dan tiktok🙂</t>
  </si>
  <si>
    <t>hanya sesosok manusia yang ingin kebahagiaan</t>
  </si>
  <si>
    <t>Penejar • Aprende sempre • Leio livros • Observo a mim, pessoas e o mundo.</t>
  </si>
  <si>
    <t>🌈Pesquiso, ensino e aprendo no PPGRI- Ufba, no Cebrap e no @viamarginalpod. Direito internacional, direitos humanos, política etc.</t>
  </si>
  <si>
    <t>hi ! ya saya jual frozen corndog and lokching ( Boleh pos to Semenanjung Malaysia 🇲🇾) , Melted Cadburry cookies and Mimpimika 🦋</t>
  </si>
  <si>
    <t>my comfort zone 💫  #StrayKids #스트레이키즈 multistan stay nctzen  #syafeedbacK</t>
  </si>
  <si>
    <t>biggest pick me girl for kim seungmin</t>
  </si>
  <si>
    <t>Se quiser ir rápido vá só. Se quiser ir o mais longe possível vamos juntos.</t>
  </si>
  <si>
    <t>hobiku seniku
ngaji ngopi happy
NKRI 🇲🇨
#NKRI
#s.o.s</t>
  </si>
  <si>
    <t>|| penyuka kopi sedikit gula..|| Anti rasis || 💯 FB</t>
  </si>
  <si>
    <t>A Escola Superior de Saúde do Alcoitão (ESSAlcoitão) é um estabelecimento de ensino superior politécnico, de que é entidade instituidora a @SantaCasaLisboa</t>
  </si>
  <si>
    <t>scinter</t>
  </si>
  <si>
    <t>she/her || hyunjae's || ddana</t>
  </si>
  <si>
    <t>Médica, baterista, dep. federal (PCdoB/RJ) e defensora da Democracia! 💉✌🏼👩🏻‍🦱</t>
  </si>
  <si>
    <t>아포방포 since 2013  |  💜 보라해 @BTS_twt 💜  |  INFP  |  魔道祖师 &amp; 天官赐福 enthusiast ❤️  |  #byReinupdate #byReinfeedback ✨</t>
  </si>
  <si>
    <t>꒰🖇°꒱ `.,♡ jungkook , yeonjun , sunghoon ♡ ˎˊ ˗ •°. *࿐🐰🦊🐧 ࿐* .°• give me chicken! #bts #txt #enhypen #multi 🤩</t>
  </si>
  <si>
    <t>꒰ ☁️ #JENO || multistan ♡ ꒱ //; @luvvjaeminnie</t>
  </si>
  <si>
    <t>🙋 This account is fully dedicated to help you to sell or to let you find your desired EXO merchs | the 1st pasar in MY 🇲🇾 | #pasarEXO | est. 22012020 ♡</t>
  </si>
  <si>
    <t>📚 Ativista pela educação 🇧🇷 Deputada Federal (PSB-SP) 📢 Co-fundadora @mapaeducacao e @acreditobr.</t>
  </si>
  <si>
    <t>OT9, MY. obsessed with Jeongyeon💃 dobby 🐶 kupi ☕️</t>
  </si>
  <si>
    <t>Doutorando em História na @ufpr e visitante na @UMich 
Neoliberalismo, Cibernética e Plataformas Digitais.
Músico de vez em quando.</t>
  </si>
  <si>
    <t>NFT Enthusiast | DM for Promotion #BTC #BNB #Solana #AVAX #ETH #ADA #NFT #SolanaNFT #DYOR #NFA</t>
  </si>
  <si>
    <t>#Ap8testi | #flurwin | #flurarmy | #silentsquad | #SobatGarangan | #hadiahibuk | #Leegiteamate | #GiftFromLala | #jihantesti | #gembelelite | Bismillah🤲🙏❤</t>
  </si>
  <si>
    <t>si fueras mía psh🌹 #nicholepwuetracking 
#nicholepwuefb</t>
  </si>
  <si>
    <t>#kokomi genshin impact pilot services closed atm | sb to unfollow | dms open | ic: @tt_cn_</t>
  </si>
  <si>
    <t>Tbz • Red Velvet  • TMI</t>
  </si>
  <si>
    <t>LULA 2022 !!!🚩🚩🚩🚩🚩🚩🚩 PROFESSOR,CIENTISTA E ESQUERDA. USP - SP. Divulgo CIÊNCIA ( todas as áreas) para crianças em canais no Youtube.</t>
  </si>
  <si>
    <t>I love you so :c</t>
  </si>
  <si>
    <t>WTS/WTT/WTB acc</t>
  </si>
  <si>
    <t>💫 the light that only exists for you💫
#jieafeedback 
Often life rambling
Prefer 18+ || selective
https://t.co/UVEinc8G5n</t>
  </si>
  <si>
    <t>🇰🇷 YANGDO SHARING | 🛍 KR WEBSITE CHECKOUT SERVICE | 📦 KR WAREHOUSE SHARING SERVICE | 📩 DM for inquiry | 🔗 Masterlist link in bio</t>
  </si>
  <si>
    <t>Official Twitter account of https://t.co/9zRoRiv3TM, part of MNC Portal Indonesia. 
#BukanBeritaBiasa</t>
  </si>
  <si>
    <t>#에릭 : always remember eric loves you! ♡ ｜20 | she/her 彡 nctzen and reveluv! ʕ•ᴥ•ʔ</t>
  </si>
  <si>
    <t>#엔시티 #威神V #투모로우바이투게더 #æspa #에이티즈 #트레저
02' 🌹my wifey @johfam_suhciety 🌹</t>
  </si>
  <si>
    <t>24/7 the boyz • jumilhak lover 🦄</t>
  </si>
  <si>
    <t>Nado mullae</t>
  </si>
  <si>
    <t>LULA 2022
Não quero mais papo com bolsonazis mengeletes.</t>
  </si>
  <si>
    <t>Historiador Ecomunista 
Sempre o pirão de farinha da História
Navegar é preciso
O grão-vizir da Baixada é tudo o que eu quero ser</t>
  </si>
  <si>
    <t>Sahabatnya Eman, Deri, Ginanjar, Komar | Pendengar Space yang budiman | Tidak Digeeembok | Lugu &amp; Bijaksana | Bapak-bapak Berkalung Masker | 180/104/M31 | TMA</t>
  </si>
  <si>
    <t>The Real News and Information | Akun Resmi | SMS/WA 08121111046│Phone 021-3921717│FB Fan Page: MNC Trijaya │ email: redaksi@mnctrijaya.com</t>
  </si>
  <si>
    <t>IGOT7 @GOT7official 초영재  @GOTYJ_Ars_Vita youngjae stan☀️ http:// 📲 https://t.co/7J5mTtqd7v For https://t.co/vtg5wHP2q8</t>
  </si>
  <si>
    <t>my dm are always open
#EXO #NCT #仁俊</t>
  </si>
  <si>
    <t>Gaymer, ateu e amante de urso.
Amo Final Fantasy, Ratchet &amp; Clank, Soulsborne e Metroidvania. 
#PS5 #FORABOLSONARO #ForaCorno</t>
  </si>
  <si>
    <t>Software Architect. Leftist. Vegetarian. Parenting pets since 2017.</t>
  </si>
  <si>
    <t>Koran Tangsel Pos-Tangerang Pos dan https://t.co/iHWZH49QFP | tangselpos(at)https://t.co/N8GNSmAmm4 &amp; https://t.co/iHWZH49QFP(at) https://t.co/N8GNSmAmm4 | FB Tangsel Pos, IG tangselpos2021</t>
  </si>
  <si>
    <t>Tiada karya tanpa membaca.
Aku ada jika aku membaca
Aku tak pernah ada jika aku tak membaca.</t>
  </si>
  <si>
    <t>PaparogerByRink #CHEFPAPAROGER (A008)</t>
  </si>
  <si>
    <t>Daily news and information on financial markets and investments.</t>
  </si>
  <si>
    <t>This user is soft and pretty ✨</t>
  </si>
  <si>
    <t>MAKSI UI 2012 | proud member of #youngbureaucrats :)) #IndonesiaTanpaJIL</t>
  </si>
  <si>
    <t>Travel Blogger, CDO Markathing, COO Kanca Digital, Gov Social Media Strategist mail@efenerr.com</t>
  </si>
  <si>
    <t>Selective introvert.
I stand with Palestine.</t>
  </si>
  <si>
    <t>masih dedikasi utk kurus!</t>
  </si>
  <si>
    <t>Retweet everything #DigitalMarketing</t>
  </si>
  <si>
    <t>Pemesanan WA 0838-7225-6513 || BUKALAPAK : https://t.co/YYDolCFprn… || Shopee : https://t.co/KQC3fSoNUZ || Tokopedia 👉</t>
  </si>
  <si>
    <t>Joel | 🚲 |🏃🏾  | 🇦🇴🇵🇹 | 🏳️‍🌈 |  he/him | engineer |pt/en</t>
  </si>
  <si>
    <t>lagos, 1979 🏳️‍🌈 If it could only be like this always – always summer, always alone, the fruit always ripe and aloysius in a good temper...</t>
  </si>
  <si>
    <t>17268 | fan acc</t>
  </si>
  <si>
    <t>TXT𖧵 | Doyoung | Multi | #HUENINGKAI
strictly no minor 🔞</t>
  </si>
  <si>
    <t>Berita bisnis terkini, Business Champions, Profil CEO Indonesia, Entrepreneur, Profil Profesional, Pebisnis Muda. Dilengkapi dengan strategi dan praktek bisnis.</t>
  </si>
  <si>
    <t>maula nuraeni XI MM 1</t>
  </si>
  <si>
    <t>It's the life.🇧🇷🇧🇷🇧🇷🇧🇷</t>
  </si>
  <si>
    <t>BeritaSatu Media Holdings: https://t.co/oEA5BcF5oJ dan BeritaSatu TV.</t>
  </si>
  <si>
    <t>Do @livrept. Utopista nas horas vagas. Republicano e ecologista. Engenheiro com formação em filosofia. 🚲Gosto de escrever BDs.</t>
  </si>
  <si>
    <t>Never Forgive Never Forget</t>
  </si>
  <si>
    <t>🇮🇩 ASN DKI Jakarta|🌉  Engineer| •Workaholic|•Urip Iku Urup  #dirumahaja mencoba tetap waras di kehidupan ini 🙃</t>
  </si>
  <si>
    <t>músico, professor de música</t>
  </si>
  <si>
    <t>Jornalista. Colunista no @metropoles. cofundador do @redescordiais. 2018 JSK Stanford fellow. @ICIJorg member. @Abraji VP. https://t.co/tQzXROFKJW</t>
  </si>
  <si>
    <t>Asneira, música, Senhor dos Anéis e RPG.
Dungeon Master. Gerente de Negócios.
He/Him(Ele/Dele)
https://t.co/PwsVTdsYtr</t>
  </si>
  <si>
    <t>Apenas um fake. Mas com princípios.</t>
  </si>
  <si>
    <t>Navegar é preciso viver nem sempre.</t>
  </si>
  <si>
    <t>Hidup dunia sementara, Akhirat tempat kekal selamanya.</t>
  </si>
  <si>
    <t>#MAOC #Bpdistrict
#Workhardplayhard
#Peminatkeretacantik</t>
  </si>
  <si>
    <t>I am a work in progress</t>
  </si>
  <si>
    <t>We make many beautifully designed, comfortable and functional replacement covers that fit IKEA's most popular sofas, chairs and armchairs... perfectly!</t>
  </si>
  <si>
    <t>Que o Criador nos proteja</t>
  </si>
  <si>
    <t>Vereadora de São Paulo. 
A mais votada do NOVO no Brasil e a 5ª mulher 
mais votada de São Paulo, para o legislativo municipal.</t>
  </si>
  <si>
    <t>Professor Titular de Direito Constitucional (UFRN) - Pai e marido - Franciscano Secular - Procurador Federal
https://t.co/C2P4ysx70A
https://t.co/e0cbYQMs0w</t>
  </si>
  <si>
    <t>cria da rua e do hip-hop, jornalista, colunista @estadodeminas e @putapeita, curadora em eventos literários, aprendiz de psicanálise, , gasolina &amp; fósforo</t>
  </si>
  <si>
    <t>fan acc 💚🍑 | 🇲🇾</t>
  </si>
  <si>
    <t>🕊✦ . . .↷ ·˚ ༘ ♡ selling/buying acc; deleted @kdyboyfriend so moving hereㅡ main @J4YNIKI</t>
  </si>
  <si>
    <t>sb to unfollow !! — 17 🦋 𖥻𓂅 a certified bangtan misser, txt lovebot and enhypen protector 𓍢💘᭝۪</t>
  </si>
  <si>
    <t>GGMU |</t>
  </si>
  <si>
    <t>Akun Resmi Republika Online  Info Buku Republika? Cek @bukurepublika
#DariRepublika</t>
  </si>
  <si>
    <t>Um jornal de Portugal, de proximidade e de confiança</t>
  </si>
  <si>
    <t>Instituição de direito privado e utilidade pública que tem como objeto social apoiar o fomento e o desenvolvimento do desporto</t>
  </si>
  <si>
    <t>MY Teume lai lai come to pasar 🤪 #TREASURE #pasarTREASURE 💎</t>
  </si>
  <si>
    <t>—🏷 #소정환 𝐛𝐞𝐬𝐭 𝐛𝐨𝐲 ♡ @treasuremembers ‘𝐬 𝐛𝐚𝐛𝐲 🌷</t>
  </si>
  <si>
    <t>#NCT ; my home ♡ stuck in neocity w/23 princes || for #HAECHAN #JAEHYUN #JOHNNY #TEN</t>
  </si>
  <si>
    <t>. . dear user @/do0_nct, falling into my love my sugar #도영</t>
  </si>
  <si>
    <t>#손영재사랑해 #MooneyHoney</t>
  </si>
  <si>
    <t>@AndreVenturaC's account is temporarily unavailable because it violates the Twitter Media Policy. Learn more.</t>
  </si>
  <si>
    <t>Incansável no propósito de mudar Portugal.</t>
  </si>
  <si>
    <t>Loving Life like it was the last day</t>
  </si>
  <si>
    <t>Digo o que tenho a dizer e o que penso, sem filtros, mas sem faltas de respeito também, por isso agradeço que faça o mesmo</t>
  </si>
  <si>
    <t>i'm not sensitive, you are too much.</t>
  </si>
  <si>
    <t>Agência iNfo Salesiana é um órgão de comunicação da Congregação Salesiana, inscrito no Registro da Imprensa do Tribunal de Roma, n. 153/2007.</t>
  </si>
  <si>
    <t>Canal do Twitter oficial da Câmara Municipal de Valença</t>
  </si>
  <si>
    <t>Twitter Oficial da Igreja Adventista do Sétimo Dia na América do Sul</t>
  </si>
  <si>
    <t>Voluntário da igreja adventista do 7° Dia</t>
  </si>
  <si>
    <t>Pseudo intelectual 😂 eXquerdiXta convicto
Afrocentrado, classe consciente. Sobrevivente em busca de poder viver!!</t>
  </si>
  <si>
    <t>Porque Tatu que sobe no toco, conhece aonde as andorinhas dormem, e sabe que se quiser comer pão, terá que se atualizar pra correr atrás do bilhão!</t>
  </si>
  <si>
    <t>“Temos toda a condição física e humana para ser uma nação vitoriosa. O que está falhando gravemente no Brasil está ao nosso alcance: a política.”</t>
  </si>
  <si>
    <t>Só mais um louco consumindo informação em abundância despretensiosamente</t>
  </si>
  <si>
    <t>ウマ娘プロジェクトの公式アカウントです。
ゲームやＣＤ、イベント新情報などをお届けしてまいります！公式ハッシュタグ→ #ウマ娘</t>
  </si>
  <si>
    <t>one of IGOT7 (she/her) love these 7 dorks @jaybnow_hr @marktuan @JacksonWang852 @/jinyoung @GOTYJ_Ars_Vita @BamBam1a @yugyeom</t>
  </si>
  <si>
    <t>Twitter oficial da Universidade de Coimbra. University of Coimbra official Twitter.</t>
  </si>
  <si>
    <t>TODO O PÓS-VENDA NUMA REVISTA (revista, site, newsletter e redes sociais)</t>
  </si>
  <si>
    <t>Menyajikan Informasi seputar Fakta, Tips, dan Isu Terhangat yang dikemas dengan audio visual. FB : https://t.co/Dv9D5DV9lX</t>
  </si>
  <si>
    <t>Ayo ke kantorpos. Lebih cepat, lebih tepat, dan lebih dekat.</t>
  </si>
  <si>
    <t>┳┛╭╮┳╱┳╱╭╮┓┓┓ ┣┫┃┃┃╱┃╱┃┃┃┃┃ 
┻╱╰╯┻┛┻┛╰╯╰┻╯ 
══➤ @𝔸𝔢𝔭𝔸'𝔦ήҜ
= Hidup itu ibarat minum kopi, kadang rasanya pahit, tapi itu yang membuat mata #terbuka =</t>
  </si>
  <si>
    <t>Akun Resmi Kejaksaan RI. Dikelola oleh Pusat Penerangan Hukum Kejaksaan RI.  Kunjungi Media Sosial Kami Lainnya:</t>
  </si>
  <si>
    <t>Akun Twitter resmi Kejaksaan Tinggi Jawa Barat.</t>
  </si>
  <si>
    <t>O ECO é um jornal digital que junta uma plataforma tecnológica inovadora a um jornalismo independente e próximo dos leitores.</t>
  </si>
  <si>
    <t>petista, ,Antifascista , na resistência , colorada  #LULAPRESIDEMTE 
Não sou obrigada a nada !
Ariana, detesto INJUSTIÇA !@lu
#EsquerdiatasSeguemEsquerdistas</t>
  </si>
  <si>
    <t>Solitário e apaixonado pela música</t>
  </si>
  <si>
    <t>Mineira, cruzeirense, leonina e repórter no @sbtnews. Ex-@metropoles e ex-@correio - gccosta@sbt.com.br</t>
  </si>
  <si>
    <t>Repórter de política da Rede Record, em Brasília. Setorista do Poder Judiciário. Pós-graduando em perícia de crimes cibernéticos.</t>
  </si>
  <si>
    <t>i talk about ateez a lot &amp; sometimes exo | a multi 🐰</t>
  </si>
  <si>
    <t>#ATEEZ #EXO forever an EXO-L 🤍#INFINITE #sehun #seonghwa #성화 #hongjoong #맏즈 💙 #heartfullofhwaa_ven</t>
  </si>
  <si>
    <t>❝ don’t be afraid, dreams are everywhere ❞</t>
  </si>
  <si>
    <t>(ia due to studies) growing up with KAI, glowing up with SAN | 우산♡</t>
  </si>
  <si>
    <t>Forever an exotiny ♡‿♡. Also stan #DAY6, #SUJU &amp; #VICTON 😙 LOML: #SEHUN #SEONGHWA #WONPIL #DONGHAE #SEUNGWOO ❤️
selective fb</t>
  </si>
  <si>
    <t>𝐀𝐓𝐄𝐄𝐙 ✧ 𝐌𝐘 𝐒𝐓𝐀𝐑 — my sweetest dream, the star that will shine forever in my life, i promise 항상 당신과 함께</t>
  </si>
  <si>
    <t>#민기: 지금부터 죽을떄까지 사랑한다고 해줘요 ♡ // 2기</t>
  </si>
  <si>
    <t>A Super Aroma atua no Brasil desde 2010 é uma empresa jovem e com idéias inovadoras para implantar o Marketing Olfativo no país. (21) 99497-0494</t>
  </si>
  <si>
    <t>Strategy, Innovation, Business Development &amp; Centro Studi in Gruppo TIM S.p.A. | Personal opinions | https://t.co/qvuJzBqj5b</t>
  </si>
  <si>
    <t>BORN TO BE A STAR🌟</t>
  </si>
  <si>
    <t>A CMVM supervisiona e regula os mercados de instrumentos financeiros, bem como os agentes de mercado, promovendo a proteção dos investidores</t>
  </si>
  <si>
    <t>#Teologia #IoT #IA #Política
"Porque Deus tanto amou o mundo que deu o seu Filho Unigênito, para que todo o que nele crer não pereça, mas tenha a vida eterna."</t>
  </si>
  <si>
    <t>Apoiando os Cardiologistas no Aprendizado, Desenvolvimento e Atualização.</t>
  </si>
  <si>
    <t>Ministro da Saúde 🇧🇷| sigam @minsaude</t>
  </si>
  <si>
    <t>full time once wizone
mostly gg stan who applied to neverland buddy orbit these days</t>
  </si>
  <si>
    <t>🛒 ;; wtt wts wtb acc 🤍✨</t>
  </si>
  <si>
    <t>✿ spam acc !</t>
  </si>
  <si>
    <t>fully belongs to jaeman and doie🧎🏽‍♂️</t>
  </si>
  <si>
    <t>Check #KLYfeedback for selling proof. Please check the link below.👇</t>
  </si>
  <si>
    <t>nctzen 💚 #nylfeedback</t>
  </si>
  <si>
    <t>peter lee secret girlf</t>
  </si>
  <si>
    <t>Tudo</t>
  </si>
  <si>
    <t>Jornalismo independente em defesa da Democracia e Direitos Humanos.</t>
  </si>
  <si>
    <t>#JENO : through bittersweet life together</t>
  </si>
  <si>
    <t>you're the main character in my masterpiece | she/her | 19  ljn ♡ feedback : #qtjcm_fb</t>
  </si>
  <si>
    <t>Jander Araújo Rodrigues, apaixonado pelo Direito.</t>
  </si>
  <si>
    <t>18 ++ she/her</t>
  </si>
  <si>
    <t>UFRJ- PRÉDIO DA FACULDADE LETRAS. Av. Horácio Macedo, 2151 Cidade Universitária, Rio de Janeiro, 21941-917</t>
  </si>
  <si>
    <t>Assistente administrativa do Eleva Educação. 
"Respeitem a solidão alheia....Todos nós precisamos nos reservar e refletir.Saiba ñ ser invasivo"</t>
  </si>
  <si>
    <t>(🏴) she/her ★ personal bns acc ★ read carrd byf!</t>
  </si>
  <si>
    <t>Advogado.
Em busca da recuperação e reconstrução do Brasil. Outro país será possível e melhor. 🇧🇷</t>
  </si>
  <si>
    <t>✧Giovani•17•He/Him•🏳️‍⚧️•Capricorn•🇧🇷✧
🌍fighting for the future🌿</t>
  </si>
  <si>
    <t>Pai, ator, músico, guitarrista, historiador, bacharelado em Direito, fotógrafo. Mas no fundo sou mais pai, ator e músico que todo o resto.</t>
  </si>
  <si>
    <t>Senador Alessandro é delegado da Polícia Civil de Sergipe. Líder do partido Cidadania no Senado Federal.</t>
  </si>
  <si>
    <t>Conservador</t>
  </si>
  <si>
    <t>Anarquista discordiano. Magista. Trabalhista.
Nem deuses, nem mestres - mas, até lá, a gente vai se virando com o que tem no prato</t>
  </si>
  <si>
    <t>Militante do PTB, empresário, católico, defendo os ideais de direita. #bolsonaroate2026 #ptbconservador #RevoluçãoBrasileiradeDireita #SDV</t>
  </si>
  <si>
    <t>Petista/Lula 2022</t>
  </si>
  <si>
    <t>Professor: Licenciatura Plena em Física
Cristão: Igreja Adventista do Sétimo Dia
Flamenguista de ♥️... 
Uma vez Flamengo, 
Sempre Flamengo...</t>
  </si>
  <si>
    <t>nem todo o trajeto é reto
nem o mar é regular</t>
  </si>
  <si>
    <t>Si fui flojo, si fui ciego solo quiero que hoy comprendan el valor que representa el coraje de querer</t>
  </si>
  <si>
    <t>Yo. La misma de ayer. La incondicional. La que no espera nada.</t>
  </si>
  <si>
    <t>Saiba de tudo o que as pessoas descobriram por aí.
Siga-me!</t>
  </si>
  <si>
    <t>Amante de: gatos, cerveja, dança, poesias, livros e MPB. Linguística.</t>
  </si>
  <si>
    <t>Lula 2022, petista e gaúcha , estudante de história pra não  ficar igual bolsominion</t>
  </si>
  <si>
    <t>arquiteto</t>
  </si>
  <si>
    <t>Jornalista / Abolicionista</t>
  </si>
  <si>
    <t>Professor doutrinador |
Entusiasta das Ciências da Terra e do Universo |
Eleitor do Presidente Lula | SPFC | PT 13 | SOPA não é janta</t>
  </si>
  <si>
    <t>Wannabe writer, fledgling ethicist, okay pianist
her/them
read/write 🇺🇸 🇫🇷 🇩🇰 🇳🇴 🇵🇹
Curate: @intlmedia_
Film: @PTrevolutionTV
Housecat: @watchwoke</t>
  </si>
  <si>
    <t>Canudos não merece ser esquecido.
Conselheiro, in memoriam.
Anarquista por convicção</t>
  </si>
  <si>
    <t>Constitucionalista, Democrático, Corinthiano,Petista com orgulho! Muito bem casado, pai de uma menina e um adolescente lindos! #LulaPresidente2022</t>
  </si>
  <si>
    <t>A Vida é Fácil para quem sabe Viver!</t>
  </si>
  <si>
    <t>love for #DOYOUNG #RENJUN #JAEMIN #KUN ♡</t>
  </si>
  <si>
    <t>DMs No More -
Crux Sacra Sit Mihi Lux / Non Draco Sit Mihi Dux
Vade Retro Satana / Nunquam Suade Mihi Vana
Sunt Mala Quae Libas / Ipse Venena Bibas</t>
  </si>
  <si>
    <t>Detesto a esquerda, sinto culpa por já ter votado em Lula!</t>
  </si>
  <si>
    <t>🤍 skz + tbz + ateez + nct/wayv + treasure + svt + cravity 🤍 for any WTB/WTS/WTT Purpose</t>
  </si>
  <si>
    <t>tyongf 태용 #TAEYONG || 🇲🇾 #roseforkaylafeedback</t>
  </si>
  <si>
    <t>army | moa | nctzen | engene | atiny | stay</t>
  </si>
  <si>
    <t>⌗ 🖇 for loml jungwoo sunwoo ♡</t>
  </si>
  <si>
    <t>Conservadora 
Católica ⛪
Bolsonarista 🇧🇷
Comunismo nunca mais !!
Santista fora dos limites da razão 🧜‍♀️
Van Halen, paixão eterna 🎸♥️🎸</t>
  </si>
  <si>
    <t>#지성 🧇 buying purposes</t>
  </si>
  <si>
    <t>lutar por um mundo mais justo e inclusivo,mais amor o mundo precisa</t>
  </si>
  <si>
    <t>#NCT #WAYV #ENHYPEN #SF9 #TBZ  #P1HARMONY #PNATION                                                   you can take anything u want, but nothing is free</t>
  </si>
  <si>
    <t>day6 enthu. she/her</t>
  </si>
  <si>
    <t>021 
@Flamengo ⚫🔴</t>
  </si>
  <si>
    <t>Black twitter  tricolor paulista pets astronomia receitas bebezinhos solidariedade fraternidade samba natureza livros filmes sarcasmo ironia sensibilidade fé</t>
  </si>
  <si>
    <t>Humor</t>
  </si>
  <si>
    <t>#EXO #NCT kaisoo and jaemwinヾ(´︶`♡)ﾉ ♬ ♪</t>
  </si>
  <si>
    <t>Engenheira química benfiquista de alma e coração .Adoro desporto Leitura música e pintura fazem parte dos meus hobbies. Pago por uma boa discussão.</t>
  </si>
  <si>
    <t>É o canal de televisão independente e generalista que junta os portugueses. Aqui, juntos, criamos a sua televisão.</t>
  </si>
  <si>
    <t>Bem-vindo ao Twitter oficial da SPORT TV!</t>
  </si>
  <si>
    <t>Nasci de esquerda, escolhi o #PT pois é  quem sempre defendeu o Brasil real #Lula ✊❤❣</t>
  </si>
  <si>
    <t>Jornalista, professor, escritor, conferencista e editor-chefe do Cidades e Soluções. Instagram: https://t.co/oiA1b6Okf6</t>
  </si>
  <si>
    <t>Nunca desliga</t>
  </si>
  <si>
    <t>personal sell, buy &amp; trade | bank transfer &amp; shopee pay 🆗️ | RM6 nationwide ; small , RM5.20/10 wm em ;large | no rush postage 🕊 | pfp &amp; header ©️ haetbyulbit</t>
  </si>
  <si>
    <t>Mulher do fim do mundo</t>
  </si>
  <si>
    <t>Lado A - Jornalista de cultura e comportamento ex-Nexo Jornal e Estadão
Lado B - Pesquisador musical e DJ</t>
  </si>
  <si>
    <t>Fotojornalista do Estadão cobrindo política em Brasília</t>
  </si>
  <si>
    <t>não uso isso mas quando uso é só pérolas</t>
  </si>
  <si>
    <t>transfer service (on hold) | selling | trading acc ⋆｡˚ ༘♡ ⋆｡˚ — wts check♡📍 #ddaisyyarchivesfb — send ‘🥕’ to bump</t>
  </si>
  <si>
    <t>#태일 해보자 해보자 후회하지말고 
@yeokshiyoungho spouse :)
 https://t.co/Ao0J3P4CKO #oning0ningfeedbacks</t>
  </si>
  <si>
    <t>sicheng &amp; heeseung’s enthusiast | lowkey a multi ⋆·˚ ༘ | #RENJUN #MARK</t>
  </si>
  <si>
    <t>protect your inner peace 175</t>
  </si>
  <si>
    <t>Selling nct merch / Decorations Toploader  https://t.co/qF9n0hffhW</t>
  </si>
  <si>
    <t>elf,nctzen,wayzennie || in love with (15+23) man) || 🇲🇾 || full time broke student || (she/her) || personal account</t>
  </si>
  <si>
    <t>✧･ﾟ: *✧･ﾟ:* she/her *:･ﾟ✧*:･ﾟ✧ stan 23 men but love jisung, doyoung &amp; jaemin the most (✿◠‿◠)</t>
  </si>
  <si>
    <t>Querer apenas o que é meu sem prejudicar terceiros e desejar que o melhor aconteça para com todos !</t>
  </si>
  <si>
    <t>for #chanyeol #winwin #jaehyun #renjun :)</t>
  </si>
  <si>
    <t>🐛🌼</t>
  </si>
  <si>
    <t>ɞ࿐ I just fly to you ࿐ʚ : https://t.co/Sq1gG3tI8S</t>
  </si>
  <si>
    <t>🔖 - for #JAEMIN #MINGYU #JUNKYU ♡ ´ˎ ˗ 🌷</t>
  </si>
  <si>
    <t>↳ ͙♡︎₊˚love for Jisung and mark 🖇️ ⁀➷✧
                  -`, ( @najaeminzzzwht ) ꒱ 🧸🤍</t>
  </si>
  <si>
    <t>love yourself more than others</t>
  </si>
  <si>
    <t>@WeillCornell Hospitalist by way of @Stanford, @ColumbiaPS, @MGHMedicine and @MGHHMU. Former @NEJM Fellow. Interested in pt safety, delivery innovation, med ed.</t>
  </si>
  <si>
    <t>Cultivating internists who provide safe, high-quality, and patient-centered care, embrace diversity, and promote health and well-being of self and others.</t>
  </si>
  <si>
    <t>Professor of Medicine and Pediatrics. Father and husband. Mentor. RT ≠ endorsement.  @CleClinicLCM of @CWRUSOM (He/him)</t>
  </si>
  <si>
    <t>Dad. Husband. Physician Assistant. Crappy golfer. Cleveland Sports and the Dead.</t>
  </si>
  <si>
    <t>맠프 ; @hyuckcaffes ; she / her</t>
  </si>
  <si>
    <t>ya ampun salah tanggal~</t>
  </si>
  <si>
    <t>O canal de notícias mais visto na Europa.  
https://t.co/osIC22Zsrq https://t.co/HzAhw3ylDt</t>
  </si>
  <si>
    <t>Eu amo viajar e sou apaixonada por fotografia.</t>
  </si>
  <si>
    <t>Chairman MNC Group | 
Ketum Partai Perindo | Ketum Federasi Futsal Indonesia | Ketum PB Keluarga Olahraga Tarung Derajat
Contact:hary.tanoesoedibjo@mncgroup.com</t>
  </si>
  <si>
    <t>manusia adalah sumber kebaikan dan kejahatan itu sendiri</t>
  </si>
  <si>
    <t>✿°.* ·˚ ༘·˚.༉‧₊˚✧ @ENHYPEN_members ✧˚₊‧༉.˚· ༘˚·*.°✿</t>
  </si>
  <si>
    <t>Loker Pekanbaru | https://t.co/qYadJvIjhl
LOKER PEKANBARU, LOWONGAN KERJA PEKANBARU, LOWONGAN KERJA PEKANBARU TERBARU 2021, LOKERPKU.</t>
  </si>
  <si>
    <t>📷: @duualexandrejr</t>
  </si>
  <si>
    <t>ela/dela💖 sagitário ascendente em sagitario lua em sagitário marte em sagitário e vênus tb. by: lorena</t>
  </si>
  <si>
    <t>#SHINee #dream</t>
  </si>
  <si>
    <t>Antes de me seguir, decida: Se for p criticar JB: vaza! No tweeter eu defendo o PR 100% e não dou munição p enfraquecer a direita!</t>
  </si>
  <si>
    <t>#teambebasbulu #topagentmelaka let's change to wax✨Open for #agent 💛✨| fast postage! | CLICK LINK DI BAWAH KALAU NAK TANYA ADMIN/NAK ORDER👇🏻</t>
  </si>
  <si>
    <t>Direita, conservadora, católica, mãe, avó, patriota, lutando por um Brasil digno. #Bolsonaro2022 #WeintrabGovernadorSP2022 #ArthurWeintraubSenador2022</t>
  </si>
  <si>
    <t>Apenas um Brasileiro, apaixonado por seu país, família e princípios conservadores.</t>
  </si>
  <si>
    <t>rebah - ghibah - tabah. repeat. udah vaksin.</t>
  </si>
  <si>
    <t>bacotannya HRD | IG: @hrdbacot | post loker FREE: pake #lokercot | business inquiries: hrdbacot@gmail.com | grup telegram: https://t.co/7jtAQ4UJtD</t>
  </si>
  <si>
    <t>The official Twitter of MNC Sekuritas - Invest with The Best #MNCSekuritas</t>
  </si>
  <si>
    <t>Kalo ada masalah larinya ke Tuhan jangan ke saya</t>
  </si>
  <si>
    <t>💸🧘‍♂️💸</t>
  </si>
  <si>
    <t>For Booking Info: CortezPolitics@GMail.com 📌 #CortezResolutions Album 👇🏽👇🏽</t>
  </si>
  <si>
    <t>HI, let's be moots ✨ this acc for stan acc, if you're my contact irl better don't follow me or you'll be regret 🤍</t>
  </si>
  <si>
    <t>เป็นนุชรุ่นถอดหน้ากาก เรือนคุณท้าว รักนุช รักเป๊ก รักสถาบัน สาขาจีนคือกงจวิ้น. สามารถ unfollow ไปได้ทุกเมื่อนะคะ ถ้าเราทวิตแล้วไม่ใช่สิ่งที่คุณสนใจ</t>
  </si>
  <si>
    <t>he pup honk</t>
  </si>
  <si>
    <t>Rua Conde Barão, Alcoitão</t>
  </si>
  <si>
    <t>she/her | 22 ♡</t>
  </si>
  <si>
    <t>free tag</t>
  </si>
  <si>
    <t>need more nctzen!</t>
  </si>
  <si>
    <t xml:space="preserve">06 🇲🇾 she/her </t>
  </si>
  <si>
    <t>Youngjae's heart💕</t>
  </si>
  <si>
    <t xml:space="preserve">she/her  </t>
  </si>
  <si>
    <t>SC</t>
  </si>
  <si>
    <t xml:space="preserve">TANGSEL </t>
  </si>
  <si>
    <t>Ciputat, Indonesia</t>
  </si>
  <si>
    <t>Melbourne, Victoria</t>
  </si>
  <si>
    <t>AGEN TASIK, BDG, MEDAN, JKT</t>
  </si>
  <si>
    <t>por ai</t>
  </si>
  <si>
    <t>Doyoung | 22</t>
  </si>
  <si>
    <t>Bruxelas/Amarante</t>
  </si>
  <si>
    <t>Surakarta, Jawa Tengah</t>
  </si>
  <si>
    <t>Brusque, Brasil</t>
  </si>
  <si>
    <t>Greenfields - Shire</t>
  </si>
  <si>
    <t>RS, Brasil</t>
  </si>
  <si>
    <t>Cria do Jacarezinho- RJ</t>
  </si>
  <si>
    <t xml:space="preserve"> BATU PAHAT</t>
  </si>
  <si>
    <t>Luaskan Kuasamu</t>
  </si>
  <si>
    <t>London, UK</t>
  </si>
  <si>
    <t>Natal</t>
  </si>
  <si>
    <t>Poços de Caldas, MG</t>
  </si>
  <si>
    <t xml:space="preserve">don't follow </t>
  </si>
  <si>
    <t>♥︎ ᯇ S/HER | +60 | RCBYF !! 🕊</t>
  </si>
  <si>
    <t>Georgetown, Pulau Pinang</t>
  </si>
  <si>
    <t>Porto - Portugal</t>
  </si>
  <si>
    <t>💎; 𝐭𝐞𝐮𝐥𝐚𝐧𝐝 ♡´ˎ˗</t>
  </si>
  <si>
    <t>she/her | 🇲🇾 | rcbyf</t>
  </si>
  <si>
    <t>☆ she/her ^^</t>
  </si>
  <si>
    <t>MIRAE</t>
  </si>
  <si>
    <t>Roma</t>
  </si>
  <si>
    <t>Valença, Portugal</t>
  </si>
  <si>
    <t>Natal, Brasil</t>
  </si>
  <si>
    <t>São Caetano do Sul, Brasil</t>
  </si>
  <si>
    <t>Coimbra</t>
  </si>
  <si>
    <t>2785-543 São Domingos de Rana</t>
  </si>
  <si>
    <t>Kota Serang, Banten</t>
  </si>
  <si>
    <t>Jakarta Selatan, DKI Jakarta</t>
  </si>
  <si>
    <t>Jl. Naripan No. 25 Bandung</t>
  </si>
  <si>
    <t>Rio grande/Xangri-Lá, Brasil</t>
  </si>
  <si>
    <t>Brasilia</t>
  </si>
  <si>
    <t xml:space="preserve">🇲🇾 </t>
  </si>
  <si>
    <t>98’ | INFJ •</t>
  </si>
  <si>
    <t>23 | 🇲🇾</t>
  </si>
  <si>
    <t>롸? ❤</t>
  </si>
  <si>
    <t>120408 || 181024 ❤️</t>
  </si>
  <si>
    <t>a soft stan ツ</t>
  </si>
  <si>
    <t>any prns · 20 · cbyf</t>
  </si>
  <si>
    <t>AROMATIZANTE DE AMBIENTE</t>
  </si>
  <si>
    <t>Italia</t>
  </si>
  <si>
    <t>Gombak, Selangor</t>
  </si>
  <si>
    <t>João Pessoa-PB</t>
  </si>
  <si>
    <t>MY 🇲🇾✨</t>
  </si>
  <si>
    <t>sfs | she/her</t>
  </si>
  <si>
    <t>Ananindeua, Brasil</t>
  </si>
  <si>
    <t>nct dream 🍫 | she/her</t>
  </si>
  <si>
    <t>Palmas - Tocatins</t>
  </si>
  <si>
    <t>#bibliotecadoippur #ippur #ufr</t>
  </si>
  <si>
    <t>SEMI IA</t>
  </si>
  <si>
    <t xml:space="preserve">Curitiba - Brasil </t>
  </si>
  <si>
    <t>Cuiabá, MT, Brasil</t>
  </si>
  <si>
    <t>SP SP SP SP</t>
  </si>
  <si>
    <t>Piaçabuçu, Brasil</t>
  </si>
  <si>
    <t>Margherita di Savoia, Puglia</t>
  </si>
  <si>
    <t>Ponte Nova - MG / Brasil</t>
  </si>
  <si>
    <t>Recanto dos Nefelibatas</t>
  </si>
  <si>
    <t>Taubaté - SP</t>
  </si>
  <si>
    <t>Sometimes I live here</t>
  </si>
  <si>
    <t>São Vicente-SP</t>
  </si>
  <si>
    <t>Porto Alegre/RS-Brasil</t>
  </si>
  <si>
    <t xml:space="preserve">multistan | 60+ | she/her </t>
  </si>
  <si>
    <t>🇲🇾 +60 | 00 02 06</t>
  </si>
  <si>
    <t>NCITY</t>
  </si>
  <si>
    <t xml:space="preserve">namjoon heart </t>
  </si>
  <si>
    <t>NeoCity ♡</t>
  </si>
  <si>
    <t>S!HER ☁️ +60 🐶</t>
  </si>
  <si>
    <t>Brooklin</t>
  </si>
  <si>
    <t>Valinhos, Brasil</t>
  </si>
  <si>
    <t>on stage</t>
  </si>
  <si>
    <t>mundomundovastomundo</t>
  </si>
  <si>
    <t>+60 | she/her</t>
  </si>
  <si>
    <t>Oeiras, Portugal</t>
  </si>
  <si>
    <t>Carnaxide</t>
  </si>
  <si>
    <t>Loures, Portugal</t>
  </si>
  <si>
    <t>Uai</t>
  </si>
  <si>
    <t>she/her read carrd byf~</t>
  </si>
  <si>
    <t xml:space="preserve">+60, she/her selective </t>
  </si>
  <si>
    <t>happy whatever you do</t>
  </si>
  <si>
    <t>she/her is living in kwangya</t>
  </si>
  <si>
    <t xml:space="preserve">+ 60 // she!her </t>
  </si>
  <si>
    <t xml:space="preserve">ଘ +60 ¦ she¡her✩ rcbyf~ ੈ✩‧₊˚ </t>
  </si>
  <si>
    <t>malaysia</t>
  </si>
  <si>
    <t>Cleveland Ohio</t>
  </si>
  <si>
    <t>Cleveland, OH</t>
  </si>
  <si>
    <t>Lakewood to Painesville</t>
  </si>
  <si>
    <t>Europa</t>
  </si>
  <si>
    <t>Vila Velha - ES</t>
  </si>
  <si>
    <t>Indaiatuba, Brasil</t>
  </si>
  <si>
    <t>Perempatan Ibukota</t>
  </si>
  <si>
    <t>BKK.</t>
  </si>
  <si>
    <t>amierah___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</si>
  <si>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kagu_al
@mentalyupiiiiii Lewat JNE &amp;amp;
kantor pos E.. 👍🤩🤩</t>
  </si>
  <si>
    <t xml:space="preserve">mentalyupiiiiii
</t>
  </si>
  <si>
    <t>panchitoblanco1
@UOLNoticias O modelo é o mesmo
que tirou o Brasil da 15/6 sexta
economia do mundo. Procurando cumprir
a maior prioridade da Constituição
.O artigo 195 . E o que a politica
monetária neoliberal antes e pós
PT fez !. Promessas!? Privatizando
tudo a preço de banana e retirando
direitos!? PIADA!</t>
  </si>
  <si>
    <t>onimawma
@seungAAAAAAH ohh kalau guna jnt
kita boleh lah cek dia dh post
ke belum kalau pos laju taktau
pulak :(</t>
  </si>
  <si>
    <t xml:space="preserve">seungaaaaaah
</t>
  </si>
  <si>
    <t xml:space="preserve">itsdcntr
</t>
  </si>
  <si>
    <t>3kimandimdead
(WTS/PREORDER) Hi, Im letting go
my slots for Jeongwoo standee JAPAN
SUMMER GOODS. 💰 RM70 INC POS ❌
NO SEC PAYMENT ❌ NO BACKOUT ✅ FPFS,
BANKIN, SHOPEEPAY ‼️ DM FOR PROOFS,
ALREADY SECURED ‼️ POSTAGE USING
JNT #pasarTREASURE @pasarTREASURE
HELP RT 💥💥💥 TQSM 💗 https://t.co/L0Okup3iyq</t>
  </si>
  <si>
    <t>essalcoitao
PÓS-GRADUAÇÃO em Terapia da Fala
- 4ª edição Intervenção na Infância
💻CURSO ONLINE 🗓️Candidaturas
online até 10 de outubro de 2021
Consulte as condições especiais!
Início das aulas: 30 de outubro
https://t.co/eMFcfSO2QQ https://t.co/0I3D0BWw9y</t>
  </si>
  <si>
    <t>wintershakitty
@lonelyboy77x Haa jap nak hantar..
nk by jnt ke pos? 🤣</t>
  </si>
  <si>
    <t>ditpamobvit_btn
Stand by di pos utama kawasan PT.
KIEC https://t.co/tavVpNUou4</t>
  </si>
  <si>
    <t>jjaeluvm
I NAK JUAL BARANG TAPI MAK I MALAS
PERGI PEJABAT POS TAPI JNT DALAM
TAMAN I DEKAT JE BOLEH JALAN KAKI
TAPI KENA JOGING TAPI I MALAS NAK
KELUAR RUMAH TAPI TAK TAHU NAK
JUAL APA TAPI KALAU JUAL KAWAN
BOLEH JUGAK TAPI HM TAPI NANTI
MAK DIA MARAH TAPIII</t>
  </si>
  <si>
    <t xml:space="preserve">pasar_exo
</t>
  </si>
  <si>
    <t>maisfutebol
Perda de bola em transição... e
Lewandowski bisa, pos claro https://t.co/KEQz2lkIDZ</t>
  </si>
  <si>
    <t>saawadikap
Tujuan ngirim pesan singkat kek
chat atao SMS gtu supaya cepet
dapat balasan dalam hitungan menit.
Tau km gini lama balasnya mending
pake jasa pos, jnt, JNE dsbg.</t>
  </si>
  <si>
    <t>bbamwin
WTS -sungchan resonance future
pc RM25 exc pos -condition 10/10
-use jnt RM 8 to wm // em not sure
-not on hand yet -rts: I need money
#pasarNCT</t>
  </si>
  <si>
    <t>chanheeamor
WTS The Boyz Thrill-ing Inclusions
🐿 Q/Changmin set - RM15 🍊 Haknyeon
set - RM25 🦄 Eric set - RM25 Postage
- RM6 wm/em (flexi) - RM8 wm (Pos
Laju, JnT) #pasartheboyz #pasarTBZ
https://t.co/7N2zpdAU3t</t>
  </si>
  <si>
    <t>sindonews
Penandatanganan Kemitraan MNC Group
| Pos Indonesia Saksikan prosesi
penandatanganan kerja sama MNC
Group dan juga unit-unit, seperti
MotionBanking, MotionPay, MNC e-Commerce
dengan PT Pos Indonesia (Persero).
Live @Zoom Webinar: https://t.co/fJbOpnKy7F
https://t.co/Q8oFMX15qK</t>
  </si>
  <si>
    <t>jaewoolatte
WTS / Help RT 🇲🇾 The Boyz Chanhee
New 🐧 Price in the picture 🐧
Accept online banking and shopeepay
🐧 Accept reservation with small
deposit 🐧 Postage -RM6 wm/em (flexi)
-RM8 wm (Pos Laju, JnT) ❗️ Free
Postage if buy more than 5 (flexi)
#pasartheboyz #pasartbz https://t.co/DuiA9OwcuB</t>
  </si>
  <si>
    <t>unicefbrasil
Relatório destaca indicadores para
medidas de recuperação socioeconômica,
proteção social e inclusão digital
como forma de inserir o Brasil
em uma rota de desenvolvimento
inclusiva e sustentável. @PNUDBrasil
@UNESCOBrasil @unicefbrasil @OPASOMSBrasil
https://t.co/zynpY0NDII</t>
  </si>
  <si>
    <t>onubrasil
Relatório destaca indicadores para
medidas de recuperação socioeconômica,
proteção social e inclusão digital
como forma de inserir o Brasil
em uma rota de desenvolvimento
inclusiva e sustentável. @PNUDBrasil
@UNESCOBrasil @unicefbrasil @OPASOMSBrasil
https://t.co/zynpY0NDII</t>
  </si>
  <si>
    <t>mnctrijaya
MotionPay, MNC e-Commerce dengan
PT Pos Indonesia (Persero) untuk
semakin dapat memberikan berbagai
kemudahan dalam setiap transaksi
digital di seluruh Indonesia. SAVE
THE DATE Rabu, 29 September 2021
| 10.00 WIB Live @Zoom Webinar:
https://t.co/EKrBrE3DKT</t>
  </si>
  <si>
    <t>tarbantinbooks
Serial Cerita Tuhan Yesus, bacaan
untuk si kecil mengenal Tuhan lebih
dalam melalui berbagai cerita serial
ini💖Delivery Malang kota 10K (spd
mtr), luar Kota Malang via JNE,
J&amp;amp;T, POS. WA/Line: +6282143502209
IG: tarbantinbookstoremalang MAKE
GREAT GENERATION #kids #children
#anak https://t.co/mgNK4YoNBG</t>
  </si>
  <si>
    <t>naylyinasri
WTS price exc pos -yugyeom DYE
RM 18 -youngjae BOL RM 20 🦋buy
both RM 37 excpos -bambam treka
RM5 -bambam spinning the top RM8
🦋buy both RM 10 excpos -youngjae
book mark RM7 -jb mirror card RM
10 🦋buy both RM 15 excpos -use
jnt RM 8 wm// rts: need money #pasarGOT7
https://t.co/2X0gMighWp</t>
  </si>
  <si>
    <t>rendaewoo
WTS -renjun hello pola RM 13 exc
pos use jnt RM 8 wm help rt #pasarNCT
#mynctjual https://t.co/t8ogQFFIdt</t>
  </si>
  <si>
    <t>netuno598
@todietonight @slpng_giants_pt
Criaram um crime chamado " protocolo
de 21 dias " onde o paciente que
até então estaria na UTI isolado
agora pode se juntar a outros pacientes,
o que chamam de " pós Covid " Só
que escondem isso. Sendo que o
mesmo ainda está completamente
infectado e seus pulmões comprometidos.</t>
  </si>
  <si>
    <t xml:space="preserve">todietonight
</t>
  </si>
  <si>
    <t>tangselpos_new
Tangsel Pos Edisi 29/09/2021. Jabatan
Pimpinan PT PITS Kian Terkatung
Katung. PAW Dewan dari Golkar dan
PDIP Temui Kendala. Kafe di Bintaro
Berdayakan Tunarungu. Melihat Pembekalan
20 Pasangan Calon Pengantin di
KUA Pamulang. https://t.co/RDwD60cSqo</t>
  </si>
  <si>
    <t>sulaimaniman_
Tangsel Pos Edisi 29/09/2021. Jabatan
Pimpinan PT PITS Kian Terkatung
Katung. PAW Dewan dari Golkar dan
PDIP Temui Kendala. Kafe di Bintaro
Berdayakan Tunarungu. Melihat Pembekalan
20 Pasangan Calon Pengantin di
KUA Pamulang. https://t.co/RDwD60cSqo</t>
  </si>
  <si>
    <t>harismaulanaaku
Kembangkan Layanan Setor Tunai,
PT Pos Indonesia Gandeng MNC https://t.co/CDyefjoQgL
https://t.co/DZsRj3861f</t>
  </si>
  <si>
    <t>aisydalilah
Stock Minipack licin. Tunggu jnt
pos stock minipack kita be like:
https://t.co/EnLTTD64Us</t>
  </si>
  <si>
    <t>investorid
MNC E-Commerce Rangkul PT Pos Tingkatkan
Layanan Pengiriman  https://t.co/Jfacrq1TzK
https://t.co/yqfoVY7mvB</t>
  </si>
  <si>
    <t>_peanutttt
Walaupun postage free jnt dah naik,
tapi barang pos semalam harini
dah out for delivery geng. Bapak
laju ah!</t>
  </si>
  <si>
    <t>debapirez
@efenerr bahkan dulu bisa diantar
ke rumah. kerjasama dengan PT POS
bayar cm 10rb</t>
  </si>
  <si>
    <t xml:space="preserve">efenerr
</t>
  </si>
  <si>
    <t>starktuni
@azreen_raub Kasi bayar double
harini juga. Esok aku kasi pos
itu barang pakai JNT. 😂</t>
  </si>
  <si>
    <t xml:space="preserve">azreen_raub
</t>
  </si>
  <si>
    <t>flagamedia
Amazing photoshoot for Pospay PT
POS Indonesia Products with Rahmat
Erwin, The bronze medal winner
in the men's 73kg class weightlifting
at the 2020 Tokyo Olympics. #DoneWithFlaga
#Flagamediaasia #FMA #digitalmarketing
#eventorganizer #eventmanagement
#Pospay #posindonesia https://t.co/id70scdlWs</t>
  </si>
  <si>
    <t>digitalbotrt
Amazing photoshoot for Pospay PT
POS Indonesia Products with Rahmat
Erwin, The bronze medal winner
in the men's 73kg class weightlifting
at the 2020 Tokyo Olympics. #DoneWithFlaga
#Flagamediaasia #FMA #digitalmarketing
#eventorganizer #eventmanagement
#Pospay #posindonesia https://t.co/id70scdlWs</t>
  </si>
  <si>
    <t>frhainaaa
Tetiba cam bersyukur tak jadi pos
ke sana guna jnt https://t.co/V3CwvqXcqG</t>
  </si>
  <si>
    <t>handayaniherbal
Jasa kirim available diantaranya
: ✓GOSEND ✓GRAB ✓SICEPAT ✓J&amp;amp;T
✓Anteraja ✓JNE ✓POS ✓Ninja ✓Tiki
Untuk produk Herbal yang ready
stock : ✓QnC Jelly Gamat ✓Samulinpro
✓Propolis Sm ✓Hexabumin ✓KurmaQu
✓Sabun Natural Oud ✓Spirulna G-Plantesis
https://t.co/vlXegbX9Eh</t>
  </si>
  <si>
    <t>vademetroananas
@pedro__patricio @pzgomes Maioria
simples não existe, uma maioria
simples é uma minoria. Se todos
os outros votarem contra uma moção
de confiança o governo cai. É uma
mentira que se inventou em PT no
pos-25 de Abril para garantir que
só o PS ou PSD governariam sem
precisar dos outros partidos.</t>
  </si>
  <si>
    <t xml:space="preserve">pzgomes
</t>
  </si>
  <si>
    <t xml:space="preserve">pedro__patricio
</t>
  </si>
  <si>
    <t>yeonjjunineun
@babygbsld HAHAHAH takk. Pos Malaysia.
Tp Min ada gak order brg guna jnt</t>
  </si>
  <si>
    <t xml:space="preserve">babygbsld
</t>
  </si>
  <si>
    <t>swamediainc
Gandeng MNC, PT Pos Indonesia Kembangkan
Layanan Setor Tunai https://t.co/Hp48FzMcex</t>
  </si>
  <si>
    <t>madugibran123
ONGKOS KIRIM DENGAN JNE DALAM 1KG
MUAT 4 PAKET, DENGAN POS HANYA
MUAT 2 PAKET 100% ASLI Disclaimer
: Reaksi Yang Di Dapat Setiap Individu
Akan Berbeda-Beda, Tergantung Pada
Penerimaan Tubuh, Kondisi Penyakit
Serta Kerutinan Dalam Mengkonsumsinya</t>
  </si>
  <si>
    <t>julyannewy
Peço a todos q tiveram efeitos
adversos pós vac, que façam o registro
no site da Anvisa. Cada tuíte q
faço sobre isso aparecem inúmeros
relatos. Precisamos transformar
isso em números concretos, para
n falarem q são “casos isolados”.
Dia p vcs! https://t.co/qSlUHTLNi0</t>
  </si>
  <si>
    <t>asabri_official
Kegiatan ini dihadiri oleh perwakilan
Bank Mantap, Bank Bukopin, BNI,
BTN, BRI, BTPN, dan PT POS (Indonesia).
#kegiatanAsabri #Asabrievents https://t.co/xqLMXyYhVd</t>
  </si>
  <si>
    <t>beritasatu
Motiobanking besutan PT Bank MNC
Internasional Tbk menandatangani
perjanjian kerja sama dengan PT
Pos Indonesia untuk layanan tarik
tunai. Selengkapnya: 👇 #Motiobanking
https://t.co/AxZsSPXmca</t>
  </si>
  <si>
    <t>jopintopt
Boa leitura: https://t.co/Bqqfj2zela</t>
  </si>
  <si>
    <t>lamalif24
@AgneesLS importnya pake jne apa
pos indo?</t>
  </si>
  <si>
    <t xml:space="preserve">agneesls
</t>
  </si>
  <si>
    <t>cezarkr
@MarceloPerescft @Graxa_ln @guimarrocos
@guilherme_amado Cara! Acorda!!
Se blindou, pôs sigilo, é por que
tem muita coisa errada, kd a transparência
que ele tanto falava!? E prq tem
q por o PT no meio!? O presidente
é o Bolsonaro, e não fez nada até
hj, a não ser blindar a ele e a
família, acooooooorda!!!</t>
  </si>
  <si>
    <t xml:space="preserve">guilherme_amado
</t>
  </si>
  <si>
    <t xml:space="preserve">guimarrocos
</t>
  </si>
  <si>
    <t xml:space="preserve">graxa_ln
</t>
  </si>
  <si>
    <t xml:space="preserve">marceloperescft
</t>
  </si>
  <si>
    <t>sheikhkhan3
@ALYPhilot bole pos byr jnt pm
mari pit details</t>
  </si>
  <si>
    <t xml:space="preserve">alyphilot
</t>
  </si>
  <si>
    <t>voidotid
MNC Bank telah menandatangani perjanjian
kerja sama dengan PT Pos Indonesia
(Persero) untuk mengembangkan layanan
setor tunai/top up dan tarik tunai/cash
out di seluruh kantor pos dan aplikasi
Pospay milik Pos Indonesia. https://t.co/qY92dlkUja</t>
  </si>
  <si>
    <t>shifterpt
A passagem da modernidade para
a pós-modernidade trouxe consigo
várias mudanças no mundo social.
Uma mudança significativa que caracteriza
a passagem de um período para o
outro é a mudança na forma como
experienciamos o tempo. https://t.co/AMOFVHYpAY</t>
  </si>
  <si>
    <t>pos_tolmas
IDLES - THE BEACHLAND BALLROOM
(Official Video, Pt. 1) https://t.co/iLi5ARc4N7</t>
  </si>
  <si>
    <t>covercouch
Pelanggan kesayangan sdh memiilih
frame cantiknya utk gift orang
terkasih💕Terima kasih buat pemesanannya🙏yg
lagi hunting souvenir merapat ke
Tarbantin💖Delivery Malang kota
10k(spd mtr), luar Kota Malang
via JNE, J&amp;amp;T,POS WA/Line: +6282143502209
IG: tarbantinsouvenir #decoration
https://t.co/Z7YvSi4zTE</t>
  </si>
  <si>
    <t>tbssouvenir
Lagi hunting souvenir atau dekorasi
rumah? Ada nih... rangkaian imut
yg cantik, langsung meluncur ke
Tarbantin 😍Tinggal dipilih &amp;amp;
di sesuaikan, ada spesial diskon
juga yaaaaa💖Delivery Malang kota
10k (spd mtr), luar Kota Malang
via JNE, J&amp;amp;T, POS WA/Line:
+6282143502209 #flower https://t.co/dpd6wiFnAn</t>
  </si>
  <si>
    <t>leandro78671009
@janainalimasp @joaoamoedonovo
N é querer te dá um banho de água
fria n mas pelos seus segmentos
pós eleição 2018 dificilmente ele
passa da margem de erros,esse q
vc diz novo foi aquele q se uniu
com o PT, Psol, PDT, PCO, PC do
B na Paulista dia 12 e foi um fracasso
total. Amoedo deixou seus 3% subir
a cabeça</t>
  </si>
  <si>
    <t xml:space="preserve">janainalimasp
</t>
  </si>
  <si>
    <t>fabianomendonca
Agências da ONU lançam relatório
sobre recuperação pós-pandemia
de COVID-19 https://t.co/7jQvn2yedj</t>
  </si>
  <si>
    <t>nwaissmann
@jessicabalbino Ultimo namorido,
dei PT no casamento da minha irma!Lembro
de flashes pós PT,+ perfeitamente
dele em cima de mim já em casa.Contei
dps de mts anos e ele disse q n
aconteceu, se recusou a assumir!
+ eu tenho CERTEZA lembro inclusive
q ele me forçou a por a boca e
eu vomitei nele!</t>
  </si>
  <si>
    <t xml:space="preserve">jessicabalbino
</t>
  </si>
  <si>
    <t>jay_woojae
@daisiecart Ya ampun aku stress
ye hhhahaha patut harini tau dia
kena pos, tapi haram jnt tak pick
up lagi. Jnt pun cam haram 😩 dari
sabtu kot aku placed order</t>
  </si>
  <si>
    <t xml:space="preserve">daisiecart
</t>
  </si>
  <si>
    <t>glitterzkoo
@kmcultvsnf itula tp i nk pos utk
trade so takpela mahal sikit pon
since trader i guna jnt</t>
  </si>
  <si>
    <t xml:space="preserve">kmcultvsnf
</t>
  </si>
  <si>
    <t>fitrijanuzaj
Ni aku tak suka dapat pos laju.
Memang kena collect dekat office
dia la. Mai rumah pagi memang tak
dak orang la. Orang pergi keja.
Barang mahal dpt jnt dia tinggai
bodo ja. Barang murah dpt pos laju
dia p bawa balik pulak.</t>
  </si>
  <si>
    <t>republikaonline
Sinergi itu untuk meningkatkan
kualitas dan jangkauan layanan
pengiriman barang. https://t.co/cmVnGrr9qp</t>
  </si>
  <si>
    <t>jornalnoticias
PCP rejeita acordos pós-eleições
https://t.co/7NAUrisirK https://t.co/3QAnsCEyfB</t>
  </si>
  <si>
    <t>fdesporto
A Pós-Graduação em Direito do Desporto,
organizada pela Autónoma Academy
da Universidade Autónoma de Lisboa,
vai iniciar a sua 6.ª Edição no
ano letivo 2021-2022 no próximo
dia 29 de outubro. Ler mais: https://t.co/x4HLDTI9wK
https://t.co/8YP6QWiICA</t>
  </si>
  <si>
    <t xml:space="preserve">pasartreasure
</t>
  </si>
  <si>
    <t>sweetsjhwanie
(WTS/PREORDER) Hi, Im letting go
my slots for Jeongwoo standee JAPAN
SUMMER GOODS. 💰 RM70 INC POS ❌
NO SEC PAYMENT ❌ NO BACKOUT ✅ FPFS,
BANKIN, SHOPEEPAY ‼️ DM FOR PROOFS,
ALREADY SECURED ‼️ POSTAGE USING
JNT #pasarTREASURE @pasarTREASURE
HELP RT 💥💥💥 TQSM 💗 https://t.co/L0Okup3iyq</t>
  </si>
  <si>
    <t>deobimarket
WTS The Boyz Thrill-ing Inclusions
🐿 Q/Changmin set - RM15 🍊 Haknyeon
set - RM25 🦄 Eric set - RM25 Postage
- RM6 wm/em (flexi) - RM8 wm (Pos
Laju, JnT) #pasartheboyz #pasarTBZ
https://t.co/7N2zpdAU3t</t>
  </si>
  <si>
    <t>chittawildinn
@qtwindoie setiap kali abang pos
laju ke jnt sampai mak I rakde
kat rumah hehe</t>
  </si>
  <si>
    <t xml:space="preserve">qtwindoie
</t>
  </si>
  <si>
    <t>minihyunjae
WTS The Boyz Thrill-ing Inclusions
🐿 Q/Changmin set - RM15 🍊 Haknyeon
set - RM25 🦄 Eric set - RM25 Postage
- RM6 wm/em (flexi) - RM8 wm (Pos
Laju, JnT) #pasartheboyz #pasarTBZ
https://t.co/7N2zpdAU3t</t>
  </si>
  <si>
    <t>mirahan0612
WTS The Boyz Thrill-ing Inclusions
🐿 Q/Changmin set - RM15 🍊 Haknyeon
set - RM25 🦄 Eric set - RM25 Postage
- RM6 wm/em (flexi) - RM8 wm (Pos
Laju, JnT) #pasartheboyz #pasarTBZ
https://t.co/7N2zpdAU3t</t>
  </si>
  <si>
    <t>luvbbangjukyu
WTS The Boyz Thrill-ing Inclusions
🐿 Q/Changmin set - RM15 🍊 Haknyeon
set - RM25 🦄 Eric set - RM25 Postage
- RM6 wm/em (flexi) - RM8 wm (Pos
Laju, JnT) #pasartheboyz #pasarTBZ
https://t.co/7N2zpdAU3t</t>
  </si>
  <si>
    <t>joscunh1965
@PedroFilipeVas1 @Santolas9 @CharlieBrown_PT
@AndreCVentura @AndreVenturaC Bem,
o andrézito pôs anúncio no jornal
para arranjar candidatos... Também
um exemplo de decência...</t>
  </si>
  <si>
    <t xml:space="preserve">andreventurac
</t>
  </si>
  <si>
    <t xml:space="preserve">andrecventura
</t>
  </si>
  <si>
    <t xml:space="preserve">charliebrown_pt
</t>
  </si>
  <si>
    <t xml:space="preserve">santolas9
</t>
  </si>
  <si>
    <t xml:space="preserve">pedrofilipevas1
</t>
  </si>
  <si>
    <t>pasartheboyzmy
WTS The Boyz Thrill-ing Inclusions
🐿 Q/Changmin set - RM15 🍊 Haknyeon
set - RM25 🦄 Eric set - RM25 Postage
- RM6 wm/em (flexi) - RM8 wm (Pos
Laju, JnT) #pasartheboyz #pasarTBZ
https://t.co/7N2zpdAU3t</t>
  </si>
  <si>
    <t>soleil_mil
WTS The Boyz Thrill-ing Inclusions
🐿 Q/Changmin set - RM15 🍊 Haknyeon
set - RM25 🦄 Eric set - RM25 Postage
- RM6 wm/em (flexi) - RM8 wm (Pos
Laju, JnT) #pasartheboyz #pasarTBZ
https://t.co/7N2zpdAU3t</t>
  </si>
  <si>
    <t>infoans_pt
Togo – Iniciado o novo ano pastoral
do #pósnoviciado salesiano de Lomé
https://t.co/5vAoDIsEc3 https://t.co/X1WAR5Vavh</t>
  </si>
  <si>
    <t>bazaardeobi
WTS The Boyz Thrill-ing Inclusions
🐿 Q/Changmin set - RM15 🍊 Haknyeon
set - RM25 🦄 Eric set - RM25 Postage
- RM6 wm/em (flexi) - RM8 wm (Pos
Laju, JnT) #pasartheboyz #pasarTBZ
https://t.co/7N2zpdAU3t</t>
  </si>
  <si>
    <t>mun_valenca
🔴 Últimas vagas! 💻 Está a decorrer
até 3 de outubro a 3.ª fase de
candidaturas para a Pós-Graduação
em Gestão da Qualidade. Candidaturas
online em https://t.co/MzM6RSuLxR
Assegura já uma das últimas vagas!
✅ ℹ️ https://t.co/pXr1yplhQj ESCE-IPVC
o teu 🔴 de partida! https://t.co/lux0KS517U</t>
  </si>
  <si>
    <t>bubuzinha
Essa é a politica monetária neoliberal
antes e pós PT ! BRINCADEIRA! Num
país autossuficiente e com 80%
do transporte rodoviário! Privatizando
tudo a preço de banana e isentando
HUM TRILHÃO!? COMEDIA! PIADA! AUDITORIA
JÁ! ADI 6417 STFJ ! XEQUE MATE
! PT SAUDAÇÕES. https://t.co/4hVo2U0wYa</t>
  </si>
  <si>
    <t>gfonsecaadv
Você sabe qual foi o padrão ético
e moral de Jesus, em seus relacionamentos
sociais, enquanto esteve na Terra?
🤔 Vem descobrir. 👉 https://t.co/QE8XBHVCWl
https://t.co/tOHrramOcM</t>
  </si>
  <si>
    <t>iasd
Você sabe qual foi o padrão ético
e moral de Jesus, em seus relacionamentos
sociais, enquanto esteve na Terra?
🤔 Vem descobrir. 👉 https://t.co/QE8XBHVCWl
https://t.co/tOHrramOcM</t>
  </si>
  <si>
    <t>radaraktual
Dugaan Korupsi Rp.52 Miliar di
PT Pos Finance, Kejati Jabar Kembali
Tetapkan Tersangka https://t.co/0fStjM99Sn</t>
  </si>
  <si>
    <t>cyllenon
Você sabe qual foi o padrão ético
e moral de Jesus, em seus relacionamentos
sociais, enquanto esteve na Terra?
🤔 Vem descobrir. 👉 https://t.co/QE8XBHVCWl
https://t.co/tOHrramOcM</t>
  </si>
  <si>
    <t>adilson28173410
@budocaio @AndreGGuerrero @tuca_nos
@LulaOficial Acredito que sim,
embora hoje Ciro tenha quebrado
qualquer ponte com o PT e maior
parte da esquerda, o que vai, fatalmente,
sepulta-lo politicamente. O fator
renovação será implacável no pós
Lula.</t>
  </si>
  <si>
    <t xml:space="preserve">tuca_nos
</t>
  </si>
  <si>
    <t xml:space="preserve">andregguerrero
</t>
  </si>
  <si>
    <t xml:space="preserve">budocaio
</t>
  </si>
  <si>
    <t>pos__san
【イベント開催】 9/29(水) 12:00から、ストーリーイベント「Make
up in Halloween！」を開催中です！ イベントPtを集めるとイベント限定サポートカードや虹の結晶片が獲得できます！
イベント限定ストーリーもお見逃しなく！ https://t.co/TVOztWDlhm
#ウマ娘 #ゲームウマ娘 https://t.co/k16PdKK1EL</t>
  </si>
  <si>
    <t>uma_musu
【イベント開催】 9/29(水) 12:00から、ストーリーイベント「Make
up in Halloween！」を開催中です！ イベントPtを集めるとイベント限定サポートカードや虹の結晶片が獲得できます！
イベント限定ストーリーもお見逃しなく！ https://t.co/TVOztWDlhm
#ウマ娘 #ゲームウマ娘 https://t.co/k16PdKK1EL</t>
  </si>
  <si>
    <t>lxl_747
WTS price exc pos -yugyeom DYE
RM 18 -youngjae BOL RM 20 🦋buy
both RM 37 excpos -bambam treka
RM5 -bambam spinning the top RM8
🦋buy both RM 10 excpos -youngjae
book mark RM7 -jb mirror card RM
10 🦋buy both RM 15 excpos -use
jnt RM 8 wm// rts: need money #pasarGOT7
https://t.co/2X0gMighWp</t>
  </si>
  <si>
    <t>tsfradio
Presidente pôs "os pontos nos is".
Melo Gomes critica polémica com
exoneração de chefe da Armada https://t.co/VGEUKOb7bA
Em https://t.co/MDmhqgtnSp https://t.co/Xf1rJIVwtu</t>
  </si>
  <si>
    <t>trilubiusgrow
A Academia Sino-Lusófona da #UCoimbra
organiza na segunda-feira, dia
4 de outubro, a conferência internacional
"(Acesso à) Justiça e Digitalização:
Desafios Pós-Pandemia", que será
transmitida no canal de YouTube
da @UnivdeCoimbra. https://t.co/5l9VYQr9U1</t>
  </si>
  <si>
    <t>univdecoimbra
A Academia Sino-Lusófona da #UCoimbra
organiza na segunda-feira, dia
4 de outubro, a conferência internacional
"(Acesso à) Justiça e Digitalização:
Desafios Pós-Pandemia", que será
transmitida no canal de YouTube
da @UnivdeCoimbra. https://t.co/5l9VYQr9U1</t>
  </si>
  <si>
    <t>revistaposvenda
#posvenda Parceiros no Pós-Venda
Pós-Venda lança Guia do Aftermarket
2021/2022: https://t.co/fremMgzLua</t>
  </si>
  <si>
    <t>kreatifsultanid
Kejaksaan Tinggi (Kejati) Jawa
Barat kembali melakukan penahanan
terhadap tersangka kasus dugaan
korupsi PT Pos Financial (Posfin)
senilai Rp52 miliar. #kejatijabar
#posfin #ptposfin #kajatijabar
#kejaksaantinggijawabarat @kejati_jabar
@KejaksaanRI @posindonesia279 https://t.co/uzMvGAKHEo</t>
  </si>
  <si>
    <t xml:space="preserve">posindonesia279
</t>
  </si>
  <si>
    <t>aep62247434
Kejaksaan Tinggi (Kejati) Jawa
Barat kembali melakukan penahanan
terhadap tersangka kasus dugaan
korupsi PT Pos Financial (Posfin)
senilai Rp52 miliar. #kejatijabar
#posfin #ptposfin #kajatijabar
#kejaksaantinggijawabarat @kejati_jabar
@KejaksaanRI @posindonesia279 https://t.co/uzMvGAKHEo</t>
  </si>
  <si>
    <t xml:space="preserve">kejaksaanri
</t>
  </si>
  <si>
    <t xml:space="preserve">kejati_jabar
</t>
  </si>
  <si>
    <t>eco_pt
Fim das moratórias, financiamento
sustentável e transformação digital:
(alguns) temas da banca no pós-pandemia
https://t.co/MVR4qBCi0x</t>
  </si>
  <si>
    <t>luveiga13
@Guilhermearrow @LulaOficial Mandam
sim e tu sabes disso amigo . Lula
investiu em educação a verba era
enviada . muito investimento e
não se faça de ingênuo . sanes
como funciona as coisas neste país
. COM a eleição de Dilma pós lula
se criou um grupo rebelde e a causa
era destruir os projetos do PT
.</t>
  </si>
  <si>
    <t xml:space="preserve">guilhermearrow
</t>
  </si>
  <si>
    <t>pedro13091398
@reporterenato @gabrielavinhal
Ele disse que no governo PT pegou
alguns empréstimos, ele não disse
sobre o pós PT. Certo ou entendi
errado?</t>
  </si>
  <si>
    <t xml:space="preserve">gabrielavinhal
</t>
  </si>
  <si>
    <t xml:space="preserve">reporterenato
</t>
  </si>
  <si>
    <t>iusedtobed
HELP RT 🇲🇾 [WTS] ATEEZ WOOYOUNG/
YEOSANG/SEONGHWA MUART 2.0 PC RM
130/all inc pos (flexi) RM 45/each
+RM5(flexi) +RM8(jnt)WM Seonghwa
and wooyoung need to pair with
yeosang, if only want yeosang no
need pairing ☺️ DM if you interested
or for more pictures^^ #pasarATEEZ
https://t.co/DTnFnGw10o</t>
  </si>
  <si>
    <t>heartfullofhwaa
HELP RT 🇲🇾 [WTS] ATEEZ WOOYOUNG/
YEOSANG/SEONGHWA MUART 2.0 PC RM
130/all inc pos (flexi) RM 45/each
+RM5(flexi) +RM8(jnt)WM Seonghwa
and wooyoung need to pair with
yeosang, if only want yeosang no
need pairing ☺️ DM if you interested
or for more pictures^^ #pasarATEEZ
https://t.co/DTnFnGw10o</t>
  </si>
  <si>
    <t>xchsan99
HELP RT 🇲🇾 [WTS] ATEEZ WOOYOUNG/
YEOSANG/SEONGHWA MUART 2.0 PC RM
130/all inc pos (flexi) RM 45/each
+RM5(flexi) +RM8(jnt)WM Seonghwa
and wooyoung need to pair with
yeosang, if only want yeosang no
need pairing ☺️ DM if you interested
or for more pictures^^ #pasarATEEZ
https://t.co/DTnFnGw10o</t>
  </si>
  <si>
    <t>kimnana1987
HELP RT 🇲🇾 [WTS] ATEEZ WOOYOUNG/
YEOSANG/SEONGHWA MUART 2.0 PC RM
130/all inc pos (flexi) RM 45/each
+RM5(flexi) +RM8(jnt)WM Seonghwa
and wooyoung need to pair with
yeosang, if only want yeosang no
need pairing ☺️ DM if you interested
or for more pictures^^ #pasarATEEZ
https://t.co/DTnFnGw10o</t>
  </si>
  <si>
    <t>yehetddeonghwa
HELP RT 🇲🇾 [WTS] ATEEZ WOOYOUNG/
YEOSANG/SEONGHWA MUART 2.0 PC RM
130/all inc pos (flexi) RM 45/each
+RM5(flexi) +RM8(jnt)WM Seonghwa
and wooyoung need to pair with
yeosang, if only want yeosang no
need pairing ☺️ DM if you interested
or for more pictures^^ #pasarATEEZ
https://t.co/DTnFnGw10o</t>
  </si>
  <si>
    <t>qtshwajy
HELP RT 🇲🇾 [WTS] ATEEZ WOOYOUNG/
YEOSANG/SEONGHWA MUART 2.0 PC RM
130/all inc pos (flexi) RM 45/each
+RM5(flexi) +RM8(jnt)WM Seonghwa
and wooyoung need to pair with
yeosang, if only want yeosang no
need pairing ☺️ DM if you interested
or for more pictures^^ #pasarATEEZ
https://t.co/DTnFnGw10o</t>
  </si>
  <si>
    <t>stayeri1
HELP RT 🇲🇾 [WTS] ATEEZ WOOYOUNG/
YEOSANG/SEONGHWA MUART 2.0 PC RM
130/all inc pos (flexi) RM 45/each
+RM5(flexi) +RM8(jnt)WM Seonghwa
and wooyoung need to pair with
yeosang, if only want yeosang no
need pairing ☺️ DM if you interested
or for more pictures^^ #pasarATEEZ
https://t.co/DTnFnGw10o</t>
  </si>
  <si>
    <t>cascais24_
CASCAIS24 : O regresso ao escritório
pós-Covid: modelos e medi... https://t.co/9PwNrzLqKK
https://t.co/9gHlZN1nKE</t>
  </si>
  <si>
    <t>velvhong
HELP RT 🇲🇾 [WTS] ATEEZ WOOYOUNG/
YEOSANG/SEONGHWA MUART 2.0 PC RM
130/all inc pos (flexi) RM 45/each
+RM5(flexi) +RM8(jnt)WM Seonghwa
and wooyoung need to pair with
yeosang, if only want yeosang no
need pairing ☺️ DM if you interested
or for more pictures^^ #pasarATEEZ
https://t.co/DTnFnGw10o</t>
  </si>
  <si>
    <t>andarom
Você sabe qual foi o padrão ético
e moral de Jesus, em seus relacionamentos
sociais, enquanto esteve na Terra?
🤔 Vem descobrir. 👉 https://t.co/QE8XBHVCWl
https://t.co/tOHrramOcM</t>
  </si>
  <si>
    <t>luisb
A Academia Sino-Lusófona da #UCoimbra
organiza na segunda-feira, dia
4 de outubro, a conferência internacional
"(Acesso à) Justiça e Digitalização:
Desafios Pós-Pandemia", que será
transmitida no canal de YouTube
da @UnivdeCoimbra. https://t.co/5l9VYQr9U1</t>
  </si>
  <si>
    <t>alephwang
Aku pelik dgn jnt... Pelik doe..
Parcel aku stu lg mana.. Kenapa
smpai yg lain dlu pdahal tmpt pos
sama, tauke sama, hri sama... Allahu</t>
  </si>
  <si>
    <t>cmvm_pt
A presidente da CMVM, Gabriela
Figueiredo Dias, participa amanhã
na conferência anual do #CIRSF
sobre #sistemafinanceiro e recuperação
económica. Falará sobre “Desafios
pós-#pandemia: Uma alteração de
paradigma para o setor financeiro?"
https://t.co/Yk8H9pxl85 ⏰ 30.09
| 9h15 https://t.co/MLFGWjixL6</t>
  </si>
  <si>
    <t>marcio_clay
@mqueiroga2 @sbc_cientifico Se
há risco pra que autorizar vacinação
em adolescentes? @jairbolsonaro
https://t.co/TG9X4PNAwO.</t>
  </si>
  <si>
    <t xml:space="preserve">sbc_cientifico
</t>
  </si>
  <si>
    <t xml:space="preserve">mqueiroga2
</t>
  </si>
  <si>
    <t>flyztrex
[HELP RT] #pasarNCT 🇲🇾 WTS PC
Jaemin Puff Hogwarts ep1 💸 rm375
exc pos 📮rm5 WM rm9 EM JNT (through
shopee) can post out by this evening
if pay before 11 am accept WW🌍
but pls make sure u have Malaysian
address &amp;amp; bank acc since i
can’t ship WW. https://t.co/IJ5tB9t3ot</t>
  </si>
  <si>
    <t>lilieslalisamn
[HELP RT] #pasarNCT 🇲🇾 WTS PC
Jaemin Puff Hanbok ep2 💸 rm375
exc pos 📮rm5 WM rm9 EM JNT (through
shopee) can post out by this evening
if pay before 11 am accept WW🌍
but pls make sure u have Malaysian
address &amp;amp; bank acc since i
can’t ship WW. https://t.co/xRuHoSiHpR</t>
  </si>
  <si>
    <t>ellathree2
[HELP RT] #pasarNCT WTS PC Jaemin
Puff police sticker 💸 rm40 exc
pos 📮rm5 WM rm9 EM JNT (through
shopee) can post out by this evening
if pay before 11 am accept WW🌍
but pls make sure u have Malaysian
address &amp;amp; bank acc since i
can’t ship WW. https://t.co/2eDkDmauZk</t>
  </si>
  <si>
    <t>ncit31
[HELP RT] #pasarNCT WTS PC Jaemin
Puff police sticker 💸 rm40 exc
pos 📮rm5 WM rm9 EM JNT (through
shopee) can post out by this evening
if pay before 11 am accept WW🌍
but pls make sure u have Malaysian
address &amp;amp; bank acc since i
can’t ship WW. https://t.co/2eDkDmauZk</t>
  </si>
  <si>
    <t>jaeemann
[HELP RT] #pasarNCT 🇲🇾 WTS PC
Jaemin Puff Hogwarts ep1 💸 rm375
exc pos 📮rm5 WM rm9 EM JNT (through
shopee) can post out by this evening
if pay before 11 am accept WW🌍
but pls make sure u have Malaysian
address &amp;amp; bank acc since i
can’t ship WW. https://t.co/IJ5tB9t3ot</t>
  </si>
  <si>
    <t>myncteam
[HELP RT] #pasarNCT 🇲🇾 WTS PC
Jaemin Puff Hogwarts ep1 💸 rm375
exc pos 📮rm5 WM rm9 EM JNT (through
shopee) can post out by this evening
if pay before 11 am accept WW🌍
but pls make sure u have Malaysian
address &amp;amp; bank acc since i
can’t ship WW. https://t.co/IJ5tB9t3ot</t>
  </si>
  <si>
    <t>kamlaiyin
[HELP RT] #pasarNCT 🇲🇾 WTS PC
Jaemin Puff Hogwarts ep1 💸 rm375
exc pos 📮rm5 WM rm9 EM JNT (through
shopee) can post out by this evening
if pay before 11 am accept WW🌍
but pls make sure u have Malaysian
address &amp;amp; bank acc since i
can’t ship WW. https://t.co/IJ5tB9t3ot</t>
  </si>
  <si>
    <t>naynayli_
[HELP RT] #pasarNCT 🇲🇾 WTS PC
Jaemin Puff Hanbok ep2 💸 rm375
exc pos 📮rm5 WM rm9 EM JNT (through
shopee) can post out by this evening
if pay before 11 am accept WW🌍
but pls make sure u have Malaysian
address &amp;amp; bank acc since i
can’t ship WW. https://t.co/xRuHoSiHpR</t>
  </si>
  <si>
    <t>sweettyprncss
[HELP RT] #pasarNCT 🇲🇾 WTS PC
Jaemin Puff Hanbok ep2 💸 rm375
exc pos 📮rm5 WM rm9 EM JNT (through
shopee) can post out by this evening
if pay before 11 am accept WW🌍
but pls make sure u have Malaysian
address &amp;amp; bank acc since i
can’t ship WW. https://t.co/xRuHoSiHpR</t>
  </si>
  <si>
    <t>dearczennies_
[HELP RT] #pasarNCT 🇲🇾 WTS PC
Jaemin Puff Hanbok ep2 💸 rm375
exc pos 📮rm5 WM rm9 EM JNT (through
shopee) can post out by this evening
if pay before 11 am accept WW🌍
but pls make sure u have Malaysian
address &amp;amp; bank acc since i
can’t ship WW. https://t.co/xRuHoSiHpR</t>
  </si>
  <si>
    <t>antniosrgiomen4
@J_LIVRES E nós lembramos do Banco
Santander, e mesmo que acatou o
pedido do lulaladrão, para demitir
uma funcionária do banco, por ter
alertado um cliente para não fazê
investimentos no mercado pôs o
PT, estava afundando o país</t>
  </si>
  <si>
    <t xml:space="preserve">j_livres
</t>
  </si>
  <si>
    <t>aestheticallyeo
[HELP RT] #pasarNCT 🇲🇾 WTS PC
Jaemin Puff Hanbok ep2 💸 rm375
exc pos 📮rm5 WM rm9 EM JNT (through
shopee) can post out by this evening
if pay before 11 am accept WW🌍
but pls make sure u have Malaysian
address &amp;amp; bank acc since i
can’t ship WW. https://t.co/xRuHoSiHpR</t>
  </si>
  <si>
    <t>qtpiejcm
[HELP RT] #pasarNCT 🇲🇾 WTS PC
Jaemin Puff Hogwarts ep1 💸 rm375
exc pos 📮rm5 WM rm9 EM JNT (through
shopee) can post out by this evening
if pay before 11 am accept WW🌍
but pls make sure u have Malaysian
address &amp;amp; bank acc since i
can’t ship WW. https://t.co/IJ5tB9t3ot</t>
  </si>
  <si>
    <t>ester12897249
Você sabe qual foi o padrão ético
e moral de Jesus, em seus relacionamentos
sociais, enquanto esteve na Terra?
🤔 Vem descobrir. 👉 https://t.co/QE8XBHVCWl
https://t.co/tOHrramOcM</t>
  </si>
  <si>
    <t>jarodrigues88
Ñ temos certeza se foi por conta
da vacina (astrazeneca há 30 dias)
ou alguma infecção, mas fica o
alerta pra todos. A Anvisa já noticiou
sobre o assunto e encontrei muitos
relatos no YouTube e aqui no Twitter
sobre essa síndrome. Sejamos vigilantes.
https://t.co/zIUkSBVmYY</t>
  </si>
  <si>
    <t>aliaisyin
[HELP RT] #pasarNCT WTS PC Jaemin
Puff police sticker 💸 rm40 exc
pos 📮rm5 WM rm9 EM JNT (through
shopee) can post out by this evening
if pay before 11 am accept WW🌍
but pls make sure u have Malaysian
address &amp;amp; bank acc since i
can’t ship WW. https://t.co/2eDkDmauZk</t>
  </si>
  <si>
    <t>bibliotecaippur
Relatório destaca indicadores para
medidas de recuperação socioeconômica,
proteção social e inclusão digital
como forma de inserir o Brasil
em uma rota de desenvolvimento
inclusiva e sustentável. @PNUDBrasil
@UNESCOBrasil @unicefbrasil @OPASOMSBrasil
https://t.co/zynpY0NDII</t>
  </si>
  <si>
    <t>marcinhaboar
Relatório destaca indicadores para
medidas de recuperação socioeconômica,
proteção social e inclusão digital
como forma de inserir o Brasil
em uma rota de desenvolvimento
inclusiva e sustentável. @PNUDBrasil
@UNESCOBrasil @unicefbrasil @OPASOMSBrasil
https://t.co/zynpY0NDII</t>
  </si>
  <si>
    <t>gustavobarreto_
Relatório destaca indicadores para
medidas de recuperação socioeconômica,
proteção social e inclusão digital
como forma de inserir o Brasil
em uma rota de desenvolvimento
inclusiva e sustentável. @PNUDBrasil
@UNESCOBrasil @unicefbrasil @OPASOMSBrasil
https://t.co/XJxP4gvhun</t>
  </si>
  <si>
    <t>modemoodmove
[HELP RT] #pasarNCT 🇲🇾 WTS PC
Jaemin Puff Hanbok ep2 💸 rm375
exc pos 📮rm5 WM rm9 EM JNT (through
shopee) can post out by this evening
if pay before 11 am accept WW🌍
but pls make sure u have Malaysian
address &amp;amp; bank acc since i
can’t ship WW. https://t.co/xRuHoSiHpR</t>
  </si>
  <si>
    <t>bianchi_jc
Relatório destaca indicadores para
medidas de recuperação socioeconômica,
proteção social e inclusão digital
como forma de inserir o Brasil
em uma rota de desenvolvimento
inclusiva e sustentável. @PNUDBrasil
@UNESCOBrasil @unicefbrasil @OPASOMSBrasil
https://t.co/zynpY0NDII</t>
  </si>
  <si>
    <t>gio73568992
Relatório destaca indicadores para
medidas de recuperação socioeconômica,
proteção social e inclusão digital
como forma de inserir o Brasil
em uma rota de desenvolvimento
inclusiva e sustentável. @PNUDBrasil
@UNESCOBrasil @unicefbrasil @OPASOMSBrasil
https://t.co/zynpY0NDII</t>
  </si>
  <si>
    <t>tvi24pt
Perda de bola em transição... e
Lewandowski bisa, pos claro https://t.co/vVaxH6kfhG</t>
  </si>
  <si>
    <t>tvi24ultimas
Perda de bola em transição... e
Lewandowski bisa, pos claro https://t.co/7gvmHork6Q</t>
  </si>
  <si>
    <t>marciomanoo
@slvgm @edwin_niles_fox @mauricinho2507
@pt_caveira @Sen_Alessandro Também
sou formado em Direito, Música,
História e Teatro. Tenho duas pós
em educação e especialista em processo
internacional. Mas nãoa doro Satã
igual aos bozolóides. Se você ama
Bozo tem genocida de estimação
sim</t>
  </si>
  <si>
    <t xml:space="preserve">sen_alessandro
</t>
  </si>
  <si>
    <t xml:space="preserve">mauricinho2507
</t>
  </si>
  <si>
    <t xml:space="preserve">edwin_niles_fox
</t>
  </si>
  <si>
    <t xml:space="preserve">slvgm
</t>
  </si>
  <si>
    <t xml:space="preserve">pt_caveira
</t>
  </si>
  <si>
    <t>valdenizo07
Você sabe qual foi o padrão ético
e moral de Jesus, em seus relacionamentos
sociais, enquanto esteve na Terra?
🤔 Vem descobrir. 👉 https://t.co/QE8XBHVCWl
https://t.co/tOHrramOcM</t>
  </si>
  <si>
    <t>soyrach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</si>
  <si>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gremiothreads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</si>
  <si>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biabionica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</si>
  <si>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ficaramsabendo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</si>
  <si>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somel62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</si>
  <si>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edi33850787
@DeputadoFederal Pessoas honestas
que luta por uma Brasil melhor
do que eles pegaram, pós pt .</t>
  </si>
  <si>
    <t>gyomsi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</si>
  <si>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cristin11420887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</si>
  <si>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lvitorporto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</si>
  <si>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joaoboscorocha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</si>
  <si>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mjq20983
@douglasbaiao @brunocastilho @Ruyfarias
@chico_pinheiro Meu querido, ele
BOICOTOU as vacinas, enfiou Cloroquina
no rabo do povo, cagou pras necessidade
do povo, aprovou um auxílio emergencial
sem mais nem menos só pq o congresso
pôs pra frente. Isso é conduzir
a PANDEMIA? Com o PT estaríamos
sim, muito melhor obrigado!</t>
  </si>
  <si>
    <t xml:space="preserve">chico_pinheiro
</t>
  </si>
  <si>
    <t xml:space="preserve">ruyfarias
</t>
  </si>
  <si>
    <t xml:space="preserve">brunocastilho
</t>
  </si>
  <si>
    <t xml:space="preserve">douglasbaiao
</t>
  </si>
  <si>
    <t>karl92s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</si>
  <si>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nmbaudelaire
Chega, Ventura - is going after
the Roma. Allegedly doesn't want
to "expel them from the country"
but I've seen this movie before
No deals w/other parties? Passive
threats towards ethnic groups?
Não passarão, you POS https://t.co/DwMG6YL60t</t>
  </si>
  <si>
    <t>marcsure00
@CostaJr2022 Brasil pós PT</t>
  </si>
  <si>
    <t xml:space="preserve">costajr2022
</t>
  </si>
  <si>
    <t>angelarosane
Relatório destaca indicadores para
medidas de recuperação socioeconômica,
proteção social e inclusão digital
como forma de inserir o Brasil
em uma rota de desenvolvimento
inclusiva e sustentável. @PNUDBrasil
@UNESCOBrasil @unicefbrasil @OPASOMSBrasil
https://t.co/zynpY0NDII</t>
  </si>
  <si>
    <t>do0rnjun
[HELP RT] #pasarNCT 🇲🇾 WTS PC
Jaemin Puff Hogwarts ep1 💸 rm375
exc pos 📮rm5 WM rm9 EM JNT (through
shopee) can post out by this evening
if pay before 11 am accept WW🌍
but pls make sure u have Malaysian
address &amp;amp; bank acc since i
can’t ship WW. https://t.co/IJ5tB9t3ot</t>
  </si>
  <si>
    <t>patchabalgo
ANVISA alerta sobre risco de MIOCARDITE
e PERICARDITE pós vaxx. https://t.co/D2KVuGVu0n</t>
  </si>
  <si>
    <t>l_fighera
ANVISA alerta sobre risco de MIOCARDITE
e PERICARDITE pós vaxx. https://t.co/D2KVuGVu0n</t>
  </si>
  <si>
    <t>julene30141380
ANVISA alerta sobre risco de MIOCARDITE
e PERICARDITE pós vaxx. https://t.co/D2KVuGVu0n</t>
  </si>
  <si>
    <t>yochiyayaya
[HELP RT] #pasarNCT 🇲🇾 WTS PC
Jaemin Puff Hanbok ep2 💸 rm375
exc pos 📮rm5 WM rm9 EM JNT (through
shopee) can post out by this evening
if pay before 11 am accept WW🌍
but pls make sure u have Malaysian
address &amp;amp; bank acc since i
can’t ship WW. https://t.co/xRuHoSiHpR</t>
  </si>
  <si>
    <t>roseforkayla
[HELP RT] #pasarNCT 🇲🇾 WTS PC
Jaemin Puff Hogwarts ep1 💸 rm375
exc pos 📮rm5 WM rm9 EM JNT (through
shopee) can post out by this evening
if pay before 11 am accept WW🌍
but pls make sure u have Malaysian
address &amp;amp; bank acc since i
can’t ship WW. https://t.co/IJ5tB9t3ot</t>
  </si>
  <si>
    <t>izzaknj
[HELP RT] #pasarNCT 🇲🇾 WTS PC
Jaemin Puff Hanbok ep2 💸 rm375
exc pos 📮rm5 WM rm9 EM JNT (through
shopee) can post out by this evening
if pay before 11 am accept WW🌍
but pls make sure u have Malaysian
address &amp;amp; bank acc since i
can’t ship WW. https://t.co/xRuHoSiHpR</t>
  </si>
  <si>
    <t>gdvbstyong
[HELP RT] #pasarNCT 🇲🇾 WTS PC
Jaemin Puff Hanbok ep2 💸 rm375
exc pos 📮rm5 WM rm9 EM JNT (through
shopee) can post out by this evening
if pay before 11 am accept WW🌍
but pls make sure u have Malaysian
address &amp;amp; bank acc since i
can’t ship WW. https://t.co/xRuHoSiHpR</t>
  </si>
  <si>
    <t>formywoos
[HELP RT] #pasarNCT 🇲🇾 WTS PC
Jaemin Puff Hogwarts ep1 💸 rm375
exc pos 📮rm5 WM rm9 EM JNT (through
shopee) can post out by this evening
if pay before 11 am accept WW🌍
but pls make sure u have Malaysian
address &amp;amp; bank acc since i
can’t ship WW. https://t.co/IJ5tB9t3ot</t>
  </si>
  <si>
    <t>andreahelenago4
ANVISA alerta sobre risco de MIOCARDITE
e PERICARDITE pós vaxx. https://t.co/D2KVuGVu0n</t>
  </si>
  <si>
    <t>mintgreenfilm
[HELP RT] #pasarNCT 🇲🇾 WTS PC
Jaemin Puff Hogwarts ep1 💸 rm375
exc pos 📮rm5 WM rm9 EM JNT (through
shopee) can post out by this evening
if pay before 11 am accept WW🌍
but pls make sure u have Malaysian
address &amp;amp; bank acc since i
can’t ship WW. https://t.co/IJ5tB9t3ot</t>
  </si>
  <si>
    <t>antonie46522009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</si>
  <si>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nffrhinn
[HELP RT] #pasarNCT 🇲🇾 WTS PC
Jaemin Puff Hanbok ep2 💸 rm375
exc pos 📮rm5 WM rm9 EM JNT (through
shopee) can post out by this evening
if pay before 11 am accept WW🌍
but pls make sure u have Malaysian
address &amp;amp; bank acc since i
can’t ship WW. https://t.co/xRuHoSiHpR</t>
  </si>
  <si>
    <t>luviejaemn
[HELP RT] #pasarNCT 🇲🇾 WTS PC
Jaemin Puff Hogwarts ep1 💸 rm375
exc pos 📮rm5 WM rm9 EM JNT (through
shopee) can post out by this evening
if pay before 11 am accept WW🌍
but pls make sure u have Malaysian
address &amp;amp; bank acc since i
can’t ship WW. https://t.co/IJ5tB9t3ot</t>
  </si>
  <si>
    <t>kokosungjin
@PT_Transjakarta kenapa jak53 arah
grogol lama banget, padahal yg
ke arah pos pengumben udah 5 kali
lewat ini yg grogol blom sama sekali</t>
  </si>
  <si>
    <t>chriscrfla
A verdade é que essa porta nunca
mais será fechada,a tendência é
piorar com a saída do bolsonaro
ou não,eles gostaram do gostinho
de poder que eles estão tendo pós
PT e não vão abrir mão de novo,Lula
q não se cuide com esse discurso
conciliador pq vão passar o pau
nele de novo https://t.co/d2FXNRtqoO</t>
  </si>
  <si>
    <t>laurissimaspfc
Semana passada me inscrevi no processo
seletivo para um cargo acadêmico
X, remuneração: 700 reais mensais.
Não, não é estágio. Pois bem, hoje
fiquei sabendo que tem até pós
doutor entre os candidatos para
ocupar a vaga e receber essa bolada.
Saudades do PT destruindo o Brasil
https://t.co/5FfvLaQDOI</t>
  </si>
  <si>
    <t>rejaneyarasilv1
ANVISA alerta sobre risco de MIOCARDITE
e PERICARDITE pós vaxx. https://t.co/D2KVuGVu0n</t>
  </si>
  <si>
    <t>fairyschengg
[HELP RT] #pasarNCT 🇲🇾 WTS PC
Jaemin Puff Hanbok ep2 💸 rm375
exc pos 📮rm5 WM rm9 EM JNT (through
shopee) can post out by this evening
if pay before 11 am accept WW🌍
but pls make sure u have Malaysian
address &amp;amp; bank acc since i
can’t ship WW. https://t.co/xRuHoSiHpR</t>
  </si>
  <si>
    <t>seabraped
@joo_jalexandre @ElevenSports_PT
@SPORTTVPortugal @tvi @SIConline
Estou de acordo. Tbém fiz o mmo
e logo no pós jogo de dínamo/Benfica
ouvi os comentários e discussão
e comentei aqui o mmo. Gostei imenso</t>
  </si>
  <si>
    <t xml:space="preserve">siconline
</t>
  </si>
  <si>
    <t xml:space="preserve">tvi
</t>
  </si>
  <si>
    <t xml:space="preserve">sporttvportugal
</t>
  </si>
  <si>
    <t xml:space="preserve">joo_jalexandre
</t>
  </si>
  <si>
    <t>jpurwa01
@PosIndo PT Pos Indonesia gimana
BUMN mau bersaing sama swasta kalau
layanannya aja kaya gini, paket
dokumen butuh waktu berhari-hari
padahal jakarta-tangsel tuh gak
jauh2 amat 🤣 @KemenBUMN @erickthohir
https://t.co/OuxsmOYY8P</t>
  </si>
  <si>
    <t>michell15303291
@JornalOGlobo Brasil pós golpe,
e aquela aberração de" escolha
difícil " entre um professor e
ex ministro da educação, e esse
presimente miliciano. Mas o importante
era tirar o PT né.</t>
  </si>
  <si>
    <t>riccard4andre
@pt_caveira @GloboNews @andretrig
É mentira dizer que ele não podia
trabalhar pois iria salvá-lo da
covid. E que agora ele viverá de
miséria do governo? A Argentina
está melhor que nós no pós fique
em casa?hahahaha Vai piorar muitooo
ainda, tá só começando.</t>
  </si>
  <si>
    <t xml:space="preserve">andretrig
</t>
  </si>
  <si>
    <t xml:space="preserve">globonews
</t>
  </si>
  <si>
    <t>haechiedotco
[HELP RT] #pasarNCT 🇲🇾 WTS PC
Jaemin Puff Hogwarts ep1 💸 rm375
exc pos 📮rm5 WM rm9 EM JNT (through
shopee) can post out by this evening
if pay before 11 am accept WW🌍
but pls make sure u have Malaysian
address &amp;amp; bank acc since i
can’t ship WW. https://t.co/IJ5tB9t3ot</t>
  </si>
  <si>
    <t>nctmy95
[HELP RT] #pasarNCT 🇲🇾 WTS PC
Jaemin Puff Hogwarts ep1 💸 rm375
exc pos 📮rm5 WM rm9 EM JNT (through
shopee) can post out by this evening
if pay before 11 am accept WW🌍
but pls make sure u have Malaysian
address &amp;amp; bank acc since i
can’t ship WW. https://t.co/IJ5tB9t3ot</t>
  </si>
  <si>
    <t>nctzen_my
[HELP RT] #pasarNCT 🇲🇾 WTS PC
Jaemin Puff Hogwarts ep1 💸 rm375
exc pos 📮rm5 WM rm9 EM JNT (through
shopee) can post out by this evening
if pay before 11 am accept WW🌍
but pls make sure u have Malaysian
address &amp;amp; bank acc since i
can’t ship WW. https://t.co/IJ5tB9t3ot</t>
  </si>
  <si>
    <t>jentokiee
[HELP RT] #pasarNCT 🇲🇾 WTS PC
Jaemin Puff Hogwarts ep1 💸 rm375
exc pos 📮rm5 WM rm9 EM JNT (through
shopee) can post out by this evening
if pay before 11 am accept WW🌍
but pls make sure u have Malaysian
address &amp;amp; bank acc since i
can’t ship WW. https://t.co/IJ5tB9t3ot</t>
  </si>
  <si>
    <t>domingoparque
@fta018 @LeandroPradodj @gabrielabilo1
@camilorocha As bases estão sendo
desmontadas no Temer e neste! O
Brasil era pós FHC dívidas e juros
alto. A turbulência de q? Da retirada
de Dilma? A gente estava com uma
taxa de 4% de desemprego. O pib
de outros países não recuou e aumentou
o do Brasil teve um recuo. A culpa
é do PT</t>
  </si>
  <si>
    <t xml:space="preserve">camilorocha
</t>
  </si>
  <si>
    <t xml:space="preserve">gabrielabilo1
</t>
  </si>
  <si>
    <t xml:space="preserve">leandropradodj
</t>
  </si>
  <si>
    <t xml:space="preserve">fta018
</t>
  </si>
  <si>
    <t>ddaisyyarchives
[HELP RT] #pasarNCT 🇲🇾 WTS PC
Jaemin Puff Hanbok ep2 💸 rm375
exc pos 📮rm5 WM rm9 EM JNT (through
shopee) can post out by this evening
if pay before 11 am accept WW🌍
but pls make sure u have Malaysian
address &amp;amp; bank acc since i
can’t ship WW. https://t.co/xRuHoSiHpR</t>
  </si>
  <si>
    <t>pasarnct
[HELP RT] #pasarNCT 🇲🇾 WTS PC
Jaemin Puff Hogwarts ep1 💸 rm375
exc pos 📮rm5 WM rm9 EM JNT (through
shopee) can post out by this evening
if pay before 11 am accept WW🌍
but pls make sure u have Malaysian
address &amp;amp; bank acc since i
can’t ship WW. https://t.co/IJ5tB9t3ot</t>
  </si>
  <si>
    <t>rnjn000
[HELP RT] #pasarNCT 🇲🇾 WTS PC
Jaemin Puff Hogwarts ep1 💸 rm375
exc pos 📮rm5 WM rm9 EM JNT (through
shopee) can post out by this evening
if pay before 11 am accept WW🌍
but pls make sure u have Malaysian
address &amp;amp; bank acc since i
can’t ship WW. https://t.co/IJ5tB9t3ot</t>
  </si>
  <si>
    <t>oning0ning
[HELP RT] #pasarNCT 🇲🇾 WTS PC
Jaemin Puff Hanbok ep2 💸 rm375
exc pos 📮rm5 WM rm9 EM JNT (through
shopee) can post out by this evening
if pay before 11 am accept WW🌍
but pls make sure u have Malaysian
address &amp;amp; bank acc since i
can’t ship WW. https://t.co/xRuHoSiHpR</t>
  </si>
  <si>
    <t>nctrting
[HELP RT] #pasarNCT 🇲🇾 WTS PC
Jaemin Puff Hogwarts ep1 💸 rm375
exc pos 📮rm5 WM rm9 EM JNT (through
shopee) can post out by this evening
if pay before 11 am accept WW🌍
but pls make sure u have Malaysian
address &amp;amp; bank acc since i
can’t ship WW. https://t.co/IJ5tB9t3ot</t>
  </si>
  <si>
    <t>win4nity
[HELP RT] #pasarNCT 🇲🇾 WTS PC
Jaemin Puff Hogwarts ep1 💸 rm375
exc pos 📮rm5 WM rm9 EM JNT (through
shopee) can post out by this evening
if pay before 11 am accept WW🌍
but pls make sure u have Malaysian
address &amp;amp; bank acc since i
can’t ship WW. https://t.co/IJ5tB9t3ot</t>
  </si>
  <si>
    <t>jwisungwy
[HELP RT] #pasarNCT 🇲🇾 WTS PC
Jaemin Puff Hogwarts ep1 💸 rm375
exc pos 📮rm5 WM rm9 EM JNT (through
shopee) can post out by this evening
if pay before 11 am accept WW🌍
but pls make sure u have Malaysian
address &amp;amp; bank acc since i
can’t ship WW. https://t.co/IJ5tB9t3ot</t>
  </si>
  <si>
    <t>yangyang335
[HELP RT] #pasarNCT 🇲🇾 WTS PC
Jaemin Puff Hanbok ep2 💸 rm375
exc pos 📮rm5 WM rm9 EM JNT (through
shopee) can post out by this evening
if pay before 11 am accept WW🌍
but pls make sure u have Malaysian
address &amp;amp; bank acc since i
can’t ship WW. https://t.co/xRuHoSiHpR</t>
  </si>
  <si>
    <t>mylifesiwon
[HELP RT] #pasarNCT 🇲🇾 WTS PC
Jaemin Puff Hogwarts ep1 💸 rm375
exc pos 📮rm5 WM rm9 EM JNT (through
shopee) can post out by this evening
if pay before 11 am accept WW🌍
but pls make sure u have Malaysian
address &amp;amp; bank acc since i
can’t ship WW. https://t.co/IJ5tB9t3ot</t>
  </si>
  <si>
    <t>lilkdyct
[HELP RT] #pasarNCT 🇲🇾 WTS PC
Jaemin Puff Hogwarts ep1 💸 rm375
exc pos 📮rm5 WM rm9 EM JNT (through
shopee) can post out by this evening
if pay before 11 am accept WW🌍
but pls make sure u have Malaysian
address &amp;amp; bank acc since i
can’t ship WW. https://t.co/IJ5tB9t3ot</t>
  </si>
  <si>
    <t>josemaralves
@jandira_feghali Nossa o crime
pós PT passou ser uma brincadeirinha
onde os bandidos só precisam pedir
desculpas e ficam livres de punição,quanto
progresso no combate a bandidagem
hein Brasil ?</t>
  </si>
  <si>
    <t>eewiinn_
[HELP RT] #pasarNCT 🇲🇾 WTS PC
Jaemin Puff Hogwarts ep1 💸 rm375
exc pos 📮rm5 WM rm9 EM JNT (through
shopee) can post out by this evening
if pay before 11 am accept WW🌍
but pls make sure u have Malaysian
address &amp;amp; bank acc since i
can’t ship WW. https://t.co/IJ5tB9t3ot</t>
  </si>
  <si>
    <t>wnrashida1
[HELP RT] #pasarNCT 🇲🇾 WTS PC
Jaemin Puff Hogwarts ep1 💸 rm375
exc pos 📮rm5 WM rm9 EM JNT (through
shopee) can post out by this evening
if pay before 11 am accept WW🌍
but pls make sure u have Malaysian
address &amp;amp; bank acc since i
can’t ship WW. https://t.co/IJ5tB9t3ot</t>
  </si>
  <si>
    <t>ttalgijaemdonut
[HELP RT] #pasarNCT 🇲🇾 WTS PC
Jaemin Puff Hogwarts ep1 💸 rm375
exc pos 📮rm5 WM rm9 EM JNT (through
shopee) can post out by this evening
if pay before 11 am accept WW🌍
but pls make sure u have Malaysian
address &amp;amp; bank acc since i
can’t ship WW. https://t.co/IJ5tB9t3ot</t>
  </si>
  <si>
    <t>f41ryygyuu
[HELP RT] #pasarNCT 🇲🇾 WTS PC
Jaemin Puff Hogwarts ep1 💸 rm375
exc pos 📮rm5 WM rm9 EM JNT (through
shopee) can post out by this evening
if pay before 11 am accept WW🌍
but pls make sure u have Malaysian
address &amp;amp; bank acc since i
can’t ship WW. https://t.co/IJ5tB9t3ot</t>
  </si>
  <si>
    <t>j3rrybbo_
[HELP RT] #pasarNCT 🇲🇾 WTS PC
Jaemin Puff Hogwarts ep1 💸 rm375
exc pos 📮rm5 WM rm9 EM JNT (through
shopee) can post out by this evening
if pay before 11 am accept WW🌍
but pls make sure u have Malaysian
address &amp;amp; bank acc since i
can’t ship WW. https://t.co/IJ5tB9t3ot</t>
  </si>
  <si>
    <t>lilytrisy
[HELP RT] #pasarNCT 🇲🇾 WTS PC
Jaemin Puff Hogwarts ep1 💸 rm375
exc pos 📮rm5 WM rm9 EM JNT (through
shopee) can post out by this evening
if pay before 11 am accept WW🌍
but pls make sure u have Malaysian
address &amp;amp; bank acc since i
can’t ship WW. https://t.co/IJ5tB9t3ot</t>
  </si>
  <si>
    <t>rebeccaeberger
@cheinrich86 @medpedshosp @CCF_IMCHIEFS
Most common times I see this is
either premature switch to SQ (pt
not taking POs, bicarbonate/pH
not normalized) or insufficient
overlap with SQ (min 2-3 hours)</t>
  </si>
  <si>
    <t xml:space="preserve">ccf_imchiefs
</t>
  </si>
  <si>
    <t xml:space="preserve">medpedshosp
</t>
  </si>
  <si>
    <t xml:space="preserve">cheinrich86
</t>
  </si>
  <si>
    <t>jenddongie_
[HELP RT] #pasarNCT 🇲🇾 WTS PC
Jaemin Puff Hogwarts ep1 💸 rm375
exc pos 📮rm5 WM rm9 EM JNT (through
shopee) can post out by this evening
if pay before 11 am accept WW🌍
but pls make sure u have Malaysian
address &amp;amp; bank acc since i
can’t ship WW. https://t.co/IJ5tB9t3ot</t>
  </si>
  <si>
    <t>glittooglitchie
[HELP RT] #pasarNCT 🇲🇾 WTS PC
Jaemin Puff Hogwarts ep1 💸 rm375
exc pos 📮rm5 WM rm9 EM JNT (through
shopee) can post out by this evening
if pay before 11 am accept WW🌍
but pls make sure u have Malaysian
address &amp;amp; bank acc since i
can’t ship WW. https://t.co/IJ5tB9t3ot</t>
  </si>
  <si>
    <t>euronewspt
Reino Unido rejeitou licenças de
pesca a mais de uma centena de
barcos franceses, incluindo 75
pela ilha de Jersey, justificadas
com os critérios do acordo de transição
pós #Brexit https://t.co/YoNsbiW3Kr</t>
  </si>
  <si>
    <t>anamarchetti
Reino Unido rejeitou licenças de
pesca a mais de uma centena de
barcos franceses, incluindo 75
pela ilha de Jersey, justificadas
com os critérios do acordo de transição
pós #Brexit https://t.co/YoNsbiW3Kr</t>
  </si>
  <si>
    <t>hary_tanoe
Suatu kehormatan bagi MNC Group
atas kerja sama dengan PT Pos Indonesia
(Persero) ini.  Zaman sekarang
ini harus mengembangkan ekosistem
yang sebesar-besarnya. Jadi, harus
beraliansi, harus berkolaborasi. 
https://t.co/X0j5KVkuQy</t>
  </si>
  <si>
    <t>lignummare
Suatu kehormatan bagi MNC Group
atas kerja sama dengan PT Pos Indonesia
(Persero) ini.  Zaman sekarang
ini harus mengembangkan ekosistem
yang sebesar-besarnya. Jadi, harus
beraliansi, harus berkolaborasi. 
https://t.co/X0j5KVkuQy</t>
  </si>
  <si>
    <t>cinemjaem
[HELP RT] #pasarNCT 🇲🇾 WTS PC
Jaemin Puff Hogwarts ep1 💸 rm375
exc pos 📮rm5 WM rm9 EM JNT (through
shopee) can post out by this evening
if pay before 11 am accept WW🌍
but pls make sure u have Malaysian
address &amp;amp; bank acc since i
can’t ship WW. https://t.co/IJ5tB9t3ot</t>
  </si>
  <si>
    <t>mintainfo1
Lowongan Kerja PT Pos Indonesia
(Persero) Bangkinang September
2021 https://t.co/p80N0JKkTI</t>
  </si>
  <si>
    <t>duualexandrejr
@raparigota Pós Enem vamo dar PT</t>
  </si>
  <si>
    <t xml:space="preserve">raparigota
</t>
  </si>
  <si>
    <t>frrznh
[HELP RT] #pasarNCT 🇲🇾 WTS PC
Jaemin Puff Hogwarts ep1 💸 rm375
exc pos 📮rm5 WM rm9 EM JNT (through
shopee) can post out by this evening
if pay before 11 am accept WW🌍
but pls make sure u have Malaysian
address &amp;amp; bank acc since i
can’t ship WW. https://t.co/IJ5tB9t3ot</t>
  </si>
  <si>
    <t>rosanaa80357793
@eduardopaes https://t.co/t5CziaW0dH</t>
  </si>
  <si>
    <t>hellowawawax
Nak order boleh terus ke shopee
okay🐣 within 24 hour saya akan
pos kat JNT nanti check je update
tracking kat shopee tu https://t.co/Wy2x50wMcP</t>
  </si>
  <si>
    <t>marlisilveira
@mouraedu2 @sandrabrasilia @JanainaDoBrasil
Eu acho que ela se enganou na data,
eu procurei e encontrei esse, mas
no dia 09/07/2021. Concordo com
você, é complicado de achar. https://t.co/dZlB2avQfM</t>
  </si>
  <si>
    <t>dorapereira2
@mouraedu2 @sandrabrasilia @JanainaDoBrasil
Eu acho que ela se enganou na data,
eu procurei e encontrei esse, mas
no dia 09/07/2021. Concordo com
você, é complicado de achar. https://t.co/dZlB2avQfM</t>
  </si>
  <si>
    <t xml:space="preserve">sandrabrasilia
</t>
  </si>
  <si>
    <t xml:space="preserve">mouraedu2
</t>
  </si>
  <si>
    <t>gusticputra
@MNCSekuritas Saya kirim dokumen
penutupan akun ke PT MNC SEKURITAS
melalui grab express dan di resepsionis/security
ditolak, saya call CS katanya hanya
terima melalui JNE/kantor pos,
jadi dokumen saya harus dibawa
kembali dan dikirim ulang. Luar
biasa servis anda Cc @hrdbacot</t>
  </si>
  <si>
    <t xml:space="preserve">hrdbacot
</t>
  </si>
  <si>
    <t xml:space="preserve">mncsekuritas
</t>
  </si>
  <si>
    <t>stefanusdians
@patrickxavera Nek iso kon milih
ekspedisi selain JNE tak pilih
liyane wesan wingi 🥺. Nek iso
milih ngirim nggo kantor pos yo
tak pilih kui timbang JNE</t>
  </si>
  <si>
    <t xml:space="preserve">patrickxavera
</t>
  </si>
  <si>
    <t>cortez_hsp
I feel like there’s this huge disconnect
btwn myself &amp;amp; the battle rap
culture!!! I don’t necessarily
think “Cortez Gets Hated On” unless
it’s from the Tsuzie Fan Base BUT
more of a “We Wanna See ‘Tez Get
His Just Due On All Levels”!!!
(Pt.1)…</t>
  </si>
  <si>
    <t>pos_vibes_24
I feel like there’s this huge disconnect
btwn myself &amp;amp; the battle rap
culture!!! I don’t necessarily
think “Cortez Gets Hated On” unless
it’s from the Tsuzie Fan Base BUT
more of a “We Wanna See ‘Tez Get
His Just Due On All Levels”!!!
(Pt.1)…</t>
  </si>
  <si>
    <t>jaejaesy
[HELP RT] #pasarNCT 🇲🇾 WTS PC
Jaemin Puff Hogwarts ep1 💸 rm375
exc pos 📮rm5 WM rm9 EM JNT (through
shopee) can post out by this evening
if pay before 11 am accept WW🌍
but pls make sure u have Malaysian
address &amp;amp; bank acc since i
can’t ship WW. https://t.co/IJ5tB9t3ot</t>
  </si>
  <si>
    <t>panutmanee
ด่วน!!! รับสมัครพนักงานขายประจำร้าน
(ระบบเครื่องPOS) #ร้านมุมกะเพรา
•สาขาบางบอน(ปั๊มPT ตรงข้ามแมคโครบางบอน)
•สาขาท่ามหาราช(ในคอมมิวนิตี้มอลล์)
•สาขากาญจนา ในปั๊มเชลล์(ตรงข้ามพาซิโอ้พาร์ค)
•สาขาเดอะมอลล์ งามวงศ์วาน(ชั้นG)
(ต่อ)</t>
  </si>
  <si>
    <t>GraphSource░TwitterSearch▓GraphTerm░sicepat OR tiki OR wahana OR jne OR jnt OR pt pos▓ImportDescription░The graph represents a network of 1.820 Twitter users whose recent tweets contained "sicepat OR tiki OR wahana OR jne OR jnt OR pt pos", or who were replied to or mentioned in those tweets, taken from a data set limited to a maximum of 18.000 tweets.  The network was obtained from Twitter on Thursday, 30 September 2021 at 04:59 UTC._x000D_
_x000D_
The tweets in the network were tweeted over the 9-day, 16-hour, 25-minute period from Monday, 20 September 2021 at 12:06 UTC to Thursday, 30 September 2021 at 04:31 UTC._x000D_
_x000D_
Additional tweets that were mentioned in this data set were also collected from prior time periods.  These tweets may expand the complete time period of the data._x000D_
_x000D_
There is an edge for each "replies-to" relationship in a tweet, an edge for each "mentions" relationship in a tweet, and a self-loop edge for each tweet that is not a "replies-to" or "mentions".▓ImportSuggestedTitle░sicepat OR tiki OR wahana OR jne OR jnt OR pt pos Twitter NodeXL SNA Map and Report for Thursday, 30 September 2021 at 04:47 UTC▓ImportSuggestedFileNameNoExtension░2021-09-30 04-47-22 NodeXL Twitter Search sicepat OR tiki OR wahana OR jne OR jnt OR pt 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</si>
</sst>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1">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99">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0" fillId="0" borderId="0" xfId="0" quotePrefix="1" applyAlignment="1"/>
    <xf numFmtId="0" fontId="0" fillId="0" borderId="0" xfId="0" quotePrefix="1" applyFill="1" applyAlignment="1"/>
    <xf numFmtId="0" fontId="13" fillId="0" borderId="0" xfId="9" applyAlignment="1"/>
    <xf numFmtId="14" fontId="0" fillId="0" borderId="0" xfId="0" applyNumberFormat="1" applyAlignment="1"/>
    <xf numFmtId="14" fontId="0" fillId="0" borderId="0" xfId="0" applyNumberFormat="1" applyFill="1" applyAlignment="1"/>
    <xf numFmtId="3" fontId="0" fillId="0" borderId="0" xfId="0" applyNumberFormat="1" applyFill="1" applyAlignment="1"/>
    <xf numFmtId="11" fontId="0" fillId="0" borderId="0" xfId="0" applyNumberFormat="1" applyFill="1" applyAlignment="1"/>
    <xf numFmtId="1" fontId="11" fillId="4" borderId="1" xfId="5" applyNumberFormat="1" applyFont="1" applyAlignment="1"/>
    <xf numFmtId="0" fontId="13" fillId="5" borderId="1" xfId="9" applyNumberFormat="1" applyFill="1" applyBorder="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xf numFmtId="20" fontId="0" fillId="0" borderId="0" xfId="0" applyNumberFormat="1" applyFill="1" applyAlignment="1"/>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62">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61"/>
      <tableStyleElement type="headerRow" dxfId="160"/>
    </tableStyle>
    <tableStyle name="NodeXL Table" pivot="0" count="1" xr9:uid="{00000000-0011-0000-FFFF-FFFF01000000}">
      <tableStyleElement type="headerRow" dxfId="15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D824-47BA-87E8-B23578389D60}"/>
            </c:ext>
          </c:extLst>
        </c:ser>
        <c:dLbls>
          <c:showLegendKey val="0"/>
          <c:showVal val="0"/>
          <c:showCatName val="0"/>
          <c:showSerName val="0"/>
          <c:showPercent val="0"/>
          <c:showBubbleSize val="0"/>
        </c:dLbls>
        <c:gapWidth val="0"/>
        <c:axId val="1490199200"/>
        <c:axId val="1490191584"/>
      </c:barChart>
      <c:catAx>
        <c:axId val="1490199200"/>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490191584"/>
        <c:crosses val="autoZero"/>
        <c:auto val="1"/>
        <c:lblAlgn val="ctr"/>
        <c:lblOffset val="100"/>
        <c:noMultiLvlLbl val="0"/>
      </c:catAx>
      <c:valAx>
        <c:axId val="14901915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92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B8D-4EB5-9A1D-848814BCA171}"/>
            </c:ext>
          </c:extLst>
        </c:ser>
        <c:dLbls>
          <c:showLegendKey val="0"/>
          <c:showVal val="0"/>
          <c:showCatName val="0"/>
          <c:showSerName val="0"/>
          <c:showPercent val="0"/>
          <c:showBubbleSize val="0"/>
        </c:dLbls>
        <c:gapWidth val="0"/>
        <c:axId val="1490188320"/>
        <c:axId val="1490192128"/>
      </c:barChart>
      <c:catAx>
        <c:axId val="1490188320"/>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490192128"/>
        <c:crosses val="autoZero"/>
        <c:auto val="1"/>
        <c:lblAlgn val="ctr"/>
        <c:lblOffset val="100"/>
        <c:noMultiLvlLbl val="0"/>
      </c:catAx>
      <c:valAx>
        <c:axId val="1490192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88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19F-405A-9629-98E1AA6F7503}"/>
            </c:ext>
          </c:extLst>
        </c:ser>
        <c:dLbls>
          <c:showLegendKey val="0"/>
          <c:showVal val="0"/>
          <c:showCatName val="0"/>
          <c:showSerName val="0"/>
          <c:showPercent val="0"/>
          <c:showBubbleSize val="0"/>
        </c:dLbls>
        <c:gapWidth val="0"/>
        <c:axId val="1490200832"/>
        <c:axId val="1490189952"/>
      </c:barChart>
      <c:catAx>
        <c:axId val="149020083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490189952"/>
        <c:crosses val="autoZero"/>
        <c:auto val="1"/>
        <c:lblAlgn val="ctr"/>
        <c:lblOffset val="100"/>
        <c:noMultiLvlLbl val="0"/>
      </c:catAx>
      <c:valAx>
        <c:axId val="1490189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2008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5BB-45B5-B154-36E12E550DF3}"/>
            </c:ext>
          </c:extLst>
        </c:ser>
        <c:dLbls>
          <c:showLegendKey val="0"/>
          <c:showVal val="0"/>
          <c:showCatName val="0"/>
          <c:showSerName val="0"/>
          <c:showPercent val="0"/>
          <c:showBubbleSize val="0"/>
        </c:dLbls>
        <c:gapWidth val="0"/>
        <c:axId val="1490188864"/>
        <c:axId val="1490192672"/>
      </c:barChart>
      <c:catAx>
        <c:axId val="149018886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490192672"/>
        <c:crosses val="autoZero"/>
        <c:auto val="1"/>
        <c:lblAlgn val="ctr"/>
        <c:lblOffset val="100"/>
        <c:noMultiLvlLbl val="0"/>
      </c:catAx>
      <c:valAx>
        <c:axId val="1490192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8886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4DB-4775-832E-6EC4ACDCB8C3}"/>
            </c:ext>
          </c:extLst>
        </c:ser>
        <c:dLbls>
          <c:showLegendKey val="0"/>
          <c:showVal val="0"/>
          <c:showCatName val="0"/>
          <c:showSerName val="0"/>
          <c:showPercent val="0"/>
          <c:showBubbleSize val="0"/>
        </c:dLbls>
        <c:gapWidth val="0"/>
        <c:axId val="1490194848"/>
        <c:axId val="1490201920"/>
      </c:barChart>
      <c:catAx>
        <c:axId val="14901948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490201920"/>
        <c:crosses val="autoZero"/>
        <c:auto val="1"/>
        <c:lblAlgn val="ctr"/>
        <c:lblOffset val="100"/>
        <c:noMultiLvlLbl val="0"/>
      </c:catAx>
      <c:valAx>
        <c:axId val="149020192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48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10E-49EB-B5C8-A7E7EECBC7AC}"/>
            </c:ext>
          </c:extLst>
        </c:ser>
        <c:dLbls>
          <c:showLegendKey val="0"/>
          <c:showVal val="0"/>
          <c:showCatName val="0"/>
          <c:showSerName val="0"/>
          <c:showPercent val="0"/>
          <c:showBubbleSize val="0"/>
        </c:dLbls>
        <c:gapWidth val="0"/>
        <c:axId val="1490195936"/>
        <c:axId val="1490202464"/>
      </c:barChart>
      <c:catAx>
        <c:axId val="149019593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490202464"/>
        <c:crosses val="autoZero"/>
        <c:auto val="1"/>
        <c:lblAlgn val="ctr"/>
        <c:lblOffset val="100"/>
        <c:noMultiLvlLbl val="0"/>
      </c:catAx>
      <c:valAx>
        <c:axId val="149020246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593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EA0-4DC8-AABB-C4F3A56E43EB}"/>
            </c:ext>
          </c:extLst>
        </c:ser>
        <c:dLbls>
          <c:showLegendKey val="0"/>
          <c:showVal val="0"/>
          <c:showCatName val="0"/>
          <c:showSerName val="0"/>
          <c:showPercent val="0"/>
          <c:showBubbleSize val="0"/>
        </c:dLbls>
        <c:gapWidth val="0"/>
        <c:axId val="1490193216"/>
        <c:axId val="1490198112"/>
      </c:barChart>
      <c:catAx>
        <c:axId val="1490193216"/>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490198112"/>
        <c:crosses val="autoZero"/>
        <c:auto val="1"/>
        <c:lblAlgn val="ctr"/>
        <c:lblOffset val="100"/>
        <c:noMultiLvlLbl val="0"/>
      </c:catAx>
      <c:valAx>
        <c:axId val="14901981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321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B12A-41C9-9187-24568E23DDB7}"/>
            </c:ext>
          </c:extLst>
        </c:ser>
        <c:dLbls>
          <c:showLegendKey val="0"/>
          <c:showVal val="0"/>
          <c:showCatName val="0"/>
          <c:showSerName val="0"/>
          <c:showPercent val="0"/>
          <c:showBubbleSize val="0"/>
        </c:dLbls>
        <c:gapWidth val="0"/>
        <c:axId val="1490199744"/>
        <c:axId val="1490197024"/>
      </c:barChart>
      <c:catAx>
        <c:axId val="149019974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490197024"/>
        <c:crosses val="autoZero"/>
        <c:auto val="1"/>
        <c:lblAlgn val="ctr"/>
        <c:lblOffset val="100"/>
        <c:noMultiLvlLbl val="0"/>
      </c:catAx>
      <c:valAx>
        <c:axId val="149019702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97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147-42E5-B45B-DBCB65EEC25C}"/>
            </c:ext>
          </c:extLst>
        </c:ser>
        <c:dLbls>
          <c:showLegendKey val="0"/>
          <c:showVal val="0"/>
          <c:showCatName val="0"/>
          <c:showSerName val="0"/>
          <c:showPercent val="0"/>
          <c:showBubbleSize val="0"/>
        </c:dLbls>
        <c:gapWidth val="0"/>
        <c:axId val="1490189408"/>
        <c:axId val="1490190496"/>
      </c:barChart>
      <c:catAx>
        <c:axId val="1490189408"/>
        <c:scaling>
          <c:orientation val="minMax"/>
        </c:scaling>
        <c:delete val="1"/>
        <c:axPos val="b"/>
        <c:numFmt formatCode="#,##0.00" sourceLinked="1"/>
        <c:majorTickMark val="out"/>
        <c:minorTickMark val="none"/>
        <c:tickLblPos val="none"/>
        <c:crossAx val="1490190496"/>
        <c:crosses val="autoZero"/>
        <c:auto val="1"/>
        <c:lblAlgn val="ctr"/>
        <c:lblOffset val="100"/>
        <c:noMultiLvlLbl val="0"/>
      </c:catAx>
      <c:valAx>
        <c:axId val="1490190496"/>
        <c:scaling>
          <c:orientation val="minMax"/>
        </c:scaling>
        <c:delete val="1"/>
        <c:axPos val="l"/>
        <c:numFmt formatCode="General" sourceLinked="1"/>
        <c:majorTickMark val="out"/>
        <c:minorTickMark val="none"/>
        <c:tickLblPos val="none"/>
        <c:crossAx val="1490189408"/>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58</xdr:row>
      <xdr:rowOff>38100</xdr:rowOff>
    </xdr:from>
    <xdr:to>
      <xdr:col>1</xdr:col>
      <xdr:colOff>918209</xdr:colOff>
      <xdr:row>65</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72</xdr:row>
      <xdr:rowOff>38100</xdr:rowOff>
    </xdr:from>
    <xdr:to>
      <xdr:col>1</xdr:col>
      <xdr:colOff>918209</xdr:colOff>
      <xdr:row>79</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86</xdr:row>
      <xdr:rowOff>28575</xdr:rowOff>
    </xdr:from>
    <xdr:to>
      <xdr:col>1</xdr:col>
      <xdr:colOff>918209</xdr:colOff>
      <xdr:row>93</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100</xdr:row>
      <xdr:rowOff>9525</xdr:rowOff>
    </xdr:from>
    <xdr:to>
      <xdr:col>1</xdr:col>
      <xdr:colOff>918210</xdr:colOff>
      <xdr:row>107</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114</xdr:row>
      <xdr:rowOff>19050</xdr:rowOff>
    </xdr:from>
    <xdr:to>
      <xdr:col>2</xdr:col>
      <xdr:colOff>0</xdr:colOff>
      <xdr:row>121</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128</xdr:row>
      <xdr:rowOff>19050</xdr:rowOff>
    </xdr:from>
    <xdr:to>
      <xdr:col>1</xdr:col>
      <xdr:colOff>918210</xdr:colOff>
      <xdr:row>135</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156</xdr:row>
      <xdr:rowOff>9525</xdr:rowOff>
    </xdr:from>
    <xdr:to>
      <xdr:col>1</xdr:col>
      <xdr:colOff>918210</xdr:colOff>
      <xdr:row>163</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142</xdr:row>
      <xdr:rowOff>0</xdr:rowOff>
    </xdr:from>
    <xdr:to>
      <xdr:col>1</xdr:col>
      <xdr:colOff>918210</xdr:colOff>
      <xdr:row>149</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B2616" totalsRowShown="0" headerRowDxfId="158" dataDxfId="97">
  <autoFilter ref="A2:BB2616" xr:uid="{00000000-0009-0000-0100-000001000000}"/>
  <tableColumns count="54">
    <tableColumn id="1" xr3:uid="{00000000-0010-0000-0000-000001000000}" name="Vertex 1" dataDxfId="73" dataCellStyle="NodeXL Required"/>
    <tableColumn id="2" xr3:uid="{00000000-0010-0000-0000-000002000000}" name="Vertex 2" dataDxfId="71" dataCellStyle="NodeXL Required"/>
    <tableColumn id="3" xr3:uid="{00000000-0010-0000-0000-000003000000}" name="Color" dataDxfId="72" dataCellStyle="NodeXL Visual Property"/>
    <tableColumn id="4" xr3:uid="{00000000-0010-0000-0000-000004000000}" name="Width" dataDxfId="107" dataCellStyle="NodeXL Visual Property"/>
    <tableColumn id="11" xr3:uid="{00000000-0010-0000-0000-00000B000000}" name="Style" dataDxfId="106" dataCellStyle="NodeXL Visual Property"/>
    <tableColumn id="5" xr3:uid="{00000000-0010-0000-0000-000005000000}" name="Opacity" dataDxfId="105" dataCellStyle="NodeXL Visual Property"/>
    <tableColumn id="6" xr3:uid="{00000000-0010-0000-0000-000006000000}" name="Visibility" dataDxfId="104" dataCellStyle="NodeXL Visual Property"/>
    <tableColumn id="10" xr3:uid="{00000000-0010-0000-0000-00000A000000}" name="Label" dataDxfId="103" dataCellStyle="NodeXL Label"/>
    <tableColumn id="12" xr3:uid="{00000000-0010-0000-0000-00000C000000}" name="Label Text Color" dataDxfId="102" dataCellStyle="NodeXL Label"/>
    <tableColumn id="13" xr3:uid="{00000000-0010-0000-0000-00000D000000}" name="Label Font Size" dataDxfId="101" dataCellStyle="NodeXL Label"/>
    <tableColumn id="14" xr3:uid="{00000000-0010-0000-0000-00000E000000}" name="Reciprocated?" dataDxfId="100" dataCellStyle="NodeXL Graph Metric"/>
    <tableColumn id="7" xr3:uid="{00000000-0010-0000-0000-000007000000}" name="ID" dataDxfId="99" dataCellStyle="NodeXL Do Not Edit"/>
    <tableColumn id="9" xr3:uid="{00000000-0010-0000-0000-000009000000}" name="Dynamic Filter" dataDxfId="98" dataCellStyle="NodeXL Do Not Edit"/>
    <tableColumn id="8" xr3:uid="{00000000-0010-0000-0000-000008000000}" name="Add Your Own Columns Here" dataDxfId="70" dataCellStyle="NodeXL Other Column"/>
    <tableColumn id="15" xr3:uid="{00C100B1-3A06-4D5C-BCD6-A7B2AE8B34D2}" name="Relationship" dataDxfId="69" dataCellStyle="Normal"/>
    <tableColumn id="16" xr3:uid="{B1DFC836-CF7C-4438-B30B-FC23B4FEDCE8}" name="Relationship Date (UTC)" dataDxfId="68" dataCellStyle="Normal"/>
    <tableColumn id="17" xr3:uid="{8BAA03A1-B619-443E-8F8B-C314AFC10262}" name="Tweet" dataDxfId="67" dataCellStyle="Normal"/>
    <tableColumn id="18" xr3:uid="{8878030D-DBB4-4835-BC9F-7181296A0C1C}" name="URLs in Tweet" dataDxfId="66" dataCellStyle="Normal"/>
    <tableColumn id="19" xr3:uid="{56A174EC-6828-4559-9E46-F0C8D71E52C7}" name="Domains in Tweet" dataDxfId="65" dataCellStyle="Normal"/>
    <tableColumn id="20" xr3:uid="{D1CBC13F-524F-471E-8F51-30BF43AB114A}" name="Hashtags in Tweet" dataDxfId="64" dataCellStyle="Normal"/>
    <tableColumn id="21" xr3:uid="{551E5B45-B759-4ED5-A9EF-2389F2262970}" name="Media in Tweet" dataDxfId="63" dataCellStyle="Normal"/>
    <tableColumn id="22" xr3:uid="{0D5CE7FD-3C68-42BE-A409-B3C969E2680D}" name="Tweet Image File" dataDxfId="62" dataCellStyle="Normal"/>
    <tableColumn id="23" xr3:uid="{FB5EC941-8AD4-46AF-889A-F537AD540A8D}" name="Tweet Date (UTC)" dataDxfId="61" dataCellStyle="Normal"/>
    <tableColumn id="24" xr3:uid="{C92673C8-EE13-45BE-9235-1D725489FBEA}" name="Date" dataDxfId="60" dataCellStyle="Normal"/>
    <tableColumn id="25" xr3:uid="{6CA13619-8C3C-488F-9CB3-9BE6FFF734A3}" name="Time" dataDxfId="59" dataCellStyle="Normal"/>
    <tableColumn id="26" xr3:uid="{179DAA61-9348-40F6-9F9E-C32F9C9D17F2}" name="Twitter Page for Tweet" dataDxfId="58" dataCellStyle="Normal"/>
    <tableColumn id="27" xr3:uid="{66EF197E-A0F6-4085-8C42-C62FFAE5409E}" name="Latitude" dataDxfId="57" dataCellStyle="Normal"/>
    <tableColumn id="28" xr3:uid="{8A1462E2-C469-4FC3-BE3F-A58822CC942D}" name="Longitude" dataDxfId="56" dataCellStyle="Normal"/>
    <tableColumn id="29" xr3:uid="{50B38904-F663-4B84-A832-AB6B016DCF2A}" name="Imported ID" dataDxfId="55" dataCellStyle="Normal"/>
    <tableColumn id="30" xr3:uid="{F49BEFBB-7F47-4E65-8F90-172355A1E423}" name="In-Reply-To Tweet ID" dataDxfId="54" dataCellStyle="Normal"/>
    <tableColumn id="31" xr3:uid="{ACF0E64A-7980-4C91-82C9-70AA4B719074}" name="Favorited" dataDxfId="53" dataCellStyle="Normal"/>
    <tableColumn id="32" xr3:uid="{494AD65D-147A-4E7C-999F-1E20803E83FA}" name="Favorite Count" dataDxfId="52" dataCellStyle="Normal"/>
    <tableColumn id="33" xr3:uid="{386AD80C-9822-4CCE-A231-0EC216B865B5}" name="In-Reply-To User ID" dataDxfId="51" dataCellStyle="Normal"/>
    <tableColumn id="34" xr3:uid="{ED26E256-8DE0-41B9-8734-1F2ED5C84E9E}" name="Is Quote Status" dataDxfId="50" dataCellStyle="Normal"/>
    <tableColumn id="35" xr3:uid="{463B4245-B352-4D61-98C4-1DB327E13844}" name="Language" dataDxfId="49" dataCellStyle="Normal"/>
    <tableColumn id="36" xr3:uid="{29BBD203-D515-4C9D-A60F-28DD6BBBC794}" name="Possibly Sensitive" dataDxfId="48" dataCellStyle="Normal"/>
    <tableColumn id="37" xr3:uid="{83EB7AA5-9BF8-4DFF-81BB-BB72BC76B457}" name="Quoted Status ID" dataDxfId="47" dataCellStyle="Normal"/>
    <tableColumn id="38" xr3:uid="{FC3EF1DB-AB77-4848-9AE9-0357814C596B}" name="Retweeted" dataDxfId="46" dataCellStyle="Normal"/>
    <tableColumn id="39" xr3:uid="{8CB1B370-BB2D-4FBD-92EA-B047DAC12DB7}" name="Retweet Count" dataDxfId="45" dataCellStyle="Normal"/>
    <tableColumn id="40" xr3:uid="{71B1BBDC-FABC-4EA4-9C6F-D69E61DAED84}" name="Retweet ID" dataDxfId="44" dataCellStyle="Normal"/>
    <tableColumn id="41" xr3:uid="{8B92D8B7-CACB-4E54-A222-25F0CF2C966D}" name="Source" dataDxfId="43" dataCellStyle="Normal"/>
    <tableColumn id="42" xr3:uid="{61EDC75A-28F0-4DDD-9ED8-10856E86D2D3}" name="Truncated" dataDxfId="42" dataCellStyle="Normal"/>
    <tableColumn id="43" xr3:uid="{E24C1F73-39F5-4755-9388-047321510C31}" name="Unified Twitter ID" dataDxfId="41" dataCellStyle="Normal"/>
    <tableColumn id="44" xr3:uid="{A609781D-85BE-4A7E-96C6-22DD529D8E75}" name="Imported Tweet Type" dataDxfId="40" dataCellStyle="Normal"/>
    <tableColumn id="45" xr3:uid="{3A61BD0E-A7A0-4534-A852-D15D1E63736A}" name="Added By Extended Analysis" dataDxfId="39" dataCellStyle="Normal"/>
    <tableColumn id="46" xr3:uid="{34531706-4748-4DAE-A2AE-0099FC46A6BB}" name="Corrected By Extended Analysis" dataDxfId="38" dataCellStyle="Normal"/>
    <tableColumn id="47" xr3:uid="{BA99E7B4-F375-4C1E-B1D6-26FBD218A6F8}" name="Place Bounding Box" dataDxfId="37" dataCellStyle="Normal"/>
    <tableColumn id="48" xr3:uid="{6624013B-A913-402D-85F6-0395BCCA6B2A}" name="Place Country" dataDxfId="36" dataCellStyle="Normal"/>
    <tableColumn id="49" xr3:uid="{C7EA1B60-F8E1-4C03-8DEE-CA2C7C8DCB44}" name="Place Country Code" dataDxfId="35" dataCellStyle="Normal"/>
    <tableColumn id="50" xr3:uid="{FEA9685D-B997-40CA-9BCD-E0AE92E2F188}" name="Place Full Name" dataDxfId="34" dataCellStyle="Normal"/>
    <tableColumn id="51" xr3:uid="{2432A0EC-937B-4B2E-A05E-D72D2BF98FFE}" name="Place ID" dataDxfId="33" dataCellStyle="Normal"/>
    <tableColumn id="52" xr3:uid="{F937EDB5-EB47-465C-B3BE-ABC59D0F792F}" name="Place Name" dataDxfId="32" dataCellStyle="Normal"/>
    <tableColumn id="53" xr3:uid="{15662B71-3A49-46C5-9C83-B0640CDC3DAA}" name="Place Type" dataDxfId="31" dataCellStyle="Normal"/>
    <tableColumn id="54" xr3:uid="{D7F644E0-7027-4D31-B57A-3F8E90B0CDDE}" name="Place URL" dataDxfId="30"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Z1822" totalsRowShown="0" headerRowDxfId="157" dataDxfId="74">
  <autoFilter ref="A2:AZ1822" xr:uid="{00000000-0009-0000-0100-000002000000}"/>
  <tableColumns count="52">
    <tableColumn id="1" xr3:uid="{00000000-0010-0000-0100-000001000000}" name="Vertex" dataDxfId="96" dataCellStyle="NodeXL Required"/>
    <tableColumn id="2" xr3:uid="{00000000-0010-0000-0100-000002000000}" name="Color" dataDxfId="95" dataCellStyle="NodeXL Visual Property"/>
    <tableColumn id="5" xr3:uid="{00000000-0010-0000-0100-000005000000}" name="Shape" dataDxfId="94" dataCellStyle="NodeXL Visual Property"/>
    <tableColumn id="6" xr3:uid="{00000000-0010-0000-0100-000006000000}" name="Size" dataDxfId="93" dataCellStyle="NodeXL Visual Property"/>
    <tableColumn id="4" xr3:uid="{00000000-0010-0000-0100-000004000000}" name="Opacity" dataDxfId="9" dataCellStyle="NodeXL Visual Property"/>
    <tableColumn id="7" xr3:uid="{00000000-0010-0000-0100-000007000000}" name="Image File" dataDxfId="7" dataCellStyle="NodeXL Visual Property"/>
    <tableColumn id="3" xr3:uid="{00000000-0010-0000-0100-000003000000}" name="Visibility" dataDxfId="8" dataCellStyle="NodeXL Visual Property"/>
    <tableColumn id="10" xr3:uid="{00000000-0010-0000-0100-00000A000000}" name="Label" dataDxfId="92" dataCellStyle="NodeXL Label"/>
    <tableColumn id="16" xr3:uid="{00000000-0010-0000-0100-000010000000}" name="Label Fill Color" dataDxfId="91"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90" dataCellStyle="NodeXL Layout"/>
    <tableColumn id="14" xr3:uid="{00000000-0010-0000-0100-00000E000000}" name="Y" dataDxfId="89" dataCellStyle="NodeXL Layout"/>
    <tableColumn id="12" xr3:uid="{00000000-0010-0000-0100-00000C000000}" name="Locked?" dataDxfId="88" dataCellStyle="NodeXL Layout"/>
    <tableColumn id="19" xr3:uid="{00000000-0010-0000-0100-000013000000}" name="Polar R" dataDxfId="87" dataCellStyle="NodeXL Layout"/>
    <tableColumn id="20" xr3:uid="{00000000-0010-0000-0100-000014000000}" name="Polar Angle" dataDxfId="86" dataCellStyle="NodeXL Layout"/>
    <tableColumn id="21" xr3:uid="{00000000-0010-0000-0100-000015000000}" name="Degree" dataDxfId="85" dataCellStyle="NodeXL Graph Metric"/>
    <tableColumn id="22" xr3:uid="{00000000-0010-0000-0100-000016000000}" name="In-Degree" dataDxfId="84" dataCellStyle="NodeXL Graph Metric"/>
    <tableColumn id="23" xr3:uid="{00000000-0010-0000-0100-000017000000}" name="Out-Degree" dataDxfId="83" dataCellStyle="NodeXL Graph Metric"/>
    <tableColumn id="24" xr3:uid="{00000000-0010-0000-0100-000018000000}" name="Betweenness Centrality" dataDxfId="82" dataCellStyle="NodeXL Graph Metric"/>
    <tableColumn id="25" xr3:uid="{00000000-0010-0000-0100-000019000000}" name="Closeness Centrality" dataDxfId="81" dataCellStyle="NodeXL Graph Metric"/>
    <tableColumn id="26" xr3:uid="{00000000-0010-0000-0100-00001A000000}" name="Eigenvector Centrality" dataDxfId="80" dataCellStyle="NodeXL Graph Metric"/>
    <tableColumn id="15" xr3:uid="{00000000-0010-0000-0100-00000F000000}" name="PageRank" dataDxfId="79" dataCellStyle="NodeXL Graph Metric"/>
    <tableColumn id="27" xr3:uid="{00000000-0010-0000-0100-00001B000000}" name="Clustering Coefficient" dataDxfId="78" dataCellStyle="NodeXL Graph Metric"/>
    <tableColumn id="29" xr3:uid="{00000000-0010-0000-0100-00001D000000}" name="Reciprocated Vertex Pair Ratio" dataDxfId="77" dataCellStyle="NodeXL Graph Metric"/>
    <tableColumn id="11" xr3:uid="{00000000-0010-0000-0100-00000B000000}" name="ID" dataDxfId="76" dataCellStyle="NodeXL Do Not Edit"/>
    <tableColumn id="28" xr3:uid="{00000000-0010-0000-0100-00001C000000}" name="Dynamic Filter" dataDxfId="75" dataCellStyle="NodeXL Do Not Edit"/>
    <tableColumn id="17" xr3:uid="{00000000-0010-0000-0100-000011000000}" name="Add Your Own Columns Here" dataDxfId="29" dataCellStyle="NodeXL Other Column"/>
    <tableColumn id="30" xr3:uid="{43ADB555-6209-4AF3-940E-2643DF09964A}" name="Name" dataDxfId="28" dataCellStyle="Normal"/>
    <tableColumn id="31" xr3:uid="{CDD84D74-0657-4C83-B39E-0C8A43D433B1}" name="User ID" dataDxfId="27" dataCellStyle="Normal"/>
    <tableColumn id="32" xr3:uid="{C95C9D2A-FCFC-463A-A73E-C34BE22B4724}" name="Followed" dataDxfId="26" dataCellStyle="Normal"/>
    <tableColumn id="33" xr3:uid="{B7A80855-6825-4526-9818-C386F416ADE3}" name="Followers" dataDxfId="25" dataCellStyle="Normal"/>
    <tableColumn id="34" xr3:uid="{A6F7135B-2D98-48A8-A930-9C482DDA56B1}" name="Tweets" dataDxfId="24" dataCellStyle="Normal"/>
    <tableColumn id="35" xr3:uid="{72B5EECD-0F4B-4364-A694-4A21F1E09F71}" name="Favorites" dataDxfId="23" dataCellStyle="Normal"/>
    <tableColumn id="36" xr3:uid="{0E986C25-DF1B-4649-A796-A0DA6FFF7E90}" name="Time Zone UTC Offset (Seconds)" dataDxfId="22" dataCellStyle="Normal"/>
    <tableColumn id="37" xr3:uid="{87A5F62F-6B14-45E8-AA45-1FB19DACA469}" name="Description" dataDxfId="21" dataCellStyle="Normal"/>
    <tableColumn id="38" xr3:uid="{665360E4-1461-4EAB-894B-FA20834322E9}" name="Location" dataDxfId="20" dataCellStyle="Normal"/>
    <tableColumn id="39" xr3:uid="{918BFAC3-196D-443F-9B95-9D24C5A0055E}" name="Web" dataDxfId="19" dataCellStyle="Normal"/>
    <tableColumn id="40" xr3:uid="{B87976CA-5CE0-4595-A02E-5E9E0A43714D}" name="Time Zone" dataDxfId="18" dataCellStyle="Normal"/>
    <tableColumn id="41" xr3:uid="{1FFD0EF1-206D-4C79-AD58-6EACCD417D7E}" name="Joined Twitter Date (UTC)" dataDxfId="17" dataCellStyle="Normal"/>
    <tableColumn id="42" xr3:uid="{37D23112-B8A7-4EB7-B7FD-E015DC68FC6D}" name="Profile Banner Url" dataDxfId="16" dataCellStyle="Normal"/>
    <tableColumn id="43" xr3:uid="{72652F6B-256F-446F-944E-809697EEED55}" name="Default Profile" dataDxfId="15" dataCellStyle="Normal"/>
    <tableColumn id="44" xr3:uid="{03E121D3-2C29-4F80-A2E8-0B841A053956}" name="Default Profile Image" dataDxfId="14" dataCellStyle="Normal"/>
    <tableColumn id="45" xr3:uid="{A5FEA30D-F6DB-4E77-916B-BF38D896D2D7}" name="Geo Enabled" dataDxfId="13" dataCellStyle="Normal"/>
    <tableColumn id="46" xr3:uid="{FE74BA0A-009C-4190-B07F-286EC29CC9C7}" name="Language" dataDxfId="12" dataCellStyle="Normal"/>
    <tableColumn id="47" xr3:uid="{AB9C4FFB-BB3D-4CC0-9CCE-7BA7D56167B5}" name="Listed Count" dataDxfId="11" dataCellStyle="Normal"/>
    <tableColumn id="48" xr3:uid="{F0FD1CA5-37B0-4D73-813F-554364E66BCA}" name="Profile Background Image Url" dataDxfId="10" dataCellStyle="Normal"/>
    <tableColumn id="49" xr3:uid="{5157CDB6-FE79-4FE5-A260-4DD3107F3C63}" name="Verified" dataDxfId="6" dataCellStyle="Normal"/>
    <tableColumn id="50" xr3:uid="{79B6CC95-48A3-4001-B227-44C2A993B53D}" name="Custom Menu Item Text" dataDxfId="5" dataCellStyle="Normal"/>
    <tableColumn id="51" xr3:uid="{6A6A1C0C-DFF2-4D2D-96C5-8142411C8763}" name="Custom Menu Item Action" dataDxfId="4" dataCellStyle="Normal"/>
    <tableColumn id="52" xr3:uid="{3F6CDBE7-7389-4240-B105-4B5C50A0CE82}"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56">
  <autoFilter ref="A2:X3" xr:uid="{00000000-0009-0000-0100-000004000000}"/>
  <tableColumns count="24">
    <tableColumn id="1" xr3:uid="{00000000-0010-0000-0200-000001000000}" name="Group" dataDxfId="155" dataCellStyle="NodeXL Required"/>
    <tableColumn id="2" xr3:uid="{00000000-0010-0000-0200-000002000000}" name="Vertex Color" dataDxfId="154" dataCellStyle="NodeXL Visual Property"/>
    <tableColumn id="3" xr3:uid="{00000000-0010-0000-0200-000003000000}" name="Vertex Shape" dataDxfId="153" dataCellStyle="NodeXL Visual Property"/>
    <tableColumn id="22" xr3:uid="{00000000-0010-0000-0200-000016000000}" name="Visibility" dataDxfId="152" dataCellStyle="NodeXL Visual Property"/>
    <tableColumn id="4" xr3:uid="{00000000-0010-0000-0200-000004000000}" name="Collapsed?" dataCellStyle="NodeXL Visual Property"/>
    <tableColumn id="18" xr3:uid="{00000000-0010-0000-0200-000012000000}" name="Label" dataDxfId="151"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50" dataCellStyle="NodeXL Do Not Edit"/>
    <tableColumn id="19" xr3:uid="{00000000-0010-0000-0200-000013000000}" name="Collapsed Properties" dataDxfId="149" dataCellStyle="NodeXL Do Not Edit"/>
    <tableColumn id="5" xr3:uid="{00000000-0010-0000-0200-000005000000}" name="Vertices" dataDxfId="148" dataCellStyle="NodeXL Graph Metric"/>
    <tableColumn id="7" xr3:uid="{00000000-0010-0000-0200-000007000000}" name="Unique Edges" dataDxfId="147" dataCellStyle="NodeXL Graph Metric"/>
    <tableColumn id="8" xr3:uid="{00000000-0010-0000-0200-000008000000}" name="Edges With Duplicates" dataDxfId="146" dataCellStyle="NodeXL Graph Metric"/>
    <tableColumn id="9" xr3:uid="{00000000-0010-0000-0200-000009000000}" name="Total Edges" dataDxfId="145" dataCellStyle="NodeXL Graph Metric"/>
    <tableColumn id="10" xr3:uid="{00000000-0010-0000-0200-00000A000000}" name="Self-Loops" dataDxfId="144" dataCellStyle="NodeXL Graph Metric"/>
    <tableColumn id="24" xr3:uid="{00000000-0010-0000-0200-000018000000}" name="Reciprocated Vertex Pair Ratio" dataDxfId="143" dataCellStyle="NodeXL Graph Metric"/>
    <tableColumn id="25" xr3:uid="{00000000-0010-0000-0200-000019000000}" name="Reciprocated Edge Ratio" dataDxfId="142" dataCellStyle="NodeXL Graph Metric"/>
    <tableColumn id="11" xr3:uid="{00000000-0010-0000-0200-00000B000000}" name="Connected Components" dataDxfId="141" dataCellStyle="NodeXL Graph Metric"/>
    <tableColumn id="12" xr3:uid="{00000000-0010-0000-0200-00000C000000}" name="Single-Vertex Connected Components" dataDxfId="140" dataCellStyle="NodeXL Graph Metric"/>
    <tableColumn id="13" xr3:uid="{00000000-0010-0000-0200-00000D000000}" name="Maximum Vertices in a Connected Component" dataDxfId="139" dataCellStyle="NodeXL Graph Metric"/>
    <tableColumn id="14" xr3:uid="{00000000-0010-0000-0200-00000E000000}" name="Maximum Edges in a Connected Component" dataDxfId="138" dataCellStyle="NodeXL Graph Metric"/>
    <tableColumn id="15" xr3:uid="{00000000-0010-0000-0200-00000F000000}" name="Maximum Geodesic Distance (Diameter)" dataDxfId="137" dataCellStyle="NodeXL Graph Metric"/>
    <tableColumn id="16" xr3:uid="{00000000-0010-0000-0200-000010000000}" name="Average Geodesic Distance" dataDxfId="136" dataCellStyle="NodeXL Graph Metric"/>
    <tableColumn id="17" xr3:uid="{00000000-0010-0000-0200-000011000000}" name="Graph Density" dataDxfId="135"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34" dataDxfId="133">
  <autoFilter ref="A1:C2" xr:uid="{00000000-0009-0000-0100-000005000000}"/>
  <tableColumns count="3">
    <tableColumn id="1" xr3:uid="{00000000-0010-0000-0300-000001000000}" name="Group" dataDxfId="132"/>
    <tableColumn id="2" xr3:uid="{00000000-0010-0000-0300-000002000000}" name="Vertex" dataDxfId="131"/>
    <tableColumn id="3" xr3:uid="{00000000-0010-0000-0300-000003000000}" name="Vertex ID" dataDxfId="13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129" dataCellStyle="NodeXL Graph Metric"/>
    <tableColumn id="2" xr3:uid="{00000000-0010-0000-0400-000002000000}" name="Value" dataDxfId="128"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27"/>
    <tableColumn id="2" xr3:uid="{00000000-0010-0000-0500-000002000000}" name="Degree Frequency" dataDxfId="126">
      <calculatedColumnFormula>COUNTIF(Vertices[Degree], "&gt;= " &amp; D2) - COUNTIF(Vertices[Degree], "&gt;=" &amp; D3)</calculatedColumnFormula>
    </tableColumn>
    <tableColumn id="3" xr3:uid="{00000000-0010-0000-0500-000003000000}" name="In-Degree Bin" dataDxfId="125"/>
    <tableColumn id="4" xr3:uid="{00000000-0010-0000-0500-000004000000}" name="In-Degree Frequency" dataDxfId="124">
      <calculatedColumnFormula>COUNTIF(Vertices[In-Degree], "&gt;= " &amp; F2) - COUNTIF(Vertices[In-Degree], "&gt;=" &amp; F3)</calculatedColumnFormula>
    </tableColumn>
    <tableColumn id="5" xr3:uid="{00000000-0010-0000-0500-000005000000}" name="Out-Degree Bin" dataDxfId="123"/>
    <tableColumn id="6" xr3:uid="{00000000-0010-0000-0500-000006000000}" name="Out-Degree Frequency" dataDxfId="122">
      <calculatedColumnFormula>COUNTIF(Vertices[Out-Degree], "&gt;= " &amp; H2) - COUNTIF(Vertices[Out-Degree], "&gt;=" &amp; H3)</calculatedColumnFormula>
    </tableColumn>
    <tableColumn id="7" xr3:uid="{00000000-0010-0000-0500-000007000000}" name="Betweenness Centrality Bin" dataDxfId="121"/>
    <tableColumn id="8" xr3:uid="{00000000-0010-0000-0500-000008000000}" name="Betweenness Centrality Frequency" dataDxfId="120">
      <calculatedColumnFormula>COUNTIF(Vertices[Betweenness Centrality], "&gt;= " &amp; J2) - COUNTIF(Vertices[Betweenness Centrality], "&gt;=" &amp; J3)</calculatedColumnFormula>
    </tableColumn>
    <tableColumn id="9" xr3:uid="{00000000-0010-0000-0500-000009000000}" name="Closeness Centrality Bin" dataDxfId="119"/>
    <tableColumn id="10" xr3:uid="{00000000-0010-0000-0500-00000A000000}" name="Closeness Centrality Frequency" dataDxfId="118">
      <calculatedColumnFormula>COUNTIF(Vertices[Closeness Centrality], "&gt;= " &amp; L2) - COUNTIF(Vertices[Closeness Centrality], "&gt;=" &amp; L3)</calculatedColumnFormula>
    </tableColumn>
    <tableColumn id="11" xr3:uid="{00000000-0010-0000-0500-00000B000000}" name="Eigenvector Centrality Bin" dataDxfId="117"/>
    <tableColumn id="12" xr3:uid="{00000000-0010-0000-0500-00000C000000}" name="Eigenvector Centrality Frequency" dataDxfId="116">
      <calculatedColumnFormula>COUNTIF(Vertices[Eigenvector Centrality], "&gt;= " &amp; N2) - COUNTIF(Vertices[Eigenvector Centrality], "&gt;=" &amp; N3)</calculatedColumnFormula>
    </tableColumn>
    <tableColumn id="18" xr3:uid="{00000000-0010-0000-0500-000012000000}" name="PageRank Bin" dataDxfId="115"/>
    <tableColumn id="17" xr3:uid="{00000000-0010-0000-0500-000011000000}" name="PageRank Frequency" dataDxfId="114">
      <calculatedColumnFormula>COUNTIF(Vertices[Eigenvector Centrality], "&gt;= " &amp; P2) - COUNTIF(Vertices[Eigenvector Centrality], "&gt;=" &amp; P3)</calculatedColumnFormula>
    </tableColumn>
    <tableColumn id="13" xr3:uid="{00000000-0010-0000-0500-00000D000000}" name="Clustering Coefficient Bin" dataDxfId="113"/>
    <tableColumn id="14" xr3:uid="{00000000-0010-0000-0500-00000E000000}" name="Clustering Coefficient Frequency" dataDxfId="112">
      <calculatedColumnFormula>COUNTIF(Vertices[Clustering Coefficient], "&gt;= " &amp; R2) - COUNTIF(Vertices[Clustering Coefficient], "&gt;=" &amp; R3)</calculatedColumnFormula>
    </tableColumn>
    <tableColumn id="15" xr3:uid="{00000000-0010-0000-0500-00000F000000}" name="Dynamic Filter Bin" dataDxfId="111"/>
    <tableColumn id="16" xr3:uid="{00000000-0010-0000-0500-000010000000}" name="Dynamic Filter Frequency" dataDxfId="110">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53:B54" insertRow="1" totalsRowShown="0" dataCellStyle="NodeXL Graph Metric">
  <autoFilter ref="A53:B54"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09">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08">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hyperlink" Target="https://m.tiktok.com/v/7010535652437560582.html?_d=secCgYIASAHKAESPgo8fiplwZO67T%2ByGv57xGVR9rXYPZh1VTKFW5I%2FeyV%2FgsK%2BE0%2BIxFzBjK4mb7NePnjwtshxtqF2CAwQWBI3GgA%3D&amp;checksum=4b8cb6097e9e9048cd2fa26e598ee9e3da22099fe36751d23fa290bb5b089a44&amp;language=pt&amp;preview_pb=0&amp;sec_user_id=MS4wLjABAAAASuT8Di8yuE_CjQ98N6BysXkETK4_QuQhvq61vuw2Qe9HA5IeYD4eBK6S7wILNqHX&amp;share_app_id=1233&amp;share_item_id=7010535652437560582&amp;share_link_id=b69f68be-5781-4ff3-ba5d-71aa1b8cb041&amp;source=h5_m&amp;timestamp=1632350334&amp;u_code=dfb6h097c120c0&amp;user_id=6891952189411181569&amp;utm_campaign=client_share&amp;utm_medium=android&amp;utm_source=copy" TargetMode="External"/><Relationship Id="rId7" Type="http://schemas.openxmlformats.org/officeDocument/2006/relationships/vmlDrawing" Target="../drawings/vmlDrawing1.vml"/><Relationship Id="rId2" Type="http://schemas.openxmlformats.org/officeDocument/2006/relationships/hyperlink" Target="https://www.gov.br/anvisa/pt-br/assuntos/noticias-anvisa/2021/anvisa-alerta-sobre-risco-de-miocardite-e-pericardite-pos-vacinacao" TargetMode="External"/><Relationship Id="rId1" Type="http://schemas.openxmlformats.org/officeDocument/2006/relationships/hyperlink" Target="https://www.gov.br/anvisa/pt-br/assuntos/noticias-anvisa/2021/anvisa-alerta-sobre-risco-de-miocardite-e-pericardite-pos-vacinacao" TargetMode="External"/><Relationship Id="rId6" Type="http://schemas.openxmlformats.org/officeDocument/2006/relationships/printerSettings" Target="../printerSettings/printerSettings1.bin"/><Relationship Id="rId5" Type="http://schemas.openxmlformats.org/officeDocument/2006/relationships/hyperlink" Target="https://m.tiktok.com/v/7013197634210893062.html?_d=secCgYIASAHKAESPgo8Aq5SygrOjixvWk7T0ax%2B%2B5sl6VjL2z5xHcTn1BoX8LHTTzSEm2hKS3UdTADtQppLz%2BRoNPfcWYxcULDEGgA%3D&amp;checksum=87474f934abedbff5c9b11828a0f34a8f029594fe7043182f2b95715dadfd587&amp;language=pt&amp;preview_pb=0&amp;sec_user_id=MS4wLjABAAAAI2lm3O5FsyjK4c6-OPIosdNQp_IKQOMG6-uZ9fYO1oqOMj9lF2nXHPPG06ubY80J&amp;share_app_id=1233&amp;share_item_id=7013197634210893062&amp;share_link_id=fa29d094-fb4b-4934-a184-c7986210af36&amp;source=h5_m&amp;timestamp=1632887177&amp;u_code=dacal0131bbbl5&amp;user_id=6783504759765861378&amp;utm_campaign=client_share&amp;utm_medium=android&amp;utm_source=twitter" TargetMode="External"/><Relationship Id="rId4" Type="http://schemas.openxmlformats.org/officeDocument/2006/relationships/hyperlink" Target="https://www.google.com/url?rct=j&amp;sa=t&amp;url=https%3A%2F%2Fm.tribunnews.com%2Fnasional%2F2021%2F09%2F23%2Flowongan-kerja-pt-pos-indonesia-persero-makassar-2021-frontliner-dibuka-hingga-24-september-2021&amp;ct=ga&amp;cd=CAIyGjJiMmE5MjhmODMwMjFjNzI6Y29tOmlkOlVT&amp;usg=AFQjCNEU5BB7QgR2kc_9NC1JiBDqEd_IJw&amp;utm_source=dlvr.it&amp;utm_medium=twitter" TargetMode="External"/><Relationship Id="rId9"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2616"/>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4.5" x14ac:dyDescent="0.35"/>
  <cols>
    <col min="1" max="2" width="10.453125" style="1" customWidth="1"/>
    <col min="3" max="3" width="7.81640625" style="3" bestFit="1" customWidth="1"/>
    <col min="4" max="4" width="8.7265625" style="2" bestFit="1" customWidth="1"/>
    <col min="5" max="5" width="7.7265625" style="2" bestFit="1" customWidth="1"/>
    <col min="6" max="6" width="9.81640625" style="2" bestFit="1" customWidth="1"/>
    <col min="7" max="7" width="11" style="3" bestFit="1" customWidth="1"/>
    <col min="8" max="8" width="8" style="1" bestFit="1" customWidth="1"/>
    <col min="9" max="9" width="12.26953125" style="3" bestFit="1" customWidth="1"/>
    <col min="10" max="10" width="12.453125" style="3" bestFit="1" customWidth="1"/>
    <col min="11" max="11" width="15.54296875" style="3" hidden="1" customWidth="1"/>
    <col min="12" max="12" width="11" hidden="1" customWidth="1"/>
    <col min="13" max="13" width="10.81640625" hidden="1" customWidth="1"/>
    <col min="14" max="14" width="16" bestFit="1" customWidth="1"/>
    <col min="15" max="15" width="12.26953125" bestFit="1" customWidth="1"/>
    <col min="16" max="16" width="13.36328125" bestFit="1" customWidth="1"/>
    <col min="17" max="17" width="8.1796875" bestFit="1" customWidth="1"/>
    <col min="18" max="18" width="9.08984375" bestFit="1" customWidth="1"/>
    <col min="19" max="19" width="12.453125" bestFit="1" customWidth="1"/>
    <col min="20" max="20" width="12.6328125" bestFit="1" customWidth="1"/>
    <col min="21" max="21" width="10.36328125" bestFit="1" customWidth="1"/>
    <col min="22" max="22" width="13.7265625" bestFit="1" customWidth="1"/>
    <col min="23" max="23" width="12.54296875" bestFit="1" customWidth="1"/>
    <col min="24" max="24" width="7" bestFit="1" customWidth="1"/>
    <col min="25" max="25" width="7.1796875" bestFit="1" customWidth="1"/>
    <col min="26" max="26" width="13.36328125" bestFit="1" customWidth="1"/>
    <col min="27" max="27" width="9.81640625" bestFit="1" customWidth="1"/>
    <col min="28" max="28" width="11.26953125" bestFit="1" customWidth="1"/>
    <col min="29" max="29" width="13.1796875" bestFit="1" customWidth="1"/>
    <col min="30" max="30" width="12.6328125" bestFit="1" customWidth="1"/>
    <col min="31" max="31" width="10.90625" bestFit="1" customWidth="1"/>
    <col min="32" max="32" width="9.81640625" bestFit="1" customWidth="1"/>
    <col min="33" max="33" width="12.6328125" bestFit="1" customWidth="1"/>
    <col min="34" max="34" width="10.08984375" bestFit="1" customWidth="1"/>
    <col min="35" max="35" width="10.90625" bestFit="1" customWidth="1"/>
    <col min="36" max="36" width="10.36328125" bestFit="1" customWidth="1"/>
    <col min="37" max="37" width="10.453125" bestFit="1" customWidth="1"/>
    <col min="38" max="38" width="12" bestFit="1" customWidth="1"/>
    <col min="39" max="39" width="9.90625" bestFit="1" customWidth="1"/>
    <col min="40" max="40" width="12.1796875" bestFit="1" customWidth="1"/>
    <col min="42" max="42" width="11.54296875" bestFit="1" customWidth="1"/>
    <col min="43" max="43" width="11.26953125" bestFit="1" customWidth="1"/>
    <col min="44" max="44" width="12.6328125" bestFit="1" customWidth="1"/>
    <col min="45" max="45" width="19.453125" bestFit="1" customWidth="1"/>
    <col min="46" max="46" width="18.1796875" bestFit="1" customWidth="1"/>
    <col min="47" max="47" width="15.81640625" bestFit="1" customWidth="1"/>
    <col min="48" max="48" width="9.7265625" bestFit="1" customWidth="1"/>
    <col min="49" max="49" width="14.453125" bestFit="1" customWidth="1"/>
    <col min="50" max="50" width="10.7265625" bestFit="1" customWidth="1"/>
    <col min="51" max="51" width="9.6328125" bestFit="1" customWidth="1"/>
    <col min="52" max="52" width="8" bestFit="1" customWidth="1"/>
    <col min="53" max="53" width="7.36328125" bestFit="1" customWidth="1"/>
    <col min="54" max="54" width="11" bestFit="1" customWidth="1"/>
  </cols>
  <sheetData>
    <row r="1" spans="1:54" x14ac:dyDescent="0.35">
      <c r="C1" s="18" t="s">
        <v>39</v>
      </c>
      <c r="D1" s="19"/>
      <c r="E1" s="19"/>
      <c r="F1" s="19"/>
      <c r="G1" s="18"/>
      <c r="H1" s="16" t="s">
        <v>43</v>
      </c>
      <c r="I1" s="54"/>
      <c r="J1" s="54"/>
      <c r="K1" s="35" t="s">
        <v>42</v>
      </c>
      <c r="L1" s="20" t="s">
        <v>40</v>
      </c>
      <c r="M1" s="20"/>
      <c r="N1" s="17" t="s">
        <v>41</v>
      </c>
    </row>
    <row r="2" spans="1:54" ht="30" customHeight="1" x14ac:dyDescent="0.3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c r="BA2" s="13" t="s">
        <v>215</v>
      </c>
      <c r="BB2" s="13" t="s">
        <v>216</v>
      </c>
    </row>
    <row r="3" spans="1:54" ht="15" customHeight="1" x14ac:dyDescent="0.35">
      <c r="A3" s="66" t="s">
        <v>4167</v>
      </c>
      <c r="B3" s="66" t="s">
        <v>4167</v>
      </c>
      <c r="C3" s="67"/>
      <c r="D3" s="68"/>
      <c r="E3" s="69"/>
      <c r="F3" s="70"/>
      <c r="G3" s="67"/>
      <c r="H3" s="71"/>
      <c r="I3" s="72"/>
      <c r="J3" s="72"/>
      <c r="K3" s="36"/>
      <c r="L3" s="73"/>
      <c r="M3" s="73"/>
      <c r="N3" s="74"/>
      <c r="O3" s="80" t="s">
        <v>179</v>
      </c>
      <c r="P3" s="82">
        <v>44459.504317129627</v>
      </c>
      <c r="Q3" s="80" t="s">
        <v>5274</v>
      </c>
      <c r="R3" s="87" t="str">
        <f>HYPERLINK("https://www.gov.br/anvisa/pt-br/assuntos/fiscalizacao-e-monitoramento/notificacoes/vigimed/medicamentos-e-vacinas")</f>
        <v>https://www.gov.br/anvisa/pt-br/assuntos/fiscalizacao-e-monitoramento/notificacoes/vigimed/medicamentos-e-vacinas</v>
      </c>
      <c r="S3" s="80" t="s">
        <v>5686</v>
      </c>
      <c r="T3" s="85" t="s">
        <v>5763</v>
      </c>
      <c r="U3" s="87"/>
      <c r="V3" s="87" t="str">
        <f>HYPERLINK("https://pbs.twimg.com/profile_images/1403000828596613121/cx4tIgmb_normal.jpg")</f>
        <v>https://pbs.twimg.com/profile_images/1403000828596613121/cx4tIgmb_normal.jpg</v>
      </c>
      <c r="W3" s="82">
        <v>44459.504317129627</v>
      </c>
      <c r="X3" s="88">
        <v>44459</v>
      </c>
      <c r="Y3" s="85" t="s">
        <v>5789</v>
      </c>
      <c r="Z3" s="87" t="str">
        <f>HYPERLINK("https://twitter.com/gillcombr/status/1439923850762985472")</f>
        <v>https://twitter.com/gillcombr/status/1439923850762985472</v>
      </c>
      <c r="AA3" s="80"/>
      <c r="AB3" s="80"/>
      <c r="AC3" s="85" t="s">
        <v>6689</v>
      </c>
      <c r="AD3" s="80"/>
      <c r="AE3" s="80" t="b">
        <v>0</v>
      </c>
      <c r="AF3" s="80">
        <v>0</v>
      </c>
      <c r="AG3" s="85" t="s">
        <v>2084</v>
      </c>
      <c r="AH3" s="80" t="b">
        <v>0</v>
      </c>
      <c r="AI3" s="80" t="s">
        <v>2171</v>
      </c>
      <c r="AJ3" s="80"/>
      <c r="AK3" s="85" t="s">
        <v>2084</v>
      </c>
      <c r="AL3" s="80" t="b">
        <v>0</v>
      </c>
      <c r="AM3" s="80">
        <v>0</v>
      </c>
      <c r="AN3" s="85" t="s">
        <v>2084</v>
      </c>
      <c r="AO3" s="85" t="s">
        <v>2178</v>
      </c>
      <c r="AP3" s="80" t="b">
        <v>0</v>
      </c>
      <c r="AQ3" s="85" t="s">
        <v>6689</v>
      </c>
      <c r="AR3" s="80" t="s">
        <v>179</v>
      </c>
      <c r="AS3" s="80">
        <v>0</v>
      </c>
      <c r="AT3" s="80">
        <v>0</v>
      </c>
      <c r="AU3" s="80"/>
      <c r="AV3" s="80"/>
      <c r="AW3" s="80"/>
      <c r="AX3" s="80"/>
      <c r="AY3" s="80"/>
      <c r="AZ3" s="80"/>
      <c r="BA3" s="80"/>
      <c r="BB3" s="80"/>
    </row>
    <row r="4" spans="1:54" ht="15" customHeight="1" x14ac:dyDescent="0.35">
      <c r="A4" s="66" t="s">
        <v>4168</v>
      </c>
      <c r="B4" s="66" t="s">
        <v>4170</v>
      </c>
      <c r="C4" s="67"/>
      <c r="D4" s="68"/>
      <c r="E4" s="69"/>
      <c r="F4" s="70"/>
      <c r="G4" s="67"/>
      <c r="H4" s="71"/>
      <c r="I4" s="72"/>
      <c r="J4" s="72"/>
      <c r="K4" s="36"/>
      <c r="L4" s="79"/>
      <c r="M4" s="79"/>
      <c r="N4" s="74"/>
      <c r="O4" s="81" t="s">
        <v>693</v>
      </c>
      <c r="P4" s="83">
        <v>44459.505127314813</v>
      </c>
      <c r="Q4" s="81" t="s">
        <v>5275</v>
      </c>
      <c r="R4" s="84" t="str">
        <f>HYPERLINK("https://ciencias.ulisboa.pt/pt/mestrados-e-pos-graduacoes")</f>
        <v>https://ciencias.ulisboa.pt/pt/mestrados-e-pos-graduacoes</v>
      </c>
      <c r="S4" s="81" t="s">
        <v>5690</v>
      </c>
      <c r="T4" s="81"/>
      <c r="U4" s="84" t="str">
        <f>HYPERLINK("https://pbs.twimg.com/media/E_ufOMGWQAUs5cM.png")</f>
        <v>https://pbs.twimg.com/media/E_ufOMGWQAUs5cM.png</v>
      </c>
      <c r="V4" s="84" t="str">
        <f>HYPERLINK("https://pbs.twimg.com/media/E_ufOMGWQAUs5cM.png")</f>
        <v>https://pbs.twimg.com/media/E_ufOMGWQAUs5cM.png</v>
      </c>
      <c r="W4" s="83">
        <v>44459.505127314813</v>
      </c>
      <c r="X4" s="89">
        <v>44459</v>
      </c>
      <c r="Y4" s="86" t="s">
        <v>5790</v>
      </c>
      <c r="Z4" s="84" t="str">
        <f>HYPERLINK("https://twitter.com/sreboleira/status/1439924144146112522")</f>
        <v>https://twitter.com/sreboleira/status/1439924144146112522</v>
      </c>
      <c r="AA4" s="81"/>
      <c r="AB4" s="81"/>
      <c r="AC4" s="86" t="s">
        <v>6690</v>
      </c>
      <c r="AD4" s="81"/>
      <c r="AE4" s="81" t="b">
        <v>0</v>
      </c>
      <c r="AF4" s="81">
        <v>0</v>
      </c>
      <c r="AG4" s="86" t="s">
        <v>2084</v>
      </c>
      <c r="AH4" s="81" t="b">
        <v>0</v>
      </c>
      <c r="AI4" s="81" t="s">
        <v>2171</v>
      </c>
      <c r="AJ4" s="81"/>
      <c r="AK4" s="86" t="s">
        <v>2084</v>
      </c>
      <c r="AL4" s="81" t="b">
        <v>0</v>
      </c>
      <c r="AM4" s="81">
        <v>3</v>
      </c>
      <c r="AN4" s="86" t="s">
        <v>6692</v>
      </c>
      <c r="AO4" s="86" t="s">
        <v>2181</v>
      </c>
      <c r="AP4" s="81" t="b">
        <v>0</v>
      </c>
      <c r="AQ4" s="86" t="s">
        <v>6692</v>
      </c>
      <c r="AR4" s="81" t="s">
        <v>179</v>
      </c>
      <c r="AS4" s="81">
        <v>0</v>
      </c>
      <c r="AT4" s="81">
        <v>0</v>
      </c>
      <c r="AU4" s="81"/>
      <c r="AV4" s="81"/>
      <c r="AW4" s="81"/>
      <c r="AX4" s="81"/>
      <c r="AY4" s="81"/>
      <c r="AZ4" s="81"/>
      <c r="BA4" s="81"/>
      <c r="BB4" s="81"/>
    </row>
    <row r="5" spans="1:54" x14ac:dyDescent="0.35">
      <c r="A5" s="66" t="s">
        <v>4169</v>
      </c>
      <c r="B5" s="66" t="s">
        <v>4170</v>
      </c>
      <c r="C5" s="67"/>
      <c r="D5" s="68"/>
      <c r="E5" s="69"/>
      <c r="F5" s="70"/>
      <c r="G5" s="67"/>
      <c r="H5" s="71"/>
      <c r="I5" s="72"/>
      <c r="J5" s="72"/>
      <c r="K5" s="36"/>
      <c r="L5" s="79"/>
      <c r="M5" s="79"/>
      <c r="N5" s="74"/>
      <c r="O5" s="81" t="s">
        <v>693</v>
      </c>
      <c r="P5" s="83">
        <v>44459.505416666667</v>
      </c>
      <c r="Q5" s="81" t="s">
        <v>5275</v>
      </c>
      <c r="R5" s="84" t="str">
        <f>HYPERLINK("https://ciencias.ulisboa.pt/pt/mestrados-e-pos-graduacoes")</f>
        <v>https://ciencias.ulisboa.pt/pt/mestrados-e-pos-graduacoes</v>
      </c>
      <c r="S5" s="81" t="s">
        <v>5690</v>
      </c>
      <c r="T5" s="81"/>
      <c r="U5" s="84" t="str">
        <f>HYPERLINK("https://pbs.twimg.com/media/E_ufOMGWQAUs5cM.png")</f>
        <v>https://pbs.twimg.com/media/E_ufOMGWQAUs5cM.png</v>
      </c>
      <c r="V5" s="84" t="str">
        <f>HYPERLINK("https://pbs.twimg.com/media/E_ufOMGWQAUs5cM.png")</f>
        <v>https://pbs.twimg.com/media/E_ufOMGWQAUs5cM.png</v>
      </c>
      <c r="W5" s="83">
        <v>44459.505416666667</v>
      </c>
      <c r="X5" s="89">
        <v>44459</v>
      </c>
      <c r="Y5" s="86" t="s">
        <v>5791</v>
      </c>
      <c r="Z5" s="84" t="str">
        <f>HYPERLINK("https://twitter.com/reboleiralab/status/1439924248735358980")</f>
        <v>https://twitter.com/reboleiralab/status/1439924248735358980</v>
      </c>
      <c r="AA5" s="81"/>
      <c r="AB5" s="81"/>
      <c r="AC5" s="86" t="s">
        <v>6691</v>
      </c>
      <c r="AD5" s="81"/>
      <c r="AE5" s="81" t="b">
        <v>0</v>
      </c>
      <c r="AF5" s="81">
        <v>0</v>
      </c>
      <c r="AG5" s="86" t="s">
        <v>2084</v>
      </c>
      <c r="AH5" s="81" t="b">
        <v>0</v>
      </c>
      <c r="AI5" s="81" t="s">
        <v>2171</v>
      </c>
      <c r="AJ5" s="81"/>
      <c r="AK5" s="86" t="s">
        <v>2084</v>
      </c>
      <c r="AL5" s="81" t="b">
        <v>0</v>
      </c>
      <c r="AM5" s="81">
        <v>3</v>
      </c>
      <c r="AN5" s="86" t="s">
        <v>6692</v>
      </c>
      <c r="AO5" s="86" t="s">
        <v>2181</v>
      </c>
      <c r="AP5" s="81" t="b">
        <v>0</v>
      </c>
      <c r="AQ5" s="86" t="s">
        <v>6692</v>
      </c>
      <c r="AR5" s="81" t="s">
        <v>179</v>
      </c>
      <c r="AS5" s="81">
        <v>0</v>
      </c>
      <c r="AT5" s="81">
        <v>0</v>
      </c>
      <c r="AU5" s="81"/>
      <c r="AV5" s="81"/>
      <c r="AW5" s="81"/>
      <c r="AX5" s="81"/>
      <c r="AY5" s="81"/>
      <c r="AZ5" s="81"/>
      <c r="BA5" s="81"/>
      <c r="BB5" s="81"/>
    </row>
    <row r="6" spans="1:54" x14ac:dyDescent="0.35">
      <c r="A6" s="66" t="s">
        <v>4170</v>
      </c>
      <c r="B6" s="66" t="s">
        <v>4170</v>
      </c>
      <c r="C6" s="67"/>
      <c r="D6" s="68"/>
      <c r="E6" s="69"/>
      <c r="F6" s="70"/>
      <c r="G6" s="67"/>
      <c r="H6" s="71"/>
      <c r="I6" s="72"/>
      <c r="J6" s="72"/>
      <c r="K6" s="36"/>
      <c r="L6" s="79"/>
      <c r="M6" s="79"/>
      <c r="N6" s="74"/>
      <c r="O6" s="81" t="s">
        <v>179</v>
      </c>
      <c r="P6" s="83">
        <v>44459.492708333331</v>
      </c>
      <c r="Q6" s="81" t="s">
        <v>5275</v>
      </c>
      <c r="R6" s="84" t="str">
        <f>HYPERLINK("https://ciencias.ulisboa.pt/pt/mestrados-e-pos-graduacoes")</f>
        <v>https://ciencias.ulisboa.pt/pt/mestrados-e-pos-graduacoes</v>
      </c>
      <c r="S6" s="81" t="s">
        <v>5690</v>
      </c>
      <c r="T6" s="81"/>
      <c r="U6" s="84" t="str">
        <f>HYPERLINK("https://pbs.twimg.com/media/E_ufOMGWQAUs5cM.png")</f>
        <v>https://pbs.twimg.com/media/E_ufOMGWQAUs5cM.png</v>
      </c>
      <c r="V6" s="84" t="str">
        <f>HYPERLINK("https://pbs.twimg.com/media/E_ufOMGWQAUs5cM.png")</f>
        <v>https://pbs.twimg.com/media/E_ufOMGWQAUs5cM.png</v>
      </c>
      <c r="W6" s="83">
        <v>44459.492708333331</v>
      </c>
      <c r="X6" s="89">
        <v>44459</v>
      </c>
      <c r="Y6" s="86" t="s">
        <v>5792</v>
      </c>
      <c r="Z6" s="84" t="str">
        <f>HYPERLINK("https://twitter.com/fc_ul/status/1439919646967226374")</f>
        <v>https://twitter.com/fc_ul/status/1439919646967226374</v>
      </c>
      <c r="AA6" s="81"/>
      <c r="AB6" s="81"/>
      <c r="AC6" s="86" t="s">
        <v>6692</v>
      </c>
      <c r="AD6" s="81"/>
      <c r="AE6" s="81" t="b">
        <v>0</v>
      </c>
      <c r="AF6" s="81">
        <v>1</v>
      </c>
      <c r="AG6" s="86" t="s">
        <v>2084</v>
      </c>
      <c r="AH6" s="81" t="b">
        <v>0</v>
      </c>
      <c r="AI6" s="81" t="s">
        <v>2171</v>
      </c>
      <c r="AJ6" s="81"/>
      <c r="AK6" s="86" t="s">
        <v>2084</v>
      </c>
      <c r="AL6" s="81" t="b">
        <v>0</v>
      </c>
      <c r="AM6" s="81">
        <v>3</v>
      </c>
      <c r="AN6" s="86" t="s">
        <v>2084</v>
      </c>
      <c r="AO6" s="86" t="s">
        <v>2181</v>
      </c>
      <c r="AP6" s="81" t="b">
        <v>0</v>
      </c>
      <c r="AQ6" s="86" t="s">
        <v>6692</v>
      </c>
      <c r="AR6" s="81" t="s">
        <v>693</v>
      </c>
      <c r="AS6" s="81">
        <v>0</v>
      </c>
      <c r="AT6" s="81">
        <v>0</v>
      </c>
      <c r="AU6" s="81"/>
      <c r="AV6" s="81"/>
      <c r="AW6" s="81"/>
      <c r="AX6" s="81"/>
      <c r="AY6" s="81"/>
      <c r="AZ6" s="81"/>
      <c r="BA6" s="81"/>
      <c r="BB6" s="81"/>
    </row>
    <row r="7" spans="1:54" x14ac:dyDescent="0.35">
      <c r="A7" s="66" t="s">
        <v>4171</v>
      </c>
      <c r="B7" s="66" t="s">
        <v>4170</v>
      </c>
      <c r="C7" s="67"/>
      <c r="D7" s="68"/>
      <c r="E7" s="69"/>
      <c r="F7" s="70"/>
      <c r="G7" s="67"/>
      <c r="H7" s="71"/>
      <c r="I7" s="72"/>
      <c r="J7" s="72"/>
      <c r="K7" s="36"/>
      <c r="L7" s="79"/>
      <c r="M7" s="79"/>
      <c r="N7" s="74"/>
      <c r="O7" s="81" t="s">
        <v>693</v>
      </c>
      <c r="P7" s="83">
        <v>44459.506423611114</v>
      </c>
      <c r="Q7" s="81" t="s">
        <v>5275</v>
      </c>
      <c r="R7" s="84" t="str">
        <f>HYPERLINK("https://ciencias.ulisboa.pt/pt/mestrados-e-pos-graduacoes")</f>
        <v>https://ciencias.ulisboa.pt/pt/mestrados-e-pos-graduacoes</v>
      </c>
      <c r="S7" s="81" t="s">
        <v>5690</v>
      </c>
      <c r="T7" s="81"/>
      <c r="U7" s="84" t="str">
        <f>HYPERLINK("https://pbs.twimg.com/media/E_ufOMGWQAUs5cM.png")</f>
        <v>https://pbs.twimg.com/media/E_ufOMGWQAUs5cM.png</v>
      </c>
      <c r="V7" s="84" t="str">
        <f>HYPERLINK("https://pbs.twimg.com/media/E_ufOMGWQAUs5cM.png")</f>
        <v>https://pbs.twimg.com/media/E_ufOMGWQAUs5cM.png</v>
      </c>
      <c r="W7" s="83">
        <v>44459.506423611114</v>
      </c>
      <c r="X7" s="89">
        <v>44459</v>
      </c>
      <c r="Y7" s="86" t="s">
        <v>5793</v>
      </c>
      <c r="Z7" s="84" t="str">
        <f>HYPERLINK("https://twitter.com/tmb_ce3c/status/1439924614524768258")</f>
        <v>https://twitter.com/tmb_ce3c/status/1439924614524768258</v>
      </c>
      <c r="AA7" s="81"/>
      <c r="AB7" s="81"/>
      <c r="AC7" s="86" t="s">
        <v>6693</v>
      </c>
      <c r="AD7" s="81"/>
      <c r="AE7" s="81" t="b">
        <v>0</v>
      </c>
      <c r="AF7" s="81">
        <v>0</v>
      </c>
      <c r="AG7" s="86" t="s">
        <v>2084</v>
      </c>
      <c r="AH7" s="81" t="b">
        <v>0</v>
      </c>
      <c r="AI7" s="81" t="s">
        <v>2171</v>
      </c>
      <c r="AJ7" s="81"/>
      <c r="AK7" s="86" t="s">
        <v>2084</v>
      </c>
      <c r="AL7" s="81" t="b">
        <v>0</v>
      </c>
      <c r="AM7" s="81">
        <v>3</v>
      </c>
      <c r="AN7" s="86" t="s">
        <v>6692</v>
      </c>
      <c r="AO7" s="86" t="s">
        <v>2181</v>
      </c>
      <c r="AP7" s="81" t="b">
        <v>0</v>
      </c>
      <c r="AQ7" s="86" t="s">
        <v>6692</v>
      </c>
      <c r="AR7" s="81" t="s">
        <v>179</v>
      </c>
      <c r="AS7" s="81">
        <v>0</v>
      </c>
      <c r="AT7" s="81">
        <v>0</v>
      </c>
      <c r="AU7" s="81"/>
      <c r="AV7" s="81"/>
      <c r="AW7" s="81"/>
      <c r="AX7" s="81"/>
      <c r="AY7" s="81"/>
      <c r="AZ7" s="81"/>
      <c r="BA7" s="81"/>
      <c r="BB7" s="81"/>
    </row>
    <row r="8" spans="1:54" x14ac:dyDescent="0.35">
      <c r="A8" s="66" t="s">
        <v>220</v>
      </c>
      <c r="B8" s="66" t="s">
        <v>592</v>
      </c>
      <c r="C8" s="67"/>
      <c r="D8" s="68"/>
      <c r="E8" s="69"/>
      <c r="F8" s="70"/>
      <c r="G8" s="67"/>
      <c r="H8" s="71"/>
      <c r="I8" s="72"/>
      <c r="J8" s="72"/>
      <c r="K8" s="36"/>
      <c r="L8" s="79"/>
      <c r="M8" s="79"/>
      <c r="N8" s="74"/>
      <c r="O8" s="81" t="s">
        <v>693</v>
      </c>
      <c r="P8" s="83">
        <v>44459.512291666666</v>
      </c>
      <c r="Q8" s="81" t="s">
        <v>700</v>
      </c>
      <c r="R8" s="81"/>
      <c r="S8" s="81"/>
      <c r="T8" s="86" t="s">
        <v>972</v>
      </c>
      <c r="U8" s="84" t="str">
        <f>HYPERLINK("https://pbs.twimg.com/media/E_ubZIHUYAESLiB.jpg")</f>
        <v>https://pbs.twimg.com/media/E_ubZIHUYAESLiB.jpg</v>
      </c>
      <c r="V8" s="84" t="str">
        <f>HYPERLINK("https://pbs.twimg.com/media/E_ubZIHUYAESLiB.jpg")</f>
        <v>https://pbs.twimg.com/media/E_ubZIHUYAESLiB.jpg</v>
      </c>
      <c r="W8" s="83">
        <v>44459.512291666666</v>
      </c>
      <c r="X8" s="89">
        <v>44459</v>
      </c>
      <c r="Y8" s="86" t="s">
        <v>1015</v>
      </c>
      <c r="Z8" s="84" t="str">
        <f>HYPERLINK("https://twitter.com/chyuns99/status/1439926742139826183")</f>
        <v>https://twitter.com/chyuns99/status/1439926742139826183</v>
      </c>
      <c r="AA8" s="81"/>
      <c r="AB8" s="81"/>
      <c r="AC8" s="86" t="s">
        <v>1516</v>
      </c>
      <c r="AD8" s="81"/>
      <c r="AE8" s="81" t="b">
        <v>0</v>
      </c>
      <c r="AF8" s="81">
        <v>0</v>
      </c>
      <c r="AG8" s="86" t="s">
        <v>2084</v>
      </c>
      <c r="AH8" s="81" t="b">
        <v>0</v>
      </c>
      <c r="AI8" s="81" t="s">
        <v>2168</v>
      </c>
      <c r="AJ8" s="81"/>
      <c r="AK8" s="86" t="s">
        <v>2084</v>
      </c>
      <c r="AL8" s="81" t="b">
        <v>0</v>
      </c>
      <c r="AM8" s="81">
        <v>27</v>
      </c>
      <c r="AN8" s="86" t="s">
        <v>1995</v>
      </c>
      <c r="AO8" s="86" t="s">
        <v>2179</v>
      </c>
      <c r="AP8" s="81" t="b">
        <v>0</v>
      </c>
      <c r="AQ8" s="86" t="s">
        <v>1995</v>
      </c>
      <c r="AR8" s="81" t="s">
        <v>179</v>
      </c>
      <c r="AS8" s="81">
        <v>0</v>
      </c>
      <c r="AT8" s="81">
        <v>0</v>
      </c>
      <c r="AU8" s="81"/>
      <c r="AV8" s="81"/>
      <c r="AW8" s="81"/>
      <c r="AX8" s="81"/>
      <c r="AY8" s="81"/>
      <c r="AZ8" s="81"/>
      <c r="BA8" s="81"/>
      <c r="BB8" s="81"/>
    </row>
    <row r="9" spans="1:54" x14ac:dyDescent="0.35">
      <c r="A9" s="66" t="s">
        <v>221</v>
      </c>
      <c r="B9" s="66" t="s">
        <v>217</v>
      </c>
      <c r="C9" s="67"/>
      <c r="D9" s="68"/>
      <c r="E9" s="69"/>
      <c r="F9" s="70"/>
      <c r="G9" s="67"/>
      <c r="H9" s="71"/>
      <c r="I9" s="72"/>
      <c r="J9" s="72"/>
      <c r="K9" s="36"/>
      <c r="L9" s="79"/>
      <c r="M9" s="79"/>
      <c r="N9" s="74"/>
      <c r="O9" s="81" t="s">
        <v>693</v>
      </c>
      <c r="P9" s="83">
        <v>44459.518935185188</v>
      </c>
      <c r="Q9" s="81" t="s">
        <v>699</v>
      </c>
      <c r="R9" s="81"/>
      <c r="S9" s="81"/>
      <c r="T9" s="81"/>
      <c r="U9" s="84" t="str">
        <f>HYPERLINK("https://pbs.twimg.com/ext_tw_video_thumb/1439603623520993285/pu/img/4NCBVhjvbYSKxAvX.jpg")</f>
        <v>https://pbs.twimg.com/ext_tw_video_thumb/1439603623520993285/pu/img/4NCBVhjvbYSKxAvX.jpg</v>
      </c>
      <c r="V9" s="84" t="str">
        <f>HYPERLINK("https://pbs.twimg.com/ext_tw_video_thumb/1439603623520993285/pu/img/4NCBVhjvbYSKxAvX.jpg")</f>
        <v>https://pbs.twimg.com/ext_tw_video_thumb/1439603623520993285/pu/img/4NCBVhjvbYSKxAvX.jpg</v>
      </c>
      <c r="W9" s="83">
        <v>44459.518935185188</v>
      </c>
      <c r="X9" s="89">
        <v>44459</v>
      </c>
      <c r="Y9" s="86" t="s">
        <v>1016</v>
      </c>
      <c r="Z9" s="84" t="str">
        <f>HYPERLINK("https://twitter.com/fais_mohder/status/1439929148911153153")</f>
        <v>https://twitter.com/fais_mohder/status/1439929148911153153</v>
      </c>
      <c r="AA9" s="81"/>
      <c r="AB9" s="81"/>
      <c r="AC9" s="86" t="s">
        <v>1517</v>
      </c>
      <c r="AD9" s="81"/>
      <c r="AE9" s="81" t="b">
        <v>0</v>
      </c>
      <c r="AF9" s="81">
        <v>0</v>
      </c>
      <c r="AG9" s="86" t="s">
        <v>2084</v>
      </c>
      <c r="AH9" s="81" t="b">
        <v>0</v>
      </c>
      <c r="AI9" s="81" t="s">
        <v>2167</v>
      </c>
      <c r="AJ9" s="81"/>
      <c r="AK9" s="86" t="s">
        <v>2084</v>
      </c>
      <c r="AL9" s="81" t="b">
        <v>0</v>
      </c>
      <c r="AM9" s="81">
        <v>102</v>
      </c>
      <c r="AN9" s="86" t="s">
        <v>1559</v>
      </c>
      <c r="AO9" s="86" t="s">
        <v>2179</v>
      </c>
      <c r="AP9" s="81" t="b">
        <v>0</v>
      </c>
      <c r="AQ9" s="86" t="s">
        <v>1559</v>
      </c>
      <c r="AR9" s="81" t="s">
        <v>179</v>
      </c>
      <c r="AS9" s="81">
        <v>0</v>
      </c>
      <c r="AT9" s="81">
        <v>0</v>
      </c>
      <c r="AU9" s="81"/>
      <c r="AV9" s="81"/>
      <c r="AW9" s="81"/>
      <c r="AX9" s="81"/>
      <c r="AY9" s="81"/>
      <c r="AZ9" s="81"/>
      <c r="BA9" s="81"/>
      <c r="BB9" s="81"/>
    </row>
    <row r="10" spans="1:54" x14ac:dyDescent="0.35">
      <c r="A10" s="66" t="s">
        <v>222</v>
      </c>
      <c r="B10" s="66" t="s">
        <v>592</v>
      </c>
      <c r="C10" s="67"/>
      <c r="D10" s="68"/>
      <c r="E10" s="69"/>
      <c r="F10" s="70"/>
      <c r="G10" s="67"/>
      <c r="H10" s="71"/>
      <c r="I10" s="72"/>
      <c r="J10" s="72"/>
      <c r="K10" s="36"/>
      <c r="L10" s="79"/>
      <c r="M10" s="79"/>
      <c r="N10" s="74"/>
      <c r="O10" s="81" t="s">
        <v>693</v>
      </c>
      <c r="P10" s="83">
        <v>44459.522175925929</v>
      </c>
      <c r="Q10" s="81" t="s">
        <v>700</v>
      </c>
      <c r="R10" s="81"/>
      <c r="S10" s="81"/>
      <c r="T10" s="86" t="s">
        <v>972</v>
      </c>
      <c r="U10" s="84" t="str">
        <f>HYPERLINK("https://pbs.twimg.com/media/E_ubZIHUYAESLiB.jpg")</f>
        <v>https://pbs.twimg.com/media/E_ubZIHUYAESLiB.jpg</v>
      </c>
      <c r="V10" s="84" t="str">
        <f>HYPERLINK("https://pbs.twimg.com/media/E_ubZIHUYAESLiB.jpg")</f>
        <v>https://pbs.twimg.com/media/E_ubZIHUYAESLiB.jpg</v>
      </c>
      <c r="W10" s="83">
        <v>44459.522175925929</v>
      </c>
      <c r="X10" s="89">
        <v>44459</v>
      </c>
      <c r="Y10" s="86" t="s">
        <v>1017</v>
      </c>
      <c r="Z10" s="84" t="str">
        <f>HYPERLINK("https://twitter.com/yellowlixeu/status/1439930323068805123")</f>
        <v>https://twitter.com/yellowlixeu/status/1439930323068805123</v>
      </c>
      <c r="AA10" s="81"/>
      <c r="AB10" s="81"/>
      <c r="AC10" s="86" t="s">
        <v>1518</v>
      </c>
      <c r="AD10" s="81"/>
      <c r="AE10" s="81" t="b">
        <v>0</v>
      </c>
      <c r="AF10" s="81">
        <v>0</v>
      </c>
      <c r="AG10" s="86" t="s">
        <v>2084</v>
      </c>
      <c r="AH10" s="81" t="b">
        <v>0</v>
      </c>
      <c r="AI10" s="81" t="s">
        <v>2168</v>
      </c>
      <c r="AJ10" s="81"/>
      <c r="AK10" s="86" t="s">
        <v>2084</v>
      </c>
      <c r="AL10" s="81" t="b">
        <v>0</v>
      </c>
      <c r="AM10" s="81">
        <v>27</v>
      </c>
      <c r="AN10" s="86" t="s">
        <v>1995</v>
      </c>
      <c r="AO10" s="86" t="s">
        <v>2178</v>
      </c>
      <c r="AP10" s="81" t="b">
        <v>0</v>
      </c>
      <c r="AQ10" s="86" t="s">
        <v>1995</v>
      </c>
      <c r="AR10" s="81" t="s">
        <v>179</v>
      </c>
      <c r="AS10" s="81">
        <v>0</v>
      </c>
      <c r="AT10" s="81">
        <v>0</v>
      </c>
      <c r="AU10" s="81"/>
      <c r="AV10" s="81"/>
      <c r="AW10" s="81"/>
      <c r="AX10" s="81"/>
      <c r="AY10" s="81"/>
      <c r="AZ10" s="81"/>
      <c r="BA10" s="81"/>
      <c r="BB10" s="81"/>
    </row>
    <row r="11" spans="1:54" x14ac:dyDescent="0.35">
      <c r="A11" s="66" t="s">
        <v>4172</v>
      </c>
      <c r="B11" s="66" t="s">
        <v>4172</v>
      </c>
      <c r="C11" s="67"/>
      <c r="D11" s="68"/>
      <c r="E11" s="69"/>
      <c r="F11" s="70"/>
      <c r="G11" s="67"/>
      <c r="H11" s="71"/>
      <c r="I11" s="72"/>
      <c r="J11" s="72"/>
      <c r="K11" s="36"/>
      <c r="L11" s="79"/>
      <c r="M11" s="79"/>
      <c r="N11" s="74"/>
      <c r="O11" s="81" t="s">
        <v>179</v>
      </c>
      <c r="P11" s="83">
        <v>44459.524328703701</v>
      </c>
      <c r="Q11" s="81" t="s">
        <v>5276</v>
      </c>
      <c r="R11" s="84" t="str">
        <f>HYPERLINK("https://rr.sapo.pt/noticia/politica/2021/09/19/dever-civico-dos-portugueses-pos-de-parte-obrigacao-de-vacinar-diz-costa/253771/")</f>
        <v>https://rr.sapo.pt/noticia/politica/2021/09/19/dever-civico-dos-portugueses-pos-de-parte-obrigacao-de-vacinar-diz-costa/253771/</v>
      </c>
      <c r="S11" s="81" t="s">
        <v>5689</v>
      </c>
      <c r="T11" s="81"/>
      <c r="U11" s="81"/>
      <c r="V11" s="84" t="str">
        <f>HYPERLINK("https://pbs.twimg.com/profile_images/3033648374/af8a4633eba1c0bae052fcd6b8fdfbd9_normal.jpeg")</f>
        <v>https://pbs.twimg.com/profile_images/3033648374/af8a4633eba1c0bae052fcd6b8fdfbd9_normal.jpeg</v>
      </c>
      <c r="W11" s="83">
        <v>44459.524328703701</v>
      </c>
      <c r="X11" s="89">
        <v>44459</v>
      </c>
      <c r="Y11" s="86" t="s">
        <v>5794</v>
      </c>
      <c r="Z11" s="84" t="str">
        <f>HYPERLINK("https://twitter.com/gaseduardo/status/1439931103742148608")</f>
        <v>https://twitter.com/gaseduardo/status/1439931103742148608</v>
      </c>
      <c r="AA11" s="81"/>
      <c r="AB11" s="81"/>
      <c r="AC11" s="86" t="s">
        <v>6694</v>
      </c>
      <c r="AD11" s="81"/>
      <c r="AE11" s="81" t="b">
        <v>0</v>
      </c>
      <c r="AF11" s="81">
        <v>1</v>
      </c>
      <c r="AG11" s="86" t="s">
        <v>2084</v>
      </c>
      <c r="AH11" s="81" t="b">
        <v>0</v>
      </c>
      <c r="AI11" s="81" t="s">
        <v>2171</v>
      </c>
      <c r="AJ11" s="81"/>
      <c r="AK11" s="86" t="s">
        <v>2084</v>
      </c>
      <c r="AL11" s="81" t="b">
        <v>0</v>
      </c>
      <c r="AM11" s="81">
        <v>0</v>
      </c>
      <c r="AN11" s="86" t="s">
        <v>2084</v>
      </c>
      <c r="AO11" s="86" t="s">
        <v>2181</v>
      </c>
      <c r="AP11" s="81" t="b">
        <v>0</v>
      </c>
      <c r="AQ11" s="86" t="s">
        <v>6694</v>
      </c>
      <c r="AR11" s="81" t="s">
        <v>179</v>
      </c>
      <c r="AS11" s="81">
        <v>0</v>
      </c>
      <c r="AT11" s="81">
        <v>0</v>
      </c>
      <c r="AU11" s="81"/>
      <c r="AV11" s="81"/>
      <c r="AW11" s="81"/>
      <c r="AX11" s="81"/>
      <c r="AY11" s="81"/>
      <c r="AZ11" s="81"/>
      <c r="BA11" s="81"/>
      <c r="BB11" s="81"/>
    </row>
    <row r="12" spans="1:54" x14ac:dyDescent="0.35">
      <c r="A12" s="66" t="s">
        <v>223</v>
      </c>
      <c r="B12" s="66" t="s">
        <v>217</v>
      </c>
      <c r="C12" s="67"/>
      <c r="D12" s="68"/>
      <c r="E12" s="69"/>
      <c r="F12" s="70"/>
      <c r="G12" s="67"/>
      <c r="H12" s="71"/>
      <c r="I12" s="72"/>
      <c r="J12" s="72"/>
      <c r="K12" s="36"/>
      <c r="L12" s="79"/>
      <c r="M12" s="79"/>
      <c r="N12" s="74"/>
      <c r="O12" s="81" t="s">
        <v>693</v>
      </c>
      <c r="P12" s="83">
        <v>44459.529456018521</v>
      </c>
      <c r="Q12" s="81" t="s">
        <v>699</v>
      </c>
      <c r="R12" s="81"/>
      <c r="S12" s="81"/>
      <c r="T12" s="81"/>
      <c r="U12" s="84" t="str">
        <f>HYPERLINK("https://pbs.twimg.com/ext_tw_video_thumb/1439603623520993285/pu/img/4NCBVhjvbYSKxAvX.jpg")</f>
        <v>https://pbs.twimg.com/ext_tw_video_thumb/1439603623520993285/pu/img/4NCBVhjvbYSKxAvX.jpg</v>
      </c>
      <c r="V12" s="84" t="str">
        <f>HYPERLINK("https://pbs.twimg.com/ext_tw_video_thumb/1439603623520993285/pu/img/4NCBVhjvbYSKxAvX.jpg")</f>
        <v>https://pbs.twimg.com/ext_tw_video_thumb/1439603623520993285/pu/img/4NCBVhjvbYSKxAvX.jpg</v>
      </c>
      <c r="W12" s="83">
        <v>44459.529456018521</v>
      </c>
      <c r="X12" s="89">
        <v>44459</v>
      </c>
      <c r="Y12" s="86" t="s">
        <v>1018</v>
      </c>
      <c r="Z12" s="84" t="str">
        <f>HYPERLINK("https://twitter.com/nur_alisyaaa/status/1439932963710398489")</f>
        <v>https://twitter.com/nur_alisyaaa/status/1439932963710398489</v>
      </c>
      <c r="AA12" s="81"/>
      <c r="AB12" s="81"/>
      <c r="AC12" s="86" t="s">
        <v>1519</v>
      </c>
      <c r="AD12" s="81"/>
      <c r="AE12" s="81" t="b">
        <v>0</v>
      </c>
      <c r="AF12" s="81">
        <v>0</v>
      </c>
      <c r="AG12" s="86" t="s">
        <v>2084</v>
      </c>
      <c r="AH12" s="81" t="b">
        <v>0</v>
      </c>
      <c r="AI12" s="81" t="s">
        <v>2167</v>
      </c>
      <c r="AJ12" s="81"/>
      <c r="AK12" s="86" t="s">
        <v>2084</v>
      </c>
      <c r="AL12" s="81" t="b">
        <v>0</v>
      </c>
      <c r="AM12" s="81">
        <v>102</v>
      </c>
      <c r="AN12" s="86" t="s">
        <v>1559</v>
      </c>
      <c r="AO12" s="86" t="s">
        <v>2178</v>
      </c>
      <c r="AP12" s="81" t="b">
        <v>0</v>
      </c>
      <c r="AQ12" s="86" t="s">
        <v>1559</v>
      </c>
      <c r="AR12" s="81" t="s">
        <v>179</v>
      </c>
      <c r="AS12" s="81">
        <v>0</v>
      </c>
      <c r="AT12" s="81">
        <v>0</v>
      </c>
      <c r="AU12" s="81"/>
      <c r="AV12" s="81"/>
      <c r="AW12" s="81"/>
      <c r="AX12" s="81"/>
      <c r="AY12" s="81"/>
      <c r="AZ12" s="81"/>
      <c r="BA12" s="81"/>
      <c r="BB12" s="81"/>
    </row>
    <row r="13" spans="1:54" x14ac:dyDescent="0.35">
      <c r="A13" s="66" t="s">
        <v>4173</v>
      </c>
      <c r="B13" s="66" t="s">
        <v>4495</v>
      </c>
      <c r="C13" s="67"/>
      <c r="D13" s="68"/>
      <c r="E13" s="69"/>
      <c r="F13" s="70"/>
      <c r="G13" s="67"/>
      <c r="H13" s="71"/>
      <c r="I13" s="72"/>
      <c r="J13" s="72"/>
      <c r="K13" s="36"/>
      <c r="L13" s="79"/>
      <c r="M13" s="79"/>
      <c r="N13" s="74"/>
      <c r="O13" s="81" t="s">
        <v>693</v>
      </c>
      <c r="P13" s="83">
        <v>44459.534259259257</v>
      </c>
      <c r="Q13" s="81" t="s">
        <v>5272</v>
      </c>
      <c r="R13" s="84" t="str">
        <f>HYPERLINK("https://www.gov.br/anvisa/pt-br/assuntos/fiscalizacao-e-monitoramento/notificacoes/vigimed/")</f>
        <v>https://www.gov.br/anvisa/pt-br/assuntos/fiscalizacao-e-monitoramento/notificacoes/vigimed/</v>
      </c>
      <c r="S13" s="81" t="s">
        <v>5686</v>
      </c>
      <c r="T13" s="81"/>
      <c r="U13" s="81"/>
      <c r="V13" s="84" t="str">
        <f>HYPERLINK("https://pbs.twimg.com/profile_images/1360570134805544964/frL9kO3K_normal.jpg")</f>
        <v>https://pbs.twimg.com/profile_images/1360570134805544964/frL9kO3K_normal.jpg</v>
      </c>
      <c r="W13" s="83">
        <v>44459.534259259257</v>
      </c>
      <c r="X13" s="89">
        <v>44459</v>
      </c>
      <c r="Y13" s="86" t="s">
        <v>5795</v>
      </c>
      <c r="Z13" s="84" t="str">
        <f>HYPERLINK("https://twitter.com/rgvillalba/status/1439934702157246469")</f>
        <v>https://twitter.com/rgvillalba/status/1439934702157246469</v>
      </c>
      <c r="AA13" s="81"/>
      <c r="AB13" s="81"/>
      <c r="AC13" s="86" t="s">
        <v>6695</v>
      </c>
      <c r="AD13" s="81"/>
      <c r="AE13" s="81" t="b">
        <v>0</v>
      </c>
      <c r="AF13" s="81">
        <v>0</v>
      </c>
      <c r="AG13" s="86" t="s">
        <v>2084</v>
      </c>
      <c r="AH13" s="81" t="b">
        <v>0</v>
      </c>
      <c r="AI13" s="81" t="s">
        <v>2171</v>
      </c>
      <c r="AJ13" s="81"/>
      <c r="AK13" s="86" t="s">
        <v>2084</v>
      </c>
      <c r="AL13" s="81" t="b">
        <v>0</v>
      </c>
      <c r="AM13" s="81">
        <v>1497</v>
      </c>
      <c r="AN13" s="86" t="s">
        <v>7047</v>
      </c>
      <c r="AO13" s="86" t="s">
        <v>2178</v>
      </c>
      <c r="AP13" s="81" t="b">
        <v>0</v>
      </c>
      <c r="AQ13" s="86" t="s">
        <v>7047</v>
      </c>
      <c r="AR13" s="81" t="s">
        <v>179</v>
      </c>
      <c r="AS13" s="81">
        <v>0</v>
      </c>
      <c r="AT13" s="81">
        <v>0</v>
      </c>
      <c r="AU13" s="81"/>
      <c r="AV13" s="81"/>
      <c r="AW13" s="81"/>
      <c r="AX13" s="81"/>
      <c r="AY13" s="81"/>
      <c r="AZ13" s="81"/>
      <c r="BA13" s="81"/>
      <c r="BB13" s="81"/>
    </row>
    <row r="14" spans="1:54" x14ac:dyDescent="0.35">
      <c r="A14" s="66" t="s">
        <v>4174</v>
      </c>
      <c r="B14" s="66" t="s">
        <v>4174</v>
      </c>
      <c r="C14" s="67"/>
      <c r="D14" s="68"/>
      <c r="E14" s="69"/>
      <c r="F14" s="70"/>
      <c r="G14" s="67"/>
      <c r="H14" s="71"/>
      <c r="I14" s="72"/>
      <c r="J14" s="72"/>
      <c r="K14" s="36"/>
      <c r="L14" s="79"/>
      <c r="M14" s="79"/>
      <c r="N14" s="74"/>
      <c r="O14" s="81" t="s">
        <v>179</v>
      </c>
      <c r="P14" s="83">
        <v>44459.535069444442</v>
      </c>
      <c r="Q14" s="81" t="s">
        <v>5277</v>
      </c>
      <c r="R14" s="84" t="str">
        <f>HYPERLINK("https://leonino.pt/jogo-pos-derrota-europeia-e-sempre-de-vitoria/")</f>
        <v>https://leonino.pt/jogo-pos-derrota-europeia-e-sempre-de-vitoria/</v>
      </c>
      <c r="S14" s="81" t="s">
        <v>5691</v>
      </c>
      <c r="T14" s="86" t="s">
        <v>5764</v>
      </c>
      <c r="U14" s="81"/>
      <c r="V14" s="84" t="str">
        <f>HYPERLINK("https://pbs.twimg.com/profile_images/1217408894823256064/DlCEh3px_normal.jpg")</f>
        <v>https://pbs.twimg.com/profile_images/1217408894823256064/DlCEh3px_normal.jpg</v>
      </c>
      <c r="W14" s="83">
        <v>44459.535069444442</v>
      </c>
      <c r="X14" s="89">
        <v>44459</v>
      </c>
      <c r="Y14" s="86" t="s">
        <v>5796</v>
      </c>
      <c r="Z14" s="84" t="str">
        <f>HYPERLINK("https://twitter.com/leoninopt/status/1439934995729195012")</f>
        <v>https://twitter.com/leoninopt/status/1439934995729195012</v>
      </c>
      <c r="AA14" s="81"/>
      <c r="AB14" s="81"/>
      <c r="AC14" s="86" t="s">
        <v>6696</v>
      </c>
      <c r="AD14" s="81"/>
      <c r="AE14" s="81" t="b">
        <v>0</v>
      </c>
      <c r="AF14" s="81">
        <v>1</v>
      </c>
      <c r="AG14" s="86" t="s">
        <v>2084</v>
      </c>
      <c r="AH14" s="81" t="b">
        <v>0</v>
      </c>
      <c r="AI14" s="81" t="s">
        <v>2171</v>
      </c>
      <c r="AJ14" s="81"/>
      <c r="AK14" s="86" t="s">
        <v>2084</v>
      </c>
      <c r="AL14" s="81" t="b">
        <v>0</v>
      </c>
      <c r="AM14" s="81">
        <v>0</v>
      </c>
      <c r="AN14" s="86" t="s">
        <v>2084</v>
      </c>
      <c r="AO14" s="86" t="s">
        <v>2179</v>
      </c>
      <c r="AP14" s="81" t="b">
        <v>0</v>
      </c>
      <c r="AQ14" s="86" t="s">
        <v>6696</v>
      </c>
      <c r="AR14" s="81" t="s">
        <v>179</v>
      </c>
      <c r="AS14" s="81">
        <v>0</v>
      </c>
      <c r="AT14" s="81">
        <v>0</v>
      </c>
      <c r="AU14" s="81"/>
      <c r="AV14" s="81"/>
      <c r="AW14" s="81"/>
      <c r="AX14" s="81"/>
      <c r="AY14" s="81"/>
      <c r="AZ14" s="81"/>
      <c r="BA14" s="81"/>
      <c r="BB14" s="81"/>
    </row>
    <row r="15" spans="1:54" x14ac:dyDescent="0.35">
      <c r="A15" s="66" t="s">
        <v>4175</v>
      </c>
      <c r="B15" s="66" t="s">
        <v>4175</v>
      </c>
      <c r="C15" s="67"/>
      <c r="D15" s="68"/>
      <c r="E15" s="69"/>
      <c r="F15" s="70"/>
      <c r="G15" s="67"/>
      <c r="H15" s="71"/>
      <c r="I15" s="72"/>
      <c r="J15" s="72"/>
      <c r="K15" s="36"/>
      <c r="L15" s="79"/>
      <c r="M15" s="79"/>
      <c r="N15" s="74"/>
      <c r="O15" s="81" t="s">
        <v>179</v>
      </c>
      <c r="P15" s="83">
        <v>44459.517384259256</v>
      </c>
      <c r="Q15" s="81" t="s">
        <v>5278</v>
      </c>
      <c r="R15" s="81" t="s">
        <v>5674</v>
      </c>
      <c r="S15" s="81" t="s">
        <v>5692</v>
      </c>
      <c r="T15" s="86" t="s">
        <v>5765</v>
      </c>
      <c r="U15" s="84" t="str">
        <f>HYPERLINK("https://pbs.twimg.com/media/E_unZf1WYAALIdp.jpg")</f>
        <v>https://pbs.twimg.com/media/E_unZf1WYAALIdp.jpg</v>
      </c>
      <c r="V15" s="84" t="str">
        <f>HYPERLINK("https://pbs.twimg.com/media/E_unZf1WYAALIdp.jpg")</f>
        <v>https://pbs.twimg.com/media/E_unZf1WYAALIdp.jpg</v>
      </c>
      <c r="W15" s="83">
        <v>44459.517384259256</v>
      </c>
      <c r="X15" s="89">
        <v>44459</v>
      </c>
      <c r="Y15" s="86" t="s">
        <v>5797</v>
      </c>
      <c r="Z15" s="84" t="str">
        <f>HYPERLINK("https://twitter.com/juventusfcpt/status/1439928586945839116")</f>
        <v>https://twitter.com/juventusfcpt/status/1439928586945839116</v>
      </c>
      <c r="AA15" s="81"/>
      <c r="AB15" s="81"/>
      <c r="AC15" s="86" t="s">
        <v>6697</v>
      </c>
      <c r="AD15" s="81"/>
      <c r="AE15" s="81" t="b">
        <v>0</v>
      </c>
      <c r="AF15" s="81">
        <v>17</v>
      </c>
      <c r="AG15" s="86" t="s">
        <v>2084</v>
      </c>
      <c r="AH15" s="81" t="b">
        <v>0</v>
      </c>
      <c r="AI15" s="81" t="s">
        <v>2171</v>
      </c>
      <c r="AJ15" s="81"/>
      <c r="AK15" s="86" t="s">
        <v>2084</v>
      </c>
      <c r="AL15" s="81" t="b">
        <v>0</v>
      </c>
      <c r="AM15" s="81">
        <v>1</v>
      </c>
      <c r="AN15" s="86" t="s">
        <v>2084</v>
      </c>
      <c r="AO15" s="86" t="s">
        <v>2185</v>
      </c>
      <c r="AP15" s="81" t="b">
        <v>0</v>
      </c>
      <c r="AQ15" s="86" t="s">
        <v>6697</v>
      </c>
      <c r="AR15" s="81" t="s">
        <v>179</v>
      </c>
      <c r="AS15" s="81">
        <v>0</v>
      </c>
      <c r="AT15" s="81">
        <v>0</v>
      </c>
      <c r="AU15" s="81"/>
      <c r="AV15" s="81"/>
      <c r="AW15" s="81"/>
      <c r="AX15" s="81"/>
      <c r="AY15" s="81"/>
      <c r="AZ15" s="81"/>
      <c r="BA15" s="81"/>
      <c r="BB15" s="81"/>
    </row>
    <row r="16" spans="1:54" x14ac:dyDescent="0.35">
      <c r="A16" s="66" t="s">
        <v>4176</v>
      </c>
      <c r="B16" s="66" t="s">
        <v>4175</v>
      </c>
      <c r="C16" s="67"/>
      <c r="D16" s="68"/>
      <c r="E16" s="69"/>
      <c r="F16" s="70"/>
      <c r="G16" s="67"/>
      <c r="H16" s="71"/>
      <c r="I16" s="72"/>
      <c r="J16" s="72"/>
      <c r="K16" s="36"/>
      <c r="L16" s="79"/>
      <c r="M16" s="79"/>
      <c r="N16" s="74"/>
      <c r="O16" s="81" t="s">
        <v>693</v>
      </c>
      <c r="P16" s="83">
        <v>44459.535856481481</v>
      </c>
      <c r="Q16" s="81" t="s">
        <v>5278</v>
      </c>
      <c r="R16" s="81" t="s">
        <v>5675</v>
      </c>
      <c r="S16" s="81" t="s">
        <v>5693</v>
      </c>
      <c r="T16" s="86" t="s">
        <v>5765</v>
      </c>
      <c r="U16" s="84" t="str">
        <f>HYPERLINK("https://pbs.twimg.com/media/E_unZf1WYAALIdp.jpg")</f>
        <v>https://pbs.twimg.com/media/E_unZf1WYAALIdp.jpg</v>
      </c>
      <c r="V16" s="84" t="str">
        <f>HYPERLINK("https://pbs.twimg.com/media/E_unZf1WYAALIdp.jpg")</f>
        <v>https://pbs.twimg.com/media/E_unZf1WYAALIdp.jpg</v>
      </c>
      <c r="W16" s="83">
        <v>44459.535856481481</v>
      </c>
      <c r="X16" s="89">
        <v>44459</v>
      </c>
      <c r="Y16" s="86" t="s">
        <v>5798</v>
      </c>
      <c r="Z16" s="84" t="str">
        <f>HYPERLINK("https://twitter.com/moyanoestefania/status/1439935282783084547")</f>
        <v>https://twitter.com/moyanoestefania/status/1439935282783084547</v>
      </c>
      <c r="AA16" s="81"/>
      <c r="AB16" s="81"/>
      <c r="AC16" s="86" t="s">
        <v>6698</v>
      </c>
      <c r="AD16" s="81"/>
      <c r="AE16" s="81" t="b">
        <v>0</v>
      </c>
      <c r="AF16" s="81">
        <v>0</v>
      </c>
      <c r="AG16" s="86" t="s">
        <v>2084</v>
      </c>
      <c r="AH16" s="81" t="b">
        <v>0</v>
      </c>
      <c r="AI16" s="81" t="s">
        <v>2171</v>
      </c>
      <c r="AJ16" s="81"/>
      <c r="AK16" s="86" t="s">
        <v>2084</v>
      </c>
      <c r="AL16" s="81" t="b">
        <v>0</v>
      </c>
      <c r="AM16" s="81">
        <v>1</v>
      </c>
      <c r="AN16" s="86" t="s">
        <v>6697</v>
      </c>
      <c r="AO16" s="86" t="s">
        <v>2178</v>
      </c>
      <c r="AP16" s="81" t="b">
        <v>0</v>
      </c>
      <c r="AQ16" s="86" t="s">
        <v>6697</v>
      </c>
      <c r="AR16" s="81" t="s">
        <v>179</v>
      </c>
      <c r="AS16" s="81">
        <v>0</v>
      </c>
      <c r="AT16" s="81">
        <v>0</v>
      </c>
      <c r="AU16" s="81"/>
      <c r="AV16" s="81"/>
      <c r="AW16" s="81"/>
      <c r="AX16" s="81"/>
      <c r="AY16" s="81"/>
      <c r="AZ16" s="81"/>
      <c r="BA16" s="81"/>
      <c r="BB16" s="81"/>
    </row>
    <row r="17" spans="1:54" x14ac:dyDescent="0.35">
      <c r="A17" s="66" t="s">
        <v>224</v>
      </c>
      <c r="B17" s="66" t="s">
        <v>602</v>
      </c>
      <c r="C17" s="67"/>
      <c r="D17" s="68"/>
      <c r="E17" s="69"/>
      <c r="F17" s="70"/>
      <c r="G17" s="67"/>
      <c r="H17" s="71"/>
      <c r="I17" s="72"/>
      <c r="J17" s="72"/>
      <c r="K17" s="36"/>
      <c r="L17" s="79"/>
      <c r="M17" s="79"/>
      <c r="N17" s="74"/>
      <c r="O17" s="81" t="s">
        <v>694</v>
      </c>
      <c r="P17" s="83">
        <v>44459.538946759261</v>
      </c>
      <c r="Q17" s="81" t="s">
        <v>697</v>
      </c>
      <c r="R17" s="81"/>
      <c r="S17" s="81"/>
      <c r="T17" s="86" t="s">
        <v>971</v>
      </c>
      <c r="U17" s="84" t="str">
        <f>HYPERLINK("https://pbs.twimg.com/media/E_X1zlwVIAES6Ks.jpg")</f>
        <v>https://pbs.twimg.com/media/E_X1zlwVIAES6Ks.jpg</v>
      </c>
      <c r="V17" s="84" t="str">
        <f>HYPERLINK("https://pbs.twimg.com/media/E_X1zlwVIAES6Ks.jpg")</f>
        <v>https://pbs.twimg.com/media/E_X1zlwVIAES6Ks.jpg</v>
      </c>
      <c r="W17" s="83">
        <v>44459.538946759261</v>
      </c>
      <c r="X17" s="89">
        <v>44459</v>
      </c>
      <c r="Y17" s="86" t="s">
        <v>1019</v>
      </c>
      <c r="Z17" s="84" t="str">
        <f>HYPERLINK("https://twitter.com/saifull04800784/status/1439936401294995470")</f>
        <v>https://twitter.com/saifull04800784/status/1439936401294995470</v>
      </c>
      <c r="AA17" s="81"/>
      <c r="AB17" s="81"/>
      <c r="AC17" s="86" t="s">
        <v>1520</v>
      </c>
      <c r="AD17" s="81"/>
      <c r="AE17" s="81" t="b">
        <v>0</v>
      </c>
      <c r="AF17" s="81">
        <v>0</v>
      </c>
      <c r="AG17" s="86" t="s">
        <v>2084</v>
      </c>
      <c r="AH17" s="81" t="b">
        <v>0</v>
      </c>
      <c r="AI17" s="81" t="s">
        <v>2167</v>
      </c>
      <c r="AJ17" s="81"/>
      <c r="AK17" s="86" t="s">
        <v>2084</v>
      </c>
      <c r="AL17" s="81" t="b">
        <v>0</v>
      </c>
      <c r="AM17" s="81">
        <v>57</v>
      </c>
      <c r="AN17" s="86" t="s">
        <v>1569</v>
      </c>
      <c r="AO17" s="86" t="s">
        <v>2178</v>
      </c>
      <c r="AP17" s="81" t="b">
        <v>0</v>
      </c>
      <c r="AQ17" s="86" t="s">
        <v>1569</v>
      </c>
      <c r="AR17" s="81" t="s">
        <v>179</v>
      </c>
      <c r="AS17" s="81">
        <v>0</v>
      </c>
      <c r="AT17" s="81">
        <v>0</v>
      </c>
      <c r="AU17" s="81"/>
      <c r="AV17" s="81"/>
      <c r="AW17" s="81"/>
      <c r="AX17" s="81"/>
      <c r="AY17" s="81"/>
      <c r="AZ17" s="81"/>
      <c r="BA17" s="81"/>
      <c r="BB17" s="81"/>
    </row>
    <row r="18" spans="1:54" x14ac:dyDescent="0.35">
      <c r="A18" s="66" t="s">
        <v>224</v>
      </c>
      <c r="B18" s="66" t="s">
        <v>272</v>
      </c>
      <c r="C18" s="67"/>
      <c r="D18" s="68"/>
      <c r="E18" s="69"/>
      <c r="F18" s="70"/>
      <c r="G18" s="67"/>
      <c r="H18" s="71"/>
      <c r="I18" s="72"/>
      <c r="J18" s="72"/>
      <c r="K18" s="36"/>
      <c r="L18" s="79"/>
      <c r="M18" s="79"/>
      <c r="N18" s="74"/>
      <c r="O18" s="81" t="s">
        <v>693</v>
      </c>
      <c r="P18" s="83">
        <v>44459.538946759261</v>
      </c>
      <c r="Q18" s="81" t="s">
        <v>697</v>
      </c>
      <c r="R18" s="81"/>
      <c r="S18" s="81"/>
      <c r="T18" s="86" t="s">
        <v>971</v>
      </c>
      <c r="U18" s="84" t="str">
        <f>HYPERLINK("https://pbs.twimg.com/media/E_X1zlwVIAES6Ks.jpg")</f>
        <v>https://pbs.twimg.com/media/E_X1zlwVIAES6Ks.jpg</v>
      </c>
      <c r="V18" s="84" t="str">
        <f>HYPERLINK("https://pbs.twimg.com/media/E_X1zlwVIAES6Ks.jpg")</f>
        <v>https://pbs.twimg.com/media/E_X1zlwVIAES6Ks.jpg</v>
      </c>
      <c r="W18" s="83">
        <v>44459.538946759261</v>
      </c>
      <c r="X18" s="89">
        <v>44459</v>
      </c>
      <c r="Y18" s="86" t="s">
        <v>1019</v>
      </c>
      <c r="Z18" s="84" t="str">
        <f>HYPERLINK("https://twitter.com/saifull04800784/status/1439936401294995470")</f>
        <v>https://twitter.com/saifull04800784/status/1439936401294995470</v>
      </c>
      <c r="AA18" s="81"/>
      <c r="AB18" s="81"/>
      <c r="AC18" s="86" t="s">
        <v>1520</v>
      </c>
      <c r="AD18" s="81"/>
      <c r="AE18" s="81" t="b">
        <v>0</v>
      </c>
      <c r="AF18" s="81">
        <v>0</v>
      </c>
      <c r="AG18" s="86" t="s">
        <v>2084</v>
      </c>
      <c r="AH18" s="81" t="b">
        <v>0</v>
      </c>
      <c r="AI18" s="81" t="s">
        <v>2167</v>
      </c>
      <c r="AJ18" s="81"/>
      <c r="AK18" s="86" t="s">
        <v>2084</v>
      </c>
      <c r="AL18" s="81" t="b">
        <v>0</v>
      </c>
      <c r="AM18" s="81">
        <v>57</v>
      </c>
      <c r="AN18" s="86" t="s">
        <v>1569</v>
      </c>
      <c r="AO18" s="86" t="s">
        <v>2178</v>
      </c>
      <c r="AP18" s="81" t="b">
        <v>0</v>
      </c>
      <c r="AQ18" s="86" t="s">
        <v>1569</v>
      </c>
      <c r="AR18" s="81" t="s">
        <v>179</v>
      </c>
      <c r="AS18" s="81">
        <v>0</v>
      </c>
      <c r="AT18" s="81">
        <v>0</v>
      </c>
      <c r="AU18" s="81"/>
      <c r="AV18" s="81"/>
      <c r="AW18" s="81"/>
      <c r="AX18" s="81"/>
      <c r="AY18" s="81"/>
      <c r="AZ18" s="81"/>
      <c r="BA18" s="81"/>
      <c r="BB18" s="81"/>
    </row>
    <row r="19" spans="1:54" x14ac:dyDescent="0.35">
      <c r="A19" s="66" t="s">
        <v>225</v>
      </c>
      <c r="B19" s="66" t="s">
        <v>217</v>
      </c>
      <c r="C19" s="67"/>
      <c r="D19" s="68"/>
      <c r="E19" s="69"/>
      <c r="F19" s="70"/>
      <c r="G19" s="67"/>
      <c r="H19" s="71"/>
      <c r="I19" s="72"/>
      <c r="J19" s="72"/>
      <c r="K19" s="36"/>
      <c r="L19" s="79"/>
      <c r="M19" s="79"/>
      <c r="N19" s="74"/>
      <c r="O19" s="81" t="s">
        <v>693</v>
      </c>
      <c r="P19" s="83">
        <v>44459.540266203701</v>
      </c>
      <c r="Q19" s="81" t="s">
        <v>699</v>
      </c>
      <c r="R19" s="81"/>
      <c r="S19" s="81"/>
      <c r="T19" s="81"/>
      <c r="U19" s="84" t="str">
        <f>HYPERLINK("https://pbs.twimg.com/ext_tw_video_thumb/1439603623520993285/pu/img/4NCBVhjvbYSKxAvX.jpg")</f>
        <v>https://pbs.twimg.com/ext_tw_video_thumb/1439603623520993285/pu/img/4NCBVhjvbYSKxAvX.jpg</v>
      </c>
      <c r="V19" s="84" t="str">
        <f>HYPERLINK("https://pbs.twimg.com/ext_tw_video_thumb/1439603623520993285/pu/img/4NCBVhjvbYSKxAvX.jpg")</f>
        <v>https://pbs.twimg.com/ext_tw_video_thumb/1439603623520993285/pu/img/4NCBVhjvbYSKxAvX.jpg</v>
      </c>
      <c r="W19" s="83">
        <v>44459.540266203701</v>
      </c>
      <c r="X19" s="89">
        <v>44459</v>
      </c>
      <c r="Y19" s="86" t="s">
        <v>1020</v>
      </c>
      <c r="Z19" s="84" t="str">
        <f>HYPERLINK("https://twitter.com/jierahrsli/status/1439936880775090179")</f>
        <v>https://twitter.com/jierahrsli/status/1439936880775090179</v>
      </c>
      <c r="AA19" s="81"/>
      <c r="AB19" s="81"/>
      <c r="AC19" s="86" t="s">
        <v>1521</v>
      </c>
      <c r="AD19" s="81"/>
      <c r="AE19" s="81" t="b">
        <v>0</v>
      </c>
      <c r="AF19" s="81">
        <v>0</v>
      </c>
      <c r="AG19" s="86" t="s">
        <v>2084</v>
      </c>
      <c r="AH19" s="81" t="b">
        <v>0</v>
      </c>
      <c r="AI19" s="81" t="s">
        <v>2167</v>
      </c>
      <c r="AJ19" s="81"/>
      <c r="AK19" s="86" t="s">
        <v>2084</v>
      </c>
      <c r="AL19" s="81" t="b">
        <v>0</v>
      </c>
      <c r="AM19" s="81">
        <v>102</v>
      </c>
      <c r="AN19" s="86" t="s">
        <v>1559</v>
      </c>
      <c r="AO19" s="86" t="s">
        <v>2178</v>
      </c>
      <c r="AP19" s="81" t="b">
        <v>0</v>
      </c>
      <c r="AQ19" s="86" t="s">
        <v>1559</v>
      </c>
      <c r="AR19" s="81" t="s">
        <v>179</v>
      </c>
      <c r="AS19" s="81">
        <v>0</v>
      </c>
      <c r="AT19" s="81">
        <v>0</v>
      </c>
      <c r="AU19" s="81"/>
      <c r="AV19" s="81"/>
      <c r="AW19" s="81"/>
      <c r="AX19" s="81"/>
      <c r="AY19" s="81"/>
      <c r="AZ19" s="81"/>
      <c r="BA19" s="81"/>
      <c r="BB19" s="81"/>
    </row>
    <row r="20" spans="1:54" x14ac:dyDescent="0.35">
      <c r="A20" s="66" t="s">
        <v>226</v>
      </c>
      <c r="B20" s="66" t="s">
        <v>592</v>
      </c>
      <c r="C20" s="67"/>
      <c r="D20" s="68"/>
      <c r="E20" s="69"/>
      <c r="F20" s="70"/>
      <c r="G20" s="67"/>
      <c r="H20" s="71"/>
      <c r="I20" s="72"/>
      <c r="J20" s="72"/>
      <c r="K20" s="36"/>
      <c r="L20" s="79"/>
      <c r="M20" s="79"/>
      <c r="N20" s="74"/>
      <c r="O20" s="81" t="s">
        <v>693</v>
      </c>
      <c r="P20" s="83">
        <v>44459.550381944442</v>
      </c>
      <c r="Q20" s="81" t="s">
        <v>700</v>
      </c>
      <c r="R20" s="81"/>
      <c r="S20" s="81"/>
      <c r="T20" s="86" t="s">
        <v>972</v>
      </c>
      <c r="U20" s="84" t="str">
        <f>HYPERLINK("https://pbs.twimg.com/media/E_ubZIHUYAESLiB.jpg")</f>
        <v>https://pbs.twimg.com/media/E_ubZIHUYAESLiB.jpg</v>
      </c>
      <c r="V20" s="84" t="str">
        <f>HYPERLINK("https://pbs.twimg.com/media/E_ubZIHUYAESLiB.jpg")</f>
        <v>https://pbs.twimg.com/media/E_ubZIHUYAESLiB.jpg</v>
      </c>
      <c r="W20" s="83">
        <v>44459.550381944442</v>
      </c>
      <c r="X20" s="89">
        <v>44459</v>
      </c>
      <c r="Y20" s="86" t="s">
        <v>1021</v>
      </c>
      <c r="Z20" s="84" t="str">
        <f>HYPERLINK("https://twitter.com/qwertyahsksk/status/1439940546005327879")</f>
        <v>https://twitter.com/qwertyahsksk/status/1439940546005327879</v>
      </c>
      <c r="AA20" s="81"/>
      <c r="AB20" s="81"/>
      <c r="AC20" s="86" t="s">
        <v>1522</v>
      </c>
      <c r="AD20" s="81"/>
      <c r="AE20" s="81" t="b">
        <v>0</v>
      </c>
      <c r="AF20" s="81">
        <v>0</v>
      </c>
      <c r="AG20" s="86" t="s">
        <v>2084</v>
      </c>
      <c r="AH20" s="81" t="b">
        <v>0</v>
      </c>
      <c r="AI20" s="81" t="s">
        <v>2168</v>
      </c>
      <c r="AJ20" s="81"/>
      <c r="AK20" s="86" t="s">
        <v>2084</v>
      </c>
      <c r="AL20" s="81" t="b">
        <v>0</v>
      </c>
      <c r="AM20" s="81">
        <v>27</v>
      </c>
      <c r="AN20" s="86" t="s">
        <v>1995</v>
      </c>
      <c r="AO20" s="86" t="s">
        <v>2178</v>
      </c>
      <c r="AP20" s="81" t="b">
        <v>0</v>
      </c>
      <c r="AQ20" s="86" t="s">
        <v>1995</v>
      </c>
      <c r="AR20" s="81" t="s">
        <v>179</v>
      </c>
      <c r="AS20" s="81">
        <v>0</v>
      </c>
      <c r="AT20" s="81">
        <v>0</v>
      </c>
      <c r="AU20" s="81"/>
      <c r="AV20" s="81"/>
      <c r="AW20" s="81"/>
      <c r="AX20" s="81"/>
      <c r="AY20" s="81"/>
      <c r="AZ20" s="81"/>
      <c r="BA20" s="81"/>
      <c r="BB20" s="81"/>
    </row>
    <row r="21" spans="1:54" x14ac:dyDescent="0.35">
      <c r="A21" s="66" t="s">
        <v>227</v>
      </c>
      <c r="B21" s="66" t="s">
        <v>592</v>
      </c>
      <c r="C21" s="67"/>
      <c r="D21" s="68"/>
      <c r="E21" s="69"/>
      <c r="F21" s="70"/>
      <c r="G21" s="67"/>
      <c r="H21" s="71"/>
      <c r="I21" s="72"/>
      <c r="J21" s="72"/>
      <c r="K21" s="36"/>
      <c r="L21" s="79"/>
      <c r="M21" s="79"/>
      <c r="N21" s="74"/>
      <c r="O21" s="81" t="s">
        <v>693</v>
      </c>
      <c r="P21" s="83">
        <v>44459.554340277777</v>
      </c>
      <c r="Q21" s="81" t="s">
        <v>700</v>
      </c>
      <c r="R21" s="81"/>
      <c r="S21" s="81"/>
      <c r="T21" s="86" t="s">
        <v>972</v>
      </c>
      <c r="U21" s="84" t="str">
        <f>HYPERLINK("https://pbs.twimg.com/media/E_ubZIHUYAESLiB.jpg")</f>
        <v>https://pbs.twimg.com/media/E_ubZIHUYAESLiB.jpg</v>
      </c>
      <c r="V21" s="84" t="str">
        <f>HYPERLINK("https://pbs.twimg.com/media/E_ubZIHUYAESLiB.jpg")</f>
        <v>https://pbs.twimg.com/media/E_ubZIHUYAESLiB.jpg</v>
      </c>
      <c r="W21" s="83">
        <v>44459.554340277777</v>
      </c>
      <c r="X21" s="89">
        <v>44459</v>
      </c>
      <c r="Y21" s="86" t="s">
        <v>1022</v>
      </c>
      <c r="Z21" s="84" t="str">
        <f>HYPERLINK("https://twitter.com/sevngjinluvr/status/1439941981879169030")</f>
        <v>https://twitter.com/sevngjinluvr/status/1439941981879169030</v>
      </c>
      <c r="AA21" s="81"/>
      <c r="AB21" s="81"/>
      <c r="AC21" s="86" t="s">
        <v>1523</v>
      </c>
      <c r="AD21" s="81"/>
      <c r="AE21" s="81" t="b">
        <v>0</v>
      </c>
      <c r="AF21" s="81">
        <v>0</v>
      </c>
      <c r="AG21" s="86" t="s">
        <v>2084</v>
      </c>
      <c r="AH21" s="81" t="b">
        <v>0</v>
      </c>
      <c r="AI21" s="81" t="s">
        <v>2168</v>
      </c>
      <c r="AJ21" s="81"/>
      <c r="AK21" s="86" t="s">
        <v>2084</v>
      </c>
      <c r="AL21" s="81" t="b">
        <v>0</v>
      </c>
      <c r="AM21" s="81">
        <v>27</v>
      </c>
      <c r="AN21" s="86" t="s">
        <v>1995</v>
      </c>
      <c r="AO21" s="86" t="s">
        <v>2178</v>
      </c>
      <c r="AP21" s="81" t="b">
        <v>0</v>
      </c>
      <c r="AQ21" s="86" t="s">
        <v>1995</v>
      </c>
      <c r="AR21" s="81" t="s">
        <v>179</v>
      </c>
      <c r="AS21" s="81">
        <v>0</v>
      </c>
      <c r="AT21" s="81">
        <v>0</v>
      </c>
      <c r="AU21" s="81"/>
      <c r="AV21" s="81"/>
      <c r="AW21" s="81"/>
      <c r="AX21" s="81"/>
      <c r="AY21" s="81"/>
      <c r="AZ21" s="81"/>
      <c r="BA21" s="81"/>
      <c r="BB21" s="81"/>
    </row>
    <row r="22" spans="1:54" x14ac:dyDescent="0.35">
      <c r="A22" s="66" t="s">
        <v>4177</v>
      </c>
      <c r="B22" s="66" t="s">
        <v>4177</v>
      </c>
      <c r="C22" s="67"/>
      <c r="D22" s="68"/>
      <c r="E22" s="69"/>
      <c r="F22" s="70"/>
      <c r="G22" s="67"/>
      <c r="H22" s="71"/>
      <c r="I22" s="72"/>
      <c r="J22" s="72"/>
      <c r="K22" s="36"/>
      <c r="L22" s="79"/>
      <c r="M22" s="79"/>
      <c r="N22" s="74"/>
      <c r="O22" s="81" t="s">
        <v>179</v>
      </c>
      <c r="P22" s="83">
        <v>44459.560682870368</v>
      </c>
      <c r="Q22" s="81" t="s">
        <v>5279</v>
      </c>
      <c r="R22" s="84" t="str">
        <f>HYPERLINK("https://www.shorturl.at/bqtIP")</f>
        <v>https://www.shorturl.at/bqtIP</v>
      </c>
      <c r="S22" s="81" t="s">
        <v>5694</v>
      </c>
      <c r="T22" s="86" t="s">
        <v>5766</v>
      </c>
      <c r="U22" s="81"/>
      <c r="V22" s="84" t="str">
        <f>HYPERLINK("https://pbs.twimg.com/profile_images/1362415919335493632/9nda495G_normal.jpg")</f>
        <v>https://pbs.twimg.com/profile_images/1362415919335493632/9nda495G_normal.jpg</v>
      </c>
      <c r="W22" s="83">
        <v>44459.560682870368</v>
      </c>
      <c r="X22" s="89">
        <v>44459</v>
      </c>
      <c r="Y22" s="86" t="s">
        <v>5799</v>
      </c>
      <c r="Z22" s="84" t="str">
        <f>HYPERLINK("https://twitter.com/kmerchsss/status/1439944276905902085")</f>
        <v>https://twitter.com/kmerchsss/status/1439944276905902085</v>
      </c>
      <c r="AA22" s="81"/>
      <c r="AB22" s="81"/>
      <c r="AC22" s="86" t="s">
        <v>6699</v>
      </c>
      <c r="AD22" s="86" t="s">
        <v>7616</v>
      </c>
      <c r="AE22" s="81" t="b">
        <v>0</v>
      </c>
      <c r="AF22" s="81">
        <v>1</v>
      </c>
      <c r="AG22" s="86" t="s">
        <v>7795</v>
      </c>
      <c r="AH22" s="81" t="b">
        <v>0</v>
      </c>
      <c r="AI22" s="81" t="s">
        <v>2168</v>
      </c>
      <c r="AJ22" s="81"/>
      <c r="AK22" s="86" t="s">
        <v>2084</v>
      </c>
      <c r="AL22" s="81" t="b">
        <v>0</v>
      </c>
      <c r="AM22" s="81">
        <v>0</v>
      </c>
      <c r="AN22" s="86" t="s">
        <v>2084</v>
      </c>
      <c r="AO22" s="86" t="s">
        <v>2178</v>
      </c>
      <c r="AP22" s="81" t="b">
        <v>0</v>
      </c>
      <c r="AQ22" s="86" t="s">
        <v>7616</v>
      </c>
      <c r="AR22" s="81" t="s">
        <v>179</v>
      </c>
      <c r="AS22" s="81">
        <v>0</v>
      </c>
      <c r="AT22" s="81">
        <v>0</v>
      </c>
      <c r="AU22" s="81"/>
      <c r="AV22" s="81"/>
      <c r="AW22" s="81"/>
      <c r="AX22" s="81"/>
      <c r="AY22" s="81"/>
      <c r="AZ22" s="81"/>
      <c r="BA22" s="81"/>
      <c r="BB22" s="81"/>
    </row>
    <row r="23" spans="1:54" x14ac:dyDescent="0.35">
      <c r="A23" s="66" t="s">
        <v>228</v>
      </c>
      <c r="B23" s="66" t="s">
        <v>596</v>
      </c>
      <c r="C23" s="67"/>
      <c r="D23" s="68"/>
      <c r="E23" s="69"/>
      <c r="F23" s="70"/>
      <c r="G23" s="67"/>
      <c r="H23" s="71"/>
      <c r="I23" s="72"/>
      <c r="J23" s="72"/>
      <c r="K23" s="36"/>
      <c r="L23" s="79"/>
      <c r="M23" s="79"/>
      <c r="N23" s="74"/>
      <c r="O23" s="81" t="s">
        <v>693</v>
      </c>
      <c r="P23" s="83">
        <v>44459.574259259258</v>
      </c>
      <c r="Q23" s="81" t="s">
        <v>701</v>
      </c>
      <c r="R23" s="84" t="str">
        <f>HYPERLINK("https://api.whatsapp.com/send?phone=6281222353823")</f>
        <v>https://api.whatsapp.com/send?phone=6281222353823</v>
      </c>
      <c r="S23" s="81" t="s">
        <v>940</v>
      </c>
      <c r="T23" s="81"/>
      <c r="U23" s="84" t="str">
        <f>HYPERLINK("https://pbs.twimg.com/media/E_P_XMQWYAUXeaR.jpg")</f>
        <v>https://pbs.twimg.com/media/E_P_XMQWYAUXeaR.jpg</v>
      </c>
      <c r="V23" s="84" t="str">
        <f>HYPERLINK("https://pbs.twimg.com/media/E_P_XMQWYAUXeaR.jpg")</f>
        <v>https://pbs.twimg.com/media/E_P_XMQWYAUXeaR.jpg</v>
      </c>
      <c r="W23" s="83">
        <v>44459.574259259258</v>
      </c>
      <c r="X23" s="89">
        <v>44459</v>
      </c>
      <c r="Y23" s="86" t="s">
        <v>1023</v>
      </c>
      <c r="Z23" s="84" t="str">
        <f>HYPERLINK("https://twitter.com/gembrit/status/1439949200347779086")</f>
        <v>https://twitter.com/gembrit/status/1439949200347779086</v>
      </c>
      <c r="AA23" s="81"/>
      <c r="AB23" s="81"/>
      <c r="AC23" s="86" t="s">
        <v>1524</v>
      </c>
      <c r="AD23" s="81"/>
      <c r="AE23" s="81" t="b">
        <v>0</v>
      </c>
      <c r="AF23" s="81">
        <v>0</v>
      </c>
      <c r="AG23" s="86" t="s">
        <v>2084</v>
      </c>
      <c r="AH23" s="81" t="b">
        <v>0</v>
      </c>
      <c r="AI23" s="81" t="s">
        <v>2167</v>
      </c>
      <c r="AJ23" s="81"/>
      <c r="AK23" s="86" t="s">
        <v>2084</v>
      </c>
      <c r="AL23" s="81" t="b">
        <v>0</v>
      </c>
      <c r="AM23" s="81">
        <v>51</v>
      </c>
      <c r="AN23" s="86" t="s">
        <v>2005</v>
      </c>
      <c r="AO23" s="86" t="s">
        <v>2178</v>
      </c>
      <c r="AP23" s="81" t="b">
        <v>0</v>
      </c>
      <c r="AQ23" s="86" t="s">
        <v>2005</v>
      </c>
      <c r="AR23" s="81" t="s">
        <v>179</v>
      </c>
      <c r="AS23" s="81">
        <v>0</v>
      </c>
      <c r="AT23" s="81">
        <v>0</v>
      </c>
      <c r="AU23" s="81"/>
      <c r="AV23" s="81"/>
      <c r="AW23" s="81"/>
      <c r="AX23" s="81"/>
      <c r="AY23" s="81"/>
      <c r="AZ23" s="81"/>
      <c r="BA23" s="81"/>
      <c r="BB23" s="81"/>
    </row>
    <row r="24" spans="1:54" x14ac:dyDescent="0.35">
      <c r="A24" s="66" t="s">
        <v>229</v>
      </c>
      <c r="B24" s="66" t="s">
        <v>596</v>
      </c>
      <c r="C24" s="67"/>
      <c r="D24" s="68"/>
      <c r="E24" s="69"/>
      <c r="F24" s="70"/>
      <c r="G24" s="67"/>
      <c r="H24" s="71"/>
      <c r="I24" s="72"/>
      <c r="J24" s="72"/>
      <c r="K24" s="36"/>
      <c r="L24" s="79"/>
      <c r="M24" s="79"/>
      <c r="N24" s="74"/>
      <c r="O24" s="81" t="s">
        <v>693</v>
      </c>
      <c r="P24" s="83">
        <v>44459.579074074078</v>
      </c>
      <c r="Q24" s="81" t="s">
        <v>701</v>
      </c>
      <c r="R24" s="84" t="str">
        <f>HYPERLINK("https://api.whatsapp.com/send?phone=6281222353823")</f>
        <v>https://api.whatsapp.com/send?phone=6281222353823</v>
      </c>
      <c r="S24" s="81" t="s">
        <v>940</v>
      </c>
      <c r="T24" s="81"/>
      <c r="U24" s="84" t="str">
        <f>HYPERLINK("https://pbs.twimg.com/media/E_P_XMQWYAUXeaR.jpg")</f>
        <v>https://pbs.twimg.com/media/E_P_XMQWYAUXeaR.jpg</v>
      </c>
      <c r="V24" s="84" t="str">
        <f>HYPERLINK("https://pbs.twimg.com/media/E_P_XMQWYAUXeaR.jpg")</f>
        <v>https://pbs.twimg.com/media/E_P_XMQWYAUXeaR.jpg</v>
      </c>
      <c r="W24" s="83">
        <v>44459.579074074078</v>
      </c>
      <c r="X24" s="89">
        <v>44459</v>
      </c>
      <c r="Y24" s="86" t="s">
        <v>1024</v>
      </c>
      <c r="Z24" s="84" t="str">
        <f>HYPERLINK("https://twitter.com/kabigon89/status/1439950942405685251")</f>
        <v>https://twitter.com/kabigon89/status/1439950942405685251</v>
      </c>
      <c r="AA24" s="81"/>
      <c r="AB24" s="81"/>
      <c r="AC24" s="86" t="s">
        <v>1525</v>
      </c>
      <c r="AD24" s="81"/>
      <c r="AE24" s="81" t="b">
        <v>0</v>
      </c>
      <c r="AF24" s="81">
        <v>0</v>
      </c>
      <c r="AG24" s="86" t="s">
        <v>2084</v>
      </c>
      <c r="AH24" s="81" t="b">
        <v>0</v>
      </c>
      <c r="AI24" s="81" t="s">
        <v>2167</v>
      </c>
      <c r="AJ24" s="81"/>
      <c r="AK24" s="86" t="s">
        <v>2084</v>
      </c>
      <c r="AL24" s="81" t="b">
        <v>0</v>
      </c>
      <c r="AM24" s="81">
        <v>51</v>
      </c>
      <c r="AN24" s="86" t="s">
        <v>2005</v>
      </c>
      <c r="AO24" s="86" t="s">
        <v>2181</v>
      </c>
      <c r="AP24" s="81" t="b">
        <v>0</v>
      </c>
      <c r="AQ24" s="86" t="s">
        <v>2005</v>
      </c>
      <c r="AR24" s="81" t="s">
        <v>179</v>
      </c>
      <c r="AS24" s="81">
        <v>0</v>
      </c>
      <c r="AT24" s="81">
        <v>0</v>
      </c>
      <c r="AU24" s="81"/>
      <c r="AV24" s="81"/>
      <c r="AW24" s="81"/>
      <c r="AX24" s="81"/>
      <c r="AY24" s="81"/>
      <c r="AZ24" s="81"/>
      <c r="BA24" s="81"/>
      <c r="BB24" s="81"/>
    </row>
    <row r="25" spans="1:54" x14ac:dyDescent="0.35">
      <c r="A25" s="66" t="s">
        <v>4178</v>
      </c>
      <c r="B25" s="66" t="s">
        <v>4178</v>
      </c>
      <c r="C25" s="67"/>
      <c r="D25" s="68"/>
      <c r="E25" s="69"/>
      <c r="F25" s="70"/>
      <c r="G25" s="67"/>
      <c r="H25" s="71"/>
      <c r="I25" s="72"/>
      <c r="J25" s="72"/>
      <c r="K25" s="36"/>
      <c r="L25" s="79"/>
      <c r="M25" s="79"/>
      <c r="N25" s="74"/>
      <c r="O25" s="81" t="s">
        <v>179</v>
      </c>
      <c r="P25" s="83">
        <v>44459.583032407405</v>
      </c>
      <c r="Q25" s="81" t="s">
        <v>5280</v>
      </c>
      <c r="R25" s="84" t="str">
        <f>HYPERLINK("https://www.ojogo.pt/internacional/noticias/fifpro-indica-que-dois-em-cada-tres-futebolistas-nao-tem-perspetiva-pos-carreira-14140313.html?utm_source=dlvr.it&amp;utm_medium=twitter")</f>
        <v>https://www.ojogo.pt/internacional/noticias/fifpro-indica-que-dois-em-cada-tres-futebolistas-nao-tem-perspetiva-pos-carreira-14140313.html?utm_source=dlvr.it&amp;utm_medium=twitter</v>
      </c>
      <c r="S25" s="81" t="s">
        <v>5695</v>
      </c>
      <c r="T25" s="81"/>
      <c r="U25" s="81"/>
      <c r="V25" s="84" t="str">
        <f>HYPERLINK("https://pbs.twimg.com/profile_images/1363982208260841474/l_a-LpT8_normal.jpg")</f>
        <v>https://pbs.twimg.com/profile_images/1363982208260841474/l_a-LpT8_normal.jpg</v>
      </c>
      <c r="W25" s="83">
        <v>44459.583032407405</v>
      </c>
      <c r="X25" s="89">
        <v>44459</v>
      </c>
      <c r="Y25" s="86" t="s">
        <v>5800</v>
      </c>
      <c r="Z25" s="84" t="str">
        <f>HYPERLINK("https://twitter.com/ojogo/status/1439952377256103947")</f>
        <v>https://twitter.com/ojogo/status/1439952377256103947</v>
      </c>
      <c r="AA25" s="81"/>
      <c r="AB25" s="81"/>
      <c r="AC25" s="86" t="s">
        <v>6700</v>
      </c>
      <c r="AD25" s="81"/>
      <c r="AE25" s="81" t="b">
        <v>0</v>
      </c>
      <c r="AF25" s="81">
        <v>0</v>
      </c>
      <c r="AG25" s="86" t="s">
        <v>2084</v>
      </c>
      <c r="AH25" s="81" t="b">
        <v>0</v>
      </c>
      <c r="AI25" s="81" t="s">
        <v>2171</v>
      </c>
      <c r="AJ25" s="81"/>
      <c r="AK25" s="86" t="s">
        <v>2084</v>
      </c>
      <c r="AL25" s="81" t="b">
        <v>0</v>
      </c>
      <c r="AM25" s="81">
        <v>0</v>
      </c>
      <c r="AN25" s="86" t="s">
        <v>2084</v>
      </c>
      <c r="AO25" s="86" t="s">
        <v>2188</v>
      </c>
      <c r="AP25" s="81" t="b">
        <v>0</v>
      </c>
      <c r="AQ25" s="86" t="s">
        <v>6700</v>
      </c>
      <c r="AR25" s="81" t="s">
        <v>179</v>
      </c>
      <c r="AS25" s="81">
        <v>0</v>
      </c>
      <c r="AT25" s="81">
        <v>0</v>
      </c>
      <c r="AU25" s="81"/>
      <c r="AV25" s="81"/>
      <c r="AW25" s="81"/>
      <c r="AX25" s="81"/>
      <c r="AY25" s="81"/>
      <c r="AZ25" s="81"/>
      <c r="BA25" s="81"/>
      <c r="BB25" s="81"/>
    </row>
    <row r="26" spans="1:54" x14ac:dyDescent="0.35">
      <c r="A26" s="66" t="s">
        <v>4179</v>
      </c>
      <c r="B26" s="66" t="s">
        <v>4495</v>
      </c>
      <c r="C26" s="67"/>
      <c r="D26" s="68"/>
      <c r="E26" s="69"/>
      <c r="F26" s="70"/>
      <c r="G26" s="67"/>
      <c r="H26" s="71"/>
      <c r="I26" s="72"/>
      <c r="J26" s="72"/>
      <c r="K26" s="36"/>
      <c r="L26" s="79"/>
      <c r="M26" s="79"/>
      <c r="N26" s="74"/>
      <c r="O26" s="81" t="s">
        <v>693</v>
      </c>
      <c r="P26" s="83">
        <v>44459.589537037034</v>
      </c>
      <c r="Q26" s="81" t="s">
        <v>5272</v>
      </c>
      <c r="R26" s="84" t="str">
        <f>HYPERLINK("https://www.gov.br/anvisa/pt-br/assuntos/fiscalizacao-e-monitoramento/notificacoes/vigimed/")</f>
        <v>https://www.gov.br/anvisa/pt-br/assuntos/fiscalizacao-e-monitoramento/notificacoes/vigimed/</v>
      </c>
      <c r="S26" s="81" t="s">
        <v>5686</v>
      </c>
      <c r="T26" s="81"/>
      <c r="U26" s="81"/>
      <c r="V26" s="84" t="str">
        <f>HYPERLINK("https://pbs.twimg.com/profile_images/1427932727546896392/gFwFtIq1_normal.jpg")</f>
        <v>https://pbs.twimg.com/profile_images/1427932727546896392/gFwFtIq1_normal.jpg</v>
      </c>
      <c r="W26" s="83">
        <v>44459.589537037034</v>
      </c>
      <c r="X26" s="89">
        <v>44459</v>
      </c>
      <c r="Y26" s="86" t="s">
        <v>5801</v>
      </c>
      <c r="Z26" s="84" t="str">
        <f>HYPERLINK("https://twitter.com/jardani_gun/status/1439954734123716609")</f>
        <v>https://twitter.com/jardani_gun/status/1439954734123716609</v>
      </c>
      <c r="AA26" s="81"/>
      <c r="AB26" s="81"/>
      <c r="AC26" s="86" t="s">
        <v>6701</v>
      </c>
      <c r="AD26" s="81"/>
      <c r="AE26" s="81" t="b">
        <v>0</v>
      </c>
      <c r="AF26" s="81">
        <v>0</v>
      </c>
      <c r="AG26" s="86" t="s">
        <v>2084</v>
      </c>
      <c r="AH26" s="81" t="b">
        <v>0</v>
      </c>
      <c r="AI26" s="81" t="s">
        <v>2171</v>
      </c>
      <c r="AJ26" s="81"/>
      <c r="AK26" s="86" t="s">
        <v>2084</v>
      </c>
      <c r="AL26" s="81" t="b">
        <v>0</v>
      </c>
      <c r="AM26" s="81">
        <v>1497</v>
      </c>
      <c r="AN26" s="86" t="s">
        <v>7047</v>
      </c>
      <c r="AO26" s="86" t="s">
        <v>2178</v>
      </c>
      <c r="AP26" s="81" t="b">
        <v>0</v>
      </c>
      <c r="AQ26" s="86" t="s">
        <v>7047</v>
      </c>
      <c r="AR26" s="81" t="s">
        <v>179</v>
      </c>
      <c r="AS26" s="81">
        <v>0</v>
      </c>
      <c r="AT26" s="81">
        <v>0</v>
      </c>
      <c r="AU26" s="81"/>
      <c r="AV26" s="81"/>
      <c r="AW26" s="81"/>
      <c r="AX26" s="81"/>
      <c r="AY26" s="81"/>
      <c r="AZ26" s="81"/>
      <c r="BA26" s="81"/>
      <c r="BB26" s="81"/>
    </row>
    <row r="27" spans="1:54" x14ac:dyDescent="0.35">
      <c r="A27" s="66" t="s">
        <v>230</v>
      </c>
      <c r="B27" s="66" t="s">
        <v>602</v>
      </c>
      <c r="C27" s="67"/>
      <c r="D27" s="68"/>
      <c r="E27" s="69"/>
      <c r="F27" s="70"/>
      <c r="G27" s="67"/>
      <c r="H27" s="71"/>
      <c r="I27" s="72"/>
      <c r="J27" s="72"/>
      <c r="K27" s="36"/>
      <c r="L27" s="79"/>
      <c r="M27" s="79"/>
      <c r="N27" s="74"/>
      <c r="O27" s="81" t="s">
        <v>694</v>
      </c>
      <c r="P27" s="83">
        <v>44459.595231481479</v>
      </c>
      <c r="Q27" s="81" t="s">
        <v>697</v>
      </c>
      <c r="R27" s="81"/>
      <c r="S27" s="81"/>
      <c r="T27" s="86" t="s">
        <v>971</v>
      </c>
      <c r="U27" s="84" t="str">
        <f>HYPERLINK("https://pbs.twimg.com/media/E_X1zlwVIAES6Ks.jpg")</f>
        <v>https://pbs.twimg.com/media/E_X1zlwVIAES6Ks.jpg</v>
      </c>
      <c r="V27" s="84" t="str">
        <f>HYPERLINK("https://pbs.twimg.com/media/E_X1zlwVIAES6Ks.jpg")</f>
        <v>https://pbs.twimg.com/media/E_X1zlwVIAES6Ks.jpg</v>
      </c>
      <c r="W27" s="83">
        <v>44459.595231481479</v>
      </c>
      <c r="X27" s="89">
        <v>44459</v>
      </c>
      <c r="Y27" s="86" t="s">
        <v>1025</v>
      </c>
      <c r="Z27" s="84" t="str">
        <f>HYPERLINK("https://twitter.com/khan0348700/status/1439956796580446220")</f>
        <v>https://twitter.com/khan0348700/status/1439956796580446220</v>
      </c>
      <c r="AA27" s="81"/>
      <c r="AB27" s="81"/>
      <c r="AC27" s="86" t="s">
        <v>1526</v>
      </c>
      <c r="AD27" s="81"/>
      <c r="AE27" s="81" t="b">
        <v>0</v>
      </c>
      <c r="AF27" s="81">
        <v>0</v>
      </c>
      <c r="AG27" s="86" t="s">
        <v>2084</v>
      </c>
      <c r="AH27" s="81" t="b">
        <v>0</v>
      </c>
      <c r="AI27" s="81" t="s">
        <v>2167</v>
      </c>
      <c r="AJ27" s="81"/>
      <c r="AK27" s="86" t="s">
        <v>2084</v>
      </c>
      <c r="AL27" s="81" t="b">
        <v>0</v>
      </c>
      <c r="AM27" s="81">
        <v>57</v>
      </c>
      <c r="AN27" s="86" t="s">
        <v>1569</v>
      </c>
      <c r="AO27" s="86" t="s">
        <v>2178</v>
      </c>
      <c r="AP27" s="81" t="b">
        <v>0</v>
      </c>
      <c r="AQ27" s="86" t="s">
        <v>1569</v>
      </c>
      <c r="AR27" s="81" t="s">
        <v>179</v>
      </c>
      <c r="AS27" s="81">
        <v>0</v>
      </c>
      <c r="AT27" s="81">
        <v>0</v>
      </c>
      <c r="AU27" s="81"/>
      <c r="AV27" s="81"/>
      <c r="AW27" s="81"/>
      <c r="AX27" s="81"/>
      <c r="AY27" s="81"/>
      <c r="AZ27" s="81"/>
      <c r="BA27" s="81"/>
      <c r="BB27" s="81"/>
    </row>
    <row r="28" spans="1:54" x14ac:dyDescent="0.35">
      <c r="A28" s="66" t="s">
        <v>230</v>
      </c>
      <c r="B28" s="66" t="s">
        <v>272</v>
      </c>
      <c r="C28" s="67"/>
      <c r="D28" s="68"/>
      <c r="E28" s="69"/>
      <c r="F28" s="70"/>
      <c r="G28" s="67"/>
      <c r="H28" s="71"/>
      <c r="I28" s="72"/>
      <c r="J28" s="72"/>
      <c r="K28" s="36"/>
      <c r="L28" s="79"/>
      <c r="M28" s="79"/>
      <c r="N28" s="74"/>
      <c r="O28" s="81" t="s">
        <v>693</v>
      </c>
      <c r="P28" s="83">
        <v>44459.595231481479</v>
      </c>
      <c r="Q28" s="81" t="s">
        <v>697</v>
      </c>
      <c r="R28" s="81"/>
      <c r="S28" s="81"/>
      <c r="T28" s="86" t="s">
        <v>971</v>
      </c>
      <c r="U28" s="84" t="str">
        <f>HYPERLINK("https://pbs.twimg.com/media/E_X1zlwVIAES6Ks.jpg")</f>
        <v>https://pbs.twimg.com/media/E_X1zlwVIAES6Ks.jpg</v>
      </c>
      <c r="V28" s="84" t="str">
        <f>HYPERLINK("https://pbs.twimg.com/media/E_X1zlwVIAES6Ks.jpg")</f>
        <v>https://pbs.twimg.com/media/E_X1zlwVIAES6Ks.jpg</v>
      </c>
      <c r="W28" s="83">
        <v>44459.595231481479</v>
      </c>
      <c r="X28" s="89">
        <v>44459</v>
      </c>
      <c r="Y28" s="86" t="s">
        <v>1025</v>
      </c>
      <c r="Z28" s="84" t="str">
        <f>HYPERLINK("https://twitter.com/khan0348700/status/1439956796580446220")</f>
        <v>https://twitter.com/khan0348700/status/1439956796580446220</v>
      </c>
      <c r="AA28" s="81"/>
      <c r="AB28" s="81"/>
      <c r="AC28" s="86" t="s">
        <v>1526</v>
      </c>
      <c r="AD28" s="81"/>
      <c r="AE28" s="81" t="b">
        <v>0</v>
      </c>
      <c r="AF28" s="81">
        <v>0</v>
      </c>
      <c r="AG28" s="86" t="s">
        <v>2084</v>
      </c>
      <c r="AH28" s="81" t="b">
        <v>0</v>
      </c>
      <c r="AI28" s="81" t="s">
        <v>2167</v>
      </c>
      <c r="AJ28" s="81"/>
      <c r="AK28" s="86" t="s">
        <v>2084</v>
      </c>
      <c r="AL28" s="81" t="b">
        <v>0</v>
      </c>
      <c r="AM28" s="81">
        <v>57</v>
      </c>
      <c r="AN28" s="86" t="s">
        <v>1569</v>
      </c>
      <c r="AO28" s="86" t="s">
        <v>2178</v>
      </c>
      <c r="AP28" s="81" t="b">
        <v>0</v>
      </c>
      <c r="AQ28" s="86" t="s">
        <v>1569</v>
      </c>
      <c r="AR28" s="81" t="s">
        <v>179</v>
      </c>
      <c r="AS28" s="81">
        <v>0</v>
      </c>
      <c r="AT28" s="81">
        <v>0</v>
      </c>
      <c r="AU28" s="81"/>
      <c r="AV28" s="81"/>
      <c r="AW28" s="81"/>
      <c r="AX28" s="81"/>
      <c r="AY28" s="81"/>
      <c r="AZ28" s="81"/>
      <c r="BA28" s="81"/>
      <c r="BB28" s="81"/>
    </row>
    <row r="29" spans="1:54" x14ac:dyDescent="0.35">
      <c r="A29" s="66" t="s">
        <v>4180</v>
      </c>
      <c r="B29" s="66" t="s">
        <v>4985</v>
      </c>
      <c r="C29" s="67"/>
      <c r="D29" s="68"/>
      <c r="E29" s="69"/>
      <c r="F29" s="70"/>
      <c r="G29" s="67"/>
      <c r="H29" s="71"/>
      <c r="I29" s="72"/>
      <c r="J29" s="72"/>
      <c r="K29" s="36"/>
      <c r="L29" s="79"/>
      <c r="M29" s="79"/>
      <c r="N29" s="74"/>
      <c r="O29" s="81" t="s">
        <v>695</v>
      </c>
      <c r="P29" s="83">
        <v>44459.599594907406</v>
      </c>
      <c r="Q29" s="81" t="s">
        <v>5281</v>
      </c>
      <c r="R29" s="81"/>
      <c r="S29" s="81"/>
      <c r="T29" s="81"/>
      <c r="U29" s="81"/>
      <c r="V29" s="84" t="str">
        <f>HYPERLINK("https://pbs.twimg.com/profile_images/1442600267178856452/1YnyAY82_normal.jpg")</f>
        <v>https://pbs.twimg.com/profile_images/1442600267178856452/1YnyAY82_normal.jpg</v>
      </c>
      <c r="W29" s="83">
        <v>44459.599594907406</v>
      </c>
      <c r="X29" s="89">
        <v>44459</v>
      </c>
      <c r="Y29" s="86" t="s">
        <v>5802</v>
      </c>
      <c r="Z29" s="84" t="str">
        <f>HYPERLINK("https://twitter.com/lucasnicoo_/status/1439958379292774402")</f>
        <v>https://twitter.com/lucasnicoo_/status/1439958379292774402</v>
      </c>
      <c r="AA29" s="81"/>
      <c r="AB29" s="81"/>
      <c r="AC29" s="86" t="s">
        <v>6702</v>
      </c>
      <c r="AD29" s="86" t="s">
        <v>7617</v>
      </c>
      <c r="AE29" s="81" t="b">
        <v>0</v>
      </c>
      <c r="AF29" s="81">
        <v>9</v>
      </c>
      <c r="AG29" s="86" t="s">
        <v>7796</v>
      </c>
      <c r="AH29" s="81" t="b">
        <v>0</v>
      </c>
      <c r="AI29" s="81" t="s">
        <v>2171</v>
      </c>
      <c r="AJ29" s="81"/>
      <c r="AK29" s="86" t="s">
        <v>2084</v>
      </c>
      <c r="AL29" s="81" t="b">
        <v>0</v>
      </c>
      <c r="AM29" s="81">
        <v>0</v>
      </c>
      <c r="AN29" s="86" t="s">
        <v>2084</v>
      </c>
      <c r="AO29" s="86" t="s">
        <v>2179</v>
      </c>
      <c r="AP29" s="81" t="b">
        <v>0</v>
      </c>
      <c r="AQ29" s="86" t="s">
        <v>7617</v>
      </c>
      <c r="AR29" s="81" t="s">
        <v>179</v>
      </c>
      <c r="AS29" s="81">
        <v>0</v>
      </c>
      <c r="AT29" s="81">
        <v>0</v>
      </c>
      <c r="AU29" s="81"/>
      <c r="AV29" s="81"/>
      <c r="AW29" s="81"/>
      <c r="AX29" s="81"/>
      <c r="AY29" s="81"/>
      <c r="AZ29" s="81"/>
      <c r="BA29" s="81"/>
      <c r="BB29" s="81"/>
    </row>
    <row r="30" spans="1:54" x14ac:dyDescent="0.35">
      <c r="A30" s="66" t="s">
        <v>231</v>
      </c>
      <c r="B30" s="66" t="s">
        <v>297</v>
      </c>
      <c r="C30" s="67"/>
      <c r="D30" s="68"/>
      <c r="E30" s="69"/>
      <c r="F30" s="70"/>
      <c r="G30" s="67"/>
      <c r="H30" s="71"/>
      <c r="I30" s="72"/>
      <c r="J30" s="72"/>
      <c r="K30" s="36"/>
      <c r="L30" s="79"/>
      <c r="M30" s="79"/>
      <c r="N30" s="74"/>
      <c r="O30" s="81" t="s">
        <v>693</v>
      </c>
      <c r="P30" s="83">
        <v>44459.604861111111</v>
      </c>
      <c r="Q30" s="81" t="s">
        <v>702</v>
      </c>
      <c r="R30" s="81"/>
      <c r="S30" s="81"/>
      <c r="T30" s="86" t="s">
        <v>972</v>
      </c>
      <c r="U30" s="84" t="str">
        <f>HYPERLINK("https://pbs.twimg.com/media/E_vEDNvVIAkAnBd.jpg")</f>
        <v>https://pbs.twimg.com/media/E_vEDNvVIAkAnBd.jpg</v>
      </c>
      <c r="V30" s="84" t="str">
        <f>HYPERLINK("https://pbs.twimg.com/media/E_vEDNvVIAkAnBd.jpg")</f>
        <v>https://pbs.twimg.com/media/E_vEDNvVIAkAnBd.jpg</v>
      </c>
      <c r="W30" s="83">
        <v>44459.604861111111</v>
      </c>
      <c r="X30" s="89">
        <v>44459</v>
      </c>
      <c r="Y30" s="86" t="s">
        <v>1026</v>
      </c>
      <c r="Z30" s="84" t="str">
        <f>HYPERLINK("https://twitter.com/_chrisnini/status/1439960288376201226")</f>
        <v>https://twitter.com/_chrisnini/status/1439960288376201226</v>
      </c>
      <c r="AA30" s="81"/>
      <c r="AB30" s="81"/>
      <c r="AC30" s="86" t="s">
        <v>1527</v>
      </c>
      <c r="AD30" s="81"/>
      <c r="AE30" s="81" t="b">
        <v>0</v>
      </c>
      <c r="AF30" s="81">
        <v>0</v>
      </c>
      <c r="AG30" s="86" t="s">
        <v>2084</v>
      </c>
      <c r="AH30" s="81" t="b">
        <v>0</v>
      </c>
      <c r="AI30" s="81" t="s">
        <v>2168</v>
      </c>
      <c r="AJ30" s="81"/>
      <c r="AK30" s="86" t="s">
        <v>2084</v>
      </c>
      <c r="AL30" s="81" t="b">
        <v>0</v>
      </c>
      <c r="AM30" s="81">
        <v>10</v>
      </c>
      <c r="AN30" s="86" t="s">
        <v>1597</v>
      </c>
      <c r="AO30" s="86" t="s">
        <v>2178</v>
      </c>
      <c r="AP30" s="81" t="b">
        <v>0</v>
      </c>
      <c r="AQ30" s="86" t="s">
        <v>1597</v>
      </c>
      <c r="AR30" s="81" t="s">
        <v>179</v>
      </c>
      <c r="AS30" s="81">
        <v>0</v>
      </c>
      <c r="AT30" s="81">
        <v>0</v>
      </c>
      <c r="AU30" s="81"/>
      <c r="AV30" s="81"/>
      <c r="AW30" s="81"/>
      <c r="AX30" s="81"/>
      <c r="AY30" s="81"/>
      <c r="AZ30" s="81"/>
      <c r="BA30" s="81"/>
      <c r="BB30" s="81"/>
    </row>
    <row r="31" spans="1:54" x14ac:dyDescent="0.35">
      <c r="A31" s="66" t="s">
        <v>232</v>
      </c>
      <c r="B31" s="66" t="s">
        <v>297</v>
      </c>
      <c r="C31" s="67"/>
      <c r="D31" s="68"/>
      <c r="E31" s="69"/>
      <c r="F31" s="70"/>
      <c r="G31" s="67"/>
      <c r="H31" s="71"/>
      <c r="I31" s="72"/>
      <c r="J31" s="72"/>
      <c r="K31" s="36"/>
      <c r="L31" s="79"/>
      <c r="M31" s="79"/>
      <c r="N31" s="74"/>
      <c r="O31" s="81" t="s">
        <v>693</v>
      </c>
      <c r="P31" s="83">
        <v>44459.606921296298</v>
      </c>
      <c r="Q31" s="81" t="s">
        <v>702</v>
      </c>
      <c r="R31" s="81"/>
      <c r="S31" s="81"/>
      <c r="T31" s="86" t="s">
        <v>972</v>
      </c>
      <c r="U31" s="84" t="str">
        <f>HYPERLINK("https://pbs.twimg.com/media/E_vEDNvVIAkAnBd.jpg")</f>
        <v>https://pbs.twimg.com/media/E_vEDNvVIAkAnBd.jpg</v>
      </c>
      <c r="V31" s="84" t="str">
        <f>HYPERLINK("https://pbs.twimg.com/media/E_vEDNvVIAkAnBd.jpg")</f>
        <v>https://pbs.twimg.com/media/E_vEDNvVIAkAnBd.jpg</v>
      </c>
      <c r="W31" s="83">
        <v>44459.606921296298</v>
      </c>
      <c r="X31" s="89">
        <v>44459</v>
      </c>
      <c r="Y31" s="86" t="s">
        <v>1027</v>
      </c>
      <c r="Z31" s="84" t="str">
        <f>HYPERLINK("https://twitter.com/_h0wling_/status/1439961033905348612")</f>
        <v>https://twitter.com/_h0wling_/status/1439961033905348612</v>
      </c>
      <c r="AA31" s="81"/>
      <c r="AB31" s="81"/>
      <c r="AC31" s="86" t="s">
        <v>1528</v>
      </c>
      <c r="AD31" s="81"/>
      <c r="AE31" s="81" t="b">
        <v>0</v>
      </c>
      <c r="AF31" s="81">
        <v>0</v>
      </c>
      <c r="AG31" s="86" t="s">
        <v>2084</v>
      </c>
      <c r="AH31" s="81" t="b">
        <v>0</v>
      </c>
      <c r="AI31" s="81" t="s">
        <v>2168</v>
      </c>
      <c r="AJ31" s="81"/>
      <c r="AK31" s="86" t="s">
        <v>2084</v>
      </c>
      <c r="AL31" s="81" t="b">
        <v>0</v>
      </c>
      <c r="AM31" s="81">
        <v>10</v>
      </c>
      <c r="AN31" s="86" t="s">
        <v>1597</v>
      </c>
      <c r="AO31" s="86" t="s">
        <v>2178</v>
      </c>
      <c r="AP31" s="81" t="b">
        <v>0</v>
      </c>
      <c r="AQ31" s="86" t="s">
        <v>1597</v>
      </c>
      <c r="AR31" s="81" t="s">
        <v>179</v>
      </c>
      <c r="AS31" s="81">
        <v>0</v>
      </c>
      <c r="AT31" s="81">
        <v>0</v>
      </c>
      <c r="AU31" s="81"/>
      <c r="AV31" s="81"/>
      <c r="AW31" s="81"/>
      <c r="AX31" s="81"/>
      <c r="AY31" s="81"/>
      <c r="AZ31" s="81"/>
      <c r="BA31" s="81"/>
      <c r="BB31" s="81"/>
    </row>
    <row r="32" spans="1:54" x14ac:dyDescent="0.35">
      <c r="A32" s="66" t="s">
        <v>4181</v>
      </c>
      <c r="B32" s="66" t="s">
        <v>297</v>
      </c>
      <c r="C32" s="67"/>
      <c r="D32" s="68"/>
      <c r="E32" s="69"/>
      <c r="F32" s="70"/>
      <c r="G32" s="67"/>
      <c r="H32" s="71"/>
      <c r="I32" s="72"/>
      <c r="J32" s="72"/>
      <c r="K32" s="36"/>
      <c r="L32" s="79"/>
      <c r="M32" s="79"/>
      <c r="N32" s="74"/>
      <c r="O32" s="81" t="s">
        <v>693</v>
      </c>
      <c r="P32" s="83">
        <v>44459.607118055559</v>
      </c>
      <c r="Q32" s="81" t="s">
        <v>702</v>
      </c>
      <c r="R32" s="81"/>
      <c r="S32" s="81"/>
      <c r="T32" s="86" t="s">
        <v>972</v>
      </c>
      <c r="U32" s="84" t="str">
        <f>HYPERLINK("https://pbs.twimg.com/media/E_vEDNvVIAkAnBd.jpg")</f>
        <v>https://pbs.twimg.com/media/E_vEDNvVIAkAnBd.jpg</v>
      </c>
      <c r="V32" s="84" t="str">
        <f>HYPERLINK("https://pbs.twimg.com/media/E_vEDNvVIAkAnBd.jpg")</f>
        <v>https://pbs.twimg.com/media/E_vEDNvVIAkAnBd.jpg</v>
      </c>
      <c r="W32" s="83">
        <v>44459.607118055559</v>
      </c>
      <c r="X32" s="89">
        <v>44459</v>
      </c>
      <c r="Y32" s="86" t="s">
        <v>5803</v>
      </c>
      <c r="Z32" s="84" t="str">
        <f>HYPERLINK("https://twitter.com/erzabellchan/status/1439961107041378304")</f>
        <v>https://twitter.com/erzabellchan/status/1439961107041378304</v>
      </c>
      <c r="AA32" s="81"/>
      <c r="AB32" s="81"/>
      <c r="AC32" s="86" t="s">
        <v>6703</v>
      </c>
      <c r="AD32" s="81"/>
      <c r="AE32" s="81" t="b">
        <v>0</v>
      </c>
      <c r="AF32" s="81">
        <v>0</v>
      </c>
      <c r="AG32" s="86" t="s">
        <v>2084</v>
      </c>
      <c r="AH32" s="81" t="b">
        <v>0</v>
      </c>
      <c r="AI32" s="81" t="s">
        <v>2168</v>
      </c>
      <c r="AJ32" s="81"/>
      <c r="AK32" s="86" t="s">
        <v>2084</v>
      </c>
      <c r="AL32" s="81" t="b">
        <v>0</v>
      </c>
      <c r="AM32" s="81">
        <v>10</v>
      </c>
      <c r="AN32" s="86" t="s">
        <v>1597</v>
      </c>
      <c r="AO32" s="86" t="s">
        <v>2178</v>
      </c>
      <c r="AP32" s="81" t="b">
        <v>0</v>
      </c>
      <c r="AQ32" s="86" t="s">
        <v>1597</v>
      </c>
      <c r="AR32" s="81" t="s">
        <v>179</v>
      </c>
      <c r="AS32" s="81">
        <v>0</v>
      </c>
      <c r="AT32" s="81">
        <v>0</v>
      </c>
      <c r="AU32" s="81"/>
      <c r="AV32" s="81"/>
      <c r="AW32" s="81"/>
      <c r="AX32" s="81"/>
      <c r="AY32" s="81"/>
      <c r="AZ32" s="81"/>
      <c r="BA32" s="81"/>
      <c r="BB32" s="81"/>
    </row>
    <row r="33" spans="1:54" x14ac:dyDescent="0.35">
      <c r="A33" s="66" t="s">
        <v>233</v>
      </c>
      <c r="B33" s="66" t="s">
        <v>606</v>
      </c>
      <c r="C33" s="67"/>
      <c r="D33" s="68"/>
      <c r="E33" s="69"/>
      <c r="F33" s="70"/>
      <c r="G33" s="67"/>
      <c r="H33" s="71"/>
      <c r="I33" s="72"/>
      <c r="J33" s="72"/>
      <c r="K33" s="36"/>
      <c r="L33" s="79"/>
      <c r="M33" s="79"/>
      <c r="N33" s="74"/>
      <c r="O33" s="81" t="s">
        <v>695</v>
      </c>
      <c r="P33" s="83">
        <v>44459.608020833337</v>
      </c>
      <c r="Q33" s="81" t="s">
        <v>703</v>
      </c>
      <c r="R33" s="81"/>
      <c r="S33" s="81"/>
      <c r="T33" s="81"/>
      <c r="U33" s="81"/>
      <c r="V33" s="84" t="str">
        <f>HYPERLINK("https://pbs.twimg.com/profile_images/1440620803310047233/5UPA2qf8_normal.jpg")</f>
        <v>https://pbs.twimg.com/profile_images/1440620803310047233/5UPA2qf8_normal.jpg</v>
      </c>
      <c r="W33" s="83">
        <v>44459.608020833337</v>
      </c>
      <c r="X33" s="89">
        <v>44459</v>
      </c>
      <c r="Y33" s="86" t="s">
        <v>1028</v>
      </c>
      <c r="Z33" s="84" t="str">
        <f>HYPERLINK("https://twitter.com/aimonogatari_/status/1439961434125783044")</f>
        <v>https://twitter.com/aimonogatari_/status/1439961434125783044</v>
      </c>
      <c r="AA33" s="81"/>
      <c r="AB33" s="81"/>
      <c r="AC33" s="86" t="s">
        <v>1529</v>
      </c>
      <c r="AD33" s="86" t="s">
        <v>2010</v>
      </c>
      <c r="AE33" s="81" t="b">
        <v>0</v>
      </c>
      <c r="AF33" s="81">
        <v>0</v>
      </c>
      <c r="AG33" s="86" t="s">
        <v>2089</v>
      </c>
      <c r="AH33" s="81" t="b">
        <v>0</v>
      </c>
      <c r="AI33" s="81" t="s">
        <v>2167</v>
      </c>
      <c r="AJ33" s="81"/>
      <c r="AK33" s="86" t="s">
        <v>2084</v>
      </c>
      <c r="AL33" s="81" t="b">
        <v>0</v>
      </c>
      <c r="AM33" s="81">
        <v>0</v>
      </c>
      <c r="AN33" s="86" t="s">
        <v>2084</v>
      </c>
      <c r="AO33" s="86" t="s">
        <v>2178</v>
      </c>
      <c r="AP33" s="81" t="b">
        <v>0</v>
      </c>
      <c r="AQ33" s="86" t="s">
        <v>2010</v>
      </c>
      <c r="AR33" s="81" t="s">
        <v>179</v>
      </c>
      <c r="AS33" s="81">
        <v>0</v>
      </c>
      <c r="AT33" s="81">
        <v>0</v>
      </c>
      <c r="AU33" s="81"/>
      <c r="AV33" s="81"/>
      <c r="AW33" s="81"/>
      <c r="AX33" s="81"/>
      <c r="AY33" s="81"/>
      <c r="AZ33" s="81"/>
      <c r="BA33" s="81"/>
      <c r="BB33" s="81"/>
    </row>
    <row r="34" spans="1:54" x14ac:dyDescent="0.35">
      <c r="A34" s="66" t="s">
        <v>234</v>
      </c>
      <c r="B34" s="66" t="s">
        <v>602</v>
      </c>
      <c r="C34" s="67"/>
      <c r="D34" s="68"/>
      <c r="E34" s="69"/>
      <c r="F34" s="70"/>
      <c r="G34" s="67"/>
      <c r="H34" s="71"/>
      <c r="I34" s="72"/>
      <c r="J34" s="72"/>
      <c r="K34" s="36"/>
      <c r="L34" s="79"/>
      <c r="M34" s="79"/>
      <c r="N34" s="74"/>
      <c r="O34" s="81" t="s">
        <v>694</v>
      </c>
      <c r="P34" s="83">
        <v>44459.60837962963</v>
      </c>
      <c r="Q34" s="81" t="s">
        <v>697</v>
      </c>
      <c r="R34" s="81"/>
      <c r="S34" s="81"/>
      <c r="T34" s="86" t="s">
        <v>971</v>
      </c>
      <c r="U34" s="84" t="str">
        <f>HYPERLINK("https://pbs.twimg.com/media/E_X1zlwVIAES6Ks.jpg")</f>
        <v>https://pbs.twimg.com/media/E_X1zlwVIAES6Ks.jpg</v>
      </c>
      <c r="V34" s="84" t="str">
        <f>HYPERLINK("https://pbs.twimg.com/media/E_X1zlwVIAES6Ks.jpg")</f>
        <v>https://pbs.twimg.com/media/E_X1zlwVIAES6Ks.jpg</v>
      </c>
      <c r="W34" s="83">
        <v>44459.60837962963</v>
      </c>
      <c r="X34" s="89">
        <v>44459</v>
      </c>
      <c r="Y34" s="86" t="s">
        <v>1029</v>
      </c>
      <c r="Z34" s="84" t="str">
        <f>HYPERLINK("https://twitter.com/abdulre26789541/status/1439961564107481099")</f>
        <v>https://twitter.com/abdulre26789541/status/1439961564107481099</v>
      </c>
      <c r="AA34" s="81"/>
      <c r="AB34" s="81"/>
      <c r="AC34" s="86" t="s">
        <v>1530</v>
      </c>
      <c r="AD34" s="81"/>
      <c r="AE34" s="81" t="b">
        <v>0</v>
      </c>
      <c r="AF34" s="81">
        <v>0</v>
      </c>
      <c r="AG34" s="86" t="s">
        <v>2084</v>
      </c>
      <c r="AH34" s="81" t="b">
        <v>0</v>
      </c>
      <c r="AI34" s="81" t="s">
        <v>2167</v>
      </c>
      <c r="AJ34" s="81"/>
      <c r="AK34" s="86" t="s">
        <v>2084</v>
      </c>
      <c r="AL34" s="81" t="b">
        <v>0</v>
      </c>
      <c r="AM34" s="81">
        <v>57</v>
      </c>
      <c r="AN34" s="86" t="s">
        <v>1569</v>
      </c>
      <c r="AO34" s="86" t="s">
        <v>2178</v>
      </c>
      <c r="AP34" s="81" t="b">
        <v>0</v>
      </c>
      <c r="AQ34" s="86" t="s">
        <v>1569</v>
      </c>
      <c r="AR34" s="81" t="s">
        <v>179</v>
      </c>
      <c r="AS34" s="81">
        <v>0</v>
      </c>
      <c r="AT34" s="81">
        <v>0</v>
      </c>
      <c r="AU34" s="81"/>
      <c r="AV34" s="81"/>
      <c r="AW34" s="81"/>
      <c r="AX34" s="81"/>
      <c r="AY34" s="81"/>
      <c r="AZ34" s="81"/>
      <c r="BA34" s="81"/>
      <c r="BB34" s="81"/>
    </row>
    <row r="35" spans="1:54" x14ac:dyDescent="0.35">
      <c r="A35" s="66" t="s">
        <v>234</v>
      </c>
      <c r="B35" s="66" t="s">
        <v>272</v>
      </c>
      <c r="C35" s="67"/>
      <c r="D35" s="68"/>
      <c r="E35" s="69"/>
      <c r="F35" s="70"/>
      <c r="G35" s="67"/>
      <c r="H35" s="71"/>
      <c r="I35" s="72"/>
      <c r="J35" s="72"/>
      <c r="K35" s="36"/>
      <c r="L35" s="79"/>
      <c r="M35" s="79"/>
      <c r="N35" s="74"/>
      <c r="O35" s="81" t="s">
        <v>693</v>
      </c>
      <c r="P35" s="83">
        <v>44459.60837962963</v>
      </c>
      <c r="Q35" s="81" t="s">
        <v>697</v>
      </c>
      <c r="R35" s="81"/>
      <c r="S35" s="81"/>
      <c r="T35" s="86" t="s">
        <v>971</v>
      </c>
      <c r="U35" s="84" t="str">
        <f>HYPERLINK("https://pbs.twimg.com/media/E_X1zlwVIAES6Ks.jpg")</f>
        <v>https://pbs.twimg.com/media/E_X1zlwVIAES6Ks.jpg</v>
      </c>
      <c r="V35" s="84" t="str">
        <f>HYPERLINK("https://pbs.twimg.com/media/E_X1zlwVIAES6Ks.jpg")</f>
        <v>https://pbs.twimg.com/media/E_X1zlwVIAES6Ks.jpg</v>
      </c>
      <c r="W35" s="83">
        <v>44459.60837962963</v>
      </c>
      <c r="X35" s="89">
        <v>44459</v>
      </c>
      <c r="Y35" s="86" t="s">
        <v>1029</v>
      </c>
      <c r="Z35" s="84" t="str">
        <f>HYPERLINK("https://twitter.com/abdulre26789541/status/1439961564107481099")</f>
        <v>https://twitter.com/abdulre26789541/status/1439961564107481099</v>
      </c>
      <c r="AA35" s="81"/>
      <c r="AB35" s="81"/>
      <c r="AC35" s="86" t="s">
        <v>1530</v>
      </c>
      <c r="AD35" s="81"/>
      <c r="AE35" s="81" t="b">
        <v>0</v>
      </c>
      <c r="AF35" s="81">
        <v>0</v>
      </c>
      <c r="AG35" s="86" t="s">
        <v>2084</v>
      </c>
      <c r="AH35" s="81" t="b">
        <v>0</v>
      </c>
      <c r="AI35" s="81" t="s">
        <v>2167</v>
      </c>
      <c r="AJ35" s="81"/>
      <c r="AK35" s="86" t="s">
        <v>2084</v>
      </c>
      <c r="AL35" s="81" t="b">
        <v>0</v>
      </c>
      <c r="AM35" s="81">
        <v>57</v>
      </c>
      <c r="AN35" s="86" t="s">
        <v>1569</v>
      </c>
      <c r="AO35" s="86" t="s">
        <v>2178</v>
      </c>
      <c r="AP35" s="81" t="b">
        <v>0</v>
      </c>
      <c r="AQ35" s="86" t="s">
        <v>1569</v>
      </c>
      <c r="AR35" s="81" t="s">
        <v>179</v>
      </c>
      <c r="AS35" s="81">
        <v>0</v>
      </c>
      <c r="AT35" s="81">
        <v>0</v>
      </c>
      <c r="AU35" s="81"/>
      <c r="AV35" s="81"/>
      <c r="AW35" s="81"/>
      <c r="AX35" s="81"/>
      <c r="AY35" s="81"/>
      <c r="AZ35" s="81"/>
      <c r="BA35" s="81"/>
      <c r="BB35" s="81"/>
    </row>
    <row r="36" spans="1:54" x14ac:dyDescent="0.35">
      <c r="A36" s="66" t="s">
        <v>4182</v>
      </c>
      <c r="B36" s="66" t="s">
        <v>4495</v>
      </c>
      <c r="C36" s="67"/>
      <c r="D36" s="68"/>
      <c r="E36" s="69"/>
      <c r="F36" s="70"/>
      <c r="G36" s="67"/>
      <c r="H36" s="71"/>
      <c r="I36" s="72"/>
      <c r="J36" s="72"/>
      <c r="K36" s="36"/>
      <c r="L36" s="79"/>
      <c r="M36" s="79"/>
      <c r="N36" s="74"/>
      <c r="O36" s="81" t="s">
        <v>693</v>
      </c>
      <c r="P36" s="83">
        <v>44459.613437499997</v>
      </c>
      <c r="Q36" s="81" t="s">
        <v>5272</v>
      </c>
      <c r="R36" s="84" t="str">
        <f>HYPERLINK("https://www.gov.br/anvisa/pt-br/assuntos/fiscalizacao-e-monitoramento/notificacoes/vigimed/")</f>
        <v>https://www.gov.br/anvisa/pt-br/assuntos/fiscalizacao-e-monitoramento/notificacoes/vigimed/</v>
      </c>
      <c r="S36" s="81" t="s">
        <v>5686</v>
      </c>
      <c r="T36" s="81"/>
      <c r="U36" s="81"/>
      <c r="V36" s="84" t="str">
        <f>HYPERLINK("https://pbs.twimg.com/profile_images/641048558469271552/WAbL9LlF_normal.jpg")</f>
        <v>https://pbs.twimg.com/profile_images/641048558469271552/WAbL9LlF_normal.jpg</v>
      </c>
      <c r="W36" s="83">
        <v>44459.613437499997</v>
      </c>
      <c r="X36" s="89">
        <v>44459</v>
      </c>
      <c r="Y36" s="86" t="s">
        <v>5804</v>
      </c>
      <c r="Z36" s="84" t="str">
        <f>HYPERLINK("https://twitter.com/lelecaa3/status/1439963394015105030")</f>
        <v>https://twitter.com/lelecaa3/status/1439963394015105030</v>
      </c>
      <c r="AA36" s="81"/>
      <c r="AB36" s="81"/>
      <c r="AC36" s="86" t="s">
        <v>6704</v>
      </c>
      <c r="AD36" s="81"/>
      <c r="AE36" s="81" t="b">
        <v>0</v>
      </c>
      <c r="AF36" s="81">
        <v>0</v>
      </c>
      <c r="AG36" s="86" t="s">
        <v>2084</v>
      </c>
      <c r="AH36" s="81" t="b">
        <v>0</v>
      </c>
      <c r="AI36" s="81" t="s">
        <v>2171</v>
      </c>
      <c r="AJ36" s="81"/>
      <c r="AK36" s="86" t="s">
        <v>2084</v>
      </c>
      <c r="AL36" s="81" t="b">
        <v>0</v>
      </c>
      <c r="AM36" s="81">
        <v>1497</v>
      </c>
      <c r="AN36" s="86" t="s">
        <v>7047</v>
      </c>
      <c r="AO36" s="86" t="s">
        <v>2179</v>
      </c>
      <c r="AP36" s="81" t="b">
        <v>0</v>
      </c>
      <c r="AQ36" s="86" t="s">
        <v>7047</v>
      </c>
      <c r="AR36" s="81" t="s">
        <v>179</v>
      </c>
      <c r="AS36" s="81">
        <v>0</v>
      </c>
      <c r="AT36" s="81">
        <v>0</v>
      </c>
      <c r="AU36" s="81"/>
      <c r="AV36" s="81"/>
      <c r="AW36" s="81"/>
      <c r="AX36" s="81"/>
      <c r="AY36" s="81"/>
      <c r="AZ36" s="81"/>
      <c r="BA36" s="81"/>
      <c r="BB36" s="81"/>
    </row>
    <row r="37" spans="1:54" x14ac:dyDescent="0.35">
      <c r="A37" s="66" t="s">
        <v>4183</v>
      </c>
      <c r="B37" s="66" t="s">
        <v>4495</v>
      </c>
      <c r="C37" s="67"/>
      <c r="D37" s="68"/>
      <c r="E37" s="69"/>
      <c r="F37" s="70"/>
      <c r="G37" s="67"/>
      <c r="H37" s="71"/>
      <c r="I37" s="72"/>
      <c r="J37" s="72"/>
      <c r="K37" s="36"/>
      <c r="L37" s="79"/>
      <c r="M37" s="79"/>
      <c r="N37" s="74"/>
      <c r="O37" s="81" t="s">
        <v>693</v>
      </c>
      <c r="P37" s="83">
        <v>44459.614386574074</v>
      </c>
      <c r="Q37" s="81" t="s">
        <v>5272</v>
      </c>
      <c r="R37" s="84" t="str">
        <f>HYPERLINK("https://www.gov.br/anvisa/pt-br/assuntos/fiscalizacao-e-monitoramento/notificacoes/vigimed/")</f>
        <v>https://www.gov.br/anvisa/pt-br/assuntos/fiscalizacao-e-monitoramento/notificacoes/vigimed/</v>
      </c>
      <c r="S37" s="81" t="s">
        <v>5686</v>
      </c>
      <c r="T37" s="81"/>
      <c r="U37" s="81"/>
      <c r="V37" s="84" t="str">
        <f>HYPERLINK("https://pbs.twimg.com/profile_images/1400566614085582850/SKpnje7E_normal.jpg")</f>
        <v>https://pbs.twimg.com/profile_images/1400566614085582850/SKpnje7E_normal.jpg</v>
      </c>
      <c r="W37" s="83">
        <v>44459.614386574074</v>
      </c>
      <c r="X37" s="89">
        <v>44459</v>
      </c>
      <c r="Y37" s="86" t="s">
        <v>5805</v>
      </c>
      <c r="Z37" s="84" t="str">
        <f>HYPERLINK("https://twitter.com/bravo_zulu86/status/1439963741983068166")</f>
        <v>https://twitter.com/bravo_zulu86/status/1439963741983068166</v>
      </c>
      <c r="AA37" s="81"/>
      <c r="AB37" s="81"/>
      <c r="AC37" s="86" t="s">
        <v>6705</v>
      </c>
      <c r="AD37" s="81"/>
      <c r="AE37" s="81" t="b">
        <v>0</v>
      </c>
      <c r="AF37" s="81">
        <v>0</v>
      </c>
      <c r="AG37" s="86" t="s">
        <v>2084</v>
      </c>
      <c r="AH37" s="81" t="b">
        <v>0</v>
      </c>
      <c r="AI37" s="81" t="s">
        <v>2171</v>
      </c>
      <c r="AJ37" s="81"/>
      <c r="AK37" s="86" t="s">
        <v>2084</v>
      </c>
      <c r="AL37" s="81" t="b">
        <v>0</v>
      </c>
      <c r="AM37" s="81">
        <v>1497</v>
      </c>
      <c r="AN37" s="86" t="s">
        <v>7047</v>
      </c>
      <c r="AO37" s="86" t="s">
        <v>2178</v>
      </c>
      <c r="AP37" s="81" t="b">
        <v>0</v>
      </c>
      <c r="AQ37" s="86" t="s">
        <v>7047</v>
      </c>
      <c r="AR37" s="81" t="s">
        <v>179</v>
      </c>
      <c r="AS37" s="81">
        <v>0</v>
      </c>
      <c r="AT37" s="81">
        <v>0</v>
      </c>
      <c r="AU37" s="81"/>
      <c r="AV37" s="81"/>
      <c r="AW37" s="81"/>
      <c r="AX37" s="81"/>
      <c r="AY37" s="81"/>
      <c r="AZ37" s="81"/>
      <c r="BA37" s="81"/>
      <c r="BB37" s="81"/>
    </row>
    <row r="38" spans="1:54" x14ac:dyDescent="0.35">
      <c r="A38" s="66" t="s">
        <v>235</v>
      </c>
      <c r="B38" s="66" t="s">
        <v>602</v>
      </c>
      <c r="C38" s="67"/>
      <c r="D38" s="68"/>
      <c r="E38" s="69"/>
      <c r="F38" s="70"/>
      <c r="G38" s="67"/>
      <c r="H38" s="71"/>
      <c r="I38" s="72"/>
      <c r="J38" s="72"/>
      <c r="K38" s="36"/>
      <c r="L38" s="79"/>
      <c r="M38" s="79"/>
      <c r="N38" s="74"/>
      <c r="O38" s="81" t="s">
        <v>694</v>
      </c>
      <c r="P38" s="83">
        <v>44459.622233796297</v>
      </c>
      <c r="Q38" s="81" t="s">
        <v>697</v>
      </c>
      <c r="R38" s="81"/>
      <c r="S38" s="81"/>
      <c r="T38" s="86" t="s">
        <v>971</v>
      </c>
      <c r="U38" s="84" t="str">
        <f>HYPERLINK("https://pbs.twimg.com/media/E_X1zlwVIAES6Ks.jpg")</f>
        <v>https://pbs.twimg.com/media/E_X1zlwVIAES6Ks.jpg</v>
      </c>
      <c r="V38" s="84" t="str">
        <f>HYPERLINK("https://pbs.twimg.com/media/E_X1zlwVIAES6Ks.jpg")</f>
        <v>https://pbs.twimg.com/media/E_X1zlwVIAES6Ks.jpg</v>
      </c>
      <c r="W38" s="83">
        <v>44459.622233796297</v>
      </c>
      <c r="X38" s="89">
        <v>44459</v>
      </c>
      <c r="Y38" s="86" t="s">
        <v>1030</v>
      </c>
      <c r="Z38" s="84" t="str">
        <f>HYPERLINK("https://twitter.com/parvinabasi/status/1439966583435108352")</f>
        <v>https://twitter.com/parvinabasi/status/1439966583435108352</v>
      </c>
      <c r="AA38" s="81"/>
      <c r="AB38" s="81"/>
      <c r="AC38" s="86" t="s">
        <v>1531</v>
      </c>
      <c r="AD38" s="81"/>
      <c r="AE38" s="81" t="b">
        <v>0</v>
      </c>
      <c r="AF38" s="81">
        <v>0</v>
      </c>
      <c r="AG38" s="86" t="s">
        <v>2084</v>
      </c>
      <c r="AH38" s="81" t="b">
        <v>0</v>
      </c>
      <c r="AI38" s="81" t="s">
        <v>2167</v>
      </c>
      <c r="AJ38" s="81"/>
      <c r="AK38" s="86" t="s">
        <v>2084</v>
      </c>
      <c r="AL38" s="81" t="b">
        <v>0</v>
      </c>
      <c r="AM38" s="81">
        <v>57</v>
      </c>
      <c r="AN38" s="86" t="s">
        <v>1569</v>
      </c>
      <c r="AO38" s="86" t="s">
        <v>2181</v>
      </c>
      <c r="AP38" s="81" t="b">
        <v>0</v>
      </c>
      <c r="AQ38" s="86" t="s">
        <v>1569</v>
      </c>
      <c r="AR38" s="81" t="s">
        <v>179</v>
      </c>
      <c r="AS38" s="81">
        <v>0</v>
      </c>
      <c r="AT38" s="81">
        <v>0</v>
      </c>
      <c r="AU38" s="81"/>
      <c r="AV38" s="81"/>
      <c r="AW38" s="81"/>
      <c r="AX38" s="81"/>
      <c r="AY38" s="81"/>
      <c r="AZ38" s="81"/>
      <c r="BA38" s="81"/>
      <c r="BB38" s="81"/>
    </row>
    <row r="39" spans="1:54" x14ac:dyDescent="0.35">
      <c r="A39" s="66" t="s">
        <v>235</v>
      </c>
      <c r="B39" s="66" t="s">
        <v>272</v>
      </c>
      <c r="C39" s="67"/>
      <c r="D39" s="68"/>
      <c r="E39" s="69"/>
      <c r="F39" s="70"/>
      <c r="G39" s="67"/>
      <c r="H39" s="71"/>
      <c r="I39" s="72"/>
      <c r="J39" s="72"/>
      <c r="K39" s="36"/>
      <c r="L39" s="79"/>
      <c r="M39" s="79"/>
      <c r="N39" s="74"/>
      <c r="O39" s="81" t="s">
        <v>693</v>
      </c>
      <c r="P39" s="83">
        <v>44459.622233796297</v>
      </c>
      <c r="Q39" s="81" t="s">
        <v>697</v>
      </c>
      <c r="R39" s="81"/>
      <c r="S39" s="81"/>
      <c r="T39" s="86" t="s">
        <v>971</v>
      </c>
      <c r="U39" s="84" t="str">
        <f>HYPERLINK("https://pbs.twimg.com/media/E_X1zlwVIAES6Ks.jpg")</f>
        <v>https://pbs.twimg.com/media/E_X1zlwVIAES6Ks.jpg</v>
      </c>
      <c r="V39" s="84" t="str">
        <f>HYPERLINK("https://pbs.twimg.com/media/E_X1zlwVIAES6Ks.jpg")</f>
        <v>https://pbs.twimg.com/media/E_X1zlwVIAES6Ks.jpg</v>
      </c>
      <c r="W39" s="83">
        <v>44459.622233796297</v>
      </c>
      <c r="X39" s="89">
        <v>44459</v>
      </c>
      <c r="Y39" s="86" t="s">
        <v>1030</v>
      </c>
      <c r="Z39" s="84" t="str">
        <f>HYPERLINK("https://twitter.com/parvinabasi/status/1439966583435108352")</f>
        <v>https://twitter.com/parvinabasi/status/1439966583435108352</v>
      </c>
      <c r="AA39" s="81"/>
      <c r="AB39" s="81"/>
      <c r="AC39" s="86" t="s">
        <v>1531</v>
      </c>
      <c r="AD39" s="81"/>
      <c r="AE39" s="81" t="b">
        <v>0</v>
      </c>
      <c r="AF39" s="81">
        <v>0</v>
      </c>
      <c r="AG39" s="86" t="s">
        <v>2084</v>
      </c>
      <c r="AH39" s="81" t="b">
        <v>0</v>
      </c>
      <c r="AI39" s="81" t="s">
        <v>2167</v>
      </c>
      <c r="AJ39" s="81"/>
      <c r="AK39" s="86" t="s">
        <v>2084</v>
      </c>
      <c r="AL39" s="81" t="b">
        <v>0</v>
      </c>
      <c r="AM39" s="81">
        <v>57</v>
      </c>
      <c r="AN39" s="86" t="s">
        <v>1569</v>
      </c>
      <c r="AO39" s="86" t="s">
        <v>2181</v>
      </c>
      <c r="AP39" s="81" t="b">
        <v>0</v>
      </c>
      <c r="AQ39" s="86" t="s">
        <v>1569</v>
      </c>
      <c r="AR39" s="81" t="s">
        <v>179</v>
      </c>
      <c r="AS39" s="81">
        <v>0</v>
      </c>
      <c r="AT39" s="81">
        <v>0</v>
      </c>
      <c r="AU39" s="81"/>
      <c r="AV39" s="81"/>
      <c r="AW39" s="81"/>
      <c r="AX39" s="81"/>
      <c r="AY39" s="81"/>
      <c r="AZ39" s="81"/>
      <c r="BA39" s="81"/>
      <c r="BB39" s="81"/>
    </row>
    <row r="40" spans="1:54" x14ac:dyDescent="0.35">
      <c r="A40" s="66" t="s">
        <v>236</v>
      </c>
      <c r="B40" s="66" t="s">
        <v>297</v>
      </c>
      <c r="C40" s="67"/>
      <c r="D40" s="68"/>
      <c r="E40" s="69"/>
      <c r="F40" s="70"/>
      <c r="G40" s="67"/>
      <c r="H40" s="71"/>
      <c r="I40" s="72"/>
      <c r="J40" s="72"/>
      <c r="K40" s="36"/>
      <c r="L40" s="79"/>
      <c r="M40" s="79"/>
      <c r="N40" s="74"/>
      <c r="O40" s="81" t="s">
        <v>693</v>
      </c>
      <c r="P40" s="83">
        <v>44459.625763888886</v>
      </c>
      <c r="Q40" s="81" t="s">
        <v>702</v>
      </c>
      <c r="R40" s="81"/>
      <c r="S40" s="81"/>
      <c r="T40" s="86" t="s">
        <v>972</v>
      </c>
      <c r="U40" s="84" t="str">
        <f>HYPERLINK("https://pbs.twimg.com/media/E_vEDNvVIAkAnBd.jpg")</f>
        <v>https://pbs.twimg.com/media/E_vEDNvVIAkAnBd.jpg</v>
      </c>
      <c r="V40" s="84" t="str">
        <f>HYPERLINK("https://pbs.twimg.com/media/E_vEDNvVIAkAnBd.jpg")</f>
        <v>https://pbs.twimg.com/media/E_vEDNvVIAkAnBd.jpg</v>
      </c>
      <c r="W40" s="83">
        <v>44459.625763888886</v>
      </c>
      <c r="X40" s="89">
        <v>44459</v>
      </c>
      <c r="Y40" s="86" t="s">
        <v>1031</v>
      </c>
      <c r="Z40" s="84" t="str">
        <f>HYPERLINK("https://twitter.com/leenoninxx/status/1439967863050096648")</f>
        <v>https://twitter.com/leenoninxx/status/1439967863050096648</v>
      </c>
      <c r="AA40" s="81"/>
      <c r="AB40" s="81"/>
      <c r="AC40" s="86" t="s">
        <v>1532</v>
      </c>
      <c r="AD40" s="81"/>
      <c r="AE40" s="81" t="b">
        <v>0</v>
      </c>
      <c r="AF40" s="81">
        <v>0</v>
      </c>
      <c r="AG40" s="86" t="s">
        <v>2084</v>
      </c>
      <c r="AH40" s="81" t="b">
        <v>0</v>
      </c>
      <c r="AI40" s="81" t="s">
        <v>2168</v>
      </c>
      <c r="AJ40" s="81"/>
      <c r="AK40" s="86" t="s">
        <v>2084</v>
      </c>
      <c r="AL40" s="81" t="b">
        <v>0</v>
      </c>
      <c r="AM40" s="81">
        <v>10</v>
      </c>
      <c r="AN40" s="86" t="s">
        <v>1597</v>
      </c>
      <c r="AO40" s="86" t="s">
        <v>2179</v>
      </c>
      <c r="AP40" s="81" t="b">
        <v>0</v>
      </c>
      <c r="AQ40" s="86" t="s">
        <v>1597</v>
      </c>
      <c r="AR40" s="81" t="s">
        <v>179</v>
      </c>
      <c r="AS40" s="81">
        <v>0</v>
      </c>
      <c r="AT40" s="81">
        <v>0</v>
      </c>
      <c r="AU40" s="81"/>
      <c r="AV40" s="81"/>
      <c r="AW40" s="81"/>
      <c r="AX40" s="81"/>
      <c r="AY40" s="81"/>
      <c r="AZ40" s="81"/>
      <c r="BA40" s="81"/>
      <c r="BB40" s="81"/>
    </row>
    <row r="41" spans="1:54" x14ac:dyDescent="0.35">
      <c r="A41" s="66" t="s">
        <v>238</v>
      </c>
      <c r="B41" s="66" t="s">
        <v>217</v>
      </c>
      <c r="C41" s="67"/>
      <c r="D41" s="68"/>
      <c r="E41" s="69"/>
      <c r="F41" s="70"/>
      <c r="G41" s="67"/>
      <c r="H41" s="71"/>
      <c r="I41" s="72"/>
      <c r="J41" s="72"/>
      <c r="K41" s="36"/>
      <c r="L41" s="79"/>
      <c r="M41" s="79"/>
      <c r="N41" s="74"/>
      <c r="O41" s="81" t="s">
        <v>693</v>
      </c>
      <c r="P41" s="83">
        <v>44459.627222222225</v>
      </c>
      <c r="Q41" s="81" t="s">
        <v>699</v>
      </c>
      <c r="R41" s="81"/>
      <c r="S41" s="81"/>
      <c r="T41" s="81"/>
      <c r="U41" s="84" t="str">
        <f>HYPERLINK("https://pbs.twimg.com/ext_tw_video_thumb/1439603623520993285/pu/img/4NCBVhjvbYSKxAvX.jpg")</f>
        <v>https://pbs.twimg.com/ext_tw_video_thumb/1439603623520993285/pu/img/4NCBVhjvbYSKxAvX.jpg</v>
      </c>
      <c r="V41" s="84" t="str">
        <f>HYPERLINK("https://pbs.twimg.com/ext_tw_video_thumb/1439603623520993285/pu/img/4NCBVhjvbYSKxAvX.jpg")</f>
        <v>https://pbs.twimg.com/ext_tw_video_thumb/1439603623520993285/pu/img/4NCBVhjvbYSKxAvX.jpg</v>
      </c>
      <c r="W41" s="83">
        <v>44459.627222222225</v>
      </c>
      <c r="X41" s="89">
        <v>44459</v>
      </c>
      <c r="Y41" s="86" t="s">
        <v>1033</v>
      </c>
      <c r="Z41" s="84" t="str">
        <f>HYPERLINK("https://twitter.com/alikmrdnn/status/1439968390882287619")</f>
        <v>https://twitter.com/alikmrdnn/status/1439968390882287619</v>
      </c>
      <c r="AA41" s="81"/>
      <c r="AB41" s="81"/>
      <c r="AC41" s="86" t="s">
        <v>1534</v>
      </c>
      <c r="AD41" s="81"/>
      <c r="AE41" s="81" t="b">
        <v>0</v>
      </c>
      <c r="AF41" s="81">
        <v>0</v>
      </c>
      <c r="AG41" s="86" t="s">
        <v>2084</v>
      </c>
      <c r="AH41" s="81" t="b">
        <v>0</v>
      </c>
      <c r="AI41" s="81" t="s">
        <v>2167</v>
      </c>
      <c r="AJ41" s="81"/>
      <c r="AK41" s="86" t="s">
        <v>2084</v>
      </c>
      <c r="AL41" s="81" t="b">
        <v>0</v>
      </c>
      <c r="AM41" s="81">
        <v>102</v>
      </c>
      <c r="AN41" s="86" t="s">
        <v>1559</v>
      </c>
      <c r="AO41" s="86" t="s">
        <v>2179</v>
      </c>
      <c r="AP41" s="81" t="b">
        <v>0</v>
      </c>
      <c r="AQ41" s="86" t="s">
        <v>1559</v>
      </c>
      <c r="AR41" s="81" t="s">
        <v>179</v>
      </c>
      <c r="AS41" s="81">
        <v>0</v>
      </c>
      <c r="AT41" s="81">
        <v>0</v>
      </c>
      <c r="AU41" s="81"/>
      <c r="AV41" s="81"/>
      <c r="AW41" s="81"/>
      <c r="AX41" s="81"/>
      <c r="AY41" s="81"/>
      <c r="AZ41" s="81"/>
      <c r="BA41" s="81"/>
      <c r="BB41" s="81"/>
    </row>
    <row r="42" spans="1:54" x14ac:dyDescent="0.35">
      <c r="A42" s="66" t="s">
        <v>4184</v>
      </c>
      <c r="B42" s="66" t="s">
        <v>4939</v>
      </c>
      <c r="C42" s="67"/>
      <c r="D42" s="68"/>
      <c r="E42" s="69"/>
      <c r="F42" s="70"/>
      <c r="G42" s="67"/>
      <c r="H42" s="71"/>
      <c r="I42" s="72"/>
      <c r="J42" s="72"/>
      <c r="K42" s="36"/>
      <c r="L42" s="79"/>
      <c r="M42" s="79"/>
      <c r="N42" s="74"/>
      <c r="O42" s="81" t="s">
        <v>693</v>
      </c>
      <c r="P42" s="83">
        <v>44459.632951388892</v>
      </c>
      <c r="Q42" s="81" t="s">
        <v>5282</v>
      </c>
      <c r="R42"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42" s="81" t="s">
        <v>5696</v>
      </c>
      <c r="T42" s="81"/>
      <c r="U42" s="84" t="str">
        <f>HYPERLINK("https://pbs.twimg.com/media/E_vHfERXoA8GltO.jpg")</f>
        <v>https://pbs.twimg.com/media/E_vHfERXoA8GltO.jpg</v>
      </c>
      <c r="V42" s="84" t="str">
        <f>HYPERLINK("https://pbs.twimg.com/media/E_vHfERXoA8GltO.jpg")</f>
        <v>https://pbs.twimg.com/media/E_vHfERXoA8GltO.jpg</v>
      </c>
      <c r="W42" s="83">
        <v>44459.632951388892</v>
      </c>
      <c r="X42" s="89">
        <v>44459</v>
      </c>
      <c r="Y42" s="86" t="s">
        <v>5806</v>
      </c>
      <c r="Z42" s="84" t="str">
        <f>HYPERLINK("https://twitter.com/karinaoliveirs/status/1439970468635742208")</f>
        <v>https://twitter.com/karinaoliveirs/status/1439970468635742208</v>
      </c>
      <c r="AA42" s="81"/>
      <c r="AB42" s="81"/>
      <c r="AC42" s="86" t="s">
        <v>6706</v>
      </c>
      <c r="AD42" s="81"/>
      <c r="AE42" s="81" t="b">
        <v>0</v>
      </c>
      <c r="AF42" s="81">
        <v>0</v>
      </c>
      <c r="AG42" s="86" t="s">
        <v>2084</v>
      </c>
      <c r="AH42" s="81" t="b">
        <v>0</v>
      </c>
      <c r="AI42" s="81" t="s">
        <v>2171</v>
      </c>
      <c r="AJ42" s="81"/>
      <c r="AK42" s="86" t="s">
        <v>2084</v>
      </c>
      <c r="AL42" s="81" t="b">
        <v>0</v>
      </c>
      <c r="AM42" s="81">
        <v>16</v>
      </c>
      <c r="AN42" s="86" t="s">
        <v>7535</v>
      </c>
      <c r="AO42" s="86" t="s">
        <v>2178</v>
      </c>
      <c r="AP42" s="81" t="b">
        <v>0</v>
      </c>
      <c r="AQ42" s="86" t="s">
        <v>7535</v>
      </c>
      <c r="AR42" s="81" t="s">
        <v>179</v>
      </c>
      <c r="AS42" s="81">
        <v>0</v>
      </c>
      <c r="AT42" s="81">
        <v>0</v>
      </c>
      <c r="AU42" s="81"/>
      <c r="AV42" s="81"/>
      <c r="AW42" s="81"/>
      <c r="AX42" s="81"/>
      <c r="AY42" s="81"/>
      <c r="AZ42" s="81"/>
      <c r="BA42" s="81"/>
      <c r="BB42" s="81"/>
    </row>
    <row r="43" spans="1:54" x14ac:dyDescent="0.35">
      <c r="A43" s="66" t="s">
        <v>239</v>
      </c>
      <c r="B43" s="66" t="s">
        <v>607</v>
      </c>
      <c r="C43" s="67"/>
      <c r="D43" s="68"/>
      <c r="E43" s="69"/>
      <c r="F43" s="70"/>
      <c r="G43" s="67"/>
      <c r="H43" s="71"/>
      <c r="I43" s="72"/>
      <c r="J43" s="72"/>
      <c r="K43" s="36"/>
      <c r="L43" s="79"/>
      <c r="M43" s="79"/>
      <c r="N43" s="74"/>
      <c r="O43" s="81" t="s">
        <v>696</v>
      </c>
      <c r="P43" s="83">
        <v>44459.637337962966</v>
      </c>
      <c r="Q43" s="81" t="s">
        <v>704</v>
      </c>
      <c r="R43" s="81"/>
      <c r="S43" s="81"/>
      <c r="T43" s="81"/>
      <c r="U43" s="81"/>
      <c r="V43" s="84" t="str">
        <f>HYPERLINK("https://pbs.twimg.com/profile_images/780659330676731905/wcQ_XcYe_normal.jpg")</f>
        <v>https://pbs.twimg.com/profile_images/780659330676731905/wcQ_XcYe_normal.jpg</v>
      </c>
      <c r="W43" s="83">
        <v>44459.637337962966</v>
      </c>
      <c r="X43" s="89">
        <v>44459</v>
      </c>
      <c r="Y43" s="86" t="s">
        <v>1034</v>
      </c>
      <c r="Z43" s="84" t="str">
        <f>HYPERLINK("https://twitter.com/pln_123/status/1439972056733392901")</f>
        <v>https://twitter.com/pln_123/status/1439972056733392901</v>
      </c>
      <c r="AA43" s="81"/>
      <c r="AB43" s="81"/>
      <c r="AC43" s="86" t="s">
        <v>1535</v>
      </c>
      <c r="AD43" s="86" t="s">
        <v>2011</v>
      </c>
      <c r="AE43" s="81" t="b">
        <v>0</v>
      </c>
      <c r="AF43" s="81">
        <v>0</v>
      </c>
      <c r="AG43" s="86" t="s">
        <v>2090</v>
      </c>
      <c r="AH43" s="81" t="b">
        <v>0</v>
      </c>
      <c r="AI43" s="81" t="s">
        <v>2167</v>
      </c>
      <c r="AJ43" s="81"/>
      <c r="AK43" s="86" t="s">
        <v>2084</v>
      </c>
      <c r="AL43" s="81" t="b">
        <v>0</v>
      </c>
      <c r="AM43" s="81">
        <v>0</v>
      </c>
      <c r="AN43" s="86" t="s">
        <v>2084</v>
      </c>
      <c r="AO43" s="86" t="s">
        <v>2187</v>
      </c>
      <c r="AP43" s="81" t="b">
        <v>0</v>
      </c>
      <c r="AQ43" s="86" t="s">
        <v>2011</v>
      </c>
      <c r="AR43" s="81" t="s">
        <v>179</v>
      </c>
      <c r="AS43" s="81">
        <v>0</v>
      </c>
      <c r="AT43" s="81">
        <v>0</v>
      </c>
      <c r="AU43" s="81"/>
      <c r="AV43" s="81"/>
      <c r="AW43" s="81"/>
      <c r="AX43" s="81"/>
      <c r="AY43" s="81"/>
      <c r="AZ43" s="81"/>
      <c r="BA43" s="81"/>
      <c r="BB43" s="81"/>
    </row>
    <row r="44" spans="1:54" x14ac:dyDescent="0.35">
      <c r="A44" s="66" t="s">
        <v>239</v>
      </c>
      <c r="B44" s="66" t="s">
        <v>608</v>
      </c>
      <c r="C44" s="67"/>
      <c r="D44" s="68"/>
      <c r="E44" s="69"/>
      <c r="F44" s="70"/>
      <c r="G44" s="67"/>
      <c r="H44" s="71"/>
      <c r="I44" s="72"/>
      <c r="J44" s="72"/>
      <c r="K44" s="36"/>
      <c r="L44" s="79"/>
      <c r="M44" s="79"/>
      <c r="N44" s="74"/>
      <c r="O44" s="81" t="s">
        <v>695</v>
      </c>
      <c r="P44" s="83">
        <v>44459.637337962966</v>
      </c>
      <c r="Q44" s="81" t="s">
        <v>704</v>
      </c>
      <c r="R44" s="81"/>
      <c r="S44" s="81"/>
      <c r="T44" s="81"/>
      <c r="U44" s="81"/>
      <c r="V44" s="84" t="str">
        <f>HYPERLINK("https://pbs.twimg.com/profile_images/780659330676731905/wcQ_XcYe_normal.jpg")</f>
        <v>https://pbs.twimg.com/profile_images/780659330676731905/wcQ_XcYe_normal.jpg</v>
      </c>
      <c r="W44" s="83">
        <v>44459.637337962966</v>
      </c>
      <c r="X44" s="89">
        <v>44459</v>
      </c>
      <c r="Y44" s="86" t="s">
        <v>1034</v>
      </c>
      <c r="Z44" s="84" t="str">
        <f>HYPERLINK("https://twitter.com/pln_123/status/1439972056733392901")</f>
        <v>https://twitter.com/pln_123/status/1439972056733392901</v>
      </c>
      <c r="AA44" s="81"/>
      <c r="AB44" s="81"/>
      <c r="AC44" s="86" t="s">
        <v>1535</v>
      </c>
      <c r="AD44" s="86" t="s">
        <v>2011</v>
      </c>
      <c r="AE44" s="81" t="b">
        <v>0</v>
      </c>
      <c r="AF44" s="81">
        <v>0</v>
      </c>
      <c r="AG44" s="86" t="s">
        <v>2090</v>
      </c>
      <c r="AH44" s="81" t="b">
        <v>0</v>
      </c>
      <c r="AI44" s="81" t="s">
        <v>2167</v>
      </c>
      <c r="AJ44" s="81"/>
      <c r="AK44" s="86" t="s">
        <v>2084</v>
      </c>
      <c r="AL44" s="81" t="b">
        <v>0</v>
      </c>
      <c r="AM44" s="81">
        <v>0</v>
      </c>
      <c r="AN44" s="86" t="s">
        <v>2084</v>
      </c>
      <c r="AO44" s="86" t="s">
        <v>2187</v>
      </c>
      <c r="AP44" s="81" t="b">
        <v>0</v>
      </c>
      <c r="AQ44" s="86" t="s">
        <v>2011</v>
      </c>
      <c r="AR44" s="81" t="s">
        <v>179</v>
      </c>
      <c r="AS44" s="81">
        <v>0</v>
      </c>
      <c r="AT44" s="81">
        <v>0</v>
      </c>
      <c r="AU44" s="81"/>
      <c r="AV44" s="81"/>
      <c r="AW44" s="81"/>
      <c r="AX44" s="81"/>
      <c r="AY44" s="81"/>
      <c r="AZ44" s="81"/>
      <c r="BA44" s="81"/>
      <c r="BB44" s="81"/>
    </row>
    <row r="45" spans="1:54" x14ac:dyDescent="0.35">
      <c r="A45" s="66" t="s">
        <v>240</v>
      </c>
      <c r="B45" s="66" t="s">
        <v>596</v>
      </c>
      <c r="C45" s="67"/>
      <c r="D45" s="68"/>
      <c r="E45" s="69"/>
      <c r="F45" s="70"/>
      <c r="G45" s="67"/>
      <c r="H45" s="71"/>
      <c r="I45" s="72"/>
      <c r="J45" s="72"/>
      <c r="K45" s="36"/>
      <c r="L45" s="79"/>
      <c r="M45" s="79"/>
      <c r="N45" s="74"/>
      <c r="O45" s="81" t="s">
        <v>693</v>
      </c>
      <c r="P45" s="83">
        <v>44459.641504629632</v>
      </c>
      <c r="Q45" s="81" t="s">
        <v>701</v>
      </c>
      <c r="R45" s="84" t="str">
        <f>HYPERLINK("https://api.whatsapp.com/send?phone=6281222353823")</f>
        <v>https://api.whatsapp.com/send?phone=6281222353823</v>
      </c>
      <c r="S45" s="81" t="s">
        <v>940</v>
      </c>
      <c r="T45" s="81"/>
      <c r="U45" s="84" t="str">
        <f>HYPERLINK("https://pbs.twimg.com/media/E_P_XMQWYAUXeaR.jpg")</f>
        <v>https://pbs.twimg.com/media/E_P_XMQWYAUXeaR.jpg</v>
      </c>
      <c r="V45" s="84" t="str">
        <f>HYPERLINK("https://pbs.twimg.com/media/E_P_XMQWYAUXeaR.jpg")</f>
        <v>https://pbs.twimg.com/media/E_P_XMQWYAUXeaR.jpg</v>
      </c>
      <c r="W45" s="83">
        <v>44459.641504629632</v>
      </c>
      <c r="X45" s="89">
        <v>44459</v>
      </c>
      <c r="Y45" s="86" t="s">
        <v>1035</v>
      </c>
      <c r="Z45" s="84" t="str">
        <f>HYPERLINK("https://twitter.com/ivonnnn/status/1439973567370698753")</f>
        <v>https://twitter.com/ivonnnn/status/1439973567370698753</v>
      </c>
      <c r="AA45" s="81"/>
      <c r="AB45" s="81"/>
      <c r="AC45" s="86" t="s">
        <v>1536</v>
      </c>
      <c r="AD45" s="81"/>
      <c r="AE45" s="81" t="b">
        <v>0</v>
      </c>
      <c r="AF45" s="81">
        <v>0</v>
      </c>
      <c r="AG45" s="86" t="s">
        <v>2084</v>
      </c>
      <c r="AH45" s="81" t="b">
        <v>0</v>
      </c>
      <c r="AI45" s="81" t="s">
        <v>2167</v>
      </c>
      <c r="AJ45" s="81"/>
      <c r="AK45" s="86" t="s">
        <v>2084</v>
      </c>
      <c r="AL45" s="81" t="b">
        <v>0</v>
      </c>
      <c r="AM45" s="81">
        <v>51</v>
      </c>
      <c r="AN45" s="86" t="s">
        <v>2005</v>
      </c>
      <c r="AO45" s="86" t="s">
        <v>2178</v>
      </c>
      <c r="AP45" s="81" t="b">
        <v>0</v>
      </c>
      <c r="AQ45" s="86" t="s">
        <v>2005</v>
      </c>
      <c r="AR45" s="81" t="s">
        <v>179</v>
      </c>
      <c r="AS45" s="81">
        <v>0</v>
      </c>
      <c r="AT45" s="81">
        <v>0</v>
      </c>
      <c r="AU45" s="81"/>
      <c r="AV45" s="81"/>
      <c r="AW45" s="81"/>
      <c r="AX45" s="81"/>
      <c r="AY45" s="81"/>
      <c r="AZ45" s="81"/>
      <c r="BA45" s="81"/>
      <c r="BB45" s="81"/>
    </row>
    <row r="46" spans="1:54" x14ac:dyDescent="0.35">
      <c r="A46" s="66" t="s">
        <v>241</v>
      </c>
      <c r="B46" s="66" t="s">
        <v>609</v>
      </c>
      <c r="C46" s="67"/>
      <c r="D46" s="68"/>
      <c r="E46" s="69"/>
      <c r="F46" s="70"/>
      <c r="G46" s="67"/>
      <c r="H46" s="71"/>
      <c r="I46" s="72"/>
      <c r="J46" s="72"/>
      <c r="K46" s="36"/>
      <c r="L46" s="79"/>
      <c r="M46" s="79"/>
      <c r="N46" s="74"/>
      <c r="O46" s="81" t="s">
        <v>696</v>
      </c>
      <c r="P46" s="83">
        <v>44459.641805555555</v>
      </c>
      <c r="Q46" s="81" t="s">
        <v>705</v>
      </c>
      <c r="R46" s="81"/>
      <c r="S46" s="81"/>
      <c r="T46" s="81"/>
      <c r="U46" s="81"/>
      <c r="V46" s="84" t="str">
        <f>HYPERLINK("https://pbs.twimg.com/profile_images/1441328642362019851/kgCuJREq_normal.jpg")</f>
        <v>https://pbs.twimg.com/profile_images/1441328642362019851/kgCuJREq_normal.jpg</v>
      </c>
      <c r="W46" s="83">
        <v>44459.641805555555</v>
      </c>
      <c r="X46" s="89">
        <v>44459</v>
      </c>
      <c r="Y46" s="86" t="s">
        <v>1036</v>
      </c>
      <c r="Z46" s="84" t="str">
        <f>HYPERLINK("https://twitter.com/4v0cado1/status/1439973678049988613")</f>
        <v>https://twitter.com/4v0cado1/status/1439973678049988613</v>
      </c>
      <c r="AA46" s="81"/>
      <c r="AB46" s="81"/>
      <c r="AC46" s="86" t="s">
        <v>1537</v>
      </c>
      <c r="AD46" s="86" t="s">
        <v>2012</v>
      </c>
      <c r="AE46" s="81" t="b">
        <v>0</v>
      </c>
      <c r="AF46" s="81">
        <v>0</v>
      </c>
      <c r="AG46" s="86" t="s">
        <v>2091</v>
      </c>
      <c r="AH46" s="81" t="b">
        <v>0</v>
      </c>
      <c r="AI46" s="81" t="s">
        <v>2167</v>
      </c>
      <c r="AJ46" s="81"/>
      <c r="AK46" s="86" t="s">
        <v>2084</v>
      </c>
      <c r="AL46" s="81" t="b">
        <v>0</v>
      </c>
      <c r="AM46" s="81">
        <v>0</v>
      </c>
      <c r="AN46" s="86" t="s">
        <v>2084</v>
      </c>
      <c r="AO46" s="86" t="s">
        <v>2178</v>
      </c>
      <c r="AP46" s="81" t="b">
        <v>0</v>
      </c>
      <c r="AQ46" s="86" t="s">
        <v>2012</v>
      </c>
      <c r="AR46" s="81" t="s">
        <v>179</v>
      </c>
      <c r="AS46" s="81">
        <v>0</v>
      </c>
      <c r="AT46" s="81">
        <v>0</v>
      </c>
      <c r="AU46" s="81"/>
      <c r="AV46" s="81"/>
      <c r="AW46" s="81"/>
      <c r="AX46" s="81"/>
      <c r="AY46" s="81"/>
      <c r="AZ46" s="81"/>
      <c r="BA46" s="81"/>
      <c r="BB46" s="81"/>
    </row>
    <row r="47" spans="1:54" x14ac:dyDescent="0.35">
      <c r="A47" s="66" t="s">
        <v>241</v>
      </c>
      <c r="B47" s="66" t="s">
        <v>610</v>
      </c>
      <c r="C47" s="67"/>
      <c r="D47" s="68"/>
      <c r="E47" s="69"/>
      <c r="F47" s="70"/>
      <c r="G47" s="67"/>
      <c r="H47" s="71"/>
      <c r="I47" s="72"/>
      <c r="J47" s="72"/>
      <c r="K47" s="36"/>
      <c r="L47" s="79"/>
      <c r="M47" s="79"/>
      <c r="N47" s="74"/>
      <c r="O47" s="81" t="s">
        <v>696</v>
      </c>
      <c r="P47" s="83">
        <v>44459.641805555555</v>
      </c>
      <c r="Q47" s="81" t="s">
        <v>705</v>
      </c>
      <c r="R47" s="81"/>
      <c r="S47" s="81"/>
      <c r="T47" s="81"/>
      <c r="U47" s="81"/>
      <c r="V47" s="84" t="str">
        <f>HYPERLINK("https://pbs.twimg.com/profile_images/1441328642362019851/kgCuJREq_normal.jpg")</f>
        <v>https://pbs.twimg.com/profile_images/1441328642362019851/kgCuJREq_normal.jpg</v>
      </c>
      <c r="W47" s="83">
        <v>44459.641805555555</v>
      </c>
      <c r="X47" s="89">
        <v>44459</v>
      </c>
      <c r="Y47" s="86" t="s">
        <v>1036</v>
      </c>
      <c r="Z47" s="84" t="str">
        <f>HYPERLINK("https://twitter.com/4v0cado1/status/1439973678049988613")</f>
        <v>https://twitter.com/4v0cado1/status/1439973678049988613</v>
      </c>
      <c r="AA47" s="81"/>
      <c r="AB47" s="81"/>
      <c r="AC47" s="86" t="s">
        <v>1537</v>
      </c>
      <c r="AD47" s="86" t="s">
        <v>2012</v>
      </c>
      <c r="AE47" s="81" t="b">
        <v>0</v>
      </c>
      <c r="AF47" s="81">
        <v>0</v>
      </c>
      <c r="AG47" s="86" t="s">
        <v>2091</v>
      </c>
      <c r="AH47" s="81" t="b">
        <v>0</v>
      </c>
      <c r="AI47" s="81" t="s">
        <v>2167</v>
      </c>
      <c r="AJ47" s="81"/>
      <c r="AK47" s="86" t="s">
        <v>2084</v>
      </c>
      <c r="AL47" s="81" t="b">
        <v>0</v>
      </c>
      <c r="AM47" s="81">
        <v>0</v>
      </c>
      <c r="AN47" s="86" t="s">
        <v>2084</v>
      </c>
      <c r="AO47" s="86" t="s">
        <v>2178</v>
      </c>
      <c r="AP47" s="81" t="b">
        <v>0</v>
      </c>
      <c r="AQ47" s="86" t="s">
        <v>2012</v>
      </c>
      <c r="AR47" s="81" t="s">
        <v>179</v>
      </c>
      <c r="AS47" s="81">
        <v>0</v>
      </c>
      <c r="AT47" s="81">
        <v>0</v>
      </c>
      <c r="AU47" s="81"/>
      <c r="AV47" s="81"/>
      <c r="AW47" s="81"/>
      <c r="AX47" s="81"/>
      <c r="AY47" s="81"/>
      <c r="AZ47" s="81"/>
      <c r="BA47" s="81"/>
      <c r="BB47" s="81"/>
    </row>
    <row r="48" spans="1:54" x14ac:dyDescent="0.35">
      <c r="A48" s="66" t="s">
        <v>241</v>
      </c>
      <c r="B48" s="66" t="s">
        <v>611</v>
      </c>
      <c r="C48" s="67"/>
      <c r="D48" s="68"/>
      <c r="E48" s="69"/>
      <c r="F48" s="70"/>
      <c r="G48" s="67"/>
      <c r="H48" s="71"/>
      <c r="I48" s="72"/>
      <c r="J48" s="72"/>
      <c r="K48" s="36"/>
      <c r="L48" s="79"/>
      <c r="M48" s="79"/>
      <c r="N48" s="74"/>
      <c r="O48" s="81" t="s">
        <v>695</v>
      </c>
      <c r="P48" s="83">
        <v>44459.641805555555</v>
      </c>
      <c r="Q48" s="81" t="s">
        <v>705</v>
      </c>
      <c r="R48" s="81"/>
      <c r="S48" s="81"/>
      <c r="T48" s="81"/>
      <c r="U48" s="81"/>
      <c r="V48" s="84" t="str">
        <f>HYPERLINK("https://pbs.twimg.com/profile_images/1441328642362019851/kgCuJREq_normal.jpg")</f>
        <v>https://pbs.twimg.com/profile_images/1441328642362019851/kgCuJREq_normal.jpg</v>
      </c>
      <c r="W48" s="83">
        <v>44459.641805555555</v>
      </c>
      <c r="X48" s="89">
        <v>44459</v>
      </c>
      <c r="Y48" s="86" t="s">
        <v>1036</v>
      </c>
      <c r="Z48" s="84" t="str">
        <f>HYPERLINK("https://twitter.com/4v0cado1/status/1439973678049988613")</f>
        <v>https://twitter.com/4v0cado1/status/1439973678049988613</v>
      </c>
      <c r="AA48" s="81"/>
      <c r="AB48" s="81"/>
      <c r="AC48" s="86" t="s">
        <v>1537</v>
      </c>
      <c r="AD48" s="86" t="s">
        <v>2012</v>
      </c>
      <c r="AE48" s="81" t="b">
        <v>0</v>
      </c>
      <c r="AF48" s="81">
        <v>0</v>
      </c>
      <c r="AG48" s="86" t="s">
        <v>2091</v>
      </c>
      <c r="AH48" s="81" t="b">
        <v>0</v>
      </c>
      <c r="AI48" s="81" t="s">
        <v>2167</v>
      </c>
      <c r="AJ48" s="81"/>
      <c r="AK48" s="86" t="s">
        <v>2084</v>
      </c>
      <c r="AL48" s="81" t="b">
        <v>0</v>
      </c>
      <c r="AM48" s="81">
        <v>0</v>
      </c>
      <c r="AN48" s="86" t="s">
        <v>2084</v>
      </c>
      <c r="AO48" s="86" t="s">
        <v>2178</v>
      </c>
      <c r="AP48" s="81" t="b">
        <v>0</v>
      </c>
      <c r="AQ48" s="86" t="s">
        <v>2012</v>
      </c>
      <c r="AR48" s="81" t="s">
        <v>179</v>
      </c>
      <c r="AS48" s="81">
        <v>0</v>
      </c>
      <c r="AT48" s="81">
        <v>0</v>
      </c>
      <c r="AU48" s="81"/>
      <c r="AV48" s="81"/>
      <c r="AW48" s="81"/>
      <c r="AX48" s="81"/>
      <c r="AY48" s="81"/>
      <c r="AZ48" s="81"/>
      <c r="BA48" s="81"/>
      <c r="BB48" s="81"/>
    </row>
    <row r="49" spans="1:54" x14ac:dyDescent="0.35">
      <c r="A49" s="66" t="s">
        <v>4185</v>
      </c>
      <c r="B49" s="66" t="s">
        <v>4193</v>
      </c>
      <c r="C49" s="67"/>
      <c r="D49" s="68"/>
      <c r="E49" s="69"/>
      <c r="F49" s="70"/>
      <c r="G49" s="67"/>
      <c r="H49" s="71"/>
      <c r="I49" s="72"/>
      <c r="J49" s="72"/>
      <c r="K49" s="36"/>
      <c r="L49" s="79"/>
      <c r="M49" s="79"/>
      <c r="N49" s="74"/>
      <c r="O49" s="81" t="s">
        <v>693</v>
      </c>
      <c r="P49" s="83">
        <v>44459.654953703706</v>
      </c>
      <c r="Q49" s="81" t="s">
        <v>5273</v>
      </c>
      <c r="R49" s="84" t="str">
        <f>HYPERLINK("https://tiny.cc/5cajuz")</f>
        <v>https://tiny.cc/5cajuz</v>
      </c>
      <c r="S49" s="81" t="s">
        <v>5688</v>
      </c>
      <c r="T49" s="81"/>
      <c r="U49" s="84" t="str">
        <f>HYPERLINK("https://pbs.twimg.com/media/E_keOrzXoAElphs.jpg")</f>
        <v>https://pbs.twimg.com/media/E_keOrzXoAElphs.jpg</v>
      </c>
      <c r="V49" s="84" t="str">
        <f>HYPERLINK("https://pbs.twimg.com/media/E_keOrzXoAElphs.jpg")</f>
        <v>https://pbs.twimg.com/media/E_keOrzXoAElphs.jpg</v>
      </c>
      <c r="W49" s="83">
        <v>44459.654953703706</v>
      </c>
      <c r="X49" s="89">
        <v>44459</v>
      </c>
      <c r="Y49" s="86" t="s">
        <v>5807</v>
      </c>
      <c r="Z49" s="84" t="str">
        <f>HYPERLINK("https://twitter.com/rebeca_capozzi/status/1439978439075848193")</f>
        <v>https://twitter.com/rebeca_capozzi/status/1439978439075848193</v>
      </c>
      <c r="AA49" s="81"/>
      <c r="AB49" s="81"/>
      <c r="AC49" s="86" t="s">
        <v>6707</v>
      </c>
      <c r="AD49" s="81"/>
      <c r="AE49" s="81" t="b">
        <v>0</v>
      </c>
      <c r="AF49" s="81">
        <v>0</v>
      </c>
      <c r="AG49" s="86" t="s">
        <v>2084</v>
      </c>
      <c r="AH49" s="81" t="b">
        <v>0</v>
      </c>
      <c r="AI49" s="81" t="s">
        <v>2171</v>
      </c>
      <c r="AJ49" s="81"/>
      <c r="AK49" s="86" t="s">
        <v>2084</v>
      </c>
      <c r="AL49" s="81" t="b">
        <v>0</v>
      </c>
      <c r="AM49" s="81">
        <v>4</v>
      </c>
      <c r="AN49" s="86" t="s">
        <v>6715</v>
      </c>
      <c r="AO49" s="86" t="s">
        <v>2179</v>
      </c>
      <c r="AP49" s="81" t="b">
        <v>0</v>
      </c>
      <c r="AQ49" s="86" t="s">
        <v>6715</v>
      </c>
      <c r="AR49" s="81" t="s">
        <v>179</v>
      </c>
      <c r="AS49" s="81">
        <v>0</v>
      </c>
      <c r="AT49" s="81">
        <v>0</v>
      </c>
      <c r="AU49" s="81"/>
      <c r="AV49" s="81"/>
      <c r="AW49" s="81"/>
      <c r="AX49" s="81"/>
      <c r="AY49" s="81"/>
      <c r="AZ49" s="81"/>
      <c r="BA49" s="81"/>
      <c r="BB49" s="81"/>
    </row>
    <row r="50" spans="1:54" x14ac:dyDescent="0.35">
      <c r="A50" s="66" t="s">
        <v>242</v>
      </c>
      <c r="B50" s="66" t="s">
        <v>602</v>
      </c>
      <c r="C50" s="67"/>
      <c r="D50" s="68"/>
      <c r="E50" s="69"/>
      <c r="F50" s="70"/>
      <c r="G50" s="67"/>
      <c r="H50" s="71"/>
      <c r="I50" s="72"/>
      <c r="J50" s="72"/>
      <c r="K50" s="36"/>
      <c r="L50" s="79"/>
      <c r="M50" s="79"/>
      <c r="N50" s="74"/>
      <c r="O50" s="81" t="s">
        <v>694</v>
      </c>
      <c r="P50" s="83">
        <v>44459.665266203701</v>
      </c>
      <c r="Q50" s="81" t="s">
        <v>697</v>
      </c>
      <c r="R50" s="81"/>
      <c r="S50" s="81"/>
      <c r="T50" s="86" t="s">
        <v>971</v>
      </c>
      <c r="U50" s="84" t="str">
        <f>HYPERLINK("https://pbs.twimg.com/media/E_X1zlwVIAES6Ks.jpg")</f>
        <v>https://pbs.twimg.com/media/E_X1zlwVIAES6Ks.jpg</v>
      </c>
      <c r="V50" s="84" t="str">
        <f>HYPERLINK("https://pbs.twimg.com/media/E_X1zlwVIAES6Ks.jpg")</f>
        <v>https://pbs.twimg.com/media/E_X1zlwVIAES6Ks.jpg</v>
      </c>
      <c r="W50" s="83">
        <v>44459.665266203701</v>
      </c>
      <c r="X50" s="89">
        <v>44459</v>
      </c>
      <c r="Y50" s="86" t="s">
        <v>1038</v>
      </c>
      <c r="Z50" s="84" t="str">
        <f>HYPERLINK("https://twitter.com/oyehero4200/status/1439982180164378631")</f>
        <v>https://twitter.com/oyehero4200/status/1439982180164378631</v>
      </c>
      <c r="AA50" s="81"/>
      <c r="AB50" s="81"/>
      <c r="AC50" s="86" t="s">
        <v>1538</v>
      </c>
      <c r="AD50" s="81"/>
      <c r="AE50" s="81" t="b">
        <v>0</v>
      </c>
      <c r="AF50" s="81">
        <v>0</v>
      </c>
      <c r="AG50" s="86" t="s">
        <v>2084</v>
      </c>
      <c r="AH50" s="81" t="b">
        <v>0</v>
      </c>
      <c r="AI50" s="81" t="s">
        <v>2167</v>
      </c>
      <c r="AJ50" s="81"/>
      <c r="AK50" s="86" t="s">
        <v>2084</v>
      </c>
      <c r="AL50" s="81" t="b">
        <v>0</v>
      </c>
      <c r="AM50" s="81">
        <v>57</v>
      </c>
      <c r="AN50" s="86" t="s">
        <v>1569</v>
      </c>
      <c r="AO50" s="86" t="s">
        <v>2179</v>
      </c>
      <c r="AP50" s="81" t="b">
        <v>0</v>
      </c>
      <c r="AQ50" s="86" t="s">
        <v>1569</v>
      </c>
      <c r="AR50" s="81" t="s">
        <v>179</v>
      </c>
      <c r="AS50" s="81">
        <v>0</v>
      </c>
      <c r="AT50" s="81">
        <v>0</v>
      </c>
      <c r="AU50" s="81"/>
      <c r="AV50" s="81"/>
      <c r="AW50" s="81"/>
      <c r="AX50" s="81"/>
      <c r="AY50" s="81"/>
      <c r="AZ50" s="81"/>
      <c r="BA50" s="81"/>
      <c r="BB50" s="81"/>
    </row>
    <row r="51" spans="1:54" x14ac:dyDescent="0.35">
      <c r="A51" s="66" t="s">
        <v>242</v>
      </c>
      <c r="B51" s="66" t="s">
        <v>272</v>
      </c>
      <c r="C51" s="67"/>
      <c r="D51" s="68"/>
      <c r="E51" s="69"/>
      <c r="F51" s="70"/>
      <c r="G51" s="67"/>
      <c r="H51" s="71"/>
      <c r="I51" s="72"/>
      <c r="J51" s="72"/>
      <c r="K51" s="36"/>
      <c r="L51" s="79"/>
      <c r="M51" s="79"/>
      <c r="N51" s="74"/>
      <c r="O51" s="81" t="s">
        <v>693</v>
      </c>
      <c r="P51" s="83">
        <v>44459.665266203701</v>
      </c>
      <c r="Q51" s="81" t="s">
        <v>697</v>
      </c>
      <c r="R51" s="81"/>
      <c r="S51" s="81"/>
      <c r="T51" s="86" t="s">
        <v>971</v>
      </c>
      <c r="U51" s="84" t="str">
        <f>HYPERLINK("https://pbs.twimg.com/media/E_X1zlwVIAES6Ks.jpg")</f>
        <v>https://pbs.twimg.com/media/E_X1zlwVIAES6Ks.jpg</v>
      </c>
      <c r="V51" s="84" t="str">
        <f>HYPERLINK("https://pbs.twimg.com/media/E_X1zlwVIAES6Ks.jpg")</f>
        <v>https://pbs.twimg.com/media/E_X1zlwVIAES6Ks.jpg</v>
      </c>
      <c r="W51" s="83">
        <v>44459.665266203701</v>
      </c>
      <c r="X51" s="89">
        <v>44459</v>
      </c>
      <c r="Y51" s="86" t="s">
        <v>1038</v>
      </c>
      <c r="Z51" s="84" t="str">
        <f>HYPERLINK("https://twitter.com/oyehero4200/status/1439982180164378631")</f>
        <v>https://twitter.com/oyehero4200/status/1439982180164378631</v>
      </c>
      <c r="AA51" s="81"/>
      <c r="AB51" s="81"/>
      <c r="AC51" s="86" t="s">
        <v>1538</v>
      </c>
      <c r="AD51" s="81"/>
      <c r="AE51" s="81" t="b">
        <v>0</v>
      </c>
      <c r="AF51" s="81">
        <v>0</v>
      </c>
      <c r="AG51" s="86" t="s">
        <v>2084</v>
      </c>
      <c r="AH51" s="81" t="b">
        <v>0</v>
      </c>
      <c r="AI51" s="81" t="s">
        <v>2167</v>
      </c>
      <c r="AJ51" s="81"/>
      <c r="AK51" s="86" t="s">
        <v>2084</v>
      </c>
      <c r="AL51" s="81" t="b">
        <v>0</v>
      </c>
      <c r="AM51" s="81">
        <v>57</v>
      </c>
      <c r="AN51" s="86" t="s">
        <v>1569</v>
      </c>
      <c r="AO51" s="86" t="s">
        <v>2179</v>
      </c>
      <c r="AP51" s="81" t="b">
        <v>0</v>
      </c>
      <c r="AQ51" s="86" t="s">
        <v>1569</v>
      </c>
      <c r="AR51" s="81" t="s">
        <v>179</v>
      </c>
      <c r="AS51" s="81">
        <v>0</v>
      </c>
      <c r="AT51" s="81">
        <v>0</v>
      </c>
      <c r="AU51" s="81"/>
      <c r="AV51" s="81"/>
      <c r="AW51" s="81"/>
      <c r="AX51" s="81"/>
      <c r="AY51" s="81"/>
      <c r="AZ51" s="81"/>
      <c r="BA51" s="81"/>
      <c r="BB51" s="81"/>
    </row>
    <row r="52" spans="1:54" x14ac:dyDescent="0.35">
      <c r="A52" s="66" t="s">
        <v>12496</v>
      </c>
      <c r="B52" s="66" t="s">
        <v>12667</v>
      </c>
      <c r="C52" s="67"/>
      <c r="D52" s="68"/>
      <c r="E52" s="69"/>
      <c r="F52" s="70"/>
      <c r="G52" s="67"/>
      <c r="H52" s="71"/>
      <c r="I52" s="72"/>
      <c r="J52" s="72"/>
      <c r="K52" s="36"/>
      <c r="L52" s="79"/>
      <c r="M52" s="79"/>
      <c r="N52" s="74"/>
      <c r="O52" s="81" t="s">
        <v>695</v>
      </c>
      <c r="P52" s="83">
        <v>44459.666701388887</v>
      </c>
      <c r="Q52" s="81" t="s">
        <v>12735</v>
      </c>
      <c r="R52" s="81"/>
      <c r="S52" s="81"/>
      <c r="T52" s="81"/>
      <c r="U52" s="81"/>
      <c r="V52" s="84" t="str">
        <f>HYPERLINK("https://pbs.twimg.com/profile_images/1423128470708580359/W5R0P1T1_normal.jpg")</f>
        <v>https://pbs.twimg.com/profile_images/1423128470708580359/W5R0P1T1_normal.jpg</v>
      </c>
      <c r="W52" s="83">
        <v>44459.666701388887</v>
      </c>
      <c r="X52" s="89">
        <v>44459</v>
      </c>
      <c r="Y52" s="86" t="s">
        <v>12875</v>
      </c>
      <c r="Z52" s="84" t="str">
        <f>HYPERLINK("https://twitter.com/kagu_al/status/1439982698836099074")</f>
        <v>https://twitter.com/kagu_al/status/1439982698836099074</v>
      </c>
      <c r="AA52" s="81"/>
      <c r="AB52" s="81"/>
      <c r="AC52" s="86" t="s">
        <v>13112</v>
      </c>
      <c r="AD52" s="86" t="s">
        <v>13356</v>
      </c>
      <c r="AE52" s="81" t="b">
        <v>0</v>
      </c>
      <c r="AF52" s="81">
        <v>0</v>
      </c>
      <c r="AG52" s="86" t="s">
        <v>13399</v>
      </c>
      <c r="AH52" s="81" t="b">
        <v>0</v>
      </c>
      <c r="AI52" s="81" t="s">
        <v>2167</v>
      </c>
      <c r="AJ52" s="81"/>
      <c r="AK52" s="86" t="s">
        <v>2084</v>
      </c>
      <c r="AL52" s="81" t="b">
        <v>0</v>
      </c>
      <c r="AM52" s="81">
        <v>0</v>
      </c>
      <c r="AN52" s="86" t="s">
        <v>2084</v>
      </c>
      <c r="AO52" s="86" t="s">
        <v>2178</v>
      </c>
      <c r="AP52" s="81" t="b">
        <v>0</v>
      </c>
      <c r="AQ52" s="86" t="s">
        <v>13356</v>
      </c>
      <c r="AR52" s="81" t="s">
        <v>179</v>
      </c>
      <c r="AS52" s="81">
        <v>0</v>
      </c>
      <c r="AT52" s="81">
        <v>0</v>
      </c>
      <c r="AU52" s="81"/>
      <c r="AV52" s="81"/>
      <c r="AW52" s="81"/>
      <c r="AX52" s="81"/>
      <c r="AY52" s="81"/>
      <c r="AZ52" s="81"/>
      <c r="BA52" s="81"/>
      <c r="BB52" s="81"/>
    </row>
    <row r="53" spans="1:54" x14ac:dyDescent="0.35">
      <c r="A53" s="66" t="s">
        <v>243</v>
      </c>
      <c r="B53" s="66" t="s">
        <v>602</v>
      </c>
      <c r="C53" s="67"/>
      <c r="D53" s="68"/>
      <c r="E53" s="69"/>
      <c r="F53" s="70"/>
      <c r="G53" s="67"/>
      <c r="H53" s="71"/>
      <c r="I53" s="72"/>
      <c r="J53" s="72"/>
      <c r="K53" s="36"/>
      <c r="L53" s="79"/>
      <c r="M53" s="79"/>
      <c r="N53" s="74"/>
      <c r="O53" s="81" t="s">
        <v>694</v>
      </c>
      <c r="P53" s="83">
        <v>44459.670416666668</v>
      </c>
      <c r="Q53" s="81" t="s">
        <v>697</v>
      </c>
      <c r="R53" s="81"/>
      <c r="S53" s="81"/>
      <c r="T53" s="86" t="s">
        <v>971</v>
      </c>
      <c r="U53" s="84" t="str">
        <f>HYPERLINK("https://pbs.twimg.com/media/E_X1zlwVIAES6Ks.jpg")</f>
        <v>https://pbs.twimg.com/media/E_X1zlwVIAES6Ks.jpg</v>
      </c>
      <c r="V53" s="84" t="str">
        <f>HYPERLINK("https://pbs.twimg.com/media/E_X1zlwVIAES6Ks.jpg")</f>
        <v>https://pbs.twimg.com/media/E_X1zlwVIAES6Ks.jpg</v>
      </c>
      <c r="W53" s="83">
        <v>44459.670416666668</v>
      </c>
      <c r="X53" s="89">
        <v>44459</v>
      </c>
      <c r="Y53" s="86" t="s">
        <v>1039</v>
      </c>
      <c r="Z53" s="84" t="str">
        <f>HYPERLINK("https://twitter.com/malangdorn1/status/1439984042561134598")</f>
        <v>https://twitter.com/malangdorn1/status/1439984042561134598</v>
      </c>
      <c r="AA53" s="81"/>
      <c r="AB53" s="81"/>
      <c r="AC53" s="86" t="s">
        <v>1539</v>
      </c>
      <c r="AD53" s="81"/>
      <c r="AE53" s="81" t="b">
        <v>0</v>
      </c>
      <c r="AF53" s="81">
        <v>0</v>
      </c>
      <c r="AG53" s="86" t="s">
        <v>2084</v>
      </c>
      <c r="AH53" s="81" t="b">
        <v>0</v>
      </c>
      <c r="AI53" s="81" t="s">
        <v>2167</v>
      </c>
      <c r="AJ53" s="81"/>
      <c r="AK53" s="86" t="s">
        <v>2084</v>
      </c>
      <c r="AL53" s="81" t="b">
        <v>0</v>
      </c>
      <c r="AM53" s="81">
        <v>57</v>
      </c>
      <c r="AN53" s="86" t="s">
        <v>1569</v>
      </c>
      <c r="AO53" s="86" t="s">
        <v>2178</v>
      </c>
      <c r="AP53" s="81" t="b">
        <v>0</v>
      </c>
      <c r="AQ53" s="86" t="s">
        <v>1569</v>
      </c>
      <c r="AR53" s="81" t="s">
        <v>179</v>
      </c>
      <c r="AS53" s="81">
        <v>0</v>
      </c>
      <c r="AT53" s="81">
        <v>0</v>
      </c>
      <c r="AU53" s="81"/>
      <c r="AV53" s="81"/>
      <c r="AW53" s="81"/>
      <c r="AX53" s="81"/>
      <c r="AY53" s="81"/>
      <c r="AZ53" s="81"/>
      <c r="BA53" s="81"/>
      <c r="BB53" s="81"/>
    </row>
    <row r="54" spans="1:54" x14ac:dyDescent="0.35">
      <c r="A54" s="66" t="s">
        <v>243</v>
      </c>
      <c r="B54" s="66" t="s">
        <v>272</v>
      </c>
      <c r="C54" s="67"/>
      <c r="D54" s="68"/>
      <c r="E54" s="69"/>
      <c r="F54" s="70"/>
      <c r="G54" s="67"/>
      <c r="H54" s="71"/>
      <c r="I54" s="72"/>
      <c r="J54" s="72"/>
      <c r="K54" s="36"/>
      <c r="L54" s="79"/>
      <c r="M54" s="79"/>
      <c r="N54" s="74"/>
      <c r="O54" s="81" t="s">
        <v>693</v>
      </c>
      <c r="P54" s="83">
        <v>44459.670416666668</v>
      </c>
      <c r="Q54" s="81" t="s">
        <v>697</v>
      </c>
      <c r="R54" s="81"/>
      <c r="S54" s="81"/>
      <c r="T54" s="86" t="s">
        <v>971</v>
      </c>
      <c r="U54" s="84" t="str">
        <f>HYPERLINK("https://pbs.twimg.com/media/E_X1zlwVIAES6Ks.jpg")</f>
        <v>https://pbs.twimg.com/media/E_X1zlwVIAES6Ks.jpg</v>
      </c>
      <c r="V54" s="84" t="str">
        <f>HYPERLINK("https://pbs.twimg.com/media/E_X1zlwVIAES6Ks.jpg")</f>
        <v>https://pbs.twimg.com/media/E_X1zlwVIAES6Ks.jpg</v>
      </c>
      <c r="W54" s="83">
        <v>44459.670416666668</v>
      </c>
      <c r="X54" s="89">
        <v>44459</v>
      </c>
      <c r="Y54" s="86" t="s">
        <v>1039</v>
      </c>
      <c r="Z54" s="84" t="str">
        <f>HYPERLINK("https://twitter.com/malangdorn1/status/1439984042561134598")</f>
        <v>https://twitter.com/malangdorn1/status/1439984042561134598</v>
      </c>
      <c r="AA54" s="81"/>
      <c r="AB54" s="81"/>
      <c r="AC54" s="86" t="s">
        <v>1539</v>
      </c>
      <c r="AD54" s="81"/>
      <c r="AE54" s="81" t="b">
        <v>0</v>
      </c>
      <c r="AF54" s="81">
        <v>0</v>
      </c>
      <c r="AG54" s="86" t="s">
        <v>2084</v>
      </c>
      <c r="AH54" s="81" t="b">
        <v>0</v>
      </c>
      <c r="AI54" s="81" t="s">
        <v>2167</v>
      </c>
      <c r="AJ54" s="81"/>
      <c r="AK54" s="86" t="s">
        <v>2084</v>
      </c>
      <c r="AL54" s="81" t="b">
        <v>0</v>
      </c>
      <c r="AM54" s="81">
        <v>57</v>
      </c>
      <c r="AN54" s="86" t="s">
        <v>1569</v>
      </c>
      <c r="AO54" s="86" t="s">
        <v>2178</v>
      </c>
      <c r="AP54" s="81" t="b">
        <v>0</v>
      </c>
      <c r="AQ54" s="86" t="s">
        <v>1569</v>
      </c>
      <c r="AR54" s="81" t="s">
        <v>179</v>
      </c>
      <c r="AS54" s="81">
        <v>0</v>
      </c>
      <c r="AT54" s="81">
        <v>0</v>
      </c>
      <c r="AU54" s="81"/>
      <c r="AV54" s="81"/>
      <c r="AW54" s="81"/>
      <c r="AX54" s="81"/>
      <c r="AY54" s="81"/>
      <c r="AZ54" s="81"/>
      <c r="BA54" s="81"/>
      <c r="BB54" s="81"/>
    </row>
    <row r="55" spans="1:54" x14ac:dyDescent="0.35">
      <c r="A55" s="66" t="s">
        <v>244</v>
      </c>
      <c r="B55" s="66" t="s">
        <v>602</v>
      </c>
      <c r="C55" s="67"/>
      <c r="D55" s="68"/>
      <c r="E55" s="69"/>
      <c r="F55" s="70"/>
      <c r="G55" s="67"/>
      <c r="H55" s="71"/>
      <c r="I55" s="72"/>
      <c r="J55" s="72"/>
      <c r="K55" s="36"/>
      <c r="L55" s="79"/>
      <c r="M55" s="79"/>
      <c r="N55" s="74"/>
      <c r="O55" s="81" t="s">
        <v>694</v>
      </c>
      <c r="P55" s="83">
        <v>44459.676793981482</v>
      </c>
      <c r="Q55" s="81" t="s">
        <v>697</v>
      </c>
      <c r="R55" s="81"/>
      <c r="S55" s="81"/>
      <c r="T55" s="86" t="s">
        <v>971</v>
      </c>
      <c r="U55" s="84" t="str">
        <f>HYPERLINK("https://pbs.twimg.com/media/E_X1zlwVIAES6Ks.jpg")</f>
        <v>https://pbs.twimg.com/media/E_X1zlwVIAES6Ks.jpg</v>
      </c>
      <c r="V55" s="84" t="str">
        <f>HYPERLINK("https://pbs.twimg.com/media/E_X1zlwVIAES6Ks.jpg")</f>
        <v>https://pbs.twimg.com/media/E_X1zlwVIAES6Ks.jpg</v>
      </c>
      <c r="W55" s="83">
        <v>44459.676793981482</v>
      </c>
      <c r="X55" s="89">
        <v>44459</v>
      </c>
      <c r="Y55" s="86" t="s">
        <v>1040</v>
      </c>
      <c r="Z55" s="84" t="str">
        <f>HYPERLINK("https://twitter.com/fatemeh50692110/status/1439986354545324038")</f>
        <v>https://twitter.com/fatemeh50692110/status/1439986354545324038</v>
      </c>
      <c r="AA55" s="81"/>
      <c r="AB55" s="81"/>
      <c r="AC55" s="86" t="s">
        <v>1540</v>
      </c>
      <c r="AD55" s="81"/>
      <c r="AE55" s="81" t="b">
        <v>0</v>
      </c>
      <c r="AF55" s="81">
        <v>0</v>
      </c>
      <c r="AG55" s="86" t="s">
        <v>2084</v>
      </c>
      <c r="AH55" s="81" t="b">
        <v>0</v>
      </c>
      <c r="AI55" s="81" t="s">
        <v>2167</v>
      </c>
      <c r="AJ55" s="81"/>
      <c r="AK55" s="86" t="s">
        <v>2084</v>
      </c>
      <c r="AL55" s="81" t="b">
        <v>0</v>
      </c>
      <c r="AM55" s="81">
        <v>57</v>
      </c>
      <c r="AN55" s="86" t="s">
        <v>1569</v>
      </c>
      <c r="AO55" s="86" t="s">
        <v>2181</v>
      </c>
      <c r="AP55" s="81" t="b">
        <v>0</v>
      </c>
      <c r="AQ55" s="86" t="s">
        <v>1569</v>
      </c>
      <c r="AR55" s="81" t="s">
        <v>179</v>
      </c>
      <c r="AS55" s="81">
        <v>0</v>
      </c>
      <c r="AT55" s="81">
        <v>0</v>
      </c>
      <c r="AU55" s="81"/>
      <c r="AV55" s="81"/>
      <c r="AW55" s="81"/>
      <c r="AX55" s="81"/>
      <c r="AY55" s="81"/>
      <c r="AZ55" s="81"/>
      <c r="BA55" s="81"/>
      <c r="BB55" s="81"/>
    </row>
    <row r="56" spans="1:54" x14ac:dyDescent="0.35">
      <c r="A56" s="66" t="s">
        <v>244</v>
      </c>
      <c r="B56" s="66" t="s">
        <v>272</v>
      </c>
      <c r="C56" s="67"/>
      <c r="D56" s="68"/>
      <c r="E56" s="69"/>
      <c r="F56" s="70"/>
      <c r="G56" s="67"/>
      <c r="H56" s="71"/>
      <c r="I56" s="72"/>
      <c r="J56" s="72"/>
      <c r="K56" s="36"/>
      <c r="L56" s="79"/>
      <c r="M56" s="79"/>
      <c r="N56" s="74"/>
      <c r="O56" s="81" t="s">
        <v>693</v>
      </c>
      <c r="P56" s="83">
        <v>44459.676793981482</v>
      </c>
      <c r="Q56" s="81" t="s">
        <v>697</v>
      </c>
      <c r="R56" s="81"/>
      <c r="S56" s="81"/>
      <c r="T56" s="86" t="s">
        <v>971</v>
      </c>
      <c r="U56" s="84" t="str">
        <f>HYPERLINK("https://pbs.twimg.com/media/E_X1zlwVIAES6Ks.jpg")</f>
        <v>https://pbs.twimg.com/media/E_X1zlwVIAES6Ks.jpg</v>
      </c>
      <c r="V56" s="84" t="str">
        <f>HYPERLINK("https://pbs.twimg.com/media/E_X1zlwVIAES6Ks.jpg")</f>
        <v>https://pbs.twimg.com/media/E_X1zlwVIAES6Ks.jpg</v>
      </c>
      <c r="W56" s="83">
        <v>44459.676793981482</v>
      </c>
      <c r="X56" s="89">
        <v>44459</v>
      </c>
      <c r="Y56" s="86" t="s">
        <v>1040</v>
      </c>
      <c r="Z56" s="84" t="str">
        <f>HYPERLINK("https://twitter.com/fatemeh50692110/status/1439986354545324038")</f>
        <v>https://twitter.com/fatemeh50692110/status/1439986354545324038</v>
      </c>
      <c r="AA56" s="81"/>
      <c r="AB56" s="81"/>
      <c r="AC56" s="86" t="s">
        <v>1540</v>
      </c>
      <c r="AD56" s="81"/>
      <c r="AE56" s="81" t="b">
        <v>0</v>
      </c>
      <c r="AF56" s="81">
        <v>0</v>
      </c>
      <c r="AG56" s="86" t="s">
        <v>2084</v>
      </c>
      <c r="AH56" s="81" t="b">
        <v>0</v>
      </c>
      <c r="AI56" s="81" t="s">
        <v>2167</v>
      </c>
      <c r="AJ56" s="81"/>
      <c r="AK56" s="86" t="s">
        <v>2084</v>
      </c>
      <c r="AL56" s="81" t="b">
        <v>0</v>
      </c>
      <c r="AM56" s="81">
        <v>57</v>
      </c>
      <c r="AN56" s="86" t="s">
        <v>1569</v>
      </c>
      <c r="AO56" s="86" t="s">
        <v>2181</v>
      </c>
      <c r="AP56" s="81" t="b">
        <v>0</v>
      </c>
      <c r="AQ56" s="86" t="s">
        <v>1569</v>
      </c>
      <c r="AR56" s="81" t="s">
        <v>179</v>
      </c>
      <c r="AS56" s="81">
        <v>0</v>
      </c>
      <c r="AT56" s="81">
        <v>0</v>
      </c>
      <c r="AU56" s="81"/>
      <c r="AV56" s="81"/>
      <c r="AW56" s="81"/>
      <c r="AX56" s="81"/>
      <c r="AY56" s="81"/>
      <c r="AZ56" s="81"/>
      <c r="BA56" s="81"/>
      <c r="BB56" s="81"/>
    </row>
    <row r="57" spans="1:54" x14ac:dyDescent="0.35">
      <c r="A57" s="66" t="s">
        <v>245</v>
      </c>
      <c r="B57" s="66" t="s">
        <v>297</v>
      </c>
      <c r="C57" s="67"/>
      <c r="D57" s="68"/>
      <c r="E57" s="69"/>
      <c r="F57" s="70"/>
      <c r="G57" s="67"/>
      <c r="H57" s="71"/>
      <c r="I57" s="72"/>
      <c r="J57" s="72"/>
      <c r="K57" s="36"/>
      <c r="L57" s="79"/>
      <c r="M57" s="79"/>
      <c r="N57" s="74"/>
      <c r="O57" s="81" t="s">
        <v>693</v>
      </c>
      <c r="P57" s="83">
        <v>44459.685555555552</v>
      </c>
      <c r="Q57" s="81" t="s">
        <v>702</v>
      </c>
      <c r="R57" s="81"/>
      <c r="S57" s="81"/>
      <c r="T57" s="86" t="s">
        <v>972</v>
      </c>
      <c r="U57" s="84" t="str">
        <f>HYPERLINK("https://pbs.twimg.com/media/E_vEDNvVIAkAnBd.jpg")</f>
        <v>https://pbs.twimg.com/media/E_vEDNvVIAkAnBd.jpg</v>
      </c>
      <c r="V57" s="84" t="str">
        <f>HYPERLINK("https://pbs.twimg.com/media/E_vEDNvVIAkAnBd.jpg")</f>
        <v>https://pbs.twimg.com/media/E_vEDNvVIAkAnBd.jpg</v>
      </c>
      <c r="W57" s="83">
        <v>44459.685555555552</v>
      </c>
      <c r="X57" s="89">
        <v>44459</v>
      </c>
      <c r="Y57" s="86" t="s">
        <v>1041</v>
      </c>
      <c r="Z57" s="84" t="str">
        <f>HYPERLINK("https://twitter.com/bangqiha/status/1439989530816233477")</f>
        <v>https://twitter.com/bangqiha/status/1439989530816233477</v>
      </c>
      <c r="AA57" s="81"/>
      <c r="AB57" s="81"/>
      <c r="AC57" s="86" t="s">
        <v>1541</v>
      </c>
      <c r="AD57" s="81"/>
      <c r="AE57" s="81" t="b">
        <v>0</v>
      </c>
      <c r="AF57" s="81">
        <v>0</v>
      </c>
      <c r="AG57" s="86" t="s">
        <v>2084</v>
      </c>
      <c r="AH57" s="81" t="b">
        <v>0</v>
      </c>
      <c r="AI57" s="81" t="s">
        <v>2168</v>
      </c>
      <c r="AJ57" s="81"/>
      <c r="AK57" s="86" t="s">
        <v>2084</v>
      </c>
      <c r="AL57" s="81" t="b">
        <v>0</v>
      </c>
      <c r="AM57" s="81">
        <v>10</v>
      </c>
      <c r="AN57" s="86" t="s">
        <v>1597</v>
      </c>
      <c r="AO57" s="86" t="s">
        <v>2178</v>
      </c>
      <c r="AP57" s="81" t="b">
        <v>0</v>
      </c>
      <c r="AQ57" s="86" t="s">
        <v>1597</v>
      </c>
      <c r="AR57" s="81" t="s">
        <v>179</v>
      </c>
      <c r="AS57" s="81">
        <v>0</v>
      </c>
      <c r="AT57" s="81">
        <v>0</v>
      </c>
      <c r="AU57" s="81"/>
      <c r="AV57" s="81"/>
      <c r="AW57" s="81"/>
      <c r="AX57" s="81"/>
      <c r="AY57" s="81"/>
      <c r="AZ57" s="81"/>
      <c r="BA57" s="81"/>
      <c r="BB57" s="81"/>
    </row>
    <row r="58" spans="1:54" x14ac:dyDescent="0.35">
      <c r="A58" s="66" t="s">
        <v>246</v>
      </c>
      <c r="B58" s="66" t="s">
        <v>297</v>
      </c>
      <c r="C58" s="67"/>
      <c r="D58" s="68"/>
      <c r="E58" s="69"/>
      <c r="F58" s="70"/>
      <c r="G58" s="67"/>
      <c r="H58" s="71"/>
      <c r="I58" s="72"/>
      <c r="J58" s="72"/>
      <c r="K58" s="36"/>
      <c r="L58" s="79"/>
      <c r="M58" s="79"/>
      <c r="N58" s="74"/>
      <c r="O58" s="81" t="s">
        <v>693</v>
      </c>
      <c r="P58" s="83">
        <v>44459.68922453704</v>
      </c>
      <c r="Q58" s="81" t="s">
        <v>702</v>
      </c>
      <c r="R58" s="81"/>
      <c r="S58" s="81"/>
      <c r="T58" s="86" t="s">
        <v>972</v>
      </c>
      <c r="U58" s="84" t="str">
        <f>HYPERLINK("https://pbs.twimg.com/media/E_vEDNvVIAkAnBd.jpg")</f>
        <v>https://pbs.twimg.com/media/E_vEDNvVIAkAnBd.jpg</v>
      </c>
      <c r="V58" s="84" t="str">
        <f>HYPERLINK("https://pbs.twimg.com/media/E_vEDNvVIAkAnBd.jpg")</f>
        <v>https://pbs.twimg.com/media/E_vEDNvVIAkAnBd.jpg</v>
      </c>
      <c r="W58" s="83">
        <v>44459.68922453704</v>
      </c>
      <c r="X58" s="89">
        <v>44459</v>
      </c>
      <c r="Y58" s="86" t="s">
        <v>1042</v>
      </c>
      <c r="Z58" s="84" t="str">
        <f>HYPERLINK("https://twitter.com/skzanddstay/status/1439990862260277250")</f>
        <v>https://twitter.com/skzanddstay/status/1439990862260277250</v>
      </c>
      <c r="AA58" s="81"/>
      <c r="AB58" s="81"/>
      <c r="AC58" s="86" t="s">
        <v>1542</v>
      </c>
      <c r="AD58" s="81"/>
      <c r="AE58" s="81" t="b">
        <v>0</v>
      </c>
      <c r="AF58" s="81">
        <v>0</v>
      </c>
      <c r="AG58" s="86" t="s">
        <v>2084</v>
      </c>
      <c r="AH58" s="81" t="b">
        <v>0</v>
      </c>
      <c r="AI58" s="81" t="s">
        <v>2168</v>
      </c>
      <c r="AJ58" s="81"/>
      <c r="AK58" s="86" t="s">
        <v>2084</v>
      </c>
      <c r="AL58" s="81" t="b">
        <v>0</v>
      </c>
      <c r="AM58" s="81">
        <v>10</v>
      </c>
      <c r="AN58" s="86" t="s">
        <v>1597</v>
      </c>
      <c r="AO58" s="86" t="s">
        <v>2178</v>
      </c>
      <c r="AP58" s="81" t="b">
        <v>0</v>
      </c>
      <c r="AQ58" s="86" t="s">
        <v>1597</v>
      </c>
      <c r="AR58" s="81" t="s">
        <v>179</v>
      </c>
      <c r="AS58" s="81">
        <v>0</v>
      </c>
      <c r="AT58" s="81">
        <v>0</v>
      </c>
      <c r="AU58" s="81"/>
      <c r="AV58" s="81"/>
      <c r="AW58" s="81"/>
      <c r="AX58" s="81"/>
      <c r="AY58" s="81"/>
      <c r="AZ58" s="81"/>
      <c r="BA58" s="81"/>
      <c r="BB58" s="81"/>
    </row>
    <row r="59" spans="1:54" x14ac:dyDescent="0.35">
      <c r="A59" s="66" t="s">
        <v>4186</v>
      </c>
      <c r="B59" s="66" t="s">
        <v>4186</v>
      </c>
      <c r="C59" s="67"/>
      <c r="D59" s="68"/>
      <c r="E59" s="69"/>
      <c r="F59" s="70"/>
      <c r="G59" s="67"/>
      <c r="H59" s="71"/>
      <c r="I59" s="72"/>
      <c r="J59" s="72"/>
      <c r="K59" s="36"/>
      <c r="L59" s="79"/>
      <c r="M59" s="79"/>
      <c r="N59" s="74"/>
      <c r="O59" s="81" t="s">
        <v>179</v>
      </c>
      <c r="P59" s="83">
        <v>44459.692187499997</v>
      </c>
      <c r="Q59" s="81" t="s">
        <v>5283</v>
      </c>
      <c r="R59" s="81"/>
      <c r="S59" s="81"/>
      <c r="T59" s="81"/>
      <c r="U59" s="81"/>
      <c r="V59" s="84" t="str">
        <f>HYPERLINK("https://pbs.twimg.com/profile_images/1440308280874528770/F5qwztVT_normal.jpg")</f>
        <v>https://pbs.twimg.com/profile_images/1440308280874528770/F5qwztVT_normal.jpg</v>
      </c>
      <c r="W59" s="83">
        <v>44459.692187499997</v>
      </c>
      <c r="X59" s="89">
        <v>44459</v>
      </c>
      <c r="Y59" s="86" t="s">
        <v>5808</v>
      </c>
      <c r="Z59" s="84" t="str">
        <f>HYPERLINK("https://twitter.com/wwnnddff/status/1439991934458728450")</f>
        <v>https://twitter.com/wwnnddff/status/1439991934458728450</v>
      </c>
      <c r="AA59" s="81"/>
      <c r="AB59" s="81"/>
      <c r="AC59" s="86" t="s">
        <v>6708</v>
      </c>
      <c r="AD59" s="86" t="s">
        <v>7618</v>
      </c>
      <c r="AE59" s="81" t="b">
        <v>0</v>
      </c>
      <c r="AF59" s="81">
        <v>0</v>
      </c>
      <c r="AG59" s="86" t="s">
        <v>7797</v>
      </c>
      <c r="AH59" s="81" t="b">
        <v>0</v>
      </c>
      <c r="AI59" s="81" t="s">
        <v>2171</v>
      </c>
      <c r="AJ59" s="81"/>
      <c r="AK59" s="86" t="s">
        <v>2084</v>
      </c>
      <c r="AL59" s="81" t="b">
        <v>0</v>
      </c>
      <c r="AM59" s="81">
        <v>0</v>
      </c>
      <c r="AN59" s="86" t="s">
        <v>2084</v>
      </c>
      <c r="AO59" s="86" t="s">
        <v>2178</v>
      </c>
      <c r="AP59" s="81" t="b">
        <v>0</v>
      </c>
      <c r="AQ59" s="86" t="s">
        <v>7618</v>
      </c>
      <c r="AR59" s="81" t="s">
        <v>179</v>
      </c>
      <c r="AS59" s="81">
        <v>0</v>
      </c>
      <c r="AT59" s="81">
        <v>0</v>
      </c>
      <c r="AU59" s="81"/>
      <c r="AV59" s="81"/>
      <c r="AW59" s="81"/>
      <c r="AX59" s="81"/>
      <c r="AY59" s="81"/>
      <c r="AZ59" s="81"/>
      <c r="BA59" s="81"/>
      <c r="BB59" s="81"/>
    </row>
    <row r="60" spans="1:54" x14ac:dyDescent="0.35">
      <c r="A60" s="66" t="s">
        <v>247</v>
      </c>
      <c r="B60" s="66" t="s">
        <v>596</v>
      </c>
      <c r="C60" s="67"/>
      <c r="D60" s="68"/>
      <c r="E60" s="69"/>
      <c r="F60" s="70"/>
      <c r="G60" s="67"/>
      <c r="H60" s="71"/>
      <c r="I60" s="72"/>
      <c r="J60" s="72"/>
      <c r="K60" s="36"/>
      <c r="L60" s="79"/>
      <c r="M60" s="79"/>
      <c r="N60" s="74"/>
      <c r="O60" s="81" t="s">
        <v>693</v>
      </c>
      <c r="P60" s="83">
        <v>44459.697800925926</v>
      </c>
      <c r="Q60" s="81" t="s">
        <v>701</v>
      </c>
      <c r="R60" s="84" t="str">
        <f>HYPERLINK("https://api.whatsapp.com/send?phone=6281222353823")</f>
        <v>https://api.whatsapp.com/send?phone=6281222353823</v>
      </c>
      <c r="S60" s="81" t="s">
        <v>940</v>
      </c>
      <c r="T60" s="81"/>
      <c r="U60" s="84" t="str">
        <f>HYPERLINK("https://pbs.twimg.com/media/E_P_XMQWYAUXeaR.jpg")</f>
        <v>https://pbs.twimg.com/media/E_P_XMQWYAUXeaR.jpg</v>
      </c>
      <c r="V60" s="84" t="str">
        <f>HYPERLINK("https://pbs.twimg.com/media/E_P_XMQWYAUXeaR.jpg")</f>
        <v>https://pbs.twimg.com/media/E_P_XMQWYAUXeaR.jpg</v>
      </c>
      <c r="W60" s="83">
        <v>44459.697800925926</v>
      </c>
      <c r="X60" s="89">
        <v>44459</v>
      </c>
      <c r="Y60" s="86" t="s">
        <v>1043</v>
      </c>
      <c r="Z60" s="84" t="str">
        <f>HYPERLINK("https://twitter.com/ponilempar/status/1439993966724726785")</f>
        <v>https://twitter.com/ponilempar/status/1439993966724726785</v>
      </c>
      <c r="AA60" s="81"/>
      <c r="AB60" s="81"/>
      <c r="AC60" s="86" t="s">
        <v>1543</v>
      </c>
      <c r="AD60" s="81"/>
      <c r="AE60" s="81" t="b">
        <v>0</v>
      </c>
      <c r="AF60" s="81">
        <v>0</v>
      </c>
      <c r="AG60" s="86" t="s">
        <v>2084</v>
      </c>
      <c r="AH60" s="81" t="b">
        <v>0</v>
      </c>
      <c r="AI60" s="81" t="s">
        <v>2167</v>
      </c>
      <c r="AJ60" s="81"/>
      <c r="AK60" s="86" t="s">
        <v>2084</v>
      </c>
      <c r="AL60" s="81" t="b">
        <v>0</v>
      </c>
      <c r="AM60" s="81">
        <v>51</v>
      </c>
      <c r="AN60" s="86" t="s">
        <v>2005</v>
      </c>
      <c r="AO60" s="86" t="s">
        <v>2178</v>
      </c>
      <c r="AP60" s="81" t="b">
        <v>0</v>
      </c>
      <c r="AQ60" s="86" t="s">
        <v>2005</v>
      </c>
      <c r="AR60" s="81" t="s">
        <v>179</v>
      </c>
      <c r="AS60" s="81">
        <v>0</v>
      </c>
      <c r="AT60" s="81">
        <v>0</v>
      </c>
      <c r="AU60" s="81"/>
      <c r="AV60" s="81"/>
      <c r="AW60" s="81"/>
      <c r="AX60" s="81"/>
      <c r="AY60" s="81"/>
      <c r="AZ60" s="81"/>
      <c r="BA60" s="81"/>
      <c r="BB60" s="81"/>
    </row>
    <row r="61" spans="1:54" x14ac:dyDescent="0.35">
      <c r="A61" s="66" t="s">
        <v>4187</v>
      </c>
      <c r="B61" s="66" t="s">
        <v>4939</v>
      </c>
      <c r="C61" s="67"/>
      <c r="D61" s="68"/>
      <c r="E61" s="69"/>
      <c r="F61" s="70"/>
      <c r="G61" s="67"/>
      <c r="H61" s="71"/>
      <c r="I61" s="72"/>
      <c r="J61" s="72"/>
      <c r="K61" s="36"/>
      <c r="L61" s="79"/>
      <c r="M61" s="79"/>
      <c r="N61" s="74"/>
      <c r="O61" s="81" t="s">
        <v>693</v>
      </c>
      <c r="P61" s="83">
        <v>44459.704953703702</v>
      </c>
      <c r="Q61" s="81" t="s">
        <v>5282</v>
      </c>
      <c r="R61"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61" s="81" t="s">
        <v>5696</v>
      </c>
      <c r="T61" s="81"/>
      <c r="U61" s="84" t="str">
        <f>HYPERLINK("https://pbs.twimg.com/media/E_vHfERXoA8GltO.jpg")</f>
        <v>https://pbs.twimg.com/media/E_vHfERXoA8GltO.jpg</v>
      </c>
      <c r="V61" s="84" t="str">
        <f>HYPERLINK("https://pbs.twimg.com/media/E_vHfERXoA8GltO.jpg")</f>
        <v>https://pbs.twimg.com/media/E_vHfERXoA8GltO.jpg</v>
      </c>
      <c r="W61" s="83">
        <v>44459.704953703702</v>
      </c>
      <c r="X61" s="89">
        <v>44459</v>
      </c>
      <c r="Y61" s="86" t="s">
        <v>5809</v>
      </c>
      <c r="Z61" s="84" t="str">
        <f>HYPERLINK("https://twitter.com/cecillia/status/1439996560356614148")</f>
        <v>https://twitter.com/cecillia/status/1439996560356614148</v>
      </c>
      <c r="AA61" s="81"/>
      <c r="AB61" s="81"/>
      <c r="AC61" s="86" t="s">
        <v>6709</v>
      </c>
      <c r="AD61" s="81"/>
      <c r="AE61" s="81" t="b">
        <v>0</v>
      </c>
      <c r="AF61" s="81">
        <v>0</v>
      </c>
      <c r="AG61" s="86" t="s">
        <v>2084</v>
      </c>
      <c r="AH61" s="81" t="b">
        <v>0</v>
      </c>
      <c r="AI61" s="81" t="s">
        <v>2171</v>
      </c>
      <c r="AJ61" s="81"/>
      <c r="AK61" s="86" t="s">
        <v>2084</v>
      </c>
      <c r="AL61" s="81" t="b">
        <v>0</v>
      </c>
      <c r="AM61" s="81">
        <v>16</v>
      </c>
      <c r="AN61" s="86" t="s">
        <v>7535</v>
      </c>
      <c r="AO61" s="86" t="s">
        <v>2178</v>
      </c>
      <c r="AP61" s="81" t="b">
        <v>0</v>
      </c>
      <c r="AQ61" s="86" t="s">
        <v>7535</v>
      </c>
      <c r="AR61" s="81" t="s">
        <v>179</v>
      </c>
      <c r="AS61" s="81">
        <v>0</v>
      </c>
      <c r="AT61" s="81">
        <v>0</v>
      </c>
      <c r="AU61" s="81"/>
      <c r="AV61" s="81"/>
      <c r="AW61" s="81"/>
      <c r="AX61" s="81"/>
      <c r="AY61" s="81"/>
      <c r="AZ61" s="81"/>
      <c r="BA61" s="81"/>
      <c r="BB61" s="81"/>
    </row>
    <row r="62" spans="1:54" x14ac:dyDescent="0.35">
      <c r="A62" s="66" t="s">
        <v>4188</v>
      </c>
      <c r="B62" s="66" t="s">
        <v>4939</v>
      </c>
      <c r="C62" s="67"/>
      <c r="D62" s="68"/>
      <c r="E62" s="69"/>
      <c r="F62" s="70"/>
      <c r="G62" s="67"/>
      <c r="H62" s="71"/>
      <c r="I62" s="72"/>
      <c r="J62" s="72"/>
      <c r="K62" s="36"/>
      <c r="L62" s="79"/>
      <c r="M62" s="79"/>
      <c r="N62" s="74"/>
      <c r="O62" s="81" t="s">
        <v>693</v>
      </c>
      <c r="P62" s="83">
        <v>44459.706145833334</v>
      </c>
      <c r="Q62" s="81" t="s">
        <v>5282</v>
      </c>
      <c r="R62"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62" s="81" t="s">
        <v>5696</v>
      </c>
      <c r="T62" s="81"/>
      <c r="U62" s="84" t="str">
        <f>HYPERLINK("https://pbs.twimg.com/media/E_vHfERXoA8GltO.jpg")</f>
        <v>https://pbs.twimg.com/media/E_vHfERXoA8GltO.jpg</v>
      </c>
      <c r="V62" s="84" t="str">
        <f>HYPERLINK("https://pbs.twimg.com/media/E_vHfERXoA8GltO.jpg")</f>
        <v>https://pbs.twimg.com/media/E_vHfERXoA8GltO.jpg</v>
      </c>
      <c r="W62" s="83">
        <v>44459.706145833334</v>
      </c>
      <c r="X62" s="89">
        <v>44459</v>
      </c>
      <c r="Y62" s="86" t="s">
        <v>5810</v>
      </c>
      <c r="Z62" s="84" t="str">
        <f>HYPERLINK("https://twitter.com/coletividad/status/1439996991392698369")</f>
        <v>https://twitter.com/coletividad/status/1439996991392698369</v>
      </c>
      <c r="AA62" s="81"/>
      <c r="AB62" s="81"/>
      <c r="AC62" s="86" t="s">
        <v>6710</v>
      </c>
      <c r="AD62" s="81"/>
      <c r="AE62" s="81" t="b">
        <v>0</v>
      </c>
      <c r="AF62" s="81">
        <v>0</v>
      </c>
      <c r="AG62" s="86" t="s">
        <v>2084</v>
      </c>
      <c r="AH62" s="81" t="b">
        <v>0</v>
      </c>
      <c r="AI62" s="81" t="s">
        <v>2171</v>
      </c>
      <c r="AJ62" s="81"/>
      <c r="AK62" s="86" t="s">
        <v>2084</v>
      </c>
      <c r="AL62" s="81" t="b">
        <v>0</v>
      </c>
      <c r="AM62" s="81">
        <v>16</v>
      </c>
      <c r="AN62" s="86" t="s">
        <v>7535</v>
      </c>
      <c r="AO62" s="86" t="s">
        <v>2178</v>
      </c>
      <c r="AP62" s="81" t="b">
        <v>0</v>
      </c>
      <c r="AQ62" s="86" t="s">
        <v>7535</v>
      </c>
      <c r="AR62" s="81" t="s">
        <v>179</v>
      </c>
      <c r="AS62" s="81">
        <v>0</v>
      </c>
      <c r="AT62" s="81">
        <v>0</v>
      </c>
      <c r="AU62" s="81"/>
      <c r="AV62" s="81"/>
      <c r="AW62" s="81"/>
      <c r="AX62" s="81"/>
      <c r="AY62" s="81"/>
      <c r="AZ62" s="81"/>
      <c r="BA62" s="81"/>
      <c r="BB62" s="81"/>
    </row>
    <row r="63" spans="1:54" x14ac:dyDescent="0.35">
      <c r="A63" s="66" t="s">
        <v>248</v>
      </c>
      <c r="B63" s="66" t="s">
        <v>217</v>
      </c>
      <c r="C63" s="67"/>
      <c r="D63" s="68"/>
      <c r="E63" s="69"/>
      <c r="F63" s="70"/>
      <c r="G63" s="67"/>
      <c r="H63" s="71"/>
      <c r="I63" s="72"/>
      <c r="J63" s="72"/>
      <c r="K63" s="36"/>
      <c r="L63" s="79"/>
      <c r="M63" s="79"/>
      <c r="N63" s="74"/>
      <c r="O63" s="81" t="s">
        <v>693</v>
      </c>
      <c r="P63" s="83">
        <v>44459.707499999997</v>
      </c>
      <c r="Q63" s="81" t="s">
        <v>699</v>
      </c>
      <c r="R63" s="81"/>
      <c r="S63" s="81"/>
      <c r="T63" s="81"/>
      <c r="U63" s="84" t="str">
        <f>HYPERLINK("https://pbs.twimg.com/ext_tw_video_thumb/1439603623520993285/pu/img/4NCBVhjvbYSKxAvX.jpg")</f>
        <v>https://pbs.twimg.com/ext_tw_video_thumb/1439603623520993285/pu/img/4NCBVhjvbYSKxAvX.jpg</v>
      </c>
      <c r="V63" s="84" t="str">
        <f>HYPERLINK("https://pbs.twimg.com/ext_tw_video_thumb/1439603623520993285/pu/img/4NCBVhjvbYSKxAvX.jpg")</f>
        <v>https://pbs.twimg.com/ext_tw_video_thumb/1439603623520993285/pu/img/4NCBVhjvbYSKxAvX.jpg</v>
      </c>
      <c r="W63" s="83">
        <v>44459.707499999997</v>
      </c>
      <c r="X63" s="89">
        <v>44459</v>
      </c>
      <c r="Y63" s="86" t="s">
        <v>1044</v>
      </c>
      <c r="Z63" s="84" t="str">
        <f>HYPERLINK("https://twitter.com/theblsss/status/1439997485175369729")</f>
        <v>https://twitter.com/theblsss/status/1439997485175369729</v>
      </c>
      <c r="AA63" s="81"/>
      <c r="AB63" s="81"/>
      <c r="AC63" s="86" t="s">
        <v>1544</v>
      </c>
      <c r="AD63" s="81"/>
      <c r="AE63" s="81" t="b">
        <v>0</v>
      </c>
      <c r="AF63" s="81">
        <v>0</v>
      </c>
      <c r="AG63" s="86" t="s">
        <v>2084</v>
      </c>
      <c r="AH63" s="81" t="b">
        <v>0</v>
      </c>
      <c r="AI63" s="81" t="s">
        <v>2167</v>
      </c>
      <c r="AJ63" s="81"/>
      <c r="AK63" s="86" t="s">
        <v>2084</v>
      </c>
      <c r="AL63" s="81" t="b">
        <v>0</v>
      </c>
      <c r="AM63" s="81">
        <v>102</v>
      </c>
      <c r="AN63" s="86" t="s">
        <v>1559</v>
      </c>
      <c r="AO63" s="86" t="s">
        <v>2179</v>
      </c>
      <c r="AP63" s="81" t="b">
        <v>0</v>
      </c>
      <c r="AQ63" s="86" t="s">
        <v>1559</v>
      </c>
      <c r="AR63" s="81" t="s">
        <v>179</v>
      </c>
      <c r="AS63" s="81">
        <v>0</v>
      </c>
      <c r="AT63" s="81">
        <v>0</v>
      </c>
      <c r="AU63" s="81"/>
      <c r="AV63" s="81"/>
      <c r="AW63" s="81"/>
      <c r="AX63" s="81"/>
      <c r="AY63" s="81"/>
      <c r="AZ63" s="81"/>
      <c r="BA63" s="81"/>
      <c r="BB63" s="81"/>
    </row>
    <row r="64" spans="1:54" x14ac:dyDescent="0.35">
      <c r="A64" s="66" t="s">
        <v>4189</v>
      </c>
      <c r="B64" s="66" t="s">
        <v>4189</v>
      </c>
      <c r="C64" s="67"/>
      <c r="D64" s="68"/>
      <c r="E64" s="69"/>
      <c r="F64" s="70"/>
      <c r="G64" s="67"/>
      <c r="H64" s="71"/>
      <c r="I64" s="72"/>
      <c r="J64" s="72"/>
      <c r="K64" s="36"/>
      <c r="L64" s="79"/>
      <c r="M64" s="79"/>
      <c r="N64" s="74"/>
      <c r="O64" s="81" t="s">
        <v>179</v>
      </c>
      <c r="P64" s="83">
        <v>44459.718159722222</v>
      </c>
      <c r="Q64" s="81" t="s">
        <v>5284</v>
      </c>
      <c r="R64" s="84" t="str">
        <f>HYPERLINK("https://joanarssousa.blogs.sapo.pt/pos-graduacao-em-filosofia-para-721080")</f>
        <v>https://joanarssousa.blogs.sapo.pt/pos-graduacao-em-filosofia-para-721080</v>
      </c>
      <c r="S64" s="81" t="s">
        <v>5689</v>
      </c>
      <c r="T64" s="86" t="s">
        <v>5767</v>
      </c>
      <c r="U64" s="81"/>
      <c r="V64" s="84" t="str">
        <f>HYPERLINK("https://pbs.twimg.com/profile_images/1260134007561486336/aVVDOdHo_normal.jpg")</f>
        <v>https://pbs.twimg.com/profile_images/1260134007561486336/aVVDOdHo_normal.jpg</v>
      </c>
      <c r="W64" s="83">
        <v>44459.718159722222</v>
      </c>
      <c r="X64" s="89">
        <v>44459</v>
      </c>
      <c r="Y64" s="86" t="s">
        <v>5811</v>
      </c>
      <c r="Z64" s="84" t="str">
        <f>HYPERLINK("https://twitter.com/filocri_p4c/status/1440001346334347273")</f>
        <v>https://twitter.com/filocri_p4c/status/1440001346334347273</v>
      </c>
      <c r="AA64" s="81"/>
      <c r="AB64" s="81"/>
      <c r="AC64" s="86" t="s">
        <v>6711</v>
      </c>
      <c r="AD64" s="81"/>
      <c r="AE64" s="81" t="b">
        <v>0</v>
      </c>
      <c r="AF64" s="81">
        <v>0</v>
      </c>
      <c r="AG64" s="86" t="s">
        <v>2084</v>
      </c>
      <c r="AH64" s="81" t="b">
        <v>0</v>
      </c>
      <c r="AI64" s="81" t="s">
        <v>2171</v>
      </c>
      <c r="AJ64" s="81"/>
      <c r="AK64" s="86" t="s">
        <v>2084</v>
      </c>
      <c r="AL64" s="81" t="b">
        <v>0</v>
      </c>
      <c r="AM64" s="81">
        <v>0</v>
      </c>
      <c r="AN64" s="86" t="s">
        <v>2084</v>
      </c>
      <c r="AO64" s="86" t="s">
        <v>7977</v>
      </c>
      <c r="AP64" s="81" t="b">
        <v>0</v>
      </c>
      <c r="AQ64" s="86" t="s">
        <v>6711</v>
      </c>
      <c r="AR64" s="81" t="s">
        <v>179</v>
      </c>
      <c r="AS64" s="81">
        <v>0</v>
      </c>
      <c r="AT64" s="81">
        <v>0</v>
      </c>
      <c r="AU64" s="81"/>
      <c r="AV64" s="81"/>
      <c r="AW64" s="81"/>
      <c r="AX64" s="81"/>
      <c r="AY64" s="81"/>
      <c r="AZ64" s="81"/>
      <c r="BA64" s="81"/>
      <c r="BB64" s="81"/>
    </row>
    <row r="65" spans="1:54" x14ac:dyDescent="0.35">
      <c r="A65" s="66" t="s">
        <v>249</v>
      </c>
      <c r="B65" s="66" t="s">
        <v>592</v>
      </c>
      <c r="C65" s="67"/>
      <c r="D65" s="68"/>
      <c r="E65" s="69"/>
      <c r="F65" s="70"/>
      <c r="G65" s="67"/>
      <c r="H65" s="71"/>
      <c r="I65" s="72"/>
      <c r="J65" s="72"/>
      <c r="K65" s="36"/>
      <c r="L65" s="79"/>
      <c r="M65" s="79"/>
      <c r="N65" s="74"/>
      <c r="O65" s="81" t="s">
        <v>693</v>
      </c>
      <c r="P65" s="83">
        <v>44459.734907407408</v>
      </c>
      <c r="Q65" s="81" t="s">
        <v>700</v>
      </c>
      <c r="R65" s="81"/>
      <c r="S65" s="81"/>
      <c r="T65" s="86" t="s">
        <v>972</v>
      </c>
      <c r="U65" s="84" t="str">
        <f>HYPERLINK("https://pbs.twimg.com/media/E_ubZIHUYAESLiB.jpg")</f>
        <v>https://pbs.twimg.com/media/E_ubZIHUYAESLiB.jpg</v>
      </c>
      <c r="V65" s="84" t="str">
        <f>HYPERLINK("https://pbs.twimg.com/media/E_ubZIHUYAESLiB.jpg")</f>
        <v>https://pbs.twimg.com/media/E_ubZIHUYAESLiB.jpg</v>
      </c>
      <c r="W65" s="83">
        <v>44459.734907407408</v>
      </c>
      <c r="X65" s="89">
        <v>44459</v>
      </c>
      <c r="Y65" s="86" t="s">
        <v>1045</v>
      </c>
      <c r="Z65" s="84" t="str">
        <f>HYPERLINK("https://twitter.com/wolfzenluv/status/1440007414221185024")</f>
        <v>https://twitter.com/wolfzenluv/status/1440007414221185024</v>
      </c>
      <c r="AA65" s="81"/>
      <c r="AB65" s="81"/>
      <c r="AC65" s="86" t="s">
        <v>1545</v>
      </c>
      <c r="AD65" s="81"/>
      <c r="AE65" s="81" t="b">
        <v>0</v>
      </c>
      <c r="AF65" s="81">
        <v>0</v>
      </c>
      <c r="AG65" s="86" t="s">
        <v>2084</v>
      </c>
      <c r="AH65" s="81" t="b">
        <v>0</v>
      </c>
      <c r="AI65" s="81" t="s">
        <v>2168</v>
      </c>
      <c r="AJ65" s="81"/>
      <c r="AK65" s="86" t="s">
        <v>2084</v>
      </c>
      <c r="AL65" s="81" t="b">
        <v>0</v>
      </c>
      <c r="AM65" s="81">
        <v>27</v>
      </c>
      <c r="AN65" s="86" t="s">
        <v>1995</v>
      </c>
      <c r="AO65" s="86" t="s">
        <v>2179</v>
      </c>
      <c r="AP65" s="81" t="b">
        <v>0</v>
      </c>
      <c r="AQ65" s="86" t="s">
        <v>1995</v>
      </c>
      <c r="AR65" s="81" t="s">
        <v>179</v>
      </c>
      <c r="AS65" s="81">
        <v>0</v>
      </c>
      <c r="AT65" s="81">
        <v>0</v>
      </c>
      <c r="AU65" s="81"/>
      <c r="AV65" s="81"/>
      <c r="AW65" s="81"/>
      <c r="AX65" s="81"/>
      <c r="AY65" s="81"/>
      <c r="AZ65" s="81"/>
      <c r="BA65" s="81"/>
      <c r="BB65" s="81"/>
    </row>
    <row r="66" spans="1:54" x14ac:dyDescent="0.35">
      <c r="A66" s="66" t="s">
        <v>250</v>
      </c>
      <c r="B66" s="66" t="s">
        <v>250</v>
      </c>
      <c r="C66" s="67"/>
      <c r="D66" s="68"/>
      <c r="E66" s="69"/>
      <c r="F66" s="70"/>
      <c r="G66" s="67"/>
      <c r="H66" s="71"/>
      <c r="I66" s="72"/>
      <c r="J66" s="72"/>
      <c r="K66" s="36"/>
      <c r="L66" s="79"/>
      <c r="M66" s="79"/>
      <c r="N66" s="74"/>
      <c r="O66" s="81" t="s">
        <v>179</v>
      </c>
      <c r="P66" s="83">
        <v>44459.748472222222</v>
      </c>
      <c r="Q66" s="81" t="s">
        <v>706</v>
      </c>
      <c r="R66" s="84" t="str">
        <f>HYPERLINK("https://smi-news.com/forum-ikm-jatim-wilayah-magetan-dan-pt-pos-indonesia-cabang-magetan-bersama-sama-menjemput-cahaya-terang/")</f>
        <v>https://smi-news.com/forum-ikm-jatim-wilayah-magetan-dan-pt-pos-indonesia-cabang-magetan-bersama-sama-menjemput-cahaya-terang/</v>
      </c>
      <c r="S66" s="81" t="s">
        <v>942</v>
      </c>
      <c r="T66" s="86" t="s">
        <v>973</v>
      </c>
      <c r="U66" s="81"/>
      <c r="V66" s="84" t="str">
        <f>HYPERLINK("https://pbs.twimg.com/profile_images/1348978369648447488/J6mwhzU6_normal.jpg")</f>
        <v>https://pbs.twimg.com/profile_images/1348978369648447488/J6mwhzU6_normal.jpg</v>
      </c>
      <c r="W66" s="83">
        <v>44459.748472222222</v>
      </c>
      <c r="X66" s="89">
        <v>44459</v>
      </c>
      <c r="Y66" s="86" t="s">
        <v>1046</v>
      </c>
      <c r="Z66" s="84" t="str">
        <f>HYPERLINK("https://twitter.com/kotamagetan_/status/1440012330507505666")</f>
        <v>https://twitter.com/kotamagetan_/status/1440012330507505666</v>
      </c>
      <c r="AA66" s="81"/>
      <c r="AB66" s="81"/>
      <c r="AC66" s="86" t="s">
        <v>1546</v>
      </c>
      <c r="AD66" s="81"/>
      <c r="AE66" s="81" t="b">
        <v>0</v>
      </c>
      <c r="AF66" s="81">
        <v>0</v>
      </c>
      <c r="AG66" s="86" t="s">
        <v>2084</v>
      </c>
      <c r="AH66" s="81" t="b">
        <v>0</v>
      </c>
      <c r="AI66" s="81" t="s">
        <v>2167</v>
      </c>
      <c r="AJ66" s="81"/>
      <c r="AK66" s="86" t="s">
        <v>2084</v>
      </c>
      <c r="AL66" s="81" t="b">
        <v>0</v>
      </c>
      <c r="AM66" s="81">
        <v>0</v>
      </c>
      <c r="AN66" s="86" t="s">
        <v>2084</v>
      </c>
      <c r="AO66" s="86" t="s">
        <v>2181</v>
      </c>
      <c r="AP66" s="81" t="b">
        <v>0</v>
      </c>
      <c r="AQ66" s="86" t="s">
        <v>1546</v>
      </c>
      <c r="AR66" s="81" t="s">
        <v>179</v>
      </c>
      <c r="AS66" s="81">
        <v>0</v>
      </c>
      <c r="AT66" s="81">
        <v>0</v>
      </c>
      <c r="AU66" s="81"/>
      <c r="AV66" s="81"/>
      <c r="AW66" s="81"/>
      <c r="AX66" s="81"/>
      <c r="AY66" s="81"/>
      <c r="AZ66" s="81"/>
      <c r="BA66" s="81"/>
      <c r="BB66" s="81"/>
    </row>
    <row r="67" spans="1:54" x14ac:dyDescent="0.35">
      <c r="A67" s="66" t="s">
        <v>4190</v>
      </c>
      <c r="B67" s="66" t="s">
        <v>4939</v>
      </c>
      <c r="C67" s="67"/>
      <c r="D67" s="68"/>
      <c r="E67" s="69"/>
      <c r="F67" s="70"/>
      <c r="G67" s="67"/>
      <c r="H67" s="71"/>
      <c r="I67" s="72"/>
      <c r="J67" s="72"/>
      <c r="K67" s="36"/>
      <c r="L67" s="79"/>
      <c r="M67" s="79"/>
      <c r="N67" s="74"/>
      <c r="O67" s="81" t="s">
        <v>693</v>
      </c>
      <c r="P67" s="83">
        <v>44459.751099537039</v>
      </c>
      <c r="Q67" s="81" t="s">
        <v>5282</v>
      </c>
      <c r="R67"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67" s="81" t="s">
        <v>5696</v>
      </c>
      <c r="T67" s="81"/>
      <c r="U67" s="84" t="str">
        <f>HYPERLINK("https://pbs.twimg.com/media/E_vHfERXoA8GltO.jpg")</f>
        <v>https://pbs.twimg.com/media/E_vHfERXoA8GltO.jpg</v>
      </c>
      <c r="V67" s="84" t="str">
        <f>HYPERLINK("https://pbs.twimg.com/media/E_vHfERXoA8GltO.jpg")</f>
        <v>https://pbs.twimg.com/media/E_vHfERXoA8GltO.jpg</v>
      </c>
      <c r="W67" s="83">
        <v>44459.751099537039</v>
      </c>
      <c r="X67" s="89">
        <v>44459</v>
      </c>
      <c r="Y67" s="86" t="s">
        <v>5812</v>
      </c>
      <c r="Z67" s="84" t="str">
        <f>HYPERLINK("https://twitter.com/amandaevelynl/status/1440013281033396231")</f>
        <v>https://twitter.com/amandaevelynl/status/1440013281033396231</v>
      </c>
      <c r="AA67" s="81"/>
      <c r="AB67" s="81"/>
      <c r="AC67" s="86" t="s">
        <v>6712</v>
      </c>
      <c r="AD67" s="81"/>
      <c r="AE67" s="81" t="b">
        <v>0</v>
      </c>
      <c r="AF67" s="81">
        <v>0</v>
      </c>
      <c r="AG67" s="86" t="s">
        <v>2084</v>
      </c>
      <c r="AH67" s="81" t="b">
        <v>0</v>
      </c>
      <c r="AI67" s="81" t="s">
        <v>2171</v>
      </c>
      <c r="AJ67" s="81"/>
      <c r="AK67" s="86" t="s">
        <v>2084</v>
      </c>
      <c r="AL67" s="81" t="b">
        <v>0</v>
      </c>
      <c r="AM67" s="81">
        <v>16</v>
      </c>
      <c r="AN67" s="86" t="s">
        <v>7535</v>
      </c>
      <c r="AO67" s="86" t="s">
        <v>2182</v>
      </c>
      <c r="AP67" s="81" t="b">
        <v>0</v>
      </c>
      <c r="AQ67" s="86" t="s">
        <v>7535</v>
      </c>
      <c r="AR67" s="81" t="s">
        <v>179</v>
      </c>
      <c r="AS67" s="81">
        <v>0</v>
      </c>
      <c r="AT67" s="81">
        <v>0</v>
      </c>
      <c r="AU67" s="81"/>
      <c r="AV67" s="81"/>
      <c r="AW67" s="81"/>
      <c r="AX67" s="81"/>
      <c r="AY67" s="81"/>
      <c r="AZ67" s="81"/>
      <c r="BA67" s="81"/>
      <c r="BB67" s="81"/>
    </row>
    <row r="68" spans="1:54" x14ac:dyDescent="0.35">
      <c r="A68" s="66" t="s">
        <v>4191</v>
      </c>
      <c r="B68" s="66" t="s">
        <v>4495</v>
      </c>
      <c r="C68" s="67"/>
      <c r="D68" s="68"/>
      <c r="E68" s="69"/>
      <c r="F68" s="70"/>
      <c r="G68" s="67"/>
      <c r="H68" s="71"/>
      <c r="I68" s="72"/>
      <c r="J68" s="72"/>
      <c r="K68" s="36"/>
      <c r="L68" s="79"/>
      <c r="M68" s="79"/>
      <c r="N68" s="74"/>
      <c r="O68" s="81" t="s">
        <v>693</v>
      </c>
      <c r="P68" s="83">
        <v>44459.765763888892</v>
      </c>
      <c r="Q68" s="81" t="s">
        <v>5272</v>
      </c>
      <c r="R68" s="84" t="str">
        <f>HYPERLINK("https://www.gov.br/anvisa/pt-br/assuntos/fiscalizacao-e-monitoramento/notificacoes/vigimed/")</f>
        <v>https://www.gov.br/anvisa/pt-br/assuntos/fiscalizacao-e-monitoramento/notificacoes/vigimed/</v>
      </c>
      <c r="S68" s="81" t="s">
        <v>5686</v>
      </c>
      <c r="T68" s="81"/>
      <c r="U68" s="81"/>
      <c r="V68" s="84" t="str">
        <f>HYPERLINK("https://pbs.twimg.com/profile_images/1345449294900424704/hh94qtVK_normal.jpg")</f>
        <v>https://pbs.twimg.com/profile_images/1345449294900424704/hh94qtVK_normal.jpg</v>
      </c>
      <c r="W68" s="83">
        <v>44459.765763888892</v>
      </c>
      <c r="X68" s="89">
        <v>44459</v>
      </c>
      <c r="Y68" s="86" t="s">
        <v>5813</v>
      </c>
      <c r="Z68" s="84" t="str">
        <f>HYPERLINK("https://twitter.com/gerhardtbeatriz/status/1440018597221445642")</f>
        <v>https://twitter.com/gerhardtbeatriz/status/1440018597221445642</v>
      </c>
      <c r="AA68" s="81"/>
      <c r="AB68" s="81"/>
      <c r="AC68" s="86" t="s">
        <v>6713</v>
      </c>
      <c r="AD68" s="81"/>
      <c r="AE68" s="81" t="b">
        <v>0</v>
      </c>
      <c r="AF68" s="81">
        <v>0</v>
      </c>
      <c r="AG68" s="86" t="s">
        <v>2084</v>
      </c>
      <c r="AH68" s="81" t="b">
        <v>0</v>
      </c>
      <c r="AI68" s="81" t="s">
        <v>2171</v>
      </c>
      <c r="AJ68" s="81"/>
      <c r="AK68" s="86" t="s">
        <v>2084</v>
      </c>
      <c r="AL68" s="81" t="b">
        <v>0</v>
      </c>
      <c r="AM68" s="81">
        <v>1497</v>
      </c>
      <c r="AN68" s="86" t="s">
        <v>7047</v>
      </c>
      <c r="AO68" s="86" t="s">
        <v>2181</v>
      </c>
      <c r="AP68" s="81" t="b">
        <v>0</v>
      </c>
      <c r="AQ68" s="86" t="s">
        <v>7047</v>
      </c>
      <c r="AR68" s="81" t="s">
        <v>179</v>
      </c>
      <c r="AS68" s="81">
        <v>0</v>
      </c>
      <c r="AT68" s="81">
        <v>0</v>
      </c>
      <c r="AU68" s="81"/>
      <c r="AV68" s="81"/>
      <c r="AW68" s="81"/>
      <c r="AX68" s="81"/>
      <c r="AY68" s="81"/>
      <c r="AZ68" s="81"/>
      <c r="BA68" s="81"/>
      <c r="BB68" s="81"/>
    </row>
    <row r="69" spans="1:54" x14ac:dyDescent="0.35">
      <c r="A69" s="66" t="s">
        <v>4192</v>
      </c>
      <c r="B69" s="66" t="s">
        <v>4986</v>
      </c>
      <c r="C69" s="67"/>
      <c r="D69" s="68"/>
      <c r="E69" s="69"/>
      <c r="F69" s="70"/>
      <c r="G69" s="67"/>
      <c r="H69" s="71"/>
      <c r="I69" s="72"/>
      <c r="J69" s="72"/>
      <c r="K69" s="36"/>
      <c r="L69" s="79"/>
      <c r="M69" s="79"/>
      <c r="N69" s="74"/>
      <c r="O69" s="81" t="s">
        <v>695</v>
      </c>
      <c r="P69" s="83">
        <v>44459.776562500003</v>
      </c>
      <c r="Q69" s="81" t="s">
        <v>5285</v>
      </c>
      <c r="R69" s="81"/>
      <c r="S69" s="81"/>
      <c r="T69" s="81"/>
      <c r="U69" s="81"/>
      <c r="V69" s="84" t="str">
        <f>HYPERLINK("https://pbs.twimg.com/profile_images/1267184380155478017/8ketDfjc_normal.jpg")</f>
        <v>https://pbs.twimg.com/profile_images/1267184380155478017/8ketDfjc_normal.jpg</v>
      </c>
      <c r="W69" s="83">
        <v>44459.776562500003</v>
      </c>
      <c r="X69" s="89">
        <v>44459</v>
      </c>
      <c r="Y69" s="86" t="s">
        <v>5814</v>
      </c>
      <c r="Z69" s="84" t="str">
        <f>HYPERLINK("https://twitter.com/nelisteixeira/status/1440022509508771841")</f>
        <v>https://twitter.com/nelisteixeira/status/1440022509508771841</v>
      </c>
      <c r="AA69" s="81"/>
      <c r="AB69" s="81"/>
      <c r="AC69" s="86" t="s">
        <v>6714</v>
      </c>
      <c r="AD69" s="86" t="s">
        <v>7619</v>
      </c>
      <c r="AE69" s="81" t="b">
        <v>0</v>
      </c>
      <c r="AF69" s="81">
        <v>1</v>
      </c>
      <c r="AG69" s="86" t="s">
        <v>7798</v>
      </c>
      <c r="AH69" s="81" t="b">
        <v>0</v>
      </c>
      <c r="AI69" s="81" t="s">
        <v>2171</v>
      </c>
      <c r="AJ69" s="81"/>
      <c r="AK69" s="86" t="s">
        <v>2084</v>
      </c>
      <c r="AL69" s="81" t="b">
        <v>0</v>
      </c>
      <c r="AM69" s="81">
        <v>0</v>
      </c>
      <c r="AN69" s="86" t="s">
        <v>2084</v>
      </c>
      <c r="AO69" s="86" t="s">
        <v>2178</v>
      </c>
      <c r="AP69" s="81" t="b">
        <v>0</v>
      </c>
      <c r="AQ69" s="86" t="s">
        <v>7619</v>
      </c>
      <c r="AR69" s="81" t="s">
        <v>179</v>
      </c>
      <c r="AS69" s="81">
        <v>0</v>
      </c>
      <c r="AT69" s="81">
        <v>0</v>
      </c>
      <c r="AU69" s="81"/>
      <c r="AV69" s="81"/>
      <c r="AW69" s="81"/>
      <c r="AX69" s="81"/>
      <c r="AY69" s="81"/>
      <c r="AZ69" s="81"/>
      <c r="BA69" s="81"/>
      <c r="BB69" s="81"/>
    </row>
    <row r="70" spans="1:54" x14ac:dyDescent="0.35">
      <c r="A70" s="66" t="s">
        <v>4192</v>
      </c>
      <c r="B70" s="66" t="s">
        <v>4987</v>
      </c>
      <c r="C70" s="67"/>
      <c r="D70" s="68"/>
      <c r="E70" s="69"/>
      <c r="F70" s="70"/>
      <c r="G70" s="67"/>
      <c r="H70" s="71"/>
      <c r="I70" s="72"/>
      <c r="J70" s="72"/>
      <c r="K70" s="36"/>
      <c r="L70" s="79"/>
      <c r="M70" s="79"/>
      <c r="N70" s="74"/>
      <c r="O70" s="81" t="s">
        <v>696</v>
      </c>
      <c r="P70" s="83">
        <v>44459.776562500003</v>
      </c>
      <c r="Q70" s="81" t="s">
        <v>5285</v>
      </c>
      <c r="R70" s="81"/>
      <c r="S70" s="81"/>
      <c r="T70" s="81"/>
      <c r="U70" s="81"/>
      <c r="V70" s="84" t="str">
        <f>HYPERLINK("https://pbs.twimg.com/profile_images/1267184380155478017/8ketDfjc_normal.jpg")</f>
        <v>https://pbs.twimg.com/profile_images/1267184380155478017/8ketDfjc_normal.jpg</v>
      </c>
      <c r="W70" s="83">
        <v>44459.776562500003</v>
      </c>
      <c r="X70" s="89">
        <v>44459</v>
      </c>
      <c r="Y70" s="86" t="s">
        <v>5814</v>
      </c>
      <c r="Z70" s="84" t="str">
        <f>HYPERLINK("https://twitter.com/nelisteixeira/status/1440022509508771841")</f>
        <v>https://twitter.com/nelisteixeira/status/1440022509508771841</v>
      </c>
      <c r="AA70" s="81"/>
      <c r="AB70" s="81"/>
      <c r="AC70" s="86" t="s">
        <v>6714</v>
      </c>
      <c r="AD70" s="86" t="s">
        <v>7619</v>
      </c>
      <c r="AE70" s="81" t="b">
        <v>0</v>
      </c>
      <c r="AF70" s="81">
        <v>1</v>
      </c>
      <c r="AG70" s="86" t="s">
        <v>7798</v>
      </c>
      <c r="AH70" s="81" t="b">
        <v>0</v>
      </c>
      <c r="AI70" s="81" t="s">
        <v>2171</v>
      </c>
      <c r="AJ70" s="81"/>
      <c r="AK70" s="86" t="s">
        <v>2084</v>
      </c>
      <c r="AL70" s="81" t="b">
        <v>0</v>
      </c>
      <c r="AM70" s="81">
        <v>0</v>
      </c>
      <c r="AN70" s="86" t="s">
        <v>2084</v>
      </c>
      <c r="AO70" s="86" t="s">
        <v>2178</v>
      </c>
      <c r="AP70" s="81" t="b">
        <v>0</v>
      </c>
      <c r="AQ70" s="86" t="s">
        <v>7619</v>
      </c>
      <c r="AR70" s="81" t="s">
        <v>179</v>
      </c>
      <c r="AS70" s="81">
        <v>0</v>
      </c>
      <c r="AT70" s="81">
        <v>0</v>
      </c>
      <c r="AU70" s="81"/>
      <c r="AV70" s="81"/>
      <c r="AW70" s="81"/>
      <c r="AX70" s="81"/>
      <c r="AY70" s="81"/>
      <c r="AZ70" s="81"/>
      <c r="BA70" s="81"/>
      <c r="BB70" s="81"/>
    </row>
    <row r="71" spans="1:54" x14ac:dyDescent="0.35">
      <c r="A71" s="66" t="s">
        <v>4193</v>
      </c>
      <c r="B71" s="66" t="s">
        <v>4193</v>
      </c>
      <c r="C71" s="67"/>
      <c r="D71" s="68"/>
      <c r="E71" s="69"/>
      <c r="F71" s="70"/>
      <c r="G71" s="67"/>
      <c r="H71" s="71"/>
      <c r="I71" s="72"/>
      <c r="J71" s="72"/>
      <c r="K71" s="36"/>
      <c r="L71" s="79"/>
      <c r="M71" s="79"/>
      <c r="N71" s="74"/>
      <c r="O71" s="81" t="s">
        <v>179</v>
      </c>
      <c r="P71" s="83">
        <v>44458.708333333336</v>
      </c>
      <c r="Q71" s="81" t="s">
        <v>5273</v>
      </c>
      <c r="R71" s="84" t="str">
        <f>HYPERLINK("https://tiny.cc/5cajuz")</f>
        <v>https://tiny.cc/5cajuz</v>
      </c>
      <c r="S71" s="81" t="s">
        <v>5688</v>
      </c>
      <c r="T71" s="81"/>
      <c r="U71" s="84" t="str">
        <f>HYPERLINK("https://pbs.twimg.com/media/E_keOrzXoAElphs.jpg")</f>
        <v>https://pbs.twimg.com/media/E_keOrzXoAElphs.jpg</v>
      </c>
      <c r="V71" s="84" t="str">
        <f>HYPERLINK("https://pbs.twimg.com/media/E_keOrzXoAElphs.jpg")</f>
        <v>https://pbs.twimg.com/media/E_keOrzXoAElphs.jpg</v>
      </c>
      <c r="W71" s="83">
        <v>44458.708333333336</v>
      </c>
      <c r="X71" s="89">
        <v>44458</v>
      </c>
      <c r="Y71" s="86" t="s">
        <v>5815</v>
      </c>
      <c r="Z71" s="84" t="str">
        <f>HYPERLINK("https://twitter.com/casaoswaldocruz/status/1439635397731094533")</f>
        <v>https://twitter.com/casaoswaldocruz/status/1439635397731094533</v>
      </c>
      <c r="AA71" s="81"/>
      <c r="AB71" s="81"/>
      <c r="AC71" s="86" t="s">
        <v>6715</v>
      </c>
      <c r="AD71" s="81"/>
      <c r="AE71" s="81" t="b">
        <v>0</v>
      </c>
      <c r="AF71" s="81">
        <v>8</v>
      </c>
      <c r="AG71" s="86" t="s">
        <v>2084</v>
      </c>
      <c r="AH71" s="81" t="b">
        <v>0</v>
      </c>
      <c r="AI71" s="81" t="s">
        <v>2171</v>
      </c>
      <c r="AJ71" s="81"/>
      <c r="AK71" s="86" t="s">
        <v>2084</v>
      </c>
      <c r="AL71" s="81" t="b">
        <v>0</v>
      </c>
      <c r="AM71" s="81">
        <v>4</v>
      </c>
      <c r="AN71" s="86" t="s">
        <v>2084</v>
      </c>
      <c r="AO71" s="86" t="s">
        <v>2181</v>
      </c>
      <c r="AP71" s="81" t="b">
        <v>0</v>
      </c>
      <c r="AQ71" s="86" t="s">
        <v>6715</v>
      </c>
      <c r="AR71" s="81" t="s">
        <v>693</v>
      </c>
      <c r="AS71" s="81">
        <v>0</v>
      </c>
      <c r="AT71" s="81">
        <v>0</v>
      </c>
      <c r="AU71" s="81"/>
      <c r="AV71" s="81"/>
      <c r="AW71" s="81"/>
      <c r="AX71" s="81"/>
      <c r="AY71" s="81"/>
      <c r="AZ71" s="81"/>
      <c r="BA71" s="81"/>
      <c r="BB71" s="81"/>
    </row>
    <row r="72" spans="1:54" x14ac:dyDescent="0.35">
      <c r="A72" s="66" t="s">
        <v>4194</v>
      </c>
      <c r="B72" s="66" t="s">
        <v>4193</v>
      </c>
      <c r="C72" s="67"/>
      <c r="D72" s="68"/>
      <c r="E72" s="69"/>
      <c r="F72" s="70"/>
      <c r="G72" s="67"/>
      <c r="H72" s="71"/>
      <c r="I72" s="72"/>
      <c r="J72" s="72"/>
      <c r="K72" s="36"/>
      <c r="L72" s="79"/>
      <c r="M72" s="79"/>
      <c r="N72" s="74"/>
      <c r="O72" s="81" t="s">
        <v>696</v>
      </c>
      <c r="P72" s="83">
        <v>44459.670243055552</v>
      </c>
      <c r="Q72" s="81" t="s">
        <v>5286</v>
      </c>
      <c r="R72" s="84" t="str">
        <f>HYPERLINK("https://tiny.cc/5cajuz")</f>
        <v>https://tiny.cc/5cajuz</v>
      </c>
      <c r="S72" s="81" t="s">
        <v>5688</v>
      </c>
      <c r="T72" s="81"/>
      <c r="U72" s="81"/>
      <c r="V72" s="84" t="str">
        <f>HYPERLINK("https://pbs.twimg.com/profile_images/974368074752290818/3YH4sEpl_normal.jpg")</f>
        <v>https://pbs.twimg.com/profile_images/974368074752290818/3YH4sEpl_normal.jpg</v>
      </c>
      <c r="W72" s="83">
        <v>44459.670243055552</v>
      </c>
      <c r="X72" s="89">
        <v>44459</v>
      </c>
      <c r="Y72" s="86" t="s">
        <v>5816</v>
      </c>
      <c r="Z72" s="84" t="str">
        <f>HYPERLINK("https://twitter.com/comunicacaoifch/status/1439983979734646794")</f>
        <v>https://twitter.com/comunicacaoifch/status/1439983979734646794</v>
      </c>
      <c r="AA72" s="81"/>
      <c r="AB72" s="81"/>
      <c r="AC72" s="86" t="s">
        <v>6716</v>
      </c>
      <c r="AD72" s="81"/>
      <c r="AE72" s="81" t="b">
        <v>0</v>
      </c>
      <c r="AF72" s="81">
        <v>2</v>
      </c>
      <c r="AG72" s="86" t="s">
        <v>2084</v>
      </c>
      <c r="AH72" s="81" t="b">
        <v>0</v>
      </c>
      <c r="AI72" s="81" t="s">
        <v>2171</v>
      </c>
      <c r="AJ72" s="81"/>
      <c r="AK72" s="86" t="s">
        <v>2084</v>
      </c>
      <c r="AL72" s="81" t="b">
        <v>0</v>
      </c>
      <c r="AM72" s="81">
        <v>1</v>
      </c>
      <c r="AN72" s="86" t="s">
        <v>2084</v>
      </c>
      <c r="AO72" s="86" t="s">
        <v>2181</v>
      </c>
      <c r="AP72" s="81" t="b">
        <v>0</v>
      </c>
      <c r="AQ72" s="86" t="s">
        <v>6716</v>
      </c>
      <c r="AR72" s="81" t="s">
        <v>179</v>
      </c>
      <c r="AS72" s="81">
        <v>0</v>
      </c>
      <c r="AT72" s="81">
        <v>0</v>
      </c>
      <c r="AU72" s="81"/>
      <c r="AV72" s="81"/>
      <c r="AW72" s="81"/>
      <c r="AX72" s="81"/>
      <c r="AY72" s="81"/>
      <c r="AZ72" s="81"/>
      <c r="BA72" s="81"/>
      <c r="BB72" s="81"/>
    </row>
    <row r="73" spans="1:54" x14ac:dyDescent="0.35">
      <c r="A73" s="66" t="s">
        <v>4195</v>
      </c>
      <c r="B73" s="66" t="s">
        <v>4193</v>
      </c>
      <c r="C73" s="67"/>
      <c r="D73" s="68"/>
      <c r="E73" s="69"/>
      <c r="F73" s="70"/>
      <c r="G73" s="67"/>
      <c r="H73" s="71"/>
      <c r="I73" s="72"/>
      <c r="J73" s="72"/>
      <c r="K73" s="36"/>
      <c r="L73" s="79"/>
      <c r="M73" s="79"/>
      <c r="N73" s="74"/>
      <c r="O73" s="81" t="s">
        <v>694</v>
      </c>
      <c r="P73" s="83">
        <v>44459.786851851852</v>
      </c>
      <c r="Q73" s="81" t="s">
        <v>5286</v>
      </c>
      <c r="R73" s="84" t="str">
        <f>HYPERLINK("https://tiny.cc/5cajuz")</f>
        <v>https://tiny.cc/5cajuz</v>
      </c>
      <c r="S73" s="81" t="s">
        <v>5688</v>
      </c>
      <c r="T73" s="81"/>
      <c r="U73" s="81"/>
      <c r="V73" s="84" t="str">
        <f>HYPERLINK("https://pbs.twimg.com/profile_images/781912748049522688/3D0weOme_normal.jpg")</f>
        <v>https://pbs.twimg.com/profile_images/781912748049522688/3D0weOme_normal.jpg</v>
      </c>
      <c r="W73" s="83">
        <v>44459.786851851852</v>
      </c>
      <c r="X73" s="89">
        <v>44459</v>
      </c>
      <c r="Y73" s="86" t="s">
        <v>5817</v>
      </c>
      <c r="Z73" s="84" t="str">
        <f>HYPERLINK("https://twitter.com/mirsantos/status/1440026239620812801")</f>
        <v>https://twitter.com/mirsantos/status/1440026239620812801</v>
      </c>
      <c r="AA73" s="81"/>
      <c r="AB73" s="81"/>
      <c r="AC73" s="86" t="s">
        <v>6717</v>
      </c>
      <c r="AD73" s="81"/>
      <c r="AE73" s="81" t="b">
        <v>0</v>
      </c>
      <c r="AF73" s="81">
        <v>0</v>
      </c>
      <c r="AG73" s="86" t="s">
        <v>2084</v>
      </c>
      <c r="AH73" s="81" t="b">
        <v>0</v>
      </c>
      <c r="AI73" s="81" t="s">
        <v>2171</v>
      </c>
      <c r="AJ73" s="81"/>
      <c r="AK73" s="86" t="s">
        <v>2084</v>
      </c>
      <c r="AL73" s="81" t="b">
        <v>0</v>
      </c>
      <c r="AM73" s="81">
        <v>1</v>
      </c>
      <c r="AN73" s="86" t="s">
        <v>6716</v>
      </c>
      <c r="AO73" s="86" t="s">
        <v>2181</v>
      </c>
      <c r="AP73" s="81" t="b">
        <v>0</v>
      </c>
      <c r="AQ73" s="86" t="s">
        <v>6716</v>
      </c>
      <c r="AR73" s="81" t="s">
        <v>179</v>
      </c>
      <c r="AS73" s="81">
        <v>0</v>
      </c>
      <c r="AT73" s="81">
        <v>0</v>
      </c>
      <c r="AU73" s="81"/>
      <c r="AV73" s="81"/>
      <c r="AW73" s="81"/>
      <c r="AX73" s="81"/>
      <c r="AY73" s="81"/>
      <c r="AZ73" s="81"/>
      <c r="BA73" s="81"/>
      <c r="BB73" s="81"/>
    </row>
    <row r="74" spans="1:54" x14ac:dyDescent="0.35">
      <c r="A74" s="66" t="s">
        <v>4195</v>
      </c>
      <c r="B74" s="66" t="s">
        <v>4194</v>
      </c>
      <c r="C74" s="67"/>
      <c r="D74" s="68"/>
      <c r="E74" s="69"/>
      <c r="F74" s="70"/>
      <c r="G74" s="67"/>
      <c r="H74" s="71"/>
      <c r="I74" s="72"/>
      <c r="J74" s="72"/>
      <c r="K74" s="36"/>
      <c r="L74" s="79"/>
      <c r="M74" s="79"/>
      <c r="N74" s="74"/>
      <c r="O74" s="81" t="s">
        <v>693</v>
      </c>
      <c r="P74" s="83">
        <v>44459.786851851852</v>
      </c>
      <c r="Q74" s="81" t="s">
        <v>5286</v>
      </c>
      <c r="R74" s="84" t="str">
        <f>HYPERLINK("https://tiny.cc/5cajuz")</f>
        <v>https://tiny.cc/5cajuz</v>
      </c>
      <c r="S74" s="81" t="s">
        <v>5688</v>
      </c>
      <c r="T74" s="81"/>
      <c r="U74" s="81"/>
      <c r="V74" s="84" t="str">
        <f>HYPERLINK("https://pbs.twimg.com/profile_images/781912748049522688/3D0weOme_normal.jpg")</f>
        <v>https://pbs.twimg.com/profile_images/781912748049522688/3D0weOme_normal.jpg</v>
      </c>
      <c r="W74" s="83">
        <v>44459.786851851852</v>
      </c>
      <c r="X74" s="89">
        <v>44459</v>
      </c>
      <c r="Y74" s="86" t="s">
        <v>5817</v>
      </c>
      <c r="Z74" s="84" t="str">
        <f>HYPERLINK("https://twitter.com/mirsantos/status/1440026239620812801")</f>
        <v>https://twitter.com/mirsantos/status/1440026239620812801</v>
      </c>
      <c r="AA74" s="81"/>
      <c r="AB74" s="81"/>
      <c r="AC74" s="86" t="s">
        <v>6717</v>
      </c>
      <c r="AD74" s="81"/>
      <c r="AE74" s="81" t="b">
        <v>0</v>
      </c>
      <c r="AF74" s="81">
        <v>0</v>
      </c>
      <c r="AG74" s="86" t="s">
        <v>2084</v>
      </c>
      <c r="AH74" s="81" t="b">
        <v>0</v>
      </c>
      <c r="AI74" s="81" t="s">
        <v>2171</v>
      </c>
      <c r="AJ74" s="81"/>
      <c r="AK74" s="86" t="s">
        <v>2084</v>
      </c>
      <c r="AL74" s="81" t="b">
        <v>0</v>
      </c>
      <c r="AM74" s="81">
        <v>1</v>
      </c>
      <c r="AN74" s="86" t="s">
        <v>6716</v>
      </c>
      <c r="AO74" s="86" t="s">
        <v>2181</v>
      </c>
      <c r="AP74" s="81" t="b">
        <v>0</v>
      </c>
      <c r="AQ74" s="86" t="s">
        <v>6716</v>
      </c>
      <c r="AR74" s="81" t="s">
        <v>179</v>
      </c>
      <c r="AS74" s="81">
        <v>0</v>
      </c>
      <c r="AT74" s="81">
        <v>0</v>
      </c>
      <c r="AU74" s="81"/>
      <c r="AV74" s="81"/>
      <c r="AW74" s="81"/>
      <c r="AX74" s="81"/>
      <c r="AY74" s="81"/>
      <c r="AZ74" s="81"/>
      <c r="BA74" s="81"/>
      <c r="BB74" s="81"/>
    </row>
    <row r="75" spans="1:54" x14ac:dyDescent="0.35">
      <c r="A75" s="66" t="s">
        <v>4196</v>
      </c>
      <c r="B75" s="66" t="s">
        <v>4981</v>
      </c>
      <c r="C75" s="67"/>
      <c r="D75" s="68"/>
      <c r="E75" s="69"/>
      <c r="F75" s="70"/>
      <c r="G75" s="67"/>
      <c r="H75" s="71"/>
      <c r="I75" s="72"/>
      <c r="J75" s="72"/>
      <c r="K75" s="36"/>
      <c r="L75" s="79"/>
      <c r="M75" s="79"/>
      <c r="N75" s="74"/>
      <c r="O75" s="81" t="s">
        <v>695</v>
      </c>
      <c r="P75" s="83">
        <v>44459.794328703705</v>
      </c>
      <c r="Q75" s="81" t="s">
        <v>5287</v>
      </c>
      <c r="R75" s="81"/>
      <c r="S75" s="81"/>
      <c r="T75" s="81"/>
      <c r="U75" s="81"/>
      <c r="V75" s="84" t="str">
        <f>HYPERLINK("https://pbs.twimg.com/profile_images/1271168714705076224/bPmxCyVB_normal.jpg")</f>
        <v>https://pbs.twimg.com/profile_images/1271168714705076224/bPmxCyVB_normal.jpg</v>
      </c>
      <c r="W75" s="83">
        <v>44459.794328703705</v>
      </c>
      <c r="X75" s="89">
        <v>44459</v>
      </c>
      <c r="Y75" s="86" t="s">
        <v>5818</v>
      </c>
      <c r="Z75" s="84" t="str">
        <f>HYPERLINK("https://twitter.com/carlosgolle/status/1440028949023637516")</f>
        <v>https://twitter.com/carlosgolle/status/1440028949023637516</v>
      </c>
      <c r="AA75" s="81"/>
      <c r="AB75" s="81"/>
      <c r="AC75" s="86" t="s">
        <v>6718</v>
      </c>
      <c r="AD75" s="86" t="s">
        <v>7620</v>
      </c>
      <c r="AE75" s="81" t="b">
        <v>0</v>
      </c>
      <c r="AF75" s="81">
        <v>0</v>
      </c>
      <c r="AG75" s="86" t="s">
        <v>7799</v>
      </c>
      <c r="AH75" s="81" t="b">
        <v>0</v>
      </c>
      <c r="AI75" s="81" t="s">
        <v>2171</v>
      </c>
      <c r="AJ75" s="81"/>
      <c r="AK75" s="86" t="s">
        <v>2084</v>
      </c>
      <c r="AL75" s="81" t="b">
        <v>0</v>
      </c>
      <c r="AM75" s="81">
        <v>0</v>
      </c>
      <c r="AN75" s="86" t="s">
        <v>2084</v>
      </c>
      <c r="AO75" s="86" t="s">
        <v>2179</v>
      </c>
      <c r="AP75" s="81" t="b">
        <v>0</v>
      </c>
      <c r="AQ75" s="86" t="s">
        <v>7620</v>
      </c>
      <c r="AR75" s="81" t="s">
        <v>179</v>
      </c>
      <c r="AS75" s="81">
        <v>0</v>
      </c>
      <c r="AT75" s="81">
        <v>0</v>
      </c>
      <c r="AU75" s="81"/>
      <c r="AV75" s="81"/>
      <c r="AW75" s="81"/>
      <c r="AX75" s="81"/>
      <c r="AY75" s="81"/>
      <c r="AZ75" s="81"/>
      <c r="BA75" s="81"/>
      <c r="BB75" s="81"/>
    </row>
    <row r="76" spans="1:54" x14ac:dyDescent="0.35">
      <c r="A76" s="66" t="s">
        <v>541</v>
      </c>
      <c r="B76" s="66" t="s">
        <v>612</v>
      </c>
      <c r="C76" s="67"/>
      <c r="D76" s="68"/>
      <c r="E76" s="69"/>
      <c r="F76" s="70"/>
      <c r="G76" s="67"/>
      <c r="H76" s="71"/>
      <c r="I76" s="72"/>
      <c r="J76" s="72"/>
      <c r="K76" s="36"/>
      <c r="L76" s="79"/>
      <c r="M76" s="79"/>
      <c r="N76" s="74"/>
      <c r="O76" s="81" t="s">
        <v>696</v>
      </c>
      <c r="P76" s="83">
        <v>44448.171006944445</v>
      </c>
      <c r="Q76" s="81" t="s">
        <v>707</v>
      </c>
      <c r="R76" s="81"/>
      <c r="S76" s="81"/>
      <c r="T76" s="86" t="s">
        <v>974</v>
      </c>
      <c r="U76" s="84" t="str">
        <f>HYPERLINK("https://pbs.twimg.com/media/E-0Lw78VIAMB9z2.jpg")</f>
        <v>https://pbs.twimg.com/media/E-0Lw78VIAMB9z2.jpg</v>
      </c>
      <c r="V76" s="84" t="str">
        <f>HYPERLINK("https://pbs.twimg.com/media/E-0Lw78VIAMB9z2.jpg")</f>
        <v>https://pbs.twimg.com/media/E-0Lw78VIAMB9z2.jpg</v>
      </c>
      <c r="W76" s="83">
        <v>44448.171006944445</v>
      </c>
      <c r="X76" s="89">
        <v>44448</v>
      </c>
      <c r="Y76" s="86" t="s">
        <v>1424</v>
      </c>
      <c r="Z76" s="84" t="str">
        <f>HYPERLINK("https://twitter.com/telkomindonesia/status/1435816799421927424")</f>
        <v>https://twitter.com/telkomindonesia/status/1435816799421927424</v>
      </c>
      <c r="AA76" s="81"/>
      <c r="AB76" s="81"/>
      <c r="AC76" s="86" t="s">
        <v>1920</v>
      </c>
      <c r="AD76" s="81"/>
      <c r="AE76" s="81" t="b">
        <v>0</v>
      </c>
      <c r="AF76" s="81">
        <v>24</v>
      </c>
      <c r="AG76" s="86" t="s">
        <v>2084</v>
      </c>
      <c r="AH76" s="81" t="b">
        <v>0</v>
      </c>
      <c r="AI76" s="81" t="s">
        <v>2167</v>
      </c>
      <c r="AJ76" s="81"/>
      <c r="AK76" s="86" t="s">
        <v>2084</v>
      </c>
      <c r="AL76" s="81" t="b">
        <v>0</v>
      </c>
      <c r="AM76" s="81">
        <v>44</v>
      </c>
      <c r="AN76" s="86" t="s">
        <v>2084</v>
      </c>
      <c r="AO76" s="86" t="s">
        <v>2179</v>
      </c>
      <c r="AP76" s="81" t="b">
        <v>0</v>
      </c>
      <c r="AQ76" s="86" t="s">
        <v>1920</v>
      </c>
      <c r="AR76" s="81" t="s">
        <v>693</v>
      </c>
      <c r="AS76" s="81">
        <v>0</v>
      </c>
      <c r="AT76" s="81">
        <v>0</v>
      </c>
      <c r="AU76" s="81"/>
      <c r="AV76" s="81"/>
      <c r="AW76" s="81"/>
      <c r="AX76" s="81"/>
      <c r="AY76" s="81"/>
      <c r="AZ76" s="81"/>
      <c r="BA76" s="81"/>
      <c r="BB76" s="81"/>
    </row>
    <row r="77" spans="1:54" x14ac:dyDescent="0.35">
      <c r="A77" s="66" t="s">
        <v>251</v>
      </c>
      <c r="B77" s="66" t="s">
        <v>541</v>
      </c>
      <c r="C77" s="67"/>
      <c r="D77" s="68"/>
      <c r="E77" s="69"/>
      <c r="F77" s="70"/>
      <c r="G77" s="67"/>
      <c r="H77" s="71"/>
      <c r="I77" s="72"/>
      <c r="J77" s="72"/>
      <c r="K77" s="36"/>
      <c r="L77" s="79"/>
      <c r="M77" s="79"/>
      <c r="N77" s="74"/>
      <c r="O77" s="81" t="s">
        <v>693</v>
      </c>
      <c r="P77" s="83">
        <v>44459.797060185185</v>
      </c>
      <c r="Q77" s="81" t="s">
        <v>707</v>
      </c>
      <c r="R77" s="81"/>
      <c r="S77" s="81"/>
      <c r="T77" s="86" t="s">
        <v>974</v>
      </c>
      <c r="U77" s="84" t="str">
        <f>HYPERLINK("https://pbs.twimg.com/media/E-0Lw78VIAMB9z2.jpg")</f>
        <v>https://pbs.twimg.com/media/E-0Lw78VIAMB9z2.jpg</v>
      </c>
      <c r="V77" s="84" t="str">
        <f>HYPERLINK("https://pbs.twimg.com/media/E-0Lw78VIAMB9z2.jpg")</f>
        <v>https://pbs.twimg.com/media/E-0Lw78VIAMB9z2.jpg</v>
      </c>
      <c r="W77" s="83">
        <v>44459.797060185185</v>
      </c>
      <c r="X77" s="89">
        <v>44459</v>
      </c>
      <c r="Y77" s="86" t="s">
        <v>1047</v>
      </c>
      <c r="Z77" s="84" t="str">
        <f>HYPERLINK("https://twitter.com/yanup77/status/1440029940640931847")</f>
        <v>https://twitter.com/yanup77/status/1440029940640931847</v>
      </c>
      <c r="AA77" s="81"/>
      <c r="AB77" s="81"/>
      <c r="AC77" s="86" t="s">
        <v>1547</v>
      </c>
      <c r="AD77" s="81"/>
      <c r="AE77" s="81" t="b">
        <v>0</v>
      </c>
      <c r="AF77" s="81">
        <v>0</v>
      </c>
      <c r="AG77" s="86" t="s">
        <v>2084</v>
      </c>
      <c r="AH77" s="81" t="b">
        <v>0</v>
      </c>
      <c r="AI77" s="81" t="s">
        <v>2167</v>
      </c>
      <c r="AJ77" s="81"/>
      <c r="AK77" s="86" t="s">
        <v>2084</v>
      </c>
      <c r="AL77" s="81" t="b">
        <v>0</v>
      </c>
      <c r="AM77" s="81">
        <v>44</v>
      </c>
      <c r="AN77" s="86" t="s">
        <v>1920</v>
      </c>
      <c r="AO77" s="86" t="s">
        <v>2181</v>
      </c>
      <c r="AP77" s="81" t="b">
        <v>0</v>
      </c>
      <c r="AQ77" s="86" t="s">
        <v>1920</v>
      </c>
      <c r="AR77" s="81" t="s">
        <v>179</v>
      </c>
      <c r="AS77" s="81">
        <v>0</v>
      </c>
      <c r="AT77" s="81">
        <v>0</v>
      </c>
      <c r="AU77" s="81"/>
      <c r="AV77" s="81"/>
      <c r="AW77" s="81"/>
      <c r="AX77" s="81"/>
      <c r="AY77" s="81"/>
      <c r="AZ77" s="81"/>
      <c r="BA77" s="81"/>
      <c r="BB77" s="81"/>
    </row>
    <row r="78" spans="1:54" x14ac:dyDescent="0.35">
      <c r="A78" s="66" t="s">
        <v>251</v>
      </c>
      <c r="B78" s="66" t="s">
        <v>612</v>
      </c>
      <c r="C78" s="67"/>
      <c r="D78" s="68"/>
      <c r="E78" s="69"/>
      <c r="F78" s="70"/>
      <c r="G78" s="67"/>
      <c r="H78" s="71"/>
      <c r="I78" s="72"/>
      <c r="J78" s="72"/>
      <c r="K78" s="36"/>
      <c r="L78" s="79"/>
      <c r="M78" s="79"/>
      <c r="N78" s="74"/>
      <c r="O78" s="81" t="s">
        <v>694</v>
      </c>
      <c r="P78" s="83">
        <v>44459.797060185185</v>
      </c>
      <c r="Q78" s="81" t="s">
        <v>707</v>
      </c>
      <c r="R78" s="81"/>
      <c r="S78" s="81"/>
      <c r="T78" s="86" t="s">
        <v>974</v>
      </c>
      <c r="U78" s="84" t="str">
        <f>HYPERLINK("https://pbs.twimg.com/media/E-0Lw78VIAMB9z2.jpg")</f>
        <v>https://pbs.twimg.com/media/E-0Lw78VIAMB9z2.jpg</v>
      </c>
      <c r="V78" s="84" t="str">
        <f>HYPERLINK("https://pbs.twimg.com/media/E-0Lw78VIAMB9z2.jpg")</f>
        <v>https://pbs.twimg.com/media/E-0Lw78VIAMB9z2.jpg</v>
      </c>
      <c r="W78" s="83">
        <v>44459.797060185185</v>
      </c>
      <c r="X78" s="89">
        <v>44459</v>
      </c>
      <c r="Y78" s="86" t="s">
        <v>1047</v>
      </c>
      <c r="Z78" s="84" t="str">
        <f>HYPERLINK("https://twitter.com/yanup77/status/1440029940640931847")</f>
        <v>https://twitter.com/yanup77/status/1440029940640931847</v>
      </c>
      <c r="AA78" s="81"/>
      <c r="AB78" s="81"/>
      <c r="AC78" s="86" t="s">
        <v>1547</v>
      </c>
      <c r="AD78" s="81"/>
      <c r="AE78" s="81" t="b">
        <v>0</v>
      </c>
      <c r="AF78" s="81">
        <v>0</v>
      </c>
      <c r="AG78" s="86" t="s">
        <v>2084</v>
      </c>
      <c r="AH78" s="81" t="b">
        <v>0</v>
      </c>
      <c r="AI78" s="81" t="s">
        <v>2167</v>
      </c>
      <c r="AJ78" s="81"/>
      <c r="AK78" s="86" t="s">
        <v>2084</v>
      </c>
      <c r="AL78" s="81" t="b">
        <v>0</v>
      </c>
      <c r="AM78" s="81">
        <v>44</v>
      </c>
      <c r="AN78" s="86" t="s">
        <v>1920</v>
      </c>
      <c r="AO78" s="86" t="s">
        <v>2181</v>
      </c>
      <c r="AP78" s="81" t="b">
        <v>0</v>
      </c>
      <c r="AQ78" s="86" t="s">
        <v>1920</v>
      </c>
      <c r="AR78" s="81" t="s">
        <v>179</v>
      </c>
      <c r="AS78" s="81">
        <v>0</v>
      </c>
      <c r="AT78" s="81">
        <v>0</v>
      </c>
      <c r="AU78" s="81"/>
      <c r="AV78" s="81"/>
      <c r="AW78" s="81"/>
      <c r="AX78" s="81"/>
      <c r="AY78" s="81"/>
      <c r="AZ78" s="81"/>
      <c r="BA78" s="81"/>
      <c r="BB78" s="81"/>
    </row>
    <row r="79" spans="1:54" x14ac:dyDescent="0.35">
      <c r="A79" s="66" t="s">
        <v>4197</v>
      </c>
      <c r="B79" s="66" t="s">
        <v>4988</v>
      </c>
      <c r="C79" s="67"/>
      <c r="D79" s="68"/>
      <c r="E79" s="69"/>
      <c r="F79" s="70"/>
      <c r="G79" s="67"/>
      <c r="H79" s="71"/>
      <c r="I79" s="72"/>
      <c r="J79" s="72"/>
      <c r="K79" s="36"/>
      <c r="L79" s="79"/>
      <c r="M79" s="79"/>
      <c r="N79" s="74"/>
      <c r="O79" s="81" t="s">
        <v>695</v>
      </c>
      <c r="P79" s="83">
        <v>44459.813217592593</v>
      </c>
      <c r="Q79" s="81" t="s">
        <v>5288</v>
      </c>
      <c r="R79" s="81"/>
      <c r="S79" s="81"/>
      <c r="T79" s="81"/>
      <c r="U79" s="81"/>
      <c r="V79" s="84" t="str">
        <f>HYPERLINK("https://pbs.twimg.com/profile_images/1443184641054330883/INgVZino_normal.jpg")</f>
        <v>https://pbs.twimg.com/profile_images/1443184641054330883/INgVZino_normal.jpg</v>
      </c>
      <c r="W79" s="83">
        <v>44459.813217592593</v>
      </c>
      <c r="X79" s="89">
        <v>44459</v>
      </c>
      <c r="Y79" s="86" t="s">
        <v>5819</v>
      </c>
      <c r="Z79" s="84" t="str">
        <f>HYPERLINK("https://twitter.com/alexandreplaty2/status/1440035794735927296")</f>
        <v>https://twitter.com/alexandreplaty2/status/1440035794735927296</v>
      </c>
      <c r="AA79" s="81"/>
      <c r="AB79" s="81"/>
      <c r="AC79" s="86" t="s">
        <v>6719</v>
      </c>
      <c r="AD79" s="86" t="s">
        <v>7621</v>
      </c>
      <c r="AE79" s="81" t="b">
        <v>0</v>
      </c>
      <c r="AF79" s="81">
        <v>0</v>
      </c>
      <c r="AG79" s="86" t="s">
        <v>7800</v>
      </c>
      <c r="AH79" s="81" t="b">
        <v>0</v>
      </c>
      <c r="AI79" s="81" t="s">
        <v>2171</v>
      </c>
      <c r="AJ79" s="81"/>
      <c r="AK79" s="86" t="s">
        <v>2084</v>
      </c>
      <c r="AL79" s="81" t="b">
        <v>0</v>
      </c>
      <c r="AM79" s="81">
        <v>0</v>
      </c>
      <c r="AN79" s="86" t="s">
        <v>2084</v>
      </c>
      <c r="AO79" s="86" t="s">
        <v>2178</v>
      </c>
      <c r="AP79" s="81" t="b">
        <v>0</v>
      </c>
      <c r="AQ79" s="86" t="s">
        <v>7621</v>
      </c>
      <c r="AR79" s="81" t="s">
        <v>179</v>
      </c>
      <c r="AS79" s="81">
        <v>0</v>
      </c>
      <c r="AT79" s="81">
        <v>0</v>
      </c>
      <c r="AU79" s="81"/>
      <c r="AV79" s="81"/>
      <c r="AW79" s="81"/>
      <c r="AX79" s="81"/>
      <c r="AY79" s="81"/>
      <c r="AZ79" s="81"/>
      <c r="BA79" s="81"/>
      <c r="BB79" s="81"/>
    </row>
    <row r="80" spans="1:54" x14ac:dyDescent="0.35">
      <c r="A80" s="66" t="s">
        <v>4198</v>
      </c>
      <c r="B80" s="66" t="s">
        <v>4198</v>
      </c>
      <c r="C80" s="67"/>
      <c r="D80" s="68"/>
      <c r="E80" s="69"/>
      <c r="F80" s="70"/>
      <c r="G80" s="67"/>
      <c r="H80" s="71"/>
      <c r="I80" s="72"/>
      <c r="J80" s="72"/>
      <c r="K80" s="36"/>
      <c r="L80" s="79"/>
      <c r="M80" s="79"/>
      <c r="N80" s="74"/>
      <c r="O80" s="81" t="s">
        <v>179</v>
      </c>
      <c r="P80" s="83">
        <v>44459.823819444442</v>
      </c>
      <c r="Q80" s="81" t="s">
        <v>5289</v>
      </c>
      <c r="R80" s="81"/>
      <c r="S80" s="81"/>
      <c r="T80" s="81"/>
      <c r="U80" s="81"/>
      <c r="V80" s="84" t="str">
        <f>HYPERLINK("https://pbs.twimg.com/profile_images/1435537370951176196/RmGOMZkx_normal.jpg")</f>
        <v>https://pbs.twimg.com/profile_images/1435537370951176196/RmGOMZkx_normal.jpg</v>
      </c>
      <c r="W80" s="83">
        <v>44459.823819444442</v>
      </c>
      <c r="X80" s="89">
        <v>44459</v>
      </c>
      <c r="Y80" s="86" t="s">
        <v>5820</v>
      </c>
      <c r="Z80" s="84" t="str">
        <f>HYPERLINK("https://twitter.com/littleitamar/status/1440039636873605128")</f>
        <v>https://twitter.com/littleitamar/status/1440039636873605128</v>
      </c>
      <c r="AA80" s="81"/>
      <c r="AB80" s="81"/>
      <c r="AC80" s="86" t="s">
        <v>6720</v>
      </c>
      <c r="AD80" s="86" t="s">
        <v>7622</v>
      </c>
      <c r="AE80" s="81" t="b">
        <v>0</v>
      </c>
      <c r="AF80" s="81">
        <v>0</v>
      </c>
      <c r="AG80" s="86" t="s">
        <v>7801</v>
      </c>
      <c r="AH80" s="81" t="b">
        <v>0</v>
      </c>
      <c r="AI80" s="81" t="s">
        <v>2171</v>
      </c>
      <c r="AJ80" s="81"/>
      <c r="AK80" s="86" t="s">
        <v>2084</v>
      </c>
      <c r="AL80" s="81" t="b">
        <v>0</v>
      </c>
      <c r="AM80" s="81">
        <v>0</v>
      </c>
      <c r="AN80" s="86" t="s">
        <v>2084</v>
      </c>
      <c r="AO80" s="86" t="s">
        <v>2178</v>
      </c>
      <c r="AP80" s="81" t="b">
        <v>0</v>
      </c>
      <c r="AQ80" s="86" t="s">
        <v>7622</v>
      </c>
      <c r="AR80" s="81" t="s">
        <v>179</v>
      </c>
      <c r="AS80" s="81">
        <v>0</v>
      </c>
      <c r="AT80" s="81">
        <v>0</v>
      </c>
      <c r="AU80" s="81"/>
      <c r="AV80" s="81"/>
      <c r="AW80" s="81"/>
      <c r="AX80" s="81"/>
      <c r="AY80" s="81"/>
      <c r="AZ80" s="81"/>
      <c r="BA80" s="81"/>
      <c r="BB80" s="81"/>
    </row>
    <row r="81" spans="1:54" x14ac:dyDescent="0.35">
      <c r="A81" s="66" t="s">
        <v>4199</v>
      </c>
      <c r="B81" s="66" t="s">
        <v>4495</v>
      </c>
      <c r="C81" s="67"/>
      <c r="D81" s="68"/>
      <c r="E81" s="69"/>
      <c r="F81" s="70"/>
      <c r="G81" s="67"/>
      <c r="H81" s="71"/>
      <c r="I81" s="72"/>
      <c r="J81" s="72"/>
      <c r="K81" s="36"/>
      <c r="L81" s="79"/>
      <c r="M81" s="79"/>
      <c r="N81" s="74"/>
      <c r="O81" s="81" t="s">
        <v>693</v>
      </c>
      <c r="P81" s="83">
        <v>44459.886273148149</v>
      </c>
      <c r="Q81" s="81" t="s">
        <v>5272</v>
      </c>
      <c r="R81" s="84" t="str">
        <f>HYPERLINK("https://www.gov.br/anvisa/pt-br/assuntos/fiscalizacao-e-monitoramento/notificacoes/vigimed/")</f>
        <v>https://www.gov.br/anvisa/pt-br/assuntos/fiscalizacao-e-monitoramento/notificacoes/vigimed/</v>
      </c>
      <c r="S81" s="81" t="s">
        <v>5686</v>
      </c>
      <c r="T81" s="81"/>
      <c r="U81" s="81"/>
      <c r="V81" s="84" t="str">
        <f>HYPERLINK("https://pbs.twimg.com/profile_images/1439314599489179655/FEGPG9pR_normal.jpg")</f>
        <v>https://pbs.twimg.com/profile_images/1439314599489179655/FEGPG9pR_normal.jpg</v>
      </c>
      <c r="W81" s="83">
        <v>44459.886273148149</v>
      </c>
      <c r="X81" s="89">
        <v>44459</v>
      </c>
      <c r="Y81" s="86" t="s">
        <v>5821</v>
      </c>
      <c r="Z81" s="84" t="str">
        <f>HYPERLINK("https://twitter.com/eryckdouglas123/status/1440062266787831818")</f>
        <v>https://twitter.com/eryckdouglas123/status/1440062266787831818</v>
      </c>
      <c r="AA81" s="81"/>
      <c r="AB81" s="81"/>
      <c r="AC81" s="86" t="s">
        <v>6721</v>
      </c>
      <c r="AD81" s="81"/>
      <c r="AE81" s="81" t="b">
        <v>0</v>
      </c>
      <c r="AF81" s="81">
        <v>0</v>
      </c>
      <c r="AG81" s="86" t="s">
        <v>2084</v>
      </c>
      <c r="AH81" s="81" t="b">
        <v>0</v>
      </c>
      <c r="AI81" s="81" t="s">
        <v>2171</v>
      </c>
      <c r="AJ81" s="81"/>
      <c r="AK81" s="86" t="s">
        <v>2084</v>
      </c>
      <c r="AL81" s="81" t="b">
        <v>0</v>
      </c>
      <c r="AM81" s="81">
        <v>1497</v>
      </c>
      <c r="AN81" s="86" t="s">
        <v>7047</v>
      </c>
      <c r="AO81" s="86" t="s">
        <v>2179</v>
      </c>
      <c r="AP81" s="81" t="b">
        <v>0</v>
      </c>
      <c r="AQ81" s="86" t="s">
        <v>7047</v>
      </c>
      <c r="AR81" s="81" t="s">
        <v>179</v>
      </c>
      <c r="AS81" s="81">
        <v>0</v>
      </c>
      <c r="AT81" s="81">
        <v>0</v>
      </c>
      <c r="AU81" s="81"/>
      <c r="AV81" s="81"/>
      <c r="AW81" s="81"/>
      <c r="AX81" s="81"/>
      <c r="AY81" s="81"/>
      <c r="AZ81" s="81"/>
      <c r="BA81" s="81"/>
      <c r="BB81" s="81"/>
    </row>
    <row r="82" spans="1:54" x14ac:dyDescent="0.35">
      <c r="A82" s="66" t="s">
        <v>4200</v>
      </c>
      <c r="B82" s="66" t="s">
        <v>4234</v>
      </c>
      <c r="C82" s="67"/>
      <c r="D82" s="68"/>
      <c r="E82" s="69"/>
      <c r="F82" s="70"/>
      <c r="G82" s="67"/>
      <c r="H82" s="71"/>
      <c r="I82" s="72"/>
      <c r="J82" s="72"/>
      <c r="K82" s="36"/>
      <c r="L82" s="79"/>
      <c r="M82" s="79"/>
      <c r="N82" s="74"/>
      <c r="O82" s="81" t="s">
        <v>693</v>
      </c>
      <c r="P82" s="83">
        <v>44459.889780092592</v>
      </c>
      <c r="Q82" s="81" t="s">
        <v>5290</v>
      </c>
      <c r="R82" s="81"/>
      <c r="S82" s="81"/>
      <c r="T82" s="81"/>
      <c r="U82" s="84" t="str">
        <f>HYPERLINK("https://pbs.twimg.com/media/E_wZ9zfVEAYRzty.jpg")</f>
        <v>https://pbs.twimg.com/media/E_wZ9zfVEAYRzty.jpg</v>
      </c>
      <c r="V82" s="84" t="str">
        <f>HYPERLINK("https://pbs.twimg.com/media/E_wZ9zfVEAYRzty.jpg")</f>
        <v>https://pbs.twimg.com/media/E_wZ9zfVEAYRzty.jpg</v>
      </c>
      <c r="W82" s="83">
        <v>44459.889780092592</v>
      </c>
      <c r="X82" s="89">
        <v>44459</v>
      </c>
      <c r="Y82" s="86" t="s">
        <v>5822</v>
      </c>
      <c r="Z82" s="84" t="str">
        <f>HYPERLINK("https://twitter.com/yasmin38conta2/status/1440063537582280704")</f>
        <v>https://twitter.com/yasmin38conta2/status/1440063537582280704</v>
      </c>
      <c r="AA82" s="81"/>
      <c r="AB82" s="81"/>
      <c r="AC82" s="86" t="s">
        <v>6722</v>
      </c>
      <c r="AD82" s="81"/>
      <c r="AE82" s="81" t="b">
        <v>0</v>
      </c>
      <c r="AF82" s="81">
        <v>0</v>
      </c>
      <c r="AG82" s="86" t="s">
        <v>2084</v>
      </c>
      <c r="AH82" s="81" t="b">
        <v>0</v>
      </c>
      <c r="AI82" s="81" t="s">
        <v>2171</v>
      </c>
      <c r="AJ82" s="81"/>
      <c r="AK82" s="86" t="s">
        <v>2084</v>
      </c>
      <c r="AL82" s="81" t="b">
        <v>0</v>
      </c>
      <c r="AM82" s="81">
        <v>4</v>
      </c>
      <c r="AN82" s="86" t="s">
        <v>6756</v>
      </c>
      <c r="AO82" s="86" t="s">
        <v>2181</v>
      </c>
      <c r="AP82" s="81" t="b">
        <v>0</v>
      </c>
      <c r="AQ82" s="86" t="s">
        <v>6756</v>
      </c>
      <c r="AR82" s="81" t="s">
        <v>179</v>
      </c>
      <c r="AS82" s="81">
        <v>0</v>
      </c>
      <c r="AT82" s="81">
        <v>0</v>
      </c>
      <c r="AU82" s="81"/>
      <c r="AV82" s="81"/>
      <c r="AW82" s="81"/>
      <c r="AX82" s="81"/>
      <c r="AY82" s="81"/>
      <c r="AZ82" s="81"/>
      <c r="BA82" s="81"/>
      <c r="BB82" s="81"/>
    </row>
    <row r="83" spans="1:54" x14ac:dyDescent="0.35">
      <c r="A83" s="66" t="s">
        <v>4201</v>
      </c>
      <c r="B83" s="66" t="s">
        <v>4939</v>
      </c>
      <c r="C83" s="67"/>
      <c r="D83" s="68"/>
      <c r="E83" s="69"/>
      <c r="F83" s="70"/>
      <c r="G83" s="67"/>
      <c r="H83" s="71"/>
      <c r="I83" s="72"/>
      <c r="J83" s="72"/>
      <c r="K83" s="36"/>
      <c r="L83" s="79"/>
      <c r="M83" s="79"/>
      <c r="N83" s="74"/>
      <c r="O83" s="81" t="s">
        <v>693</v>
      </c>
      <c r="P83" s="83">
        <v>44459.906539351854</v>
      </c>
      <c r="Q83" s="81" t="s">
        <v>5282</v>
      </c>
      <c r="R83"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83" s="81" t="s">
        <v>5696</v>
      </c>
      <c r="T83" s="81"/>
      <c r="U83" s="84" t="str">
        <f>HYPERLINK("https://pbs.twimg.com/media/E_vHfERXoA8GltO.jpg")</f>
        <v>https://pbs.twimg.com/media/E_vHfERXoA8GltO.jpg</v>
      </c>
      <c r="V83" s="84" t="str">
        <f>HYPERLINK("https://pbs.twimg.com/media/E_vHfERXoA8GltO.jpg")</f>
        <v>https://pbs.twimg.com/media/E_vHfERXoA8GltO.jpg</v>
      </c>
      <c r="W83" s="83">
        <v>44459.906539351854</v>
      </c>
      <c r="X83" s="89">
        <v>44459</v>
      </c>
      <c r="Y83" s="86" t="s">
        <v>5823</v>
      </c>
      <c r="Z83" s="84" t="str">
        <f>HYPERLINK("https://twitter.com/__esterborges/status/1440069613652353026")</f>
        <v>https://twitter.com/__esterborges/status/1440069613652353026</v>
      </c>
      <c r="AA83" s="81"/>
      <c r="AB83" s="81"/>
      <c r="AC83" s="86" t="s">
        <v>6723</v>
      </c>
      <c r="AD83" s="81"/>
      <c r="AE83" s="81" t="b">
        <v>0</v>
      </c>
      <c r="AF83" s="81">
        <v>0</v>
      </c>
      <c r="AG83" s="86" t="s">
        <v>2084</v>
      </c>
      <c r="AH83" s="81" t="b">
        <v>0</v>
      </c>
      <c r="AI83" s="81" t="s">
        <v>2171</v>
      </c>
      <c r="AJ83" s="81"/>
      <c r="AK83" s="86" t="s">
        <v>2084</v>
      </c>
      <c r="AL83" s="81" t="b">
        <v>0</v>
      </c>
      <c r="AM83" s="81">
        <v>16</v>
      </c>
      <c r="AN83" s="86" t="s">
        <v>7535</v>
      </c>
      <c r="AO83" s="86" t="s">
        <v>2181</v>
      </c>
      <c r="AP83" s="81" t="b">
        <v>0</v>
      </c>
      <c r="AQ83" s="86" t="s">
        <v>7535</v>
      </c>
      <c r="AR83" s="81" t="s">
        <v>179</v>
      </c>
      <c r="AS83" s="81">
        <v>0</v>
      </c>
      <c r="AT83" s="81">
        <v>0</v>
      </c>
      <c r="AU83" s="81"/>
      <c r="AV83" s="81"/>
      <c r="AW83" s="81"/>
      <c r="AX83" s="81"/>
      <c r="AY83" s="81"/>
      <c r="AZ83" s="81"/>
      <c r="BA83" s="81"/>
      <c r="BB83" s="81"/>
    </row>
    <row r="84" spans="1:54" x14ac:dyDescent="0.35">
      <c r="A84" s="66" t="s">
        <v>4202</v>
      </c>
      <c r="B84" s="66" t="s">
        <v>4202</v>
      </c>
      <c r="C84" s="67"/>
      <c r="D84" s="68"/>
      <c r="E84" s="69"/>
      <c r="F84" s="70"/>
      <c r="G84" s="67"/>
      <c r="H84" s="71"/>
      <c r="I84" s="72"/>
      <c r="J84" s="72"/>
      <c r="K84" s="36"/>
      <c r="L84" s="79"/>
      <c r="M84" s="79"/>
      <c r="N84" s="74"/>
      <c r="O84" s="81" t="s">
        <v>179</v>
      </c>
      <c r="P84" s="83">
        <v>44459.914953703701</v>
      </c>
      <c r="Q84" s="81" t="s">
        <v>5291</v>
      </c>
      <c r="R84" s="81"/>
      <c r="S84" s="81"/>
      <c r="T84" s="81"/>
      <c r="U84" s="81"/>
      <c r="V84" s="84" t="str">
        <f>HYPERLINK("https://pbs.twimg.com/profile_images/1431916545454841856/28ZF3EVx_normal.jpg")</f>
        <v>https://pbs.twimg.com/profile_images/1431916545454841856/28ZF3EVx_normal.jpg</v>
      </c>
      <c r="W84" s="83">
        <v>44459.914953703701</v>
      </c>
      <c r="X84" s="89">
        <v>44459</v>
      </c>
      <c r="Y84" s="86" t="s">
        <v>5824</v>
      </c>
      <c r="Z84" s="84" t="str">
        <f>HYPERLINK("https://twitter.com/xmissjjx/status/1440072659908268032")</f>
        <v>https://twitter.com/xmissjjx/status/1440072659908268032</v>
      </c>
      <c r="AA84" s="81"/>
      <c r="AB84" s="81"/>
      <c r="AC84" s="86" t="s">
        <v>6724</v>
      </c>
      <c r="AD84" s="81"/>
      <c r="AE84" s="81" t="b">
        <v>0</v>
      </c>
      <c r="AF84" s="81">
        <v>0</v>
      </c>
      <c r="AG84" s="86" t="s">
        <v>2084</v>
      </c>
      <c r="AH84" s="81" t="b">
        <v>0</v>
      </c>
      <c r="AI84" s="81" t="s">
        <v>2171</v>
      </c>
      <c r="AJ84" s="81"/>
      <c r="AK84" s="86" t="s">
        <v>2084</v>
      </c>
      <c r="AL84" s="81" t="b">
        <v>0</v>
      </c>
      <c r="AM84" s="81">
        <v>0</v>
      </c>
      <c r="AN84" s="86" t="s">
        <v>2084</v>
      </c>
      <c r="AO84" s="86" t="s">
        <v>2178</v>
      </c>
      <c r="AP84" s="81" t="b">
        <v>0</v>
      </c>
      <c r="AQ84" s="86" t="s">
        <v>6724</v>
      </c>
      <c r="AR84" s="81" t="s">
        <v>179</v>
      </c>
      <c r="AS84" s="81">
        <v>0</v>
      </c>
      <c r="AT84" s="81">
        <v>0</v>
      </c>
      <c r="AU84" s="81"/>
      <c r="AV84" s="81"/>
      <c r="AW84" s="81"/>
      <c r="AX84" s="81"/>
      <c r="AY84" s="81"/>
      <c r="AZ84" s="81"/>
      <c r="BA84" s="81"/>
      <c r="BB84" s="81"/>
    </row>
    <row r="85" spans="1:54" x14ac:dyDescent="0.35">
      <c r="A85" s="66" t="s">
        <v>252</v>
      </c>
      <c r="B85" s="66" t="s">
        <v>252</v>
      </c>
      <c r="C85" s="67"/>
      <c r="D85" s="68"/>
      <c r="E85" s="69"/>
      <c r="F85" s="70"/>
      <c r="G85" s="67"/>
      <c r="H85" s="71"/>
      <c r="I85" s="72"/>
      <c r="J85" s="72"/>
      <c r="K85" s="36"/>
      <c r="L85" s="79"/>
      <c r="M85" s="79"/>
      <c r="N85" s="74"/>
      <c r="O85" s="81" t="s">
        <v>179</v>
      </c>
      <c r="P85" s="83">
        <v>44459.917812500003</v>
      </c>
      <c r="Q85" s="81" t="s">
        <v>708</v>
      </c>
      <c r="R85" s="81"/>
      <c r="S85" s="81"/>
      <c r="T85" s="81"/>
      <c r="U85" s="81"/>
      <c r="V85" s="84" t="str">
        <f>HYPERLINK("https://pbs.twimg.com/profile_images/1431753342015971332/X4kOck84_normal.jpg")</f>
        <v>https://pbs.twimg.com/profile_images/1431753342015971332/X4kOck84_normal.jpg</v>
      </c>
      <c r="W85" s="83">
        <v>44459.917812500003</v>
      </c>
      <c r="X85" s="89">
        <v>44459</v>
      </c>
      <c r="Y85" s="86" t="s">
        <v>1048</v>
      </c>
      <c r="Z85" s="84" t="str">
        <f>HYPERLINK("https://twitter.com/gustavog22/status/1440073698858258432")</f>
        <v>https://twitter.com/gustavog22/status/1440073698858258432</v>
      </c>
      <c r="AA85" s="81"/>
      <c r="AB85" s="81"/>
      <c r="AC85" s="86" t="s">
        <v>1548</v>
      </c>
      <c r="AD85" s="81"/>
      <c r="AE85" s="81" t="b">
        <v>0</v>
      </c>
      <c r="AF85" s="81">
        <v>0</v>
      </c>
      <c r="AG85" s="86" t="s">
        <v>2084</v>
      </c>
      <c r="AH85" s="81" t="b">
        <v>0</v>
      </c>
      <c r="AI85" s="81" t="s">
        <v>2171</v>
      </c>
      <c r="AJ85" s="81"/>
      <c r="AK85" s="86" t="s">
        <v>2084</v>
      </c>
      <c r="AL85" s="81" t="b">
        <v>0</v>
      </c>
      <c r="AM85" s="81">
        <v>0</v>
      </c>
      <c r="AN85" s="86" t="s">
        <v>2084</v>
      </c>
      <c r="AO85" s="86" t="s">
        <v>2179</v>
      </c>
      <c r="AP85" s="81" t="b">
        <v>0</v>
      </c>
      <c r="AQ85" s="86" t="s">
        <v>1548</v>
      </c>
      <c r="AR85" s="81" t="s">
        <v>179</v>
      </c>
      <c r="AS85" s="81">
        <v>0</v>
      </c>
      <c r="AT85" s="81">
        <v>0</v>
      </c>
      <c r="AU85" s="81"/>
      <c r="AV85" s="81"/>
      <c r="AW85" s="81"/>
      <c r="AX85" s="81"/>
      <c r="AY85" s="81"/>
      <c r="AZ85" s="81"/>
      <c r="BA85" s="81"/>
      <c r="BB85" s="81"/>
    </row>
    <row r="86" spans="1:54" x14ac:dyDescent="0.35">
      <c r="A86" s="66" t="s">
        <v>4203</v>
      </c>
      <c r="B86" s="66" t="s">
        <v>4989</v>
      </c>
      <c r="C86" s="67"/>
      <c r="D86" s="68"/>
      <c r="E86" s="69"/>
      <c r="F86" s="70"/>
      <c r="G86" s="67"/>
      <c r="H86" s="71"/>
      <c r="I86" s="72"/>
      <c r="J86" s="72"/>
      <c r="K86" s="36"/>
      <c r="L86" s="79"/>
      <c r="M86" s="79"/>
      <c r="N86" s="74"/>
      <c r="O86" s="81" t="s">
        <v>694</v>
      </c>
      <c r="P86" s="83">
        <v>44459.920185185183</v>
      </c>
      <c r="Q86" s="81" t="s">
        <v>5292</v>
      </c>
      <c r="R86" s="81"/>
      <c r="S86" s="81"/>
      <c r="T86" s="81"/>
      <c r="U86" s="81"/>
      <c r="V86" s="84" t="str">
        <f>HYPERLINK("https://pbs.twimg.com/profile_images/1439726484697108486/r7rMCOcj_normal.jpg")</f>
        <v>https://pbs.twimg.com/profile_images/1439726484697108486/r7rMCOcj_normal.jpg</v>
      </c>
      <c r="W86" s="83">
        <v>44459.920185185183</v>
      </c>
      <c r="X86" s="89">
        <v>44459</v>
      </c>
      <c r="Y86" s="86" t="s">
        <v>5825</v>
      </c>
      <c r="Z86" s="84" t="str">
        <f>HYPERLINK("https://twitter.com/lumenaazevedo14/status/1440074556794806272")</f>
        <v>https://twitter.com/lumenaazevedo14/status/1440074556794806272</v>
      </c>
      <c r="AA86" s="81"/>
      <c r="AB86" s="81"/>
      <c r="AC86" s="86" t="s">
        <v>6725</v>
      </c>
      <c r="AD86" s="81"/>
      <c r="AE86" s="81" t="b">
        <v>0</v>
      </c>
      <c r="AF86" s="81">
        <v>0</v>
      </c>
      <c r="AG86" s="86" t="s">
        <v>2084</v>
      </c>
      <c r="AH86" s="81" t="b">
        <v>0</v>
      </c>
      <c r="AI86" s="81" t="s">
        <v>2171</v>
      </c>
      <c r="AJ86" s="81"/>
      <c r="AK86" s="86" t="s">
        <v>2084</v>
      </c>
      <c r="AL86" s="81" t="b">
        <v>0</v>
      </c>
      <c r="AM86" s="81">
        <v>6</v>
      </c>
      <c r="AN86" s="86" t="s">
        <v>6768</v>
      </c>
      <c r="AO86" s="86" t="s">
        <v>2179</v>
      </c>
      <c r="AP86" s="81" t="b">
        <v>0</v>
      </c>
      <c r="AQ86" s="86" t="s">
        <v>6768</v>
      </c>
      <c r="AR86" s="81" t="s">
        <v>179</v>
      </c>
      <c r="AS86" s="81">
        <v>0</v>
      </c>
      <c r="AT86" s="81">
        <v>0</v>
      </c>
      <c r="AU86" s="81"/>
      <c r="AV86" s="81"/>
      <c r="AW86" s="81"/>
      <c r="AX86" s="81"/>
      <c r="AY86" s="81"/>
      <c r="AZ86" s="81"/>
      <c r="BA86" s="81"/>
      <c r="BB86" s="81"/>
    </row>
    <row r="87" spans="1:54" x14ac:dyDescent="0.35">
      <c r="A87" s="66" t="s">
        <v>4203</v>
      </c>
      <c r="B87" s="66" t="s">
        <v>4245</v>
      </c>
      <c r="C87" s="67"/>
      <c r="D87" s="68"/>
      <c r="E87" s="69"/>
      <c r="F87" s="70"/>
      <c r="G87" s="67"/>
      <c r="H87" s="71"/>
      <c r="I87" s="72"/>
      <c r="J87" s="72"/>
      <c r="K87" s="36"/>
      <c r="L87" s="79"/>
      <c r="M87" s="79"/>
      <c r="N87" s="74"/>
      <c r="O87" s="81" t="s">
        <v>693</v>
      </c>
      <c r="P87" s="83">
        <v>44459.920185185183</v>
      </c>
      <c r="Q87" s="81" t="s">
        <v>5292</v>
      </c>
      <c r="R87" s="81"/>
      <c r="S87" s="81"/>
      <c r="T87" s="81"/>
      <c r="U87" s="81"/>
      <c r="V87" s="84" t="str">
        <f>HYPERLINK("https://pbs.twimg.com/profile_images/1439726484697108486/r7rMCOcj_normal.jpg")</f>
        <v>https://pbs.twimg.com/profile_images/1439726484697108486/r7rMCOcj_normal.jpg</v>
      </c>
      <c r="W87" s="83">
        <v>44459.920185185183</v>
      </c>
      <c r="X87" s="89">
        <v>44459</v>
      </c>
      <c r="Y87" s="86" t="s">
        <v>5825</v>
      </c>
      <c r="Z87" s="84" t="str">
        <f>HYPERLINK("https://twitter.com/lumenaazevedo14/status/1440074556794806272")</f>
        <v>https://twitter.com/lumenaazevedo14/status/1440074556794806272</v>
      </c>
      <c r="AA87" s="81"/>
      <c r="AB87" s="81"/>
      <c r="AC87" s="86" t="s">
        <v>6725</v>
      </c>
      <c r="AD87" s="81"/>
      <c r="AE87" s="81" t="b">
        <v>0</v>
      </c>
      <c r="AF87" s="81">
        <v>0</v>
      </c>
      <c r="AG87" s="86" t="s">
        <v>2084</v>
      </c>
      <c r="AH87" s="81" t="b">
        <v>0</v>
      </c>
      <c r="AI87" s="81" t="s">
        <v>2171</v>
      </c>
      <c r="AJ87" s="81"/>
      <c r="AK87" s="86" t="s">
        <v>2084</v>
      </c>
      <c r="AL87" s="81" t="b">
        <v>0</v>
      </c>
      <c r="AM87" s="81">
        <v>6</v>
      </c>
      <c r="AN87" s="86" t="s">
        <v>6768</v>
      </c>
      <c r="AO87" s="86" t="s">
        <v>2179</v>
      </c>
      <c r="AP87" s="81" t="b">
        <v>0</v>
      </c>
      <c r="AQ87" s="86" t="s">
        <v>6768</v>
      </c>
      <c r="AR87" s="81" t="s">
        <v>179</v>
      </c>
      <c r="AS87" s="81">
        <v>0</v>
      </c>
      <c r="AT87" s="81">
        <v>0</v>
      </c>
      <c r="AU87" s="81"/>
      <c r="AV87" s="81"/>
      <c r="AW87" s="81"/>
      <c r="AX87" s="81"/>
      <c r="AY87" s="81"/>
      <c r="AZ87" s="81"/>
      <c r="BA87" s="81"/>
      <c r="BB87" s="81"/>
    </row>
    <row r="88" spans="1:54" x14ac:dyDescent="0.35">
      <c r="A88" s="66" t="s">
        <v>4203</v>
      </c>
      <c r="B88" s="66" t="s">
        <v>4990</v>
      </c>
      <c r="C88" s="67"/>
      <c r="D88" s="68"/>
      <c r="E88" s="69"/>
      <c r="F88" s="70"/>
      <c r="G88" s="67"/>
      <c r="H88" s="71"/>
      <c r="I88" s="72"/>
      <c r="J88" s="72"/>
      <c r="K88" s="36"/>
      <c r="L88" s="79"/>
      <c r="M88" s="79"/>
      <c r="N88" s="74"/>
      <c r="O88" s="81" t="s">
        <v>695</v>
      </c>
      <c r="P88" s="83">
        <v>44459.920185185183</v>
      </c>
      <c r="Q88" s="81" t="s">
        <v>5292</v>
      </c>
      <c r="R88" s="81"/>
      <c r="S88" s="81"/>
      <c r="T88" s="81"/>
      <c r="U88" s="81"/>
      <c r="V88" s="84" t="str">
        <f>HYPERLINK("https://pbs.twimg.com/profile_images/1439726484697108486/r7rMCOcj_normal.jpg")</f>
        <v>https://pbs.twimg.com/profile_images/1439726484697108486/r7rMCOcj_normal.jpg</v>
      </c>
      <c r="W88" s="83">
        <v>44459.920185185183</v>
      </c>
      <c r="X88" s="89">
        <v>44459</v>
      </c>
      <c r="Y88" s="86" t="s">
        <v>5825</v>
      </c>
      <c r="Z88" s="84" t="str">
        <f>HYPERLINK("https://twitter.com/lumenaazevedo14/status/1440074556794806272")</f>
        <v>https://twitter.com/lumenaazevedo14/status/1440074556794806272</v>
      </c>
      <c r="AA88" s="81"/>
      <c r="AB88" s="81"/>
      <c r="AC88" s="86" t="s">
        <v>6725</v>
      </c>
      <c r="AD88" s="81"/>
      <c r="AE88" s="81" t="b">
        <v>0</v>
      </c>
      <c r="AF88" s="81">
        <v>0</v>
      </c>
      <c r="AG88" s="86" t="s">
        <v>2084</v>
      </c>
      <c r="AH88" s="81" t="b">
        <v>0</v>
      </c>
      <c r="AI88" s="81" t="s">
        <v>2171</v>
      </c>
      <c r="AJ88" s="81"/>
      <c r="AK88" s="86" t="s">
        <v>2084</v>
      </c>
      <c r="AL88" s="81" t="b">
        <v>0</v>
      </c>
      <c r="AM88" s="81">
        <v>6</v>
      </c>
      <c r="AN88" s="86" t="s">
        <v>6768</v>
      </c>
      <c r="AO88" s="86" t="s">
        <v>2179</v>
      </c>
      <c r="AP88" s="81" t="b">
        <v>0</v>
      </c>
      <c r="AQ88" s="86" t="s">
        <v>6768</v>
      </c>
      <c r="AR88" s="81" t="s">
        <v>179</v>
      </c>
      <c r="AS88" s="81">
        <v>0</v>
      </c>
      <c r="AT88" s="81">
        <v>0</v>
      </c>
      <c r="AU88" s="81"/>
      <c r="AV88" s="81"/>
      <c r="AW88" s="81"/>
      <c r="AX88" s="81"/>
      <c r="AY88" s="81"/>
      <c r="AZ88" s="81"/>
      <c r="BA88" s="81"/>
      <c r="BB88" s="81"/>
    </row>
    <row r="89" spans="1:54" x14ac:dyDescent="0.35">
      <c r="A89" s="66" t="s">
        <v>4204</v>
      </c>
      <c r="B89" s="66" t="s">
        <v>4989</v>
      </c>
      <c r="C89" s="67"/>
      <c r="D89" s="68"/>
      <c r="E89" s="69"/>
      <c r="F89" s="70"/>
      <c r="G89" s="67"/>
      <c r="H89" s="71"/>
      <c r="I89" s="72"/>
      <c r="J89" s="72"/>
      <c r="K89" s="36"/>
      <c r="L89" s="79"/>
      <c r="M89" s="79"/>
      <c r="N89" s="74"/>
      <c r="O89" s="81" t="s">
        <v>694</v>
      </c>
      <c r="P89" s="83">
        <v>44459.922372685185</v>
      </c>
      <c r="Q89" s="81" t="s">
        <v>5292</v>
      </c>
      <c r="R89" s="81"/>
      <c r="S89" s="81"/>
      <c r="T89" s="81"/>
      <c r="U89" s="81"/>
      <c r="V89" s="84" t="str">
        <f>HYPERLINK("https://pbs.twimg.com/profile_images/1298569483599122434/gd8wUvn9_normal.jpg")</f>
        <v>https://pbs.twimg.com/profile_images/1298569483599122434/gd8wUvn9_normal.jpg</v>
      </c>
      <c r="W89" s="83">
        <v>44459.922372685185</v>
      </c>
      <c r="X89" s="89">
        <v>44459</v>
      </c>
      <c r="Y89" s="86" t="s">
        <v>5826</v>
      </c>
      <c r="Z89" s="84" t="str">
        <f>HYPERLINK("https://twitter.com/claudiopesse1/status/1440075349434400772")</f>
        <v>https://twitter.com/claudiopesse1/status/1440075349434400772</v>
      </c>
      <c r="AA89" s="81"/>
      <c r="AB89" s="81"/>
      <c r="AC89" s="86" t="s">
        <v>6726</v>
      </c>
      <c r="AD89" s="81"/>
      <c r="AE89" s="81" t="b">
        <v>0</v>
      </c>
      <c r="AF89" s="81">
        <v>0</v>
      </c>
      <c r="AG89" s="86" t="s">
        <v>2084</v>
      </c>
      <c r="AH89" s="81" t="b">
        <v>0</v>
      </c>
      <c r="AI89" s="81" t="s">
        <v>2171</v>
      </c>
      <c r="AJ89" s="81"/>
      <c r="AK89" s="86" t="s">
        <v>2084</v>
      </c>
      <c r="AL89" s="81" t="b">
        <v>0</v>
      </c>
      <c r="AM89" s="81">
        <v>6</v>
      </c>
      <c r="AN89" s="86" t="s">
        <v>6768</v>
      </c>
      <c r="AO89" s="86" t="s">
        <v>2178</v>
      </c>
      <c r="AP89" s="81" t="b">
        <v>0</v>
      </c>
      <c r="AQ89" s="86" t="s">
        <v>6768</v>
      </c>
      <c r="AR89" s="81" t="s">
        <v>179</v>
      </c>
      <c r="AS89" s="81">
        <v>0</v>
      </c>
      <c r="AT89" s="81">
        <v>0</v>
      </c>
      <c r="AU89" s="81"/>
      <c r="AV89" s="81"/>
      <c r="AW89" s="81"/>
      <c r="AX89" s="81"/>
      <c r="AY89" s="81"/>
      <c r="AZ89" s="81"/>
      <c r="BA89" s="81"/>
      <c r="BB89" s="81"/>
    </row>
    <row r="90" spans="1:54" x14ac:dyDescent="0.35">
      <c r="A90" s="66" t="s">
        <v>4204</v>
      </c>
      <c r="B90" s="66" t="s">
        <v>4245</v>
      </c>
      <c r="C90" s="67"/>
      <c r="D90" s="68"/>
      <c r="E90" s="69"/>
      <c r="F90" s="70"/>
      <c r="G90" s="67"/>
      <c r="H90" s="71"/>
      <c r="I90" s="72"/>
      <c r="J90" s="72"/>
      <c r="K90" s="36"/>
      <c r="L90" s="79"/>
      <c r="M90" s="79"/>
      <c r="N90" s="74"/>
      <c r="O90" s="81" t="s">
        <v>693</v>
      </c>
      <c r="P90" s="83">
        <v>44459.922372685185</v>
      </c>
      <c r="Q90" s="81" t="s">
        <v>5292</v>
      </c>
      <c r="R90" s="81"/>
      <c r="S90" s="81"/>
      <c r="T90" s="81"/>
      <c r="U90" s="81"/>
      <c r="V90" s="84" t="str">
        <f>HYPERLINK("https://pbs.twimg.com/profile_images/1298569483599122434/gd8wUvn9_normal.jpg")</f>
        <v>https://pbs.twimg.com/profile_images/1298569483599122434/gd8wUvn9_normal.jpg</v>
      </c>
      <c r="W90" s="83">
        <v>44459.922372685185</v>
      </c>
      <c r="X90" s="89">
        <v>44459</v>
      </c>
      <c r="Y90" s="86" t="s">
        <v>5826</v>
      </c>
      <c r="Z90" s="84" t="str">
        <f>HYPERLINK("https://twitter.com/claudiopesse1/status/1440075349434400772")</f>
        <v>https://twitter.com/claudiopesse1/status/1440075349434400772</v>
      </c>
      <c r="AA90" s="81"/>
      <c r="AB90" s="81"/>
      <c r="AC90" s="86" t="s">
        <v>6726</v>
      </c>
      <c r="AD90" s="81"/>
      <c r="AE90" s="81" t="b">
        <v>0</v>
      </c>
      <c r="AF90" s="81">
        <v>0</v>
      </c>
      <c r="AG90" s="86" t="s">
        <v>2084</v>
      </c>
      <c r="AH90" s="81" t="b">
        <v>0</v>
      </c>
      <c r="AI90" s="81" t="s">
        <v>2171</v>
      </c>
      <c r="AJ90" s="81"/>
      <c r="AK90" s="86" t="s">
        <v>2084</v>
      </c>
      <c r="AL90" s="81" t="b">
        <v>0</v>
      </c>
      <c r="AM90" s="81">
        <v>6</v>
      </c>
      <c r="AN90" s="86" t="s">
        <v>6768</v>
      </c>
      <c r="AO90" s="86" t="s">
        <v>2178</v>
      </c>
      <c r="AP90" s="81" t="b">
        <v>0</v>
      </c>
      <c r="AQ90" s="86" t="s">
        <v>6768</v>
      </c>
      <c r="AR90" s="81" t="s">
        <v>179</v>
      </c>
      <c r="AS90" s="81">
        <v>0</v>
      </c>
      <c r="AT90" s="81">
        <v>0</v>
      </c>
      <c r="AU90" s="81"/>
      <c r="AV90" s="81"/>
      <c r="AW90" s="81"/>
      <c r="AX90" s="81"/>
      <c r="AY90" s="81"/>
      <c r="AZ90" s="81"/>
      <c r="BA90" s="81"/>
      <c r="BB90" s="81"/>
    </row>
    <row r="91" spans="1:54" x14ac:dyDescent="0.35">
      <c r="A91" s="66" t="s">
        <v>4204</v>
      </c>
      <c r="B91" s="66" t="s">
        <v>4990</v>
      </c>
      <c r="C91" s="67"/>
      <c r="D91" s="68"/>
      <c r="E91" s="69"/>
      <c r="F91" s="70"/>
      <c r="G91" s="67"/>
      <c r="H91" s="71"/>
      <c r="I91" s="72"/>
      <c r="J91" s="72"/>
      <c r="K91" s="36"/>
      <c r="L91" s="79"/>
      <c r="M91" s="79"/>
      <c r="N91" s="74"/>
      <c r="O91" s="81" t="s">
        <v>695</v>
      </c>
      <c r="P91" s="83">
        <v>44459.922372685185</v>
      </c>
      <c r="Q91" s="81" t="s">
        <v>5292</v>
      </c>
      <c r="R91" s="81"/>
      <c r="S91" s="81"/>
      <c r="T91" s="81"/>
      <c r="U91" s="81"/>
      <c r="V91" s="84" t="str">
        <f>HYPERLINK("https://pbs.twimg.com/profile_images/1298569483599122434/gd8wUvn9_normal.jpg")</f>
        <v>https://pbs.twimg.com/profile_images/1298569483599122434/gd8wUvn9_normal.jpg</v>
      </c>
      <c r="W91" s="83">
        <v>44459.922372685185</v>
      </c>
      <c r="X91" s="89">
        <v>44459</v>
      </c>
      <c r="Y91" s="86" t="s">
        <v>5826</v>
      </c>
      <c r="Z91" s="84" t="str">
        <f>HYPERLINK("https://twitter.com/claudiopesse1/status/1440075349434400772")</f>
        <v>https://twitter.com/claudiopesse1/status/1440075349434400772</v>
      </c>
      <c r="AA91" s="81"/>
      <c r="AB91" s="81"/>
      <c r="AC91" s="86" t="s">
        <v>6726</v>
      </c>
      <c r="AD91" s="81"/>
      <c r="AE91" s="81" t="b">
        <v>0</v>
      </c>
      <c r="AF91" s="81">
        <v>0</v>
      </c>
      <c r="AG91" s="86" t="s">
        <v>2084</v>
      </c>
      <c r="AH91" s="81" t="b">
        <v>0</v>
      </c>
      <c r="AI91" s="81" t="s">
        <v>2171</v>
      </c>
      <c r="AJ91" s="81"/>
      <c r="AK91" s="86" t="s">
        <v>2084</v>
      </c>
      <c r="AL91" s="81" t="b">
        <v>0</v>
      </c>
      <c r="AM91" s="81">
        <v>6</v>
      </c>
      <c r="AN91" s="86" t="s">
        <v>6768</v>
      </c>
      <c r="AO91" s="86" t="s">
        <v>2178</v>
      </c>
      <c r="AP91" s="81" t="b">
        <v>0</v>
      </c>
      <c r="AQ91" s="86" t="s">
        <v>6768</v>
      </c>
      <c r="AR91" s="81" t="s">
        <v>179</v>
      </c>
      <c r="AS91" s="81">
        <v>0</v>
      </c>
      <c r="AT91" s="81">
        <v>0</v>
      </c>
      <c r="AU91" s="81"/>
      <c r="AV91" s="81"/>
      <c r="AW91" s="81"/>
      <c r="AX91" s="81"/>
      <c r="AY91" s="81"/>
      <c r="AZ91" s="81"/>
      <c r="BA91" s="81"/>
      <c r="BB91" s="81"/>
    </row>
    <row r="92" spans="1:54" x14ac:dyDescent="0.35">
      <c r="A92" s="66" t="s">
        <v>4205</v>
      </c>
      <c r="B92" s="66" t="s">
        <v>4989</v>
      </c>
      <c r="C92" s="67"/>
      <c r="D92" s="68"/>
      <c r="E92" s="69"/>
      <c r="F92" s="70"/>
      <c r="G92" s="67"/>
      <c r="H92" s="71"/>
      <c r="I92" s="72"/>
      <c r="J92" s="72"/>
      <c r="K92" s="36"/>
      <c r="L92" s="79"/>
      <c r="M92" s="79"/>
      <c r="N92" s="74"/>
      <c r="O92" s="81" t="s">
        <v>694</v>
      </c>
      <c r="P92" s="83">
        <v>44459.923472222225</v>
      </c>
      <c r="Q92" s="81" t="s">
        <v>5292</v>
      </c>
      <c r="R92" s="81"/>
      <c r="S92" s="81"/>
      <c r="T92" s="81"/>
      <c r="U92" s="81"/>
      <c r="V92" s="84" t="str">
        <f>HYPERLINK("https://pbs.twimg.com/profile_images/1348486814009536513/qnfvqhx6_normal.jpg")</f>
        <v>https://pbs.twimg.com/profile_images/1348486814009536513/qnfvqhx6_normal.jpg</v>
      </c>
      <c r="W92" s="83">
        <v>44459.923472222225</v>
      </c>
      <c r="X92" s="89">
        <v>44459</v>
      </c>
      <c r="Y92" s="86" t="s">
        <v>5827</v>
      </c>
      <c r="Z92" s="84" t="str">
        <f>HYPERLINK("https://twitter.com/souzacpedrosa40/status/1440075746832121863")</f>
        <v>https://twitter.com/souzacpedrosa40/status/1440075746832121863</v>
      </c>
      <c r="AA92" s="81"/>
      <c r="AB92" s="81"/>
      <c r="AC92" s="86" t="s">
        <v>6727</v>
      </c>
      <c r="AD92" s="81"/>
      <c r="AE92" s="81" t="b">
        <v>0</v>
      </c>
      <c r="AF92" s="81">
        <v>0</v>
      </c>
      <c r="AG92" s="86" t="s">
        <v>2084</v>
      </c>
      <c r="AH92" s="81" t="b">
        <v>0</v>
      </c>
      <c r="AI92" s="81" t="s">
        <v>2171</v>
      </c>
      <c r="AJ92" s="81"/>
      <c r="AK92" s="86" t="s">
        <v>2084</v>
      </c>
      <c r="AL92" s="81" t="b">
        <v>0</v>
      </c>
      <c r="AM92" s="81">
        <v>6</v>
      </c>
      <c r="AN92" s="86" t="s">
        <v>6768</v>
      </c>
      <c r="AO92" s="86" t="s">
        <v>2181</v>
      </c>
      <c r="AP92" s="81" t="b">
        <v>0</v>
      </c>
      <c r="AQ92" s="86" t="s">
        <v>6768</v>
      </c>
      <c r="AR92" s="81" t="s">
        <v>179</v>
      </c>
      <c r="AS92" s="81">
        <v>0</v>
      </c>
      <c r="AT92" s="81">
        <v>0</v>
      </c>
      <c r="AU92" s="81"/>
      <c r="AV92" s="81"/>
      <c r="AW92" s="81"/>
      <c r="AX92" s="81"/>
      <c r="AY92" s="81"/>
      <c r="AZ92" s="81"/>
      <c r="BA92" s="81"/>
      <c r="BB92" s="81"/>
    </row>
    <row r="93" spans="1:54" x14ac:dyDescent="0.35">
      <c r="A93" s="66" t="s">
        <v>4205</v>
      </c>
      <c r="B93" s="66" t="s">
        <v>4245</v>
      </c>
      <c r="C93" s="67"/>
      <c r="D93" s="68"/>
      <c r="E93" s="69"/>
      <c r="F93" s="70"/>
      <c r="G93" s="67"/>
      <c r="H93" s="71"/>
      <c r="I93" s="72"/>
      <c r="J93" s="72"/>
      <c r="K93" s="36"/>
      <c r="L93" s="79"/>
      <c r="M93" s="79"/>
      <c r="N93" s="74"/>
      <c r="O93" s="81" t="s">
        <v>693</v>
      </c>
      <c r="P93" s="83">
        <v>44459.923472222225</v>
      </c>
      <c r="Q93" s="81" t="s">
        <v>5292</v>
      </c>
      <c r="R93" s="81"/>
      <c r="S93" s="81"/>
      <c r="T93" s="81"/>
      <c r="U93" s="81"/>
      <c r="V93" s="84" t="str">
        <f>HYPERLINK("https://pbs.twimg.com/profile_images/1348486814009536513/qnfvqhx6_normal.jpg")</f>
        <v>https://pbs.twimg.com/profile_images/1348486814009536513/qnfvqhx6_normal.jpg</v>
      </c>
      <c r="W93" s="83">
        <v>44459.923472222225</v>
      </c>
      <c r="X93" s="89">
        <v>44459</v>
      </c>
      <c r="Y93" s="86" t="s">
        <v>5827</v>
      </c>
      <c r="Z93" s="84" t="str">
        <f>HYPERLINK("https://twitter.com/souzacpedrosa40/status/1440075746832121863")</f>
        <v>https://twitter.com/souzacpedrosa40/status/1440075746832121863</v>
      </c>
      <c r="AA93" s="81"/>
      <c r="AB93" s="81"/>
      <c r="AC93" s="86" t="s">
        <v>6727</v>
      </c>
      <c r="AD93" s="81"/>
      <c r="AE93" s="81" t="b">
        <v>0</v>
      </c>
      <c r="AF93" s="81">
        <v>0</v>
      </c>
      <c r="AG93" s="86" t="s">
        <v>2084</v>
      </c>
      <c r="AH93" s="81" t="b">
        <v>0</v>
      </c>
      <c r="AI93" s="81" t="s">
        <v>2171</v>
      </c>
      <c r="AJ93" s="81"/>
      <c r="AK93" s="86" t="s">
        <v>2084</v>
      </c>
      <c r="AL93" s="81" t="b">
        <v>0</v>
      </c>
      <c r="AM93" s="81">
        <v>6</v>
      </c>
      <c r="AN93" s="86" t="s">
        <v>6768</v>
      </c>
      <c r="AO93" s="86" t="s">
        <v>2181</v>
      </c>
      <c r="AP93" s="81" t="b">
        <v>0</v>
      </c>
      <c r="AQ93" s="86" t="s">
        <v>6768</v>
      </c>
      <c r="AR93" s="81" t="s">
        <v>179</v>
      </c>
      <c r="AS93" s="81">
        <v>0</v>
      </c>
      <c r="AT93" s="81">
        <v>0</v>
      </c>
      <c r="AU93" s="81"/>
      <c r="AV93" s="81"/>
      <c r="AW93" s="81"/>
      <c r="AX93" s="81"/>
      <c r="AY93" s="81"/>
      <c r="AZ93" s="81"/>
      <c r="BA93" s="81"/>
      <c r="BB93" s="81"/>
    </row>
    <row r="94" spans="1:54" x14ac:dyDescent="0.35">
      <c r="A94" s="66" t="s">
        <v>4205</v>
      </c>
      <c r="B94" s="66" t="s">
        <v>4990</v>
      </c>
      <c r="C94" s="67"/>
      <c r="D94" s="68"/>
      <c r="E94" s="69"/>
      <c r="F94" s="70"/>
      <c r="G94" s="67"/>
      <c r="H94" s="71"/>
      <c r="I94" s="72"/>
      <c r="J94" s="72"/>
      <c r="K94" s="36"/>
      <c r="L94" s="79"/>
      <c r="M94" s="79"/>
      <c r="N94" s="74"/>
      <c r="O94" s="81" t="s">
        <v>695</v>
      </c>
      <c r="P94" s="83">
        <v>44459.923472222225</v>
      </c>
      <c r="Q94" s="81" t="s">
        <v>5292</v>
      </c>
      <c r="R94" s="81"/>
      <c r="S94" s="81"/>
      <c r="T94" s="81"/>
      <c r="U94" s="81"/>
      <c r="V94" s="84" t="str">
        <f>HYPERLINK("https://pbs.twimg.com/profile_images/1348486814009536513/qnfvqhx6_normal.jpg")</f>
        <v>https://pbs.twimg.com/profile_images/1348486814009536513/qnfvqhx6_normal.jpg</v>
      </c>
      <c r="W94" s="83">
        <v>44459.923472222225</v>
      </c>
      <c r="X94" s="89">
        <v>44459</v>
      </c>
      <c r="Y94" s="86" t="s">
        <v>5827</v>
      </c>
      <c r="Z94" s="84" t="str">
        <f>HYPERLINK("https://twitter.com/souzacpedrosa40/status/1440075746832121863")</f>
        <v>https://twitter.com/souzacpedrosa40/status/1440075746832121863</v>
      </c>
      <c r="AA94" s="81"/>
      <c r="AB94" s="81"/>
      <c r="AC94" s="86" t="s">
        <v>6727</v>
      </c>
      <c r="AD94" s="81"/>
      <c r="AE94" s="81" t="b">
        <v>0</v>
      </c>
      <c r="AF94" s="81">
        <v>0</v>
      </c>
      <c r="AG94" s="86" t="s">
        <v>2084</v>
      </c>
      <c r="AH94" s="81" t="b">
        <v>0</v>
      </c>
      <c r="AI94" s="81" t="s">
        <v>2171</v>
      </c>
      <c r="AJ94" s="81"/>
      <c r="AK94" s="86" t="s">
        <v>2084</v>
      </c>
      <c r="AL94" s="81" t="b">
        <v>0</v>
      </c>
      <c r="AM94" s="81">
        <v>6</v>
      </c>
      <c r="AN94" s="86" t="s">
        <v>6768</v>
      </c>
      <c r="AO94" s="86" t="s">
        <v>2181</v>
      </c>
      <c r="AP94" s="81" t="b">
        <v>0</v>
      </c>
      <c r="AQ94" s="86" t="s">
        <v>6768</v>
      </c>
      <c r="AR94" s="81" t="s">
        <v>179</v>
      </c>
      <c r="AS94" s="81">
        <v>0</v>
      </c>
      <c r="AT94" s="81">
        <v>0</v>
      </c>
      <c r="AU94" s="81"/>
      <c r="AV94" s="81"/>
      <c r="AW94" s="81"/>
      <c r="AX94" s="81"/>
      <c r="AY94" s="81"/>
      <c r="AZ94" s="81"/>
      <c r="BA94" s="81"/>
      <c r="BB94" s="81"/>
    </row>
    <row r="95" spans="1:54" x14ac:dyDescent="0.35">
      <c r="A95" s="66" t="s">
        <v>4206</v>
      </c>
      <c r="B95" s="66" t="s">
        <v>4989</v>
      </c>
      <c r="C95" s="67"/>
      <c r="D95" s="68"/>
      <c r="E95" s="69"/>
      <c r="F95" s="70"/>
      <c r="G95" s="67"/>
      <c r="H95" s="71"/>
      <c r="I95" s="72"/>
      <c r="J95" s="72"/>
      <c r="K95" s="36"/>
      <c r="L95" s="79"/>
      <c r="M95" s="79"/>
      <c r="N95" s="74"/>
      <c r="O95" s="81" t="s">
        <v>694</v>
      </c>
      <c r="P95" s="83">
        <v>44459.927129629628</v>
      </c>
      <c r="Q95" s="81" t="s">
        <v>5292</v>
      </c>
      <c r="R95" s="81"/>
      <c r="S95" s="81"/>
      <c r="T95" s="81"/>
      <c r="U95" s="81"/>
      <c r="V95" s="84" t="str">
        <f>HYPERLINK("https://pbs.twimg.com/profile_images/1436025034871607296/lt8C7VIh_normal.jpg")</f>
        <v>https://pbs.twimg.com/profile_images/1436025034871607296/lt8C7VIh_normal.jpg</v>
      </c>
      <c r="W95" s="83">
        <v>44459.927129629628</v>
      </c>
      <c r="X95" s="89">
        <v>44459</v>
      </c>
      <c r="Y95" s="86" t="s">
        <v>5828</v>
      </c>
      <c r="Z95" s="84" t="str">
        <f>HYPERLINK("https://twitter.com/fernandowelten/status/1440077075243696137")</f>
        <v>https://twitter.com/fernandowelten/status/1440077075243696137</v>
      </c>
      <c r="AA95" s="81"/>
      <c r="AB95" s="81"/>
      <c r="AC95" s="86" t="s">
        <v>6728</v>
      </c>
      <c r="AD95" s="81"/>
      <c r="AE95" s="81" t="b">
        <v>0</v>
      </c>
      <c r="AF95" s="81">
        <v>0</v>
      </c>
      <c r="AG95" s="86" t="s">
        <v>2084</v>
      </c>
      <c r="AH95" s="81" t="b">
        <v>0</v>
      </c>
      <c r="AI95" s="81" t="s">
        <v>2171</v>
      </c>
      <c r="AJ95" s="81"/>
      <c r="AK95" s="86" t="s">
        <v>2084</v>
      </c>
      <c r="AL95" s="81" t="b">
        <v>0</v>
      </c>
      <c r="AM95" s="81">
        <v>6</v>
      </c>
      <c r="AN95" s="86" t="s">
        <v>6768</v>
      </c>
      <c r="AO95" s="86" t="s">
        <v>2178</v>
      </c>
      <c r="AP95" s="81" t="b">
        <v>0</v>
      </c>
      <c r="AQ95" s="86" t="s">
        <v>6768</v>
      </c>
      <c r="AR95" s="81" t="s">
        <v>179</v>
      </c>
      <c r="AS95" s="81">
        <v>0</v>
      </c>
      <c r="AT95" s="81">
        <v>0</v>
      </c>
      <c r="AU95" s="81"/>
      <c r="AV95" s="81"/>
      <c r="AW95" s="81"/>
      <c r="AX95" s="81"/>
      <c r="AY95" s="81"/>
      <c r="AZ95" s="81"/>
      <c r="BA95" s="81"/>
      <c r="BB95" s="81"/>
    </row>
    <row r="96" spans="1:54" x14ac:dyDescent="0.35">
      <c r="A96" s="66" t="s">
        <v>4206</v>
      </c>
      <c r="B96" s="66" t="s">
        <v>4245</v>
      </c>
      <c r="C96" s="67"/>
      <c r="D96" s="68"/>
      <c r="E96" s="69"/>
      <c r="F96" s="70"/>
      <c r="G96" s="67"/>
      <c r="H96" s="71"/>
      <c r="I96" s="72"/>
      <c r="J96" s="72"/>
      <c r="K96" s="36"/>
      <c r="L96" s="79"/>
      <c r="M96" s="79"/>
      <c r="N96" s="74"/>
      <c r="O96" s="81" t="s">
        <v>693</v>
      </c>
      <c r="P96" s="83">
        <v>44459.927129629628</v>
      </c>
      <c r="Q96" s="81" t="s">
        <v>5292</v>
      </c>
      <c r="R96" s="81"/>
      <c r="S96" s="81"/>
      <c r="T96" s="81"/>
      <c r="U96" s="81"/>
      <c r="V96" s="84" t="str">
        <f>HYPERLINK("https://pbs.twimg.com/profile_images/1436025034871607296/lt8C7VIh_normal.jpg")</f>
        <v>https://pbs.twimg.com/profile_images/1436025034871607296/lt8C7VIh_normal.jpg</v>
      </c>
      <c r="W96" s="83">
        <v>44459.927129629628</v>
      </c>
      <c r="X96" s="89">
        <v>44459</v>
      </c>
      <c r="Y96" s="86" t="s">
        <v>5828</v>
      </c>
      <c r="Z96" s="84" t="str">
        <f>HYPERLINK("https://twitter.com/fernandowelten/status/1440077075243696137")</f>
        <v>https://twitter.com/fernandowelten/status/1440077075243696137</v>
      </c>
      <c r="AA96" s="81"/>
      <c r="AB96" s="81"/>
      <c r="AC96" s="86" t="s">
        <v>6728</v>
      </c>
      <c r="AD96" s="81"/>
      <c r="AE96" s="81" t="b">
        <v>0</v>
      </c>
      <c r="AF96" s="81">
        <v>0</v>
      </c>
      <c r="AG96" s="86" t="s">
        <v>2084</v>
      </c>
      <c r="AH96" s="81" t="b">
        <v>0</v>
      </c>
      <c r="AI96" s="81" t="s">
        <v>2171</v>
      </c>
      <c r="AJ96" s="81"/>
      <c r="AK96" s="86" t="s">
        <v>2084</v>
      </c>
      <c r="AL96" s="81" t="b">
        <v>0</v>
      </c>
      <c r="AM96" s="81">
        <v>6</v>
      </c>
      <c r="AN96" s="86" t="s">
        <v>6768</v>
      </c>
      <c r="AO96" s="86" t="s">
        <v>2178</v>
      </c>
      <c r="AP96" s="81" t="b">
        <v>0</v>
      </c>
      <c r="AQ96" s="86" t="s">
        <v>6768</v>
      </c>
      <c r="AR96" s="81" t="s">
        <v>179</v>
      </c>
      <c r="AS96" s="81">
        <v>0</v>
      </c>
      <c r="AT96" s="81">
        <v>0</v>
      </c>
      <c r="AU96" s="81"/>
      <c r="AV96" s="81"/>
      <c r="AW96" s="81"/>
      <c r="AX96" s="81"/>
      <c r="AY96" s="81"/>
      <c r="AZ96" s="81"/>
      <c r="BA96" s="81"/>
      <c r="BB96" s="81"/>
    </row>
    <row r="97" spans="1:54" x14ac:dyDescent="0.35">
      <c r="A97" s="66" t="s">
        <v>4206</v>
      </c>
      <c r="B97" s="66" t="s">
        <v>4990</v>
      </c>
      <c r="C97" s="67"/>
      <c r="D97" s="68"/>
      <c r="E97" s="69"/>
      <c r="F97" s="70"/>
      <c r="G97" s="67"/>
      <c r="H97" s="71"/>
      <c r="I97" s="72"/>
      <c r="J97" s="72"/>
      <c r="K97" s="36"/>
      <c r="L97" s="79"/>
      <c r="M97" s="79"/>
      <c r="N97" s="74"/>
      <c r="O97" s="81" t="s">
        <v>695</v>
      </c>
      <c r="P97" s="83">
        <v>44459.927129629628</v>
      </c>
      <c r="Q97" s="81" t="s">
        <v>5292</v>
      </c>
      <c r="R97" s="81"/>
      <c r="S97" s="81"/>
      <c r="T97" s="81"/>
      <c r="U97" s="81"/>
      <c r="V97" s="84" t="str">
        <f>HYPERLINK("https://pbs.twimg.com/profile_images/1436025034871607296/lt8C7VIh_normal.jpg")</f>
        <v>https://pbs.twimg.com/profile_images/1436025034871607296/lt8C7VIh_normal.jpg</v>
      </c>
      <c r="W97" s="83">
        <v>44459.927129629628</v>
      </c>
      <c r="X97" s="89">
        <v>44459</v>
      </c>
      <c r="Y97" s="86" t="s">
        <v>5828</v>
      </c>
      <c r="Z97" s="84" t="str">
        <f>HYPERLINK("https://twitter.com/fernandowelten/status/1440077075243696137")</f>
        <v>https://twitter.com/fernandowelten/status/1440077075243696137</v>
      </c>
      <c r="AA97" s="81"/>
      <c r="AB97" s="81"/>
      <c r="AC97" s="86" t="s">
        <v>6728</v>
      </c>
      <c r="AD97" s="81"/>
      <c r="AE97" s="81" t="b">
        <v>0</v>
      </c>
      <c r="AF97" s="81">
        <v>0</v>
      </c>
      <c r="AG97" s="86" t="s">
        <v>2084</v>
      </c>
      <c r="AH97" s="81" t="b">
        <v>0</v>
      </c>
      <c r="AI97" s="81" t="s">
        <v>2171</v>
      </c>
      <c r="AJ97" s="81"/>
      <c r="AK97" s="86" t="s">
        <v>2084</v>
      </c>
      <c r="AL97" s="81" t="b">
        <v>0</v>
      </c>
      <c r="AM97" s="81">
        <v>6</v>
      </c>
      <c r="AN97" s="86" t="s">
        <v>6768</v>
      </c>
      <c r="AO97" s="86" t="s">
        <v>2178</v>
      </c>
      <c r="AP97" s="81" t="b">
        <v>0</v>
      </c>
      <c r="AQ97" s="86" t="s">
        <v>6768</v>
      </c>
      <c r="AR97" s="81" t="s">
        <v>179</v>
      </c>
      <c r="AS97" s="81">
        <v>0</v>
      </c>
      <c r="AT97" s="81">
        <v>0</v>
      </c>
      <c r="AU97" s="81"/>
      <c r="AV97" s="81"/>
      <c r="AW97" s="81"/>
      <c r="AX97" s="81"/>
      <c r="AY97" s="81"/>
      <c r="AZ97" s="81"/>
      <c r="BA97" s="81"/>
      <c r="BB97" s="81"/>
    </row>
    <row r="98" spans="1:54" x14ac:dyDescent="0.35">
      <c r="A98" s="66" t="s">
        <v>253</v>
      </c>
      <c r="B98" s="66" t="s">
        <v>253</v>
      </c>
      <c r="C98" s="67"/>
      <c r="D98" s="68"/>
      <c r="E98" s="69"/>
      <c r="F98" s="70"/>
      <c r="G98" s="67"/>
      <c r="H98" s="71"/>
      <c r="I98" s="72"/>
      <c r="J98" s="72"/>
      <c r="K98" s="36"/>
      <c r="L98" s="79"/>
      <c r="M98" s="79"/>
      <c r="N98" s="74"/>
      <c r="O98" s="81" t="s">
        <v>179</v>
      </c>
      <c r="P98" s="83">
        <v>44459.930625000001</v>
      </c>
      <c r="Q98" s="81" t="s">
        <v>709</v>
      </c>
      <c r="R98" s="81"/>
      <c r="S98" s="81"/>
      <c r="T98" s="81"/>
      <c r="U98" s="81"/>
      <c r="V98" s="84" t="str">
        <f>HYPERLINK("https://pbs.twimg.com/profile_images/1443303748638543874/EowJ8mD8_normal.jpg")</f>
        <v>https://pbs.twimg.com/profile_images/1443303748638543874/EowJ8mD8_normal.jpg</v>
      </c>
      <c r="W98" s="83">
        <v>44459.930625000001</v>
      </c>
      <c r="X98" s="89">
        <v>44459</v>
      </c>
      <c r="Y98" s="86" t="s">
        <v>1049</v>
      </c>
      <c r="Z98" s="84" t="str">
        <f>HYPERLINK("https://twitter.com/ikertxu_cero8/status/1440078340963004416")</f>
        <v>https://twitter.com/ikertxu_cero8/status/1440078340963004416</v>
      </c>
      <c r="AA98" s="81"/>
      <c r="AB98" s="81"/>
      <c r="AC98" s="86" t="s">
        <v>1549</v>
      </c>
      <c r="AD98" s="81"/>
      <c r="AE98" s="81" t="b">
        <v>0</v>
      </c>
      <c r="AF98" s="81">
        <v>1</v>
      </c>
      <c r="AG98" s="86" t="s">
        <v>2084</v>
      </c>
      <c r="AH98" s="81" t="b">
        <v>0</v>
      </c>
      <c r="AI98" s="81" t="s">
        <v>2172</v>
      </c>
      <c r="AJ98" s="81"/>
      <c r="AK98" s="86" t="s">
        <v>2084</v>
      </c>
      <c r="AL98" s="81" t="b">
        <v>0</v>
      </c>
      <c r="AM98" s="81">
        <v>0</v>
      </c>
      <c r="AN98" s="86" t="s">
        <v>2084</v>
      </c>
      <c r="AO98" s="86" t="s">
        <v>2178</v>
      </c>
      <c r="AP98" s="81" t="b">
        <v>0</v>
      </c>
      <c r="AQ98" s="86" t="s">
        <v>1549</v>
      </c>
      <c r="AR98" s="81" t="s">
        <v>179</v>
      </c>
      <c r="AS98" s="81">
        <v>0</v>
      </c>
      <c r="AT98" s="81">
        <v>0</v>
      </c>
      <c r="AU98" s="81"/>
      <c r="AV98" s="81"/>
      <c r="AW98" s="81"/>
      <c r="AX98" s="81"/>
      <c r="AY98" s="81"/>
      <c r="AZ98" s="81"/>
      <c r="BA98" s="81"/>
      <c r="BB98" s="81"/>
    </row>
    <row r="99" spans="1:54" x14ac:dyDescent="0.35">
      <c r="A99" s="66" t="s">
        <v>254</v>
      </c>
      <c r="B99" s="66" t="s">
        <v>217</v>
      </c>
      <c r="C99" s="67"/>
      <c r="D99" s="68"/>
      <c r="E99" s="69"/>
      <c r="F99" s="70"/>
      <c r="G99" s="67"/>
      <c r="H99" s="71"/>
      <c r="I99" s="72"/>
      <c r="J99" s="72"/>
      <c r="K99" s="36"/>
      <c r="L99" s="79"/>
      <c r="M99" s="79"/>
      <c r="N99" s="74"/>
      <c r="O99" s="81" t="s">
        <v>693</v>
      </c>
      <c r="P99" s="83">
        <v>44459.965601851851</v>
      </c>
      <c r="Q99" s="81" t="s">
        <v>699</v>
      </c>
      <c r="R99" s="81"/>
      <c r="S99" s="81"/>
      <c r="T99" s="81"/>
      <c r="U99" s="84" t="str">
        <f>HYPERLINK("https://pbs.twimg.com/ext_tw_video_thumb/1439603623520993285/pu/img/4NCBVhjvbYSKxAvX.jpg")</f>
        <v>https://pbs.twimg.com/ext_tw_video_thumb/1439603623520993285/pu/img/4NCBVhjvbYSKxAvX.jpg</v>
      </c>
      <c r="V99" s="84" t="str">
        <f>HYPERLINK("https://pbs.twimg.com/ext_tw_video_thumb/1439603623520993285/pu/img/4NCBVhjvbYSKxAvX.jpg")</f>
        <v>https://pbs.twimg.com/ext_tw_video_thumb/1439603623520993285/pu/img/4NCBVhjvbYSKxAvX.jpg</v>
      </c>
      <c r="W99" s="83">
        <v>44459.965601851851</v>
      </c>
      <c r="X99" s="89">
        <v>44459</v>
      </c>
      <c r="Y99" s="86" t="s">
        <v>1050</v>
      </c>
      <c r="Z99" s="84" t="str">
        <f>HYPERLINK("https://twitter.com/alifmuamin/status/1440091015952494600")</f>
        <v>https://twitter.com/alifmuamin/status/1440091015952494600</v>
      </c>
      <c r="AA99" s="81"/>
      <c r="AB99" s="81"/>
      <c r="AC99" s="86" t="s">
        <v>1550</v>
      </c>
      <c r="AD99" s="81"/>
      <c r="AE99" s="81" t="b">
        <v>0</v>
      </c>
      <c r="AF99" s="81">
        <v>0</v>
      </c>
      <c r="AG99" s="86" t="s">
        <v>2084</v>
      </c>
      <c r="AH99" s="81" t="b">
        <v>0</v>
      </c>
      <c r="AI99" s="81" t="s">
        <v>2167</v>
      </c>
      <c r="AJ99" s="81"/>
      <c r="AK99" s="86" t="s">
        <v>2084</v>
      </c>
      <c r="AL99" s="81" t="b">
        <v>0</v>
      </c>
      <c r="AM99" s="81">
        <v>102</v>
      </c>
      <c r="AN99" s="86" t="s">
        <v>1559</v>
      </c>
      <c r="AO99" s="86" t="s">
        <v>2178</v>
      </c>
      <c r="AP99" s="81" t="b">
        <v>0</v>
      </c>
      <c r="AQ99" s="86" t="s">
        <v>1559</v>
      </c>
      <c r="AR99" s="81" t="s">
        <v>179</v>
      </c>
      <c r="AS99" s="81">
        <v>0</v>
      </c>
      <c r="AT99" s="81">
        <v>0</v>
      </c>
      <c r="AU99" s="81"/>
      <c r="AV99" s="81"/>
      <c r="AW99" s="81"/>
      <c r="AX99" s="81"/>
      <c r="AY99" s="81"/>
      <c r="AZ99" s="81"/>
      <c r="BA99" s="81"/>
      <c r="BB99" s="81"/>
    </row>
    <row r="100" spans="1:54" x14ac:dyDescent="0.35">
      <c r="A100" s="66" t="s">
        <v>4207</v>
      </c>
      <c r="B100" s="66" t="s">
        <v>4207</v>
      </c>
      <c r="C100" s="67"/>
      <c r="D100" s="68"/>
      <c r="E100" s="69"/>
      <c r="F100" s="70"/>
      <c r="G100" s="67"/>
      <c r="H100" s="71"/>
      <c r="I100" s="72"/>
      <c r="J100" s="72"/>
      <c r="K100" s="36"/>
      <c r="L100" s="79"/>
      <c r="M100" s="79"/>
      <c r="N100" s="74"/>
      <c r="O100" s="81" t="s">
        <v>179</v>
      </c>
      <c r="P100" s="83">
        <v>44459.989108796297</v>
      </c>
      <c r="Q100" s="81" t="s">
        <v>5293</v>
      </c>
      <c r="R100" s="84" t="str">
        <f>HYPERLINK("https://visao.sapo.pt/atualidade/sociedade/2021-04-21-a-longa-estrada-pos-covid/")</f>
        <v>https://visao.sapo.pt/atualidade/sociedade/2021-04-21-a-longa-estrada-pos-covid/</v>
      </c>
      <c r="S100" s="81" t="s">
        <v>5689</v>
      </c>
      <c r="T100" s="81"/>
      <c r="U100" s="81"/>
      <c r="V100" s="84" t="str">
        <f>HYPERLINK("https://pbs.twimg.com/profile_images/589763891581874176/1Xp881CI_normal.jpg")</f>
        <v>https://pbs.twimg.com/profile_images/589763891581874176/1Xp881CI_normal.jpg</v>
      </c>
      <c r="W100" s="83">
        <v>44459.989108796297</v>
      </c>
      <c r="X100" s="89">
        <v>44459</v>
      </c>
      <c r="Y100" s="86" t="s">
        <v>5829</v>
      </c>
      <c r="Z100" s="84" t="str">
        <f>HYPERLINK("https://twitter.com/vaniamaiapress/status/1440099535359856640")</f>
        <v>https://twitter.com/vaniamaiapress/status/1440099535359856640</v>
      </c>
      <c r="AA100" s="81"/>
      <c r="AB100" s="81"/>
      <c r="AC100" s="86" t="s">
        <v>6729</v>
      </c>
      <c r="AD100" s="86" t="s">
        <v>7623</v>
      </c>
      <c r="AE100" s="81" t="b">
        <v>0</v>
      </c>
      <c r="AF100" s="81">
        <v>0</v>
      </c>
      <c r="AG100" s="86" t="s">
        <v>7802</v>
      </c>
      <c r="AH100" s="81" t="b">
        <v>0</v>
      </c>
      <c r="AI100" s="81" t="s">
        <v>2171</v>
      </c>
      <c r="AJ100" s="81"/>
      <c r="AK100" s="86" t="s">
        <v>2084</v>
      </c>
      <c r="AL100" s="81" t="b">
        <v>0</v>
      </c>
      <c r="AM100" s="81">
        <v>0</v>
      </c>
      <c r="AN100" s="86" t="s">
        <v>2084</v>
      </c>
      <c r="AO100" s="86" t="s">
        <v>2179</v>
      </c>
      <c r="AP100" s="81" t="b">
        <v>0</v>
      </c>
      <c r="AQ100" s="86" t="s">
        <v>7623</v>
      </c>
      <c r="AR100" s="81" t="s">
        <v>179</v>
      </c>
      <c r="AS100" s="81">
        <v>0</v>
      </c>
      <c r="AT100" s="81">
        <v>0</v>
      </c>
      <c r="AU100" s="81"/>
      <c r="AV100" s="81"/>
      <c r="AW100" s="81"/>
      <c r="AX100" s="81"/>
      <c r="AY100" s="81"/>
      <c r="AZ100" s="81"/>
      <c r="BA100" s="81"/>
      <c r="BB100" s="81"/>
    </row>
    <row r="101" spans="1:54" x14ac:dyDescent="0.35">
      <c r="A101" s="66" t="s">
        <v>4208</v>
      </c>
      <c r="B101" s="66" t="s">
        <v>4257</v>
      </c>
      <c r="C101" s="67"/>
      <c r="D101" s="68"/>
      <c r="E101" s="69"/>
      <c r="F101" s="70"/>
      <c r="G101" s="67"/>
      <c r="H101" s="71"/>
      <c r="I101" s="72"/>
      <c r="J101" s="72"/>
      <c r="K101" s="36"/>
      <c r="L101" s="79"/>
      <c r="M101" s="79"/>
      <c r="N101" s="74"/>
      <c r="O101" s="81" t="s">
        <v>693</v>
      </c>
      <c r="P101" s="83">
        <v>44459.99428240741</v>
      </c>
      <c r="Q101" s="81" t="s">
        <v>5294</v>
      </c>
      <c r="R101"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01" s="81" t="s">
        <v>935</v>
      </c>
      <c r="T101" s="81"/>
      <c r="U101" s="81"/>
      <c r="V101" s="84" t="str">
        <f>HYPERLINK("https://pbs.twimg.com/profile_images/1235635923435438081/UIntYrgd_normal.jpg")</f>
        <v>https://pbs.twimg.com/profile_images/1235635923435438081/UIntYrgd_normal.jpg</v>
      </c>
      <c r="W101" s="83">
        <v>44459.99428240741</v>
      </c>
      <c r="X101" s="89">
        <v>44459</v>
      </c>
      <c r="Y101" s="86" t="s">
        <v>5830</v>
      </c>
      <c r="Z101" s="84" t="str">
        <f>HYPERLINK("https://twitter.com/yusuf40566090/status/1440101407978188801")</f>
        <v>https://twitter.com/yusuf40566090/status/1440101407978188801</v>
      </c>
      <c r="AA101" s="81"/>
      <c r="AB101" s="81"/>
      <c r="AC101" s="86" t="s">
        <v>6730</v>
      </c>
      <c r="AD101" s="81"/>
      <c r="AE101" s="81" t="b">
        <v>0</v>
      </c>
      <c r="AF101" s="81">
        <v>0</v>
      </c>
      <c r="AG101" s="86" t="s">
        <v>2084</v>
      </c>
      <c r="AH101" s="81" t="b">
        <v>0</v>
      </c>
      <c r="AI101" s="81" t="s">
        <v>2167</v>
      </c>
      <c r="AJ101" s="81"/>
      <c r="AK101" s="86" t="s">
        <v>2084</v>
      </c>
      <c r="AL101" s="81" t="b">
        <v>0</v>
      </c>
      <c r="AM101" s="81">
        <v>231</v>
      </c>
      <c r="AN101" s="86" t="s">
        <v>6781</v>
      </c>
      <c r="AO101" s="86" t="s">
        <v>2178</v>
      </c>
      <c r="AP101" s="81" t="b">
        <v>0</v>
      </c>
      <c r="AQ101" s="86" t="s">
        <v>6781</v>
      </c>
      <c r="AR101" s="81" t="s">
        <v>179</v>
      </c>
      <c r="AS101" s="81">
        <v>0</v>
      </c>
      <c r="AT101" s="81">
        <v>0</v>
      </c>
      <c r="AU101" s="81"/>
      <c r="AV101" s="81"/>
      <c r="AW101" s="81"/>
      <c r="AX101" s="81"/>
      <c r="AY101" s="81"/>
      <c r="AZ101" s="81"/>
      <c r="BA101" s="81"/>
      <c r="BB101" s="81"/>
    </row>
    <row r="102" spans="1:54" x14ac:dyDescent="0.35">
      <c r="A102" s="66" t="s">
        <v>4209</v>
      </c>
      <c r="B102" s="66" t="s">
        <v>4257</v>
      </c>
      <c r="C102" s="67"/>
      <c r="D102" s="68"/>
      <c r="E102" s="69"/>
      <c r="F102" s="70"/>
      <c r="G102" s="67"/>
      <c r="H102" s="71"/>
      <c r="I102" s="72"/>
      <c r="J102" s="72"/>
      <c r="K102" s="36"/>
      <c r="L102" s="79"/>
      <c r="M102" s="79"/>
      <c r="N102" s="74"/>
      <c r="O102" s="81" t="s">
        <v>693</v>
      </c>
      <c r="P102" s="83">
        <v>44459.994305555556</v>
      </c>
      <c r="Q102" s="81" t="s">
        <v>5294</v>
      </c>
      <c r="R102"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02" s="81" t="s">
        <v>935</v>
      </c>
      <c r="T102" s="81"/>
      <c r="U102" s="81"/>
      <c r="V102" s="84" t="str">
        <f>HYPERLINK("https://pbs.twimg.com/profile_images/1426605340334837762/Lp9Zwjco_normal.jpg")</f>
        <v>https://pbs.twimg.com/profile_images/1426605340334837762/Lp9Zwjco_normal.jpg</v>
      </c>
      <c r="W102" s="83">
        <v>44459.994305555556</v>
      </c>
      <c r="X102" s="89">
        <v>44459</v>
      </c>
      <c r="Y102" s="86" t="s">
        <v>5831</v>
      </c>
      <c r="Z102" s="84" t="str">
        <f>HYPERLINK("https://twitter.com/kulinerbocah/status/1440101418371674113")</f>
        <v>https://twitter.com/kulinerbocah/status/1440101418371674113</v>
      </c>
      <c r="AA102" s="81"/>
      <c r="AB102" s="81"/>
      <c r="AC102" s="86" t="s">
        <v>6731</v>
      </c>
      <c r="AD102" s="81"/>
      <c r="AE102" s="81" t="b">
        <v>0</v>
      </c>
      <c r="AF102" s="81">
        <v>0</v>
      </c>
      <c r="AG102" s="86" t="s">
        <v>2084</v>
      </c>
      <c r="AH102" s="81" t="b">
        <v>0</v>
      </c>
      <c r="AI102" s="81" t="s">
        <v>2167</v>
      </c>
      <c r="AJ102" s="81"/>
      <c r="AK102" s="86" t="s">
        <v>2084</v>
      </c>
      <c r="AL102" s="81" t="b">
        <v>0</v>
      </c>
      <c r="AM102" s="81">
        <v>231</v>
      </c>
      <c r="AN102" s="86" t="s">
        <v>6781</v>
      </c>
      <c r="AO102" s="86" t="s">
        <v>2178</v>
      </c>
      <c r="AP102" s="81" t="b">
        <v>0</v>
      </c>
      <c r="AQ102" s="86" t="s">
        <v>6781</v>
      </c>
      <c r="AR102" s="81" t="s">
        <v>179</v>
      </c>
      <c r="AS102" s="81">
        <v>0</v>
      </c>
      <c r="AT102" s="81">
        <v>0</v>
      </c>
      <c r="AU102" s="81"/>
      <c r="AV102" s="81"/>
      <c r="AW102" s="81"/>
      <c r="AX102" s="81"/>
      <c r="AY102" s="81"/>
      <c r="AZ102" s="81"/>
      <c r="BA102" s="81"/>
      <c r="BB102" s="81"/>
    </row>
    <row r="103" spans="1:54" x14ac:dyDescent="0.35">
      <c r="A103" s="66" t="s">
        <v>4210</v>
      </c>
      <c r="B103" s="66" t="s">
        <v>4257</v>
      </c>
      <c r="C103" s="67"/>
      <c r="D103" s="68"/>
      <c r="E103" s="69"/>
      <c r="F103" s="70"/>
      <c r="G103" s="67"/>
      <c r="H103" s="71"/>
      <c r="I103" s="72"/>
      <c r="J103" s="72"/>
      <c r="K103" s="36"/>
      <c r="L103" s="79"/>
      <c r="M103" s="79"/>
      <c r="N103" s="74"/>
      <c r="O103" s="81" t="s">
        <v>693</v>
      </c>
      <c r="P103" s="83">
        <v>44459.994722222225</v>
      </c>
      <c r="Q103" s="81" t="s">
        <v>5294</v>
      </c>
      <c r="R103"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03" s="81" t="s">
        <v>935</v>
      </c>
      <c r="T103" s="81"/>
      <c r="U103" s="81"/>
      <c r="V103" s="84" t="str">
        <f>HYPERLINK("https://pbs.twimg.com/profile_images/1432263813852581891/TatcC1xp_normal.jpg")</f>
        <v>https://pbs.twimg.com/profile_images/1432263813852581891/TatcC1xp_normal.jpg</v>
      </c>
      <c r="W103" s="83">
        <v>44459.994722222225</v>
      </c>
      <c r="X103" s="89">
        <v>44459</v>
      </c>
      <c r="Y103" s="86" t="s">
        <v>5832</v>
      </c>
      <c r="Z103" s="84" t="str">
        <f>HYPERLINK("https://twitter.com/chenatmadja/status/1440101569643499525")</f>
        <v>https://twitter.com/chenatmadja/status/1440101569643499525</v>
      </c>
      <c r="AA103" s="81"/>
      <c r="AB103" s="81"/>
      <c r="AC103" s="86" t="s">
        <v>6732</v>
      </c>
      <c r="AD103" s="81"/>
      <c r="AE103" s="81" t="b">
        <v>0</v>
      </c>
      <c r="AF103" s="81">
        <v>0</v>
      </c>
      <c r="AG103" s="86" t="s">
        <v>2084</v>
      </c>
      <c r="AH103" s="81" t="b">
        <v>0</v>
      </c>
      <c r="AI103" s="81" t="s">
        <v>2167</v>
      </c>
      <c r="AJ103" s="81"/>
      <c r="AK103" s="86" t="s">
        <v>2084</v>
      </c>
      <c r="AL103" s="81" t="b">
        <v>0</v>
      </c>
      <c r="AM103" s="81">
        <v>231</v>
      </c>
      <c r="AN103" s="86" t="s">
        <v>6781</v>
      </c>
      <c r="AO103" s="86" t="s">
        <v>2178</v>
      </c>
      <c r="AP103" s="81" t="b">
        <v>0</v>
      </c>
      <c r="AQ103" s="86" t="s">
        <v>6781</v>
      </c>
      <c r="AR103" s="81" t="s">
        <v>179</v>
      </c>
      <c r="AS103" s="81">
        <v>0</v>
      </c>
      <c r="AT103" s="81">
        <v>0</v>
      </c>
      <c r="AU103" s="81"/>
      <c r="AV103" s="81"/>
      <c r="AW103" s="81"/>
      <c r="AX103" s="81"/>
      <c r="AY103" s="81"/>
      <c r="AZ103" s="81"/>
      <c r="BA103" s="81"/>
      <c r="BB103" s="81"/>
    </row>
    <row r="104" spans="1:54" x14ac:dyDescent="0.35">
      <c r="A104" s="66" t="s">
        <v>4211</v>
      </c>
      <c r="B104" s="66" t="s">
        <v>4257</v>
      </c>
      <c r="C104" s="67"/>
      <c r="D104" s="68"/>
      <c r="E104" s="69"/>
      <c r="F104" s="70"/>
      <c r="G104" s="67"/>
      <c r="H104" s="71"/>
      <c r="I104" s="72"/>
      <c r="J104" s="72"/>
      <c r="K104" s="36"/>
      <c r="L104" s="79"/>
      <c r="M104" s="79"/>
      <c r="N104" s="74"/>
      <c r="O104" s="81" t="s">
        <v>693</v>
      </c>
      <c r="P104" s="83">
        <v>44459.994837962964</v>
      </c>
      <c r="Q104" s="81" t="s">
        <v>5294</v>
      </c>
      <c r="R104"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04" s="81" t="s">
        <v>935</v>
      </c>
      <c r="T104" s="81"/>
      <c r="U104" s="81"/>
      <c r="V104" s="84" t="str">
        <f>HYPERLINK("https://pbs.twimg.com/profile_images/1440579108543426569/xXAFdInO_normal.jpg")</f>
        <v>https://pbs.twimg.com/profile_images/1440579108543426569/xXAFdInO_normal.jpg</v>
      </c>
      <c r="W104" s="83">
        <v>44459.994837962964</v>
      </c>
      <c r="X104" s="89">
        <v>44459</v>
      </c>
      <c r="Y104" s="86" t="s">
        <v>5833</v>
      </c>
      <c r="Z104" s="84" t="str">
        <f>HYPERLINK("https://twitter.com/lannajjang/status/1440101611875942401")</f>
        <v>https://twitter.com/lannajjang/status/1440101611875942401</v>
      </c>
      <c r="AA104" s="81"/>
      <c r="AB104" s="81"/>
      <c r="AC104" s="86" t="s">
        <v>6733</v>
      </c>
      <c r="AD104" s="81"/>
      <c r="AE104" s="81" t="b">
        <v>0</v>
      </c>
      <c r="AF104" s="81">
        <v>0</v>
      </c>
      <c r="AG104" s="86" t="s">
        <v>2084</v>
      </c>
      <c r="AH104" s="81" t="b">
        <v>0</v>
      </c>
      <c r="AI104" s="81" t="s">
        <v>2167</v>
      </c>
      <c r="AJ104" s="81"/>
      <c r="AK104" s="86" t="s">
        <v>2084</v>
      </c>
      <c r="AL104" s="81" t="b">
        <v>0</v>
      </c>
      <c r="AM104" s="81">
        <v>231</v>
      </c>
      <c r="AN104" s="86" t="s">
        <v>6781</v>
      </c>
      <c r="AO104" s="86" t="s">
        <v>2181</v>
      </c>
      <c r="AP104" s="81" t="b">
        <v>0</v>
      </c>
      <c r="AQ104" s="86" t="s">
        <v>6781</v>
      </c>
      <c r="AR104" s="81" t="s">
        <v>179</v>
      </c>
      <c r="AS104" s="81">
        <v>0</v>
      </c>
      <c r="AT104" s="81">
        <v>0</v>
      </c>
      <c r="AU104" s="81"/>
      <c r="AV104" s="81"/>
      <c r="AW104" s="81"/>
      <c r="AX104" s="81"/>
      <c r="AY104" s="81"/>
      <c r="AZ104" s="81"/>
      <c r="BA104" s="81"/>
      <c r="BB104" s="81"/>
    </row>
    <row r="105" spans="1:54" x14ac:dyDescent="0.35">
      <c r="A105" s="66" t="s">
        <v>4212</v>
      </c>
      <c r="B105" s="66" t="s">
        <v>4257</v>
      </c>
      <c r="C105" s="67"/>
      <c r="D105" s="68"/>
      <c r="E105" s="69"/>
      <c r="F105" s="70"/>
      <c r="G105" s="67"/>
      <c r="H105" s="71"/>
      <c r="I105" s="72"/>
      <c r="J105" s="72"/>
      <c r="K105" s="36"/>
      <c r="L105" s="79"/>
      <c r="M105" s="79"/>
      <c r="N105" s="74"/>
      <c r="O105" s="81" t="s">
        <v>693</v>
      </c>
      <c r="P105" s="83">
        <v>44459.995868055557</v>
      </c>
      <c r="Q105" s="81" t="s">
        <v>5294</v>
      </c>
      <c r="R105"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05" s="81" t="s">
        <v>935</v>
      </c>
      <c r="T105" s="81"/>
      <c r="U105" s="81"/>
      <c r="V105" s="84" t="str">
        <f>HYPERLINK("https://pbs.twimg.com/profile_images/1427578642758918144/iJ_QlSnG_normal.jpg")</f>
        <v>https://pbs.twimg.com/profile_images/1427578642758918144/iJ_QlSnG_normal.jpg</v>
      </c>
      <c r="W105" s="83">
        <v>44459.995868055557</v>
      </c>
      <c r="X105" s="89">
        <v>44459</v>
      </c>
      <c r="Y105" s="86" t="s">
        <v>5834</v>
      </c>
      <c r="Z105" s="84" t="str">
        <f>HYPERLINK("https://twitter.com/hoppeluckyyyy/status/1440101984640528389")</f>
        <v>https://twitter.com/hoppeluckyyyy/status/1440101984640528389</v>
      </c>
      <c r="AA105" s="81"/>
      <c r="AB105" s="81"/>
      <c r="AC105" s="86" t="s">
        <v>6734</v>
      </c>
      <c r="AD105" s="81"/>
      <c r="AE105" s="81" t="b">
        <v>0</v>
      </c>
      <c r="AF105" s="81">
        <v>0</v>
      </c>
      <c r="AG105" s="86" t="s">
        <v>2084</v>
      </c>
      <c r="AH105" s="81" t="b">
        <v>0</v>
      </c>
      <c r="AI105" s="81" t="s">
        <v>2167</v>
      </c>
      <c r="AJ105" s="81"/>
      <c r="AK105" s="86" t="s">
        <v>2084</v>
      </c>
      <c r="AL105" s="81" t="b">
        <v>0</v>
      </c>
      <c r="AM105" s="81">
        <v>231</v>
      </c>
      <c r="AN105" s="86" t="s">
        <v>6781</v>
      </c>
      <c r="AO105" s="86" t="s">
        <v>2178</v>
      </c>
      <c r="AP105" s="81" t="b">
        <v>0</v>
      </c>
      <c r="AQ105" s="86" t="s">
        <v>6781</v>
      </c>
      <c r="AR105" s="81" t="s">
        <v>179</v>
      </c>
      <c r="AS105" s="81">
        <v>0</v>
      </c>
      <c r="AT105" s="81">
        <v>0</v>
      </c>
      <c r="AU105" s="81"/>
      <c r="AV105" s="81"/>
      <c r="AW105" s="81"/>
      <c r="AX105" s="81"/>
      <c r="AY105" s="81"/>
      <c r="AZ105" s="81"/>
      <c r="BA105" s="81"/>
      <c r="BB105" s="81"/>
    </row>
    <row r="106" spans="1:54" x14ac:dyDescent="0.35">
      <c r="A106" s="66" t="s">
        <v>4213</v>
      </c>
      <c r="B106" s="66" t="s">
        <v>4257</v>
      </c>
      <c r="C106" s="67"/>
      <c r="D106" s="68"/>
      <c r="E106" s="69"/>
      <c r="F106" s="70"/>
      <c r="G106" s="67"/>
      <c r="H106" s="71"/>
      <c r="I106" s="72"/>
      <c r="J106" s="72"/>
      <c r="K106" s="36"/>
      <c r="L106" s="79"/>
      <c r="M106" s="79"/>
      <c r="N106" s="74"/>
      <c r="O106" s="81" t="s">
        <v>693</v>
      </c>
      <c r="P106" s="83">
        <v>44459.996851851851</v>
      </c>
      <c r="Q106" s="81" t="s">
        <v>5294</v>
      </c>
      <c r="R106"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06" s="81" t="s">
        <v>935</v>
      </c>
      <c r="T106" s="81"/>
      <c r="U106" s="81"/>
      <c r="V106" s="84" t="str">
        <f>HYPERLINK("https://pbs.twimg.com/profile_images/1443086309803786240/JKWRSv43_normal.jpg")</f>
        <v>https://pbs.twimg.com/profile_images/1443086309803786240/JKWRSv43_normal.jpg</v>
      </c>
      <c r="W106" s="83">
        <v>44459.996851851851</v>
      </c>
      <c r="X106" s="89">
        <v>44459</v>
      </c>
      <c r="Y106" s="86" t="s">
        <v>5835</v>
      </c>
      <c r="Z106" s="84" t="str">
        <f>HYPERLINK("https://twitter.com/bigwinoctocityx/status/1440102338903953412")</f>
        <v>https://twitter.com/bigwinoctocityx/status/1440102338903953412</v>
      </c>
      <c r="AA106" s="81"/>
      <c r="AB106" s="81"/>
      <c r="AC106" s="86" t="s">
        <v>6735</v>
      </c>
      <c r="AD106" s="81"/>
      <c r="AE106" s="81" t="b">
        <v>0</v>
      </c>
      <c r="AF106" s="81">
        <v>0</v>
      </c>
      <c r="AG106" s="86" t="s">
        <v>2084</v>
      </c>
      <c r="AH106" s="81" t="b">
        <v>0</v>
      </c>
      <c r="AI106" s="81" t="s">
        <v>2167</v>
      </c>
      <c r="AJ106" s="81"/>
      <c r="AK106" s="86" t="s">
        <v>2084</v>
      </c>
      <c r="AL106" s="81" t="b">
        <v>0</v>
      </c>
      <c r="AM106" s="81">
        <v>231</v>
      </c>
      <c r="AN106" s="86" t="s">
        <v>6781</v>
      </c>
      <c r="AO106" s="86" t="s">
        <v>2178</v>
      </c>
      <c r="AP106" s="81" t="b">
        <v>0</v>
      </c>
      <c r="AQ106" s="86" t="s">
        <v>6781</v>
      </c>
      <c r="AR106" s="81" t="s">
        <v>179</v>
      </c>
      <c r="AS106" s="81">
        <v>0</v>
      </c>
      <c r="AT106" s="81">
        <v>0</v>
      </c>
      <c r="AU106" s="81"/>
      <c r="AV106" s="81"/>
      <c r="AW106" s="81"/>
      <c r="AX106" s="81"/>
      <c r="AY106" s="81"/>
      <c r="AZ106" s="81"/>
      <c r="BA106" s="81"/>
      <c r="BB106" s="81"/>
    </row>
    <row r="107" spans="1:54" x14ac:dyDescent="0.35">
      <c r="A107" s="66" t="s">
        <v>4214</v>
      </c>
      <c r="B107" s="66" t="s">
        <v>4257</v>
      </c>
      <c r="C107" s="67"/>
      <c r="D107" s="68"/>
      <c r="E107" s="69"/>
      <c r="F107" s="70"/>
      <c r="G107" s="67"/>
      <c r="H107" s="71"/>
      <c r="I107" s="72"/>
      <c r="J107" s="72"/>
      <c r="K107" s="36"/>
      <c r="L107" s="79"/>
      <c r="M107" s="79"/>
      <c r="N107" s="74"/>
      <c r="O107" s="81" t="s">
        <v>693</v>
      </c>
      <c r="P107" s="83">
        <v>44459.997083333335</v>
      </c>
      <c r="Q107" s="81" t="s">
        <v>5294</v>
      </c>
      <c r="R107"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07" s="81" t="s">
        <v>935</v>
      </c>
      <c r="T107" s="81"/>
      <c r="U107" s="81"/>
      <c r="V107" s="84" t="str">
        <f>HYPERLINK("https://pbs.twimg.com/profile_images/1441621339106803713/WKqAhKCU_normal.jpg")</f>
        <v>https://pbs.twimg.com/profile_images/1441621339106803713/WKqAhKCU_normal.jpg</v>
      </c>
      <c r="W107" s="83">
        <v>44459.997083333335</v>
      </c>
      <c r="X107" s="89">
        <v>44459</v>
      </c>
      <c r="Y107" s="86" t="s">
        <v>5836</v>
      </c>
      <c r="Z107" s="84" t="str">
        <f>HYPERLINK("https://twitter.com/hadehehh/status/1440102423310204931")</f>
        <v>https://twitter.com/hadehehh/status/1440102423310204931</v>
      </c>
      <c r="AA107" s="81"/>
      <c r="AB107" s="81"/>
      <c r="AC107" s="86" t="s">
        <v>6736</v>
      </c>
      <c r="AD107" s="81"/>
      <c r="AE107" s="81" t="b">
        <v>0</v>
      </c>
      <c r="AF107" s="81">
        <v>0</v>
      </c>
      <c r="AG107" s="86" t="s">
        <v>2084</v>
      </c>
      <c r="AH107" s="81" t="b">
        <v>0</v>
      </c>
      <c r="AI107" s="81" t="s">
        <v>2167</v>
      </c>
      <c r="AJ107" s="81"/>
      <c r="AK107" s="86" t="s">
        <v>2084</v>
      </c>
      <c r="AL107" s="81" t="b">
        <v>0</v>
      </c>
      <c r="AM107" s="81">
        <v>231</v>
      </c>
      <c r="AN107" s="86" t="s">
        <v>6781</v>
      </c>
      <c r="AO107" s="86" t="s">
        <v>2178</v>
      </c>
      <c r="AP107" s="81" t="b">
        <v>0</v>
      </c>
      <c r="AQ107" s="86" t="s">
        <v>6781</v>
      </c>
      <c r="AR107" s="81" t="s">
        <v>179</v>
      </c>
      <c r="AS107" s="81">
        <v>0</v>
      </c>
      <c r="AT107" s="81">
        <v>0</v>
      </c>
      <c r="AU107" s="81"/>
      <c r="AV107" s="81"/>
      <c r="AW107" s="81"/>
      <c r="AX107" s="81"/>
      <c r="AY107" s="81"/>
      <c r="AZ107" s="81"/>
      <c r="BA107" s="81"/>
      <c r="BB107" s="81"/>
    </row>
    <row r="108" spans="1:54" x14ac:dyDescent="0.35">
      <c r="A108" s="66" t="s">
        <v>4215</v>
      </c>
      <c r="B108" s="66" t="s">
        <v>4257</v>
      </c>
      <c r="C108" s="67"/>
      <c r="D108" s="68"/>
      <c r="E108" s="69"/>
      <c r="F108" s="70"/>
      <c r="G108" s="67"/>
      <c r="H108" s="71"/>
      <c r="I108" s="72"/>
      <c r="J108" s="72"/>
      <c r="K108" s="36"/>
      <c r="L108" s="79"/>
      <c r="M108" s="79"/>
      <c r="N108" s="74"/>
      <c r="O108" s="81" t="s">
        <v>693</v>
      </c>
      <c r="P108" s="83">
        <v>44459.998923611114</v>
      </c>
      <c r="Q108" s="81" t="s">
        <v>5294</v>
      </c>
      <c r="R108"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08" s="81" t="s">
        <v>935</v>
      </c>
      <c r="T108" s="81"/>
      <c r="U108" s="81"/>
      <c r="V108" s="84" t="str">
        <f>HYPERLINK("https://pbs.twimg.com/profile_images/1312958651028578304/jjX6XkTA_normal.jpg")</f>
        <v>https://pbs.twimg.com/profile_images/1312958651028578304/jjX6XkTA_normal.jpg</v>
      </c>
      <c r="W108" s="83">
        <v>44459.998923611114</v>
      </c>
      <c r="X108" s="89">
        <v>44459</v>
      </c>
      <c r="Y108" s="86" t="s">
        <v>5837</v>
      </c>
      <c r="Z108" s="84" t="str">
        <f>HYPERLINK("https://twitter.com/terariniy/status/1440103091404087297")</f>
        <v>https://twitter.com/terariniy/status/1440103091404087297</v>
      </c>
      <c r="AA108" s="81"/>
      <c r="AB108" s="81"/>
      <c r="AC108" s="86" t="s">
        <v>6737</v>
      </c>
      <c r="AD108" s="81"/>
      <c r="AE108" s="81" t="b">
        <v>0</v>
      </c>
      <c r="AF108" s="81">
        <v>0</v>
      </c>
      <c r="AG108" s="86" t="s">
        <v>2084</v>
      </c>
      <c r="AH108" s="81" t="b">
        <v>0</v>
      </c>
      <c r="AI108" s="81" t="s">
        <v>2167</v>
      </c>
      <c r="AJ108" s="81"/>
      <c r="AK108" s="86" t="s">
        <v>2084</v>
      </c>
      <c r="AL108" s="81" t="b">
        <v>0</v>
      </c>
      <c r="AM108" s="81">
        <v>231</v>
      </c>
      <c r="AN108" s="86" t="s">
        <v>6781</v>
      </c>
      <c r="AO108" s="86" t="s">
        <v>2178</v>
      </c>
      <c r="AP108" s="81" t="b">
        <v>0</v>
      </c>
      <c r="AQ108" s="86" t="s">
        <v>6781</v>
      </c>
      <c r="AR108" s="81" t="s">
        <v>179</v>
      </c>
      <c r="AS108" s="81">
        <v>0</v>
      </c>
      <c r="AT108" s="81">
        <v>0</v>
      </c>
      <c r="AU108" s="81"/>
      <c r="AV108" s="81"/>
      <c r="AW108" s="81"/>
      <c r="AX108" s="81"/>
      <c r="AY108" s="81"/>
      <c r="AZ108" s="81"/>
      <c r="BA108" s="81"/>
      <c r="BB108" s="81"/>
    </row>
    <row r="109" spans="1:54" x14ac:dyDescent="0.35">
      <c r="A109" s="66" t="s">
        <v>4216</v>
      </c>
      <c r="B109" s="66" t="s">
        <v>4257</v>
      </c>
      <c r="C109" s="67"/>
      <c r="D109" s="68"/>
      <c r="E109" s="69"/>
      <c r="F109" s="70"/>
      <c r="G109" s="67"/>
      <c r="H109" s="71"/>
      <c r="I109" s="72"/>
      <c r="J109" s="72"/>
      <c r="K109" s="36"/>
      <c r="L109" s="79"/>
      <c r="M109" s="79"/>
      <c r="N109" s="74"/>
      <c r="O109" s="81" t="s">
        <v>693</v>
      </c>
      <c r="P109" s="83">
        <v>44459.999374999999</v>
      </c>
      <c r="Q109" s="81" t="s">
        <v>5294</v>
      </c>
      <c r="R109"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09" s="81" t="s">
        <v>935</v>
      </c>
      <c r="T109" s="81"/>
      <c r="U109" s="81"/>
      <c r="V109" s="84" t="str">
        <f>HYPERLINK("https://pbs.twimg.com/profile_images/1414218603939782665/lPwar3Un_normal.jpg")</f>
        <v>https://pbs.twimg.com/profile_images/1414218603939782665/lPwar3Un_normal.jpg</v>
      </c>
      <c r="W109" s="83">
        <v>44459.999374999999</v>
      </c>
      <c r="X109" s="89">
        <v>44459</v>
      </c>
      <c r="Y109" s="86" t="s">
        <v>5838</v>
      </c>
      <c r="Z109" s="84" t="str">
        <f>HYPERLINK("https://twitter.com/memetwin1707_/status/1440103253794906115")</f>
        <v>https://twitter.com/memetwin1707_/status/1440103253794906115</v>
      </c>
      <c r="AA109" s="81"/>
      <c r="AB109" s="81"/>
      <c r="AC109" s="86" t="s">
        <v>6738</v>
      </c>
      <c r="AD109" s="81"/>
      <c r="AE109" s="81" t="b">
        <v>0</v>
      </c>
      <c r="AF109" s="81">
        <v>0</v>
      </c>
      <c r="AG109" s="86" t="s">
        <v>2084</v>
      </c>
      <c r="AH109" s="81" t="b">
        <v>0</v>
      </c>
      <c r="AI109" s="81" t="s">
        <v>2167</v>
      </c>
      <c r="AJ109" s="81"/>
      <c r="AK109" s="86" t="s">
        <v>2084</v>
      </c>
      <c r="AL109" s="81" t="b">
        <v>0</v>
      </c>
      <c r="AM109" s="81">
        <v>231</v>
      </c>
      <c r="AN109" s="86" t="s">
        <v>6781</v>
      </c>
      <c r="AO109" s="86" t="s">
        <v>2178</v>
      </c>
      <c r="AP109" s="81" t="b">
        <v>0</v>
      </c>
      <c r="AQ109" s="86" t="s">
        <v>6781</v>
      </c>
      <c r="AR109" s="81" t="s">
        <v>179</v>
      </c>
      <c r="AS109" s="81">
        <v>0</v>
      </c>
      <c r="AT109" s="81">
        <v>0</v>
      </c>
      <c r="AU109" s="81"/>
      <c r="AV109" s="81"/>
      <c r="AW109" s="81"/>
      <c r="AX109" s="81"/>
      <c r="AY109" s="81"/>
      <c r="AZ109" s="81"/>
      <c r="BA109" s="81"/>
      <c r="BB109" s="81"/>
    </row>
    <row r="110" spans="1:54" x14ac:dyDescent="0.35">
      <c r="A110" s="66" t="s">
        <v>255</v>
      </c>
      <c r="B110" s="66" t="s">
        <v>596</v>
      </c>
      <c r="C110" s="67"/>
      <c r="D110" s="68"/>
      <c r="E110" s="69"/>
      <c r="F110" s="70"/>
      <c r="G110" s="67"/>
      <c r="H110" s="71"/>
      <c r="I110" s="72"/>
      <c r="J110" s="72"/>
      <c r="K110" s="36"/>
      <c r="L110" s="79"/>
      <c r="M110" s="79"/>
      <c r="N110" s="74"/>
      <c r="O110" s="81" t="s">
        <v>693</v>
      </c>
      <c r="P110" s="83">
        <v>44460.000428240739</v>
      </c>
      <c r="Q110" s="81" t="s">
        <v>701</v>
      </c>
      <c r="R110" s="84" t="str">
        <f>HYPERLINK("https://api.whatsapp.com/send?phone=6281222353823")</f>
        <v>https://api.whatsapp.com/send?phone=6281222353823</v>
      </c>
      <c r="S110" s="81" t="s">
        <v>940</v>
      </c>
      <c r="T110" s="81"/>
      <c r="U110" s="84" t="str">
        <f>HYPERLINK("https://pbs.twimg.com/media/E_P_XMQWYAUXeaR.jpg")</f>
        <v>https://pbs.twimg.com/media/E_P_XMQWYAUXeaR.jpg</v>
      </c>
      <c r="V110" s="84" t="str">
        <f>HYPERLINK("https://pbs.twimg.com/media/E_P_XMQWYAUXeaR.jpg")</f>
        <v>https://pbs.twimg.com/media/E_P_XMQWYAUXeaR.jpg</v>
      </c>
      <c r="W110" s="83">
        <v>44460.000428240739</v>
      </c>
      <c r="X110" s="89">
        <v>44460</v>
      </c>
      <c r="Y110" s="86" t="s">
        <v>1051</v>
      </c>
      <c r="Z110" s="84" t="str">
        <f>HYPERLINK("https://twitter.com/alyssaaudy/status/1440103635321450499")</f>
        <v>https://twitter.com/alyssaaudy/status/1440103635321450499</v>
      </c>
      <c r="AA110" s="81"/>
      <c r="AB110" s="81"/>
      <c r="AC110" s="86" t="s">
        <v>1551</v>
      </c>
      <c r="AD110" s="81"/>
      <c r="AE110" s="81" t="b">
        <v>0</v>
      </c>
      <c r="AF110" s="81">
        <v>0</v>
      </c>
      <c r="AG110" s="86" t="s">
        <v>2084</v>
      </c>
      <c r="AH110" s="81" t="b">
        <v>0</v>
      </c>
      <c r="AI110" s="81" t="s">
        <v>2167</v>
      </c>
      <c r="AJ110" s="81"/>
      <c r="AK110" s="86" t="s">
        <v>2084</v>
      </c>
      <c r="AL110" s="81" t="b">
        <v>0</v>
      </c>
      <c r="AM110" s="81">
        <v>51</v>
      </c>
      <c r="AN110" s="86" t="s">
        <v>2005</v>
      </c>
      <c r="AO110" s="86" t="s">
        <v>2179</v>
      </c>
      <c r="AP110" s="81" t="b">
        <v>0</v>
      </c>
      <c r="AQ110" s="86" t="s">
        <v>2005</v>
      </c>
      <c r="AR110" s="81" t="s">
        <v>179</v>
      </c>
      <c r="AS110" s="81">
        <v>0</v>
      </c>
      <c r="AT110" s="81">
        <v>0</v>
      </c>
      <c r="AU110" s="81"/>
      <c r="AV110" s="81"/>
      <c r="AW110" s="81"/>
      <c r="AX110" s="81"/>
      <c r="AY110" s="81"/>
      <c r="AZ110" s="81"/>
      <c r="BA110" s="81"/>
      <c r="BB110" s="81"/>
    </row>
    <row r="111" spans="1:54" x14ac:dyDescent="0.35">
      <c r="A111" s="66" t="s">
        <v>4217</v>
      </c>
      <c r="B111" s="66" t="s">
        <v>4257</v>
      </c>
      <c r="C111" s="67"/>
      <c r="D111" s="68"/>
      <c r="E111" s="69"/>
      <c r="F111" s="70"/>
      <c r="G111" s="67"/>
      <c r="H111" s="71"/>
      <c r="I111" s="72"/>
      <c r="J111" s="72"/>
      <c r="K111" s="36"/>
      <c r="L111" s="79"/>
      <c r="M111" s="79"/>
      <c r="N111" s="74"/>
      <c r="O111" s="81" t="s">
        <v>693</v>
      </c>
      <c r="P111" s="83">
        <v>44460.001655092594</v>
      </c>
      <c r="Q111" s="81" t="s">
        <v>5294</v>
      </c>
      <c r="R111"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11" s="81" t="s">
        <v>935</v>
      </c>
      <c r="T111" s="81"/>
      <c r="U111" s="81"/>
      <c r="V111" s="84" t="str">
        <f>HYPERLINK("https://pbs.twimg.com/profile_images/1442114086481760257/vlJnlT1j_normal.jpg")</f>
        <v>https://pbs.twimg.com/profile_images/1442114086481760257/vlJnlT1j_normal.jpg</v>
      </c>
      <c r="W111" s="83">
        <v>44460.001655092594</v>
      </c>
      <c r="X111" s="89">
        <v>44460</v>
      </c>
      <c r="Y111" s="86" t="s">
        <v>5839</v>
      </c>
      <c r="Z111" s="84" t="str">
        <f>HYPERLINK("https://twitter.com/dwi_adhliza/status/1440104081570209800")</f>
        <v>https://twitter.com/dwi_adhliza/status/1440104081570209800</v>
      </c>
      <c r="AA111" s="81"/>
      <c r="AB111" s="81"/>
      <c r="AC111" s="86" t="s">
        <v>6739</v>
      </c>
      <c r="AD111" s="81"/>
      <c r="AE111" s="81" t="b">
        <v>0</v>
      </c>
      <c r="AF111" s="81">
        <v>0</v>
      </c>
      <c r="AG111" s="86" t="s">
        <v>2084</v>
      </c>
      <c r="AH111" s="81" t="b">
        <v>0</v>
      </c>
      <c r="AI111" s="81" t="s">
        <v>2167</v>
      </c>
      <c r="AJ111" s="81"/>
      <c r="AK111" s="86" t="s">
        <v>2084</v>
      </c>
      <c r="AL111" s="81" t="b">
        <v>0</v>
      </c>
      <c r="AM111" s="81">
        <v>231</v>
      </c>
      <c r="AN111" s="86" t="s">
        <v>6781</v>
      </c>
      <c r="AO111" s="86" t="s">
        <v>2178</v>
      </c>
      <c r="AP111" s="81" t="b">
        <v>0</v>
      </c>
      <c r="AQ111" s="86" t="s">
        <v>6781</v>
      </c>
      <c r="AR111" s="81" t="s">
        <v>179</v>
      </c>
      <c r="AS111" s="81">
        <v>0</v>
      </c>
      <c r="AT111" s="81">
        <v>0</v>
      </c>
      <c r="AU111" s="81"/>
      <c r="AV111" s="81"/>
      <c r="AW111" s="81"/>
      <c r="AX111" s="81"/>
      <c r="AY111" s="81"/>
      <c r="AZ111" s="81"/>
      <c r="BA111" s="81"/>
      <c r="BB111" s="81"/>
    </row>
    <row r="112" spans="1:54" x14ac:dyDescent="0.35">
      <c r="A112" s="66" t="s">
        <v>4218</v>
      </c>
      <c r="B112" s="66" t="s">
        <v>4257</v>
      </c>
      <c r="C112" s="67"/>
      <c r="D112" s="68"/>
      <c r="E112" s="69"/>
      <c r="F112" s="70"/>
      <c r="G112" s="67"/>
      <c r="H112" s="71"/>
      <c r="I112" s="72"/>
      <c r="J112" s="72"/>
      <c r="K112" s="36"/>
      <c r="L112" s="79"/>
      <c r="M112" s="79"/>
      <c r="N112" s="74"/>
      <c r="O112" s="81" t="s">
        <v>693</v>
      </c>
      <c r="P112" s="83">
        <v>44460.003171296295</v>
      </c>
      <c r="Q112" s="81" t="s">
        <v>5294</v>
      </c>
      <c r="R112"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12" s="81" t="s">
        <v>935</v>
      </c>
      <c r="T112" s="81"/>
      <c r="U112" s="81"/>
      <c r="V112" s="84" t="str">
        <f>HYPERLINK("https://pbs.twimg.com/profile_images/1428584321959424000/EdUSK9b3_normal.jpg")</f>
        <v>https://pbs.twimg.com/profile_images/1428584321959424000/EdUSK9b3_normal.jpg</v>
      </c>
      <c r="W112" s="83">
        <v>44460.003171296295</v>
      </c>
      <c r="X112" s="89">
        <v>44460</v>
      </c>
      <c r="Y112" s="86" t="s">
        <v>5840</v>
      </c>
      <c r="Z112" s="84" t="str">
        <f>HYPERLINK("https://twitter.com/jodohnyaugm22/status/1440104629400846341")</f>
        <v>https://twitter.com/jodohnyaugm22/status/1440104629400846341</v>
      </c>
      <c r="AA112" s="81"/>
      <c r="AB112" s="81"/>
      <c r="AC112" s="86" t="s">
        <v>6740</v>
      </c>
      <c r="AD112" s="81"/>
      <c r="AE112" s="81" t="b">
        <v>0</v>
      </c>
      <c r="AF112" s="81">
        <v>0</v>
      </c>
      <c r="AG112" s="86" t="s">
        <v>2084</v>
      </c>
      <c r="AH112" s="81" t="b">
        <v>0</v>
      </c>
      <c r="AI112" s="81" t="s">
        <v>2167</v>
      </c>
      <c r="AJ112" s="81"/>
      <c r="AK112" s="86" t="s">
        <v>2084</v>
      </c>
      <c r="AL112" s="81" t="b">
        <v>0</v>
      </c>
      <c r="AM112" s="81">
        <v>231</v>
      </c>
      <c r="AN112" s="86" t="s">
        <v>6781</v>
      </c>
      <c r="AO112" s="86" t="s">
        <v>2178</v>
      </c>
      <c r="AP112" s="81" t="b">
        <v>0</v>
      </c>
      <c r="AQ112" s="86" t="s">
        <v>6781</v>
      </c>
      <c r="AR112" s="81" t="s">
        <v>179</v>
      </c>
      <c r="AS112" s="81">
        <v>0</v>
      </c>
      <c r="AT112" s="81">
        <v>0</v>
      </c>
      <c r="AU112" s="81"/>
      <c r="AV112" s="81"/>
      <c r="AW112" s="81"/>
      <c r="AX112" s="81"/>
      <c r="AY112" s="81"/>
      <c r="AZ112" s="81"/>
      <c r="BA112" s="81"/>
      <c r="BB112" s="81"/>
    </row>
    <row r="113" spans="1:54" x14ac:dyDescent="0.35">
      <c r="A113" s="66" t="s">
        <v>4219</v>
      </c>
      <c r="B113" s="66" t="s">
        <v>4257</v>
      </c>
      <c r="C113" s="67"/>
      <c r="D113" s="68"/>
      <c r="E113" s="69"/>
      <c r="F113" s="70"/>
      <c r="G113" s="67"/>
      <c r="H113" s="71"/>
      <c r="I113" s="72"/>
      <c r="J113" s="72"/>
      <c r="K113" s="36"/>
      <c r="L113" s="79"/>
      <c r="M113" s="79"/>
      <c r="N113" s="74"/>
      <c r="O113" s="81" t="s">
        <v>693</v>
      </c>
      <c r="P113" s="83">
        <v>44460.003229166665</v>
      </c>
      <c r="Q113" s="81" t="s">
        <v>5294</v>
      </c>
      <c r="R113"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13" s="81" t="s">
        <v>935</v>
      </c>
      <c r="T113" s="81"/>
      <c r="U113" s="81"/>
      <c r="V113" s="84" t="str">
        <f>HYPERLINK("https://pbs.twimg.com/profile_images/1439990786599239685/6MLWURzs_normal.jpg")</f>
        <v>https://pbs.twimg.com/profile_images/1439990786599239685/6MLWURzs_normal.jpg</v>
      </c>
      <c r="W113" s="83">
        <v>44460.003229166665</v>
      </c>
      <c r="X113" s="89">
        <v>44460</v>
      </c>
      <c r="Y113" s="86" t="s">
        <v>5841</v>
      </c>
      <c r="Z113" s="84" t="str">
        <f>HYPERLINK("https://twitter.com/udud_bongwinner/status/1440104651492298759")</f>
        <v>https://twitter.com/udud_bongwinner/status/1440104651492298759</v>
      </c>
      <c r="AA113" s="81"/>
      <c r="AB113" s="81"/>
      <c r="AC113" s="86" t="s">
        <v>6741</v>
      </c>
      <c r="AD113" s="81"/>
      <c r="AE113" s="81" t="b">
        <v>0</v>
      </c>
      <c r="AF113" s="81">
        <v>0</v>
      </c>
      <c r="AG113" s="86" t="s">
        <v>2084</v>
      </c>
      <c r="AH113" s="81" t="b">
        <v>0</v>
      </c>
      <c r="AI113" s="81" t="s">
        <v>2167</v>
      </c>
      <c r="AJ113" s="81"/>
      <c r="AK113" s="86" t="s">
        <v>2084</v>
      </c>
      <c r="AL113" s="81" t="b">
        <v>0</v>
      </c>
      <c r="AM113" s="81">
        <v>231</v>
      </c>
      <c r="AN113" s="86" t="s">
        <v>6781</v>
      </c>
      <c r="AO113" s="86" t="s">
        <v>2178</v>
      </c>
      <c r="AP113" s="81" t="b">
        <v>0</v>
      </c>
      <c r="AQ113" s="86" t="s">
        <v>6781</v>
      </c>
      <c r="AR113" s="81" t="s">
        <v>179</v>
      </c>
      <c r="AS113" s="81">
        <v>0</v>
      </c>
      <c r="AT113" s="81">
        <v>0</v>
      </c>
      <c r="AU113" s="81"/>
      <c r="AV113" s="81"/>
      <c r="AW113" s="81"/>
      <c r="AX113" s="81"/>
      <c r="AY113" s="81"/>
      <c r="AZ113" s="81"/>
      <c r="BA113" s="81"/>
      <c r="BB113" s="81"/>
    </row>
    <row r="114" spans="1:54" x14ac:dyDescent="0.35">
      <c r="A114" s="66" t="s">
        <v>4220</v>
      </c>
      <c r="B114" s="66" t="s">
        <v>4257</v>
      </c>
      <c r="C114" s="67"/>
      <c r="D114" s="68"/>
      <c r="E114" s="69"/>
      <c r="F114" s="70"/>
      <c r="G114" s="67"/>
      <c r="H114" s="71"/>
      <c r="I114" s="72"/>
      <c r="J114" s="72"/>
      <c r="K114" s="36"/>
      <c r="L114" s="79"/>
      <c r="M114" s="79"/>
      <c r="N114" s="74"/>
      <c r="O114" s="81" t="s">
        <v>693</v>
      </c>
      <c r="P114" s="83">
        <v>44460.004259259258</v>
      </c>
      <c r="Q114" s="81" t="s">
        <v>5294</v>
      </c>
      <c r="R114"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14" s="81" t="s">
        <v>935</v>
      </c>
      <c r="T114" s="81"/>
      <c r="U114" s="81"/>
      <c r="V114" s="84" t="str">
        <f>HYPERLINK("https://pbs.twimg.com/profile_images/1442991242837520393/Vlp3Q7tQ_normal.jpg")</f>
        <v>https://pbs.twimg.com/profile_images/1442991242837520393/Vlp3Q7tQ_normal.jpg</v>
      </c>
      <c r="W114" s="83">
        <v>44460.004259259258</v>
      </c>
      <c r="X114" s="89">
        <v>44460</v>
      </c>
      <c r="Y114" s="86" t="s">
        <v>5842</v>
      </c>
      <c r="Z114" s="84" t="str">
        <f>HYPERLINK("https://twitter.com/orangperancis/status/1440105025582166018")</f>
        <v>https://twitter.com/orangperancis/status/1440105025582166018</v>
      </c>
      <c r="AA114" s="81"/>
      <c r="AB114" s="81"/>
      <c r="AC114" s="86" t="s">
        <v>6742</v>
      </c>
      <c r="AD114" s="81"/>
      <c r="AE114" s="81" t="b">
        <v>0</v>
      </c>
      <c r="AF114" s="81">
        <v>0</v>
      </c>
      <c r="AG114" s="86" t="s">
        <v>2084</v>
      </c>
      <c r="AH114" s="81" t="b">
        <v>0</v>
      </c>
      <c r="AI114" s="81" t="s">
        <v>2167</v>
      </c>
      <c r="AJ114" s="81"/>
      <c r="AK114" s="86" t="s">
        <v>2084</v>
      </c>
      <c r="AL114" s="81" t="b">
        <v>0</v>
      </c>
      <c r="AM114" s="81">
        <v>231</v>
      </c>
      <c r="AN114" s="86" t="s">
        <v>6781</v>
      </c>
      <c r="AO114" s="86" t="s">
        <v>2178</v>
      </c>
      <c r="AP114" s="81" t="b">
        <v>0</v>
      </c>
      <c r="AQ114" s="86" t="s">
        <v>6781</v>
      </c>
      <c r="AR114" s="81" t="s">
        <v>179</v>
      </c>
      <c r="AS114" s="81">
        <v>0</v>
      </c>
      <c r="AT114" s="81">
        <v>0</v>
      </c>
      <c r="AU114" s="81"/>
      <c r="AV114" s="81"/>
      <c r="AW114" s="81"/>
      <c r="AX114" s="81"/>
      <c r="AY114" s="81"/>
      <c r="AZ114" s="81"/>
      <c r="BA114" s="81"/>
      <c r="BB114" s="81"/>
    </row>
    <row r="115" spans="1:54" x14ac:dyDescent="0.35">
      <c r="A115" s="66" t="s">
        <v>4221</v>
      </c>
      <c r="B115" s="66" t="s">
        <v>4982</v>
      </c>
      <c r="C115" s="67"/>
      <c r="D115" s="68"/>
      <c r="E115" s="69"/>
      <c r="F115" s="70"/>
      <c r="G115" s="67"/>
      <c r="H115" s="71"/>
      <c r="I115" s="72"/>
      <c r="J115" s="72"/>
      <c r="K115" s="36"/>
      <c r="L115" s="79"/>
      <c r="M115" s="79"/>
      <c r="N115" s="74"/>
      <c r="O115" s="81" t="s">
        <v>695</v>
      </c>
      <c r="P115" s="83">
        <v>44460.006064814814</v>
      </c>
      <c r="Q115" s="81" t="s">
        <v>5295</v>
      </c>
      <c r="R115" s="81"/>
      <c r="S115" s="81"/>
      <c r="T115" s="81"/>
      <c r="U115" s="81"/>
      <c r="V115" s="84" t="str">
        <f>HYPERLINK("https://pbs.twimg.com/profile_images/1381058636907229184/MChg7VHg_normal.jpg")</f>
        <v>https://pbs.twimg.com/profile_images/1381058636907229184/MChg7VHg_normal.jpg</v>
      </c>
      <c r="W115" s="83">
        <v>44460.006064814814</v>
      </c>
      <c r="X115" s="89">
        <v>44460</v>
      </c>
      <c r="Y115" s="86" t="s">
        <v>5843</v>
      </c>
      <c r="Z115" s="84" t="str">
        <f>HYPERLINK("https://twitter.com/paulacrisbau/status/1440105679025422343")</f>
        <v>https://twitter.com/paulacrisbau/status/1440105679025422343</v>
      </c>
      <c r="AA115" s="81"/>
      <c r="AB115" s="81"/>
      <c r="AC115" s="86" t="s">
        <v>6743</v>
      </c>
      <c r="AD115" s="86" t="s">
        <v>7624</v>
      </c>
      <c r="AE115" s="81" t="b">
        <v>0</v>
      </c>
      <c r="AF115" s="81">
        <v>7</v>
      </c>
      <c r="AG115" s="86" t="s">
        <v>7803</v>
      </c>
      <c r="AH115" s="81" t="b">
        <v>0</v>
      </c>
      <c r="AI115" s="81" t="s">
        <v>2171</v>
      </c>
      <c r="AJ115" s="81"/>
      <c r="AK115" s="86" t="s">
        <v>2084</v>
      </c>
      <c r="AL115" s="81" t="b">
        <v>0</v>
      </c>
      <c r="AM115" s="81">
        <v>0</v>
      </c>
      <c r="AN115" s="86" t="s">
        <v>2084</v>
      </c>
      <c r="AO115" s="86" t="s">
        <v>2178</v>
      </c>
      <c r="AP115" s="81" t="b">
        <v>0</v>
      </c>
      <c r="AQ115" s="86" t="s">
        <v>7624</v>
      </c>
      <c r="AR115" s="81" t="s">
        <v>179</v>
      </c>
      <c r="AS115" s="81">
        <v>0</v>
      </c>
      <c r="AT115" s="81">
        <v>0</v>
      </c>
      <c r="AU115" s="81" t="s">
        <v>7990</v>
      </c>
      <c r="AV115" s="81" t="s">
        <v>7998</v>
      </c>
      <c r="AW115" s="81" t="s">
        <v>8000</v>
      </c>
      <c r="AX115" s="81" t="s">
        <v>8001</v>
      </c>
      <c r="AY115" s="81" t="s">
        <v>8008</v>
      </c>
      <c r="AZ115" s="81" t="s">
        <v>8016</v>
      </c>
      <c r="BA115" s="81" t="s">
        <v>2212</v>
      </c>
      <c r="BB115" s="84" t="str">
        <f>HYPERLINK("https://api.twitter.com/1.1/geo/id/68e019afec7d0ba5.json")</f>
        <v>https://api.twitter.com/1.1/geo/id/68e019afec7d0ba5.json</v>
      </c>
    </row>
    <row r="116" spans="1:54" x14ac:dyDescent="0.35">
      <c r="A116" s="66" t="s">
        <v>4222</v>
      </c>
      <c r="B116" s="66" t="s">
        <v>4257</v>
      </c>
      <c r="C116" s="67"/>
      <c r="D116" s="68"/>
      <c r="E116" s="69"/>
      <c r="F116" s="70"/>
      <c r="G116" s="67"/>
      <c r="H116" s="71"/>
      <c r="I116" s="72"/>
      <c r="J116" s="72"/>
      <c r="K116" s="36"/>
      <c r="L116" s="79"/>
      <c r="M116" s="79"/>
      <c r="N116" s="74"/>
      <c r="O116" s="81" t="s">
        <v>693</v>
      </c>
      <c r="P116" s="83">
        <v>44460.007604166669</v>
      </c>
      <c r="Q116" s="81" t="s">
        <v>5294</v>
      </c>
      <c r="R116"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16" s="81" t="s">
        <v>935</v>
      </c>
      <c r="T116" s="81"/>
      <c r="U116" s="81"/>
      <c r="V116" s="84" t="str">
        <f>HYPERLINK("https://pbs.twimg.com/profile_images/1435659579140935681/YSqlmAiI_normal.jpg")</f>
        <v>https://pbs.twimg.com/profile_images/1435659579140935681/YSqlmAiI_normal.jpg</v>
      </c>
      <c r="W116" s="83">
        <v>44460.007604166669</v>
      </c>
      <c r="X116" s="89">
        <v>44460</v>
      </c>
      <c r="Y116" s="86" t="s">
        <v>5844</v>
      </c>
      <c r="Z116" s="84" t="str">
        <f>HYPERLINK("https://twitter.com/pawithmarie/status/1440106236171587594")</f>
        <v>https://twitter.com/pawithmarie/status/1440106236171587594</v>
      </c>
      <c r="AA116" s="81"/>
      <c r="AB116" s="81"/>
      <c r="AC116" s="86" t="s">
        <v>6744</v>
      </c>
      <c r="AD116" s="81"/>
      <c r="AE116" s="81" t="b">
        <v>0</v>
      </c>
      <c r="AF116" s="81">
        <v>0</v>
      </c>
      <c r="AG116" s="86" t="s">
        <v>2084</v>
      </c>
      <c r="AH116" s="81" t="b">
        <v>0</v>
      </c>
      <c r="AI116" s="81" t="s">
        <v>2167</v>
      </c>
      <c r="AJ116" s="81"/>
      <c r="AK116" s="86" t="s">
        <v>2084</v>
      </c>
      <c r="AL116" s="81" t="b">
        <v>0</v>
      </c>
      <c r="AM116" s="81">
        <v>231</v>
      </c>
      <c r="AN116" s="86" t="s">
        <v>6781</v>
      </c>
      <c r="AO116" s="86" t="s">
        <v>2178</v>
      </c>
      <c r="AP116" s="81" t="b">
        <v>0</v>
      </c>
      <c r="AQ116" s="86" t="s">
        <v>6781</v>
      </c>
      <c r="AR116" s="81" t="s">
        <v>179</v>
      </c>
      <c r="AS116" s="81">
        <v>0</v>
      </c>
      <c r="AT116" s="81">
        <v>0</v>
      </c>
      <c r="AU116" s="81"/>
      <c r="AV116" s="81"/>
      <c r="AW116" s="81"/>
      <c r="AX116" s="81"/>
      <c r="AY116" s="81"/>
      <c r="AZ116" s="81"/>
      <c r="BA116" s="81"/>
      <c r="BB116" s="81"/>
    </row>
    <row r="117" spans="1:54" x14ac:dyDescent="0.35">
      <c r="A117" s="66" t="s">
        <v>4223</v>
      </c>
      <c r="B117" s="66" t="s">
        <v>4939</v>
      </c>
      <c r="C117" s="67"/>
      <c r="D117" s="68"/>
      <c r="E117" s="69"/>
      <c r="F117" s="70"/>
      <c r="G117" s="67"/>
      <c r="H117" s="71"/>
      <c r="I117" s="72"/>
      <c r="J117" s="72"/>
      <c r="K117" s="36"/>
      <c r="L117" s="79"/>
      <c r="M117" s="79"/>
      <c r="N117" s="74"/>
      <c r="O117" s="81" t="s">
        <v>693</v>
      </c>
      <c r="P117" s="83">
        <v>44460.008888888886</v>
      </c>
      <c r="Q117" s="81" t="s">
        <v>5282</v>
      </c>
      <c r="R117"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117" s="81" t="s">
        <v>5696</v>
      </c>
      <c r="T117" s="81"/>
      <c r="U117" s="84" t="str">
        <f>HYPERLINK("https://pbs.twimg.com/media/E_vHfERXoA8GltO.jpg")</f>
        <v>https://pbs.twimg.com/media/E_vHfERXoA8GltO.jpg</v>
      </c>
      <c r="V117" s="84" t="str">
        <f>HYPERLINK("https://pbs.twimg.com/media/E_vHfERXoA8GltO.jpg")</f>
        <v>https://pbs.twimg.com/media/E_vHfERXoA8GltO.jpg</v>
      </c>
      <c r="W117" s="83">
        <v>44460.008888888886</v>
      </c>
      <c r="X117" s="89">
        <v>44460</v>
      </c>
      <c r="Y117" s="86" t="s">
        <v>5845</v>
      </c>
      <c r="Z117" s="84" t="str">
        <f>HYPERLINK("https://twitter.com/raonilourenco/status/1440106704486617094")</f>
        <v>https://twitter.com/raonilourenco/status/1440106704486617094</v>
      </c>
      <c r="AA117" s="81"/>
      <c r="AB117" s="81"/>
      <c r="AC117" s="86" t="s">
        <v>6745</v>
      </c>
      <c r="AD117" s="81"/>
      <c r="AE117" s="81" t="b">
        <v>0</v>
      </c>
      <c r="AF117" s="81">
        <v>0</v>
      </c>
      <c r="AG117" s="86" t="s">
        <v>2084</v>
      </c>
      <c r="AH117" s="81" t="b">
        <v>0</v>
      </c>
      <c r="AI117" s="81" t="s">
        <v>2171</v>
      </c>
      <c r="AJ117" s="81"/>
      <c r="AK117" s="86" t="s">
        <v>2084</v>
      </c>
      <c r="AL117" s="81" t="b">
        <v>0</v>
      </c>
      <c r="AM117" s="81">
        <v>16</v>
      </c>
      <c r="AN117" s="86" t="s">
        <v>7535</v>
      </c>
      <c r="AO117" s="86" t="s">
        <v>2181</v>
      </c>
      <c r="AP117" s="81" t="b">
        <v>0</v>
      </c>
      <c r="AQ117" s="86" t="s">
        <v>7535</v>
      </c>
      <c r="AR117" s="81" t="s">
        <v>179</v>
      </c>
      <c r="AS117" s="81">
        <v>0</v>
      </c>
      <c r="AT117" s="81">
        <v>0</v>
      </c>
      <c r="AU117" s="81"/>
      <c r="AV117" s="81"/>
      <c r="AW117" s="81"/>
      <c r="AX117" s="81"/>
      <c r="AY117" s="81"/>
      <c r="AZ117" s="81"/>
      <c r="BA117" s="81"/>
      <c r="BB117" s="81"/>
    </row>
    <row r="118" spans="1:54" x14ac:dyDescent="0.35">
      <c r="A118" s="66" t="s">
        <v>4224</v>
      </c>
      <c r="B118" s="66" t="s">
        <v>4257</v>
      </c>
      <c r="C118" s="67"/>
      <c r="D118" s="68"/>
      <c r="E118" s="69"/>
      <c r="F118" s="70"/>
      <c r="G118" s="67"/>
      <c r="H118" s="71"/>
      <c r="I118" s="72"/>
      <c r="J118" s="72"/>
      <c r="K118" s="36"/>
      <c r="L118" s="79"/>
      <c r="M118" s="79"/>
      <c r="N118" s="74"/>
      <c r="O118" s="81" t="s">
        <v>693</v>
      </c>
      <c r="P118" s="83">
        <v>44460.009305555555</v>
      </c>
      <c r="Q118" s="81" t="s">
        <v>5294</v>
      </c>
      <c r="R118"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18" s="81" t="s">
        <v>935</v>
      </c>
      <c r="T118" s="81"/>
      <c r="U118" s="81"/>
      <c r="V118" s="84" t="str">
        <f>HYPERLINK("https://pbs.twimg.com/profile_images/1107916564773244929/46TjaXhC_normal.jpg")</f>
        <v>https://pbs.twimg.com/profile_images/1107916564773244929/46TjaXhC_normal.jpg</v>
      </c>
      <c r="W118" s="83">
        <v>44460.009305555555</v>
      </c>
      <c r="X118" s="89">
        <v>44460</v>
      </c>
      <c r="Y118" s="86" t="s">
        <v>5846</v>
      </c>
      <c r="Z118" s="84" t="str">
        <f>HYPERLINK("https://twitter.com/astiani_ani/status/1440106853451513858")</f>
        <v>https://twitter.com/astiani_ani/status/1440106853451513858</v>
      </c>
      <c r="AA118" s="81"/>
      <c r="AB118" s="81"/>
      <c r="AC118" s="86" t="s">
        <v>6746</v>
      </c>
      <c r="AD118" s="81"/>
      <c r="AE118" s="81" t="b">
        <v>0</v>
      </c>
      <c r="AF118" s="81">
        <v>0</v>
      </c>
      <c r="AG118" s="86" t="s">
        <v>2084</v>
      </c>
      <c r="AH118" s="81" t="b">
        <v>0</v>
      </c>
      <c r="AI118" s="81" t="s">
        <v>2167</v>
      </c>
      <c r="AJ118" s="81"/>
      <c r="AK118" s="86" t="s">
        <v>2084</v>
      </c>
      <c r="AL118" s="81" t="b">
        <v>0</v>
      </c>
      <c r="AM118" s="81">
        <v>231</v>
      </c>
      <c r="AN118" s="86" t="s">
        <v>6781</v>
      </c>
      <c r="AO118" s="86" t="s">
        <v>2181</v>
      </c>
      <c r="AP118" s="81" t="b">
        <v>0</v>
      </c>
      <c r="AQ118" s="86" t="s">
        <v>6781</v>
      </c>
      <c r="AR118" s="81" t="s">
        <v>179</v>
      </c>
      <c r="AS118" s="81">
        <v>0</v>
      </c>
      <c r="AT118" s="81">
        <v>0</v>
      </c>
      <c r="AU118" s="81"/>
      <c r="AV118" s="81"/>
      <c r="AW118" s="81"/>
      <c r="AX118" s="81"/>
      <c r="AY118" s="81"/>
      <c r="AZ118" s="81"/>
      <c r="BA118" s="81"/>
      <c r="BB118" s="81"/>
    </row>
    <row r="119" spans="1:54" x14ac:dyDescent="0.35">
      <c r="A119" s="66" t="s">
        <v>4225</v>
      </c>
      <c r="B119" s="66" t="s">
        <v>4257</v>
      </c>
      <c r="C119" s="67"/>
      <c r="D119" s="68"/>
      <c r="E119" s="69"/>
      <c r="F119" s="70"/>
      <c r="G119" s="67"/>
      <c r="H119" s="71"/>
      <c r="I119" s="72"/>
      <c r="J119" s="72"/>
      <c r="K119" s="36"/>
      <c r="L119" s="79"/>
      <c r="M119" s="79"/>
      <c r="N119" s="74"/>
      <c r="O119" s="81" t="s">
        <v>693</v>
      </c>
      <c r="P119" s="83">
        <v>44460.011631944442</v>
      </c>
      <c r="Q119" s="81" t="s">
        <v>5294</v>
      </c>
      <c r="R119"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19" s="81" t="s">
        <v>935</v>
      </c>
      <c r="T119" s="81"/>
      <c r="U119" s="81"/>
      <c r="V119" s="84" t="str">
        <f>HYPERLINK("https://pbs.twimg.com/profile_images/1360568637833191432/UOTDEXeM_normal.jpg")</f>
        <v>https://pbs.twimg.com/profile_images/1360568637833191432/UOTDEXeM_normal.jpg</v>
      </c>
      <c r="W119" s="83">
        <v>44460.011631944442</v>
      </c>
      <c r="X119" s="89">
        <v>44460</v>
      </c>
      <c r="Y119" s="86" t="s">
        <v>5847</v>
      </c>
      <c r="Z119" s="84" t="str">
        <f>HYPERLINK("https://twitter.com/musarudy_stpl/status/1440107695244136452")</f>
        <v>https://twitter.com/musarudy_stpl/status/1440107695244136452</v>
      </c>
      <c r="AA119" s="81"/>
      <c r="AB119" s="81"/>
      <c r="AC119" s="86" t="s">
        <v>6747</v>
      </c>
      <c r="AD119" s="81"/>
      <c r="AE119" s="81" t="b">
        <v>0</v>
      </c>
      <c r="AF119" s="81">
        <v>0</v>
      </c>
      <c r="AG119" s="86" t="s">
        <v>2084</v>
      </c>
      <c r="AH119" s="81" t="b">
        <v>0</v>
      </c>
      <c r="AI119" s="81" t="s">
        <v>2167</v>
      </c>
      <c r="AJ119" s="81"/>
      <c r="AK119" s="86" t="s">
        <v>2084</v>
      </c>
      <c r="AL119" s="81" t="b">
        <v>0</v>
      </c>
      <c r="AM119" s="81">
        <v>231</v>
      </c>
      <c r="AN119" s="86" t="s">
        <v>6781</v>
      </c>
      <c r="AO119" s="86" t="s">
        <v>2178</v>
      </c>
      <c r="AP119" s="81" t="b">
        <v>0</v>
      </c>
      <c r="AQ119" s="86" t="s">
        <v>6781</v>
      </c>
      <c r="AR119" s="81" t="s">
        <v>179</v>
      </c>
      <c r="AS119" s="81">
        <v>0</v>
      </c>
      <c r="AT119" s="81">
        <v>0</v>
      </c>
      <c r="AU119" s="81"/>
      <c r="AV119" s="81"/>
      <c r="AW119" s="81"/>
      <c r="AX119" s="81"/>
      <c r="AY119" s="81"/>
      <c r="AZ119" s="81"/>
      <c r="BA119" s="81"/>
      <c r="BB119" s="81"/>
    </row>
    <row r="120" spans="1:54" x14ac:dyDescent="0.35">
      <c r="A120" s="66" t="s">
        <v>256</v>
      </c>
      <c r="B120" s="66" t="s">
        <v>217</v>
      </c>
      <c r="C120" s="67"/>
      <c r="D120" s="68"/>
      <c r="E120" s="69"/>
      <c r="F120" s="70"/>
      <c r="G120" s="67"/>
      <c r="H120" s="71"/>
      <c r="I120" s="72"/>
      <c r="J120" s="72"/>
      <c r="K120" s="36"/>
      <c r="L120" s="79"/>
      <c r="M120" s="79"/>
      <c r="N120" s="74"/>
      <c r="O120" s="81" t="s">
        <v>693</v>
      </c>
      <c r="P120" s="83">
        <v>44460.018611111111</v>
      </c>
      <c r="Q120" s="81" t="s">
        <v>699</v>
      </c>
      <c r="R120" s="81"/>
      <c r="S120" s="81"/>
      <c r="T120" s="81"/>
      <c r="U120" s="84" t="str">
        <f>HYPERLINK("https://pbs.twimg.com/ext_tw_video_thumb/1439603623520993285/pu/img/4NCBVhjvbYSKxAvX.jpg")</f>
        <v>https://pbs.twimg.com/ext_tw_video_thumb/1439603623520993285/pu/img/4NCBVhjvbYSKxAvX.jpg</v>
      </c>
      <c r="V120" s="84" t="str">
        <f>HYPERLINK("https://pbs.twimg.com/ext_tw_video_thumb/1439603623520993285/pu/img/4NCBVhjvbYSKxAvX.jpg")</f>
        <v>https://pbs.twimg.com/ext_tw_video_thumb/1439603623520993285/pu/img/4NCBVhjvbYSKxAvX.jpg</v>
      </c>
      <c r="W120" s="83">
        <v>44460.018611111111</v>
      </c>
      <c r="X120" s="89">
        <v>44460</v>
      </c>
      <c r="Y120" s="86" t="s">
        <v>1052</v>
      </c>
      <c r="Z120" s="84" t="str">
        <f>HYPERLINK("https://twitter.com/cheesychoc/status/1440110226141704195")</f>
        <v>https://twitter.com/cheesychoc/status/1440110226141704195</v>
      </c>
      <c r="AA120" s="81"/>
      <c r="AB120" s="81"/>
      <c r="AC120" s="86" t="s">
        <v>1552</v>
      </c>
      <c r="AD120" s="81"/>
      <c r="AE120" s="81" t="b">
        <v>0</v>
      </c>
      <c r="AF120" s="81">
        <v>0</v>
      </c>
      <c r="AG120" s="86" t="s">
        <v>2084</v>
      </c>
      <c r="AH120" s="81" t="b">
        <v>0</v>
      </c>
      <c r="AI120" s="81" t="s">
        <v>2167</v>
      </c>
      <c r="AJ120" s="81"/>
      <c r="AK120" s="86" t="s">
        <v>2084</v>
      </c>
      <c r="AL120" s="81" t="b">
        <v>0</v>
      </c>
      <c r="AM120" s="81">
        <v>102</v>
      </c>
      <c r="AN120" s="86" t="s">
        <v>1559</v>
      </c>
      <c r="AO120" s="86" t="s">
        <v>2179</v>
      </c>
      <c r="AP120" s="81" t="b">
        <v>0</v>
      </c>
      <c r="AQ120" s="86" t="s">
        <v>1559</v>
      </c>
      <c r="AR120" s="81" t="s">
        <v>179</v>
      </c>
      <c r="AS120" s="81">
        <v>0</v>
      </c>
      <c r="AT120" s="81">
        <v>0</v>
      </c>
      <c r="AU120" s="81"/>
      <c r="AV120" s="81"/>
      <c r="AW120" s="81"/>
      <c r="AX120" s="81"/>
      <c r="AY120" s="81"/>
      <c r="AZ120" s="81"/>
      <c r="BA120" s="81"/>
      <c r="BB120" s="81"/>
    </row>
    <row r="121" spans="1:54" x14ac:dyDescent="0.35">
      <c r="A121" s="66" t="s">
        <v>4226</v>
      </c>
      <c r="B121" s="66" t="s">
        <v>4257</v>
      </c>
      <c r="C121" s="67"/>
      <c r="D121" s="68"/>
      <c r="E121" s="69"/>
      <c r="F121" s="70"/>
      <c r="G121" s="67"/>
      <c r="H121" s="71"/>
      <c r="I121" s="72"/>
      <c r="J121" s="72"/>
      <c r="K121" s="36"/>
      <c r="L121" s="79"/>
      <c r="M121" s="79"/>
      <c r="N121" s="74"/>
      <c r="O121" s="81" t="s">
        <v>693</v>
      </c>
      <c r="P121" s="83">
        <v>44460.026354166665</v>
      </c>
      <c r="Q121" s="81" t="s">
        <v>5294</v>
      </c>
      <c r="R121"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21" s="81" t="s">
        <v>935</v>
      </c>
      <c r="T121" s="81"/>
      <c r="U121" s="81"/>
      <c r="V121" s="84" t="str">
        <f>HYPERLINK("https://pbs.twimg.com/profile_images/1351535724567248896/2jMyxgiq_normal.jpg")</f>
        <v>https://pbs.twimg.com/profile_images/1351535724567248896/2jMyxgiq_normal.jpg</v>
      </c>
      <c r="W121" s="83">
        <v>44460.026354166665</v>
      </c>
      <c r="X121" s="89">
        <v>44460</v>
      </c>
      <c r="Y121" s="86" t="s">
        <v>5848</v>
      </c>
      <c r="Z121" s="84" t="str">
        <f>HYPERLINK("https://twitter.com/yusuwaw/status/1440113032760233986")</f>
        <v>https://twitter.com/yusuwaw/status/1440113032760233986</v>
      </c>
      <c r="AA121" s="81"/>
      <c r="AB121" s="81"/>
      <c r="AC121" s="86" t="s">
        <v>6748</v>
      </c>
      <c r="AD121" s="81"/>
      <c r="AE121" s="81" t="b">
        <v>0</v>
      </c>
      <c r="AF121" s="81">
        <v>0</v>
      </c>
      <c r="AG121" s="86" t="s">
        <v>2084</v>
      </c>
      <c r="AH121" s="81" t="b">
        <v>0</v>
      </c>
      <c r="AI121" s="81" t="s">
        <v>2167</v>
      </c>
      <c r="AJ121" s="81"/>
      <c r="AK121" s="86" t="s">
        <v>2084</v>
      </c>
      <c r="AL121" s="81" t="b">
        <v>0</v>
      </c>
      <c r="AM121" s="81">
        <v>231</v>
      </c>
      <c r="AN121" s="86" t="s">
        <v>6781</v>
      </c>
      <c r="AO121" s="86" t="s">
        <v>2178</v>
      </c>
      <c r="AP121" s="81" t="b">
        <v>0</v>
      </c>
      <c r="AQ121" s="86" t="s">
        <v>6781</v>
      </c>
      <c r="AR121" s="81" t="s">
        <v>179</v>
      </c>
      <c r="AS121" s="81">
        <v>0</v>
      </c>
      <c r="AT121" s="81">
        <v>0</v>
      </c>
      <c r="AU121" s="81"/>
      <c r="AV121" s="81"/>
      <c r="AW121" s="81"/>
      <c r="AX121" s="81"/>
      <c r="AY121" s="81"/>
      <c r="AZ121" s="81"/>
      <c r="BA121" s="81"/>
      <c r="BB121" s="81"/>
    </row>
    <row r="122" spans="1:54" x14ac:dyDescent="0.35">
      <c r="A122" s="66" t="s">
        <v>4227</v>
      </c>
      <c r="B122" s="66" t="s">
        <v>4227</v>
      </c>
      <c r="C122" s="67"/>
      <c r="D122" s="68"/>
      <c r="E122" s="69"/>
      <c r="F122" s="70"/>
      <c r="G122" s="67"/>
      <c r="H122" s="71"/>
      <c r="I122" s="72"/>
      <c r="J122" s="72"/>
      <c r="K122" s="36"/>
      <c r="L122" s="79"/>
      <c r="M122" s="79"/>
      <c r="N122" s="74"/>
      <c r="O122" s="81" t="s">
        <v>179</v>
      </c>
      <c r="P122" s="83">
        <v>44459.810497685183</v>
      </c>
      <c r="Q122" s="81" t="s">
        <v>5296</v>
      </c>
      <c r="R122" s="81"/>
      <c r="S122" s="81"/>
      <c r="T122" s="81"/>
      <c r="U122" s="81"/>
      <c r="V122" s="84" t="str">
        <f>HYPERLINK("https://pbs.twimg.com/profile_images/1420015638727245830/I2e18-Ic_normal.jpg")</f>
        <v>https://pbs.twimg.com/profile_images/1420015638727245830/I2e18-Ic_normal.jpg</v>
      </c>
      <c r="W122" s="83">
        <v>44459.810497685183</v>
      </c>
      <c r="X122" s="89">
        <v>44459</v>
      </c>
      <c r="Y122" s="86" t="s">
        <v>5849</v>
      </c>
      <c r="Z122" s="84" t="str">
        <f>HYPERLINK("https://twitter.com/anapslu/status/1440034809498140678")</f>
        <v>https://twitter.com/anapslu/status/1440034809498140678</v>
      </c>
      <c r="AA122" s="81"/>
      <c r="AB122" s="81"/>
      <c r="AC122" s="86" t="s">
        <v>6749</v>
      </c>
      <c r="AD122" s="81"/>
      <c r="AE122" s="81" t="b">
        <v>0</v>
      </c>
      <c r="AF122" s="81">
        <v>13</v>
      </c>
      <c r="AG122" s="86" t="s">
        <v>2084</v>
      </c>
      <c r="AH122" s="81" t="b">
        <v>0</v>
      </c>
      <c r="AI122" s="81" t="s">
        <v>2171</v>
      </c>
      <c r="AJ122" s="81"/>
      <c r="AK122" s="86" t="s">
        <v>2084</v>
      </c>
      <c r="AL122" s="81" t="b">
        <v>0</v>
      </c>
      <c r="AM122" s="81">
        <v>1</v>
      </c>
      <c r="AN122" s="86" t="s">
        <v>2084</v>
      </c>
      <c r="AO122" s="86" t="s">
        <v>2178</v>
      </c>
      <c r="AP122" s="81" t="b">
        <v>0</v>
      </c>
      <c r="AQ122" s="86" t="s">
        <v>6749</v>
      </c>
      <c r="AR122" s="81" t="s">
        <v>179</v>
      </c>
      <c r="AS122" s="81">
        <v>0</v>
      </c>
      <c r="AT122" s="81">
        <v>0</v>
      </c>
      <c r="AU122" s="81"/>
      <c r="AV122" s="81"/>
      <c r="AW122" s="81"/>
      <c r="AX122" s="81"/>
      <c r="AY122" s="81"/>
      <c r="AZ122" s="81"/>
      <c r="BA122" s="81"/>
      <c r="BB122" s="81"/>
    </row>
    <row r="123" spans="1:54" x14ac:dyDescent="0.35">
      <c r="A123" s="66" t="s">
        <v>4228</v>
      </c>
      <c r="B123" s="66" t="s">
        <v>4227</v>
      </c>
      <c r="C123" s="67"/>
      <c r="D123" s="68"/>
      <c r="E123" s="69"/>
      <c r="F123" s="70"/>
      <c r="G123" s="67"/>
      <c r="H123" s="71"/>
      <c r="I123" s="72"/>
      <c r="J123" s="72"/>
      <c r="K123" s="36"/>
      <c r="L123" s="79"/>
      <c r="M123" s="79"/>
      <c r="N123" s="74"/>
      <c r="O123" s="81" t="s">
        <v>693</v>
      </c>
      <c r="P123" s="83">
        <v>44460.027395833335</v>
      </c>
      <c r="Q123" s="81" t="s">
        <v>5296</v>
      </c>
      <c r="R123" s="81"/>
      <c r="S123" s="81"/>
      <c r="T123" s="81"/>
      <c r="U123" s="81"/>
      <c r="V123" s="84" t="str">
        <f>HYPERLINK("https://pbs.twimg.com/profile_images/1254932341107154944/y9iFJBRU_normal.jpg")</f>
        <v>https://pbs.twimg.com/profile_images/1254932341107154944/y9iFJBRU_normal.jpg</v>
      </c>
      <c r="W123" s="83">
        <v>44460.027395833335</v>
      </c>
      <c r="X123" s="89">
        <v>44460</v>
      </c>
      <c r="Y123" s="86" t="s">
        <v>5850</v>
      </c>
      <c r="Z123" s="84" t="str">
        <f>HYPERLINK("https://twitter.com/sarita_montiell/status/1440113408335036416")</f>
        <v>https://twitter.com/sarita_montiell/status/1440113408335036416</v>
      </c>
      <c r="AA123" s="81"/>
      <c r="AB123" s="81"/>
      <c r="AC123" s="86" t="s">
        <v>6750</v>
      </c>
      <c r="AD123" s="81"/>
      <c r="AE123" s="81" t="b">
        <v>0</v>
      </c>
      <c r="AF123" s="81">
        <v>0</v>
      </c>
      <c r="AG123" s="86" t="s">
        <v>2084</v>
      </c>
      <c r="AH123" s="81" t="b">
        <v>0</v>
      </c>
      <c r="AI123" s="81" t="s">
        <v>2171</v>
      </c>
      <c r="AJ123" s="81"/>
      <c r="AK123" s="86" t="s">
        <v>2084</v>
      </c>
      <c r="AL123" s="81" t="b">
        <v>0</v>
      </c>
      <c r="AM123" s="81">
        <v>1</v>
      </c>
      <c r="AN123" s="86" t="s">
        <v>6749</v>
      </c>
      <c r="AO123" s="86" t="s">
        <v>2179</v>
      </c>
      <c r="AP123" s="81" t="b">
        <v>0</v>
      </c>
      <c r="AQ123" s="86" t="s">
        <v>6749</v>
      </c>
      <c r="AR123" s="81" t="s">
        <v>179</v>
      </c>
      <c r="AS123" s="81">
        <v>0</v>
      </c>
      <c r="AT123" s="81">
        <v>0</v>
      </c>
      <c r="AU123" s="81"/>
      <c r="AV123" s="81"/>
      <c r="AW123" s="81"/>
      <c r="AX123" s="81"/>
      <c r="AY123" s="81"/>
      <c r="AZ123" s="81"/>
      <c r="BA123" s="81"/>
      <c r="BB123" s="81"/>
    </row>
    <row r="124" spans="1:54" x14ac:dyDescent="0.35">
      <c r="A124" s="66" t="s">
        <v>4229</v>
      </c>
      <c r="B124" s="66" t="s">
        <v>4257</v>
      </c>
      <c r="C124" s="67"/>
      <c r="D124" s="68"/>
      <c r="E124" s="69"/>
      <c r="F124" s="70"/>
      <c r="G124" s="67"/>
      <c r="H124" s="71"/>
      <c r="I124" s="72"/>
      <c r="J124" s="72"/>
      <c r="K124" s="36"/>
      <c r="L124" s="79"/>
      <c r="M124" s="79"/>
      <c r="N124" s="74"/>
      <c r="O124" s="81" t="s">
        <v>693</v>
      </c>
      <c r="P124" s="83">
        <v>44460.030659722222</v>
      </c>
      <c r="Q124" s="81" t="s">
        <v>5294</v>
      </c>
      <c r="R124"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24" s="81" t="s">
        <v>935</v>
      </c>
      <c r="T124" s="81"/>
      <c r="U124" s="81"/>
      <c r="V124" s="84" t="str">
        <f>HYPERLINK("https://pbs.twimg.com/profile_images/1433485685688700936/nb-TcR8W_normal.jpg")</f>
        <v>https://pbs.twimg.com/profile_images/1433485685688700936/nb-TcR8W_normal.jpg</v>
      </c>
      <c r="W124" s="83">
        <v>44460.030659722222</v>
      </c>
      <c r="X124" s="89">
        <v>44460</v>
      </c>
      <c r="Y124" s="86" t="s">
        <v>5851</v>
      </c>
      <c r="Z124" s="84" t="str">
        <f>HYPERLINK("https://twitter.com/win_waw_wew/status/1440114590310756354")</f>
        <v>https://twitter.com/win_waw_wew/status/1440114590310756354</v>
      </c>
      <c r="AA124" s="81"/>
      <c r="AB124" s="81"/>
      <c r="AC124" s="86" t="s">
        <v>6751</v>
      </c>
      <c r="AD124" s="81"/>
      <c r="AE124" s="81" t="b">
        <v>0</v>
      </c>
      <c r="AF124" s="81">
        <v>0</v>
      </c>
      <c r="AG124" s="86" t="s">
        <v>2084</v>
      </c>
      <c r="AH124" s="81" t="b">
        <v>0</v>
      </c>
      <c r="AI124" s="81" t="s">
        <v>2167</v>
      </c>
      <c r="AJ124" s="81"/>
      <c r="AK124" s="86" t="s">
        <v>2084</v>
      </c>
      <c r="AL124" s="81" t="b">
        <v>0</v>
      </c>
      <c r="AM124" s="81">
        <v>231</v>
      </c>
      <c r="AN124" s="86" t="s">
        <v>6781</v>
      </c>
      <c r="AO124" s="86" t="s">
        <v>2178</v>
      </c>
      <c r="AP124" s="81" t="b">
        <v>0</v>
      </c>
      <c r="AQ124" s="86" t="s">
        <v>6781</v>
      </c>
      <c r="AR124" s="81" t="s">
        <v>179</v>
      </c>
      <c r="AS124" s="81">
        <v>0</v>
      </c>
      <c r="AT124" s="81">
        <v>0</v>
      </c>
      <c r="AU124" s="81"/>
      <c r="AV124" s="81"/>
      <c r="AW124" s="81"/>
      <c r="AX124" s="81"/>
      <c r="AY124" s="81"/>
      <c r="AZ124" s="81"/>
      <c r="BA124" s="81"/>
      <c r="BB124" s="81"/>
    </row>
    <row r="125" spans="1:54" x14ac:dyDescent="0.35">
      <c r="A125" s="66" t="s">
        <v>4230</v>
      </c>
      <c r="B125" s="66" t="s">
        <v>4257</v>
      </c>
      <c r="C125" s="67"/>
      <c r="D125" s="68"/>
      <c r="E125" s="69"/>
      <c r="F125" s="70"/>
      <c r="G125" s="67"/>
      <c r="H125" s="71"/>
      <c r="I125" s="72"/>
      <c r="J125" s="72"/>
      <c r="K125" s="36"/>
      <c r="L125" s="79"/>
      <c r="M125" s="79"/>
      <c r="N125" s="74"/>
      <c r="O125" s="81" t="s">
        <v>693</v>
      </c>
      <c r="P125" s="83">
        <v>44460.032777777778</v>
      </c>
      <c r="Q125" s="81" t="s">
        <v>5294</v>
      </c>
      <c r="R125"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25" s="81" t="s">
        <v>935</v>
      </c>
      <c r="T125" s="81"/>
      <c r="U125" s="81"/>
      <c r="V125" s="84" t="str">
        <f>HYPERLINK("https://pbs.twimg.com/profile_images/1436215972470296596/1byL7nLO_normal.jpg")</f>
        <v>https://pbs.twimg.com/profile_images/1436215972470296596/1byL7nLO_normal.jpg</v>
      </c>
      <c r="W125" s="83">
        <v>44460.032777777778</v>
      </c>
      <c r="X125" s="89">
        <v>44460</v>
      </c>
      <c r="Y125" s="86" t="s">
        <v>5852</v>
      </c>
      <c r="Z125" s="84" t="str">
        <f>HYPERLINK("https://twitter.com/kalitrizal/status/1440115359743234049")</f>
        <v>https://twitter.com/kalitrizal/status/1440115359743234049</v>
      </c>
      <c r="AA125" s="81"/>
      <c r="AB125" s="81"/>
      <c r="AC125" s="86" t="s">
        <v>6752</v>
      </c>
      <c r="AD125" s="81"/>
      <c r="AE125" s="81" t="b">
        <v>0</v>
      </c>
      <c r="AF125" s="81">
        <v>0</v>
      </c>
      <c r="AG125" s="86" t="s">
        <v>2084</v>
      </c>
      <c r="AH125" s="81" t="b">
        <v>0</v>
      </c>
      <c r="AI125" s="81" t="s">
        <v>2167</v>
      </c>
      <c r="AJ125" s="81"/>
      <c r="AK125" s="86" t="s">
        <v>2084</v>
      </c>
      <c r="AL125" s="81" t="b">
        <v>0</v>
      </c>
      <c r="AM125" s="81">
        <v>231</v>
      </c>
      <c r="AN125" s="86" t="s">
        <v>6781</v>
      </c>
      <c r="AO125" s="86" t="s">
        <v>2178</v>
      </c>
      <c r="AP125" s="81" t="b">
        <v>0</v>
      </c>
      <c r="AQ125" s="86" t="s">
        <v>6781</v>
      </c>
      <c r="AR125" s="81" t="s">
        <v>179</v>
      </c>
      <c r="AS125" s="81">
        <v>0</v>
      </c>
      <c r="AT125" s="81">
        <v>0</v>
      </c>
      <c r="AU125" s="81"/>
      <c r="AV125" s="81"/>
      <c r="AW125" s="81"/>
      <c r="AX125" s="81"/>
      <c r="AY125" s="81"/>
      <c r="AZ125" s="81"/>
      <c r="BA125" s="81"/>
      <c r="BB125" s="81"/>
    </row>
    <row r="126" spans="1:54" x14ac:dyDescent="0.35">
      <c r="A126" s="66" t="s">
        <v>4231</v>
      </c>
      <c r="B126" s="66" t="s">
        <v>4257</v>
      </c>
      <c r="C126" s="67"/>
      <c r="D126" s="68"/>
      <c r="E126" s="69"/>
      <c r="F126" s="70"/>
      <c r="G126" s="67"/>
      <c r="H126" s="71"/>
      <c r="I126" s="72"/>
      <c r="J126" s="72"/>
      <c r="K126" s="36"/>
      <c r="L126" s="79"/>
      <c r="M126" s="79"/>
      <c r="N126" s="74"/>
      <c r="O126" s="81" t="s">
        <v>693</v>
      </c>
      <c r="P126" s="83">
        <v>44460.037789351853</v>
      </c>
      <c r="Q126" s="81" t="s">
        <v>5294</v>
      </c>
      <c r="R126"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26" s="81" t="s">
        <v>935</v>
      </c>
      <c r="T126" s="81"/>
      <c r="U126" s="81"/>
      <c r="V126" s="84" t="str">
        <f>HYPERLINK("https://pbs.twimg.com/profile_images/1437027189845753861/i-daJ90-_normal.jpg")</f>
        <v>https://pbs.twimg.com/profile_images/1437027189845753861/i-daJ90-_normal.jpg</v>
      </c>
      <c r="W126" s="83">
        <v>44460.037789351853</v>
      </c>
      <c r="X126" s="89">
        <v>44460</v>
      </c>
      <c r="Y126" s="86" t="s">
        <v>5853</v>
      </c>
      <c r="Z126" s="84" t="str">
        <f>HYPERLINK("https://twitter.com/b_adikusuma/status/1440117175759478785")</f>
        <v>https://twitter.com/b_adikusuma/status/1440117175759478785</v>
      </c>
      <c r="AA126" s="81"/>
      <c r="AB126" s="81"/>
      <c r="AC126" s="86" t="s">
        <v>6753</v>
      </c>
      <c r="AD126" s="81"/>
      <c r="AE126" s="81" t="b">
        <v>0</v>
      </c>
      <c r="AF126" s="81">
        <v>0</v>
      </c>
      <c r="AG126" s="86" t="s">
        <v>2084</v>
      </c>
      <c r="AH126" s="81" t="b">
        <v>0</v>
      </c>
      <c r="AI126" s="81" t="s">
        <v>2167</v>
      </c>
      <c r="AJ126" s="81"/>
      <c r="AK126" s="86" t="s">
        <v>2084</v>
      </c>
      <c r="AL126" s="81" t="b">
        <v>0</v>
      </c>
      <c r="AM126" s="81">
        <v>231</v>
      </c>
      <c r="AN126" s="86" t="s">
        <v>6781</v>
      </c>
      <c r="AO126" s="86" t="s">
        <v>2178</v>
      </c>
      <c r="AP126" s="81" t="b">
        <v>0</v>
      </c>
      <c r="AQ126" s="86" t="s">
        <v>6781</v>
      </c>
      <c r="AR126" s="81" t="s">
        <v>179</v>
      </c>
      <c r="AS126" s="81">
        <v>0</v>
      </c>
      <c r="AT126" s="81">
        <v>0</v>
      </c>
      <c r="AU126" s="81"/>
      <c r="AV126" s="81"/>
      <c r="AW126" s="81"/>
      <c r="AX126" s="81"/>
      <c r="AY126" s="81"/>
      <c r="AZ126" s="81"/>
      <c r="BA126" s="81"/>
      <c r="BB126" s="81"/>
    </row>
    <row r="127" spans="1:54" x14ac:dyDescent="0.35">
      <c r="A127" s="66" t="s">
        <v>257</v>
      </c>
      <c r="B127" s="66" t="s">
        <v>257</v>
      </c>
      <c r="C127" s="67"/>
      <c r="D127" s="68"/>
      <c r="E127" s="69"/>
      <c r="F127" s="70"/>
      <c r="G127" s="67"/>
      <c r="H127" s="71"/>
      <c r="I127" s="72"/>
      <c r="J127" s="72"/>
      <c r="K127" s="36"/>
      <c r="L127" s="79"/>
      <c r="M127" s="79"/>
      <c r="N127" s="74"/>
      <c r="O127" s="81" t="s">
        <v>179</v>
      </c>
      <c r="P127" s="83">
        <v>44460.049444444441</v>
      </c>
      <c r="Q127" s="81" t="s">
        <v>710</v>
      </c>
      <c r="R127" s="81"/>
      <c r="S127" s="81"/>
      <c r="T127" s="86" t="s">
        <v>975</v>
      </c>
      <c r="U127" s="84" t="str">
        <f>HYPERLINK("https://pbs.twimg.com/media/E_xWxdVUUAIRsIf.jpg")</f>
        <v>https://pbs.twimg.com/media/E_xWxdVUUAIRsIf.jpg</v>
      </c>
      <c r="V127" s="84" t="str">
        <f>HYPERLINK("https://pbs.twimg.com/media/E_xWxdVUUAIRsIf.jpg")</f>
        <v>https://pbs.twimg.com/media/E_xWxdVUUAIRsIf.jpg</v>
      </c>
      <c r="W127" s="83">
        <v>44460.049444444441</v>
      </c>
      <c r="X127" s="89">
        <v>44460</v>
      </c>
      <c r="Y127" s="86" t="s">
        <v>1053</v>
      </c>
      <c r="Z127" s="84" t="str">
        <f>HYPERLINK("https://twitter.com/eljohnfmpku/status/1440121398827966470")</f>
        <v>https://twitter.com/eljohnfmpku/status/1440121398827966470</v>
      </c>
      <c r="AA127" s="81"/>
      <c r="AB127" s="81"/>
      <c r="AC127" s="86" t="s">
        <v>1553</v>
      </c>
      <c r="AD127" s="81"/>
      <c r="AE127" s="81" t="b">
        <v>0</v>
      </c>
      <c r="AF127" s="81">
        <v>0</v>
      </c>
      <c r="AG127" s="86" t="s">
        <v>2084</v>
      </c>
      <c r="AH127" s="81" t="b">
        <v>0</v>
      </c>
      <c r="AI127" s="81" t="s">
        <v>2167</v>
      </c>
      <c r="AJ127" s="81"/>
      <c r="AK127" s="86" t="s">
        <v>2084</v>
      </c>
      <c r="AL127" s="81" t="b">
        <v>0</v>
      </c>
      <c r="AM127" s="81">
        <v>0</v>
      </c>
      <c r="AN127" s="86" t="s">
        <v>2084</v>
      </c>
      <c r="AO127" s="86" t="s">
        <v>2179</v>
      </c>
      <c r="AP127" s="81" t="b">
        <v>0</v>
      </c>
      <c r="AQ127" s="86" t="s">
        <v>1553</v>
      </c>
      <c r="AR127" s="81" t="s">
        <v>179</v>
      </c>
      <c r="AS127" s="81">
        <v>0</v>
      </c>
      <c r="AT127" s="81">
        <v>0</v>
      </c>
      <c r="AU127" s="81"/>
      <c r="AV127" s="81"/>
      <c r="AW127" s="81"/>
      <c r="AX127" s="81"/>
      <c r="AY127" s="81"/>
      <c r="AZ127" s="81"/>
      <c r="BA127" s="81"/>
      <c r="BB127" s="81"/>
    </row>
    <row r="128" spans="1:54" x14ac:dyDescent="0.35">
      <c r="A128" s="66" t="s">
        <v>4232</v>
      </c>
      <c r="B128" s="66" t="s">
        <v>4257</v>
      </c>
      <c r="C128" s="67"/>
      <c r="D128" s="68"/>
      <c r="E128" s="69"/>
      <c r="F128" s="70"/>
      <c r="G128" s="67"/>
      <c r="H128" s="71"/>
      <c r="I128" s="72"/>
      <c r="J128" s="72"/>
      <c r="K128" s="36"/>
      <c r="L128" s="79"/>
      <c r="M128" s="79"/>
      <c r="N128" s="74"/>
      <c r="O128" s="81" t="s">
        <v>693</v>
      </c>
      <c r="P128" s="83">
        <v>44460.051076388889</v>
      </c>
      <c r="Q128" s="81" t="s">
        <v>5294</v>
      </c>
      <c r="R128"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28" s="81" t="s">
        <v>935</v>
      </c>
      <c r="T128" s="81"/>
      <c r="U128" s="81"/>
      <c r="V128" s="84" t="str">
        <f>HYPERLINK("https://pbs.twimg.com/profile_images/1441411997522821124/EWxv6sxo_normal.jpg")</f>
        <v>https://pbs.twimg.com/profile_images/1441411997522821124/EWxv6sxo_normal.jpg</v>
      </c>
      <c r="W128" s="83">
        <v>44460.051076388889</v>
      </c>
      <c r="X128" s="89">
        <v>44460</v>
      </c>
      <c r="Y128" s="86" t="s">
        <v>5854</v>
      </c>
      <c r="Z128" s="84" t="str">
        <f>HYPERLINK("https://twitter.com/al_jendra/status/1440121992863047681")</f>
        <v>https://twitter.com/al_jendra/status/1440121992863047681</v>
      </c>
      <c r="AA128" s="81"/>
      <c r="AB128" s="81"/>
      <c r="AC128" s="86" t="s">
        <v>6754</v>
      </c>
      <c r="AD128" s="81"/>
      <c r="AE128" s="81" t="b">
        <v>0</v>
      </c>
      <c r="AF128" s="81">
        <v>0</v>
      </c>
      <c r="AG128" s="86" t="s">
        <v>2084</v>
      </c>
      <c r="AH128" s="81" t="b">
        <v>0</v>
      </c>
      <c r="AI128" s="81" t="s">
        <v>2167</v>
      </c>
      <c r="AJ128" s="81"/>
      <c r="AK128" s="86" t="s">
        <v>2084</v>
      </c>
      <c r="AL128" s="81" t="b">
        <v>0</v>
      </c>
      <c r="AM128" s="81">
        <v>231</v>
      </c>
      <c r="AN128" s="86" t="s">
        <v>6781</v>
      </c>
      <c r="AO128" s="86" t="s">
        <v>2178</v>
      </c>
      <c r="AP128" s="81" t="b">
        <v>0</v>
      </c>
      <c r="AQ128" s="86" t="s">
        <v>6781</v>
      </c>
      <c r="AR128" s="81" t="s">
        <v>179</v>
      </c>
      <c r="AS128" s="81">
        <v>0</v>
      </c>
      <c r="AT128" s="81">
        <v>0</v>
      </c>
      <c r="AU128" s="81"/>
      <c r="AV128" s="81"/>
      <c r="AW128" s="81"/>
      <c r="AX128" s="81"/>
      <c r="AY128" s="81"/>
      <c r="AZ128" s="81"/>
      <c r="BA128" s="81"/>
      <c r="BB128" s="81"/>
    </row>
    <row r="129" spans="1:54" x14ac:dyDescent="0.35">
      <c r="A129" s="66" t="s">
        <v>4233</v>
      </c>
      <c r="B129" s="66" t="s">
        <v>4495</v>
      </c>
      <c r="C129" s="67"/>
      <c r="D129" s="68"/>
      <c r="E129" s="69"/>
      <c r="F129" s="70"/>
      <c r="G129" s="67"/>
      <c r="H129" s="71"/>
      <c r="I129" s="72"/>
      <c r="J129" s="72"/>
      <c r="K129" s="36"/>
      <c r="L129" s="79"/>
      <c r="M129" s="79"/>
      <c r="N129" s="74"/>
      <c r="O129" s="81" t="s">
        <v>693</v>
      </c>
      <c r="P129" s="83">
        <v>44460.078217592592</v>
      </c>
      <c r="Q129" s="81" t="s">
        <v>5272</v>
      </c>
      <c r="R129" s="84" t="str">
        <f>HYPERLINK("https://www.gov.br/anvisa/pt-br/assuntos/fiscalizacao-e-monitoramento/notificacoes/vigimed/")</f>
        <v>https://www.gov.br/anvisa/pt-br/assuntos/fiscalizacao-e-monitoramento/notificacoes/vigimed/</v>
      </c>
      <c r="S129" s="81" t="s">
        <v>5686</v>
      </c>
      <c r="T129" s="81"/>
      <c r="U129" s="81"/>
      <c r="V129" s="84" t="str">
        <f>HYPERLINK("https://pbs.twimg.com/profile_images/1194429391692058626/2EIxsTnf_normal.jpg")</f>
        <v>https://pbs.twimg.com/profile_images/1194429391692058626/2EIxsTnf_normal.jpg</v>
      </c>
      <c r="W129" s="83">
        <v>44460.078217592592</v>
      </c>
      <c r="X129" s="89">
        <v>44460</v>
      </c>
      <c r="Y129" s="86" t="s">
        <v>5855</v>
      </c>
      <c r="Z129" s="84" t="str">
        <f>HYPERLINK("https://twitter.com/veracariocabr/status/1440131826006347782")</f>
        <v>https://twitter.com/veracariocabr/status/1440131826006347782</v>
      </c>
      <c r="AA129" s="81"/>
      <c r="AB129" s="81"/>
      <c r="AC129" s="86" t="s">
        <v>6755</v>
      </c>
      <c r="AD129" s="81"/>
      <c r="AE129" s="81" t="b">
        <v>0</v>
      </c>
      <c r="AF129" s="81">
        <v>0</v>
      </c>
      <c r="AG129" s="86" t="s">
        <v>2084</v>
      </c>
      <c r="AH129" s="81" t="b">
        <v>0</v>
      </c>
      <c r="AI129" s="81" t="s">
        <v>2171</v>
      </c>
      <c r="AJ129" s="81"/>
      <c r="AK129" s="86" t="s">
        <v>2084</v>
      </c>
      <c r="AL129" s="81" t="b">
        <v>0</v>
      </c>
      <c r="AM129" s="81">
        <v>1497</v>
      </c>
      <c r="AN129" s="86" t="s">
        <v>7047</v>
      </c>
      <c r="AO129" s="86" t="s">
        <v>2178</v>
      </c>
      <c r="AP129" s="81" t="b">
        <v>0</v>
      </c>
      <c r="AQ129" s="86" t="s">
        <v>7047</v>
      </c>
      <c r="AR129" s="81" t="s">
        <v>179</v>
      </c>
      <c r="AS129" s="81">
        <v>0</v>
      </c>
      <c r="AT129" s="81">
        <v>0</v>
      </c>
      <c r="AU129" s="81"/>
      <c r="AV129" s="81"/>
      <c r="AW129" s="81"/>
      <c r="AX129" s="81"/>
      <c r="AY129" s="81"/>
      <c r="AZ129" s="81"/>
      <c r="BA129" s="81"/>
      <c r="BB129" s="81"/>
    </row>
    <row r="130" spans="1:54" x14ac:dyDescent="0.35">
      <c r="A130" s="66" t="s">
        <v>4234</v>
      </c>
      <c r="B130" s="66" t="s">
        <v>4234</v>
      </c>
      <c r="C130" s="67"/>
      <c r="D130" s="68"/>
      <c r="E130" s="69"/>
      <c r="F130" s="70"/>
      <c r="G130" s="67"/>
      <c r="H130" s="71"/>
      <c r="I130" s="72"/>
      <c r="J130" s="72"/>
      <c r="K130" s="36"/>
      <c r="L130" s="79"/>
      <c r="M130" s="79"/>
      <c r="N130" s="74"/>
      <c r="O130" s="81" t="s">
        <v>179</v>
      </c>
      <c r="P130" s="83">
        <v>44459.864930555559</v>
      </c>
      <c r="Q130" s="81" t="s">
        <v>5290</v>
      </c>
      <c r="R130" s="81"/>
      <c r="S130" s="81"/>
      <c r="T130" s="81"/>
      <c r="U130" s="84" t="str">
        <f>HYPERLINK("https://pbs.twimg.com/media/E_wZ9zfVEAYRzty.jpg")</f>
        <v>https://pbs.twimg.com/media/E_wZ9zfVEAYRzty.jpg</v>
      </c>
      <c r="V130" s="84" t="str">
        <f>HYPERLINK("https://pbs.twimg.com/media/E_wZ9zfVEAYRzty.jpg")</f>
        <v>https://pbs.twimg.com/media/E_wZ9zfVEAYRzty.jpg</v>
      </c>
      <c r="W130" s="83">
        <v>44459.864930555559</v>
      </c>
      <c r="X130" s="89">
        <v>44459</v>
      </c>
      <c r="Y130" s="86" t="s">
        <v>1510</v>
      </c>
      <c r="Z130" s="84" t="str">
        <f>HYPERLINK("https://twitter.com/marco88086753/status/1440054534143762440")</f>
        <v>https://twitter.com/marco88086753/status/1440054534143762440</v>
      </c>
      <c r="AA130" s="81"/>
      <c r="AB130" s="81"/>
      <c r="AC130" s="86" t="s">
        <v>6756</v>
      </c>
      <c r="AD130" s="81"/>
      <c r="AE130" s="81" t="b">
        <v>0</v>
      </c>
      <c r="AF130" s="81">
        <v>6</v>
      </c>
      <c r="AG130" s="86" t="s">
        <v>2084</v>
      </c>
      <c r="AH130" s="81" t="b">
        <v>0</v>
      </c>
      <c r="AI130" s="81" t="s">
        <v>2171</v>
      </c>
      <c r="AJ130" s="81"/>
      <c r="AK130" s="86" t="s">
        <v>2084</v>
      </c>
      <c r="AL130" s="81" t="b">
        <v>0</v>
      </c>
      <c r="AM130" s="81">
        <v>4</v>
      </c>
      <c r="AN130" s="86" t="s">
        <v>2084</v>
      </c>
      <c r="AO130" s="86" t="s">
        <v>2178</v>
      </c>
      <c r="AP130" s="81" t="b">
        <v>0</v>
      </c>
      <c r="AQ130" s="86" t="s">
        <v>6756</v>
      </c>
      <c r="AR130" s="81" t="s">
        <v>179</v>
      </c>
      <c r="AS130" s="81">
        <v>0</v>
      </c>
      <c r="AT130" s="81">
        <v>0</v>
      </c>
      <c r="AU130" s="81"/>
      <c r="AV130" s="81"/>
      <c r="AW130" s="81"/>
      <c r="AX130" s="81"/>
      <c r="AY130" s="81"/>
      <c r="AZ130" s="81"/>
      <c r="BA130" s="81"/>
      <c r="BB130" s="81"/>
    </row>
    <row r="131" spans="1:54" x14ac:dyDescent="0.35">
      <c r="A131" s="66" t="s">
        <v>4234</v>
      </c>
      <c r="B131" s="66" t="s">
        <v>4234</v>
      </c>
      <c r="C131" s="67"/>
      <c r="D131" s="68"/>
      <c r="E131" s="69"/>
      <c r="F131" s="70"/>
      <c r="G131" s="67"/>
      <c r="H131" s="71"/>
      <c r="I131" s="72"/>
      <c r="J131" s="72"/>
      <c r="K131" s="36"/>
      <c r="L131" s="79"/>
      <c r="M131" s="79"/>
      <c r="N131" s="74"/>
      <c r="O131" s="81" t="s">
        <v>693</v>
      </c>
      <c r="P131" s="83">
        <v>44460.068171296298</v>
      </c>
      <c r="Q131" s="81" t="s">
        <v>5290</v>
      </c>
      <c r="R131" s="81"/>
      <c r="S131" s="81"/>
      <c r="T131" s="81"/>
      <c r="U131" s="84" t="str">
        <f>HYPERLINK("https://pbs.twimg.com/media/E_wZ9zfVEAYRzty.jpg")</f>
        <v>https://pbs.twimg.com/media/E_wZ9zfVEAYRzty.jpg</v>
      </c>
      <c r="V131" s="84" t="str">
        <f>HYPERLINK("https://pbs.twimg.com/media/E_wZ9zfVEAYRzty.jpg")</f>
        <v>https://pbs.twimg.com/media/E_wZ9zfVEAYRzty.jpg</v>
      </c>
      <c r="W131" s="83">
        <v>44460.068171296298</v>
      </c>
      <c r="X131" s="89">
        <v>44460</v>
      </c>
      <c r="Y131" s="86" t="s">
        <v>5856</v>
      </c>
      <c r="Z131" s="84" t="str">
        <f>HYPERLINK("https://twitter.com/marco88086753/status/1440128184201142273")</f>
        <v>https://twitter.com/marco88086753/status/1440128184201142273</v>
      </c>
      <c r="AA131" s="81"/>
      <c r="AB131" s="81"/>
      <c r="AC131" s="86" t="s">
        <v>6757</v>
      </c>
      <c r="AD131" s="81"/>
      <c r="AE131" s="81" t="b">
        <v>0</v>
      </c>
      <c r="AF131" s="81">
        <v>0</v>
      </c>
      <c r="AG131" s="86" t="s">
        <v>2084</v>
      </c>
      <c r="AH131" s="81" t="b">
        <v>0</v>
      </c>
      <c r="AI131" s="81" t="s">
        <v>2171</v>
      </c>
      <c r="AJ131" s="81"/>
      <c r="AK131" s="86" t="s">
        <v>2084</v>
      </c>
      <c r="AL131" s="81" t="b">
        <v>0</v>
      </c>
      <c r="AM131" s="81">
        <v>4</v>
      </c>
      <c r="AN131" s="86" t="s">
        <v>6756</v>
      </c>
      <c r="AO131" s="86" t="s">
        <v>2178</v>
      </c>
      <c r="AP131" s="81" t="b">
        <v>0</v>
      </c>
      <c r="AQ131" s="86" t="s">
        <v>6756</v>
      </c>
      <c r="AR131" s="81" t="s">
        <v>179</v>
      </c>
      <c r="AS131" s="81">
        <v>0</v>
      </c>
      <c r="AT131" s="81">
        <v>0</v>
      </c>
      <c r="AU131" s="81"/>
      <c r="AV131" s="81"/>
      <c r="AW131" s="81"/>
      <c r="AX131" s="81"/>
      <c r="AY131" s="81"/>
      <c r="AZ131" s="81"/>
      <c r="BA131" s="81"/>
      <c r="BB131" s="81"/>
    </row>
    <row r="132" spans="1:54" x14ac:dyDescent="0.35">
      <c r="A132" s="66" t="s">
        <v>4235</v>
      </c>
      <c r="B132" s="66" t="s">
        <v>4234</v>
      </c>
      <c r="C132" s="67"/>
      <c r="D132" s="68"/>
      <c r="E132" s="69"/>
      <c r="F132" s="70"/>
      <c r="G132" s="67"/>
      <c r="H132" s="71"/>
      <c r="I132" s="72"/>
      <c r="J132" s="72"/>
      <c r="K132" s="36"/>
      <c r="L132" s="79"/>
      <c r="M132" s="79"/>
      <c r="N132" s="74"/>
      <c r="O132" s="81" t="s">
        <v>693</v>
      </c>
      <c r="P132" s="83">
        <v>44460.087534722225</v>
      </c>
      <c r="Q132" s="81" t="s">
        <v>5290</v>
      </c>
      <c r="R132" s="81"/>
      <c r="S132" s="81"/>
      <c r="T132" s="81"/>
      <c r="U132" s="84" t="str">
        <f>HYPERLINK("https://pbs.twimg.com/media/E_wZ9zfVEAYRzty.jpg")</f>
        <v>https://pbs.twimg.com/media/E_wZ9zfVEAYRzty.jpg</v>
      </c>
      <c r="V132" s="84" t="str">
        <f>HYPERLINK("https://pbs.twimg.com/media/E_wZ9zfVEAYRzty.jpg")</f>
        <v>https://pbs.twimg.com/media/E_wZ9zfVEAYRzty.jpg</v>
      </c>
      <c r="W132" s="83">
        <v>44460.087534722225</v>
      </c>
      <c r="X132" s="89">
        <v>44460</v>
      </c>
      <c r="Y132" s="86" t="s">
        <v>5857</v>
      </c>
      <c r="Z132" s="84" t="str">
        <f>HYPERLINK("https://twitter.com/bolso228bolso22/status/1440135201854791680")</f>
        <v>https://twitter.com/bolso228bolso22/status/1440135201854791680</v>
      </c>
      <c r="AA132" s="81"/>
      <c r="AB132" s="81"/>
      <c r="AC132" s="86" t="s">
        <v>6758</v>
      </c>
      <c r="AD132" s="81"/>
      <c r="AE132" s="81" t="b">
        <v>0</v>
      </c>
      <c r="AF132" s="81">
        <v>0</v>
      </c>
      <c r="AG132" s="86" t="s">
        <v>2084</v>
      </c>
      <c r="AH132" s="81" t="b">
        <v>0</v>
      </c>
      <c r="AI132" s="81" t="s">
        <v>2171</v>
      </c>
      <c r="AJ132" s="81"/>
      <c r="AK132" s="86" t="s">
        <v>2084</v>
      </c>
      <c r="AL132" s="81" t="b">
        <v>0</v>
      </c>
      <c r="AM132" s="81">
        <v>4</v>
      </c>
      <c r="AN132" s="86" t="s">
        <v>6756</v>
      </c>
      <c r="AO132" s="86" t="s">
        <v>2179</v>
      </c>
      <c r="AP132" s="81" t="b">
        <v>0</v>
      </c>
      <c r="AQ132" s="86" t="s">
        <v>6756</v>
      </c>
      <c r="AR132" s="81" t="s">
        <v>179</v>
      </c>
      <c r="AS132" s="81">
        <v>0</v>
      </c>
      <c r="AT132" s="81">
        <v>0</v>
      </c>
      <c r="AU132" s="81"/>
      <c r="AV132" s="81"/>
      <c r="AW132" s="81"/>
      <c r="AX132" s="81"/>
      <c r="AY132" s="81"/>
      <c r="AZ132" s="81"/>
      <c r="BA132" s="81"/>
      <c r="BB132" s="81"/>
    </row>
    <row r="133" spans="1:54" x14ac:dyDescent="0.35">
      <c r="A133" s="66" t="s">
        <v>4236</v>
      </c>
      <c r="B133" s="66" t="s">
        <v>4989</v>
      </c>
      <c r="C133" s="67"/>
      <c r="D133" s="68"/>
      <c r="E133" s="69"/>
      <c r="F133" s="70"/>
      <c r="G133" s="67"/>
      <c r="H133" s="71"/>
      <c r="I133" s="72"/>
      <c r="J133" s="72"/>
      <c r="K133" s="36"/>
      <c r="L133" s="79"/>
      <c r="M133" s="79"/>
      <c r="N133" s="74"/>
      <c r="O133" s="81" t="s">
        <v>694</v>
      </c>
      <c r="P133" s="83">
        <v>44460.087604166663</v>
      </c>
      <c r="Q133" s="81" t="s">
        <v>5292</v>
      </c>
      <c r="R133" s="81"/>
      <c r="S133" s="81"/>
      <c r="T133" s="81"/>
      <c r="U133" s="81"/>
      <c r="V133" s="84" t="str">
        <f>HYPERLINK("https://pbs.twimg.com/profile_images/1382681490610401285/Po6hXpPT_normal.jpg")</f>
        <v>https://pbs.twimg.com/profile_images/1382681490610401285/Po6hXpPT_normal.jpg</v>
      </c>
      <c r="W133" s="83">
        <v>44460.087604166663</v>
      </c>
      <c r="X133" s="89">
        <v>44460</v>
      </c>
      <c r="Y133" s="86" t="s">
        <v>5858</v>
      </c>
      <c r="Z133" s="84" t="str">
        <f>HYPERLINK("https://twitter.com/jalvespinheiro1/status/1440135226404057088")</f>
        <v>https://twitter.com/jalvespinheiro1/status/1440135226404057088</v>
      </c>
      <c r="AA133" s="81"/>
      <c r="AB133" s="81"/>
      <c r="AC133" s="86" t="s">
        <v>6759</v>
      </c>
      <c r="AD133" s="81"/>
      <c r="AE133" s="81" t="b">
        <v>0</v>
      </c>
      <c r="AF133" s="81">
        <v>0</v>
      </c>
      <c r="AG133" s="86" t="s">
        <v>2084</v>
      </c>
      <c r="AH133" s="81" t="b">
        <v>0</v>
      </c>
      <c r="AI133" s="81" t="s">
        <v>2171</v>
      </c>
      <c r="AJ133" s="81"/>
      <c r="AK133" s="86" t="s">
        <v>2084</v>
      </c>
      <c r="AL133" s="81" t="b">
        <v>0</v>
      </c>
      <c r="AM133" s="81">
        <v>6</v>
      </c>
      <c r="AN133" s="86" t="s">
        <v>6768</v>
      </c>
      <c r="AO133" s="86" t="s">
        <v>2178</v>
      </c>
      <c r="AP133" s="81" t="b">
        <v>0</v>
      </c>
      <c r="AQ133" s="86" t="s">
        <v>6768</v>
      </c>
      <c r="AR133" s="81" t="s">
        <v>179</v>
      </c>
      <c r="AS133" s="81">
        <v>0</v>
      </c>
      <c r="AT133" s="81">
        <v>0</v>
      </c>
      <c r="AU133" s="81"/>
      <c r="AV133" s="81"/>
      <c r="AW133" s="81"/>
      <c r="AX133" s="81"/>
      <c r="AY133" s="81"/>
      <c r="AZ133" s="81"/>
      <c r="BA133" s="81"/>
      <c r="BB133" s="81"/>
    </row>
    <row r="134" spans="1:54" x14ac:dyDescent="0.35">
      <c r="A134" s="66" t="s">
        <v>4236</v>
      </c>
      <c r="B134" s="66" t="s">
        <v>4245</v>
      </c>
      <c r="C134" s="67"/>
      <c r="D134" s="68"/>
      <c r="E134" s="69"/>
      <c r="F134" s="70"/>
      <c r="G134" s="67"/>
      <c r="H134" s="71"/>
      <c r="I134" s="72"/>
      <c r="J134" s="72"/>
      <c r="K134" s="36"/>
      <c r="L134" s="79"/>
      <c r="M134" s="79"/>
      <c r="N134" s="74"/>
      <c r="O134" s="81" t="s">
        <v>693</v>
      </c>
      <c r="P134" s="83">
        <v>44460.087604166663</v>
      </c>
      <c r="Q134" s="81" t="s">
        <v>5292</v>
      </c>
      <c r="R134" s="81"/>
      <c r="S134" s="81"/>
      <c r="T134" s="81"/>
      <c r="U134" s="81"/>
      <c r="V134" s="84" t="str">
        <f>HYPERLINK("https://pbs.twimg.com/profile_images/1382681490610401285/Po6hXpPT_normal.jpg")</f>
        <v>https://pbs.twimg.com/profile_images/1382681490610401285/Po6hXpPT_normal.jpg</v>
      </c>
      <c r="W134" s="83">
        <v>44460.087604166663</v>
      </c>
      <c r="X134" s="89">
        <v>44460</v>
      </c>
      <c r="Y134" s="86" t="s">
        <v>5858</v>
      </c>
      <c r="Z134" s="84" t="str">
        <f>HYPERLINK("https://twitter.com/jalvespinheiro1/status/1440135226404057088")</f>
        <v>https://twitter.com/jalvespinheiro1/status/1440135226404057088</v>
      </c>
      <c r="AA134" s="81"/>
      <c r="AB134" s="81"/>
      <c r="AC134" s="86" t="s">
        <v>6759</v>
      </c>
      <c r="AD134" s="81"/>
      <c r="AE134" s="81" t="b">
        <v>0</v>
      </c>
      <c r="AF134" s="81">
        <v>0</v>
      </c>
      <c r="AG134" s="86" t="s">
        <v>2084</v>
      </c>
      <c r="AH134" s="81" t="b">
        <v>0</v>
      </c>
      <c r="AI134" s="81" t="s">
        <v>2171</v>
      </c>
      <c r="AJ134" s="81"/>
      <c r="AK134" s="86" t="s">
        <v>2084</v>
      </c>
      <c r="AL134" s="81" t="b">
        <v>0</v>
      </c>
      <c r="AM134" s="81">
        <v>6</v>
      </c>
      <c r="AN134" s="86" t="s">
        <v>6768</v>
      </c>
      <c r="AO134" s="86" t="s">
        <v>2178</v>
      </c>
      <c r="AP134" s="81" t="b">
        <v>0</v>
      </c>
      <c r="AQ134" s="86" t="s">
        <v>6768</v>
      </c>
      <c r="AR134" s="81" t="s">
        <v>179</v>
      </c>
      <c r="AS134" s="81">
        <v>0</v>
      </c>
      <c r="AT134" s="81">
        <v>0</v>
      </c>
      <c r="AU134" s="81"/>
      <c r="AV134" s="81"/>
      <c r="AW134" s="81"/>
      <c r="AX134" s="81"/>
      <c r="AY134" s="81"/>
      <c r="AZ134" s="81"/>
      <c r="BA134" s="81"/>
      <c r="BB134" s="81"/>
    </row>
    <row r="135" spans="1:54" x14ac:dyDescent="0.35">
      <c r="A135" s="66" t="s">
        <v>4236</v>
      </c>
      <c r="B135" s="66" t="s">
        <v>4990</v>
      </c>
      <c r="C135" s="67"/>
      <c r="D135" s="68"/>
      <c r="E135" s="69"/>
      <c r="F135" s="70"/>
      <c r="G135" s="67"/>
      <c r="H135" s="71"/>
      <c r="I135" s="72"/>
      <c r="J135" s="72"/>
      <c r="K135" s="36"/>
      <c r="L135" s="79"/>
      <c r="M135" s="79"/>
      <c r="N135" s="74"/>
      <c r="O135" s="81" t="s">
        <v>695</v>
      </c>
      <c r="P135" s="83">
        <v>44460.087604166663</v>
      </c>
      <c r="Q135" s="81" t="s">
        <v>5292</v>
      </c>
      <c r="R135" s="81"/>
      <c r="S135" s="81"/>
      <c r="T135" s="81"/>
      <c r="U135" s="81"/>
      <c r="V135" s="84" t="str">
        <f>HYPERLINK("https://pbs.twimg.com/profile_images/1382681490610401285/Po6hXpPT_normal.jpg")</f>
        <v>https://pbs.twimg.com/profile_images/1382681490610401285/Po6hXpPT_normal.jpg</v>
      </c>
      <c r="W135" s="83">
        <v>44460.087604166663</v>
      </c>
      <c r="X135" s="89">
        <v>44460</v>
      </c>
      <c r="Y135" s="86" t="s">
        <v>5858</v>
      </c>
      <c r="Z135" s="84" t="str">
        <f>HYPERLINK("https://twitter.com/jalvespinheiro1/status/1440135226404057088")</f>
        <v>https://twitter.com/jalvespinheiro1/status/1440135226404057088</v>
      </c>
      <c r="AA135" s="81"/>
      <c r="AB135" s="81"/>
      <c r="AC135" s="86" t="s">
        <v>6759</v>
      </c>
      <c r="AD135" s="81"/>
      <c r="AE135" s="81" t="b">
        <v>0</v>
      </c>
      <c r="AF135" s="81">
        <v>0</v>
      </c>
      <c r="AG135" s="86" t="s">
        <v>2084</v>
      </c>
      <c r="AH135" s="81" t="b">
        <v>0</v>
      </c>
      <c r="AI135" s="81" t="s">
        <v>2171</v>
      </c>
      <c r="AJ135" s="81"/>
      <c r="AK135" s="86" t="s">
        <v>2084</v>
      </c>
      <c r="AL135" s="81" t="b">
        <v>0</v>
      </c>
      <c r="AM135" s="81">
        <v>6</v>
      </c>
      <c r="AN135" s="86" t="s">
        <v>6768</v>
      </c>
      <c r="AO135" s="86" t="s">
        <v>2178</v>
      </c>
      <c r="AP135" s="81" t="b">
        <v>0</v>
      </c>
      <c r="AQ135" s="86" t="s">
        <v>6768</v>
      </c>
      <c r="AR135" s="81" t="s">
        <v>179</v>
      </c>
      <c r="AS135" s="81">
        <v>0</v>
      </c>
      <c r="AT135" s="81">
        <v>0</v>
      </c>
      <c r="AU135" s="81"/>
      <c r="AV135" s="81"/>
      <c r="AW135" s="81"/>
      <c r="AX135" s="81"/>
      <c r="AY135" s="81"/>
      <c r="AZ135" s="81"/>
      <c r="BA135" s="81"/>
      <c r="BB135" s="81"/>
    </row>
    <row r="136" spans="1:54" x14ac:dyDescent="0.35">
      <c r="A136" s="66" t="s">
        <v>258</v>
      </c>
      <c r="B136" s="66" t="s">
        <v>258</v>
      </c>
      <c r="C136" s="67"/>
      <c r="D136" s="68"/>
      <c r="E136" s="69"/>
      <c r="F136" s="70"/>
      <c r="G136" s="67"/>
      <c r="H136" s="71"/>
      <c r="I136" s="72"/>
      <c r="J136" s="72"/>
      <c r="K136" s="36"/>
      <c r="L136" s="79"/>
      <c r="M136" s="79"/>
      <c r="N136" s="74"/>
      <c r="O136" s="81" t="s">
        <v>179</v>
      </c>
      <c r="P136" s="83">
        <v>44460.09207175926</v>
      </c>
      <c r="Q136" s="81" t="s">
        <v>711</v>
      </c>
      <c r="R136" s="81"/>
      <c r="S136" s="81"/>
      <c r="T136" s="86" t="s">
        <v>314</v>
      </c>
      <c r="U136" s="81"/>
      <c r="V136" s="84" t="str">
        <f>HYPERLINK("https://pbs.twimg.com/profile_images/1442709714844860419/BKrZk35-_normal.jpg")</f>
        <v>https://pbs.twimg.com/profile_images/1442709714844860419/BKrZk35-_normal.jpg</v>
      </c>
      <c r="W136" s="83">
        <v>44460.09207175926</v>
      </c>
      <c r="X136" s="89">
        <v>44460</v>
      </c>
      <c r="Y136" s="86" t="s">
        <v>1054</v>
      </c>
      <c r="Z136" s="84" t="str">
        <f>HYPERLINK("https://twitter.com/mcrkluv/status/1440136845619187714")</f>
        <v>https://twitter.com/mcrkluv/status/1440136845619187714</v>
      </c>
      <c r="AA136" s="81"/>
      <c r="AB136" s="81"/>
      <c r="AC136" s="86" t="s">
        <v>1554</v>
      </c>
      <c r="AD136" s="81"/>
      <c r="AE136" s="81" t="b">
        <v>0</v>
      </c>
      <c r="AF136" s="81">
        <v>1</v>
      </c>
      <c r="AG136" s="86" t="s">
        <v>2084</v>
      </c>
      <c r="AH136" s="81" t="b">
        <v>0</v>
      </c>
      <c r="AI136" s="81" t="s">
        <v>2168</v>
      </c>
      <c r="AJ136" s="81"/>
      <c r="AK136" s="86" t="s">
        <v>2084</v>
      </c>
      <c r="AL136" s="81" t="b">
        <v>0</v>
      </c>
      <c r="AM136" s="81">
        <v>2</v>
      </c>
      <c r="AN136" s="86" t="s">
        <v>2084</v>
      </c>
      <c r="AO136" s="86" t="s">
        <v>2179</v>
      </c>
      <c r="AP136" s="81" t="b">
        <v>0</v>
      </c>
      <c r="AQ136" s="86" t="s">
        <v>1554</v>
      </c>
      <c r="AR136" s="81" t="s">
        <v>179</v>
      </c>
      <c r="AS136" s="81">
        <v>0</v>
      </c>
      <c r="AT136" s="81">
        <v>0</v>
      </c>
      <c r="AU136" s="81"/>
      <c r="AV136" s="81"/>
      <c r="AW136" s="81"/>
      <c r="AX136" s="81"/>
      <c r="AY136" s="81"/>
      <c r="AZ136" s="81"/>
      <c r="BA136" s="81"/>
      <c r="BB136" s="81"/>
    </row>
    <row r="137" spans="1:54" x14ac:dyDescent="0.35">
      <c r="A137" s="66" t="s">
        <v>259</v>
      </c>
      <c r="B137" s="66" t="s">
        <v>258</v>
      </c>
      <c r="C137" s="67"/>
      <c r="D137" s="68"/>
      <c r="E137" s="69"/>
      <c r="F137" s="70"/>
      <c r="G137" s="67"/>
      <c r="H137" s="71"/>
      <c r="I137" s="72"/>
      <c r="J137" s="72"/>
      <c r="K137" s="36"/>
      <c r="L137" s="79"/>
      <c r="M137" s="79"/>
      <c r="N137" s="74"/>
      <c r="O137" s="81" t="s">
        <v>693</v>
      </c>
      <c r="P137" s="83">
        <v>44460.093402777777</v>
      </c>
      <c r="Q137" s="81" t="s">
        <v>711</v>
      </c>
      <c r="R137" s="81"/>
      <c r="S137" s="81"/>
      <c r="T137" s="86" t="s">
        <v>314</v>
      </c>
      <c r="U137" s="81"/>
      <c r="V137" s="84" t="str">
        <f>HYPERLINK("https://pbs.twimg.com/profile_images/1437053919201398784/WYwXVqCA_normal.png")</f>
        <v>https://pbs.twimg.com/profile_images/1437053919201398784/WYwXVqCA_normal.png</v>
      </c>
      <c r="W137" s="83">
        <v>44460.093402777777</v>
      </c>
      <c r="X137" s="89">
        <v>44460</v>
      </c>
      <c r="Y137" s="86" t="s">
        <v>1055</v>
      </c>
      <c r="Z137" s="84" t="str">
        <f>HYPERLINK("https://twitter.com/hazirahbodo/status/1440137330807902221")</f>
        <v>https://twitter.com/hazirahbodo/status/1440137330807902221</v>
      </c>
      <c r="AA137" s="81"/>
      <c r="AB137" s="81"/>
      <c r="AC137" s="86" t="s">
        <v>1555</v>
      </c>
      <c r="AD137" s="81"/>
      <c r="AE137" s="81" t="b">
        <v>0</v>
      </c>
      <c r="AF137" s="81">
        <v>0</v>
      </c>
      <c r="AG137" s="86" t="s">
        <v>2084</v>
      </c>
      <c r="AH137" s="81" t="b">
        <v>0</v>
      </c>
      <c r="AI137" s="81" t="s">
        <v>2168</v>
      </c>
      <c r="AJ137" s="81"/>
      <c r="AK137" s="86" t="s">
        <v>2084</v>
      </c>
      <c r="AL137" s="81" t="b">
        <v>0</v>
      </c>
      <c r="AM137" s="81">
        <v>2</v>
      </c>
      <c r="AN137" s="86" t="s">
        <v>1554</v>
      </c>
      <c r="AO137" s="86" t="s">
        <v>2178</v>
      </c>
      <c r="AP137" s="81" t="b">
        <v>0</v>
      </c>
      <c r="AQ137" s="86" t="s">
        <v>1554</v>
      </c>
      <c r="AR137" s="81" t="s">
        <v>179</v>
      </c>
      <c r="AS137" s="81">
        <v>0</v>
      </c>
      <c r="AT137" s="81">
        <v>0</v>
      </c>
      <c r="AU137" s="81"/>
      <c r="AV137" s="81"/>
      <c r="AW137" s="81"/>
      <c r="AX137" s="81"/>
      <c r="AY137" s="81"/>
      <c r="AZ137" s="81"/>
      <c r="BA137" s="81"/>
      <c r="BB137" s="81"/>
    </row>
    <row r="138" spans="1:54" x14ac:dyDescent="0.35">
      <c r="A138" s="66" t="s">
        <v>4237</v>
      </c>
      <c r="B138" s="66" t="s">
        <v>4981</v>
      </c>
      <c r="C138" s="67"/>
      <c r="D138" s="68"/>
      <c r="E138" s="69"/>
      <c r="F138" s="70"/>
      <c r="G138" s="67"/>
      <c r="H138" s="71"/>
      <c r="I138" s="72"/>
      <c r="J138" s="72"/>
      <c r="K138" s="36"/>
      <c r="L138" s="79"/>
      <c r="M138" s="79"/>
      <c r="N138" s="74"/>
      <c r="O138" s="81" t="s">
        <v>696</v>
      </c>
      <c r="P138" s="83">
        <v>44460.100949074076</v>
      </c>
      <c r="Q138" s="81" t="s">
        <v>5297</v>
      </c>
      <c r="R138" s="81"/>
      <c r="S138" s="81"/>
      <c r="T138" s="81"/>
      <c r="U138" s="81"/>
      <c r="V138" s="84" t="str">
        <f>HYPERLINK("https://pbs.twimg.com/profile_images/1123438028805038081/-hbw0Mbl_normal.jpg")</f>
        <v>https://pbs.twimg.com/profile_images/1123438028805038081/-hbw0Mbl_normal.jpg</v>
      </c>
      <c r="W138" s="83">
        <v>44460.100949074076</v>
      </c>
      <c r="X138" s="89">
        <v>44460</v>
      </c>
      <c r="Y138" s="86" t="s">
        <v>5859</v>
      </c>
      <c r="Z138" s="84" t="str">
        <f>HYPERLINK("https://twitter.com/vanijkjk/status/1440140062272811014")</f>
        <v>https://twitter.com/vanijkjk/status/1440140062272811014</v>
      </c>
      <c r="AA138" s="81"/>
      <c r="AB138" s="81"/>
      <c r="AC138" s="86" t="s">
        <v>6760</v>
      </c>
      <c r="AD138" s="86" t="s">
        <v>7625</v>
      </c>
      <c r="AE138" s="81" t="b">
        <v>0</v>
      </c>
      <c r="AF138" s="81">
        <v>0</v>
      </c>
      <c r="AG138" s="86" t="s">
        <v>7804</v>
      </c>
      <c r="AH138" s="81" t="b">
        <v>0</v>
      </c>
      <c r="AI138" s="81" t="s">
        <v>2171</v>
      </c>
      <c r="AJ138" s="81"/>
      <c r="AK138" s="86" t="s">
        <v>2084</v>
      </c>
      <c r="AL138" s="81" t="b">
        <v>0</v>
      </c>
      <c r="AM138" s="81">
        <v>0</v>
      </c>
      <c r="AN138" s="86" t="s">
        <v>2084</v>
      </c>
      <c r="AO138" s="86" t="s">
        <v>2178</v>
      </c>
      <c r="AP138" s="81" t="b">
        <v>0</v>
      </c>
      <c r="AQ138" s="86" t="s">
        <v>7625</v>
      </c>
      <c r="AR138" s="81" t="s">
        <v>179</v>
      </c>
      <c r="AS138" s="81">
        <v>0</v>
      </c>
      <c r="AT138" s="81">
        <v>0</v>
      </c>
      <c r="AU138" s="81"/>
      <c r="AV138" s="81"/>
      <c r="AW138" s="81"/>
      <c r="AX138" s="81"/>
      <c r="AY138" s="81"/>
      <c r="AZ138" s="81"/>
      <c r="BA138" s="81"/>
      <c r="BB138" s="81"/>
    </row>
    <row r="139" spans="1:54" x14ac:dyDescent="0.35">
      <c r="A139" s="66" t="s">
        <v>4237</v>
      </c>
      <c r="B139" s="66" t="s">
        <v>4991</v>
      </c>
      <c r="C139" s="67"/>
      <c r="D139" s="68"/>
      <c r="E139" s="69"/>
      <c r="F139" s="70"/>
      <c r="G139" s="67"/>
      <c r="H139" s="71"/>
      <c r="I139" s="72"/>
      <c r="J139" s="72"/>
      <c r="K139" s="36"/>
      <c r="L139" s="79"/>
      <c r="M139" s="79"/>
      <c r="N139" s="74"/>
      <c r="O139" s="81" t="s">
        <v>696</v>
      </c>
      <c r="P139" s="83">
        <v>44460.100949074076</v>
      </c>
      <c r="Q139" s="81" t="s">
        <v>5297</v>
      </c>
      <c r="R139" s="81"/>
      <c r="S139" s="81"/>
      <c r="T139" s="81"/>
      <c r="U139" s="81"/>
      <c r="V139" s="84" t="str">
        <f>HYPERLINK("https://pbs.twimg.com/profile_images/1123438028805038081/-hbw0Mbl_normal.jpg")</f>
        <v>https://pbs.twimg.com/profile_images/1123438028805038081/-hbw0Mbl_normal.jpg</v>
      </c>
      <c r="W139" s="83">
        <v>44460.100949074076</v>
      </c>
      <c r="X139" s="89">
        <v>44460</v>
      </c>
      <c r="Y139" s="86" t="s">
        <v>5859</v>
      </c>
      <c r="Z139" s="84" t="str">
        <f>HYPERLINK("https://twitter.com/vanijkjk/status/1440140062272811014")</f>
        <v>https://twitter.com/vanijkjk/status/1440140062272811014</v>
      </c>
      <c r="AA139" s="81"/>
      <c r="AB139" s="81"/>
      <c r="AC139" s="86" t="s">
        <v>6760</v>
      </c>
      <c r="AD139" s="86" t="s">
        <v>7625</v>
      </c>
      <c r="AE139" s="81" t="b">
        <v>0</v>
      </c>
      <c r="AF139" s="81">
        <v>0</v>
      </c>
      <c r="AG139" s="86" t="s">
        <v>7804</v>
      </c>
      <c r="AH139" s="81" t="b">
        <v>0</v>
      </c>
      <c r="AI139" s="81" t="s">
        <v>2171</v>
      </c>
      <c r="AJ139" s="81"/>
      <c r="AK139" s="86" t="s">
        <v>2084</v>
      </c>
      <c r="AL139" s="81" t="b">
        <v>0</v>
      </c>
      <c r="AM139" s="81">
        <v>0</v>
      </c>
      <c r="AN139" s="86" t="s">
        <v>2084</v>
      </c>
      <c r="AO139" s="86" t="s">
        <v>2178</v>
      </c>
      <c r="AP139" s="81" t="b">
        <v>0</v>
      </c>
      <c r="AQ139" s="86" t="s">
        <v>7625</v>
      </c>
      <c r="AR139" s="81" t="s">
        <v>179</v>
      </c>
      <c r="AS139" s="81">
        <v>0</v>
      </c>
      <c r="AT139" s="81">
        <v>0</v>
      </c>
      <c r="AU139" s="81"/>
      <c r="AV139" s="81"/>
      <c r="AW139" s="81"/>
      <c r="AX139" s="81"/>
      <c r="AY139" s="81"/>
      <c r="AZ139" s="81"/>
      <c r="BA139" s="81"/>
      <c r="BB139" s="81"/>
    </row>
    <row r="140" spans="1:54" x14ac:dyDescent="0.35">
      <c r="A140" s="66" t="s">
        <v>4237</v>
      </c>
      <c r="B140" s="66" t="s">
        <v>4992</v>
      </c>
      <c r="C140" s="67"/>
      <c r="D140" s="68"/>
      <c r="E140" s="69"/>
      <c r="F140" s="70"/>
      <c r="G140" s="67"/>
      <c r="H140" s="71"/>
      <c r="I140" s="72"/>
      <c r="J140" s="72"/>
      <c r="K140" s="36"/>
      <c r="L140" s="79"/>
      <c r="M140" s="79"/>
      <c r="N140" s="74"/>
      <c r="O140" s="81" t="s">
        <v>695</v>
      </c>
      <c r="P140" s="83">
        <v>44460.100949074076</v>
      </c>
      <c r="Q140" s="81" t="s">
        <v>5297</v>
      </c>
      <c r="R140" s="81"/>
      <c r="S140" s="81"/>
      <c r="T140" s="81"/>
      <c r="U140" s="81"/>
      <c r="V140" s="84" t="str">
        <f>HYPERLINK("https://pbs.twimg.com/profile_images/1123438028805038081/-hbw0Mbl_normal.jpg")</f>
        <v>https://pbs.twimg.com/profile_images/1123438028805038081/-hbw0Mbl_normal.jpg</v>
      </c>
      <c r="W140" s="83">
        <v>44460.100949074076</v>
      </c>
      <c r="X140" s="89">
        <v>44460</v>
      </c>
      <c r="Y140" s="86" t="s">
        <v>5859</v>
      </c>
      <c r="Z140" s="84" t="str">
        <f>HYPERLINK("https://twitter.com/vanijkjk/status/1440140062272811014")</f>
        <v>https://twitter.com/vanijkjk/status/1440140062272811014</v>
      </c>
      <c r="AA140" s="81"/>
      <c r="AB140" s="81"/>
      <c r="AC140" s="86" t="s">
        <v>6760</v>
      </c>
      <c r="AD140" s="86" t="s">
        <v>7625</v>
      </c>
      <c r="AE140" s="81" t="b">
        <v>0</v>
      </c>
      <c r="AF140" s="81">
        <v>0</v>
      </c>
      <c r="AG140" s="86" t="s">
        <v>7804</v>
      </c>
      <c r="AH140" s="81" t="b">
        <v>0</v>
      </c>
      <c r="AI140" s="81" t="s">
        <v>2171</v>
      </c>
      <c r="AJ140" s="81"/>
      <c r="AK140" s="86" t="s">
        <v>2084</v>
      </c>
      <c r="AL140" s="81" t="b">
        <v>0</v>
      </c>
      <c r="AM140" s="81">
        <v>0</v>
      </c>
      <c r="AN140" s="86" t="s">
        <v>2084</v>
      </c>
      <c r="AO140" s="86" t="s">
        <v>2178</v>
      </c>
      <c r="AP140" s="81" t="b">
        <v>0</v>
      </c>
      <c r="AQ140" s="86" t="s">
        <v>7625</v>
      </c>
      <c r="AR140" s="81" t="s">
        <v>179</v>
      </c>
      <c r="AS140" s="81">
        <v>0</v>
      </c>
      <c r="AT140" s="81">
        <v>0</v>
      </c>
      <c r="AU140" s="81"/>
      <c r="AV140" s="81"/>
      <c r="AW140" s="81"/>
      <c r="AX140" s="81"/>
      <c r="AY140" s="81"/>
      <c r="AZ140" s="81"/>
      <c r="BA140" s="81"/>
      <c r="BB140" s="81"/>
    </row>
    <row r="141" spans="1:54" x14ac:dyDescent="0.35">
      <c r="A141" s="66" t="s">
        <v>260</v>
      </c>
      <c r="B141" s="66" t="s">
        <v>260</v>
      </c>
      <c r="C141" s="67"/>
      <c r="D141" s="68"/>
      <c r="E141" s="69"/>
      <c r="F141" s="70"/>
      <c r="G141" s="67"/>
      <c r="H141" s="71"/>
      <c r="I141" s="72"/>
      <c r="J141" s="72"/>
      <c r="K141" s="36"/>
      <c r="L141" s="79"/>
      <c r="M141" s="79"/>
      <c r="N141" s="74"/>
      <c r="O141" s="81" t="s">
        <v>179</v>
      </c>
      <c r="P141" s="83">
        <v>44460.119768518518</v>
      </c>
      <c r="Q141" s="81" t="s">
        <v>712</v>
      </c>
      <c r="R141" s="81"/>
      <c r="S141" s="81"/>
      <c r="T141" s="81"/>
      <c r="U141" s="81"/>
      <c r="V141" s="84" t="str">
        <f>HYPERLINK("https://pbs.twimg.com/profile_images/1441310242529107970/jEwteGi9_normal.jpg")</f>
        <v>https://pbs.twimg.com/profile_images/1441310242529107970/jEwteGi9_normal.jpg</v>
      </c>
      <c r="W141" s="83">
        <v>44460.119768518518</v>
      </c>
      <c r="X141" s="89">
        <v>44460</v>
      </c>
      <c r="Y141" s="86" t="s">
        <v>1056</v>
      </c>
      <c r="Z141" s="84" t="str">
        <f>HYPERLINK("https://twitter.com/_daisybea17/status/1440146883591114754")</f>
        <v>https://twitter.com/_daisybea17/status/1440146883591114754</v>
      </c>
      <c r="AA141" s="81"/>
      <c r="AB141" s="81"/>
      <c r="AC141" s="86" t="s">
        <v>1556</v>
      </c>
      <c r="AD141" s="81"/>
      <c r="AE141" s="81" t="b">
        <v>0</v>
      </c>
      <c r="AF141" s="81">
        <v>0</v>
      </c>
      <c r="AG141" s="86" t="s">
        <v>2084</v>
      </c>
      <c r="AH141" s="81" t="b">
        <v>0</v>
      </c>
      <c r="AI141" s="81" t="s">
        <v>2167</v>
      </c>
      <c r="AJ141" s="81"/>
      <c r="AK141" s="86" t="s">
        <v>2084</v>
      </c>
      <c r="AL141" s="81" t="b">
        <v>0</v>
      </c>
      <c r="AM141" s="81">
        <v>0</v>
      </c>
      <c r="AN141" s="86" t="s">
        <v>2084</v>
      </c>
      <c r="AO141" s="86" t="s">
        <v>2178</v>
      </c>
      <c r="AP141" s="81" t="b">
        <v>0</v>
      </c>
      <c r="AQ141" s="86" t="s">
        <v>1556</v>
      </c>
      <c r="AR141" s="81" t="s">
        <v>179</v>
      </c>
      <c r="AS141" s="81">
        <v>0</v>
      </c>
      <c r="AT141" s="81">
        <v>0</v>
      </c>
      <c r="AU141" s="81"/>
      <c r="AV141" s="81"/>
      <c r="AW141" s="81"/>
      <c r="AX141" s="81"/>
      <c r="AY141" s="81"/>
      <c r="AZ141" s="81"/>
      <c r="BA141" s="81"/>
      <c r="BB141" s="81"/>
    </row>
    <row r="142" spans="1:54" x14ac:dyDescent="0.35">
      <c r="A142" s="66" t="s">
        <v>261</v>
      </c>
      <c r="B142" s="66" t="s">
        <v>261</v>
      </c>
      <c r="C142" s="67"/>
      <c r="D142" s="68"/>
      <c r="E142" s="69"/>
      <c r="F142" s="70"/>
      <c r="G142" s="67"/>
      <c r="H142" s="71"/>
      <c r="I142" s="72"/>
      <c r="J142" s="72"/>
      <c r="K142" s="36"/>
      <c r="L142" s="79"/>
      <c r="M142" s="79"/>
      <c r="N142" s="74"/>
      <c r="O142" s="81" t="s">
        <v>179</v>
      </c>
      <c r="P142" s="83">
        <v>44460.134479166663</v>
      </c>
      <c r="Q142" s="81" t="s">
        <v>713</v>
      </c>
      <c r="R142" s="81"/>
      <c r="S142" s="81"/>
      <c r="T142" s="86" t="s">
        <v>636</v>
      </c>
      <c r="U142" s="81"/>
      <c r="V142" s="84" t="str">
        <f>HYPERLINK("https://pbs.twimg.com/profile_images/903977762225926144/8SSAsvZS_normal.jpg")</f>
        <v>https://pbs.twimg.com/profile_images/903977762225926144/8SSAsvZS_normal.jpg</v>
      </c>
      <c r="W142" s="83">
        <v>44460.134479166663</v>
      </c>
      <c r="X142" s="89">
        <v>44460</v>
      </c>
      <c r="Y142" s="86" t="s">
        <v>1057</v>
      </c>
      <c r="Z142" s="84" t="str">
        <f>HYPERLINK("https://twitter.com/jnedepok_id/status/1440152213481930764")</f>
        <v>https://twitter.com/jnedepok_id/status/1440152213481930764</v>
      </c>
      <c r="AA142" s="81"/>
      <c r="AB142" s="81"/>
      <c r="AC142" s="86" t="s">
        <v>1557</v>
      </c>
      <c r="AD142" s="81"/>
      <c r="AE142" s="81" t="b">
        <v>0</v>
      </c>
      <c r="AF142" s="81">
        <v>0</v>
      </c>
      <c r="AG142" s="86" t="s">
        <v>2084</v>
      </c>
      <c r="AH142" s="81" t="b">
        <v>0</v>
      </c>
      <c r="AI142" s="81" t="s">
        <v>2167</v>
      </c>
      <c r="AJ142" s="81"/>
      <c r="AK142" s="86" t="s">
        <v>2084</v>
      </c>
      <c r="AL142" s="81" t="b">
        <v>0</v>
      </c>
      <c r="AM142" s="81">
        <v>0</v>
      </c>
      <c r="AN142" s="86" t="s">
        <v>2084</v>
      </c>
      <c r="AO142" s="86" t="s">
        <v>2180</v>
      </c>
      <c r="AP142" s="81" t="b">
        <v>0</v>
      </c>
      <c r="AQ142" s="86" t="s">
        <v>1557</v>
      </c>
      <c r="AR142" s="81" t="s">
        <v>179</v>
      </c>
      <c r="AS142" s="81">
        <v>0</v>
      </c>
      <c r="AT142" s="81">
        <v>0</v>
      </c>
      <c r="AU142" s="81"/>
      <c r="AV142" s="81"/>
      <c r="AW142" s="81"/>
      <c r="AX142" s="81"/>
      <c r="AY142" s="81"/>
      <c r="AZ142" s="81"/>
      <c r="BA142" s="81"/>
      <c r="BB142" s="81"/>
    </row>
    <row r="143" spans="1:54" x14ac:dyDescent="0.35">
      <c r="A143" s="66" t="s">
        <v>262</v>
      </c>
      <c r="B143" s="66" t="s">
        <v>262</v>
      </c>
      <c r="C143" s="67"/>
      <c r="D143" s="68"/>
      <c r="E143" s="69"/>
      <c r="F143" s="70"/>
      <c r="G143" s="67"/>
      <c r="H143" s="71"/>
      <c r="I143" s="72"/>
      <c r="J143" s="72"/>
      <c r="K143" s="36"/>
      <c r="L143" s="79"/>
      <c r="M143" s="79"/>
      <c r="N143" s="74"/>
      <c r="O143" s="81" t="s">
        <v>179</v>
      </c>
      <c r="P143" s="83">
        <v>44460.158356481479</v>
      </c>
      <c r="Q143" s="81" t="s">
        <v>714</v>
      </c>
      <c r="R143" s="84" t="str">
        <f>HYPERLINK("https://www.padangjobs.co/2020/12/lowongan-kerja-sumbar-pt-pos-indonesia.html?utm_source=dlvr.it&amp;utm_medium=twitter")</f>
        <v>https://www.padangjobs.co/2020/12/lowongan-kerja-sumbar-pt-pos-indonesia.html?utm_source=dlvr.it&amp;utm_medium=twitter</v>
      </c>
      <c r="S143" s="81" t="s">
        <v>943</v>
      </c>
      <c r="T143" s="81"/>
      <c r="U143" s="81"/>
      <c r="V143" s="84" t="str">
        <f>HYPERLINK("https://pbs.twimg.com/profile_images/965662788583436288/rBrJHA-E_normal.jpg")</f>
        <v>https://pbs.twimg.com/profile_images/965662788583436288/rBrJHA-E_normal.jpg</v>
      </c>
      <c r="W143" s="83">
        <v>44460.158356481479</v>
      </c>
      <c r="X143" s="89">
        <v>44460</v>
      </c>
      <c r="Y143" s="86" t="s">
        <v>1058</v>
      </c>
      <c r="Z143" s="84" t="str">
        <f>HYPERLINK("https://twitter.com/padangjobs_id/status/1440160866796589064")</f>
        <v>https://twitter.com/padangjobs_id/status/1440160866796589064</v>
      </c>
      <c r="AA143" s="81"/>
      <c r="AB143" s="81"/>
      <c r="AC143" s="86" t="s">
        <v>1558</v>
      </c>
      <c r="AD143" s="81"/>
      <c r="AE143" s="81" t="b">
        <v>0</v>
      </c>
      <c r="AF143" s="81">
        <v>0</v>
      </c>
      <c r="AG143" s="86" t="s">
        <v>2084</v>
      </c>
      <c r="AH143" s="81" t="b">
        <v>0</v>
      </c>
      <c r="AI143" s="81" t="s">
        <v>2167</v>
      </c>
      <c r="AJ143" s="81"/>
      <c r="AK143" s="86" t="s">
        <v>2084</v>
      </c>
      <c r="AL143" s="81" t="b">
        <v>0</v>
      </c>
      <c r="AM143" s="81">
        <v>0</v>
      </c>
      <c r="AN143" s="86" t="s">
        <v>2084</v>
      </c>
      <c r="AO143" s="86" t="s">
        <v>2188</v>
      </c>
      <c r="AP143" s="81" t="b">
        <v>0</v>
      </c>
      <c r="AQ143" s="86" t="s">
        <v>1558</v>
      </c>
      <c r="AR143" s="81" t="s">
        <v>179</v>
      </c>
      <c r="AS143" s="81">
        <v>0</v>
      </c>
      <c r="AT143" s="81">
        <v>0</v>
      </c>
      <c r="AU143" s="81"/>
      <c r="AV143" s="81"/>
      <c r="AW143" s="81"/>
      <c r="AX143" s="81"/>
      <c r="AY143" s="81"/>
      <c r="AZ143" s="81"/>
      <c r="BA143" s="81"/>
      <c r="BB143" s="81"/>
    </row>
    <row r="144" spans="1:54" x14ac:dyDescent="0.35">
      <c r="A144" s="66" t="s">
        <v>4238</v>
      </c>
      <c r="B144" s="66" t="s">
        <v>4257</v>
      </c>
      <c r="C144" s="67"/>
      <c r="D144" s="68"/>
      <c r="E144" s="69"/>
      <c r="F144" s="70"/>
      <c r="G144" s="67"/>
      <c r="H144" s="71"/>
      <c r="I144" s="72"/>
      <c r="J144" s="72"/>
      <c r="K144" s="36"/>
      <c r="L144" s="79"/>
      <c r="M144" s="79"/>
      <c r="N144" s="74"/>
      <c r="O144" s="81" t="s">
        <v>693</v>
      </c>
      <c r="P144" s="83">
        <v>44460.169907407406</v>
      </c>
      <c r="Q144" s="81" t="s">
        <v>5294</v>
      </c>
      <c r="R144"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44" s="81" t="s">
        <v>935</v>
      </c>
      <c r="T144" s="81"/>
      <c r="U144" s="81"/>
      <c r="V144" s="84" t="str">
        <f>HYPERLINK("https://pbs.twimg.com/profile_images/1443380894346067972/q7glNPzP_normal.jpg")</f>
        <v>https://pbs.twimg.com/profile_images/1443380894346067972/q7glNPzP_normal.jpg</v>
      </c>
      <c r="W144" s="83">
        <v>44460.169907407406</v>
      </c>
      <c r="X144" s="89">
        <v>44460</v>
      </c>
      <c r="Y144" s="86" t="s">
        <v>5860</v>
      </c>
      <c r="Z144" s="84" t="str">
        <f>HYPERLINK("https://twitter.com/tantinunna/status/1440165053240524807")</f>
        <v>https://twitter.com/tantinunna/status/1440165053240524807</v>
      </c>
      <c r="AA144" s="81"/>
      <c r="AB144" s="81"/>
      <c r="AC144" s="86" t="s">
        <v>6761</v>
      </c>
      <c r="AD144" s="81"/>
      <c r="AE144" s="81" t="b">
        <v>0</v>
      </c>
      <c r="AF144" s="81">
        <v>0</v>
      </c>
      <c r="AG144" s="86" t="s">
        <v>2084</v>
      </c>
      <c r="AH144" s="81" t="b">
        <v>0</v>
      </c>
      <c r="AI144" s="81" t="s">
        <v>2167</v>
      </c>
      <c r="AJ144" s="81"/>
      <c r="AK144" s="86" t="s">
        <v>2084</v>
      </c>
      <c r="AL144" s="81" t="b">
        <v>0</v>
      </c>
      <c r="AM144" s="81">
        <v>231</v>
      </c>
      <c r="AN144" s="86" t="s">
        <v>6781</v>
      </c>
      <c r="AO144" s="86" t="s">
        <v>2178</v>
      </c>
      <c r="AP144" s="81" t="b">
        <v>0</v>
      </c>
      <c r="AQ144" s="86" t="s">
        <v>6781</v>
      </c>
      <c r="AR144" s="81" t="s">
        <v>179</v>
      </c>
      <c r="AS144" s="81">
        <v>0</v>
      </c>
      <c r="AT144" s="81">
        <v>0</v>
      </c>
      <c r="AU144" s="81"/>
      <c r="AV144" s="81"/>
      <c r="AW144" s="81"/>
      <c r="AX144" s="81"/>
      <c r="AY144" s="81"/>
      <c r="AZ144" s="81"/>
      <c r="BA144" s="81"/>
      <c r="BB144" s="81"/>
    </row>
    <row r="145" spans="1:54" x14ac:dyDescent="0.35">
      <c r="A145" s="66" t="s">
        <v>4239</v>
      </c>
      <c r="B145" s="66" t="s">
        <v>4939</v>
      </c>
      <c r="C145" s="67"/>
      <c r="D145" s="68"/>
      <c r="E145" s="69"/>
      <c r="F145" s="70"/>
      <c r="G145" s="67"/>
      <c r="H145" s="71"/>
      <c r="I145" s="72"/>
      <c r="J145" s="72"/>
      <c r="K145" s="36"/>
      <c r="L145" s="79"/>
      <c r="M145" s="79"/>
      <c r="N145" s="74"/>
      <c r="O145" s="81" t="s">
        <v>693</v>
      </c>
      <c r="P145" s="83">
        <v>44460.176759259259</v>
      </c>
      <c r="Q145" s="81" t="s">
        <v>5298</v>
      </c>
      <c r="R145"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145" s="81" t="s">
        <v>5696</v>
      </c>
      <c r="T145" s="81"/>
      <c r="U145" s="81"/>
      <c r="V145" s="84" t="str">
        <f>HYPERLINK("https://pbs.twimg.com/profile_images/1310395010240708610/hEigxZbD_normal.jpg")</f>
        <v>https://pbs.twimg.com/profile_images/1310395010240708610/hEigxZbD_normal.jpg</v>
      </c>
      <c r="W145" s="83">
        <v>44460.176759259259</v>
      </c>
      <c r="X145" s="89">
        <v>44460</v>
      </c>
      <c r="Y145" s="86" t="s">
        <v>5861</v>
      </c>
      <c r="Z145" s="84" t="str">
        <f>HYPERLINK("https://twitter.com/1caipiramoderno/status/1440167536293597184")</f>
        <v>https://twitter.com/1caipiramoderno/status/1440167536293597184</v>
      </c>
      <c r="AA145" s="81"/>
      <c r="AB145" s="81"/>
      <c r="AC145" s="86" t="s">
        <v>6762</v>
      </c>
      <c r="AD145" s="81"/>
      <c r="AE145" s="81" t="b">
        <v>0</v>
      </c>
      <c r="AF145" s="81">
        <v>0</v>
      </c>
      <c r="AG145" s="86" t="s">
        <v>2084</v>
      </c>
      <c r="AH145" s="81" t="b">
        <v>0</v>
      </c>
      <c r="AI145" s="81" t="s">
        <v>2171</v>
      </c>
      <c r="AJ145" s="81"/>
      <c r="AK145" s="86" t="s">
        <v>2084</v>
      </c>
      <c r="AL145" s="81" t="b">
        <v>0</v>
      </c>
      <c r="AM145" s="81">
        <v>1</v>
      </c>
      <c r="AN145" s="86" t="s">
        <v>7536</v>
      </c>
      <c r="AO145" s="86" t="s">
        <v>2178</v>
      </c>
      <c r="AP145" s="81" t="b">
        <v>0</v>
      </c>
      <c r="AQ145" s="86" t="s">
        <v>7536</v>
      </c>
      <c r="AR145" s="81" t="s">
        <v>179</v>
      </c>
      <c r="AS145" s="81">
        <v>0</v>
      </c>
      <c r="AT145" s="81">
        <v>0</v>
      </c>
      <c r="AU145" s="81"/>
      <c r="AV145" s="81"/>
      <c r="AW145" s="81"/>
      <c r="AX145" s="81"/>
      <c r="AY145" s="81"/>
      <c r="AZ145" s="81"/>
      <c r="BA145" s="81"/>
      <c r="BB145" s="81"/>
    </row>
    <row r="146" spans="1:54" x14ac:dyDescent="0.35">
      <c r="A146" s="66" t="s">
        <v>217</v>
      </c>
      <c r="B146" s="66" t="s">
        <v>217</v>
      </c>
      <c r="C146" s="67"/>
      <c r="D146" s="68"/>
      <c r="E146" s="69"/>
      <c r="F146" s="70"/>
      <c r="G146" s="67"/>
      <c r="H146" s="71"/>
      <c r="I146" s="72"/>
      <c r="J146" s="72"/>
      <c r="K146" s="36"/>
      <c r="L146" s="79"/>
      <c r="M146" s="79"/>
      <c r="N146" s="74"/>
      <c r="O146" s="81" t="s">
        <v>179</v>
      </c>
      <c r="P146" s="83">
        <v>44458.62090277778</v>
      </c>
      <c r="Q146" s="81" t="s">
        <v>699</v>
      </c>
      <c r="R146" s="81"/>
      <c r="S146" s="81"/>
      <c r="T146" s="81"/>
      <c r="U146" s="84" t="str">
        <f>HYPERLINK("https://pbs.twimg.com/ext_tw_video_thumb/1439603623520993285/pu/img/4NCBVhjvbYSKxAvX.jpg")</f>
        <v>https://pbs.twimg.com/ext_tw_video_thumb/1439603623520993285/pu/img/4NCBVhjvbYSKxAvX.jpg</v>
      </c>
      <c r="V146" s="84" t="str">
        <f>HYPERLINK("https://pbs.twimg.com/ext_tw_video_thumb/1439603623520993285/pu/img/4NCBVhjvbYSKxAvX.jpg")</f>
        <v>https://pbs.twimg.com/ext_tw_video_thumb/1439603623520993285/pu/img/4NCBVhjvbYSKxAvX.jpg</v>
      </c>
      <c r="W146" s="83">
        <v>44458.62090277778</v>
      </c>
      <c r="X146" s="89">
        <v>44458</v>
      </c>
      <c r="Y146" s="86" t="s">
        <v>1059</v>
      </c>
      <c r="Z146" s="84" t="str">
        <f>HYPERLINK("https://twitter.com/amierah___/status/1439603712679235588")</f>
        <v>https://twitter.com/amierah___/status/1439603712679235588</v>
      </c>
      <c r="AA146" s="81"/>
      <c r="AB146" s="81"/>
      <c r="AC146" s="86" t="s">
        <v>1559</v>
      </c>
      <c r="AD146" s="81"/>
      <c r="AE146" s="81" t="b">
        <v>0</v>
      </c>
      <c r="AF146" s="81">
        <v>143</v>
      </c>
      <c r="AG146" s="86" t="s">
        <v>2084</v>
      </c>
      <c r="AH146" s="81" t="b">
        <v>0</v>
      </c>
      <c r="AI146" s="81" t="s">
        <v>2167</v>
      </c>
      <c r="AJ146" s="81"/>
      <c r="AK146" s="86" t="s">
        <v>2084</v>
      </c>
      <c r="AL146" s="81" t="b">
        <v>0</v>
      </c>
      <c r="AM146" s="81">
        <v>102</v>
      </c>
      <c r="AN146" s="86" t="s">
        <v>2084</v>
      </c>
      <c r="AO146" s="86" t="s">
        <v>2179</v>
      </c>
      <c r="AP146" s="81" t="b">
        <v>0</v>
      </c>
      <c r="AQ146" s="86" t="s">
        <v>1559</v>
      </c>
      <c r="AR146" s="81" t="s">
        <v>693</v>
      </c>
      <c r="AS146" s="81">
        <v>0</v>
      </c>
      <c r="AT146" s="81">
        <v>0</v>
      </c>
      <c r="AU146" s="81"/>
      <c r="AV146" s="81"/>
      <c r="AW146" s="81"/>
      <c r="AX146" s="81"/>
      <c r="AY146" s="81"/>
      <c r="AZ146" s="81"/>
      <c r="BA146" s="81"/>
      <c r="BB146" s="81"/>
    </row>
    <row r="147" spans="1:54" x14ac:dyDescent="0.35">
      <c r="A147" s="66" t="s">
        <v>263</v>
      </c>
      <c r="B147" s="66" t="s">
        <v>217</v>
      </c>
      <c r="C147" s="67"/>
      <c r="D147" s="68"/>
      <c r="E147" s="69"/>
      <c r="F147" s="70"/>
      <c r="G147" s="67"/>
      <c r="H147" s="71"/>
      <c r="I147" s="72"/>
      <c r="J147" s="72"/>
      <c r="K147" s="36"/>
      <c r="L147" s="79"/>
      <c r="M147" s="79"/>
      <c r="N147" s="74"/>
      <c r="O147" s="81" t="s">
        <v>693</v>
      </c>
      <c r="P147" s="83">
        <v>44460.179918981485</v>
      </c>
      <c r="Q147" s="81" t="s">
        <v>699</v>
      </c>
      <c r="R147" s="81"/>
      <c r="S147" s="81"/>
      <c r="T147" s="81"/>
      <c r="U147" s="84" t="str">
        <f>HYPERLINK("https://pbs.twimg.com/ext_tw_video_thumb/1439603623520993285/pu/img/4NCBVhjvbYSKxAvX.jpg")</f>
        <v>https://pbs.twimg.com/ext_tw_video_thumb/1439603623520993285/pu/img/4NCBVhjvbYSKxAvX.jpg</v>
      </c>
      <c r="V147" s="84" t="str">
        <f>HYPERLINK("https://pbs.twimg.com/ext_tw_video_thumb/1439603623520993285/pu/img/4NCBVhjvbYSKxAvX.jpg")</f>
        <v>https://pbs.twimg.com/ext_tw_video_thumb/1439603623520993285/pu/img/4NCBVhjvbYSKxAvX.jpg</v>
      </c>
      <c r="W147" s="83">
        <v>44460.179918981485</v>
      </c>
      <c r="X147" s="89">
        <v>44460</v>
      </c>
      <c r="Y147" s="86" t="s">
        <v>1060</v>
      </c>
      <c r="Z147" s="84" t="str">
        <f>HYPERLINK("https://twitter.com/atikahlahhh/status/1440168682747953155")</f>
        <v>https://twitter.com/atikahlahhh/status/1440168682747953155</v>
      </c>
      <c r="AA147" s="81"/>
      <c r="AB147" s="81"/>
      <c r="AC147" s="86" t="s">
        <v>1560</v>
      </c>
      <c r="AD147" s="81"/>
      <c r="AE147" s="81" t="b">
        <v>0</v>
      </c>
      <c r="AF147" s="81">
        <v>0</v>
      </c>
      <c r="AG147" s="86" t="s">
        <v>2084</v>
      </c>
      <c r="AH147" s="81" t="b">
        <v>0</v>
      </c>
      <c r="AI147" s="81" t="s">
        <v>2167</v>
      </c>
      <c r="AJ147" s="81"/>
      <c r="AK147" s="86" t="s">
        <v>2084</v>
      </c>
      <c r="AL147" s="81" t="b">
        <v>0</v>
      </c>
      <c r="AM147" s="81">
        <v>102</v>
      </c>
      <c r="AN147" s="86" t="s">
        <v>1559</v>
      </c>
      <c r="AO147" s="86" t="s">
        <v>2179</v>
      </c>
      <c r="AP147" s="81" t="b">
        <v>0</v>
      </c>
      <c r="AQ147" s="86" t="s">
        <v>1559</v>
      </c>
      <c r="AR147" s="81" t="s">
        <v>179</v>
      </c>
      <c r="AS147" s="81">
        <v>0</v>
      </c>
      <c r="AT147" s="81">
        <v>0</v>
      </c>
      <c r="AU147" s="81"/>
      <c r="AV147" s="81"/>
      <c r="AW147" s="81"/>
      <c r="AX147" s="81"/>
      <c r="AY147" s="81"/>
      <c r="AZ147" s="81"/>
      <c r="BA147" s="81"/>
      <c r="BB147" s="81"/>
    </row>
    <row r="148" spans="1:54" x14ac:dyDescent="0.35">
      <c r="A148" s="66" t="s">
        <v>264</v>
      </c>
      <c r="B148" s="66" t="s">
        <v>264</v>
      </c>
      <c r="C148" s="67"/>
      <c r="D148" s="68"/>
      <c r="E148" s="69"/>
      <c r="F148" s="70"/>
      <c r="G148" s="67"/>
      <c r="H148" s="71"/>
      <c r="I148" s="72"/>
      <c r="J148" s="72"/>
      <c r="K148" s="36"/>
      <c r="L148" s="79"/>
      <c r="M148" s="79"/>
      <c r="N148" s="74"/>
      <c r="O148" s="81" t="s">
        <v>179</v>
      </c>
      <c r="P148" s="83">
        <v>44460.188425925924</v>
      </c>
      <c r="Q148" s="81" t="s">
        <v>715</v>
      </c>
      <c r="R148" s="84" t="str">
        <f>HYPERLINK("https://kompaskerja.com/lowongan-kerja-minimal-sma-sederajat-pt-pos-indonesia-bumn-september-2021/")</f>
        <v>https://kompaskerja.com/lowongan-kerja-minimal-sma-sederajat-pt-pos-indonesia-bumn-september-2021/</v>
      </c>
      <c r="S148" s="81" t="s">
        <v>944</v>
      </c>
      <c r="T148" s="81"/>
      <c r="U148" s="81"/>
      <c r="V148" s="84" t="str">
        <f>HYPERLINK("https://pbs.twimg.com/profile_images/1121684138497458177/7LP5sagl_normal.png")</f>
        <v>https://pbs.twimg.com/profile_images/1121684138497458177/7LP5sagl_normal.png</v>
      </c>
      <c r="W148" s="83">
        <v>44460.188425925924</v>
      </c>
      <c r="X148" s="89">
        <v>44460</v>
      </c>
      <c r="Y148" s="86" t="s">
        <v>1061</v>
      </c>
      <c r="Z148" s="84" t="str">
        <f>HYPERLINK("https://twitter.com/kompaskerja/status/1440171764231802891")</f>
        <v>https://twitter.com/kompaskerja/status/1440171764231802891</v>
      </c>
      <c r="AA148" s="81"/>
      <c r="AB148" s="81"/>
      <c r="AC148" s="86" t="s">
        <v>1561</v>
      </c>
      <c r="AD148" s="81"/>
      <c r="AE148" s="81" t="b">
        <v>0</v>
      </c>
      <c r="AF148" s="81">
        <v>0</v>
      </c>
      <c r="AG148" s="86" t="s">
        <v>2084</v>
      </c>
      <c r="AH148" s="81" t="b">
        <v>0</v>
      </c>
      <c r="AI148" s="81" t="s">
        <v>2167</v>
      </c>
      <c r="AJ148" s="81"/>
      <c r="AK148" s="86" t="s">
        <v>2084</v>
      </c>
      <c r="AL148" s="81" t="b">
        <v>0</v>
      </c>
      <c r="AM148" s="81">
        <v>0</v>
      </c>
      <c r="AN148" s="86" t="s">
        <v>2084</v>
      </c>
      <c r="AO148" s="86" t="s">
        <v>2181</v>
      </c>
      <c r="AP148" s="81" t="b">
        <v>0</v>
      </c>
      <c r="AQ148" s="86" t="s">
        <v>1561</v>
      </c>
      <c r="AR148" s="81" t="s">
        <v>179</v>
      </c>
      <c r="AS148" s="81">
        <v>0</v>
      </c>
      <c r="AT148" s="81">
        <v>0</v>
      </c>
      <c r="AU148" s="81"/>
      <c r="AV148" s="81"/>
      <c r="AW148" s="81"/>
      <c r="AX148" s="81"/>
      <c r="AY148" s="81"/>
      <c r="AZ148" s="81"/>
      <c r="BA148" s="81"/>
      <c r="BB148" s="81"/>
    </row>
    <row r="149" spans="1:54" x14ac:dyDescent="0.35">
      <c r="A149" s="66" t="s">
        <v>4240</v>
      </c>
      <c r="B149" s="66" t="s">
        <v>4993</v>
      </c>
      <c r="C149" s="67"/>
      <c r="D149" s="68"/>
      <c r="E149" s="69"/>
      <c r="F149" s="70"/>
      <c r="G149" s="67"/>
      <c r="H149" s="71"/>
      <c r="I149" s="72"/>
      <c r="J149" s="72"/>
      <c r="K149" s="36"/>
      <c r="L149" s="79"/>
      <c r="M149" s="79"/>
      <c r="N149" s="74"/>
      <c r="O149" s="81" t="s">
        <v>696</v>
      </c>
      <c r="P149" s="83">
        <v>44460.279641203706</v>
      </c>
      <c r="Q149" s="81" t="s">
        <v>5299</v>
      </c>
      <c r="R149" s="84" t="str">
        <f>HYPERLINK("https://docs.google.com/forms/d/e/1FAIpQLSfB-YByjh0YoSz2mxeVmb-IiRjSoFmmwUDtZcKnbVXj_v0U-g/closedform")</f>
        <v>https://docs.google.com/forms/d/e/1FAIpQLSfB-YByjh0YoSz2mxeVmb-IiRjSoFmmwUDtZcKnbVXj_v0U-g/closedform</v>
      </c>
      <c r="S149" s="81" t="s">
        <v>959</v>
      </c>
      <c r="T149" s="81"/>
      <c r="U149" s="81"/>
      <c r="V149" s="84" t="str">
        <f>HYPERLINK("https://pbs.twimg.com/profile_images/1437010404731801600/N4k7fyVO_normal.jpg")</f>
        <v>https://pbs.twimg.com/profile_images/1437010404731801600/N4k7fyVO_normal.jpg</v>
      </c>
      <c r="W149" s="83">
        <v>44460.279641203706</v>
      </c>
      <c r="X149" s="89">
        <v>44460</v>
      </c>
      <c r="Y149" s="86" t="s">
        <v>5862</v>
      </c>
      <c r="Z149" s="84" t="str">
        <f>HYPERLINK("https://twitter.com/teezer_qrzx/status/1440204820183322635")</f>
        <v>https://twitter.com/teezer_qrzx/status/1440204820183322635</v>
      </c>
      <c r="AA149" s="81"/>
      <c r="AB149" s="81"/>
      <c r="AC149" s="86" t="s">
        <v>6763</v>
      </c>
      <c r="AD149" s="81"/>
      <c r="AE149" s="81" t="b">
        <v>0</v>
      </c>
      <c r="AF149" s="81">
        <v>4</v>
      </c>
      <c r="AG149" s="86" t="s">
        <v>2084</v>
      </c>
      <c r="AH149" s="81" t="b">
        <v>0</v>
      </c>
      <c r="AI149" s="81" t="s">
        <v>2167</v>
      </c>
      <c r="AJ149" s="81"/>
      <c r="AK149" s="86" t="s">
        <v>2084</v>
      </c>
      <c r="AL149" s="81" t="b">
        <v>0</v>
      </c>
      <c r="AM149" s="81">
        <v>0</v>
      </c>
      <c r="AN149" s="86" t="s">
        <v>2084</v>
      </c>
      <c r="AO149" s="86" t="s">
        <v>2178</v>
      </c>
      <c r="AP149" s="81" t="b">
        <v>0</v>
      </c>
      <c r="AQ149" s="86" t="s">
        <v>6763</v>
      </c>
      <c r="AR149" s="81" t="s">
        <v>179</v>
      </c>
      <c r="AS149" s="81">
        <v>0</v>
      </c>
      <c r="AT149" s="81">
        <v>0</v>
      </c>
      <c r="AU149" s="81"/>
      <c r="AV149" s="81"/>
      <c r="AW149" s="81"/>
      <c r="AX149" s="81"/>
      <c r="AY149" s="81"/>
      <c r="AZ149" s="81"/>
      <c r="BA149" s="81"/>
      <c r="BB149" s="81"/>
    </row>
    <row r="150" spans="1:54" x14ac:dyDescent="0.35">
      <c r="A150" s="66" t="s">
        <v>4240</v>
      </c>
      <c r="B150" s="66" t="s">
        <v>4994</v>
      </c>
      <c r="C150" s="67"/>
      <c r="D150" s="68"/>
      <c r="E150" s="69"/>
      <c r="F150" s="70"/>
      <c r="G150" s="67"/>
      <c r="H150" s="71"/>
      <c r="I150" s="72"/>
      <c r="J150" s="72"/>
      <c r="K150" s="36"/>
      <c r="L150" s="79"/>
      <c r="M150" s="79"/>
      <c r="N150" s="74"/>
      <c r="O150" s="81" t="s">
        <v>696</v>
      </c>
      <c r="P150" s="83">
        <v>44460.279641203706</v>
      </c>
      <c r="Q150" s="81" t="s">
        <v>5299</v>
      </c>
      <c r="R150" s="84" t="str">
        <f>HYPERLINK("https://docs.google.com/forms/d/e/1FAIpQLSfB-YByjh0YoSz2mxeVmb-IiRjSoFmmwUDtZcKnbVXj_v0U-g/closedform")</f>
        <v>https://docs.google.com/forms/d/e/1FAIpQLSfB-YByjh0YoSz2mxeVmb-IiRjSoFmmwUDtZcKnbVXj_v0U-g/closedform</v>
      </c>
      <c r="S150" s="81" t="s">
        <v>959</v>
      </c>
      <c r="T150" s="81"/>
      <c r="U150" s="81"/>
      <c r="V150" s="84" t="str">
        <f>HYPERLINK("https://pbs.twimg.com/profile_images/1437010404731801600/N4k7fyVO_normal.jpg")</f>
        <v>https://pbs.twimg.com/profile_images/1437010404731801600/N4k7fyVO_normal.jpg</v>
      </c>
      <c r="W150" s="83">
        <v>44460.279641203706</v>
      </c>
      <c r="X150" s="89">
        <v>44460</v>
      </c>
      <c r="Y150" s="86" t="s">
        <v>5862</v>
      </c>
      <c r="Z150" s="84" t="str">
        <f>HYPERLINK("https://twitter.com/teezer_qrzx/status/1440204820183322635")</f>
        <v>https://twitter.com/teezer_qrzx/status/1440204820183322635</v>
      </c>
      <c r="AA150" s="81"/>
      <c r="AB150" s="81"/>
      <c r="AC150" s="86" t="s">
        <v>6763</v>
      </c>
      <c r="AD150" s="81"/>
      <c r="AE150" s="81" t="b">
        <v>0</v>
      </c>
      <c r="AF150" s="81">
        <v>4</v>
      </c>
      <c r="AG150" s="86" t="s">
        <v>2084</v>
      </c>
      <c r="AH150" s="81" t="b">
        <v>0</v>
      </c>
      <c r="AI150" s="81" t="s">
        <v>2167</v>
      </c>
      <c r="AJ150" s="81"/>
      <c r="AK150" s="86" t="s">
        <v>2084</v>
      </c>
      <c r="AL150" s="81" t="b">
        <v>0</v>
      </c>
      <c r="AM150" s="81">
        <v>0</v>
      </c>
      <c r="AN150" s="86" t="s">
        <v>2084</v>
      </c>
      <c r="AO150" s="86" t="s">
        <v>2178</v>
      </c>
      <c r="AP150" s="81" t="b">
        <v>0</v>
      </c>
      <c r="AQ150" s="86" t="s">
        <v>6763</v>
      </c>
      <c r="AR150" s="81" t="s">
        <v>179</v>
      </c>
      <c r="AS150" s="81">
        <v>0</v>
      </c>
      <c r="AT150" s="81">
        <v>0</v>
      </c>
      <c r="AU150" s="81"/>
      <c r="AV150" s="81"/>
      <c r="AW150" s="81"/>
      <c r="AX150" s="81"/>
      <c r="AY150" s="81"/>
      <c r="AZ150" s="81"/>
      <c r="BA150" s="81"/>
      <c r="BB150" s="81"/>
    </row>
    <row r="151" spans="1:54" x14ac:dyDescent="0.35">
      <c r="A151" s="66" t="s">
        <v>4240</v>
      </c>
      <c r="B151" s="66" t="s">
        <v>4995</v>
      </c>
      <c r="C151" s="67"/>
      <c r="D151" s="68"/>
      <c r="E151" s="69"/>
      <c r="F151" s="70"/>
      <c r="G151" s="67"/>
      <c r="H151" s="71"/>
      <c r="I151" s="72"/>
      <c r="J151" s="72"/>
      <c r="K151" s="36"/>
      <c r="L151" s="79"/>
      <c r="M151" s="79"/>
      <c r="N151" s="74"/>
      <c r="O151" s="81" t="s">
        <v>696</v>
      </c>
      <c r="P151" s="83">
        <v>44460.279641203706</v>
      </c>
      <c r="Q151" s="81" t="s">
        <v>5299</v>
      </c>
      <c r="R151" s="84" t="str">
        <f>HYPERLINK("https://docs.google.com/forms/d/e/1FAIpQLSfB-YByjh0YoSz2mxeVmb-IiRjSoFmmwUDtZcKnbVXj_v0U-g/closedform")</f>
        <v>https://docs.google.com/forms/d/e/1FAIpQLSfB-YByjh0YoSz2mxeVmb-IiRjSoFmmwUDtZcKnbVXj_v0U-g/closedform</v>
      </c>
      <c r="S151" s="81" t="s">
        <v>959</v>
      </c>
      <c r="T151" s="81"/>
      <c r="U151" s="81"/>
      <c r="V151" s="84" t="str">
        <f>HYPERLINK("https://pbs.twimg.com/profile_images/1437010404731801600/N4k7fyVO_normal.jpg")</f>
        <v>https://pbs.twimg.com/profile_images/1437010404731801600/N4k7fyVO_normal.jpg</v>
      </c>
      <c r="W151" s="83">
        <v>44460.279641203706</v>
      </c>
      <c r="X151" s="89">
        <v>44460</v>
      </c>
      <c r="Y151" s="86" t="s">
        <v>5862</v>
      </c>
      <c r="Z151" s="84" t="str">
        <f>HYPERLINK("https://twitter.com/teezer_qrzx/status/1440204820183322635")</f>
        <v>https://twitter.com/teezer_qrzx/status/1440204820183322635</v>
      </c>
      <c r="AA151" s="81"/>
      <c r="AB151" s="81"/>
      <c r="AC151" s="86" t="s">
        <v>6763</v>
      </c>
      <c r="AD151" s="81"/>
      <c r="AE151" s="81" t="b">
        <v>0</v>
      </c>
      <c r="AF151" s="81">
        <v>4</v>
      </c>
      <c r="AG151" s="86" t="s">
        <v>2084</v>
      </c>
      <c r="AH151" s="81" t="b">
        <v>0</v>
      </c>
      <c r="AI151" s="81" t="s">
        <v>2167</v>
      </c>
      <c r="AJ151" s="81"/>
      <c r="AK151" s="86" t="s">
        <v>2084</v>
      </c>
      <c r="AL151" s="81" t="b">
        <v>0</v>
      </c>
      <c r="AM151" s="81">
        <v>0</v>
      </c>
      <c r="AN151" s="86" t="s">
        <v>2084</v>
      </c>
      <c r="AO151" s="86" t="s">
        <v>2178</v>
      </c>
      <c r="AP151" s="81" t="b">
        <v>0</v>
      </c>
      <c r="AQ151" s="86" t="s">
        <v>6763</v>
      </c>
      <c r="AR151" s="81" t="s">
        <v>179</v>
      </c>
      <c r="AS151" s="81">
        <v>0</v>
      </c>
      <c r="AT151" s="81">
        <v>0</v>
      </c>
      <c r="AU151" s="81"/>
      <c r="AV151" s="81"/>
      <c r="AW151" s="81"/>
      <c r="AX151" s="81"/>
      <c r="AY151" s="81"/>
      <c r="AZ151" s="81"/>
      <c r="BA151" s="81"/>
      <c r="BB151" s="81"/>
    </row>
    <row r="152" spans="1:54" x14ac:dyDescent="0.35">
      <c r="A152" s="66" t="s">
        <v>4240</v>
      </c>
      <c r="B152" s="66" t="s">
        <v>4996</v>
      </c>
      <c r="C152" s="67"/>
      <c r="D152" s="68"/>
      <c r="E152" s="69"/>
      <c r="F152" s="70"/>
      <c r="G152" s="67"/>
      <c r="H152" s="71"/>
      <c r="I152" s="72"/>
      <c r="J152" s="72"/>
      <c r="K152" s="36"/>
      <c r="L152" s="79"/>
      <c r="M152" s="79"/>
      <c r="N152" s="74"/>
      <c r="O152" s="81" t="s">
        <v>696</v>
      </c>
      <c r="P152" s="83">
        <v>44460.279641203706</v>
      </c>
      <c r="Q152" s="81" t="s">
        <v>5299</v>
      </c>
      <c r="R152" s="84" t="str">
        <f>HYPERLINK("https://docs.google.com/forms/d/e/1FAIpQLSfB-YByjh0YoSz2mxeVmb-IiRjSoFmmwUDtZcKnbVXj_v0U-g/closedform")</f>
        <v>https://docs.google.com/forms/d/e/1FAIpQLSfB-YByjh0YoSz2mxeVmb-IiRjSoFmmwUDtZcKnbVXj_v0U-g/closedform</v>
      </c>
      <c r="S152" s="81" t="s">
        <v>959</v>
      </c>
      <c r="T152" s="81"/>
      <c r="U152" s="81"/>
      <c r="V152" s="84" t="str">
        <f>HYPERLINK("https://pbs.twimg.com/profile_images/1437010404731801600/N4k7fyVO_normal.jpg")</f>
        <v>https://pbs.twimg.com/profile_images/1437010404731801600/N4k7fyVO_normal.jpg</v>
      </c>
      <c r="W152" s="83">
        <v>44460.279641203706</v>
      </c>
      <c r="X152" s="89">
        <v>44460</v>
      </c>
      <c r="Y152" s="86" t="s">
        <v>5862</v>
      </c>
      <c r="Z152" s="84" t="str">
        <f>HYPERLINK("https://twitter.com/teezer_qrzx/status/1440204820183322635")</f>
        <v>https://twitter.com/teezer_qrzx/status/1440204820183322635</v>
      </c>
      <c r="AA152" s="81"/>
      <c r="AB152" s="81"/>
      <c r="AC152" s="86" t="s">
        <v>6763</v>
      </c>
      <c r="AD152" s="81"/>
      <c r="AE152" s="81" t="b">
        <v>0</v>
      </c>
      <c r="AF152" s="81">
        <v>4</v>
      </c>
      <c r="AG152" s="86" t="s">
        <v>2084</v>
      </c>
      <c r="AH152" s="81" t="b">
        <v>0</v>
      </c>
      <c r="AI152" s="81" t="s">
        <v>2167</v>
      </c>
      <c r="AJ152" s="81"/>
      <c r="AK152" s="86" t="s">
        <v>2084</v>
      </c>
      <c r="AL152" s="81" t="b">
        <v>0</v>
      </c>
      <c r="AM152" s="81">
        <v>0</v>
      </c>
      <c r="AN152" s="86" t="s">
        <v>2084</v>
      </c>
      <c r="AO152" s="86" t="s">
        <v>2178</v>
      </c>
      <c r="AP152" s="81" t="b">
        <v>0</v>
      </c>
      <c r="AQ152" s="86" t="s">
        <v>6763</v>
      </c>
      <c r="AR152" s="81" t="s">
        <v>179</v>
      </c>
      <c r="AS152" s="81">
        <v>0</v>
      </c>
      <c r="AT152" s="81">
        <v>0</v>
      </c>
      <c r="AU152" s="81"/>
      <c r="AV152" s="81"/>
      <c r="AW152" s="81"/>
      <c r="AX152" s="81"/>
      <c r="AY152" s="81"/>
      <c r="AZ152" s="81"/>
      <c r="BA152" s="81"/>
      <c r="BB152" s="81"/>
    </row>
    <row r="153" spans="1:54" x14ac:dyDescent="0.35">
      <c r="A153" s="66" t="s">
        <v>4240</v>
      </c>
      <c r="B153" s="66" t="s">
        <v>4997</v>
      </c>
      <c r="C153" s="67"/>
      <c r="D153" s="68"/>
      <c r="E153" s="69"/>
      <c r="F153" s="70"/>
      <c r="G153" s="67"/>
      <c r="H153" s="71"/>
      <c r="I153" s="72"/>
      <c r="J153" s="72"/>
      <c r="K153" s="36"/>
      <c r="L153" s="79"/>
      <c r="M153" s="79"/>
      <c r="N153" s="74"/>
      <c r="O153" s="81" t="s">
        <v>696</v>
      </c>
      <c r="P153" s="83">
        <v>44460.279641203706</v>
      </c>
      <c r="Q153" s="81" t="s">
        <v>5299</v>
      </c>
      <c r="R153" s="84" t="str">
        <f>HYPERLINK("https://docs.google.com/forms/d/e/1FAIpQLSfB-YByjh0YoSz2mxeVmb-IiRjSoFmmwUDtZcKnbVXj_v0U-g/closedform")</f>
        <v>https://docs.google.com/forms/d/e/1FAIpQLSfB-YByjh0YoSz2mxeVmb-IiRjSoFmmwUDtZcKnbVXj_v0U-g/closedform</v>
      </c>
      <c r="S153" s="81" t="s">
        <v>959</v>
      </c>
      <c r="T153" s="81"/>
      <c r="U153" s="81"/>
      <c r="V153" s="84" t="str">
        <f>HYPERLINK("https://pbs.twimg.com/profile_images/1437010404731801600/N4k7fyVO_normal.jpg")</f>
        <v>https://pbs.twimg.com/profile_images/1437010404731801600/N4k7fyVO_normal.jpg</v>
      </c>
      <c r="W153" s="83">
        <v>44460.279641203706</v>
      </c>
      <c r="X153" s="89">
        <v>44460</v>
      </c>
      <c r="Y153" s="86" t="s">
        <v>5862</v>
      </c>
      <c r="Z153" s="84" t="str">
        <f>HYPERLINK("https://twitter.com/teezer_qrzx/status/1440204820183322635")</f>
        <v>https://twitter.com/teezer_qrzx/status/1440204820183322635</v>
      </c>
      <c r="AA153" s="81"/>
      <c r="AB153" s="81"/>
      <c r="AC153" s="86" t="s">
        <v>6763</v>
      </c>
      <c r="AD153" s="81"/>
      <c r="AE153" s="81" t="b">
        <v>0</v>
      </c>
      <c r="AF153" s="81">
        <v>4</v>
      </c>
      <c r="AG153" s="86" t="s">
        <v>2084</v>
      </c>
      <c r="AH153" s="81" t="b">
        <v>0</v>
      </c>
      <c r="AI153" s="81" t="s">
        <v>2167</v>
      </c>
      <c r="AJ153" s="81"/>
      <c r="AK153" s="86" t="s">
        <v>2084</v>
      </c>
      <c r="AL153" s="81" t="b">
        <v>0</v>
      </c>
      <c r="AM153" s="81">
        <v>0</v>
      </c>
      <c r="AN153" s="86" t="s">
        <v>2084</v>
      </c>
      <c r="AO153" s="86" t="s">
        <v>2178</v>
      </c>
      <c r="AP153" s="81" t="b">
        <v>0</v>
      </c>
      <c r="AQ153" s="86" t="s">
        <v>6763</v>
      </c>
      <c r="AR153" s="81" t="s">
        <v>179</v>
      </c>
      <c r="AS153" s="81">
        <v>0</v>
      </c>
      <c r="AT153" s="81">
        <v>0</v>
      </c>
      <c r="AU153" s="81"/>
      <c r="AV153" s="81"/>
      <c r="AW153" s="81"/>
      <c r="AX153" s="81"/>
      <c r="AY153" s="81"/>
      <c r="AZ153" s="81"/>
      <c r="BA153" s="81"/>
      <c r="BB153" s="81"/>
    </row>
    <row r="154" spans="1:54" x14ac:dyDescent="0.35">
      <c r="A154" s="66" t="s">
        <v>265</v>
      </c>
      <c r="B154" s="66" t="s">
        <v>265</v>
      </c>
      <c r="C154" s="67"/>
      <c r="D154" s="68"/>
      <c r="E154" s="69"/>
      <c r="F154" s="70"/>
      <c r="G154" s="67"/>
      <c r="H154" s="71"/>
      <c r="I154" s="72"/>
      <c r="J154" s="72"/>
      <c r="K154" s="36"/>
      <c r="L154" s="79"/>
      <c r="M154" s="79"/>
      <c r="N154" s="74"/>
      <c r="O154" s="81" t="s">
        <v>179</v>
      </c>
      <c r="P154" s="83">
        <v>44460.288657407407</v>
      </c>
      <c r="Q154" s="81" t="s">
        <v>716</v>
      </c>
      <c r="R154" s="81"/>
      <c r="S154" s="81"/>
      <c r="T154" s="81"/>
      <c r="U154" s="81"/>
      <c r="V154" s="84" t="str">
        <f>HYPERLINK("https://pbs.twimg.com/profile_images/1442378409095483393/HrY1zMf__normal.jpg")</f>
        <v>https://pbs.twimg.com/profile_images/1442378409095483393/HrY1zMf__normal.jpg</v>
      </c>
      <c r="W154" s="83">
        <v>44460.288657407407</v>
      </c>
      <c r="X154" s="89">
        <v>44460</v>
      </c>
      <c r="Y154" s="86" t="s">
        <v>1062</v>
      </c>
      <c r="Z154" s="84" t="str">
        <f>HYPERLINK("https://twitter.com/anisofeaaaaaa/status/1440208089479671814")</f>
        <v>https://twitter.com/anisofeaaaaaa/status/1440208089479671814</v>
      </c>
      <c r="AA154" s="81"/>
      <c r="AB154" s="81"/>
      <c r="AC154" s="86" t="s">
        <v>1562</v>
      </c>
      <c r="AD154" s="81"/>
      <c r="AE154" s="81" t="b">
        <v>0</v>
      </c>
      <c r="AF154" s="81">
        <v>0</v>
      </c>
      <c r="AG154" s="86" t="s">
        <v>2084</v>
      </c>
      <c r="AH154" s="81" t="b">
        <v>0</v>
      </c>
      <c r="AI154" s="81" t="s">
        <v>2167</v>
      </c>
      <c r="AJ154" s="81"/>
      <c r="AK154" s="86" t="s">
        <v>2084</v>
      </c>
      <c r="AL154" s="81" t="b">
        <v>0</v>
      </c>
      <c r="AM154" s="81">
        <v>0</v>
      </c>
      <c r="AN154" s="86" t="s">
        <v>2084</v>
      </c>
      <c r="AO154" s="86" t="s">
        <v>2178</v>
      </c>
      <c r="AP154" s="81" t="b">
        <v>0</v>
      </c>
      <c r="AQ154" s="86" t="s">
        <v>1562</v>
      </c>
      <c r="AR154" s="81" t="s">
        <v>179</v>
      </c>
      <c r="AS154" s="81">
        <v>0</v>
      </c>
      <c r="AT154" s="81">
        <v>0</v>
      </c>
      <c r="AU154" s="81"/>
      <c r="AV154" s="81"/>
      <c r="AW154" s="81"/>
      <c r="AX154" s="81"/>
      <c r="AY154" s="81"/>
      <c r="AZ154" s="81"/>
      <c r="BA154" s="81"/>
      <c r="BB154" s="81"/>
    </row>
    <row r="155" spans="1:54" x14ac:dyDescent="0.35">
      <c r="A155" s="66" t="s">
        <v>266</v>
      </c>
      <c r="B155" s="66" t="s">
        <v>592</v>
      </c>
      <c r="C155" s="67"/>
      <c r="D155" s="68"/>
      <c r="E155" s="69"/>
      <c r="F155" s="70"/>
      <c r="G155" s="67"/>
      <c r="H155" s="71"/>
      <c r="I155" s="72"/>
      <c r="J155" s="72"/>
      <c r="K155" s="36"/>
      <c r="L155" s="79"/>
      <c r="M155" s="79"/>
      <c r="N155" s="74"/>
      <c r="O155" s="81" t="s">
        <v>693</v>
      </c>
      <c r="P155" s="83">
        <v>44460.290509259263</v>
      </c>
      <c r="Q155" s="81" t="s">
        <v>700</v>
      </c>
      <c r="R155" s="81"/>
      <c r="S155" s="81"/>
      <c r="T155" s="86" t="s">
        <v>972</v>
      </c>
      <c r="U155" s="84" t="str">
        <f>HYPERLINK("https://pbs.twimg.com/media/E_ubZIHUYAESLiB.jpg")</f>
        <v>https://pbs.twimg.com/media/E_ubZIHUYAESLiB.jpg</v>
      </c>
      <c r="V155" s="84" t="str">
        <f>HYPERLINK("https://pbs.twimg.com/media/E_ubZIHUYAESLiB.jpg")</f>
        <v>https://pbs.twimg.com/media/E_ubZIHUYAESLiB.jpg</v>
      </c>
      <c r="W155" s="83">
        <v>44460.290509259263</v>
      </c>
      <c r="X155" s="89">
        <v>44460</v>
      </c>
      <c r="Y155" s="86" t="s">
        <v>1063</v>
      </c>
      <c r="Z155" s="84" t="str">
        <f>HYPERLINK("https://twitter.com/cixbaely/status/1440208760689942537")</f>
        <v>https://twitter.com/cixbaely/status/1440208760689942537</v>
      </c>
      <c r="AA155" s="81"/>
      <c r="AB155" s="81"/>
      <c r="AC155" s="86" t="s">
        <v>1563</v>
      </c>
      <c r="AD155" s="81"/>
      <c r="AE155" s="81" t="b">
        <v>0</v>
      </c>
      <c r="AF155" s="81">
        <v>0</v>
      </c>
      <c r="AG155" s="86" t="s">
        <v>2084</v>
      </c>
      <c r="AH155" s="81" t="b">
        <v>0</v>
      </c>
      <c r="AI155" s="81" t="s">
        <v>2168</v>
      </c>
      <c r="AJ155" s="81"/>
      <c r="AK155" s="86" t="s">
        <v>2084</v>
      </c>
      <c r="AL155" s="81" t="b">
        <v>0</v>
      </c>
      <c r="AM155" s="81">
        <v>27</v>
      </c>
      <c r="AN155" s="86" t="s">
        <v>1995</v>
      </c>
      <c r="AO155" s="86" t="s">
        <v>2178</v>
      </c>
      <c r="AP155" s="81" t="b">
        <v>0</v>
      </c>
      <c r="AQ155" s="86" t="s">
        <v>1995</v>
      </c>
      <c r="AR155" s="81" t="s">
        <v>179</v>
      </c>
      <c r="AS155" s="81">
        <v>0</v>
      </c>
      <c r="AT155" s="81">
        <v>0</v>
      </c>
      <c r="AU155" s="81"/>
      <c r="AV155" s="81"/>
      <c r="AW155" s="81"/>
      <c r="AX155" s="81"/>
      <c r="AY155" s="81"/>
      <c r="AZ155" s="81"/>
      <c r="BA155" s="81"/>
      <c r="BB155" s="81"/>
    </row>
    <row r="156" spans="1:54" x14ac:dyDescent="0.35">
      <c r="A156" s="66" t="s">
        <v>4241</v>
      </c>
      <c r="B156" s="66" t="s">
        <v>4257</v>
      </c>
      <c r="C156" s="67"/>
      <c r="D156" s="68"/>
      <c r="E156" s="69"/>
      <c r="F156" s="70"/>
      <c r="G156" s="67"/>
      <c r="H156" s="71"/>
      <c r="I156" s="72"/>
      <c r="J156" s="72"/>
      <c r="K156" s="36"/>
      <c r="L156" s="79"/>
      <c r="M156" s="79"/>
      <c r="N156" s="74"/>
      <c r="O156" s="81" t="s">
        <v>693</v>
      </c>
      <c r="P156" s="83">
        <v>44460.292546296296</v>
      </c>
      <c r="Q156" s="81" t="s">
        <v>5294</v>
      </c>
      <c r="R156"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56" s="81" t="s">
        <v>935</v>
      </c>
      <c r="T156" s="81"/>
      <c r="U156" s="81"/>
      <c r="V156" s="84" t="str">
        <f>HYPERLINK("https://pbs.twimg.com/profile_images/1393528664147431427/I1H3SKjq_normal.jpg")</f>
        <v>https://pbs.twimg.com/profile_images/1393528664147431427/I1H3SKjq_normal.jpg</v>
      </c>
      <c r="W156" s="83">
        <v>44460.292546296296</v>
      </c>
      <c r="X156" s="89">
        <v>44460</v>
      </c>
      <c r="Y156" s="86" t="s">
        <v>5863</v>
      </c>
      <c r="Z156" s="84" t="str">
        <f>HYPERLINK("https://twitter.com/sserumpum/status/1440209497130090498")</f>
        <v>https://twitter.com/sserumpum/status/1440209497130090498</v>
      </c>
      <c r="AA156" s="81"/>
      <c r="AB156" s="81"/>
      <c r="AC156" s="86" t="s">
        <v>6764</v>
      </c>
      <c r="AD156" s="81"/>
      <c r="AE156" s="81" t="b">
        <v>0</v>
      </c>
      <c r="AF156" s="81">
        <v>0</v>
      </c>
      <c r="AG156" s="86" t="s">
        <v>2084</v>
      </c>
      <c r="AH156" s="81" t="b">
        <v>0</v>
      </c>
      <c r="AI156" s="81" t="s">
        <v>2167</v>
      </c>
      <c r="AJ156" s="81"/>
      <c r="AK156" s="86" t="s">
        <v>2084</v>
      </c>
      <c r="AL156" s="81" t="b">
        <v>0</v>
      </c>
      <c r="AM156" s="81">
        <v>231</v>
      </c>
      <c r="AN156" s="86" t="s">
        <v>6781</v>
      </c>
      <c r="AO156" s="86" t="s">
        <v>2178</v>
      </c>
      <c r="AP156" s="81" t="b">
        <v>0</v>
      </c>
      <c r="AQ156" s="86" t="s">
        <v>6781</v>
      </c>
      <c r="AR156" s="81" t="s">
        <v>179</v>
      </c>
      <c r="AS156" s="81">
        <v>0</v>
      </c>
      <c r="AT156" s="81">
        <v>0</v>
      </c>
      <c r="AU156" s="81"/>
      <c r="AV156" s="81"/>
      <c r="AW156" s="81"/>
      <c r="AX156" s="81"/>
      <c r="AY156" s="81"/>
      <c r="AZ156" s="81"/>
      <c r="BA156" s="81"/>
      <c r="BB156" s="81"/>
    </row>
    <row r="157" spans="1:54" x14ac:dyDescent="0.35">
      <c r="A157" s="66" t="s">
        <v>267</v>
      </c>
      <c r="B157" s="66" t="s">
        <v>614</v>
      </c>
      <c r="C157" s="67"/>
      <c r="D157" s="68"/>
      <c r="E157" s="69"/>
      <c r="F157" s="70"/>
      <c r="G157" s="67"/>
      <c r="H157" s="71"/>
      <c r="I157" s="72"/>
      <c r="J157" s="72"/>
      <c r="K157" s="36"/>
      <c r="L157" s="79"/>
      <c r="M157" s="79"/>
      <c r="N157" s="74"/>
      <c r="O157" s="81" t="s">
        <v>696</v>
      </c>
      <c r="P157" s="83">
        <v>44460.305266203701</v>
      </c>
      <c r="Q157" s="81" t="s">
        <v>717</v>
      </c>
      <c r="R157" s="81"/>
      <c r="S157" s="81"/>
      <c r="T157" s="81"/>
      <c r="U157" s="81"/>
      <c r="V157" s="84" t="str">
        <f>HYPERLINK("https://pbs.twimg.com/profile_images/1091700350472474624/CsuQ65QF_normal.jpg")</f>
        <v>https://pbs.twimg.com/profile_images/1091700350472474624/CsuQ65QF_normal.jpg</v>
      </c>
      <c r="W157" s="83">
        <v>44460.305266203701</v>
      </c>
      <c r="X157" s="89">
        <v>44460</v>
      </c>
      <c r="Y157" s="86" t="s">
        <v>1064</v>
      </c>
      <c r="Z157" s="84" t="str">
        <f>HYPERLINK("https://twitter.com/festifiki/status/1440214104644349954")</f>
        <v>https://twitter.com/festifiki/status/1440214104644349954</v>
      </c>
      <c r="AA157" s="81"/>
      <c r="AB157" s="81"/>
      <c r="AC157" s="86" t="s">
        <v>1564</v>
      </c>
      <c r="AD157" s="81"/>
      <c r="AE157" s="81" t="b">
        <v>0</v>
      </c>
      <c r="AF157" s="81">
        <v>0</v>
      </c>
      <c r="AG157" s="86" t="s">
        <v>2084</v>
      </c>
      <c r="AH157" s="81" t="b">
        <v>0</v>
      </c>
      <c r="AI157" s="81" t="s">
        <v>2167</v>
      </c>
      <c r="AJ157" s="81"/>
      <c r="AK157" s="86" t="s">
        <v>2084</v>
      </c>
      <c r="AL157" s="81" t="b">
        <v>0</v>
      </c>
      <c r="AM157" s="81">
        <v>0</v>
      </c>
      <c r="AN157" s="86" t="s">
        <v>2084</v>
      </c>
      <c r="AO157" s="86" t="s">
        <v>2179</v>
      </c>
      <c r="AP157" s="81" t="b">
        <v>0</v>
      </c>
      <c r="AQ157" s="86" t="s">
        <v>1564</v>
      </c>
      <c r="AR157" s="81" t="s">
        <v>179</v>
      </c>
      <c r="AS157" s="81">
        <v>0</v>
      </c>
      <c r="AT157" s="81">
        <v>0</v>
      </c>
      <c r="AU157" s="81"/>
      <c r="AV157" s="81"/>
      <c r="AW157" s="81"/>
      <c r="AX157" s="81"/>
      <c r="AY157" s="81"/>
      <c r="AZ157" s="81"/>
      <c r="BA157" s="81"/>
      <c r="BB157" s="81"/>
    </row>
    <row r="158" spans="1:54" x14ac:dyDescent="0.35">
      <c r="A158" s="66" t="s">
        <v>4242</v>
      </c>
      <c r="B158" s="66" t="s">
        <v>4257</v>
      </c>
      <c r="C158" s="67"/>
      <c r="D158" s="68"/>
      <c r="E158" s="69"/>
      <c r="F158" s="70"/>
      <c r="G158" s="67"/>
      <c r="H158" s="71"/>
      <c r="I158" s="72"/>
      <c r="J158" s="72"/>
      <c r="K158" s="36"/>
      <c r="L158" s="79"/>
      <c r="M158" s="79"/>
      <c r="N158" s="74"/>
      <c r="O158" s="81" t="s">
        <v>693</v>
      </c>
      <c r="P158" s="83">
        <v>44460.306145833332</v>
      </c>
      <c r="Q158" s="81" t="s">
        <v>5294</v>
      </c>
      <c r="R158"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58" s="81" t="s">
        <v>935</v>
      </c>
      <c r="T158" s="81"/>
      <c r="U158" s="81"/>
      <c r="V158" s="84" t="str">
        <f>HYPERLINK("https://pbs.twimg.com/profile_images/1413091569809297414/3uNj0GyJ_normal.jpg")</f>
        <v>https://pbs.twimg.com/profile_images/1413091569809297414/3uNj0GyJ_normal.jpg</v>
      </c>
      <c r="W158" s="83">
        <v>44460.306145833332</v>
      </c>
      <c r="X158" s="89">
        <v>44460</v>
      </c>
      <c r="Y158" s="86" t="s">
        <v>5864</v>
      </c>
      <c r="Z158" s="84" t="str">
        <f>HYPERLINK("https://twitter.com/april63394283/status/1440214423432355842")</f>
        <v>https://twitter.com/april63394283/status/1440214423432355842</v>
      </c>
      <c r="AA158" s="81"/>
      <c r="AB158" s="81"/>
      <c r="AC158" s="86" t="s">
        <v>6765</v>
      </c>
      <c r="AD158" s="81"/>
      <c r="AE158" s="81" t="b">
        <v>0</v>
      </c>
      <c r="AF158" s="81">
        <v>0</v>
      </c>
      <c r="AG158" s="86" t="s">
        <v>2084</v>
      </c>
      <c r="AH158" s="81" t="b">
        <v>0</v>
      </c>
      <c r="AI158" s="81" t="s">
        <v>2167</v>
      </c>
      <c r="AJ158" s="81"/>
      <c r="AK158" s="86" t="s">
        <v>2084</v>
      </c>
      <c r="AL158" s="81" t="b">
        <v>0</v>
      </c>
      <c r="AM158" s="81">
        <v>231</v>
      </c>
      <c r="AN158" s="86" t="s">
        <v>6781</v>
      </c>
      <c r="AO158" s="86" t="s">
        <v>2181</v>
      </c>
      <c r="AP158" s="81" t="b">
        <v>0</v>
      </c>
      <c r="AQ158" s="86" t="s">
        <v>6781</v>
      </c>
      <c r="AR158" s="81" t="s">
        <v>179</v>
      </c>
      <c r="AS158" s="81">
        <v>0</v>
      </c>
      <c r="AT158" s="81">
        <v>0</v>
      </c>
      <c r="AU158" s="81"/>
      <c r="AV158" s="81"/>
      <c r="AW158" s="81"/>
      <c r="AX158" s="81"/>
      <c r="AY158" s="81"/>
      <c r="AZ158" s="81"/>
      <c r="BA158" s="81"/>
      <c r="BB158" s="81"/>
    </row>
    <row r="159" spans="1:54" x14ac:dyDescent="0.35">
      <c r="A159" s="66" t="s">
        <v>4243</v>
      </c>
      <c r="B159" s="66" t="s">
        <v>4257</v>
      </c>
      <c r="C159" s="67"/>
      <c r="D159" s="68"/>
      <c r="E159" s="69"/>
      <c r="F159" s="70"/>
      <c r="G159" s="67"/>
      <c r="H159" s="71"/>
      <c r="I159" s="72"/>
      <c r="J159" s="72"/>
      <c r="K159" s="36"/>
      <c r="L159" s="79"/>
      <c r="M159" s="79"/>
      <c r="N159" s="74"/>
      <c r="O159" s="81" t="s">
        <v>693</v>
      </c>
      <c r="P159" s="83">
        <v>44460.311157407406</v>
      </c>
      <c r="Q159" s="81" t="s">
        <v>5294</v>
      </c>
      <c r="R159"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159" s="81" t="s">
        <v>935</v>
      </c>
      <c r="T159" s="81"/>
      <c r="U159" s="81"/>
      <c r="V159" s="84" t="str">
        <f>HYPERLINK("https://pbs.twimg.com/profile_images/1422383433712488449/flVx7CpR_normal.jpg")</f>
        <v>https://pbs.twimg.com/profile_images/1422383433712488449/flVx7CpR_normal.jpg</v>
      </c>
      <c r="W159" s="83">
        <v>44460.311157407406</v>
      </c>
      <c r="X159" s="89">
        <v>44460</v>
      </c>
      <c r="Y159" s="86" t="s">
        <v>5865</v>
      </c>
      <c r="Z159" s="84" t="str">
        <f>HYPERLINK("https://twitter.com/em_7015/status/1440216240627142669")</f>
        <v>https://twitter.com/em_7015/status/1440216240627142669</v>
      </c>
      <c r="AA159" s="81"/>
      <c r="AB159" s="81"/>
      <c r="AC159" s="86" t="s">
        <v>6766</v>
      </c>
      <c r="AD159" s="81"/>
      <c r="AE159" s="81" t="b">
        <v>0</v>
      </c>
      <c r="AF159" s="81">
        <v>0</v>
      </c>
      <c r="AG159" s="86" t="s">
        <v>2084</v>
      </c>
      <c r="AH159" s="81" t="b">
        <v>0</v>
      </c>
      <c r="AI159" s="81" t="s">
        <v>2167</v>
      </c>
      <c r="AJ159" s="81"/>
      <c r="AK159" s="86" t="s">
        <v>2084</v>
      </c>
      <c r="AL159" s="81" t="b">
        <v>0</v>
      </c>
      <c r="AM159" s="81">
        <v>231</v>
      </c>
      <c r="AN159" s="86" t="s">
        <v>6781</v>
      </c>
      <c r="AO159" s="86" t="s">
        <v>2178</v>
      </c>
      <c r="AP159" s="81" t="b">
        <v>0</v>
      </c>
      <c r="AQ159" s="86" t="s">
        <v>6781</v>
      </c>
      <c r="AR159" s="81" t="s">
        <v>179</v>
      </c>
      <c r="AS159" s="81">
        <v>0</v>
      </c>
      <c r="AT159" s="81">
        <v>0</v>
      </c>
      <c r="AU159" s="81"/>
      <c r="AV159" s="81"/>
      <c r="AW159" s="81"/>
      <c r="AX159" s="81"/>
      <c r="AY159" s="81"/>
      <c r="AZ159" s="81"/>
      <c r="BA159" s="81"/>
      <c r="BB159" s="81"/>
    </row>
    <row r="160" spans="1:54" x14ac:dyDescent="0.35">
      <c r="A160" s="66" t="s">
        <v>268</v>
      </c>
      <c r="B160" s="66" t="s">
        <v>268</v>
      </c>
      <c r="C160" s="67"/>
      <c r="D160" s="68"/>
      <c r="E160" s="69"/>
      <c r="F160" s="70"/>
      <c r="G160" s="67"/>
      <c r="H160" s="71"/>
      <c r="I160" s="72"/>
      <c r="J160" s="72"/>
      <c r="K160" s="36"/>
      <c r="L160" s="79"/>
      <c r="M160" s="79"/>
      <c r="N160" s="74"/>
      <c r="O160" s="81" t="s">
        <v>179</v>
      </c>
      <c r="P160" s="83">
        <v>44460.347083333334</v>
      </c>
      <c r="Q160" s="81" t="s">
        <v>718</v>
      </c>
      <c r="R160" s="81"/>
      <c r="S160" s="81"/>
      <c r="T160" s="81"/>
      <c r="U160" s="81"/>
      <c r="V160" s="84" t="str">
        <f>HYPERLINK("https://pbs.twimg.com/profile_images/1391236302897487873/Moe3gT6t_normal.jpg")</f>
        <v>https://pbs.twimg.com/profile_images/1391236302897487873/Moe3gT6t_normal.jpg</v>
      </c>
      <c r="W160" s="83">
        <v>44460.347083333334</v>
      </c>
      <c r="X160" s="89">
        <v>44460</v>
      </c>
      <c r="Y160" s="86" t="s">
        <v>1065</v>
      </c>
      <c r="Z160" s="84" t="str">
        <f>HYPERLINK("https://twitter.com/ljtzys/status/1440229258421358597")</f>
        <v>https://twitter.com/ljtzys/status/1440229258421358597</v>
      </c>
      <c r="AA160" s="81"/>
      <c r="AB160" s="81"/>
      <c r="AC160" s="86" t="s">
        <v>1565</v>
      </c>
      <c r="AD160" s="81"/>
      <c r="AE160" s="81" t="b">
        <v>0</v>
      </c>
      <c r="AF160" s="81">
        <v>0</v>
      </c>
      <c r="AG160" s="86" t="s">
        <v>2084</v>
      </c>
      <c r="AH160" s="81" t="b">
        <v>0</v>
      </c>
      <c r="AI160" s="81" t="s">
        <v>2167</v>
      </c>
      <c r="AJ160" s="81"/>
      <c r="AK160" s="86" t="s">
        <v>2084</v>
      </c>
      <c r="AL160" s="81" t="b">
        <v>0</v>
      </c>
      <c r="AM160" s="81">
        <v>0</v>
      </c>
      <c r="AN160" s="86" t="s">
        <v>2084</v>
      </c>
      <c r="AO160" s="86" t="s">
        <v>2178</v>
      </c>
      <c r="AP160" s="81" t="b">
        <v>0</v>
      </c>
      <c r="AQ160" s="86" t="s">
        <v>1565</v>
      </c>
      <c r="AR160" s="81" t="s">
        <v>179</v>
      </c>
      <c r="AS160" s="81">
        <v>0</v>
      </c>
      <c r="AT160" s="81">
        <v>0</v>
      </c>
      <c r="AU160" s="81"/>
      <c r="AV160" s="81"/>
      <c r="AW160" s="81"/>
      <c r="AX160" s="81"/>
      <c r="AY160" s="81"/>
      <c r="AZ160" s="81"/>
      <c r="BA160" s="81"/>
      <c r="BB160" s="81"/>
    </row>
    <row r="161" spans="1:54" x14ac:dyDescent="0.35">
      <c r="A161" s="66" t="s">
        <v>269</v>
      </c>
      <c r="B161" s="66" t="s">
        <v>269</v>
      </c>
      <c r="C161" s="67"/>
      <c r="D161" s="68"/>
      <c r="E161" s="69"/>
      <c r="F161" s="70"/>
      <c r="G161" s="67"/>
      <c r="H161" s="71"/>
      <c r="I161" s="72"/>
      <c r="J161" s="72"/>
      <c r="K161" s="36"/>
      <c r="L161" s="79"/>
      <c r="M161" s="79"/>
      <c r="N161" s="74"/>
      <c r="O161" s="81" t="s">
        <v>179</v>
      </c>
      <c r="P161" s="83">
        <v>44460.362696759257</v>
      </c>
      <c r="Q161" s="81" t="s">
        <v>719</v>
      </c>
      <c r="R161" s="84" t="str">
        <f>HYPERLINK("https://www.sdna.gr/podosfairo/880493_poly-tiki-taki-i-pos-kaneis-ton-pike-senter-gia-na-pareis-bathmo-me-ti-granada")</f>
        <v>https://www.sdna.gr/podosfairo/880493_poly-tiki-taki-i-pos-kaneis-ton-pike-senter-gia-na-pareis-bathmo-me-ti-granada</v>
      </c>
      <c r="S161" s="81" t="s">
        <v>946</v>
      </c>
      <c r="T161" s="81"/>
      <c r="U161" s="81"/>
      <c r="V161" s="84" t="str">
        <f>HYPERLINK("https://pbs.twimg.com/profile_images/1344952032554328065/R2BRlDNQ_normal.jpg")</f>
        <v>https://pbs.twimg.com/profile_images/1344952032554328065/R2BRlDNQ_normal.jpg</v>
      </c>
      <c r="W161" s="83">
        <v>44460.362696759257</v>
      </c>
      <c r="X161" s="89">
        <v>44460</v>
      </c>
      <c r="Y161" s="86" t="s">
        <v>1066</v>
      </c>
      <c r="Z161" s="84" t="str">
        <f>HYPERLINK("https://twitter.com/sdnagr/status/1440234919389646849")</f>
        <v>https://twitter.com/sdnagr/status/1440234919389646849</v>
      </c>
      <c r="AA161" s="81"/>
      <c r="AB161" s="81"/>
      <c r="AC161" s="86" t="s">
        <v>1566</v>
      </c>
      <c r="AD161" s="81"/>
      <c r="AE161" s="81" t="b">
        <v>0</v>
      </c>
      <c r="AF161" s="81">
        <v>0</v>
      </c>
      <c r="AG161" s="86" t="s">
        <v>2084</v>
      </c>
      <c r="AH161" s="81" t="b">
        <v>0</v>
      </c>
      <c r="AI161" s="81" t="s">
        <v>2174</v>
      </c>
      <c r="AJ161" s="81"/>
      <c r="AK161" s="86" t="s">
        <v>2084</v>
      </c>
      <c r="AL161" s="81" t="b">
        <v>0</v>
      </c>
      <c r="AM161" s="81">
        <v>0</v>
      </c>
      <c r="AN161" s="86" t="s">
        <v>2084</v>
      </c>
      <c r="AO161" s="86" t="s">
        <v>2181</v>
      </c>
      <c r="AP161" s="81" t="b">
        <v>0</v>
      </c>
      <c r="AQ161" s="86" t="s">
        <v>1566</v>
      </c>
      <c r="AR161" s="81" t="s">
        <v>179</v>
      </c>
      <c r="AS161" s="81">
        <v>0</v>
      </c>
      <c r="AT161" s="81">
        <v>0</v>
      </c>
      <c r="AU161" s="81"/>
      <c r="AV161" s="81"/>
      <c r="AW161" s="81"/>
      <c r="AX161" s="81"/>
      <c r="AY161" s="81"/>
      <c r="AZ161" s="81"/>
      <c r="BA161" s="81"/>
      <c r="BB161" s="81"/>
    </row>
    <row r="162" spans="1:54" x14ac:dyDescent="0.35">
      <c r="A162" s="66" t="s">
        <v>270</v>
      </c>
      <c r="B162" s="66" t="s">
        <v>615</v>
      </c>
      <c r="C162" s="67"/>
      <c r="D162" s="68"/>
      <c r="E162" s="69"/>
      <c r="F162" s="70"/>
      <c r="G162" s="67"/>
      <c r="H162" s="71"/>
      <c r="I162" s="72"/>
      <c r="J162" s="72"/>
      <c r="K162" s="36"/>
      <c r="L162" s="79"/>
      <c r="M162" s="79"/>
      <c r="N162" s="74"/>
      <c r="O162" s="81" t="s">
        <v>695</v>
      </c>
      <c r="P162" s="83">
        <v>44460.378761574073</v>
      </c>
      <c r="Q162" s="81" t="s">
        <v>720</v>
      </c>
      <c r="R162" s="81"/>
      <c r="S162" s="81"/>
      <c r="T162" s="81"/>
      <c r="U162" s="81"/>
      <c r="V162" s="84" t="str">
        <f>HYPERLINK("https://pbs.twimg.com/profile_images/1433038608185774091/8VwyBhV4_normal.jpg")</f>
        <v>https://pbs.twimg.com/profile_images/1433038608185774091/8VwyBhV4_normal.jpg</v>
      </c>
      <c r="W162" s="83">
        <v>44460.378761574073</v>
      </c>
      <c r="X162" s="89">
        <v>44460</v>
      </c>
      <c r="Y162" s="86" t="s">
        <v>1067</v>
      </c>
      <c r="Z162" s="84" t="str">
        <f>HYPERLINK("https://twitter.com/wickysky_/status/1440240738822856709")</f>
        <v>https://twitter.com/wickysky_/status/1440240738822856709</v>
      </c>
      <c r="AA162" s="81"/>
      <c r="AB162" s="81"/>
      <c r="AC162" s="86" t="s">
        <v>1567</v>
      </c>
      <c r="AD162" s="86" t="s">
        <v>2013</v>
      </c>
      <c r="AE162" s="81" t="b">
        <v>0</v>
      </c>
      <c r="AF162" s="81">
        <v>0</v>
      </c>
      <c r="AG162" s="86" t="s">
        <v>2093</v>
      </c>
      <c r="AH162" s="81" t="b">
        <v>0</v>
      </c>
      <c r="AI162" s="81" t="s">
        <v>2167</v>
      </c>
      <c r="AJ162" s="81"/>
      <c r="AK162" s="86" t="s">
        <v>2084</v>
      </c>
      <c r="AL162" s="81" t="b">
        <v>0</v>
      </c>
      <c r="AM162" s="81">
        <v>0</v>
      </c>
      <c r="AN162" s="86" t="s">
        <v>2084</v>
      </c>
      <c r="AO162" s="86" t="s">
        <v>2179</v>
      </c>
      <c r="AP162" s="81" t="b">
        <v>0</v>
      </c>
      <c r="AQ162" s="86" t="s">
        <v>2013</v>
      </c>
      <c r="AR162" s="81" t="s">
        <v>179</v>
      </c>
      <c r="AS162" s="81">
        <v>0</v>
      </c>
      <c r="AT162" s="81">
        <v>0</v>
      </c>
      <c r="AU162" s="81"/>
      <c r="AV162" s="81"/>
      <c r="AW162" s="81"/>
      <c r="AX162" s="81"/>
      <c r="AY162" s="81"/>
      <c r="AZ162" s="81"/>
      <c r="BA162" s="81"/>
      <c r="BB162" s="81"/>
    </row>
    <row r="163" spans="1:54" x14ac:dyDescent="0.35">
      <c r="A163" s="66" t="s">
        <v>271</v>
      </c>
      <c r="B163" s="66" t="s">
        <v>616</v>
      </c>
      <c r="C163" s="67"/>
      <c r="D163" s="68"/>
      <c r="E163" s="69"/>
      <c r="F163" s="70"/>
      <c r="G163" s="67"/>
      <c r="H163" s="71"/>
      <c r="I163" s="72"/>
      <c r="J163" s="72"/>
      <c r="K163" s="36"/>
      <c r="L163" s="79"/>
      <c r="M163" s="79"/>
      <c r="N163" s="74"/>
      <c r="O163" s="81" t="s">
        <v>695</v>
      </c>
      <c r="P163" s="83">
        <v>44460.399560185186</v>
      </c>
      <c r="Q163" s="81" t="s">
        <v>721</v>
      </c>
      <c r="R163" s="81"/>
      <c r="S163" s="81"/>
      <c r="T163" s="81"/>
      <c r="U163" s="81"/>
      <c r="V163" s="84" t="str">
        <f>HYPERLINK("https://pbs.twimg.com/profile_images/1369775839005446146/2biGpcla_normal.jpg")</f>
        <v>https://pbs.twimg.com/profile_images/1369775839005446146/2biGpcla_normal.jpg</v>
      </c>
      <c r="W163" s="83">
        <v>44460.399560185186</v>
      </c>
      <c r="X163" s="89">
        <v>44460</v>
      </c>
      <c r="Y163" s="86" t="s">
        <v>1068</v>
      </c>
      <c r="Z163" s="84" t="str">
        <f>HYPERLINK("https://twitter.com/kucingduakepala/status/1440248279460048897")</f>
        <v>https://twitter.com/kucingduakepala/status/1440248279460048897</v>
      </c>
      <c r="AA163" s="81"/>
      <c r="AB163" s="81"/>
      <c r="AC163" s="86" t="s">
        <v>1568</v>
      </c>
      <c r="AD163" s="86" t="s">
        <v>2014</v>
      </c>
      <c r="AE163" s="81" t="b">
        <v>0</v>
      </c>
      <c r="AF163" s="81">
        <v>0</v>
      </c>
      <c r="AG163" s="86" t="s">
        <v>2094</v>
      </c>
      <c r="AH163" s="81" t="b">
        <v>0</v>
      </c>
      <c r="AI163" s="81" t="s">
        <v>2167</v>
      </c>
      <c r="AJ163" s="81"/>
      <c r="AK163" s="86" t="s">
        <v>2084</v>
      </c>
      <c r="AL163" s="81" t="b">
        <v>0</v>
      </c>
      <c r="AM163" s="81">
        <v>0</v>
      </c>
      <c r="AN163" s="86" t="s">
        <v>2084</v>
      </c>
      <c r="AO163" s="86" t="s">
        <v>2178</v>
      </c>
      <c r="AP163" s="81" t="b">
        <v>0</v>
      </c>
      <c r="AQ163" s="86" t="s">
        <v>2014</v>
      </c>
      <c r="AR163" s="81" t="s">
        <v>179</v>
      </c>
      <c r="AS163" s="81">
        <v>0</v>
      </c>
      <c r="AT163" s="81">
        <v>0</v>
      </c>
      <c r="AU163" s="81"/>
      <c r="AV163" s="81"/>
      <c r="AW163" s="81"/>
      <c r="AX163" s="81"/>
      <c r="AY163" s="81"/>
      <c r="AZ163" s="81"/>
      <c r="BA163" s="81"/>
      <c r="BB163" s="81"/>
    </row>
    <row r="164" spans="1:54" x14ac:dyDescent="0.35">
      <c r="A164" s="66" t="s">
        <v>4244</v>
      </c>
      <c r="B164" s="66" t="s">
        <v>4244</v>
      </c>
      <c r="C164" s="67"/>
      <c r="D164" s="68"/>
      <c r="E164" s="69"/>
      <c r="F164" s="70"/>
      <c r="G164" s="67"/>
      <c r="H164" s="71"/>
      <c r="I164" s="72"/>
      <c r="J164" s="72"/>
      <c r="K164" s="36"/>
      <c r="L164" s="79"/>
      <c r="M164" s="79"/>
      <c r="N164" s="74"/>
      <c r="O164" s="81" t="s">
        <v>179</v>
      </c>
      <c r="P164" s="83">
        <v>44460.405509259261</v>
      </c>
      <c r="Q164" s="81" t="s">
        <v>5300</v>
      </c>
      <c r="R164" s="84" t="str">
        <f>HYPERLINK("https://edthink.pt/educacao-pos-pandemia-um-guia-para-desafiar-as-escolas/")</f>
        <v>https://edthink.pt/educacao-pos-pandemia-um-guia-para-desafiar-as-escolas/</v>
      </c>
      <c r="S164" s="81" t="s">
        <v>5697</v>
      </c>
      <c r="T164" s="81"/>
      <c r="U164" s="81"/>
      <c r="V164" s="84" t="str">
        <f>HYPERLINK("https://pbs.twimg.com/profile_images/1430636557338300421/-AcRfGQU_normal.jpg")</f>
        <v>https://pbs.twimg.com/profile_images/1430636557338300421/-AcRfGQU_normal.jpg</v>
      </c>
      <c r="W164" s="83">
        <v>44460.405509259261</v>
      </c>
      <c r="X164" s="89">
        <v>44460</v>
      </c>
      <c r="Y164" s="86" t="s">
        <v>5866</v>
      </c>
      <c r="Z164" s="84" t="str">
        <f>HYPERLINK("https://twitter.com/joanarssousa/status/1440250434438852615")</f>
        <v>https://twitter.com/joanarssousa/status/1440250434438852615</v>
      </c>
      <c r="AA164" s="81"/>
      <c r="AB164" s="81"/>
      <c r="AC164" s="86" t="s">
        <v>6767</v>
      </c>
      <c r="AD164" s="86" t="s">
        <v>7626</v>
      </c>
      <c r="AE164" s="81" t="b">
        <v>0</v>
      </c>
      <c r="AF164" s="81">
        <v>0</v>
      </c>
      <c r="AG164" s="86" t="s">
        <v>7805</v>
      </c>
      <c r="AH164" s="81" t="b">
        <v>0</v>
      </c>
      <c r="AI164" s="81" t="s">
        <v>2171</v>
      </c>
      <c r="AJ164" s="81"/>
      <c r="AK164" s="86" t="s">
        <v>2084</v>
      </c>
      <c r="AL164" s="81" t="b">
        <v>0</v>
      </c>
      <c r="AM164" s="81">
        <v>0</v>
      </c>
      <c r="AN164" s="86" t="s">
        <v>2084</v>
      </c>
      <c r="AO164" s="86" t="s">
        <v>2181</v>
      </c>
      <c r="AP164" s="81" t="b">
        <v>0</v>
      </c>
      <c r="AQ164" s="86" t="s">
        <v>7626</v>
      </c>
      <c r="AR164" s="81" t="s">
        <v>179</v>
      </c>
      <c r="AS164" s="81">
        <v>0</v>
      </c>
      <c r="AT164" s="81">
        <v>0</v>
      </c>
      <c r="AU164" s="81"/>
      <c r="AV164" s="81"/>
      <c r="AW164" s="81"/>
      <c r="AX164" s="81"/>
      <c r="AY164" s="81"/>
      <c r="AZ164" s="81"/>
      <c r="BA164" s="81"/>
      <c r="BB164" s="81"/>
    </row>
    <row r="165" spans="1:54" x14ac:dyDescent="0.35">
      <c r="A165" s="66" t="s">
        <v>4245</v>
      </c>
      <c r="B165" s="66" t="s">
        <v>4989</v>
      </c>
      <c r="C165" s="67"/>
      <c r="D165" s="68"/>
      <c r="E165" s="69"/>
      <c r="F165" s="70"/>
      <c r="G165" s="67"/>
      <c r="H165" s="71"/>
      <c r="I165" s="72"/>
      <c r="J165" s="72"/>
      <c r="K165" s="36"/>
      <c r="L165" s="79"/>
      <c r="M165" s="79"/>
      <c r="N165" s="74"/>
      <c r="O165" s="81" t="s">
        <v>696</v>
      </c>
      <c r="P165" s="83">
        <v>44459.776273148149</v>
      </c>
      <c r="Q165" s="81" t="s">
        <v>5292</v>
      </c>
      <c r="R165" s="81"/>
      <c r="S165" s="81"/>
      <c r="T165" s="81"/>
      <c r="U165" s="81"/>
      <c r="V165" s="84" t="str">
        <f>HYPERLINK("https://pbs.twimg.com/profile_images/1437894004738306054/nrvhKAlv_normal.jpg")</f>
        <v>https://pbs.twimg.com/profile_images/1437894004738306054/nrvhKAlv_normal.jpg</v>
      </c>
      <c r="W165" s="83">
        <v>44459.776273148149</v>
      </c>
      <c r="X165" s="89">
        <v>44459</v>
      </c>
      <c r="Y165" s="86" t="s">
        <v>5867</v>
      </c>
      <c r="Z165" s="84" t="str">
        <f>HYPERLINK("https://twitter.com/paulospcx/status/1440022404705685512")</f>
        <v>https://twitter.com/paulospcx/status/1440022404705685512</v>
      </c>
      <c r="AA165" s="81"/>
      <c r="AB165" s="81"/>
      <c r="AC165" s="86" t="s">
        <v>6768</v>
      </c>
      <c r="AD165" s="86" t="s">
        <v>7627</v>
      </c>
      <c r="AE165" s="81" t="b">
        <v>0</v>
      </c>
      <c r="AF165" s="81">
        <v>15</v>
      </c>
      <c r="AG165" s="86" t="s">
        <v>7806</v>
      </c>
      <c r="AH165" s="81" t="b">
        <v>0</v>
      </c>
      <c r="AI165" s="81" t="s">
        <v>2171</v>
      </c>
      <c r="AJ165" s="81"/>
      <c r="AK165" s="86" t="s">
        <v>2084</v>
      </c>
      <c r="AL165" s="81" t="b">
        <v>0</v>
      </c>
      <c r="AM165" s="81">
        <v>6</v>
      </c>
      <c r="AN165" s="86" t="s">
        <v>2084</v>
      </c>
      <c r="AO165" s="86" t="s">
        <v>2181</v>
      </c>
      <c r="AP165" s="81" t="b">
        <v>0</v>
      </c>
      <c r="AQ165" s="86" t="s">
        <v>7627</v>
      </c>
      <c r="AR165" s="81" t="s">
        <v>179</v>
      </c>
      <c r="AS165" s="81">
        <v>0</v>
      </c>
      <c r="AT165" s="81">
        <v>0</v>
      </c>
      <c r="AU165" s="81"/>
      <c r="AV165" s="81"/>
      <c r="AW165" s="81"/>
      <c r="AX165" s="81"/>
      <c r="AY165" s="81"/>
      <c r="AZ165" s="81"/>
      <c r="BA165" s="81"/>
      <c r="BB165" s="81"/>
    </row>
    <row r="166" spans="1:54" x14ac:dyDescent="0.35">
      <c r="A166" s="66" t="s">
        <v>4246</v>
      </c>
      <c r="B166" s="66" t="s">
        <v>4989</v>
      </c>
      <c r="C166" s="67"/>
      <c r="D166" s="68"/>
      <c r="E166" s="69"/>
      <c r="F166" s="70"/>
      <c r="G166" s="67"/>
      <c r="H166" s="71"/>
      <c r="I166" s="72"/>
      <c r="J166" s="72"/>
      <c r="K166" s="36"/>
      <c r="L166" s="79"/>
      <c r="M166" s="79"/>
      <c r="N166" s="74"/>
      <c r="O166" s="81" t="s">
        <v>694</v>
      </c>
      <c r="P166" s="83">
        <v>44460.410405092596</v>
      </c>
      <c r="Q166" s="81" t="s">
        <v>5292</v>
      </c>
      <c r="R166" s="81"/>
      <c r="S166" s="81"/>
      <c r="T166" s="81"/>
      <c r="U166" s="81"/>
      <c r="V166" s="84" t="str">
        <f>HYPERLINK("https://pbs.twimg.com/profile_images/1437546457167540224/kQjIbIPy_normal.jpg")</f>
        <v>https://pbs.twimg.com/profile_images/1437546457167540224/kQjIbIPy_normal.jpg</v>
      </c>
      <c r="W166" s="83">
        <v>44460.410405092596</v>
      </c>
      <c r="X166" s="89">
        <v>44460</v>
      </c>
      <c r="Y166" s="86" t="s">
        <v>5868</v>
      </c>
      <c r="Z166" s="84" t="str">
        <f>HYPERLINK("https://twitter.com/normacastro2005/status/1440252207895482369")</f>
        <v>https://twitter.com/normacastro2005/status/1440252207895482369</v>
      </c>
      <c r="AA166" s="81"/>
      <c r="AB166" s="81"/>
      <c r="AC166" s="86" t="s">
        <v>6769</v>
      </c>
      <c r="AD166" s="81"/>
      <c r="AE166" s="81" t="b">
        <v>0</v>
      </c>
      <c r="AF166" s="81">
        <v>0</v>
      </c>
      <c r="AG166" s="86" t="s">
        <v>2084</v>
      </c>
      <c r="AH166" s="81" t="b">
        <v>0</v>
      </c>
      <c r="AI166" s="81" t="s">
        <v>2171</v>
      </c>
      <c r="AJ166" s="81"/>
      <c r="AK166" s="86" t="s">
        <v>2084</v>
      </c>
      <c r="AL166" s="81" t="b">
        <v>0</v>
      </c>
      <c r="AM166" s="81">
        <v>6</v>
      </c>
      <c r="AN166" s="86" t="s">
        <v>6768</v>
      </c>
      <c r="AO166" s="86" t="s">
        <v>2178</v>
      </c>
      <c r="AP166" s="81" t="b">
        <v>0</v>
      </c>
      <c r="AQ166" s="86" t="s">
        <v>6768</v>
      </c>
      <c r="AR166" s="81" t="s">
        <v>179</v>
      </c>
      <c r="AS166" s="81">
        <v>0</v>
      </c>
      <c r="AT166" s="81">
        <v>0</v>
      </c>
      <c r="AU166" s="81"/>
      <c r="AV166" s="81"/>
      <c r="AW166" s="81"/>
      <c r="AX166" s="81"/>
      <c r="AY166" s="81"/>
      <c r="AZ166" s="81"/>
      <c r="BA166" s="81"/>
      <c r="BB166" s="81"/>
    </row>
    <row r="167" spans="1:54" x14ac:dyDescent="0.35">
      <c r="A167" s="66" t="s">
        <v>4245</v>
      </c>
      <c r="B167" s="66" t="s">
        <v>4990</v>
      </c>
      <c r="C167" s="67"/>
      <c r="D167" s="68"/>
      <c r="E167" s="69"/>
      <c r="F167" s="70"/>
      <c r="G167" s="67"/>
      <c r="H167" s="71"/>
      <c r="I167" s="72"/>
      <c r="J167" s="72"/>
      <c r="K167" s="36"/>
      <c r="L167" s="79"/>
      <c r="M167" s="79"/>
      <c r="N167" s="74"/>
      <c r="O167" s="81" t="s">
        <v>695</v>
      </c>
      <c r="P167" s="83">
        <v>44459.776273148149</v>
      </c>
      <c r="Q167" s="81" t="s">
        <v>5292</v>
      </c>
      <c r="R167" s="81"/>
      <c r="S167" s="81"/>
      <c r="T167" s="81"/>
      <c r="U167" s="81"/>
      <c r="V167" s="84" t="str">
        <f>HYPERLINK("https://pbs.twimg.com/profile_images/1437894004738306054/nrvhKAlv_normal.jpg")</f>
        <v>https://pbs.twimg.com/profile_images/1437894004738306054/nrvhKAlv_normal.jpg</v>
      </c>
      <c r="W167" s="83">
        <v>44459.776273148149</v>
      </c>
      <c r="X167" s="89">
        <v>44459</v>
      </c>
      <c r="Y167" s="86" t="s">
        <v>5867</v>
      </c>
      <c r="Z167" s="84" t="str">
        <f>HYPERLINK("https://twitter.com/paulospcx/status/1440022404705685512")</f>
        <v>https://twitter.com/paulospcx/status/1440022404705685512</v>
      </c>
      <c r="AA167" s="81"/>
      <c r="AB167" s="81"/>
      <c r="AC167" s="86" t="s">
        <v>6768</v>
      </c>
      <c r="AD167" s="86" t="s">
        <v>7627</v>
      </c>
      <c r="AE167" s="81" t="b">
        <v>0</v>
      </c>
      <c r="AF167" s="81">
        <v>15</v>
      </c>
      <c r="AG167" s="86" t="s">
        <v>7806</v>
      </c>
      <c r="AH167" s="81" t="b">
        <v>0</v>
      </c>
      <c r="AI167" s="81" t="s">
        <v>2171</v>
      </c>
      <c r="AJ167" s="81"/>
      <c r="AK167" s="86" t="s">
        <v>2084</v>
      </c>
      <c r="AL167" s="81" t="b">
        <v>0</v>
      </c>
      <c r="AM167" s="81">
        <v>6</v>
      </c>
      <c r="AN167" s="86" t="s">
        <v>2084</v>
      </c>
      <c r="AO167" s="86" t="s">
        <v>2181</v>
      </c>
      <c r="AP167" s="81" t="b">
        <v>0</v>
      </c>
      <c r="AQ167" s="86" t="s">
        <v>7627</v>
      </c>
      <c r="AR167" s="81" t="s">
        <v>179</v>
      </c>
      <c r="AS167" s="81">
        <v>0</v>
      </c>
      <c r="AT167" s="81">
        <v>0</v>
      </c>
      <c r="AU167" s="81"/>
      <c r="AV167" s="81"/>
      <c r="AW167" s="81"/>
      <c r="AX167" s="81"/>
      <c r="AY167" s="81"/>
      <c r="AZ167" s="81"/>
      <c r="BA167" s="81"/>
      <c r="BB167" s="81"/>
    </row>
    <row r="168" spans="1:54" x14ac:dyDescent="0.35">
      <c r="A168" s="66" t="s">
        <v>4245</v>
      </c>
      <c r="B168" s="66" t="s">
        <v>4245</v>
      </c>
      <c r="C168" s="67"/>
      <c r="D168" s="68"/>
      <c r="E168" s="69"/>
      <c r="F168" s="70"/>
      <c r="G168" s="67"/>
      <c r="H168" s="71"/>
      <c r="I168" s="72"/>
      <c r="J168" s="72"/>
      <c r="K168" s="36"/>
      <c r="L168" s="79"/>
      <c r="M168" s="79"/>
      <c r="N168" s="74"/>
      <c r="O168" s="81" t="s">
        <v>179</v>
      </c>
      <c r="P168" s="83">
        <v>44459.776817129627</v>
      </c>
      <c r="Q168" s="81" t="s">
        <v>5301</v>
      </c>
      <c r="R168" s="81"/>
      <c r="S168" s="81"/>
      <c r="T168" s="81"/>
      <c r="U168" s="81"/>
      <c r="V168" s="84" t="str">
        <f>HYPERLINK("https://pbs.twimg.com/profile_images/1437894004738306054/nrvhKAlv_normal.jpg")</f>
        <v>https://pbs.twimg.com/profile_images/1437894004738306054/nrvhKAlv_normal.jpg</v>
      </c>
      <c r="W168" s="83">
        <v>44459.776817129627</v>
      </c>
      <c r="X168" s="89">
        <v>44459</v>
      </c>
      <c r="Y168" s="86" t="s">
        <v>5869</v>
      </c>
      <c r="Z168" s="84" t="str">
        <f>HYPERLINK("https://twitter.com/paulospcx/status/1440022604732145670")</f>
        <v>https://twitter.com/paulospcx/status/1440022604732145670</v>
      </c>
      <c r="AA168" s="81"/>
      <c r="AB168" s="81"/>
      <c r="AC168" s="86" t="s">
        <v>6770</v>
      </c>
      <c r="AD168" s="81"/>
      <c r="AE168" s="81" t="b">
        <v>0</v>
      </c>
      <c r="AF168" s="81">
        <v>1</v>
      </c>
      <c r="AG168" s="86" t="s">
        <v>2084</v>
      </c>
      <c r="AH168" s="81" t="b">
        <v>0</v>
      </c>
      <c r="AI168" s="81" t="s">
        <v>2171</v>
      </c>
      <c r="AJ168" s="81"/>
      <c r="AK168" s="86" t="s">
        <v>2084</v>
      </c>
      <c r="AL168" s="81" t="b">
        <v>0</v>
      </c>
      <c r="AM168" s="81">
        <v>0</v>
      </c>
      <c r="AN168" s="86" t="s">
        <v>2084</v>
      </c>
      <c r="AO168" s="86" t="s">
        <v>2181</v>
      </c>
      <c r="AP168" s="81" t="b">
        <v>0</v>
      </c>
      <c r="AQ168" s="86" t="s">
        <v>6770</v>
      </c>
      <c r="AR168" s="81" t="s">
        <v>179</v>
      </c>
      <c r="AS168" s="81">
        <v>0</v>
      </c>
      <c r="AT168" s="81">
        <v>0</v>
      </c>
      <c r="AU168" s="81"/>
      <c r="AV168" s="81"/>
      <c r="AW168" s="81"/>
      <c r="AX168" s="81"/>
      <c r="AY168" s="81"/>
      <c r="AZ168" s="81"/>
      <c r="BA168" s="81"/>
      <c r="BB168" s="81"/>
    </row>
    <row r="169" spans="1:54" x14ac:dyDescent="0.35">
      <c r="A169" s="66" t="s">
        <v>4246</v>
      </c>
      <c r="B169" s="66" t="s">
        <v>4245</v>
      </c>
      <c r="C169" s="67"/>
      <c r="D169" s="68"/>
      <c r="E169" s="69"/>
      <c r="F169" s="70"/>
      <c r="G169" s="67"/>
      <c r="H169" s="71"/>
      <c r="I169" s="72"/>
      <c r="J169" s="72"/>
      <c r="K169" s="36"/>
      <c r="L169" s="79"/>
      <c r="M169" s="79"/>
      <c r="N169" s="74"/>
      <c r="O169" s="81" t="s">
        <v>693</v>
      </c>
      <c r="P169" s="83">
        <v>44460.410405092596</v>
      </c>
      <c r="Q169" s="81" t="s">
        <v>5292</v>
      </c>
      <c r="R169" s="81"/>
      <c r="S169" s="81"/>
      <c r="T169" s="81"/>
      <c r="U169" s="81"/>
      <c r="V169" s="84" t="str">
        <f>HYPERLINK("https://pbs.twimg.com/profile_images/1437546457167540224/kQjIbIPy_normal.jpg")</f>
        <v>https://pbs.twimg.com/profile_images/1437546457167540224/kQjIbIPy_normal.jpg</v>
      </c>
      <c r="W169" s="83">
        <v>44460.410405092596</v>
      </c>
      <c r="X169" s="89">
        <v>44460</v>
      </c>
      <c r="Y169" s="86" t="s">
        <v>5868</v>
      </c>
      <c r="Z169" s="84" t="str">
        <f>HYPERLINK("https://twitter.com/normacastro2005/status/1440252207895482369")</f>
        <v>https://twitter.com/normacastro2005/status/1440252207895482369</v>
      </c>
      <c r="AA169" s="81"/>
      <c r="AB169" s="81"/>
      <c r="AC169" s="86" t="s">
        <v>6769</v>
      </c>
      <c r="AD169" s="81"/>
      <c r="AE169" s="81" t="b">
        <v>0</v>
      </c>
      <c r="AF169" s="81">
        <v>0</v>
      </c>
      <c r="AG169" s="86" t="s">
        <v>2084</v>
      </c>
      <c r="AH169" s="81" t="b">
        <v>0</v>
      </c>
      <c r="AI169" s="81" t="s">
        <v>2171</v>
      </c>
      <c r="AJ169" s="81"/>
      <c r="AK169" s="86" t="s">
        <v>2084</v>
      </c>
      <c r="AL169" s="81" t="b">
        <v>0</v>
      </c>
      <c r="AM169" s="81">
        <v>6</v>
      </c>
      <c r="AN169" s="86" t="s">
        <v>6768</v>
      </c>
      <c r="AO169" s="86" t="s">
        <v>2178</v>
      </c>
      <c r="AP169" s="81" t="b">
        <v>0</v>
      </c>
      <c r="AQ169" s="86" t="s">
        <v>6768</v>
      </c>
      <c r="AR169" s="81" t="s">
        <v>179</v>
      </c>
      <c r="AS169" s="81">
        <v>0</v>
      </c>
      <c r="AT169" s="81">
        <v>0</v>
      </c>
      <c r="AU169" s="81"/>
      <c r="AV169" s="81"/>
      <c r="AW169" s="81"/>
      <c r="AX169" s="81"/>
      <c r="AY169" s="81"/>
      <c r="AZ169" s="81"/>
      <c r="BA169" s="81"/>
      <c r="BB169" s="81"/>
    </row>
    <row r="170" spans="1:54" x14ac:dyDescent="0.35">
      <c r="A170" s="66" t="s">
        <v>4246</v>
      </c>
      <c r="B170" s="66" t="s">
        <v>4990</v>
      </c>
      <c r="C170" s="67"/>
      <c r="D170" s="68"/>
      <c r="E170" s="69"/>
      <c r="F170" s="70"/>
      <c r="G170" s="67"/>
      <c r="H170" s="71"/>
      <c r="I170" s="72"/>
      <c r="J170" s="72"/>
      <c r="K170" s="36"/>
      <c r="L170" s="79"/>
      <c r="M170" s="79"/>
      <c r="N170" s="74"/>
      <c r="O170" s="81" t="s">
        <v>695</v>
      </c>
      <c r="P170" s="83">
        <v>44460.410405092596</v>
      </c>
      <c r="Q170" s="81" t="s">
        <v>5292</v>
      </c>
      <c r="R170" s="81"/>
      <c r="S170" s="81"/>
      <c r="T170" s="81"/>
      <c r="U170" s="81"/>
      <c r="V170" s="84" t="str">
        <f>HYPERLINK("https://pbs.twimg.com/profile_images/1437546457167540224/kQjIbIPy_normal.jpg")</f>
        <v>https://pbs.twimg.com/profile_images/1437546457167540224/kQjIbIPy_normal.jpg</v>
      </c>
      <c r="W170" s="83">
        <v>44460.410405092596</v>
      </c>
      <c r="X170" s="89">
        <v>44460</v>
      </c>
      <c r="Y170" s="86" t="s">
        <v>5868</v>
      </c>
      <c r="Z170" s="84" t="str">
        <f>HYPERLINK("https://twitter.com/normacastro2005/status/1440252207895482369")</f>
        <v>https://twitter.com/normacastro2005/status/1440252207895482369</v>
      </c>
      <c r="AA170" s="81"/>
      <c r="AB170" s="81"/>
      <c r="AC170" s="86" t="s">
        <v>6769</v>
      </c>
      <c r="AD170" s="81"/>
      <c r="AE170" s="81" t="b">
        <v>0</v>
      </c>
      <c r="AF170" s="81">
        <v>0</v>
      </c>
      <c r="AG170" s="86" t="s">
        <v>2084</v>
      </c>
      <c r="AH170" s="81" t="b">
        <v>0</v>
      </c>
      <c r="AI170" s="81" t="s">
        <v>2171</v>
      </c>
      <c r="AJ170" s="81"/>
      <c r="AK170" s="86" t="s">
        <v>2084</v>
      </c>
      <c r="AL170" s="81" t="b">
        <v>0</v>
      </c>
      <c r="AM170" s="81">
        <v>6</v>
      </c>
      <c r="AN170" s="86" t="s">
        <v>6768</v>
      </c>
      <c r="AO170" s="86" t="s">
        <v>2178</v>
      </c>
      <c r="AP170" s="81" t="b">
        <v>0</v>
      </c>
      <c r="AQ170" s="86" t="s">
        <v>6768</v>
      </c>
      <c r="AR170" s="81" t="s">
        <v>179</v>
      </c>
      <c r="AS170" s="81">
        <v>0</v>
      </c>
      <c r="AT170" s="81">
        <v>0</v>
      </c>
      <c r="AU170" s="81"/>
      <c r="AV170" s="81"/>
      <c r="AW170" s="81"/>
      <c r="AX170" s="81"/>
      <c r="AY170" s="81"/>
      <c r="AZ170" s="81"/>
      <c r="BA170" s="81"/>
      <c r="BB170" s="81"/>
    </row>
    <row r="171" spans="1:54" x14ac:dyDescent="0.35">
      <c r="A171" s="66" t="s">
        <v>272</v>
      </c>
      <c r="B171" s="66" t="s">
        <v>602</v>
      </c>
      <c r="C171" s="67"/>
      <c r="D171" s="68"/>
      <c r="E171" s="69"/>
      <c r="F171" s="70"/>
      <c r="G171" s="67"/>
      <c r="H171" s="71"/>
      <c r="I171" s="72"/>
      <c r="J171" s="72"/>
      <c r="K171" s="36"/>
      <c r="L171" s="79"/>
      <c r="M171" s="79"/>
      <c r="N171" s="74"/>
      <c r="O171" s="81" t="s">
        <v>696</v>
      </c>
      <c r="P171" s="83">
        <v>44455.096180555556</v>
      </c>
      <c r="Q171" s="81" t="s">
        <v>697</v>
      </c>
      <c r="R171" s="81"/>
      <c r="S171" s="81"/>
      <c r="T171" s="86" t="s">
        <v>971</v>
      </c>
      <c r="U171" s="84" t="str">
        <f>HYPERLINK("https://pbs.twimg.com/media/E_X1zlwVIAES6Ks.jpg")</f>
        <v>https://pbs.twimg.com/media/E_X1zlwVIAES6Ks.jpg</v>
      </c>
      <c r="V171" s="84" t="str">
        <f>HYPERLINK("https://pbs.twimg.com/media/E_X1zlwVIAES6Ks.jpg")</f>
        <v>https://pbs.twimg.com/media/E_X1zlwVIAES6Ks.jpg</v>
      </c>
      <c r="W171" s="83">
        <v>44455.096180555556</v>
      </c>
      <c r="X171" s="89">
        <v>44455</v>
      </c>
      <c r="Y171" s="86" t="s">
        <v>1069</v>
      </c>
      <c r="Z171" s="84" t="str">
        <f>HYPERLINK("https://twitter.com/madelin252/status/1438326397290758144")</f>
        <v>https://twitter.com/madelin252/status/1438326397290758144</v>
      </c>
      <c r="AA171" s="81"/>
      <c r="AB171" s="81"/>
      <c r="AC171" s="86" t="s">
        <v>1569</v>
      </c>
      <c r="AD171" s="81"/>
      <c r="AE171" s="81" t="b">
        <v>0</v>
      </c>
      <c r="AF171" s="81">
        <v>188</v>
      </c>
      <c r="AG171" s="86" t="s">
        <v>2084</v>
      </c>
      <c r="AH171" s="81" t="b">
        <v>0</v>
      </c>
      <c r="AI171" s="81" t="s">
        <v>2167</v>
      </c>
      <c r="AJ171" s="81"/>
      <c r="AK171" s="86" t="s">
        <v>2084</v>
      </c>
      <c r="AL171" s="81" t="b">
        <v>0</v>
      </c>
      <c r="AM171" s="81">
        <v>57</v>
      </c>
      <c r="AN171" s="86" t="s">
        <v>2084</v>
      </c>
      <c r="AO171" s="86" t="s">
        <v>2181</v>
      </c>
      <c r="AP171" s="81" t="b">
        <v>0</v>
      </c>
      <c r="AQ171" s="86" t="s">
        <v>1569</v>
      </c>
      <c r="AR171" s="81" t="s">
        <v>693</v>
      </c>
      <c r="AS171" s="81">
        <v>0</v>
      </c>
      <c r="AT171" s="81">
        <v>0</v>
      </c>
      <c r="AU171" s="81"/>
      <c r="AV171" s="81"/>
      <c r="AW171" s="81"/>
      <c r="AX171" s="81"/>
      <c r="AY171" s="81"/>
      <c r="AZ171" s="81"/>
      <c r="BA171" s="81"/>
      <c r="BB171" s="81"/>
    </row>
    <row r="172" spans="1:54" x14ac:dyDescent="0.35">
      <c r="A172" s="66" t="s">
        <v>273</v>
      </c>
      <c r="B172" s="66" t="s">
        <v>272</v>
      </c>
      <c r="C172" s="67"/>
      <c r="D172" s="68"/>
      <c r="E172" s="69"/>
      <c r="F172" s="70"/>
      <c r="G172" s="67"/>
      <c r="H172" s="71"/>
      <c r="I172" s="72"/>
      <c r="J172" s="72"/>
      <c r="K172" s="36"/>
      <c r="L172" s="79"/>
      <c r="M172" s="79"/>
      <c r="N172" s="74"/>
      <c r="O172" s="81" t="s">
        <v>693</v>
      </c>
      <c r="P172" s="83">
        <v>44460.436863425923</v>
      </c>
      <c r="Q172" s="81" t="s">
        <v>697</v>
      </c>
      <c r="R172" s="81"/>
      <c r="S172" s="81"/>
      <c r="T172" s="86" t="s">
        <v>971</v>
      </c>
      <c r="U172" s="84" t="str">
        <f>HYPERLINK("https://pbs.twimg.com/media/E_X1zlwVIAES6Ks.jpg")</f>
        <v>https://pbs.twimg.com/media/E_X1zlwVIAES6Ks.jpg</v>
      </c>
      <c r="V172" s="84" t="str">
        <f>HYPERLINK("https://pbs.twimg.com/media/E_X1zlwVIAES6Ks.jpg")</f>
        <v>https://pbs.twimg.com/media/E_X1zlwVIAES6Ks.jpg</v>
      </c>
      <c r="W172" s="83">
        <v>44460.436863425923</v>
      </c>
      <c r="X172" s="89">
        <v>44460</v>
      </c>
      <c r="Y172" s="86" t="s">
        <v>1070</v>
      </c>
      <c r="Z172" s="84" t="str">
        <f>HYPERLINK("https://twitter.com/bagheli1plus/status/1440261793650118656")</f>
        <v>https://twitter.com/bagheli1plus/status/1440261793650118656</v>
      </c>
      <c r="AA172" s="81"/>
      <c r="AB172" s="81"/>
      <c r="AC172" s="86" t="s">
        <v>1570</v>
      </c>
      <c r="AD172" s="81"/>
      <c r="AE172" s="81" t="b">
        <v>0</v>
      </c>
      <c r="AF172" s="81">
        <v>0</v>
      </c>
      <c r="AG172" s="86" t="s">
        <v>2084</v>
      </c>
      <c r="AH172" s="81" t="b">
        <v>0</v>
      </c>
      <c r="AI172" s="81" t="s">
        <v>2167</v>
      </c>
      <c r="AJ172" s="81"/>
      <c r="AK172" s="86" t="s">
        <v>2084</v>
      </c>
      <c r="AL172" s="81" t="b">
        <v>0</v>
      </c>
      <c r="AM172" s="81">
        <v>57</v>
      </c>
      <c r="AN172" s="86" t="s">
        <v>1569</v>
      </c>
      <c r="AO172" s="86" t="s">
        <v>2181</v>
      </c>
      <c r="AP172" s="81" t="b">
        <v>0</v>
      </c>
      <c r="AQ172" s="86" t="s">
        <v>1569</v>
      </c>
      <c r="AR172" s="81" t="s">
        <v>179</v>
      </c>
      <c r="AS172" s="81">
        <v>0</v>
      </c>
      <c r="AT172" s="81">
        <v>0</v>
      </c>
      <c r="AU172" s="81"/>
      <c r="AV172" s="81"/>
      <c r="AW172" s="81"/>
      <c r="AX172" s="81"/>
      <c r="AY172" s="81"/>
      <c r="AZ172" s="81"/>
      <c r="BA172" s="81"/>
      <c r="BB172" s="81"/>
    </row>
    <row r="173" spans="1:54" x14ac:dyDescent="0.35">
      <c r="A173" s="66" t="s">
        <v>273</v>
      </c>
      <c r="B173" s="66" t="s">
        <v>602</v>
      </c>
      <c r="C173" s="67"/>
      <c r="D173" s="68"/>
      <c r="E173" s="69"/>
      <c r="F173" s="70"/>
      <c r="G173" s="67"/>
      <c r="H173" s="71"/>
      <c r="I173" s="72"/>
      <c r="J173" s="72"/>
      <c r="K173" s="36"/>
      <c r="L173" s="79"/>
      <c r="M173" s="79"/>
      <c r="N173" s="74"/>
      <c r="O173" s="81" t="s">
        <v>694</v>
      </c>
      <c r="P173" s="83">
        <v>44460.436863425923</v>
      </c>
      <c r="Q173" s="81" t="s">
        <v>697</v>
      </c>
      <c r="R173" s="81"/>
      <c r="S173" s="81"/>
      <c r="T173" s="86" t="s">
        <v>971</v>
      </c>
      <c r="U173" s="84" t="str">
        <f>HYPERLINK("https://pbs.twimg.com/media/E_X1zlwVIAES6Ks.jpg")</f>
        <v>https://pbs.twimg.com/media/E_X1zlwVIAES6Ks.jpg</v>
      </c>
      <c r="V173" s="84" t="str">
        <f>HYPERLINK("https://pbs.twimg.com/media/E_X1zlwVIAES6Ks.jpg")</f>
        <v>https://pbs.twimg.com/media/E_X1zlwVIAES6Ks.jpg</v>
      </c>
      <c r="W173" s="83">
        <v>44460.436863425923</v>
      </c>
      <c r="X173" s="89">
        <v>44460</v>
      </c>
      <c r="Y173" s="86" t="s">
        <v>1070</v>
      </c>
      <c r="Z173" s="84" t="str">
        <f>HYPERLINK("https://twitter.com/bagheli1plus/status/1440261793650118656")</f>
        <v>https://twitter.com/bagheli1plus/status/1440261793650118656</v>
      </c>
      <c r="AA173" s="81"/>
      <c r="AB173" s="81"/>
      <c r="AC173" s="86" t="s">
        <v>1570</v>
      </c>
      <c r="AD173" s="81"/>
      <c r="AE173" s="81" t="b">
        <v>0</v>
      </c>
      <c r="AF173" s="81">
        <v>0</v>
      </c>
      <c r="AG173" s="86" t="s">
        <v>2084</v>
      </c>
      <c r="AH173" s="81" t="b">
        <v>0</v>
      </c>
      <c r="AI173" s="81" t="s">
        <v>2167</v>
      </c>
      <c r="AJ173" s="81"/>
      <c r="AK173" s="86" t="s">
        <v>2084</v>
      </c>
      <c r="AL173" s="81" t="b">
        <v>0</v>
      </c>
      <c r="AM173" s="81">
        <v>57</v>
      </c>
      <c r="AN173" s="86" t="s">
        <v>1569</v>
      </c>
      <c r="AO173" s="86" t="s">
        <v>2181</v>
      </c>
      <c r="AP173" s="81" t="b">
        <v>0</v>
      </c>
      <c r="AQ173" s="86" t="s">
        <v>1569</v>
      </c>
      <c r="AR173" s="81" t="s">
        <v>179</v>
      </c>
      <c r="AS173" s="81">
        <v>0</v>
      </c>
      <c r="AT173" s="81">
        <v>0</v>
      </c>
      <c r="AU173" s="81"/>
      <c r="AV173" s="81"/>
      <c r="AW173" s="81"/>
      <c r="AX173" s="81"/>
      <c r="AY173" s="81"/>
      <c r="AZ173" s="81"/>
      <c r="BA173" s="81"/>
      <c r="BB173" s="81"/>
    </row>
    <row r="174" spans="1:54" x14ac:dyDescent="0.35">
      <c r="A174" s="66" t="s">
        <v>4247</v>
      </c>
      <c r="B174" s="66" t="s">
        <v>4247</v>
      </c>
      <c r="C174" s="67"/>
      <c r="D174" s="68"/>
      <c r="E174" s="69"/>
      <c r="F174" s="70"/>
      <c r="G174" s="67"/>
      <c r="H174" s="71"/>
      <c r="I174" s="72"/>
      <c r="J174" s="72"/>
      <c r="K174" s="36"/>
      <c r="L174" s="79"/>
      <c r="M174" s="79"/>
      <c r="N174" s="74"/>
      <c r="O174" s="81" t="s">
        <v>179</v>
      </c>
      <c r="P174" s="83">
        <v>44460.437696759262</v>
      </c>
      <c r="Q174" s="81" t="s">
        <v>5302</v>
      </c>
      <c r="R174" s="84" t="str">
        <f>HYPERLINK("https://altamont.pt/the-strokes-is-this-it-2001/")</f>
        <v>https://altamont.pt/the-strokes-is-this-it-2001/</v>
      </c>
      <c r="S174" s="81" t="s">
        <v>5698</v>
      </c>
      <c r="T174" s="81"/>
      <c r="U174" s="81"/>
      <c r="V174" s="84" t="str">
        <f>HYPERLINK("https://pbs.twimg.com/profile_images/3384135446/5f011282afbc8b04b59443580a7bf61a_normal.jpeg")</f>
        <v>https://pbs.twimg.com/profile_images/3384135446/5f011282afbc8b04b59443580a7bf61a_normal.jpeg</v>
      </c>
      <c r="W174" s="83">
        <v>44460.437696759262</v>
      </c>
      <c r="X174" s="89">
        <v>44460</v>
      </c>
      <c r="Y174" s="86" t="s">
        <v>5870</v>
      </c>
      <c r="Z174" s="84" t="str">
        <f>HYPERLINK("https://twitter.com/teamaltamont/status/1440262099653955589")</f>
        <v>https://twitter.com/teamaltamont/status/1440262099653955589</v>
      </c>
      <c r="AA174" s="81"/>
      <c r="AB174" s="81"/>
      <c r="AC174" s="86" t="s">
        <v>6771</v>
      </c>
      <c r="AD174" s="81"/>
      <c r="AE174" s="81" t="b">
        <v>0</v>
      </c>
      <c r="AF174" s="81">
        <v>2</v>
      </c>
      <c r="AG174" s="86" t="s">
        <v>2084</v>
      </c>
      <c r="AH174" s="81" t="b">
        <v>0</v>
      </c>
      <c r="AI174" s="81" t="s">
        <v>2171</v>
      </c>
      <c r="AJ174" s="81"/>
      <c r="AK174" s="86" t="s">
        <v>2084</v>
      </c>
      <c r="AL174" s="81" t="b">
        <v>0</v>
      </c>
      <c r="AM174" s="81">
        <v>0</v>
      </c>
      <c r="AN174" s="86" t="s">
        <v>2084</v>
      </c>
      <c r="AO174" s="86" t="s">
        <v>2195</v>
      </c>
      <c r="AP174" s="81" t="b">
        <v>0</v>
      </c>
      <c r="AQ174" s="86" t="s">
        <v>6771</v>
      </c>
      <c r="AR174" s="81" t="s">
        <v>179</v>
      </c>
      <c r="AS174" s="81">
        <v>0</v>
      </c>
      <c r="AT174" s="81">
        <v>0</v>
      </c>
      <c r="AU174" s="81"/>
      <c r="AV174" s="81"/>
      <c r="AW174" s="81"/>
      <c r="AX174" s="81"/>
      <c r="AY174" s="81"/>
      <c r="AZ174" s="81"/>
      <c r="BA174" s="81"/>
      <c r="BB174" s="81"/>
    </row>
    <row r="175" spans="1:54" x14ac:dyDescent="0.35">
      <c r="A175" s="66" t="s">
        <v>4248</v>
      </c>
      <c r="B175" s="66" t="s">
        <v>4939</v>
      </c>
      <c r="C175" s="67"/>
      <c r="D175" s="68"/>
      <c r="E175" s="69"/>
      <c r="F175" s="70"/>
      <c r="G175" s="67"/>
      <c r="H175" s="71"/>
      <c r="I175" s="72"/>
      <c r="J175" s="72"/>
      <c r="K175" s="36"/>
      <c r="L175" s="79"/>
      <c r="M175" s="79"/>
      <c r="N175" s="74"/>
      <c r="O175" s="81" t="s">
        <v>693</v>
      </c>
      <c r="P175" s="83">
        <v>44460.44840277778</v>
      </c>
      <c r="Q175" s="81" t="s">
        <v>5282</v>
      </c>
      <c r="R175"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175" s="81" t="s">
        <v>5696</v>
      </c>
      <c r="T175" s="81"/>
      <c r="U175" s="84" t="str">
        <f>HYPERLINK("https://pbs.twimg.com/media/E_vHfERXoA8GltO.jpg")</f>
        <v>https://pbs.twimg.com/media/E_vHfERXoA8GltO.jpg</v>
      </c>
      <c r="V175" s="84" t="str">
        <f>HYPERLINK("https://pbs.twimg.com/media/E_vHfERXoA8GltO.jpg")</f>
        <v>https://pbs.twimg.com/media/E_vHfERXoA8GltO.jpg</v>
      </c>
      <c r="W175" s="83">
        <v>44460.44840277778</v>
      </c>
      <c r="X175" s="89">
        <v>44460</v>
      </c>
      <c r="Y175" s="86" t="s">
        <v>5871</v>
      </c>
      <c r="Z175" s="84" t="str">
        <f>HYPERLINK("https://twitter.com/mllemenezes/status/1440265976184926211")</f>
        <v>https://twitter.com/mllemenezes/status/1440265976184926211</v>
      </c>
      <c r="AA175" s="81"/>
      <c r="AB175" s="81"/>
      <c r="AC175" s="86" t="s">
        <v>6772</v>
      </c>
      <c r="AD175" s="81"/>
      <c r="AE175" s="81" t="b">
        <v>0</v>
      </c>
      <c r="AF175" s="81">
        <v>0</v>
      </c>
      <c r="AG175" s="86" t="s">
        <v>2084</v>
      </c>
      <c r="AH175" s="81" t="b">
        <v>0</v>
      </c>
      <c r="AI175" s="81" t="s">
        <v>2171</v>
      </c>
      <c r="AJ175" s="81"/>
      <c r="AK175" s="86" t="s">
        <v>2084</v>
      </c>
      <c r="AL175" s="81" t="b">
        <v>0</v>
      </c>
      <c r="AM175" s="81">
        <v>16</v>
      </c>
      <c r="AN175" s="86" t="s">
        <v>7535</v>
      </c>
      <c r="AO175" s="86" t="s">
        <v>2179</v>
      </c>
      <c r="AP175" s="81" t="b">
        <v>0</v>
      </c>
      <c r="AQ175" s="86" t="s">
        <v>7535</v>
      </c>
      <c r="AR175" s="81" t="s">
        <v>179</v>
      </c>
      <c r="AS175" s="81">
        <v>0</v>
      </c>
      <c r="AT175" s="81">
        <v>0</v>
      </c>
      <c r="AU175" s="81"/>
      <c r="AV175" s="81"/>
      <c r="AW175" s="81"/>
      <c r="AX175" s="81"/>
      <c r="AY175" s="81"/>
      <c r="AZ175" s="81"/>
      <c r="BA175" s="81"/>
      <c r="BB175" s="81"/>
    </row>
    <row r="176" spans="1:54" x14ac:dyDescent="0.35">
      <c r="A176" s="66" t="s">
        <v>274</v>
      </c>
      <c r="B176" s="66" t="s">
        <v>617</v>
      </c>
      <c r="C176" s="67"/>
      <c r="D176" s="68"/>
      <c r="E176" s="69"/>
      <c r="F176" s="70"/>
      <c r="G176" s="67"/>
      <c r="H176" s="71"/>
      <c r="I176" s="72"/>
      <c r="J176" s="72"/>
      <c r="K176" s="36"/>
      <c r="L176" s="79"/>
      <c r="M176" s="79"/>
      <c r="N176" s="74"/>
      <c r="O176" s="81" t="s">
        <v>695</v>
      </c>
      <c r="P176" s="83">
        <v>44460.453310185185</v>
      </c>
      <c r="Q176" s="81" t="s">
        <v>722</v>
      </c>
      <c r="R176" s="81"/>
      <c r="S176" s="81"/>
      <c r="T176" s="81"/>
      <c r="U176" s="81"/>
      <c r="V176" s="84" t="str">
        <f>HYPERLINK("https://pbs.twimg.com/profile_images/1191707766848512002/-GjAs2NV_normal.jpg")</f>
        <v>https://pbs.twimg.com/profile_images/1191707766848512002/-GjAs2NV_normal.jpg</v>
      </c>
      <c r="W176" s="83">
        <v>44460.453310185185</v>
      </c>
      <c r="X176" s="89">
        <v>44460</v>
      </c>
      <c r="Y176" s="86" t="s">
        <v>1071</v>
      </c>
      <c r="Z176" s="84" t="str">
        <f>HYPERLINK("https://twitter.com/anaknda_/status/1440267756474040329")</f>
        <v>https://twitter.com/anaknda_/status/1440267756474040329</v>
      </c>
      <c r="AA176" s="81"/>
      <c r="AB176" s="81"/>
      <c r="AC176" s="86" t="s">
        <v>1571</v>
      </c>
      <c r="AD176" s="86" t="s">
        <v>2015</v>
      </c>
      <c r="AE176" s="81" t="b">
        <v>0</v>
      </c>
      <c r="AF176" s="81">
        <v>0</v>
      </c>
      <c r="AG176" s="86" t="s">
        <v>2095</v>
      </c>
      <c r="AH176" s="81" t="b">
        <v>0</v>
      </c>
      <c r="AI176" s="81" t="s">
        <v>2167</v>
      </c>
      <c r="AJ176" s="81"/>
      <c r="AK176" s="86" t="s">
        <v>2084</v>
      </c>
      <c r="AL176" s="81" t="b">
        <v>0</v>
      </c>
      <c r="AM176" s="81">
        <v>0</v>
      </c>
      <c r="AN176" s="86" t="s">
        <v>2084</v>
      </c>
      <c r="AO176" s="86" t="s">
        <v>2178</v>
      </c>
      <c r="AP176" s="81" t="b">
        <v>0</v>
      </c>
      <c r="AQ176" s="86" t="s">
        <v>2015</v>
      </c>
      <c r="AR176" s="81" t="s">
        <v>179</v>
      </c>
      <c r="AS176" s="81">
        <v>0</v>
      </c>
      <c r="AT176" s="81">
        <v>0</v>
      </c>
      <c r="AU176" s="81"/>
      <c r="AV176" s="81"/>
      <c r="AW176" s="81"/>
      <c r="AX176" s="81"/>
      <c r="AY176" s="81"/>
      <c r="AZ176" s="81"/>
      <c r="BA176" s="81"/>
      <c r="BB176" s="81"/>
    </row>
    <row r="177" spans="1:54" x14ac:dyDescent="0.35">
      <c r="A177" s="66" t="s">
        <v>4249</v>
      </c>
      <c r="B177" s="66" t="s">
        <v>4939</v>
      </c>
      <c r="C177" s="67"/>
      <c r="D177" s="68"/>
      <c r="E177" s="69"/>
      <c r="F177" s="70"/>
      <c r="G177" s="67"/>
      <c r="H177" s="71"/>
      <c r="I177" s="72"/>
      <c r="J177" s="72"/>
      <c r="K177" s="36"/>
      <c r="L177" s="79"/>
      <c r="M177" s="79"/>
      <c r="N177" s="74"/>
      <c r="O177" s="81" t="s">
        <v>693</v>
      </c>
      <c r="P177" s="83">
        <v>44460.458368055559</v>
      </c>
      <c r="Q177" s="81" t="s">
        <v>5282</v>
      </c>
      <c r="R177"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177" s="81" t="s">
        <v>5696</v>
      </c>
      <c r="T177" s="81"/>
      <c r="U177" s="84" t="str">
        <f>HYPERLINK("https://pbs.twimg.com/media/E_vHfERXoA8GltO.jpg")</f>
        <v>https://pbs.twimg.com/media/E_vHfERXoA8GltO.jpg</v>
      </c>
      <c r="V177" s="84" t="str">
        <f>HYPERLINK("https://pbs.twimg.com/media/E_vHfERXoA8GltO.jpg")</f>
        <v>https://pbs.twimg.com/media/E_vHfERXoA8GltO.jpg</v>
      </c>
      <c r="W177" s="83">
        <v>44460.458368055559</v>
      </c>
      <c r="X177" s="89">
        <v>44460</v>
      </c>
      <c r="Y177" s="86" t="s">
        <v>5872</v>
      </c>
      <c r="Z177" s="84" t="str">
        <f>HYPERLINK("https://twitter.com/euqueropublicar/status/1440269590378864646")</f>
        <v>https://twitter.com/euqueropublicar/status/1440269590378864646</v>
      </c>
      <c r="AA177" s="81"/>
      <c r="AB177" s="81"/>
      <c r="AC177" s="86" t="s">
        <v>6773</v>
      </c>
      <c r="AD177" s="81"/>
      <c r="AE177" s="81" t="b">
        <v>0</v>
      </c>
      <c r="AF177" s="81">
        <v>0</v>
      </c>
      <c r="AG177" s="86" t="s">
        <v>2084</v>
      </c>
      <c r="AH177" s="81" t="b">
        <v>0</v>
      </c>
      <c r="AI177" s="81" t="s">
        <v>2171</v>
      </c>
      <c r="AJ177" s="81"/>
      <c r="AK177" s="86" t="s">
        <v>2084</v>
      </c>
      <c r="AL177" s="81" t="b">
        <v>0</v>
      </c>
      <c r="AM177" s="81">
        <v>16</v>
      </c>
      <c r="AN177" s="86" t="s">
        <v>7535</v>
      </c>
      <c r="AO177" s="86" t="s">
        <v>2181</v>
      </c>
      <c r="AP177" s="81" t="b">
        <v>0</v>
      </c>
      <c r="AQ177" s="86" t="s">
        <v>7535</v>
      </c>
      <c r="AR177" s="81" t="s">
        <v>179</v>
      </c>
      <c r="AS177" s="81">
        <v>0</v>
      </c>
      <c r="AT177" s="81">
        <v>0</v>
      </c>
      <c r="AU177" s="81"/>
      <c r="AV177" s="81"/>
      <c r="AW177" s="81"/>
      <c r="AX177" s="81"/>
      <c r="AY177" s="81"/>
      <c r="AZ177" s="81"/>
      <c r="BA177" s="81"/>
      <c r="BB177" s="81"/>
    </row>
    <row r="178" spans="1:54" x14ac:dyDescent="0.35">
      <c r="A178" s="66" t="s">
        <v>275</v>
      </c>
      <c r="B178" s="66" t="s">
        <v>619</v>
      </c>
      <c r="C178" s="67"/>
      <c r="D178" s="68"/>
      <c r="E178" s="69"/>
      <c r="F178" s="70"/>
      <c r="G178" s="67"/>
      <c r="H178" s="71"/>
      <c r="I178" s="72"/>
      <c r="J178" s="72"/>
      <c r="K178" s="36"/>
      <c r="L178" s="79"/>
      <c r="M178" s="79"/>
      <c r="N178" s="74"/>
      <c r="O178" s="81" t="s">
        <v>696</v>
      </c>
      <c r="P178" s="83">
        <v>44437.325810185182</v>
      </c>
      <c r="Q178" s="81" t="s">
        <v>723</v>
      </c>
      <c r="R178" s="81"/>
      <c r="S178" s="81"/>
      <c r="T178" s="86" t="s">
        <v>976</v>
      </c>
      <c r="U178" s="81" t="s">
        <v>1010</v>
      </c>
      <c r="V178" s="81" t="s">
        <v>1010</v>
      </c>
      <c r="W178" s="83">
        <v>44437.325810185182</v>
      </c>
      <c r="X178" s="89">
        <v>44437</v>
      </c>
      <c r="Y178" s="86" t="s">
        <v>1072</v>
      </c>
      <c r="Z178" s="84" t="str">
        <f>HYPERLINK("https://twitter.com/teeuhaa/status/1431886631997374465")</f>
        <v>https://twitter.com/teeuhaa/status/1431886631997374465</v>
      </c>
      <c r="AA178" s="81"/>
      <c r="AB178" s="81"/>
      <c r="AC178" s="86" t="s">
        <v>1572</v>
      </c>
      <c r="AD178" s="86" t="s">
        <v>2016</v>
      </c>
      <c r="AE178" s="81" t="b">
        <v>0</v>
      </c>
      <c r="AF178" s="81">
        <v>0</v>
      </c>
      <c r="AG178" s="86" t="s">
        <v>2097</v>
      </c>
      <c r="AH178" s="81" t="b">
        <v>0</v>
      </c>
      <c r="AI178" s="81" t="s">
        <v>2168</v>
      </c>
      <c r="AJ178" s="81"/>
      <c r="AK178" s="86" t="s">
        <v>2084</v>
      </c>
      <c r="AL178" s="81" t="b">
        <v>0</v>
      </c>
      <c r="AM178" s="81">
        <v>4</v>
      </c>
      <c r="AN178" s="86" t="s">
        <v>2084</v>
      </c>
      <c r="AO178" s="86" t="s">
        <v>2178</v>
      </c>
      <c r="AP178" s="81" t="b">
        <v>0</v>
      </c>
      <c r="AQ178" s="86" t="s">
        <v>2016</v>
      </c>
      <c r="AR178" s="81" t="s">
        <v>693</v>
      </c>
      <c r="AS178" s="81">
        <v>0</v>
      </c>
      <c r="AT178" s="81">
        <v>0</v>
      </c>
      <c r="AU178" s="81"/>
      <c r="AV178" s="81"/>
      <c r="AW178" s="81"/>
      <c r="AX178" s="81"/>
      <c r="AY178" s="81"/>
      <c r="AZ178" s="81"/>
      <c r="BA178" s="81"/>
      <c r="BB178" s="81"/>
    </row>
    <row r="179" spans="1:54" x14ac:dyDescent="0.35">
      <c r="A179" s="66" t="s">
        <v>275</v>
      </c>
      <c r="B179" s="66" t="s">
        <v>619</v>
      </c>
      <c r="C179" s="67"/>
      <c r="D179" s="68"/>
      <c r="E179" s="69"/>
      <c r="F179" s="70"/>
      <c r="G179" s="67"/>
      <c r="H179" s="71"/>
      <c r="I179" s="72"/>
      <c r="J179" s="72"/>
      <c r="K179" s="36"/>
      <c r="L179" s="79"/>
      <c r="M179" s="79"/>
      <c r="N179" s="74"/>
      <c r="O179" s="81" t="s">
        <v>694</v>
      </c>
      <c r="P179" s="83">
        <v>44460.470937500002</v>
      </c>
      <c r="Q179" s="81" t="s">
        <v>723</v>
      </c>
      <c r="R179" s="81"/>
      <c r="S179" s="81"/>
      <c r="T179" s="86" t="s">
        <v>976</v>
      </c>
      <c r="U179" s="81" t="s">
        <v>1010</v>
      </c>
      <c r="V179" s="81" t="s">
        <v>1010</v>
      </c>
      <c r="W179" s="83">
        <v>44460.470937500002</v>
      </c>
      <c r="X179" s="89">
        <v>44460</v>
      </c>
      <c r="Y179" s="86" t="s">
        <v>1073</v>
      </c>
      <c r="Z179" s="84" t="str">
        <f>HYPERLINK("https://twitter.com/teeuhaa/status/1440274142893281295")</f>
        <v>https://twitter.com/teeuhaa/status/1440274142893281295</v>
      </c>
      <c r="AA179" s="81"/>
      <c r="AB179" s="81"/>
      <c r="AC179" s="86" t="s">
        <v>1573</v>
      </c>
      <c r="AD179" s="81"/>
      <c r="AE179" s="81" t="b">
        <v>0</v>
      </c>
      <c r="AF179" s="81">
        <v>0</v>
      </c>
      <c r="AG179" s="86" t="s">
        <v>2084</v>
      </c>
      <c r="AH179" s="81" t="b">
        <v>0</v>
      </c>
      <c r="AI179" s="81" t="s">
        <v>2168</v>
      </c>
      <c r="AJ179" s="81"/>
      <c r="AK179" s="86" t="s">
        <v>2084</v>
      </c>
      <c r="AL179" s="81" t="b">
        <v>0</v>
      </c>
      <c r="AM179" s="81">
        <v>4</v>
      </c>
      <c r="AN179" s="86" t="s">
        <v>1572</v>
      </c>
      <c r="AO179" s="86" t="s">
        <v>2178</v>
      </c>
      <c r="AP179" s="81" t="b">
        <v>0</v>
      </c>
      <c r="AQ179" s="86" t="s">
        <v>1572</v>
      </c>
      <c r="AR179" s="81" t="s">
        <v>179</v>
      </c>
      <c r="AS179" s="81">
        <v>0</v>
      </c>
      <c r="AT179" s="81">
        <v>0</v>
      </c>
      <c r="AU179" s="81"/>
      <c r="AV179" s="81"/>
      <c r="AW179" s="81"/>
      <c r="AX179" s="81"/>
      <c r="AY179" s="81"/>
      <c r="AZ179" s="81"/>
      <c r="BA179" s="81"/>
      <c r="BB179" s="81"/>
    </row>
    <row r="180" spans="1:54" x14ac:dyDescent="0.35">
      <c r="A180" s="66" t="s">
        <v>275</v>
      </c>
      <c r="B180" s="66" t="s">
        <v>620</v>
      </c>
      <c r="C180" s="67"/>
      <c r="D180" s="68"/>
      <c r="E180" s="69"/>
      <c r="F180" s="70"/>
      <c r="G180" s="67"/>
      <c r="H180" s="71"/>
      <c r="I180" s="72"/>
      <c r="J180" s="72"/>
      <c r="K180" s="36"/>
      <c r="L180" s="79"/>
      <c r="M180" s="79"/>
      <c r="N180" s="74"/>
      <c r="O180" s="81" t="s">
        <v>696</v>
      </c>
      <c r="P180" s="83">
        <v>44437.325810185182</v>
      </c>
      <c r="Q180" s="81" t="s">
        <v>723</v>
      </c>
      <c r="R180" s="81"/>
      <c r="S180" s="81"/>
      <c r="T180" s="86" t="s">
        <v>976</v>
      </c>
      <c r="U180" s="81" t="s">
        <v>1010</v>
      </c>
      <c r="V180" s="81" t="s">
        <v>1010</v>
      </c>
      <c r="W180" s="83">
        <v>44437.325810185182</v>
      </c>
      <c r="X180" s="89">
        <v>44437</v>
      </c>
      <c r="Y180" s="86" t="s">
        <v>1072</v>
      </c>
      <c r="Z180" s="84" t="str">
        <f>HYPERLINK("https://twitter.com/teeuhaa/status/1431886631997374465")</f>
        <v>https://twitter.com/teeuhaa/status/1431886631997374465</v>
      </c>
      <c r="AA180" s="81"/>
      <c r="AB180" s="81"/>
      <c r="AC180" s="86" t="s">
        <v>1572</v>
      </c>
      <c r="AD180" s="86" t="s">
        <v>2016</v>
      </c>
      <c r="AE180" s="81" t="b">
        <v>0</v>
      </c>
      <c r="AF180" s="81">
        <v>0</v>
      </c>
      <c r="AG180" s="86" t="s">
        <v>2097</v>
      </c>
      <c r="AH180" s="81" t="b">
        <v>0</v>
      </c>
      <c r="AI180" s="81" t="s">
        <v>2168</v>
      </c>
      <c r="AJ180" s="81"/>
      <c r="AK180" s="86" t="s">
        <v>2084</v>
      </c>
      <c r="AL180" s="81" t="b">
        <v>0</v>
      </c>
      <c r="AM180" s="81">
        <v>4</v>
      </c>
      <c r="AN180" s="86" t="s">
        <v>2084</v>
      </c>
      <c r="AO180" s="86" t="s">
        <v>2178</v>
      </c>
      <c r="AP180" s="81" t="b">
        <v>0</v>
      </c>
      <c r="AQ180" s="86" t="s">
        <v>2016</v>
      </c>
      <c r="AR180" s="81" t="s">
        <v>693</v>
      </c>
      <c r="AS180" s="81">
        <v>0</v>
      </c>
      <c r="AT180" s="81">
        <v>0</v>
      </c>
      <c r="AU180" s="81"/>
      <c r="AV180" s="81"/>
      <c r="AW180" s="81"/>
      <c r="AX180" s="81"/>
      <c r="AY180" s="81"/>
      <c r="AZ180" s="81"/>
      <c r="BA180" s="81"/>
      <c r="BB180" s="81"/>
    </row>
    <row r="181" spans="1:54" x14ac:dyDescent="0.35">
      <c r="A181" s="66" t="s">
        <v>275</v>
      </c>
      <c r="B181" s="66" t="s">
        <v>620</v>
      </c>
      <c r="C181" s="67"/>
      <c r="D181" s="68"/>
      <c r="E181" s="69"/>
      <c r="F181" s="70"/>
      <c r="G181" s="67"/>
      <c r="H181" s="71"/>
      <c r="I181" s="72"/>
      <c r="J181" s="72"/>
      <c r="K181" s="36"/>
      <c r="L181" s="79"/>
      <c r="M181" s="79"/>
      <c r="N181" s="74"/>
      <c r="O181" s="81" t="s">
        <v>694</v>
      </c>
      <c r="P181" s="83">
        <v>44460.470937500002</v>
      </c>
      <c r="Q181" s="81" t="s">
        <v>723</v>
      </c>
      <c r="R181" s="81"/>
      <c r="S181" s="81"/>
      <c r="T181" s="86" t="s">
        <v>976</v>
      </c>
      <c r="U181" s="81" t="s">
        <v>1010</v>
      </c>
      <c r="V181" s="81" t="s">
        <v>1010</v>
      </c>
      <c r="W181" s="83">
        <v>44460.470937500002</v>
      </c>
      <c r="X181" s="89">
        <v>44460</v>
      </c>
      <c r="Y181" s="86" t="s">
        <v>1073</v>
      </c>
      <c r="Z181" s="84" t="str">
        <f>HYPERLINK("https://twitter.com/teeuhaa/status/1440274142893281295")</f>
        <v>https://twitter.com/teeuhaa/status/1440274142893281295</v>
      </c>
      <c r="AA181" s="81"/>
      <c r="AB181" s="81"/>
      <c r="AC181" s="86" t="s">
        <v>1573</v>
      </c>
      <c r="AD181" s="81"/>
      <c r="AE181" s="81" t="b">
        <v>0</v>
      </c>
      <c r="AF181" s="81">
        <v>0</v>
      </c>
      <c r="AG181" s="86" t="s">
        <v>2084</v>
      </c>
      <c r="AH181" s="81" t="b">
        <v>0</v>
      </c>
      <c r="AI181" s="81" t="s">
        <v>2168</v>
      </c>
      <c r="AJ181" s="81"/>
      <c r="AK181" s="86" t="s">
        <v>2084</v>
      </c>
      <c r="AL181" s="81" t="b">
        <v>0</v>
      </c>
      <c r="AM181" s="81">
        <v>4</v>
      </c>
      <c r="AN181" s="86" t="s">
        <v>1572</v>
      </c>
      <c r="AO181" s="86" t="s">
        <v>2178</v>
      </c>
      <c r="AP181" s="81" t="b">
        <v>0</v>
      </c>
      <c r="AQ181" s="86" t="s">
        <v>1572</v>
      </c>
      <c r="AR181" s="81" t="s">
        <v>179</v>
      </c>
      <c r="AS181" s="81">
        <v>0</v>
      </c>
      <c r="AT181" s="81">
        <v>0</v>
      </c>
      <c r="AU181" s="81"/>
      <c r="AV181" s="81"/>
      <c r="AW181" s="81"/>
      <c r="AX181" s="81"/>
      <c r="AY181" s="81"/>
      <c r="AZ181" s="81"/>
      <c r="BA181" s="81"/>
      <c r="BB181" s="81"/>
    </row>
    <row r="182" spans="1:54" x14ac:dyDescent="0.35">
      <c r="A182" s="66" t="s">
        <v>275</v>
      </c>
      <c r="B182" s="66" t="s">
        <v>621</v>
      </c>
      <c r="C182" s="67"/>
      <c r="D182" s="68"/>
      <c r="E182" s="69"/>
      <c r="F182" s="70"/>
      <c r="G182" s="67"/>
      <c r="H182" s="71"/>
      <c r="I182" s="72"/>
      <c r="J182" s="72"/>
      <c r="K182" s="36"/>
      <c r="L182" s="79"/>
      <c r="M182" s="79"/>
      <c r="N182" s="74"/>
      <c r="O182" s="81" t="s">
        <v>696</v>
      </c>
      <c r="P182" s="83">
        <v>44437.325810185182</v>
      </c>
      <c r="Q182" s="81" t="s">
        <v>723</v>
      </c>
      <c r="R182" s="81"/>
      <c r="S182" s="81"/>
      <c r="T182" s="86" t="s">
        <v>976</v>
      </c>
      <c r="U182" s="81" t="s">
        <v>1010</v>
      </c>
      <c r="V182" s="81" t="s">
        <v>1010</v>
      </c>
      <c r="W182" s="83">
        <v>44437.325810185182</v>
      </c>
      <c r="X182" s="89">
        <v>44437</v>
      </c>
      <c r="Y182" s="86" t="s">
        <v>1072</v>
      </c>
      <c r="Z182" s="84" t="str">
        <f>HYPERLINK("https://twitter.com/teeuhaa/status/1431886631997374465")</f>
        <v>https://twitter.com/teeuhaa/status/1431886631997374465</v>
      </c>
      <c r="AA182" s="81"/>
      <c r="AB182" s="81"/>
      <c r="AC182" s="86" t="s">
        <v>1572</v>
      </c>
      <c r="AD182" s="86" t="s">
        <v>2016</v>
      </c>
      <c r="AE182" s="81" t="b">
        <v>0</v>
      </c>
      <c r="AF182" s="81">
        <v>0</v>
      </c>
      <c r="AG182" s="86" t="s">
        <v>2097</v>
      </c>
      <c r="AH182" s="81" t="b">
        <v>0</v>
      </c>
      <c r="AI182" s="81" t="s">
        <v>2168</v>
      </c>
      <c r="AJ182" s="81"/>
      <c r="AK182" s="86" t="s">
        <v>2084</v>
      </c>
      <c r="AL182" s="81" t="b">
        <v>0</v>
      </c>
      <c r="AM182" s="81">
        <v>4</v>
      </c>
      <c r="AN182" s="86" t="s">
        <v>2084</v>
      </c>
      <c r="AO182" s="86" t="s">
        <v>2178</v>
      </c>
      <c r="AP182" s="81" t="b">
        <v>0</v>
      </c>
      <c r="AQ182" s="86" t="s">
        <v>2016</v>
      </c>
      <c r="AR182" s="81" t="s">
        <v>693</v>
      </c>
      <c r="AS182" s="81">
        <v>0</v>
      </c>
      <c r="AT182" s="81">
        <v>0</v>
      </c>
      <c r="AU182" s="81"/>
      <c r="AV182" s="81"/>
      <c r="AW182" s="81"/>
      <c r="AX182" s="81"/>
      <c r="AY182" s="81"/>
      <c r="AZ182" s="81"/>
      <c r="BA182" s="81"/>
      <c r="BB182" s="81"/>
    </row>
    <row r="183" spans="1:54" x14ac:dyDescent="0.35">
      <c r="A183" s="66" t="s">
        <v>275</v>
      </c>
      <c r="B183" s="66" t="s">
        <v>621</v>
      </c>
      <c r="C183" s="67"/>
      <c r="D183" s="68"/>
      <c r="E183" s="69"/>
      <c r="F183" s="70"/>
      <c r="G183" s="67"/>
      <c r="H183" s="71"/>
      <c r="I183" s="72"/>
      <c r="J183" s="72"/>
      <c r="K183" s="36"/>
      <c r="L183" s="79"/>
      <c r="M183" s="79"/>
      <c r="N183" s="74"/>
      <c r="O183" s="81" t="s">
        <v>694</v>
      </c>
      <c r="P183" s="83">
        <v>44460.470937500002</v>
      </c>
      <c r="Q183" s="81" t="s">
        <v>723</v>
      </c>
      <c r="R183" s="81"/>
      <c r="S183" s="81"/>
      <c r="T183" s="86" t="s">
        <v>976</v>
      </c>
      <c r="U183" s="81" t="s">
        <v>1010</v>
      </c>
      <c r="V183" s="81" t="s">
        <v>1010</v>
      </c>
      <c r="W183" s="83">
        <v>44460.470937500002</v>
      </c>
      <c r="X183" s="89">
        <v>44460</v>
      </c>
      <c r="Y183" s="86" t="s">
        <v>1073</v>
      </c>
      <c r="Z183" s="84" t="str">
        <f>HYPERLINK("https://twitter.com/teeuhaa/status/1440274142893281295")</f>
        <v>https://twitter.com/teeuhaa/status/1440274142893281295</v>
      </c>
      <c r="AA183" s="81"/>
      <c r="AB183" s="81"/>
      <c r="AC183" s="86" t="s">
        <v>1573</v>
      </c>
      <c r="AD183" s="81"/>
      <c r="AE183" s="81" t="b">
        <v>0</v>
      </c>
      <c r="AF183" s="81">
        <v>0</v>
      </c>
      <c r="AG183" s="86" t="s">
        <v>2084</v>
      </c>
      <c r="AH183" s="81" t="b">
        <v>0</v>
      </c>
      <c r="AI183" s="81" t="s">
        <v>2168</v>
      </c>
      <c r="AJ183" s="81"/>
      <c r="AK183" s="86" t="s">
        <v>2084</v>
      </c>
      <c r="AL183" s="81" t="b">
        <v>0</v>
      </c>
      <c r="AM183" s="81">
        <v>4</v>
      </c>
      <c r="AN183" s="86" t="s">
        <v>1572</v>
      </c>
      <c r="AO183" s="86" t="s">
        <v>2178</v>
      </c>
      <c r="AP183" s="81" t="b">
        <v>0</v>
      </c>
      <c r="AQ183" s="86" t="s">
        <v>1572</v>
      </c>
      <c r="AR183" s="81" t="s">
        <v>179</v>
      </c>
      <c r="AS183" s="81">
        <v>0</v>
      </c>
      <c r="AT183" s="81">
        <v>0</v>
      </c>
      <c r="AU183" s="81"/>
      <c r="AV183" s="81"/>
      <c r="AW183" s="81"/>
      <c r="AX183" s="81"/>
      <c r="AY183" s="81"/>
      <c r="AZ183" s="81"/>
      <c r="BA183" s="81"/>
      <c r="BB183" s="81"/>
    </row>
    <row r="184" spans="1:54" x14ac:dyDescent="0.35">
      <c r="A184" s="66" t="s">
        <v>275</v>
      </c>
      <c r="B184" s="66" t="s">
        <v>622</v>
      </c>
      <c r="C184" s="67"/>
      <c r="D184" s="68"/>
      <c r="E184" s="69"/>
      <c r="F184" s="70"/>
      <c r="G184" s="67"/>
      <c r="H184" s="71"/>
      <c r="I184" s="72"/>
      <c r="J184" s="72"/>
      <c r="K184" s="36"/>
      <c r="L184" s="79"/>
      <c r="M184" s="79"/>
      <c r="N184" s="74"/>
      <c r="O184" s="81" t="s">
        <v>696</v>
      </c>
      <c r="P184" s="83">
        <v>44437.325810185182</v>
      </c>
      <c r="Q184" s="81" t="s">
        <v>723</v>
      </c>
      <c r="R184" s="81"/>
      <c r="S184" s="81"/>
      <c r="T184" s="86" t="s">
        <v>976</v>
      </c>
      <c r="U184" s="81" t="s">
        <v>1010</v>
      </c>
      <c r="V184" s="81" t="s">
        <v>1010</v>
      </c>
      <c r="W184" s="83">
        <v>44437.325810185182</v>
      </c>
      <c r="X184" s="89">
        <v>44437</v>
      </c>
      <c r="Y184" s="86" t="s">
        <v>1072</v>
      </c>
      <c r="Z184" s="84" t="str">
        <f>HYPERLINK("https://twitter.com/teeuhaa/status/1431886631997374465")</f>
        <v>https://twitter.com/teeuhaa/status/1431886631997374465</v>
      </c>
      <c r="AA184" s="81"/>
      <c r="AB184" s="81"/>
      <c r="AC184" s="86" t="s">
        <v>1572</v>
      </c>
      <c r="AD184" s="86" t="s">
        <v>2016</v>
      </c>
      <c r="AE184" s="81" t="b">
        <v>0</v>
      </c>
      <c r="AF184" s="81">
        <v>0</v>
      </c>
      <c r="AG184" s="86" t="s">
        <v>2097</v>
      </c>
      <c r="AH184" s="81" t="b">
        <v>0</v>
      </c>
      <c r="AI184" s="81" t="s">
        <v>2168</v>
      </c>
      <c r="AJ184" s="81"/>
      <c r="AK184" s="86" t="s">
        <v>2084</v>
      </c>
      <c r="AL184" s="81" t="b">
        <v>0</v>
      </c>
      <c r="AM184" s="81">
        <v>4</v>
      </c>
      <c r="AN184" s="86" t="s">
        <v>2084</v>
      </c>
      <c r="AO184" s="86" t="s">
        <v>2178</v>
      </c>
      <c r="AP184" s="81" t="b">
        <v>0</v>
      </c>
      <c r="AQ184" s="86" t="s">
        <v>2016</v>
      </c>
      <c r="AR184" s="81" t="s">
        <v>693</v>
      </c>
      <c r="AS184" s="81">
        <v>0</v>
      </c>
      <c r="AT184" s="81">
        <v>0</v>
      </c>
      <c r="AU184" s="81"/>
      <c r="AV184" s="81"/>
      <c r="AW184" s="81"/>
      <c r="AX184" s="81"/>
      <c r="AY184" s="81"/>
      <c r="AZ184" s="81"/>
      <c r="BA184" s="81"/>
      <c r="BB184" s="81"/>
    </row>
    <row r="185" spans="1:54" x14ac:dyDescent="0.35">
      <c r="A185" s="66" t="s">
        <v>275</v>
      </c>
      <c r="B185" s="66" t="s">
        <v>622</v>
      </c>
      <c r="C185" s="67"/>
      <c r="D185" s="68"/>
      <c r="E185" s="69"/>
      <c r="F185" s="70"/>
      <c r="G185" s="67"/>
      <c r="H185" s="71"/>
      <c r="I185" s="72"/>
      <c r="J185" s="72"/>
      <c r="K185" s="36"/>
      <c r="L185" s="79"/>
      <c r="M185" s="79"/>
      <c r="N185" s="74"/>
      <c r="O185" s="81" t="s">
        <v>694</v>
      </c>
      <c r="P185" s="83">
        <v>44460.470937500002</v>
      </c>
      <c r="Q185" s="81" t="s">
        <v>723</v>
      </c>
      <c r="R185" s="81"/>
      <c r="S185" s="81"/>
      <c r="T185" s="86" t="s">
        <v>976</v>
      </c>
      <c r="U185" s="81" t="s">
        <v>1010</v>
      </c>
      <c r="V185" s="81" t="s">
        <v>1010</v>
      </c>
      <c r="W185" s="83">
        <v>44460.470937500002</v>
      </c>
      <c r="X185" s="89">
        <v>44460</v>
      </c>
      <c r="Y185" s="86" t="s">
        <v>1073</v>
      </c>
      <c r="Z185" s="84" t="str">
        <f>HYPERLINK("https://twitter.com/teeuhaa/status/1440274142893281295")</f>
        <v>https://twitter.com/teeuhaa/status/1440274142893281295</v>
      </c>
      <c r="AA185" s="81"/>
      <c r="AB185" s="81"/>
      <c r="AC185" s="86" t="s">
        <v>1573</v>
      </c>
      <c r="AD185" s="81"/>
      <c r="AE185" s="81" t="b">
        <v>0</v>
      </c>
      <c r="AF185" s="81">
        <v>0</v>
      </c>
      <c r="AG185" s="86" t="s">
        <v>2084</v>
      </c>
      <c r="AH185" s="81" t="b">
        <v>0</v>
      </c>
      <c r="AI185" s="81" t="s">
        <v>2168</v>
      </c>
      <c r="AJ185" s="81"/>
      <c r="AK185" s="86" t="s">
        <v>2084</v>
      </c>
      <c r="AL185" s="81" t="b">
        <v>0</v>
      </c>
      <c r="AM185" s="81">
        <v>4</v>
      </c>
      <c r="AN185" s="86" t="s">
        <v>1572</v>
      </c>
      <c r="AO185" s="86" t="s">
        <v>2178</v>
      </c>
      <c r="AP185" s="81" t="b">
        <v>0</v>
      </c>
      <c r="AQ185" s="86" t="s">
        <v>1572</v>
      </c>
      <c r="AR185" s="81" t="s">
        <v>179</v>
      </c>
      <c r="AS185" s="81">
        <v>0</v>
      </c>
      <c r="AT185" s="81">
        <v>0</v>
      </c>
      <c r="AU185" s="81"/>
      <c r="AV185" s="81"/>
      <c r="AW185" s="81"/>
      <c r="AX185" s="81"/>
      <c r="AY185" s="81"/>
      <c r="AZ185" s="81"/>
      <c r="BA185" s="81"/>
      <c r="BB185" s="81"/>
    </row>
    <row r="186" spans="1:54" x14ac:dyDescent="0.35">
      <c r="A186" s="66" t="s">
        <v>275</v>
      </c>
      <c r="B186" s="66" t="s">
        <v>623</v>
      </c>
      <c r="C186" s="67"/>
      <c r="D186" s="68"/>
      <c r="E186" s="69"/>
      <c r="F186" s="70"/>
      <c r="G186" s="67"/>
      <c r="H186" s="71"/>
      <c r="I186" s="72"/>
      <c r="J186" s="72"/>
      <c r="K186" s="36"/>
      <c r="L186" s="79"/>
      <c r="M186" s="79"/>
      <c r="N186" s="74"/>
      <c r="O186" s="81" t="s">
        <v>696</v>
      </c>
      <c r="P186" s="83">
        <v>44437.325810185182</v>
      </c>
      <c r="Q186" s="81" t="s">
        <v>723</v>
      </c>
      <c r="R186" s="81"/>
      <c r="S186" s="81"/>
      <c r="T186" s="86" t="s">
        <v>976</v>
      </c>
      <c r="U186" s="81" t="s">
        <v>1010</v>
      </c>
      <c r="V186" s="81" t="s">
        <v>1010</v>
      </c>
      <c r="W186" s="83">
        <v>44437.325810185182</v>
      </c>
      <c r="X186" s="89">
        <v>44437</v>
      </c>
      <c r="Y186" s="86" t="s">
        <v>1072</v>
      </c>
      <c r="Z186" s="84" t="str">
        <f>HYPERLINK("https://twitter.com/teeuhaa/status/1431886631997374465")</f>
        <v>https://twitter.com/teeuhaa/status/1431886631997374465</v>
      </c>
      <c r="AA186" s="81"/>
      <c r="AB186" s="81"/>
      <c r="AC186" s="86" t="s">
        <v>1572</v>
      </c>
      <c r="AD186" s="86" t="s">
        <v>2016</v>
      </c>
      <c r="AE186" s="81" t="b">
        <v>0</v>
      </c>
      <c r="AF186" s="81">
        <v>0</v>
      </c>
      <c r="AG186" s="86" t="s">
        <v>2097</v>
      </c>
      <c r="AH186" s="81" t="b">
        <v>0</v>
      </c>
      <c r="AI186" s="81" t="s">
        <v>2168</v>
      </c>
      <c r="AJ186" s="81"/>
      <c r="AK186" s="86" t="s">
        <v>2084</v>
      </c>
      <c r="AL186" s="81" t="b">
        <v>0</v>
      </c>
      <c r="AM186" s="81">
        <v>4</v>
      </c>
      <c r="AN186" s="86" t="s">
        <v>2084</v>
      </c>
      <c r="AO186" s="86" t="s">
        <v>2178</v>
      </c>
      <c r="AP186" s="81" t="b">
        <v>0</v>
      </c>
      <c r="AQ186" s="86" t="s">
        <v>2016</v>
      </c>
      <c r="AR186" s="81" t="s">
        <v>693</v>
      </c>
      <c r="AS186" s="81">
        <v>0</v>
      </c>
      <c r="AT186" s="81">
        <v>0</v>
      </c>
      <c r="AU186" s="81"/>
      <c r="AV186" s="81"/>
      <c r="AW186" s="81"/>
      <c r="AX186" s="81"/>
      <c r="AY186" s="81"/>
      <c r="AZ186" s="81"/>
      <c r="BA186" s="81"/>
      <c r="BB186" s="81"/>
    </row>
    <row r="187" spans="1:54" x14ac:dyDescent="0.35">
      <c r="A187" s="66" t="s">
        <v>275</v>
      </c>
      <c r="B187" s="66" t="s">
        <v>623</v>
      </c>
      <c r="C187" s="67"/>
      <c r="D187" s="68"/>
      <c r="E187" s="69"/>
      <c r="F187" s="70"/>
      <c r="G187" s="67"/>
      <c r="H187" s="71"/>
      <c r="I187" s="72"/>
      <c r="J187" s="72"/>
      <c r="K187" s="36"/>
      <c r="L187" s="79"/>
      <c r="M187" s="79"/>
      <c r="N187" s="74"/>
      <c r="O187" s="81" t="s">
        <v>694</v>
      </c>
      <c r="P187" s="83">
        <v>44460.470937500002</v>
      </c>
      <c r="Q187" s="81" t="s">
        <v>723</v>
      </c>
      <c r="R187" s="81"/>
      <c r="S187" s="81"/>
      <c r="T187" s="86" t="s">
        <v>976</v>
      </c>
      <c r="U187" s="81" t="s">
        <v>1010</v>
      </c>
      <c r="V187" s="81" t="s">
        <v>1010</v>
      </c>
      <c r="W187" s="83">
        <v>44460.470937500002</v>
      </c>
      <c r="X187" s="89">
        <v>44460</v>
      </c>
      <c r="Y187" s="86" t="s">
        <v>1073</v>
      </c>
      <c r="Z187" s="84" t="str">
        <f>HYPERLINK("https://twitter.com/teeuhaa/status/1440274142893281295")</f>
        <v>https://twitter.com/teeuhaa/status/1440274142893281295</v>
      </c>
      <c r="AA187" s="81"/>
      <c r="AB187" s="81"/>
      <c r="AC187" s="86" t="s">
        <v>1573</v>
      </c>
      <c r="AD187" s="81"/>
      <c r="AE187" s="81" t="b">
        <v>0</v>
      </c>
      <c r="AF187" s="81">
        <v>0</v>
      </c>
      <c r="AG187" s="86" t="s">
        <v>2084</v>
      </c>
      <c r="AH187" s="81" t="b">
        <v>0</v>
      </c>
      <c r="AI187" s="81" t="s">
        <v>2168</v>
      </c>
      <c r="AJ187" s="81"/>
      <c r="AK187" s="86" t="s">
        <v>2084</v>
      </c>
      <c r="AL187" s="81" t="b">
        <v>0</v>
      </c>
      <c r="AM187" s="81">
        <v>4</v>
      </c>
      <c r="AN187" s="86" t="s">
        <v>1572</v>
      </c>
      <c r="AO187" s="86" t="s">
        <v>2178</v>
      </c>
      <c r="AP187" s="81" t="b">
        <v>0</v>
      </c>
      <c r="AQ187" s="86" t="s">
        <v>1572</v>
      </c>
      <c r="AR187" s="81" t="s">
        <v>179</v>
      </c>
      <c r="AS187" s="81">
        <v>0</v>
      </c>
      <c r="AT187" s="81">
        <v>0</v>
      </c>
      <c r="AU187" s="81"/>
      <c r="AV187" s="81"/>
      <c r="AW187" s="81"/>
      <c r="AX187" s="81"/>
      <c r="AY187" s="81"/>
      <c r="AZ187" s="81"/>
      <c r="BA187" s="81"/>
      <c r="BB187" s="81"/>
    </row>
    <row r="188" spans="1:54" x14ac:dyDescent="0.35">
      <c r="A188" s="66" t="s">
        <v>275</v>
      </c>
      <c r="B188" s="66" t="s">
        <v>275</v>
      </c>
      <c r="C188" s="67"/>
      <c r="D188" s="68"/>
      <c r="E188" s="69"/>
      <c r="F188" s="70"/>
      <c r="G188" s="67"/>
      <c r="H188" s="71"/>
      <c r="I188" s="72"/>
      <c r="J188" s="72"/>
      <c r="K188" s="36"/>
      <c r="L188" s="79"/>
      <c r="M188" s="79"/>
      <c r="N188" s="74"/>
      <c r="O188" s="81" t="s">
        <v>693</v>
      </c>
      <c r="P188" s="83">
        <v>44460.470937500002</v>
      </c>
      <c r="Q188" s="81" t="s">
        <v>723</v>
      </c>
      <c r="R188" s="81"/>
      <c r="S188" s="81"/>
      <c r="T188" s="86" t="s">
        <v>976</v>
      </c>
      <c r="U188" s="81" t="s">
        <v>1010</v>
      </c>
      <c r="V188" s="81" t="s">
        <v>1010</v>
      </c>
      <c r="W188" s="83">
        <v>44460.470937500002</v>
      </c>
      <c r="X188" s="89">
        <v>44460</v>
      </c>
      <c r="Y188" s="86" t="s">
        <v>1073</v>
      </c>
      <c r="Z188" s="84" t="str">
        <f>HYPERLINK("https://twitter.com/teeuhaa/status/1440274142893281295")</f>
        <v>https://twitter.com/teeuhaa/status/1440274142893281295</v>
      </c>
      <c r="AA188" s="81"/>
      <c r="AB188" s="81"/>
      <c r="AC188" s="86" t="s">
        <v>1573</v>
      </c>
      <c r="AD188" s="81"/>
      <c r="AE188" s="81" t="b">
        <v>0</v>
      </c>
      <c r="AF188" s="81">
        <v>0</v>
      </c>
      <c r="AG188" s="86" t="s">
        <v>2084</v>
      </c>
      <c r="AH188" s="81" t="b">
        <v>0</v>
      </c>
      <c r="AI188" s="81" t="s">
        <v>2168</v>
      </c>
      <c r="AJ188" s="81"/>
      <c r="AK188" s="86" t="s">
        <v>2084</v>
      </c>
      <c r="AL188" s="81" t="b">
        <v>0</v>
      </c>
      <c r="AM188" s="81">
        <v>4</v>
      </c>
      <c r="AN188" s="86" t="s">
        <v>1572</v>
      </c>
      <c r="AO188" s="86" t="s">
        <v>2178</v>
      </c>
      <c r="AP188" s="81" t="b">
        <v>0</v>
      </c>
      <c r="AQ188" s="86" t="s">
        <v>1572</v>
      </c>
      <c r="AR188" s="81" t="s">
        <v>179</v>
      </c>
      <c r="AS188" s="81">
        <v>0</v>
      </c>
      <c r="AT188" s="81">
        <v>0</v>
      </c>
      <c r="AU188" s="81"/>
      <c r="AV188" s="81"/>
      <c r="AW188" s="81"/>
      <c r="AX188" s="81"/>
      <c r="AY188" s="81"/>
      <c r="AZ188" s="81"/>
      <c r="BA188" s="81"/>
      <c r="BB188" s="81"/>
    </row>
    <row r="189" spans="1:54" x14ac:dyDescent="0.35">
      <c r="A189" s="66" t="s">
        <v>4250</v>
      </c>
      <c r="B189" s="66" t="s">
        <v>4998</v>
      </c>
      <c r="C189" s="67"/>
      <c r="D189" s="68"/>
      <c r="E189" s="69"/>
      <c r="F189" s="70"/>
      <c r="G189" s="67"/>
      <c r="H189" s="71"/>
      <c r="I189" s="72"/>
      <c r="J189" s="72"/>
      <c r="K189" s="36"/>
      <c r="L189" s="79"/>
      <c r="M189" s="79"/>
      <c r="N189" s="74"/>
      <c r="O189" s="81" t="s">
        <v>696</v>
      </c>
      <c r="P189" s="83">
        <v>44460.473402777781</v>
      </c>
      <c r="Q189" s="81" t="s">
        <v>5303</v>
      </c>
      <c r="R189" s="81"/>
      <c r="S189" s="81"/>
      <c r="T189" s="81"/>
      <c r="U189" s="81"/>
      <c r="V189" s="84" t="str">
        <f>HYPERLINK("https://pbs.twimg.com/profile_images/1437441763036352515/RPRBVxR-_normal.jpg")</f>
        <v>https://pbs.twimg.com/profile_images/1437441763036352515/RPRBVxR-_normal.jpg</v>
      </c>
      <c r="W189" s="83">
        <v>44460.473402777781</v>
      </c>
      <c r="X189" s="89">
        <v>44460</v>
      </c>
      <c r="Y189" s="86" t="s">
        <v>5873</v>
      </c>
      <c r="Z189" s="84" t="str">
        <f>HYPERLINK("https://twitter.com/isabeluz/status/1440275037592768512")</f>
        <v>https://twitter.com/isabeluz/status/1440275037592768512</v>
      </c>
      <c r="AA189" s="81"/>
      <c r="AB189" s="81"/>
      <c r="AC189" s="86" t="s">
        <v>6774</v>
      </c>
      <c r="AD189" s="86" t="s">
        <v>7628</v>
      </c>
      <c r="AE189" s="81" t="b">
        <v>0</v>
      </c>
      <c r="AF189" s="81">
        <v>1</v>
      </c>
      <c r="AG189" s="86" t="s">
        <v>7807</v>
      </c>
      <c r="AH189" s="81" t="b">
        <v>0</v>
      </c>
      <c r="AI189" s="81" t="s">
        <v>2171</v>
      </c>
      <c r="AJ189" s="81"/>
      <c r="AK189" s="86" t="s">
        <v>2084</v>
      </c>
      <c r="AL189" s="81" t="b">
        <v>0</v>
      </c>
      <c r="AM189" s="81">
        <v>0</v>
      </c>
      <c r="AN189" s="86" t="s">
        <v>2084</v>
      </c>
      <c r="AO189" s="86" t="s">
        <v>2178</v>
      </c>
      <c r="AP189" s="81" t="b">
        <v>0</v>
      </c>
      <c r="AQ189" s="86" t="s">
        <v>7628</v>
      </c>
      <c r="AR189" s="81" t="s">
        <v>179</v>
      </c>
      <c r="AS189" s="81">
        <v>0</v>
      </c>
      <c r="AT189" s="81">
        <v>0</v>
      </c>
      <c r="AU189" s="81"/>
      <c r="AV189" s="81"/>
      <c r="AW189" s="81"/>
      <c r="AX189" s="81"/>
      <c r="AY189" s="81"/>
      <c r="AZ189" s="81"/>
      <c r="BA189" s="81"/>
      <c r="BB189" s="81"/>
    </row>
    <row r="190" spans="1:54" x14ac:dyDescent="0.35">
      <c r="A190" s="66" t="s">
        <v>4250</v>
      </c>
      <c r="B190" s="66" t="s">
        <v>4999</v>
      </c>
      <c r="C190" s="67"/>
      <c r="D190" s="68"/>
      <c r="E190" s="69"/>
      <c r="F190" s="70"/>
      <c r="G190" s="67"/>
      <c r="H190" s="71"/>
      <c r="I190" s="72"/>
      <c r="J190" s="72"/>
      <c r="K190" s="36"/>
      <c r="L190" s="79"/>
      <c r="M190" s="79"/>
      <c r="N190" s="74"/>
      <c r="O190" s="81" t="s">
        <v>695</v>
      </c>
      <c r="P190" s="83">
        <v>44460.473402777781</v>
      </c>
      <c r="Q190" s="81" t="s">
        <v>5303</v>
      </c>
      <c r="R190" s="81"/>
      <c r="S190" s="81"/>
      <c r="T190" s="81"/>
      <c r="U190" s="81"/>
      <c r="V190" s="84" t="str">
        <f>HYPERLINK("https://pbs.twimg.com/profile_images/1437441763036352515/RPRBVxR-_normal.jpg")</f>
        <v>https://pbs.twimg.com/profile_images/1437441763036352515/RPRBVxR-_normal.jpg</v>
      </c>
      <c r="W190" s="83">
        <v>44460.473402777781</v>
      </c>
      <c r="X190" s="89">
        <v>44460</v>
      </c>
      <c r="Y190" s="86" t="s">
        <v>5873</v>
      </c>
      <c r="Z190" s="84" t="str">
        <f>HYPERLINK("https://twitter.com/isabeluz/status/1440275037592768512")</f>
        <v>https://twitter.com/isabeluz/status/1440275037592768512</v>
      </c>
      <c r="AA190" s="81"/>
      <c r="AB190" s="81"/>
      <c r="AC190" s="86" t="s">
        <v>6774</v>
      </c>
      <c r="AD190" s="86" t="s">
        <v>7628</v>
      </c>
      <c r="AE190" s="81" t="b">
        <v>0</v>
      </c>
      <c r="AF190" s="81">
        <v>1</v>
      </c>
      <c r="AG190" s="86" t="s">
        <v>7807</v>
      </c>
      <c r="AH190" s="81" t="b">
        <v>0</v>
      </c>
      <c r="AI190" s="81" t="s">
        <v>2171</v>
      </c>
      <c r="AJ190" s="81"/>
      <c r="AK190" s="86" t="s">
        <v>2084</v>
      </c>
      <c r="AL190" s="81" t="b">
        <v>0</v>
      </c>
      <c r="AM190" s="81">
        <v>0</v>
      </c>
      <c r="AN190" s="86" t="s">
        <v>2084</v>
      </c>
      <c r="AO190" s="86" t="s">
        <v>2178</v>
      </c>
      <c r="AP190" s="81" t="b">
        <v>0</v>
      </c>
      <c r="AQ190" s="86" t="s">
        <v>7628</v>
      </c>
      <c r="AR190" s="81" t="s">
        <v>179</v>
      </c>
      <c r="AS190" s="81">
        <v>0</v>
      </c>
      <c r="AT190" s="81">
        <v>0</v>
      </c>
      <c r="AU190" s="81"/>
      <c r="AV190" s="81"/>
      <c r="AW190" s="81"/>
      <c r="AX190" s="81"/>
      <c r="AY190" s="81"/>
      <c r="AZ190" s="81"/>
      <c r="BA190" s="81"/>
      <c r="BB190" s="81"/>
    </row>
    <row r="191" spans="1:54" x14ac:dyDescent="0.35">
      <c r="A191" s="66" t="s">
        <v>4250</v>
      </c>
      <c r="B191" s="66" t="s">
        <v>4982</v>
      </c>
      <c r="C191" s="67"/>
      <c r="D191" s="68"/>
      <c r="E191" s="69"/>
      <c r="F191" s="70"/>
      <c r="G191" s="67"/>
      <c r="H191" s="71"/>
      <c r="I191" s="72"/>
      <c r="J191" s="72"/>
      <c r="K191" s="36"/>
      <c r="L191" s="79"/>
      <c r="M191" s="79"/>
      <c r="N191" s="74"/>
      <c r="O191" s="81" t="s">
        <v>696</v>
      </c>
      <c r="P191" s="83">
        <v>44460.473402777781</v>
      </c>
      <c r="Q191" s="81" t="s">
        <v>5303</v>
      </c>
      <c r="R191" s="81"/>
      <c r="S191" s="81"/>
      <c r="T191" s="81"/>
      <c r="U191" s="81"/>
      <c r="V191" s="84" t="str">
        <f>HYPERLINK("https://pbs.twimg.com/profile_images/1437441763036352515/RPRBVxR-_normal.jpg")</f>
        <v>https://pbs.twimg.com/profile_images/1437441763036352515/RPRBVxR-_normal.jpg</v>
      </c>
      <c r="W191" s="83">
        <v>44460.473402777781</v>
      </c>
      <c r="X191" s="89">
        <v>44460</v>
      </c>
      <c r="Y191" s="86" t="s">
        <v>5873</v>
      </c>
      <c r="Z191" s="84" t="str">
        <f>HYPERLINK("https://twitter.com/isabeluz/status/1440275037592768512")</f>
        <v>https://twitter.com/isabeluz/status/1440275037592768512</v>
      </c>
      <c r="AA191" s="81"/>
      <c r="AB191" s="81"/>
      <c r="AC191" s="86" t="s">
        <v>6774</v>
      </c>
      <c r="AD191" s="86" t="s">
        <v>7628</v>
      </c>
      <c r="AE191" s="81" t="b">
        <v>0</v>
      </c>
      <c r="AF191" s="81">
        <v>1</v>
      </c>
      <c r="AG191" s="86" t="s">
        <v>7807</v>
      </c>
      <c r="AH191" s="81" t="b">
        <v>0</v>
      </c>
      <c r="AI191" s="81" t="s">
        <v>2171</v>
      </c>
      <c r="AJ191" s="81"/>
      <c r="AK191" s="86" t="s">
        <v>2084</v>
      </c>
      <c r="AL191" s="81" t="b">
        <v>0</v>
      </c>
      <c r="AM191" s="81">
        <v>0</v>
      </c>
      <c r="AN191" s="86" t="s">
        <v>2084</v>
      </c>
      <c r="AO191" s="86" t="s">
        <v>2178</v>
      </c>
      <c r="AP191" s="81" t="b">
        <v>0</v>
      </c>
      <c r="AQ191" s="86" t="s">
        <v>7628</v>
      </c>
      <c r="AR191" s="81" t="s">
        <v>179</v>
      </c>
      <c r="AS191" s="81">
        <v>0</v>
      </c>
      <c r="AT191" s="81">
        <v>0</v>
      </c>
      <c r="AU191" s="81"/>
      <c r="AV191" s="81"/>
      <c r="AW191" s="81"/>
      <c r="AX191" s="81"/>
      <c r="AY191" s="81"/>
      <c r="AZ191" s="81"/>
      <c r="BA191" s="81"/>
      <c r="BB191" s="81"/>
    </row>
    <row r="192" spans="1:54" x14ac:dyDescent="0.35">
      <c r="A192" s="66" t="s">
        <v>276</v>
      </c>
      <c r="B192" s="66" t="s">
        <v>624</v>
      </c>
      <c r="C192" s="67"/>
      <c r="D192" s="68"/>
      <c r="E192" s="69"/>
      <c r="F192" s="70"/>
      <c r="G192" s="67"/>
      <c r="H192" s="71"/>
      <c r="I192" s="72"/>
      <c r="J192" s="72"/>
      <c r="K192" s="36"/>
      <c r="L192" s="79"/>
      <c r="M192" s="79"/>
      <c r="N192" s="74"/>
      <c r="O192" s="81" t="s">
        <v>696</v>
      </c>
      <c r="P192" s="83">
        <v>44460.462488425925</v>
      </c>
      <c r="Q192" s="81" t="s">
        <v>724</v>
      </c>
      <c r="R192" s="81"/>
      <c r="S192" s="81"/>
      <c r="T192" s="81"/>
      <c r="U192" s="81"/>
      <c r="V192" s="84" t="str">
        <f>HYPERLINK("https://pbs.twimg.com/profile_images/1338844021456703489/Jcp2n9Wb_normal.jpg")</f>
        <v>https://pbs.twimg.com/profile_images/1338844021456703489/Jcp2n9Wb_normal.jpg</v>
      </c>
      <c r="W192" s="83">
        <v>44460.462488425925</v>
      </c>
      <c r="X192" s="89">
        <v>44460</v>
      </c>
      <c r="Y192" s="86" t="s">
        <v>1074</v>
      </c>
      <c r="Z192" s="84" t="str">
        <f>HYPERLINK("https://twitter.com/masyarakatradio/status/1440271081479172099")</f>
        <v>https://twitter.com/masyarakatradio/status/1440271081479172099</v>
      </c>
      <c r="AA192" s="81"/>
      <c r="AB192" s="81"/>
      <c r="AC192" s="86" t="s">
        <v>1574</v>
      </c>
      <c r="AD192" s="86" t="s">
        <v>2017</v>
      </c>
      <c r="AE192" s="81" t="b">
        <v>0</v>
      </c>
      <c r="AF192" s="81">
        <v>7</v>
      </c>
      <c r="AG192" s="86" t="s">
        <v>2098</v>
      </c>
      <c r="AH192" s="81" t="b">
        <v>0</v>
      </c>
      <c r="AI192" s="81" t="s">
        <v>2167</v>
      </c>
      <c r="AJ192" s="81"/>
      <c r="AK192" s="86" t="s">
        <v>2084</v>
      </c>
      <c r="AL192" s="81" t="b">
        <v>0</v>
      </c>
      <c r="AM192" s="81">
        <v>1</v>
      </c>
      <c r="AN192" s="86" t="s">
        <v>2084</v>
      </c>
      <c r="AO192" s="86" t="s">
        <v>2178</v>
      </c>
      <c r="AP192" s="81" t="b">
        <v>0</v>
      </c>
      <c r="AQ192" s="86" t="s">
        <v>2017</v>
      </c>
      <c r="AR192" s="81" t="s">
        <v>179</v>
      </c>
      <c r="AS192" s="81">
        <v>0</v>
      </c>
      <c r="AT192" s="81">
        <v>0</v>
      </c>
      <c r="AU192" s="81"/>
      <c r="AV192" s="81"/>
      <c r="AW192" s="81"/>
      <c r="AX192" s="81"/>
      <c r="AY192" s="81"/>
      <c r="AZ192" s="81"/>
      <c r="BA192" s="81"/>
      <c r="BB192" s="81"/>
    </row>
    <row r="193" spans="1:54" x14ac:dyDescent="0.35">
      <c r="A193" s="66" t="s">
        <v>277</v>
      </c>
      <c r="B193" s="66" t="s">
        <v>624</v>
      </c>
      <c r="C193" s="67"/>
      <c r="D193" s="68"/>
      <c r="E193" s="69"/>
      <c r="F193" s="70"/>
      <c r="G193" s="67"/>
      <c r="H193" s="71"/>
      <c r="I193" s="72"/>
      <c r="J193" s="72"/>
      <c r="K193" s="36"/>
      <c r="L193" s="79"/>
      <c r="M193" s="79"/>
      <c r="N193" s="74"/>
      <c r="O193" s="81" t="s">
        <v>694</v>
      </c>
      <c r="P193" s="83">
        <v>44460.481493055559</v>
      </c>
      <c r="Q193" s="81" t="s">
        <v>724</v>
      </c>
      <c r="R193" s="81"/>
      <c r="S193" s="81"/>
      <c r="T193" s="81"/>
      <c r="U193" s="81"/>
      <c r="V193" s="84" t="str">
        <f>HYPERLINK("https://pbs.twimg.com/profile_images/1428888419950743555/FV7XGf5o_normal.jpg")</f>
        <v>https://pbs.twimg.com/profile_images/1428888419950743555/FV7XGf5o_normal.jpg</v>
      </c>
      <c r="W193" s="83">
        <v>44460.481493055559</v>
      </c>
      <c r="X193" s="89">
        <v>44460</v>
      </c>
      <c r="Y193" s="86" t="s">
        <v>1075</v>
      </c>
      <c r="Z193" s="84" t="str">
        <f>HYPERLINK("https://twitter.com/ib_ost/status/1440277969964912645")</f>
        <v>https://twitter.com/ib_ost/status/1440277969964912645</v>
      </c>
      <c r="AA193" s="81"/>
      <c r="AB193" s="81"/>
      <c r="AC193" s="86" t="s">
        <v>1575</v>
      </c>
      <c r="AD193" s="81"/>
      <c r="AE193" s="81" t="b">
        <v>0</v>
      </c>
      <c r="AF193" s="81">
        <v>0</v>
      </c>
      <c r="AG193" s="86" t="s">
        <v>2084</v>
      </c>
      <c r="AH193" s="81" t="b">
        <v>0</v>
      </c>
      <c r="AI193" s="81" t="s">
        <v>2167</v>
      </c>
      <c r="AJ193" s="81"/>
      <c r="AK193" s="86" t="s">
        <v>2084</v>
      </c>
      <c r="AL193" s="81" t="b">
        <v>0</v>
      </c>
      <c r="AM193" s="81">
        <v>1</v>
      </c>
      <c r="AN193" s="86" t="s">
        <v>1574</v>
      </c>
      <c r="AO193" s="86" t="s">
        <v>2178</v>
      </c>
      <c r="AP193" s="81" t="b">
        <v>0</v>
      </c>
      <c r="AQ193" s="86" t="s">
        <v>1574</v>
      </c>
      <c r="AR193" s="81" t="s">
        <v>179</v>
      </c>
      <c r="AS193" s="81">
        <v>0</v>
      </c>
      <c r="AT193" s="81">
        <v>0</v>
      </c>
      <c r="AU193" s="81"/>
      <c r="AV193" s="81"/>
      <c r="AW193" s="81"/>
      <c r="AX193" s="81"/>
      <c r="AY193" s="81"/>
      <c r="AZ193" s="81"/>
      <c r="BA193" s="81"/>
      <c r="BB193" s="81"/>
    </row>
    <row r="194" spans="1:54" x14ac:dyDescent="0.35">
      <c r="A194" s="66" t="s">
        <v>276</v>
      </c>
      <c r="B194" s="66" t="s">
        <v>613</v>
      </c>
      <c r="C194" s="67"/>
      <c r="D194" s="68"/>
      <c r="E194" s="69"/>
      <c r="F194" s="70"/>
      <c r="G194" s="67"/>
      <c r="H194" s="71"/>
      <c r="I194" s="72"/>
      <c r="J194" s="72"/>
      <c r="K194" s="36"/>
      <c r="L194" s="79"/>
      <c r="M194" s="79"/>
      <c r="N194" s="74"/>
      <c r="O194" s="81" t="s">
        <v>696</v>
      </c>
      <c r="P194" s="83">
        <v>44460.462488425925</v>
      </c>
      <c r="Q194" s="81" t="s">
        <v>724</v>
      </c>
      <c r="R194" s="81"/>
      <c r="S194" s="81"/>
      <c r="T194" s="81"/>
      <c r="U194" s="81"/>
      <c r="V194" s="84" t="str">
        <f>HYPERLINK("https://pbs.twimg.com/profile_images/1338844021456703489/Jcp2n9Wb_normal.jpg")</f>
        <v>https://pbs.twimg.com/profile_images/1338844021456703489/Jcp2n9Wb_normal.jpg</v>
      </c>
      <c r="W194" s="83">
        <v>44460.462488425925</v>
      </c>
      <c r="X194" s="89">
        <v>44460</v>
      </c>
      <c r="Y194" s="86" t="s">
        <v>1074</v>
      </c>
      <c r="Z194" s="84" t="str">
        <f>HYPERLINK("https://twitter.com/masyarakatradio/status/1440271081479172099")</f>
        <v>https://twitter.com/masyarakatradio/status/1440271081479172099</v>
      </c>
      <c r="AA194" s="81"/>
      <c r="AB194" s="81"/>
      <c r="AC194" s="86" t="s">
        <v>1574</v>
      </c>
      <c r="AD194" s="86" t="s">
        <v>2017</v>
      </c>
      <c r="AE194" s="81" t="b">
        <v>0</v>
      </c>
      <c r="AF194" s="81">
        <v>7</v>
      </c>
      <c r="AG194" s="86" t="s">
        <v>2098</v>
      </c>
      <c r="AH194" s="81" t="b">
        <v>0</v>
      </c>
      <c r="AI194" s="81" t="s">
        <v>2167</v>
      </c>
      <c r="AJ194" s="81"/>
      <c r="AK194" s="86" t="s">
        <v>2084</v>
      </c>
      <c r="AL194" s="81" t="b">
        <v>0</v>
      </c>
      <c r="AM194" s="81">
        <v>1</v>
      </c>
      <c r="AN194" s="86" t="s">
        <v>2084</v>
      </c>
      <c r="AO194" s="86" t="s">
        <v>2178</v>
      </c>
      <c r="AP194" s="81" t="b">
        <v>0</v>
      </c>
      <c r="AQ194" s="86" t="s">
        <v>2017</v>
      </c>
      <c r="AR194" s="81" t="s">
        <v>179</v>
      </c>
      <c r="AS194" s="81">
        <v>0</v>
      </c>
      <c r="AT194" s="81">
        <v>0</v>
      </c>
      <c r="AU194" s="81"/>
      <c r="AV194" s="81"/>
      <c r="AW194" s="81"/>
      <c r="AX194" s="81"/>
      <c r="AY194" s="81"/>
      <c r="AZ194" s="81"/>
      <c r="BA194" s="81"/>
      <c r="BB194" s="81"/>
    </row>
    <row r="195" spans="1:54" x14ac:dyDescent="0.35">
      <c r="A195" s="66" t="s">
        <v>276</v>
      </c>
      <c r="B195" s="66" t="s">
        <v>277</v>
      </c>
      <c r="C195" s="67"/>
      <c r="D195" s="68"/>
      <c r="E195" s="69"/>
      <c r="F195" s="70"/>
      <c r="G195" s="67"/>
      <c r="H195" s="71"/>
      <c r="I195" s="72"/>
      <c r="J195" s="72"/>
      <c r="K195" s="36"/>
      <c r="L195" s="79"/>
      <c r="M195" s="79"/>
      <c r="N195" s="74"/>
      <c r="O195" s="81" t="s">
        <v>695</v>
      </c>
      <c r="P195" s="83">
        <v>44460.462488425925</v>
      </c>
      <c r="Q195" s="81" t="s">
        <v>724</v>
      </c>
      <c r="R195" s="81"/>
      <c r="S195" s="81"/>
      <c r="T195" s="81"/>
      <c r="U195" s="81"/>
      <c r="V195" s="84" t="str">
        <f>HYPERLINK("https://pbs.twimg.com/profile_images/1338844021456703489/Jcp2n9Wb_normal.jpg")</f>
        <v>https://pbs.twimg.com/profile_images/1338844021456703489/Jcp2n9Wb_normal.jpg</v>
      </c>
      <c r="W195" s="83">
        <v>44460.462488425925</v>
      </c>
      <c r="X195" s="89">
        <v>44460</v>
      </c>
      <c r="Y195" s="86" t="s">
        <v>1074</v>
      </c>
      <c r="Z195" s="84" t="str">
        <f>HYPERLINK("https://twitter.com/masyarakatradio/status/1440271081479172099")</f>
        <v>https://twitter.com/masyarakatradio/status/1440271081479172099</v>
      </c>
      <c r="AA195" s="81"/>
      <c r="AB195" s="81"/>
      <c r="AC195" s="86" t="s">
        <v>1574</v>
      </c>
      <c r="AD195" s="86" t="s">
        <v>2017</v>
      </c>
      <c r="AE195" s="81" t="b">
        <v>0</v>
      </c>
      <c r="AF195" s="81">
        <v>7</v>
      </c>
      <c r="AG195" s="86" t="s">
        <v>2098</v>
      </c>
      <c r="AH195" s="81" t="b">
        <v>0</v>
      </c>
      <c r="AI195" s="81" t="s">
        <v>2167</v>
      </c>
      <c r="AJ195" s="81"/>
      <c r="AK195" s="86" t="s">
        <v>2084</v>
      </c>
      <c r="AL195" s="81" t="b">
        <v>0</v>
      </c>
      <c r="AM195" s="81">
        <v>1</v>
      </c>
      <c r="AN195" s="86" t="s">
        <v>2084</v>
      </c>
      <c r="AO195" s="86" t="s">
        <v>2178</v>
      </c>
      <c r="AP195" s="81" t="b">
        <v>0</v>
      </c>
      <c r="AQ195" s="86" t="s">
        <v>2017</v>
      </c>
      <c r="AR195" s="81" t="s">
        <v>179</v>
      </c>
      <c r="AS195" s="81">
        <v>0</v>
      </c>
      <c r="AT195" s="81">
        <v>0</v>
      </c>
      <c r="AU195" s="81"/>
      <c r="AV195" s="81"/>
      <c r="AW195" s="81"/>
      <c r="AX195" s="81"/>
      <c r="AY195" s="81"/>
      <c r="AZ195" s="81"/>
      <c r="BA195" s="81"/>
      <c r="BB195" s="81"/>
    </row>
    <row r="196" spans="1:54" x14ac:dyDescent="0.35">
      <c r="A196" s="66" t="s">
        <v>277</v>
      </c>
      <c r="B196" s="66" t="s">
        <v>276</v>
      </c>
      <c r="C196" s="67"/>
      <c r="D196" s="68"/>
      <c r="E196" s="69"/>
      <c r="F196" s="70"/>
      <c r="G196" s="67"/>
      <c r="H196" s="71"/>
      <c r="I196" s="72"/>
      <c r="J196" s="72"/>
      <c r="K196" s="36"/>
      <c r="L196" s="79"/>
      <c r="M196" s="79"/>
      <c r="N196" s="74"/>
      <c r="O196" s="81" t="s">
        <v>693</v>
      </c>
      <c r="P196" s="83">
        <v>44460.481493055559</v>
      </c>
      <c r="Q196" s="81" t="s">
        <v>724</v>
      </c>
      <c r="R196" s="81"/>
      <c r="S196" s="81"/>
      <c r="T196" s="81"/>
      <c r="U196" s="81"/>
      <c r="V196" s="84" t="str">
        <f>HYPERLINK("https://pbs.twimg.com/profile_images/1428888419950743555/FV7XGf5o_normal.jpg")</f>
        <v>https://pbs.twimg.com/profile_images/1428888419950743555/FV7XGf5o_normal.jpg</v>
      </c>
      <c r="W196" s="83">
        <v>44460.481493055559</v>
      </c>
      <c r="X196" s="89">
        <v>44460</v>
      </c>
      <c r="Y196" s="86" t="s">
        <v>1075</v>
      </c>
      <c r="Z196" s="84" t="str">
        <f>HYPERLINK("https://twitter.com/ib_ost/status/1440277969964912645")</f>
        <v>https://twitter.com/ib_ost/status/1440277969964912645</v>
      </c>
      <c r="AA196" s="81"/>
      <c r="AB196" s="81"/>
      <c r="AC196" s="86" t="s">
        <v>1575</v>
      </c>
      <c r="AD196" s="81"/>
      <c r="AE196" s="81" t="b">
        <v>0</v>
      </c>
      <c r="AF196" s="81">
        <v>0</v>
      </c>
      <c r="AG196" s="86" t="s">
        <v>2084</v>
      </c>
      <c r="AH196" s="81" t="b">
        <v>0</v>
      </c>
      <c r="AI196" s="81" t="s">
        <v>2167</v>
      </c>
      <c r="AJ196" s="81"/>
      <c r="AK196" s="86" t="s">
        <v>2084</v>
      </c>
      <c r="AL196" s="81" t="b">
        <v>0</v>
      </c>
      <c r="AM196" s="81">
        <v>1</v>
      </c>
      <c r="AN196" s="86" t="s">
        <v>1574</v>
      </c>
      <c r="AO196" s="86" t="s">
        <v>2178</v>
      </c>
      <c r="AP196" s="81" t="b">
        <v>0</v>
      </c>
      <c r="AQ196" s="86" t="s">
        <v>1574</v>
      </c>
      <c r="AR196" s="81" t="s">
        <v>179</v>
      </c>
      <c r="AS196" s="81">
        <v>0</v>
      </c>
      <c r="AT196" s="81">
        <v>0</v>
      </c>
      <c r="AU196" s="81"/>
      <c r="AV196" s="81"/>
      <c r="AW196" s="81"/>
      <c r="AX196" s="81"/>
      <c r="AY196" s="81"/>
      <c r="AZ196" s="81"/>
      <c r="BA196" s="81"/>
      <c r="BB196" s="81"/>
    </row>
    <row r="197" spans="1:54" x14ac:dyDescent="0.35">
      <c r="A197" s="66" t="s">
        <v>277</v>
      </c>
      <c r="B197" s="66" t="s">
        <v>613</v>
      </c>
      <c r="C197" s="67"/>
      <c r="D197" s="68"/>
      <c r="E197" s="69"/>
      <c r="F197" s="70"/>
      <c r="G197" s="67"/>
      <c r="H197" s="71"/>
      <c r="I197" s="72"/>
      <c r="J197" s="72"/>
      <c r="K197" s="36"/>
      <c r="L197" s="79"/>
      <c r="M197" s="79"/>
      <c r="N197" s="74"/>
      <c r="O197" s="81" t="s">
        <v>694</v>
      </c>
      <c r="P197" s="83">
        <v>44460.481493055559</v>
      </c>
      <c r="Q197" s="81" t="s">
        <v>724</v>
      </c>
      <c r="R197" s="81"/>
      <c r="S197" s="81"/>
      <c r="T197" s="81"/>
      <c r="U197" s="81"/>
      <c r="V197" s="84" t="str">
        <f>HYPERLINK("https://pbs.twimg.com/profile_images/1428888419950743555/FV7XGf5o_normal.jpg")</f>
        <v>https://pbs.twimg.com/profile_images/1428888419950743555/FV7XGf5o_normal.jpg</v>
      </c>
      <c r="W197" s="83">
        <v>44460.481493055559</v>
      </c>
      <c r="X197" s="89">
        <v>44460</v>
      </c>
      <c r="Y197" s="86" t="s">
        <v>1075</v>
      </c>
      <c r="Z197" s="84" t="str">
        <f>HYPERLINK("https://twitter.com/ib_ost/status/1440277969964912645")</f>
        <v>https://twitter.com/ib_ost/status/1440277969964912645</v>
      </c>
      <c r="AA197" s="81"/>
      <c r="AB197" s="81"/>
      <c r="AC197" s="86" t="s">
        <v>1575</v>
      </c>
      <c r="AD197" s="81"/>
      <c r="AE197" s="81" t="b">
        <v>0</v>
      </c>
      <c r="AF197" s="81">
        <v>0</v>
      </c>
      <c r="AG197" s="86" t="s">
        <v>2084</v>
      </c>
      <c r="AH197" s="81" t="b">
        <v>0</v>
      </c>
      <c r="AI197" s="81" t="s">
        <v>2167</v>
      </c>
      <c r="AJ197" s="81"/>
      <c r="AK197" s="86" t="s">
        <v>2084</v>
      </c>
      <c r="AL197" s="81" t="b">
        <v>0</v>
      </c>
      <c r="AM197" s="81">
        <v>1</v>
      </c>
      <c r="AN197" s="86" t="s">
        <v>1574</v>
      </c>
      <c r="AO197" s="86" t="s">
        <v>2178</v>
      </c>
      <c r="AP197" s="81" t="b">
        <v>0</v>
      </c>
      <c r="AQ197" s="86" t="s">
        <v>1574</v>
      </c>
      <c r="AR197" s="81" t="s">
        <v>179</v>
      </c>
      <c r="AS197" s="81">
        <v>0</v>
      </c>
      <c r="AT197" s="81">
        <v>0</v>
      </c>
      <c r="AU197" s="81"/>
      <c r="AV197" s="81"/>
      <c r="AW197" s="81"/>
      <c r="AX197" s="81"/>
      <c r="AY197" s="81"/>
      <c r="AZ197" s="81"/>
      <c r="BA197" s="81"/>
      <c r="BB197" s="81"/>
    </row>
    <row r="198" spans="1:54" x14ac:dyDescent="0.35">
      <c r="A198" s="66" t="s">
        <v>4251</v>
      </c>
      <c r="B198" s="66" t="s">
        <v>4963</v>
      </c>
      <c r="C198" s="67"/>
      <c r="D198" s="68"/>
      <c r="E198" s="69"/>
      <c r="F198" s="70"/>
      <c r="G198" s="67"/>
      <c r="H198" s="71"/>
      <c r="I198" s="72"/>
      <c r="J198" s="72"/>
      <c r="K198" s="36"/>
      <c r="L198" s="79"/>
      <c r="M198" s="79"/>
      <c r="N198" s="74"/>
      <c r="O198" s="81" t="s">
        <v>693</v>
      </c>
      <c r="P198" s="83">
        <v>44460.499444444446</v>
      </c>
      <c r="Q198" s="81" t="s">
        <v>5304</v>
      </c>
      <c r="R198" s="81"/>
      <c r="S198" s="81"/>
      <c r="T198" s="81"/>
      <c r="U198" s="81"/>
      <c r="V198" s="84" t="str">
        <f>HYPERLINK("https://pbs.twimg.com/profile_images/1422778534632767491/9h5-V_QN_normal.jpg")</f>
        <v>https://pbs.twimg.com/profile_images/1422778534632767491/9h5-V_QN_normal.jpg</v>
      </c>
      <c r="W198" s="83">
        <v>44460.499444444446</v>
      </c>
      <c r="X198" s="89">
        <v>44460</v>
      </c>
      <c r="Y198" s="86" t="s">
        <v>5874</v>
      </c>
      <c r="Z198" s="84" t="str">
        <f>HYPERLINK("https://twitter.com/blogdopepe/status/1440284474244169733")</f>
        <v>https://twitter.com/blogdopepe/status/1440284474244169733</v>
      </c>
      <c r="AA198" s="81"/>
      <c r="AB198" s="81"/>
      <c r="AC198" s="86" t="s">
        <v>6775</v>
      </c>
      <c r="AD198" s="81"/>
      <c r="AE198" s="81" t="b">
        <v>0</v>
      </c>
      <c r="AF198" s="81">
        <v>0</v>
      </c>
      <c r="AG198" s="86" t="s">
        <v>2084</v>
      </c>
      <c r="AH198" s="81" t="b">
        <v>0</v>
      </c>
      <c r="AI198" s="81" t="s">
        <v>2171</v>
      </c>
      <c r="AJ198" s="81"/>
      <c r="AK198" s="86" t="s">
        <v>2084</v>
      </c>
      <c r="AL198" s="81" t="b">
        <v>0</v>
      </c>
      <c r="AM198" s="81">
        <v>2</v>
      </c>
      <c r="AN198" s="86" t="s">
        <v>7583</v>
      </c>
      <c r="AO198" s="86" t="s">
        <v>2178</v>
      </c>
      <c r="AP198" s="81" t="b">
        <v>0</v>
      </c>
      <c r="AQ198" s="86" t="s">
        <v>7583</v>
      </c>
      <c r="AR198" s="81" t="s">
        <v>179</v>
      </c>
      <c r="AS198" s="81">
        <v>0</v>
      </c>
      <c r="AT198" s="81">
        <v>0</v>
      </c>
      <c r="AU198" s="81"/>
      <c r="AV198" s="81"/>
      <c r="AW198" s="81"/>
      <c r="AX198" s="81"/>
      <c r="AY198" s="81"/>
      <c r="AZ198" s="81"/>
      <c r="BA198" s="81"/>
      <c r="BB198" s="81"/>
    </row>
    <row r="199" spans="1:54" x14ac:dyDescent="0.35">
      <c r="A199" s="66" t="s">
        <v>4251</v>
      </c>
      <c r="B199" s="66" t="s">
        <v>4979</v>
      </c>
      <c r="C199" s="67"/>
      <c r="D199" s="68"/>
      <c r="E199" s="69"/>
      <c r="F199" s="70"/>
      <c r="G199" s="67"/>
      <c r="H199" s="71"/>
      <c r="I199" s="72"/>
      <c r="J199" s="72"/>
      <c r="K199" s="36"/>
      <c r="L199" s="79"/>
      <c r="M199" s="79"/>
      <c r="N199" s="74"/>
      <c r="O199" s="81" t="s">
        <v>695</v>
      </c>
      <c r="P199" s="83">
        <v>44460.499444444446</v>
      </c>
      <c r="Q199" s="81" t="s">
        <v>5304</v>
      </c>
      <c r="R199" s="81"/>
      <c r="S199" s="81"/>
      <c r="T199" s="81"/>
      <c r="U199" s="81"/>
      <c r="V199" s="84" t="str">
        <f>HYPERLINK("https://pbs.twimg.com/profile_images/1422778534632767491/9h5-V_QN_normal.jpg")</f>
        <v>https://pbs.twimg.com/profile_images/1422778534632767491/9h5-V_QN_normal.jpg</v>
      </c>
      <c r="W199" s="83">
        <v>44460.499444444446</v>
      </c>
      <c r="X199" s="89">
        <v>44460</v>
      </c>
      <c r="Y199" s="86" t="s">
        <v>5874</v>
      </c>
      <c r="Z199" s="84" t="str">
        <f>HYPERLINK("https://twitter.com/blogdopepe/status/1440284474244169733")</f>
        <v>https://twitter.com/blogdopepe/status/1440284474244169733</v>
      </c>
      <c r="AA199" s="81"/>
      <c r="AB199" s="81"/>
      <c r="AC199" s="86" t="s">
        <v>6775</v>
      </c>
      <c r="AD199" s="81"/>
      <c r="AE199" s="81" t="b">
        <v>0</v>
      </c>
      <c r="AF199" s="81">
        <v>0</v>
      </c>
      <c r="AG199" s="86" t="s">
        <v>2084</v>
      </c>
      <c r="AH199" s="81" t="b">
        <v>0</v>
      </c>
      <c r="AI199" s="81" t="s">
        <v>2171</v>
      </c>
      <c r="AJ199" s="81"/>
      <c r="AK199" s="86" t="s">
        <v>2084</v>
      </c>
      <c r="AL199" s="81" t="b">
        <v>0</v>
      </c>
      <c r="AM199" s="81">
        <v>2</v>
      </c>
      <c r="AN199" s="86" t="s">
        <v>7583</v>
      </c>
      <c r="AO199" s="86" t="s">
        <v>2178</v>
      </c>
      <c r="AP199" s="81" t="b">
        <v>0</v>
      </c>
      <c r="AQ199" s="86" t="s">
        <v>7583</v>
      </c>
      <c r="AR199" s="81" t="s">
        <v>179</v>
      </c>
      <c r="AS199" s="81">
        <v>0</v>
      </c>
      <c r="AT199" s="81">
        <v>0</v>
      </c>
      <c r="AU199" s="81"/>
      <c r="AV199" s="81"/>
      <c r="AW199" s="81"/>
      <c r="AX199" s="81"/>
      <c r="AY199" s="81"/>
      <c r="AZ199" s="81"/>
      <c r="BA199" s="81"/>
      <c r="BB199" s="81"/>
    </row>
    <row r="200" spans="1:54" x14ac:dyDescent="0.35">
      <c r="A200" s="66" t="s">
        <v>4252</v>
      </c>
      <c r="B200" s="66" t="s">
        <v>4495</v>
      </c>
      <c r="C200" s="67"/>
      <c r="D200" s="68"/>
      <c r="E200" s="69"/>
      <c r="F200" s="70"/>
      <c r="G200" s="67"/>
      <c r="H200" s="71"/>
      <c r="I200" s="72"/>
      <c r="J200" s="72"/>
      <c r="K200" s="36"/>
      <c r="L200" s="79"/>
      <c r="M200" s="79"/>
      <c r="N200" s="74"/>
      <c r="O200" s="81" t="s">
        <v>693</v>
      </c>
      <c r="P200" s="83">
        <v>44460.50503472222</v>
      </c>
      <c r="Q200" s="81" t="s">
        <v>5272</v>
      </c>
      <c r="R200" s="84" t="str">
        <f>HYPERLINK("https://www.gov.br/anvisa/pt-br/assuntos/fiscalizacao-e-monitoramento/notificacoes/vigimed/")</f>
        <v>https://www.gov.br/anvisa/pt-br/assuntos/fiscalizacao-e-monitoramento/notificacoes/vigimed/</v>
      </c>
      <c r="S200" s="81" t="s">
        <v>5686</v>
      </c>
      <c r="T200" s="81"/>
      <c r="U200" s="81"/>
      <c r="V200" s="84" t="str">
        <f>HYPERLINK("https://pbs.twimg.com/profile_images/1260217894094409729/iCKcNJFz_normal.jpg")</f>
        <v>https://pbs.twimg.com/profile_images/1260217894094409729/iCKcNJFz_normal.jpg</v>
      </c>
      <c r="W200" s="83">
        <v>44460.50503472222</v>
      </c>
      <c r="X200" s="89">
        <v>44460</v>
      </c>
      <c r="Y200" s="86" t="s">
        <v>5875</v>
      </c>
      <c r="Z200" s="84" t="str">
        <f>HYPERLINK("https://twitter.com/elianea91788511/status/1440286498348158987")</f>
        <v>https://twitter.com/elianea91788511/status/1440286498348158987</v>
      </c>
      <c r="AA200" s="81"/>
      <c r="AB200" s="81"/>
      <c r="AC200" s="86" t="s">
        <v>6776</v>
      </c>
      <c r="AD200" s="81"/>
      <c r="AE200" s="81" t="b">
        <v>0</v>
      </c>
      <c r="AF200" s="81">
        <v>0</v>
      </c>
      <c r="AG200" s="86" t="s">
        <v>2084</v>
      </c>
      <c r="AH200" s="81" t="b">
        <v>0</v>
      </c>
      <c r="AI200" s="81" t="s">
        <v>2171</v>
      </c>
      <c r="AJ200" s="81"/>
      <c r="AK200" s="86" t="s">
        <v>2084</v>
      </c>
      <c r="AL200" s="81" t="b">
        <v>0</v>
      </c>
      <c r="AM200" s="81">
        <v>1497</v>
      </c>
      <c r="AN200" s="86" t="s">
        <v>7047</v>
      </c>
      <c r="AO200" s="86" t="s">
        <v>2178</v>
      </c>
      <c r="AP200" s="81" t="b">
        <v>0</v>
      </c>
      <c r="AQ200" s="86" t="s">
        <v>7047</v>
      </c>
      <c r="AR200" s="81" t="s">
        <v>179</v>
      </c>
      <c r="AS200" s="81">
        <v>0</v>
      </c>
      <c r="AT200" s="81">
        <v>0</v>
      </c>
      <c r="AU200" s="81"/>
      <c r="AV200" s="81"/>
      <c r="AW200" s="81"/>
      <c r="AX200" s="81"/>
      <c r="AY200" s="81"/>
      <c r="AZ200" s="81"/>
      <c r="BA200" s="81"/>
      <c r="BB200" s="81"/>
    </row>
    <row r="201" spans="1:54" x14ac:dyDescent="0.35">
      <c r="A201" s="66" t="s">
        <v>4253</v>
      </c>
      <c r="B201" s="66" t="s">
        <v>4257</v>
      </c>
      <c r="C201" s="67"/>
      <c r="D201" s="68"/>
      <c r="E201" s="69"/>
      <c r="F201" s="70"/>
      <c r="G201" s="67"/>
      <c r="H201" s="71"/>
      <c r="I201" s="72"/>
      <c r="J201" s="72"/>
      <c r="K201" s="36"/>
      <c r="L201" s="79"/>
      <c r="M201" s="79"/>
      <c r="N201" s="74"/>
      <c r="O201" s="81" t="s">
        <v>693</v>
      </c>
      <c r="P201" s="83">
        <v>44460.505937499998</v>
      </c>
      <c r="Q201" s="81" t="s">
        <v>5294</v>
      </c>
      <c r="R201"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201" s="81" t="s">
        <v>935</v>
      </c>
      <c r="T201" s="81"/>
      <c r="U201" s="81"/>
      <c r="V201" s="84" t="str">
        <f>HYPERLINK("https://pbs.twimg.com/profile_images/1443233322398670856/01pBKeas_normal.png")</f>
        <v>https://pbs.twimg.com/profile_images/1443233322398670856/01pBKeas_normal.png</v>
      </c>
      <c r="W201" s="83">
        <v>44460.505937499998</v>
      </c>
      <c r="X201" s="89">
        <v>44460</v>
      </c>
      <c r="Y201" s="86" t="s">
        <v>5876</v>
      </c>
      <c r="Z201" s="84" t="str">
        <f>HYPERLINK("https://twitter.com/attayona/status/1440286826367893508")</f>
        <v>https://twitter.com/attayona/status/1440286826367893508</v>
      </c>
      <c r="AA201" s="81"/>
      <c r="AB201" s="81"/>
      <c r="AC201" s="86" t="s">
        <v>6777</v>
      </c>
      <c r="AD201" s="81"/>
      <c r="AE201" s="81" t="b">
        <v>0</v>
      </c>
      <c r="AF201" s="81">
        <v>0</v>
      </c>
      <c r="AG201" s="86" t="s">
        <v>2084</v>
      </c>
      <c r="AH201" s="81" t="b">
        <v>0</v>
      </c>
      <c r="AI201" s="81" t="s">
        <v>2167</v>
      </c>
      <c r="AJ201" s="81"/>
      <c r="AK201" s="86" t="s">
        <v>2084</v>
      </c>
      <c r="AL201" s="81" t="b">
        <v>0</v>
      </c>
      <c r="AM201" s="81">
        <v>231</v>
      </c>
      <c r="AN201" s="86" t="s">
        <v>6781</v>
      </c>
      <c r="AO201" s="86" t="s">
        <v>2178</v>
      </c>
      <c r="AP201" s="81" t="b">
        <v>0</v>
      </c>
      <c r="AQ201" s="86" t="s">
        <v>6781</v>
      </c>
      <c r="AR201" s="81" t="s">
        <v>179</v>
      </c>
      <c r="AS201" s="81">
        <v>0</v>
      </c>
      <c r="AT201" s="81">
        <v>0</v>
      </c>
      <c r="AU201" s="81"/>
      <c r="AV201" s="81"/>
      <c r="AW201" s="81"/>
      <c r="AX201" s="81"/>
      <c r="AY201" s="81"/>
      <c r="AZ201" s="81"/>
      <c r="BA201" s="81"/>
      <c r="BB201" s="81"/>
    </row>
    <row r="202" spans="1:54" x14ac:dyDescent="0.35">
      <c r="A202" s="66" t="s">
        <v>4254</v>
      </c>
      <c r="B202" s="66" t="s">
        <v>4963</v>
      </c>
      <c r="C202" s="67"/>
      <c r="D202" s="68"/>
      <c r="E202" s="69"/>
      <c r="F202" s="70"/>
      <c r="G202" s="67"/>
      <c r="H202" s="71"/>
      <c r="I202" s="72"/>
      <c r="J202" s="72"/>
      <c r="K202" s="36"/>
      <c r="L202" s="79"/>
      <c r="M202" s="79"/>
      <c r="N202" s="74"/>
      <c r="O202" s="81" t="s">
        <v>693</v>
      </c>
      <c r="P202" s="83">
        <v>44460.509027777778</v>
      </c>
      <c r="Q202" s="81" t="s">
        <v>5304</v>
      </c>
      <c r="R202" s="81"/>
      <c r="S202" s="81"/>
      <c r="T202" s="81"/>
      <c r="U202" s="81"/>
      <c r="V202" s="84" t="str">
        <f>HYPERLINK("https://pbs.twimg.com/profile_images/1156172600390893570/XFC4ribX_normal.jpg")</f>
        <v>https://pbs.twimg.com/profile_images/1156172600390893570/XFC4ribX_normal.jpg</v>
      </c>
      <c r="W202" s="83">
        <v>44460.509027777778</v>
      </c>
      <c r="X202" s="89">
        <v>44460</v>
      </c>
      <c r="Y202" s="86" t="s">
        <v>5877</v>
      </c>
      <c r="Z202" s="84" t="str">
        <f>HYPERLINK("https://twitter.com/radamanto/status/1440287947417210880")</f>
        <v>https://twitter.com/radamanto/status/1440287947417210880</v>
      </c>
      <c r="AA202" s="81"/>
      <c r="AB202" s="81"/>
      <c r="AC202" s="86" t="s">
        <v>6778</v>
      </c>
      <c r="AD202" s="81"/>
      <c r="AE202" s="81" t="b">
        <v>0</v>
      </c>
      <c r="AF202" s="81">
        <v>0</v>
      </c>
      <c r="AG202" s="86" t="s">
        <v>2084</v>
      </c>
      <c r="AH202" s="81" t="b">
        <v>0</v>
      </c>
      <c r="AI202" s="81" t="s">
        <v>2171</v>
      </c>
      <c r="AJ202" s="81"/>
      <c r="AK202" s="86" t="s">
        <v>2084</v>
      </c>
      <c r="AL202" s="81" t="b">
        <v>0</v>
      </c>
      <c r="AM202" s="81">
        <v>2</v>
      </c>
      <c r="AN202" s="86" t="s">
        <v>7583</v>
      </c>
      <c r="AO202" s="86" t="s">
        <v>2179</v>
      </c>
      <c r="AP202" s="81" t="b">
        <v>0</v>
      </c>
      <c r="AQ202" s="86" t="s">
        <v>7583</v>
      </c>
      <c r="AR202" s="81" t="s">
        <v>179</v>
      </c>
      <c r="AS202" s="81">
        <v>0</v>
      </c>
      <c r="AT202" s="81">
        <v>0</v>
      </c>
      <c r="AU202" s="81"/>
      <c r="AV202" s="81"/>
      <c r="AW202" s="81"/>
      <c r="AX202" s="81"/>
      <c r="AY202" s="81"/>
      <c r="AZ202" s="81"/>
      <c r="BA202" s="81"/>
      <c r="BB202" s="81"/>
    </row>
    <row r="203" spans="1:54" x14ac:dyDescent="0.35">
      <c r="A203" s="66" t="s">
        <v>4254</v>
      </c>
      <c r="B203" s="66" t="s">
        <v>4979</v>
      </c>
      <c r="C203" s="67"/>
      <c r="D203" s="68"/>
      <c r="E203" s="69"/>
      <c r="F203" s="70"/>
      <c r="G203" s="67"/>
      <c r="H203" s="71"/>
      <c r="I203" s="72"/>
      <c r="J203" s="72"/>
      <c r="K203" s="36"/>
      <c r="L203" s="79"/>
      <c r="M203" s="79"/>
      <c r="N203" s="74"/>
      <c r="O203" s="81" t="s">
        <v>695</v>
      </c>
      <c r="P203" s="83">
        <v>44460.509027777778</v>
      </c>
      <c r="Q203" s="81" t="s">
        <v>5304</v>
      </c>
      <c r="R203" s="81"/>
      <c r="S203" s="81"/>
      <c r="T203" s="81"/>
      <c r="U203" s="81"/>
      <c r="V203" s="84" t="str">
        <f>HYPERLINK("https://pbs.twimg.com/profile_images/1156172600390893570/XFC4ribX_normal.jpg")</f>
        <v>https://pbs.twimg.com/profile_images/1156172600390893570/XFC4ribX_normal.jpg</v>
      </c>
      <c r="W203" s="83">
        <v>44460.509027777778</v>
      </c>
      <c r="X203" s="89">
        <v>44460</v>
      </c>
      <c r="Y203" s="86" t="s">
        <v>5877</v>
      </c>
      <c r="Z203" s="84" t="str">
        <f>HYPERLINK("https://twitter.com/radamanto/status/1440287947417210880")</f>
        <v>https://twitter.com/radamanto/status/1440287947417210880</v>
      </c>
      <c r="AA203" s="81"/>
      <c r="AB203" s="81"/>
      <c r="AC203" s="86" t="s">
        <v>6778</v>
      </c>
      <c r="AD203" s="81"/>
      <c r="AE203" s="81" t="b">
        <v>0</v>
      </c>
      <c r="AF203" s="81">
        <v>0</v>
      </c>
      <c r="AG203" s="86" t="s">
        <v>2084</v>
      </c>
      <c r="AH203" s="81" t="b">
        <v>0</v>
      </c>
      <c r="AI203" s="81" t="s">
        <v>2171</v>
      </c>
      <c r="AJ203" s="81"/>
      <c r="AK203" s="86" t="s">
        <v>2084</v>
      </c>
      <c r="AL203" s="81" t="b">
        <v>0</v>
      </c>
      <c r="AM203" s="81">
        <v>2</v>
      </c>
      <c r="AN203" s="86" t="s">
        <v>7583</v>
      </c>
      <c r="AO203" s="86" t="s">
        <v>2179</v>
      </c>
      <c r="AP203" s="81" t="b">
        <v>0</v>
      </c>
      <c r="AQ203" s="86" t="s">
        <v>7583</v>
      </c>
      <c r="AR203" s="81" t="s">
        <v>179</v>
      </c>
      <c r="AS203" s="81">
        <v>0</v>
      </c>
      <c r="AT203" s="81">
        <v>0</v>
      </c>
      <c r="AU203" s="81"/>
      <c r="AV203" s="81"/>
      <c r="AW203" s="81"/>
      <c r="AX203" s="81"/>
      <c r="AY203" s="81"/>
      <c r="AZ203" s="81"/>
      <c r="BA203" s="81"/>
      <c r="BB203" s="81"/>
    </row>
    <row r="204" spans="1:54" x14ac:dyDescent="0.35">
      <c r="A204" s="66" t="s">
        <v>4255</v>
      </c>
      <c r="B204" s="66" t="s">
        <v>4257</v>
      </c>
      <c r="C204" s="67"/>
      <c r="D204" s="68"/>
      <c r="E204" s="69"/>
      <c r="F204" s="70"/>
      <c r="G204" s="67"/>
      <c r="H204" s="71"/>
      <c r="I204" s="72"/>
      <c r="J204" s="72"/>
      <c r="K204" s="36"/>
      <c r="L204" s="79"/>
      <c r="M204" s="79"/>
      <c r="N204" s="74"/>
      <c r="O204" s="81" t="s">
        <v>693</v>
      </c>
      <c r="P204" s="83">
        <v>44460.527569444443</v>
      </c>
      <c r="Q204" s="81" t="s">
        <v>5294</v>
      </c>
      <c r="R204"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204" s="81" t="s">
        <v>935</v>
      </c>
      <c r="T204" s="81"/>
      <c r="U204" s="81"/>
      <c r="V204" s="84" t="str">
        <f>HYPERLINK("https://pbs.twimg.com/profile_images/1443376520639041537/9SdKAD3C_normal.png")</f>
        <v>https://pbs.twimg.com/profile_images/1443376520639041537/9SdKAD3C_normal.png</v>
      </c>
      <c r="W204" s="83">
        <v>44460.527569444443</v>
      </c>
      <c r="X204" s="89">
        <v>44460</v>
      </c>
      <c r="Y204" s="86" t="s">
        <v>5878</v>
      </c>
      <c r="Z204" s="84" t="str">
        <f>HYPERLINK("https://twitter.com/kangthole81/status/1440294664746143750")</f>
        <v>https://twitter.com/kangthole81/status/1440294664746143750</v>
      </c>
      <c r="AA204" s="81"/>
      <c r="AB204" s="81"/>
      <c r="AC204" s="86" t="s">
        <v>6779</v>
      </c>
      <c r="AD204" s="81"/>
      <c r="AE204" s="81" t="b">
        <v>0</v>
      </c>
      <c r="AF204" s="81">
        <v>0</v>
      </c>
      <c r="AG204" s="86" t="s">
        <v>2084</v>
      </c>
      <c r="AH204" s="81" t="b">
        <v>0</v>
      </c>
      <c r="AI204" s="81" t="s">
        <v>2167</v>
      </c>
      <c r="AJ204" s="81"/>
      <c r="AK204" s="86" t="s">
        <v>2084</v>
      </c>
      <c r="AL204" s="81" t="b">
        <v>0</v>
      </c>
      <c r="AM204" s="81">
        <v>231</v>
      </c>
      <c r="AN204" s="86" t="s">
        <v>6781</v>
      </c>
      <c r="AO204" s="86" t="s">
        <v>2178</v>
      </c>
      <c r="AP204" s="81" t="b">
        <v>0</v>
      </c>
      <c r="AQ204" s="86" t="s">
        <v>6781</v>
      </c>
      <c r="AR204" s="81" t="s">
        <v>179</v>
      </c>
      <c r="AS204" s="81">
        <v>0</v>
      </c>
      <c r="AT204" s="81">
        <v>0</v>
      </c>
      <c r="AU204" s="81"/>
      <c r="AV204" s="81"/>
      <c r="AW204" s="81"/>
      <c r="AX204" s="81"/>
      <c r="AY204" s="81"/>
      <c r="AZ204" s="81"/>
      <c r="BA204" s="81"/>
      <c r="BB204" s="81"/>
    </row>
    <row r="205" spans="1:54" x14ac:dyDescent="0.35">
      <c r="A205" s="66" t="s">
        <v>4256</v>
      </c>
      <c r="B205" s="66" t="s">
        <v>4257</v>
      </c>
      <c r="C205" s="67"/>
      <c r="D205" s="68"/>
      <c r="E205" s="69"/>
      <c r="F205" s="70"/>
      <c r="G205" s="67"/>
      <c r="H205" s="71"/>
      <c r="I205" s="72"/>
      <c r="J205" s="72"/>
      <c r="K205" s="36"/>
      <c r="L205" s="79"/>
      <c r="M205" s="79"/>
      <c r="N205" s="74"/>
      <c r="O205" s="81" t="s">
        <v>693</v>
      </c>
      <c r="P205" s="83">
        <v>44460.529317129629</v>
      </c>
      <c r="Q205" s="81" t="s">
        <v>5294</v>
      </c>
      <c r="R205"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205" s="81" t="s">
        <v>935</v>
      </c>
      <c r="T205" s="81"/>
      <c r="U205" s="81"/>
      <c r="V205" s="84" t="str">
        <f>HYPERLINK("https://pbs.twimg.com/profile_images/754129872251826176/QUKeU8fW_normal.jpg")</f>
        <v>https://pbs.twimg.com/profile_images/754129872251826176/QUKeU8fW_normal.jpg</v>
      </c>
      <c r="W205" s="83">
        <v>44460.529317129629</v>
      </c>
      <c r="X205" s="89">
        <v>44460</v>
      </c>
      <c r="Y205" s="86" t="s">
        <v>5879</v>
      </c>
      <c r="Z205" s="84" t="str">
        <f>HYPERLINK("https://twitter.com/sukmariana_10/status/1440295300841676809")</f>
        <v>https://twitter.com/sukmariana_10/status/1440295300841676809</v>
      </c>
      <c r="AA205" s="81"/>
      <c r="AB205" s="81"/>
      <c r="AC205" s="86" t="s">
        <v>6780</v>
      </c>
      <c r="AD205" s="81"/>
      <c r="AE205" s="81" t="b">
        <v>0</v>
      </c>
      <c r="AF205" s="81">
        <v>0</v>
      </c>
      <c r="AG205" s="86" t="s">
        <v>2084</v>
      </c>
      <c r="AH205" s="81" t="b">
        <v>0</v>
      </c>
      <c r="AI205" s="81" t="s">
        <v>2167</v>
      </c>
      <c r="AJ205" s="81"/>
      <c r="AK205" s="86" t="s">
        <v>2084</v>
      </c>
      <c r="AL205" s="81" t="b">
        <v>0</v>
      </c>
      <c r="AM205" s="81">
        <v>231</v>
      </c>
      <c r="AN205" s="86" t="s">
        <v>6781</v>
      </c>
      <c r="AO205" s="86" t="s">
        <v>2178</v>
      </c>
      <c r="AP205" s="81" t="b">
        <v>0</v>
      </c>
      <c r="AQ205" s="86" t="s">
        <v>6781</v>
      </c>
      <c r="AR205" s="81" t="s">
        <v>179</v>
      </c>
      <c r="AS205" s="81">
        <v>0</v>
      </c>
      <c r="AT205" s="81">
        <v>0</v>
      </c>
      <c r="AU205" s="81"/>
      <c r="AV205" s="81"/>
      <c r="AW205" s="81"/>
      <c r="AX205" s="81"/>
      <c r="AY205" s="81"/>
      <c r="AZ205" s="81"/>
      <c r="BA205" s="81"/>
      <c r="BB205" s="81"/>
    </row>
    <row r="206" spans="1:54" x14ac:dyDescent="0.35">
      <c r="A206" s="66" t="s">
        <v>278</v>
      </c>
      <c r="B206" s="66" t="s">
        <v>625</v>
      </c>
      <c r="C206" s="67"/>
      <c r="D206" s="68"/>
      <c r="E206" s="69"/>
      <c r="F206" s="70"/>
      <c r="G206" s="67"/>
      <c r="H206" s="71"/>
      <c r="I206" s="72"/>
      <c r="J206" s="72"/>
      <c r="K206" s="36"/>
      <c r="L206" s="79"/>
      <c r="M206" s="79"/>
      <c r="N206" s="74"/>
      <c r="O206" s="81" t="s">
        <v>696</v>
      </c>
      <c r="P206" s="83">
        <v>44460.537766203706</v>
      </c>
      <c r="Q206" s="81" t="s">
        <v>725</v>
      </c>
      <c r="R206" s="81"/>
      <c r="S206" s="81"/>
      <c r="T206" s="81"/>
      <c r="U206" s="81"/>
      <c r="V206" s="84" t="str">
        <f>HYPERLINK("https://pbs.twimg.com/profile_images/1406190476718329856/43EfPMQk_normal.jpg")</f>
        <v>https://pbs.twimg.com/profile_images/1406190476718329856/43EfPMQk_normal.jpg</v>
      </c>
      <c r="W206" s="83">
        <v>44460.537766203706</v>
      </c>
      <c r="X206" s="89">
        <v>44460</v>
      </c>
      <c r="Y206" s="86" t="s">
        <v>1077</v>
      </c>
      <c r="Z206" s="84" t="str">
        <f>HYPERLINK("https://twitter.com/anwarashburn/status/1440298360007651348")</f>
        <v>https://twitter.com/anwarashburn/status/1440298360007651348</v>
      </c>
      <c r="AA206" s="81"/>
      <c r="AB206" s="81"/>
      <c r="AC206" s="86" t="s">
        <v>1576</v>
      </c>
      <c r="AD206" s="86" t="s">
        <v>2018</v>
      </c>
      <c r="AE206" s="81" t="b">
        <v>0</v>
      </c>
      <c r="AF206" s="81">
        <v>0</v>
      </c>
      <c r="AG206" s="86" t="s">
        <v>2099</v>
      </c>
      <c r="AH206" s="81" t="b">
        <v>0</v>
      </c>
      <c r="AI206" s="81" t="s">
        <v>2167</v>
      </c>
      <c r="AJ206" s="81"/>
      <c r="AK206" s="86" t="s">
        <v>2084</v>
      </c>
      <c r="AL206" s="81" t="b">
        <v>0</v>
      </c>
      <c r="AM206" s="81">
        <v>0</v>
      </c>
      <c r="AN206" s="86" t="s">
        <v>2084</v>
      </c>
      <c r="AO206" s="86" t="s">
        <v>2178</v>
      </c>
      <c r="AP206" s="81" t="b">
        <v>0</v>
      </c>
      <c r="AQ206" s="86" t="s">
        <v>2018</v>
      </c>
      <c r="AR206" s="81" t="s">
        <v>179</v>
      </c>
      <c r="AS206" s="81">
        <v>0</v>
      </c>
      <c r="AT206" s="81">
        <v>0</v>
      </c>
      <c r="AU206" s="81"/>
      <c r="AV206" s="81"/>
      <c r="AW206" s="81"/>
      <c r="AX206" s="81"/>
      <c r="AY206" s="81"/>
      <c r="AZ206" s="81"/>
      <c r="BA206" s="81"/>
      <c r="BB206" s="81"/>
    </row>
    <row r="207" spans="1:54" x14ac:dyDescent="0.35">
      <c r="A207" s="66" t="s">
        <v>278</v>
      </c>
      <c r="B207" s="66" t="s">
        <v>626</v>
      </c>
      <c r="C207" s="67"/>
      <c r="D207" s="68"/>
      <c r="E207" s="69"/>
      <c r="F207" s="70"/>
      <c r="G207" s="67"/>
      <c r="H207" s="71"/>
      <c r="I207" s="72"/>
      <c r="J207" s="72"/>
      <c r="K207" s="36"/>
      <c r="L207" s="79"/>
      <c r="M207" s="79"/>
      <c r="N207" s="74"/>
      <c r="O207" s="81" t="s">
        <v>695</v>
      </c>
      <c r="P207" s="83">
        <v>44460.537766203706</v>
      </c>
      <c r="Q207" s="81" t="s">
        <v>725</v>
      </c>
      <c r="R207" s="81"/>
      <c r="S207" s="81"/>
      <c r="T207" s="81"/>
      <c r="U207" s="81"/>
      <c r="V207" s="84" t="str">
        <f>HYPERLINK("https://pbs.twimg.com/profile_images/1406190476718329856/43EfPMQk_normal.jpg")</f>
        <v>https://pbs.twimg.com/profile_images/1406190476718329856/43EfPMQk_normal.jpg</v>
      </c>
      <c r="W207" s="83">
        <v>44460.537766203706</v>
      </c>
      <c r="X207" s="89">
        <v>44460</v>
      </c>
      <c r="Y207" s="86" t="s">
        <v>1077</v>
      </c>
      <c r="Z207" s="84" t="str">
        <f>HYPERLINK("https://twitter.com/anwarashburn/status/1440298360007651348")</f>
        <v>https://twitter.com/anwarashburn/status/1440298360007651348</v>
      </c>
      <c r="AA207" s="81"/>
      <c r="AB207" s="81"/>
      <c r="AC207" s="86" t="s">
        <v>1576</v>
      </c>
      <c r="AD207" s="86" t="s">
        <v>2018</v>
      </c>
      <c r="AE207" s="81" t="b">
        <v>0</v>
      </c>
      <c r="AF207" s="81">
        <v>0</v>
      </c>
      <c r="AG207" s="86" t="s">
        <v>2099</v>
      </c>
      <c r="AH207" s="81" t="b">
        <v>0</v>
      </c>
      <c r="AI207" s="81" t="s">
        <v>2167</v>
      </c>
      <c r="AJ207" s="81"/>
      <c r="AK207" s="86" t="s">
        <v>2084</v>
      </c>
      <c r="AL207" s="81" t="b">
        <v>0</v>
      </c>
      <c r="AM207" s="81">
        <v>0</v>
      </c>
      <c r="AN207" s="86" t="s">
        <v>2084</v>
      </c>
      <c r="AO207" s="86" t="s">
        <v>2178</v>
      </c>
      <c r="AP207" s="81" t="b">
        <v>0</v>
      </c>
      <c r="AQ207" s="86" t="s">
        <v>2018</v>
      </c>
      <c r="AR207" s="81" t="s">
        <v>179</v>
      </c>
      <c r="AS207" s="81">
        <v>0</v>
      </c>
      <c r="AT207" s="81">
        <v>0</v>
      </c>
      <c r="AU207" s="81"/>
      <c r="AV207" s="81"/>
      <c r="AW207" s="81"/>
      <c r="AX207" s="81"/>
      <c r="AY207" s="81"/>
      <c r="AZ207" s="81"/>
      <c r="BA207" s="81"/>
      <c r="BB207" s="81"/>
    </row>
    <row r="208" spans="1:54" x14ac:dyDescent="0.35">
      <c r="A208" s="66" t="s">
        <v>4257</v>
      </c>
      <c r="B208" s="66" t="s">
        <v>4257</v>
      </c>
      <c r="C208" s="67"/>
      <c r="D208" s="68"/>
      <c r="E208" s="69"/>
      <c r="F208" s="70"/>
      <c r="G208" s="67"/>
      <c r="H208" s="71"/>
      <c r="I208" s="72"/>
      <c r="J208" s="72"/>
      <c r="K208" s="36"/>
      <c r="L208" s="79"/>
      <c r="M208" s="79"/>
      <c r="N208" s="74"/>
      <c r="O208" s="81" t="s">
        <v>179</v>
      </c>
      <c r="P208" s="83">
        <v>44453.543206018519</v>
      </c>
      <c r="Q208" s="81" t="s">
        <v>5294</v>
      </c>
      <c r="R208"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208" s="81" t="s">
        <v>935</v>
      </c>
      <c r="T208" s="81"/>
      <c r="U208" s="81"/>
      <c r="V208" s="84" t="str">
        <f>HYPERLINK("https://pbs.twimg.com/profile_images/1392862013420756997/RIUdvWiT_normal.jpg")</f>
        <v>https://pbs.twimg.com/profile_images/1392862013420756997/RIUdvWiT_normal.jpg</v>
      </c>
      <c r="W208" s="83">
        <v>44453.543206018519</v>
      </c>
      <c r="X208" s="89">
        <v>44453</v>
      </c>
      <c r="Y208" s="86" t="s">
        <v>5880</v>
      </c>
      <c r="Z208" s="84" t="str">
        <f>HYPERLINK("https://twitter.com/kita_amltf/status/1437763617147920387")</f>
        <v>https://twitter.com/kita_amltf/status/1437763617147920387</v>
      </c>
      <c r="AA208" s="81"/>
      <c r="AB208" s="81"/>
      <c r="AC208" s="86" t="s">
        <v>6781</v>
      </c>
      <c r="AD208" s="81"/>
      <c r="AE208" s="81" t="b">
        <v>0</v>
      </c>
      <c r="AF208" s="81">
        <v>292</v>
      </c>
      <c r="AG208" s="86" t="s">
        <v>2084</v>
      </c>
      <c r="AH208" s="81" t="b">
        <v>0</v>
      </c>
      <c r="AI208" s="81" t="s">
        <v>2167</v>
      </c>
      <c r="AJ208" s="81"/>
      <c r="AK208" s="86" t="s">
        <v>2084</v>
      </c>
      <c r="AL208" s="81" t="b">
        <v>0</v>
      </c>
      <c r="AM208" s="81">
        <v>231</v>
      </c>
      <c r="AN208" s="86" t="s">
        <v>2084</v>
      </c>
      <c r="AO208" s="86" t="s">
        <v>2179</v>
      </c>
      <c r="AP208" s="81" t="b">
        <v>0</v>
      </c>
      <c r="AQ208" s="86" t="s">
        <v>6781</v>
      </c>
      <c r="AR208" s="81" t="s">
        <v>693</v>
      </c>
      <c r="AS208" s="81">
        <v>0</v>
      </c>
      <c r="AT208" s="81">
        <v>0</v>
      </c>
      <c r="AU208" s="81"/>
      <c r="AV208" s="81"/>
      <c r="AW208" s="81"/>
      <c r="AX208" s="81"/>
      <c r="AY208" s="81"/>
      <c r="AZ208" s="81"/>
      <c r="BA208" s="81"/>
      <c r="BB208" s="81"/>
    </row>
    <row r="209" spans="1:54" x14ac:dyDescent="0.35">
      <c r="A209" s="66" t="s">
        <v>4258</v>
      </c>
      <c r="B209" s="66" t="s">
        <v>4257</v>
      </c>
      <c r="C209" s="67"/>
      <c r="D209" s="68"/>
      <c r="E209" s="69"/>
      <c r="F209" s="70"/>
      <c r="G209" s="67"/>
      <c r="H209" s="71"/>
      <c r="I209" s="72"/>
      <c r="J209" s="72"/>
      <c r="K209" s="36"/>
      <c r="L209" s="79"/>
      <c r="M209" s="79"/>
      <c r="N209" s="74"/>
      <c r="O209" s="81" t="s">
        <v>693</v>
      </c>
      <c r="P209" s="83">
        <v>44460.542083333334</v>
      </c>
      <c r="Q209" s="81" t="s">
        <v>5294</v>
      </c>
      <c r="R209"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209" s="81" t="s">
        <v>935</v>
      </c>
      <c r="T209" s="81"/>
      <c r="U209" s="81"/>
      <c r="V209" s="84" t="str">
        <f>HYPERLINK("https://pbs.twimg.com/profile_images/1440914643543740422/xnjT9xTk_normal.jpg")</f>
        <v>https://pbs.twimg.com/profile_images/1440914643543740422/xnjT9xTk_normal.jpg</v>
      </c>
      <c r="W209" s="83">
        <v>44460.542083333334</v>
      </c>
      <c r="X209" s="89">
        <v>44460</v>
      </c>
      <c r="Y209" s="86" t="s">
        <v>5881</v>
      </c>
      <c r="Z209" s="84" t="str">
        <f>HYPERLINK("https://twitter.com/wanlovesaja/status/1440299925980389398")</f>
        <v>https://twitter.com/wanlovesaja/status/1440299925980389398</v>
      </c>
      <c r="AA209" s="81"/>
      <c r="AB209" s="81"/>
      <c r="AC209" s="86" t="s">
        <v>6782</v>
      </c>
      <c r="AD209" s="81"/>
      <c r="AE209" s="81" t="b">
        <v>0</v>
      </c>
      <c r="AF209" s="81">
        <v>0</v>
      </c>
      <c r="AG209" s="86" t="s">
        <v>2084</v>
      </c>
      <c r="AH209" s="81" t="b">
        <v>0</v>
      </c>
      <c r="AI209" s="81" t="s">
        <v>2167</v>
      </c>
      <c r="AJ209" s="81"/>
      <c r="AK209" s="86" t="s">
        <v>2084</v>
      </c>
      <c r="AL209" s="81" t="b">
        <v>0</v>
      </c>
      <c r="AM209" s="81">
        <v>231</v>
      </c>
      <c r="AN209" s="86" t="s">
        <v>6781</v>
      </c>
      <c r="AO209" s="86" t="s">
        <v>2178</v>
      </c>
      <c r="AP209" s="81" t="b">
        <v>0</v>
      </c>
      <c r="AQ209" s="86" t="s">
        <v>6781</v>
      </c>
      <c r="AR209" s="81" t="s">
        <v>179</v>
      </c>
      <c r="AS209" s="81">
        <v>0</v>
      </c>
      <c r="AT209" s="81">
        <v>0</v>
      </c>
      <c r="AU209" s="81"/>
      <c r="AV209" s="81"/>
      <c r="AW209" s="81"/>
      <c r="AX209" s="81"/>
      <c r="AY209" s="81"/>
      <c r="AZ209" s="81"/>
      <c r="BA209" s="81"/>
      <c r="BB209" s="81"/>
    </row>
    <row r="210" spans="1:54" x14ac:dyDescent="0.35">
      <c r="A210" s="66" t="s">
        <v>4259</v>
      </c>
      <c r="B210" s="66" t="s">
        <v>4939</v>
      </c>
      <c r="C210" s="67"/>
      <c r="D210" s="68"/>
      <c r="E210" s="69"/>
      <c r="F210" s="70"/>
      <c r="G210" s="67"/>
      <c r="H210" s="71"/>
      <c r="I210" s="72"/>
      <c r="J210" s="72"/>
      <c r="K210" s="36"/>
      <c r="L210" s="79"/>
      <c r="M210" s="79"/>
      <c r="N210" s="74"/>
      <c r="O210" s="81" t="s">
        <v>693</v>
      </c>
      <c r="P210" s="83">
        <v>44460.553437499999</v>
      </c>
      <c r="Q210" s="81" t="s">
        <v>5282</v>
      </c>
      <c r="R210"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210" s="81" t="s">
        <v>5696</v>
      </c>
      <c r="T210" s="81"/>
      <c r="U210" s="84" t="str">
        <f>HYPERLINK("https://pbs.twimg.com/media/E_vHfERXoA8GltO.jpg")</f>
        <v>https://pbs.twimg.com/media/E_vHfERXoA8GltO.jpg</v>
      </c>
      <c r="V210" s="84" t="str">
        <f>HYPERLINK("https://pbs.twimg.com/media/E_vHfERXoA8GltO.jpg")</f>
        <v>https://pbs.twimg.com/media/E_vHfERXoA8GltO.jpg</v>
      </c>
      <c r="W210" s="83">
        <v>44460.553437499999</v>
      </c>
      <c r="X210" s="89">
        <v>44460</v>
      </c>
      <c r="Y210" s="86" t="s">
        <v>5882</v>
      </c>
      <c r="Z210" s="84" t="str">
        <f>HYPERLINK("https://twitter.com/redegovernanca/status/1440304040894550025")</f>
        <v>https://twitter.com/redegovernanca/status/1440304040894550025</v>
      </c>
      <c r="AA210" s="81"/>
      <c r="AB210" s="81"/>
      <c r="AC210" s="86" t="s">
        <v>6783</v>
      </c>
      <c r="AD210" s="81"/>
      <c r="AE210" s="81" t="b">
        <v>0</v>
      </c>
      <c r="AF210" s="81">
        <v>0</v>
      </c>
      <c r="AG210" s="86" t="s">
        <v>2084</v>
      </c>
      <c r="AH210" s="81" t="b">
        <v>0</v>
      </c>
      <c r="AI210" s="81" t="s">
        <v>2171</v>
      </c>
      <c r="AJ210" s="81"/>
      <c r="AK210" s="86" t="s">
        <v>2084</v>
      </c>
      <c r="AL210" s="81" t="b">
        <v>0</v>
      </c>
      <c r="AM210" s="81">
        <v>16</v>
      </c>
      <c r="AN210" s="86" t="s">
        <v>7535</v>
      </c>
      <c r="AO210" s="86" t="s">
        <v>2178</v>
      </c>
      <c r="AP210" s="81" t="b">
        <v>0</v>
      </c>
      <c r="AQ210" s="86" t="s">
        <v>7535</v>
      </c>
      <c r="AR210" s="81" t="s">
        <v>179</v>
      </c>
      <c r="AS210" s="81">
        <v>0</v>
      </c>
      <c r="AT210" s="81">
        <v>0</v>
      </c>
      <c r="AU210" s="81"/>
      <c r="AV210" s="81"/>
      <c r="AW210" s="81"/>
      <c r="AX210" s="81"/>
      <c r="AY210" s="81"/>
      <c r="AZ210" s="81"/>
      <c r="BA210" s="81"/>
      <c r="BB210" s="81"/>
    </row>
    <row r="211" spans="1:54" x14ac:dyDescent="0.35">
      <c r="A211" s="66" t="s">
        <v>4260</v>
      </c>
      <c r="B211" s="66" t="s">
        <v>5000</v>
      </c>
      <c r="C211" s="67"/>
      <c r="D211" s="68"/>
      <c r="E211" s="69"/>
      <c r="F211" s="70"/>
      <c r="G211" s="67"/>
      <c r="H211" s="71"/>
      <c r="I211" s="72"/>
      <c r="J211" s="72"/>
      <c r="K211" s="36"/>
      <c r="L211" s="79"/>
      <c r="M211" s="79"/>
      <c r="N211" s="74"/>
      <c r="O211" s="81" t="s">
        <v>694</v>
      </c>
      <c r="P211" s="83">
        <v>44460.562569444446</v>
      </c>
      <c r="Q211" s="81" t="s">
        <v>5305</v>
      </c>
      <c r="R211" s="81" t="s">
        <v>5676</v>
      </c>
      <c r="S211" s="81" t="s">
        <v>5699</v>
      </c>
      <c r="T211" s="81"/>
      <c r="U211" s="81"/>
      <c r="V211" s="84" t="str">
        <f>HYPERLINK("https://pbs.twimg.com/profile_images/1356267946490933250/UnRnG4qk_normal.jpg")</f>
        <v>https://pbs.twimg.com/profile_images/1356267946490933250/UnRnG4qk_normal.jpg</v>
      </c>
      <c r="W211" s="83">
        <v>44460.562569444446</v>
      </c>
      <c r="X211" s="89">
        <v>44460</v>
      </c>
      <c r="Y211" s="86" t="s">
        <v>5883</v>
      </c>
      <c r="Z211" s="84" t="str">
        <f>HYPERLINK("https://twitter.com/binobiasutti/status/1440307348560510985")</f>
        <v>https://twitter.com/binobiasutti/status/1440307348560510985</v>
      </c>
      <c r="AA211" s="81"/>
      <c r="AB211" s="81"/>
      <c r="AC211" s="86" t="s">
        <v>6784</v>
      </c>
      <c r="AD211" s="81"/>
      <c r="AE211" s="81" t="b">
        <v>0</v>
      </c>
      <c r="AF211" s="81">
        <v>0</v>
      </c>
      <c r="AG211" s="86" t="s">
        <v>2084</v>
      </c>
      <c r="AH211" s="81" t="b">
        <v>0</v>
      </c>
      <c r="AI211" s="81" t="s">
        <v>2171</v>
      </c>
      <c r="AJ211" s="81"/>
      <c r="AK211" s="86" t="s">
        <v>2084</v>
      </c>
      <c r="AL211" s="81" t="b">
        <v>0</v>
      </c>
      <c r="AM211" s="81">
        <v>8</v>
      </c>
      <c r="AN211" s="86" t="s">
        <v>6942</v>
      </c>
      <c r="AO211" s="86" t="s">
        <v>2181</v>
      </c>
      <c r="AP211" s="81" t="b">
        <v>0</v>
      </c>
      <c r="AQ211" s="86" t="s">
        <v>6942</v>
      </c>
      <c r="AR211" s="81" t="s">
        <v>179</v>
      </c>
      <c r="AS211" s="81">
        <v>0</v>
      </c>
      <c r="AT211" s="81">
        <v>0</v>
      </c>
      <c r="AU211" s="81"/>
      <c r="AV211" s="81"/>
      <c r="AW211" s="81"/>
      <c r="AX211" s="81"/>
      <c r="AY211" s="81"/>
      <c r="AZ211" s="81"/>
      <c r="BA211" s="81"/>
      <c r="BB211" s="81"/>
    </row>
    <row r="212" spans="1:54" x14ac:dyDescent="0.35">
      <c r="A212" s="66" t="s">
        <v>4260</v>
      </c>
      <c r="B212" s="66" t="s">
        <v>5001</v>
      </c>
      <c r="C212" s="67"/>
      <c r="D212" s="68"/>
      <c r="E212" s="69"/>
      <c r="F212" s="70"/>
      <c r="G212" s="67"/>
      <c r="H212" s="71"/>
      <c r="I212" s="72"/>
      <c r="J212" s="72"/>
      <c r="K212" s="36"/>
      <c r="L212" s="79"/>
      <c r="M212" s="79"/>
      <c r="N212" s="74"/>
      <c r="O212" s="81" t="s">
        <v>694</v>
      </c>
      <c r="P212" s="83">
        <v>44460.562569444446</v>
      </c>
      <c r="Q212" s="81" t="s">
        <v>5305</v>
      </c>
      <c r="R212" s="81" t="s">
        <v>5676</v>
      </c>
      <c r="S212" s="81" t="s">
        <v>5699</v>
      </c>
      <c r="T212" s="81"/>
      <c r="U212" s="81"/>
      <c r="V212" s="84" t="str">
        <f>HYPERLINK("https://pbs.twimg.com/profile_images/1356267946490933250/UnRnG4qk_normal.jpg")</f>
        <v>https://pbs.twimg.com/profile_images/1356267946490933250/UnRnG4qk_normal.jpg</v>
      </c>
      <c r="W212" s="83">
        <v>44460.562569444446</v>
      </c>
      <c r="X212" s="89">
        <v>44460</v>
      </c>
      <c r="Y212" s="86" t="s">
        <v>5883</v>
      </c>
      <c r="Z212" s="84" t="str">
        <f>HYPERLINK("https://twitter.com/binobiasutti/status/1440307348560510985")</f>
        <v>https://twitter.com/binobiasutti/status/1440307348560510985</v>
      </c>
      <c r="AA212" s="81"/>
      <c r="AB212" s="81"/>
      <c r="AC212" s="86" t="s">
        <v>6784</v>
      </c>
      <c r="AD212" s="81"/>
      <c r="AE212" s="81" t="b">
        <v>0</v>
      </c>
      <c r="AF212" s="81">
        <v>0</v>
      </c>
      <c r="AG212" s="86" t="s">
        <v>2084</v>
      </c>
      <c r="AH212" s="81" t="b">
        <v>0</v>
      </c>
      <c r="AI212" s="81" t="s">
        <v>2171</v>
      </c>
      <c r="AJ212" s="81"/>
      <c r="AK212" s="86" t="s">
        <v>2084</v>
      </c>
      <c r="AL212" s="81" t="b">
        <v>0</v>
      </c>
      <c r="AM212" s="81">
        <v>8</v>
      </c>
      <c r="AN212" s="86" t="s">
        <v>6942</v>
      </c>
      <c r="AO212" s="86" t="s">
        <v>2181</v>
      </c>
      <c r="AP212" s="81" t="b">
        <v>0</v>
      </c>
      <c r="AQ212" s="86" t="s">
        <v>6942</v>
      </c>
      <c r="AR212" s="81" t="s">
        <v>179</v>
      </c>
      <c r="AS212" s="81">
        <v>0</v>
      </c>
      <c r="AT212" s="81">
        <v>0</v>
      </c>
      <c r="AU212" s="81"/>
      <c r="AV212" s="81"/>
      <c r="AW212" s="81"/>
      <c r="AX212" s="81"/>
      <c r="AY212" s="81"/>
      <c r="AZ212" s="81"/>
      <c r="BA212" s="81"/>
      <c r="BB212" s="81"/>
    </row>
    <row r="213" spans="1:54" x14ac:dyDescent="0.35">
      <c r="A213" s="66" t="s">
        <v>4260</v>
      </c>
      <c r="B213" s="66" t="s">
        <v>4406</v>
      </c>
      <c r="C213" s="67"/>
      <c r="D213" s="68"/>
      <c r="E213" s="69"/>
      <c r="F213" s="70"/>
      <c r="G213" s="67"/>
      <c r="H213" s="71"/>
      <c r="I213" s="72"/>
      <c r="J213" s="72"/>
      <c r="K213" s="36"/>
      <c r="L213" s="79"/>
      <c r="M213" s="79"/>
      <c r="N213" s="74"/>
      <c r="O213" s="81" t="s">
        <v>694</v>
      </c>
      <c r="P213" s="83">
        <v>44460.562569444446</v>
      </c>
      <c r="Q213" s="81" t="s">
        <v>5305</v>
      </c>
      <c r="R213" s="81" t="s">
        <v>5676</v>
      </c>
      <c r="S213" s="81" t="s">
        <v>5699</v>
      </c>
      <c r="T213" s="81"/>
      <c r="U213" s="81"/>
      <c r="V213" s="84" t="str">
        <f>HYPERLINK("https://pbs.twimg.com/profile_images/1356267946490933250/UnRnG4qk_normal.jpg")</f>
        <v>https://pbs.twimg.com/profile_images/1356267946490933250/UnRnG4qk_normal.jpg</v>
      </c>
      <c r="W213" s="83">
        <v>44460.562569444446</v>
      </c>
      <c r="X213" s="89">
        <v>44460</v>
      </c>
      <c r="Y213" s="86" t="s">
        <v>5883</v>
      </c>
      <c r="Z213" s="84" t="str">
        <f>HYPERLINK("https://twitter.com/binobiasutti/status/1440307348560510985")</f>
        <v>https://twitter.com/binobiasutti/status/1440307348560510985</v>
      </c>
      <c r="AA213" s="81"/>
      <c r="AB213" s="81"/>
      <c r="AC213" s="86" t="s">
        <v>6784</v>
      </c>
      <c r="AD213" s="81"/>
      <c r="AE213" s="81" t="b">
        <v>0</v>
      </c>
      <c r="AF213" s="81">
        <v>0</v>
      </c>
      <c r="AG213" s="86" t="s">
        <v>2084</v>
      </c>
      <c r="AH213" s="81" t="b">
        <v>0</v>
      </c>
      <c r="AI213" s="81" t="s">
        <v>2171</v>
      </c>
      <c r="AJ213" s="81"/>
      <c r="AK213" s="86" t="s">
        <v>2084</v>
      </c>
      <c r="AL213" s="81" t="b">
        <v>0</v>
      </c>
      <c r="AM213" s="81">
        <v>8</v>
      </c>
      <c r="AN213" s="86" t="s">
        <v>6942</v>
      </c>
      <c r="AO213" s="86" t="s">
        <v>2181</v>
      </c>
      <c r="AP213" s="81" t="b">
        <v>0</v>
      </c>
      <c r="AQ213" s="86" t="s">
        <v>6942</v>
      </c>
      <c r="AR213" s="81" t="s">
        <v>179</v>
      </c>
      <c r="AS213" s="81">
        <v>0</v>
      </c>
      <c r="AT213" s="81">
        <v>0</v>
      </c>
      <c r="AU213" s="81"/>
      <c r="AV213" s="81"/>
      <c r="AW213" s="81"/>
      <c r="AX213" s="81"/>
      <c r="AY213" s="81"/>
      <c r="AZ213" s="81"/>
      <c r="BA213" s="81"/>
      <c r="BB213" s="81"/>
    </row>
    <row r="214" spans="1:54" x14ac:dyDescent="0.35">
      <c r="A214" s="66" t="s">
        <v>4260</v>
      </c>
      <c r="B214" s="66" t="s">
        <v>5002</v>
      </c>
      <c r="C214" s="67"/>
      <c r="D214" s="68"/>
      <c r="E214" s="69"/>
      <c r="F214" s="70"/>
      <c r="G214" s="67"/>
      <c r="H214" s="71"/>
      <c r="I214" s="72"/>
      <c r="J214" s="72"/>
      <c r="K214" s="36"/>
      <c r="L214" s="79"/>
      <c r="M214" s="79"/>
      <c r="N214" s="74"/>
      <c r="O214" s="81" t="s">
        <v>694</v>
      </c>
      <c r="P214" s="83">
        <v>44460.562569444446</v>
      </c>
      <c r="Q214" s="81" t="s">
        <v>5305</v>
      </c>
      <c r="R214" s="81" t="s">
        <v>5676</v>
      </c>
      <c r="S214" s="81" t="s">
        <v>5699</v>
      </c>
      <c r="T214" s="81"/>
      <c r="U214" s="81"/>
      <c r="V214" s="84" t="str">
        <f>HYPERLINK("https://pbs.twimg.com/profile_images/1356267946490933250/UnRnG4qk_normal.jpg")</f>
        <v>https://pbs.twimg.com/profile_images/1356267946490933250/UnRnG4qk_normal.jpg</v>
      </c>
      <c r="W214" s="83">
        <v>44460.562569444446</v>
      </c>
      <c r="X214" s="89">
        <v>44460</v>
      </c>
      <c r="Y214" s="86" t="s">
        <v>5883</v>
      </c>
      <c r="Z214" s="84" t="str">
        <f>HYPERLINK("https://twitter.com/binobiasutti/status/1440307348560510985")</f>
        <v>https://twitter.com/binobiasutti/status/1440307348560510985</v>
      </c>
      <c r="AA214" s="81"/>
      <c r="AB214" s="81"/>
      <c r="AC214" s="86" t="s">
        <v>6784</v>
      </c>
      <c r="AD214" s="81"/>
      <c r="AE214" s="81" t="b">
        <v>0</v>
      </c>
      <c r="AF214" s="81">
        <v>0</v>
      </c>
      <c r="AG214" s="86" t="s">
        <v>2084</v>
      </c>
      <c r="AH214" s="81" t="b">
        <v>0</v>
      </c>
      <c r="AI214" s="81" t="s">
        <v>2171</v>
      </c>
      <c r="AJ214" s="81"/>
      <c r="AK214" s="86" t="s">
        <v>2084</v>
      </c>
      <c r="AL214" s="81" t="b">
        <v>0</v>
      </c>
      <c r="AM214" s="81">
        <v>8</v>
      </c>
      <c r="AN214" s="86" t="s">
        <v>6942</v>
      </c>
      <c r="AO214" s="86" t="s">
        <v>2181</v>
      </c>
      <c r="AP214" s="81" t="b">
        <v>0</v>
      </c>
      <c r="AQ214" s="86" t="s">
        <v>6942</v>
      </c>
      <c r="AR214" s="81" t="s">
        <v>179</v>
      </c>
      <c r="AS214" s="81">
        <v>0</v>
      </c>
      <c r="AT214" s="81">
        <v>0</v>
      </c>
      <c r="AU214" s="81"/>
      <c r="AV214" s="81"/>
      <c r="AW214" s="81"/>
      <c r="AX214" s="81"/>
      <c r="AY214" s="81"/>
      <c r="AZ214" s="81"/>
      <c r="BA214" s="81"/>
      <c r="BB214" s="81"/>
    </row>
    <row r="215" spans="1:54" x14ac:dyDescent="0.35">
      <c r="A215" s="66" t="s">
        <v>4260</v>
      </c>
      <c r="B215" s="66" t="s">
        <v>4407</v>
      </c>
      <c r="C215" s="67"/>
      <c r="D215" s="68"/>
      <c r="E215" s="69"/>
      <c r="F215" s="70"/>
      <c r="G215" s="67"/>
      <c r="H215" s="71"/>
      <c r="I215" s="72"/>
      <c r="J215" s="72"/>
      <c r="K215" s="36"/>
      <c r="L215" s="79"/>
      <c r="M215" s="79"/>
      <c r="N215" s="74"/>
      <c r="O215" s="81" t="s">
        <v>694</v>
      </c>
      <c r="P215" s="83">
        <v>44460.562569444446</v>
      </c>
      <c r="Q215" s="81" t="s">
        <v>5305</v>
      </c>
      <c r="R215" s="81" t="s">
        <v>5676</v>
      </c>
      <c r="S215" s="81" t="s">
        <v>5699</v>
      </c>
      <c r="T215" s="81"/>
      <c r="U215" s="81"/>
      <c r="V215" s="84" t="str">
        <f>HYPERLINK("https://pbs.twimg.com/profile_images/1356267946490933250/UnRnG4qk_normal.jpg")</f>
        <v>https://pbs.twimg.com/profile_images/1356267946490933250/UnRnG4qk_normal.jpg</v>
      </c>
      <c r="W215" s="83">
        <v>44460.562569444446</v>
      </c>
      <c r="X215" s="89">
        <v>44460</v>
      </c>
      <c r="Y215" s="86" t="s">
        <v>5883</v>
      </c>
      <c r="Z215" s="84" t="str">
        <f>HYPERLINK("https://twitter.com/binobiasutti/status/1440307348560510985")</f>
        <v>https://twitter.com/binobiasutti/status/1440307348560510985</v>
      </c>
      <c r="AA215" s="81"/>
      <c r="AB215" s="81"/>
      <c r="AC215" s="86" t="s">
        <v>6784</v>
      </c>
      <c r="AD215" s="81"/>
      <c r="AE215" s="81" t="b">
        <v>0</v>
      </c>
      <c r="AF215" s="81">
        <v>0</v>
      </c>
      <c r="AG215" s="86" t="s">
        <v>2084</v>
      </c>
      <c r="AH215" s="81" t="b">
        <v>0</v>
      </c>
      <c r="AI215" s="81" t="s">
        <v>2171</v>
      </c>
      <c r="AJ215" s="81"/>
      <c r="AK215" s="86" t="s">
        <v>2084</v>
      </c>
      <c r="AL215" s="81" t="b">
        <v>0</v>
      </c>
      <c r="AM215" s="81">
        <v>8</v>
      </c>
      <c r="AN215" s="86" t="s">
        <v>6942</v>
      </c>
      <c r="AO215" s="86" t="s">
        <v>2181</v>
      </c>
      <c r="AP215" s="81" t="b">
        <v>0</v>
      </c>
      <c r="AQ215" s="86" t="s">
        <v>6942</v>
      </c>
      <c r="AR215" s="81" t="s">
        <v>179</v>
      </c>
      <c r="AS215" s="81">
        <v>0</v>
      </c>
      <c r="AT215" s="81">
        <v>0</v>
      </c>
      <c r="AU215" s="81"/>
      <c r="AV215" s="81"/>
      <c r="AW215" s="81"/>
      <c r="AX215" s="81"/>
      <c r="AY215" s="81"/>
      <c r="AZ215" s="81"/>
      <c r="BA215" s="81"/>
      <c r="BB215" s="81"/>
    </row>
    <row r="216" spans="1:54" x14ac:dyDescent="0.35">
      <c r="A216" s="66" t="s">
        <v>4260</v>
      </c>
      <c r="B216" s="66" t="s">
        <v>4405</v>
      </c>
      <c r="C216" s="67"/>
      <c r="D216" s="68"/>
      <c r="E216" s="69"/>
      <c r="F216" s="70"/>
      <c r="G216" s="67"/>
      <c r="H216" s="71"/>
      <c r="I216" s="72"/>
      <c r="J216" s="72"/>
      <c r="K216" s="36"/>
      <c r="L216" s="79"/>
      <c r="M216" s="79"/>
      <c r="N216" s="74"/>
      <c r="O216" s="81" t="s">
        <v>693</v>
      </c>
      <c r="P216" s="83">
        <v>44460.562569444446</v>
      </c>
      <c r="Q216" s="81" t="s">
        <v>5305</v>
      </c>
      <c r="R216" s="81" t="s">
        <v>5676</v>
      </c>
      <c r="S216" s="81" t="s">
        <v>5699</v>
      </c>
      <c r="T216" s="81"/>
      <c r="U216" s="81"/>
      <c r="V216" s="84" t="str">
        <f>HYPERLINK("https://pbs.twimg.com/profile_images/1356267946490933250/UnRnG4qk_normal.jpg")</f>
        <v>https://pbs.twimg.com/profile_images/1356267946490933250/UnRnG4qk_normal.jpg</v>
      </c>
      <c r="W216" s="83">
        <v>44460.562569444446</v>
      </c>
      <c r="X216" s="89">
        <v>44460</v>
      </c>
      <c r="Y216" s="86" t="s">
        <v>5883</v>
      </c>
      <c r="Z216" s="84" t="str">
        <f>HYPERLINK("https://twitter.com/binobiasutti/status/1440307348560510985")</f>
        <v>https://twitter.com/binobiasutti/status/1440307348560510985</v>
      </c>
      <c r="AA216" s="81"/>
      <c r="AB216" s="81"/>
      <c r="AC216" s="86" t="s">
        <v>6784</v>
      </c>
      <c r="AD216" s="81"/>
      <c r="AE216" s="81" t="b">
        <v>0</v>
      </c>
      <c r="AF216" s="81">
        <v>0</v>
      </c>
      <c r="AG216" s="86" t="s">
        <v>2084</v>
      </c>
      <c r="AH216" s="81" t="b">
        <v>0</v>
      </c>
      <c r="AI216" s="81" t="s">
        <v>2171</v>
      </c>
      <c r="AJ216" s="81"/>
      <c r="AK216" s="86" t="s">
        <v>2084</v>
      </c>
      <c r="AL216" s="81" t="b">
        <v>0</v>
      </c>
      <c r="AM216" s="81">
        <v>8</v>
      </c>
      <c r="AN216" s="86" t="s">
        <v>6942</v>
      </c>
      <c r="AO216" s="86" t="s">
        <v>2181</v>
      </c>
      <c r="AP216" s="81" t="b">
        <v>0</v>
      </c>
      <c r="AQ216" s="86" t="s">
        <v>6942</v>
      </c>
      <c r="AR216" s="81" t="s">
        <v>179</v>
      </c>
      <c r="AS216" s="81">
        <v>0</v>
      </c>
      <c r="AT216" s="81">
        <v>0</v>
      </c>
      <c r="AU216" s="81"/>
      <c r="AV216" s="81"/>
      <c r="AW216" s="81"/>
      <c r="AX216" s="81"/>
      <c r="AY216" s="81"/>
      <c r="AZ216" s="81"/>
      <c r="BA216" s="81"/>
      <c r="BB216" s="81"/>
    </row>
    <row r="217" spans="1:54" x14ac:dyDescent="0.35">
      <c r="A217" s="66" t="s">
        <v>4261</v>
      </c>
      <c r="B217" s="66" t="s">
        <v>5000</v>
      </c>
      <c r="C217" s="67"/>
      <c r="D217" s="68"/>
      <c r="E217" s="69"/>
      <c r="F217" s="70"/>
      <c r="G217" s="67"/>
      <c r="H217" s="71"/>
      <c r="I217" s="72"/>
      <c r="J217" s="72"/>
      <c r="K217" s="36"/>
      <c r="L217" s="79"/>
      <c r="M217" s="79"/>
      <c r="N217" s="74"/>
      <c r="O217" s="81" t="s">
        <v>694</v>
      </c>
      <c r="P217" s="83">
        <v>44460.566990740743</v>
      </c>
      <c r="Q217" s="81" t="s">
        <v>5305</v>
      </c>
      <c r="R217" s="81" t="s">
        <v>5676</v>
      </c>
      <c r="S217" s="81" t="s">
        <v>5699</v>
      </c>
      <c r="T217" s="81"/>
      <c r="U217" s="81"/>
      <c r="V217" s="84" t="str">
        <f>HYPERLINK("https://pbs.twimg.com/profile_images/1406658518464307204/a_CIMib6_normal.jpg")</f>
        <v>https://pbs.twimg.com/profile_images/1406658518464307204/a_CIMib6_normal.jpg</v>
      </c>
      <c r="W217" s="83">
        <v>44460.566990740743</v>
      </c>
      <c r="X217" s="89">
        <v>44460</v>
      </c>
      <c r="Y217" s="86" t="s">
        <v>5884</v>
      </c>
      <c r="Z217" s="84" t="str">
        <f>HYPERLINK("https://twitter.com/anadefinisterra/status/1440308952466481167")</f>
        <v>https://twitter.com/anadefinisterra/status/1440308952466481167</v>
      </c>
      <c r="AA217" s="81"/>
      <c r="AB217" s="81"/>
      <c r="AC217" s="86" t="s">
        <v>6785</v>
      </c>
      <c r="AD217" s="81"/>
      <c r="AE217" s="81" t="b">
        <v>0</v>
      </c>
      <c r="AF217" s="81">
        <v>0</v>
      </c>
      <c r="AG217" s="86" t="s">
        <v>2084</v>
      </c>
      <c r="AH217" s="81" t="b">
        <v>0</v>
      </c>
      <c r="AI217" s="81" t="s">
        <v>2171</v>
      </c>
      <c r="AJ217" s="81"/>
      <c r="AK217" s="86" t="s">
        <v>2084</v>
      </c>
      <c r="AL217" s="81" t="b">
        <v>0</v>
      </c>
      <c r="AM217" s="81">
        <v>8</v>
      </c>
      <c r="AN217" s="86" t="s">
        <v>6942</v>
      </c>
      <c r="AO217" s="86" t="s">
        <v>2181</v>
      </c>
      <c r="AP217" s="81" t="b">
        <v>0</v>
      </c>
      <c r="AQ217" s="86" t="s">
        <v>6942</v>
      </c>
      <c r="AR217" s="81" t="s">
        <v>179</v>
      </c>
      <c r="AS217" s="81">
        <v>0</v>
      </c>
      <c r="AT217" s="81">
        <v>0</v>
      </c>
      <c r="AU217" s="81"/>
      <c r="AV217" s="81"/>
      <c r="AW217" s="81"/>
      <c r="AX217" s="81"/>
      <c r="AY217" s="81"/>
      <c r="AZ217" s="81"/>
      <c r="BA217" s="81"/>
      <c r="BB217" s="81"/>
    </row>
    <row r="218" spans="1:54" x14ac:dyDescent="0.35">
      <c r="A218" s="66" t="s">
        <v>4261</v>
      </c>
      <c r="B218" s="66" t="s">
        <v>5001</v>
      </c>
      <c r="C218" s="67"/>
      <c r="D218" s="68"/>
      <c r="E218" s="69"/>
      <c r="F218" s="70"/>
      <c r="G218" s="67"/>
      <c r="H218" s="71"/>
      <c r="I218" s="72"/>
      <c r="J218" s="72"/>
      <c r="K218" s="36"/>
      <c r="L218" s="79"/>
      <c r="M218" s="79"/>
      <c r="N218" s="74"/>
      <c r="O218" s="81" t="s">
        <v>694</v>
      </c>
      <c r="P218" s="83">
        <v>44460.566990740743</v>
      </c>
      <c r="Q218" s="81" t="s">
        <v>5305</v>
      </c>
      <c r="R218" s="81" t="s">
        <v>5676</v>
      </c>
      <c r="S218" s="81" t="s">
        <v>5699</v>
      </c>
      <c r="T218" s="81"/>
      <c r="U218" s="81"/>
      <c r="V218" s="84" t="str">
        <f>HYPERLINK("https://pbs.twimg.com/profile_images/1406658518464307204/a_CIMib6_normal.jpg")</f>
        <v>https://pbs.twimg.com/profile_images/1406658518464307204/a_CIMib6_normal.jpg</v>
      </c>
      <c r="W218" s="83">
        <v>44460.566990740743</v>
      </c>
      <c r="X218" s="89">
        <v>44460</v>
      </c>
      <c r="Y218" s="86" t="s">
        <v>5884</v>
      </c>
      <c r="Z218" s="84" t="str">
        <f>HYPERLINK("https://twitter.com/anadefinisterra/status/1440308952466481167")</f>
        <v>https://twitter.com/anadefinisterra/status/1440308952466481167</v>
      </c>
      <c r="AA218" s="81"/>
      <c r="AB218" s="81"/>
      <c r="AC218" s="86" t="s">
        <v>6785</v>
      </c>
      <c r="AD218" s="81"/>
      <c r="AE218" s="81" t="b">
        <v>0</v>
      </c>
      <c r="AF218" s="81">
        <v>0</v>
      </c>
      <c r="AG218" s="86" t="s">
        <v>2084</v>
      </c>
      <c r="AH218" s="81" t="b">
        <v>0</v>
      </c>
      <c r="AI218" s="81" t="s">
        <v>2171</v>
      </c>
      <c r="AJ218" s="81"/>
      <c r="AK218" s="86" t="s">
        <v>2084</v>
      </c>
      <c r="AL218" s="81" t="b">
        <v>0</v>
      </c>
      <c r="AM218" s="81">
        <v>8</v>
      </c>
      <c r="AN218" s="86" t="s">
        <v>6942</v>
      </c>
      <c r="AO218" s="86" t="s">
        <v>2181</v>
      </c>
      <c r="AP218" s="81" t="b">
        <v>0</v>
      </c>
      <c r="AQ218" s="86" t="s">
        <v>6942</v>
      </c>
      <c r="AR218" s="81" t="s">
        <v>179</v>
      </c>
      <c r="AS218" s="81">
        <v>0</v>
      </c>
      <c r="AT218" s="81">
        <v>0</v>
      </c>
      <c r="AU218" s="81"/>
      <c r="AV218" s="81"/>
      <c r="AW218" s="81"/>
      <c r="AX218" s="81"/>
      <c r="AY218" s="81"/>
      <c r="AZ218" s="81"/>
      <c r="BA218" s="81"/>
      <c r="BB218" s="81"/>
    </row>
    <row r="219" spans="1:54" x14ac:dyDescent="0.35">
      <c r="A219" s="66" t="s">
        <v>4261</v>
      </c>
      <c r="B219" s="66" t="s">
        <v>4406</v>
      </c>
      <c r="C219" s="67"/>
      <c r="D219" s="68"/>
      <c r="E219" s="69"/>
      <c r="F219" s="70"/>
      <c r="G219" s="67"/>
      <c r="H219" s="71"/>
      <c r="I219" s="72"/>
      <c r="J219" s="72"/>
      <c r="K219" s="36"/>
      <c r="L219" s="79"/>
      <c r="M219" s="79"/>
      <c r="N219" s="74"/>
      <c r="O219" s="81" t="s">
        <v>694</v>
      </c>
      <c r="P219" s="83">
        <v>44460.566990740743</v>
      </c>
      <c r="Q219" s="81" t="s">
        <v>5305</v>
      </c>
      <c r="R219" s="81" t="s">
        <v>5676</v>
      </c>
      <c r="S219" s="81" t="s">
        <v>5699</v>
      </c>
      <c r="T219" s="81"/>
      <c r="U219" s="81"/>
      <c r="V219" s="84" t="str">
        <f>HYPERLINK("https://pbs.twimg.com/profile_images/1406658518464307204/a_CIMib6_normal.jpg")</f>
        <v>https://pbs.twimg.com/profile_images/1406658518464307204/a_CIMib6_normal.jpg</v>
      </c>
      <c r="W219" s="83">
        <v>44460.566990740743</v>
      </c>
      <c r="X219" s="89">
        <v>44460</v>
      </c>
      <c r="Y219" s="86" t="s">
        <v>5884</v>
      </c>
      <c r="Z219" s="84" t="str">
        <f>HYPERLINK("https://twitter.com/anadefinisterra/status/1440308952466481167")</f>
        <v>https://twitter.com/anadefinisterra/status/1440308952466481167</v>
      </c>
      <c r="AA219" s="81"/>
      <c r="AB219" s="81"/>
      <c r="AC219" s="86" t="s">
        <v>6785</v>
      </c>
      <c r="AD219" s="81"/>
      <c r="AE219" s="81" t="b">
        <v>0</v>
      </c>
      <c r="AF219" s="81">
        <v>0</v>
      </c>
      <c r="AG219" s="86" t="s">
        <v>2084</v>
      </c>
      <c r="AH219" s="81" t="b">
        <v>0</v>
      </c>
      <c r="AI219" s="81" t="s">
        <v>2171</v>
      </c>
      <c r="AJ219" s="81"/>
      <c r="AK219" s="86" t="s">
        <v>2084</v>
      </c>
      <c r="AL219" s="81" t="b">
        <v>0</v>
      </c>
      <c r="AM219" s="81">
        <v>8</v>
      </c>
      <c r="AN219" s="86" t="s">
        <v>6942</v>
      </c>
      <c r="AO219" s="86" t="s">
        <v>2181</v>
      </c>
      <c r="AP219" s="81" t="b">
        <v>0</v>
      </c>
      <c r="AQ219" s="86" t="s">
        <v>6942</v>
      </c>
      <c r="AR219" s="81" t="s">
        <v>179</v>
      </c>
      <c r="AS219" s="81">
        <v>0</v>
      </c>
      <c r="AT219" s="81">
        <v>0</v>
      </c>
      <c r="AU219" s="81"/>
      <c r="AV219" s="81"/>
      <c r="AW219" s="81"/>
      <c r="AX219" s="81"/>
      <c r="AY219" s="81"/>
      <c r="AZ219" s="81"/>
      <c r="BA219" s="81"/>
      <c r="BB219" s="81"/>
    </row>
    <row r="220" spans="1:54" x14ac:dyDescent="0.35">
      <c r="A220" s="66" t="s">
        <v>4261</v>
      </c>
      <c r="B220" s="66" t="s">
        <v>5002</v>
      </c>
      <c r="C220" s="67"/>
      <c r="D220" s="68"/>
      <c r="E220" s="69"/>
      <c r="F220" s="70"/>
      <c r="G220" s="67"/>
      <c r="H220" s="71"/>
      <c r="I220" s="72"/>
      <c r="J220" s="72"/>
      <c r="K220" s="36"/>
      <c r="L220" s="79"/>
      <c r="M220" s="79"/>
      <c r="N220" s="74"/>
      <c r="O220" s="81" t="s">
        <v>694</v>
      </c>
      <c r="P220" s="83">
        <v>44460.566990740743</v>
      </c>
      <c r="Q220" s="81" t="s">
        <v>5305</v>
      </c>
      <c r="R220" s="81" t="s">
        <v>5676</v>
      </c>
      <c r="S220" s="81" t="s">
        <v>5699</v>
      </c>
      <c r="T220" s="81"/>
      <c r="U220" s="81"/>
      <c r="V220" s="84" t="str">
        <f>HYPERLINK("https://pbs.twimg.com/profile_images/1406658518464307204/a_CIMib6_normal.jpg")</f>
        <v>https://pbs.twimg.com/profile_images/1406658518464307204/a_CIMib6_normal.jpg</v>
      </c>
      <c r="W220" s="83">
        <v>44460.566990740743</v>
      </c>
      <c r="X220" s="89">
        <v>44460</v>
      </c>
      <c r="Y220" s="86" t="s">
        <v>5884</v>
      </c>
      <c r="Z220" s="84" t="str">
        <f>HYPERLINK("https://twitter.com/anadefinisterra/status/1440308952466481167")</f>
        <v>https://twitter.com/anadefinisterra/status/1440308952466481167</v>
      </c>
      <c r="AA220" s="81"/>
      <c r="AB220" s="81"/>
      <c r="AC220" s="86" t="s">
        <v>6785</v>
      </c>
      <c r="AD220" s="81"/>
      <c r="AE220" s="81" t="b">
        <v>0</v>
      </c>
      <c r="AF220" s="81">
        <v>0</v>
      </c>
      <c r="AG220" s="86" t="s">
        <v>2084</v>
      </c>
      <c r="AH220" s="81" t="b">
        <v>0</v>
      </c>
      <c r="AI220" s="81" t="s">
        <v>2171</v>
      </c>
      <c r="AJ220" s="81"/>
      <c r="AK220" s="86" t="s">
        <v>2084</v>
      </c>
      <c r="AL220" s="81" t="b">
        <v>0</v>
      </c>
      <c r="AM220" s="81">
        <v>8</v>
      </c>
      <c r="AN220" s="86" t="s">
        <v>6942</v>
      </c>
      <c r="AO220" s="86" t="s">
        <v>2181</v>
      </c>
      <c r="AP220" s="81" t="b">
        <v>0</v>
      </c>
      <c r="AQ220" s="86" t="s">
        <v>6942</v>
      </c>
      <c r="AR220" s="81" t="s">
        <v>179</v>
      </c>
      <c r="AS220" s="81">
        <v>0</v>
      </c>
      <c r="AT220" s="81">
        <v>0</v>
      </c>
      <c r="AU220" s="81"/>
      <c r="AV220" s="81"/>
      <c r="AW220" s="81"/>
      <c r="AX220" s="81"/>
      <c r="AY220" s="81"/>
      <c r="AZ220" s="81"/>
      <c r="BA220" s="81"/>
      <c r="BB220" s="81"/>
    </row>
    <row r="221" spans="1:54" x14ac:dyDescent="0.35">
      <c r="A221" s="66" t="s">
        <v>4261</v>
      </c>
      <c r="B221" s="66" t="s">
        <v>4407</v>
      </c>
      <c r="C221" s="67"/>
      <c r="D221" s="68"/>
      <c r="E221" s="69"/>
      <c r="F221" s="70"/>
      <c r="G221" s="67"/>
      <c r="H221" s="71"/>
      <c r="I221" s="72"/>
      <c r="J221" s="72"/>
      <c r="K221" s="36"/>
      <c r="L221" s="79"/>
      <c r="M221" s="79"/>
      <c r="N221" s="74"/>
      <c r="O221" s="81" t="s">
        <v>694</v>
      </c>
      <c r="P221" s="83">
        <v>44460.566990740743</v>
      </c>
      <c r="Q221" s="81" t="s">
        <v>5305</v>
      </c>
      <c r="R221" s="81" t="s">
        <v>5676</v>
      </c>
      <c r="S221" s="81" t="s">
        <v>5699</v>
      </c>
      <c r="T221" s="81"/>
      <c r="U221" s="81"/>
      <c r="V221" s="84" t="str">
        <f>HYPERLINK("https://pbs.twimg.com/profile_images/1406658518464307204/a_CIMib6_normal.jpg")</f>
        <v>https://pbs.twimg.com/profile_images/1406658518464307204/a_CIMib6_normal.jpg</v>
      </c>
      <c r="W221" s="83">
        <v>44460.566990740743</v>
      </c>
      <c r="X221" s="89">
        <v>44460</v>
      </c>
      <c r="Y221" s="86" t="s">
        <v>5884</v>
      </c>
      <c r="Z221" s="84" t="str">
        <f>HYPERLINK("https://twitter.com/anadefinisterra/status/1440308952466481167")</f>
        <v>https://twitter.com/anadefinisterra/status/1440308952466481167</v>
      </c>
      <c r="AA221" s="81"/>
      <c r="AB221" s="81"/>
      <c r="AC221" s="86" t="s">
        <v>6785</v>
      </c>
      <c r="AD221" s="81"/>
      <c r="AE221" s="81" t="b">
        <v>0</v>
      </c>
      <c r="AF221" s="81">
        <v>0</v>
      </c>
      <c r="AG221" s="86" t="s">
        <v>2084</v>
      </c>
      <c r="AH221" s="81" t="b">
        <v>0</v>
      </c>
      <c r="AI221" s="81" t="s">
        <v>2171</v>
      </c>
      <c r="AJ221" s="81"/>
      <c r="AK221" s="86" t="s">
        <v>2084</v>
      </c>
      <c r="AL221" s="81" t="b">
        <v>0</v>
      </c>
      <c r="AM221" s="81">
        <v>8</v>
      </c>
      <c r="AN221" s="86" t="s">
        <v>6942</v>
      </c>
      <c r="AO221" s="86" t="s">
        <v>2181</v>
      </c>
      <c r="AP221" s="81" t="b">
        <v>0</v>
      </c>
      <c r="AQ221" s="86" t="s">
        <v>6942</v>
      </c>
      <c r="AR221" s="81" t="s">
        <v>179</v>
      </c>
      <c r="AS221" s="81">
        <v>0</v>
      </c>
      <c r="AT221" s="81">
        <v>0</v>
      </c>
      <c r="AU221" s="81"/>
      <c r="AV221" s="81"/>
      <c r="AW221" s="81"/>
      <c r="AX221" s="81"/>
      <c r="AY221" s="81"/>
      <c r="AZ221" s="81"/>
      <c r="BA221" s="81"/>
      <c r="BB221" s="81"/>
    </row>
    <row r="222" spans="1:54" x14ac:dyDescent="0.35">
      <c r="A222" s="66" t="s">
        <v>4261</v>
      </c>
      <c r="B222" s="66" t="s">
        <v>4405</v>
      </c>
      <c r="C222" s="67"/>
      <c r="D222" s="68"/>
      <c r="E222" s="69"/>
      <c r="F222" s="70"/>
      <c r="G222" s="67"/>
      <c r="H222" s="71"/>
      <c r="I222" s="72"/>
      <c r="J222" s="72"/>
      <c r="K222" s="36"/>
      <c r="L222" s="79"/>
      <c r="M222" s="79"/>
      <c r="N222" s="74"/>
      <c r="O222" s="81" t="s">
        <v>693</v>
      </c>
      <c r="P222" s="83">
        <v>44460.566990740743</v>
      </c>
      <c r="Q222" s="81" t="s">
        <v>5305</v>
      </c>
      <c r="R222" s="81" t="s">
        <v>5676</v>
      </c>
      <c r="S222" s="81" t="s">
        <v>5699</v>
      </c>
      <c r="T222" s="81"/>
      <c r="U222" s="81"/>
      <c r="V222" s="84" t="str">
        <f>HYPERLINK("https://pbs.twimg.com/profile_images/1406658518464307204/a_CIMib6_normal.jpg")</f>
        <v>https://pbs.twimg.com/profile_images/1406658518464307204/a_CIMib6_normal.jpg</v>
      </c>
      <c r="W222" s="83">
        <v>44460.566990740743</v>
      </c>
      <c r="X222" s="89">
        <v>44460</v>
      </c>
      <c r="Y222" s="86" t="s">
        <v>5884</v>
      </c>
      <c r="Z222" s="84" t="str">
        <f>HYPERLINK("https://twitter.com/anadefinisterra/status/1440308952466481167")</f>
        <v>https://twitter.com/anadefinisterra/status/1440308952466481167</v>
      </c>
      <c r="AA222" s="81"/>
      <c r="AB222" s="81"/>
      <c r="AC222" s="86" t="s">
        <v>6785</v>
      </c>
      <c r="AD222" s="81"/>
      <c r="AE222" s="81" t="b">
        <v>0</v>
      </c>
      <c r="AF222" s="81">
        <v>0</v>
      </c>
      <c r="AG222" s="86" t="s">
        <v>2084</v>
      </c>
      <c r="AH222" s="81" t="b">
        <v>0</v>
      </c>
      <c r="AI222" s="81" t="s">
        <v>2171</v>
      </c>
      <c r="AJ222" s="81"/>
      <c r="AK222" s="86" t="s">
        <v>2084</v>
      </c>
      <c r="AL222" s="81" t="b">
        <v>0</v>
      </c>
      <c r="AM222" s="81">
        <v>8</v>
      </c>
      <c r="AN222" s="86" t="s">
        <v>6942</v>
      </c>
      <c r="AO222" s="86" t="s">
        <v>2181</v>
      </c>
      <c r="AP222" s="81" t="b">
        <v>0</v>
      </c>
      <c r="AQ222" s="86" t="s">
        <v>6942</v>
      </c>
      <c r="AR222" s="81" t="s">
        <v>179</v>
      </c>
      <c r="AS222" s="81">
        <v>0</v>
      </c>
      <c r="AT222" s="81">
        <v>0</v>
      </c>
      <c r="AU222" s="81"/>
      <c r="AV222" s="81"/>
      <c r="AW222" s="81"/>
      <c r="AX222" s="81"/>
      <c r="AY222" s="81"/>
      <c r="AZ222" s="81"/>
      <c r="BA222" s="81"/>
      <c r="BB222" s="81"/>
    </row>
    <row r="223" spans="1:54" x14ac:dyDescent="0.35">
      <c r="A223" s="66" t="s">
        <v>4262</v>
      </c>
      <c r="B223" s="66" t="s">
        <v>5000</v>
      </c>
      <c r="C223" s="67"/>
      <c r="D223" s="68"/>
      <c r="E223" s="69"/>
      <c r="F223" s="70"/>
      <c r="G223" s="67"/>
      <c r="H223" s="71"/>
      <c r="I223" s="72"/>
      <c r="J223" s="72"/>
      <c r="K223" s="36"/>
      <c r="L223" s="79"/>
      <c r="M223" s="79"/>
      <c r="N223" s="74"/>
      <c r="O223" s="81" t="s">
        <v>694</v>
      </c>
      <c r="P223" s="83">
        <v>44460.56826388889</v>
      </c>
      <c r="Q223" s="81" t="s">
        <v>5305</v>
      </c>
      <c r="R223" s="81" t="s">
        <v>5676</v>
      </c>
      <c r="S223" s="81" t="s">
        <v>5699</v>
      </c>
      <c r="T223" s="81"/>
      <c r="U223" s="81"/>
      <c r="V223" s="84" t="str">
        <f>HYPERLINK("https://pbs.twimg.com/profile_images/1284608079099830273/Fyed7E8w_normal.jpg")</f>
        <v>https://pbs.twimg.com/profile_images/1284608079099830273/Fyed7E8w_normal.jpg</v>
      </c>
      <c r="W223" s="83">
        <v>44460.56826388889</v>
      </c>
      <c r="X223" s="89">
        <v>44460</v>
      </c>
      <c r="Y223" s="86" t="s">
        <v>5885</v>
      </c>
      <c r="Z223" s="84" t="str">
        <f>HYPERLINK("https://twitter.com/alanildo_geo/status/1440309411747012618")</f>
        <v>https://twitter.com/alanildo_geo/status/1440309411747012618</v>
      </c>
      <c r="AA223" s="81"/>
      <c r="AB223" s="81"/>
      <c r="AC223" s="86" t="s">
        <v>6786</v>
      </c>
      <c r="AD223" s="81"/>
      <c r="AE223" s="81" t="b">
        <v>0</v>
      </c>
      <c r="AF223" s="81">
        <v>0</v>
      </c>
      <c r="AG223" s="86" t="s">
        <v>2084</v>
      </c>
      <c r="AH223" s="81" t="b">
        <v>0</v>
      </c>
      <c r="AI223" s="81" t="s">
        <v>2171</v>
      </c>
      <c r="AJ223" s="81"/>
      <c r="AK223" s="86" t="s">
        <v>2084</v>
      </c>
      <c r="AL223" s="81" t="b">
        <v>0</v>
      </c>
      <c r="AM223" s="81">
        <v>8</v>
      </c>
      <c r="AN223" s="86" t="s">
        <v>6942</v>
      </c>
      <c r="AO223" s="86" t="s">
        <v>2178</v>
      </c>
      <c r="AP223" s="81" t="b">
        <v>0</v>
      </c>
      <c r="AQ223" s="86" t="s">
        <v>6942</v>
      </c>
      <c r="AR223" s="81" t="s">
        <v>179</v>
      </c>
      <c r="AS223" s="81">
        <v>0</v>
      </c>
      <c r="AT223" s="81">
        <v>0</v>
      </c>
      <c r="AU223" s="81"/>
      <c r="AV223" s="81"/>
      <c r="AW223" s="81"/>
      <c r="AX223" s="81"/>
      <c r="AY223" s="81"/>
      <c r="AZ223" s="81"/>
      <c r="BA223" s="81"/>
      <c r="BB223" s="81"/>
    </row>
    <row r="224" spans="1:54" x14ac:dyDescent="0.35">
      <c r="A224" s="66" t="s">
        <v>4262</v>
      </c>
      <c r="B224" s="66" t="s">
        <v>5001</v>
      </c>
      <c r="C224" s="67"/>
      <c r="D224" s="68"/>
      <c r="E224" s="69"/>
      <c r="F224" s="70"/>
      <c r="G224" s="67"/>
      <c r="H224" s="71"/>
      <c r="I224" s="72"/>
      <c r="J224" s="72"/>
      <c r="K224" s="36"/>
      <c r="L224" s="79"/>
      <c r="M224" s="79"/>
      <c r="N224" s="74"/>
      <c r="O224" s="81" t="s">
        <v>694</v>
      </c>
      <c r="P224" s="83">
        <v>44460.56826388889</v>
      </c>
      <c r="Q224" s="81" t="s">
        <v>5305</v>
      </c>
      <c r="R224" s="81" t="s">
        <v>5676</v>
      </c>
      <c r="S224" s="81" t="s">
        <v>5699</v>
      </c>
      <c r="T224" s="81"/>
      <c r="U224" s="81"/>
      <c r="V224" s="84" t="str">
        <f>HYPERLINK("https://pbs.twimg.com/profile_images/1284608079099830273/Fyed7E8w_normal.jpg")</f>
        <v>https://pbs.twimg.com/profile_images/1284608079099830273/Fyed7E8w_normal.jpg</v>
      </c>
      <c r="W224" s="83">
        <v>44460.56826388889</v>
      </c>
      <c r="X224" s="89">
        <v>44460</v>
      </c>
      <c r="Y224" s="86" t="s">
        <v>5885</v>
      </c>
      <c r="Z224" s="84" t="str">
        <f>HYPERLINK("https://twitter.com/alanildo_geo/status/1440309411747012618")</f>
        <v>https://twitter.com/alanildo_geo/status/1440309411747012618</v>
      </c>
      <c r="AA224" s="81"/>
      <c r="AB224" s="81"/>
      <c r="AC224" s="86" t="s">
        <v>6786</v>
      </c>
      <c r="AD224" s="81"/>
      <c r="AE224" s="81" t="b">
        <v>0</v>
      </c>
      <c r="AF224" s="81">
        <v>0</v>
      </c>
      <c r="AG224" s="86" t="s">
        <v>2084</v>
      </c>
      <c r="AH224" s="81" t="b">
        <v>0</v>
      </c>
      <c r="AI224" s="81" t="s">
        <v>2171</v>
      </c>
      <c r="AJ224" s="81"/>
      <c r="AK224" s="86" t="s">
        <v>2084</v>
      </c>
      <c r="AL224" s="81" t="b">
        <v>0</v>
      </c>
      <c r="AM224" s="81">
        <v>8</v>
      </c>
      <c r="AN224" s="86" t="s">
        <v>6942</v>
      </c>
      <c r="AO224" s="86" t="s">
        <v>2178</v>
      </c>
      <c r="AP224" s="81" t="b">
        <v>0</v>
      </c>
      <c r="AQ224" s="86" t="s">
        <v>6942</v>
      </c>
      <c r="AR224" s="81" t="s">
        <v>179</v>
      </c>
      <c r="AS224" s="81">
        <v>0</v>
      </c>
      <c r="AT224" s="81">
        <v>0</v>
      </c>
      <c r="AU224" s="81"/>
      <c r="AV224" s="81"/>
      <c r="AW224" s="81"/>
      <c r="AX224" s="81"/>
      <c r="AY224" s="81"/>
      <c r="AZ224" s="81"/>
      <c r="BA224" s="81"/>
      <c r="BB224" s="81"/>
    </row>
    <row r="225" spans="1:54" x14ac:dyDescent="0.35">
      <c r="A225" s="66" t="s">
        <v>4262</v>
      </c>
      <c r="B225" s="66" t="s">
        <v>4406</v>
      </c>
      <c r="C225" s="67"/>
      <c r="D225" s="68"/>
      <c r="E225" s="69"/>
      <c r="F225" s="70"/>
      <c r="G225" s="67"/>
      <c r="H225" s="71"/>
      <c r="I225" s="72"/>
      <c r="J225" s="72"/>
      <c r="K225" s="36"/>
      <c r="L225" s="79"/>
      <c r="M225" s="79"/>
      <c r="N225" s="74"/>
      <c r="O225" s="81" t="s">
        <v>694</v>
      </c>
      <c r="P225" s="83">
        <v>44460.56826388889</v>
      </c>
      <c r="Q225" s="81" t="s">
        <v>5305</v>
      </c>
      <c r="R225" s="81" t="s">
        <v>5676</v>
      </c>
      <c r="S225" s="81" t="s">
        <v>5699</v>
      </c>
      <c r="T225" s="81"/>
      <c r="U225" s="81"/>
      <c r="V225" s="84" t="str">
        <f>HYPERLINK("https://pbs.twimg.com/profile_images/1284608079099830273/Fyed7E8w_normal.jpg")</f>
        <v>https://pbs.twimg.com/profile_images/1284608079099830273/Fyed7E8w_normal.jpg</v>
      </c>
      <c r="W225" s="83">
        <v>44460.56826388889</v>
      </c>
      <c r="X225" s="89">
        <v>44460</v>
      </c>
      <c r="Y225" s="86" t="s">
        <v>5885</v>
      </c>
      <c r="Z225" s="84" t="str">
        <f>HYPERLINK("https://twitter.com/alanildo_geo/status/1440309411747012618")</f>
        <v>https://twitter.com/alanildo_geo/status/1440309411747012618</v>
      </c>
      <c r="AA225" s="81"/>
      <c r="AB225" s="81"/>
      <c r="AC225" s="86" t="s">
        <v>6786</v>
      </c>
      <c r="AD225" s="81"/>
      <c r="AE225" s="81" t="b">
        <v>0</v>
      </c>
      <c r="AF225" s="81">
        <v>0</v>
      </c>
      <c r="AG225" s="86" t="s">
        <v>2084</v>
      </c>
      <c r="AH225" s="81" t="b">
        <v>0</v>
      </c>
      <c r="AI225" s="81" t="s">
        <v>2171</v>
      </c>
      <c r="AJ225" s="81"/>
      <c r="AK225" s="86" t="s">
        <v>2084</v>
      </c>
      <c r="AL225" s="81" t="b">
        <v>0</v>
      </c>
      <c r="AM225" s="81">
        <v>8</v>
      </c>
      <c r="AN225" s="86" t="s">
        <v>6942</v>
      </c>
      <c r="AO225" s="86" t="s">
        <v>2178</v>
      </c>
      <c r="AP225" s="81" t="b">
        <v>0</v>
      </c>
      <c r="AQ225" s="86" t="s">
        <v>6942</v>
      </c>
      <c r="AR225" s="81" t="s">
        <v>179</v>
      </c>
      <c r="AS225" s="81">
        <v>0</v>
      </c>
      <c r="AT225" s="81">
        <v>0</v>
      </c>
      <c r="AU225" s="81"/>
      <c r="AV225" s="81"/>
      <c r="AW225" s="81"/>
      <c r="AX225" s="81"/>
      <c r="AY225" s="81"/>
      <c r="AZ225" s="81"/>
      <c r="BA225" s="81"/>
      <c r="BB225" s="81"/>
    </row>
    <row r="226" spans="1:54" x14ac:dyDescent="0.35">
      <c r="A226" s="66" t="s">
        <v>4262</v>
      </c>
      <c r="B226" s="66" t="s">
        <v>5002</v>
      </c>
      <c r="C226" s="67"/>
      <c r="D226" s="68"/>
      <c r="E226" s="69"/>
      <c r="F226" s="70"/>
      <c r="G226" s="67"/>
      <c r="H226" s="71"/>
      <c r="I226" s="72"/>
      <c r="J226" s="72"/>
      <c r="K226" s="36"/>
      <c r="L226" s="79"/>
      <c r="M226" s="79"/>
      <c r="N226" s="74"/>
      <c r="O226" s="81" t="s">
        <v>694</v>
      </c>
      <c r="P226" s="83">
        <v>44460.56826388889</v>
      </c>
      <c r="Q226" s="81" t="s">
        <v>5305</v>
      </c>
      <c r="R226" s="81" t="s">
        <v>5676</v>
      </c>
      <c r="S226" s="81" t="s">
        <v>5699</v>
      </c>
      <c r="T226" s="81"/>
      <c r="U226" s="81"/>
      <c r="V226" s="84" t="str">
        <f>HYPERLINK("https://pbs.twimg.com/profile_images/1284608079099830273/Fyed7E8w_normal.jpg")</f>
        <v>https://pbs.twimg.com/profile_images/1284608079099830273/Fyed7E8w_normal.jpg</v>
      </c>
      <c r="W226" s="83">
        <v>44460.56826388889</v>
      </c>
      <c r="X226" s="89">
        <v>44460</v>
      </c>
      <c r="Y226" s="86" t="s">
        <v>5885</v>
      </c>
      <c r="Z226" s="84" t="str">
        <f>HYPERLINK("https://twitter.com/alanildo_geo/status/1440309411747012618")</f>
        <v>https://twitter.com/alanildo_geo/status/1440309411747012618</v>
      </c>
      <c r="AA226" s="81"/>
      <c r="AB226" s="81"/>
      <c r="AC226" s="86" t="s">
        <v>6786</v>
      </c>
      <c r="AD226" s="81"/>
      <c r="AE226" s="81" t="b">
        <v>0</v>
      </c>
      <c r="AF226" s="81">
        <v>0</v>
      </c>
      <c r="AG226" s="86" t="s">
        <v>2084</v>
      </c>
      <c r="AH226" s="81" t="b">
        <v>0</v>
      </c>
      <c r="AI226" s="81" t="s">
        <v>2171</v>
      </c>
      <c r="AJ226" s="81"/>
      <c r="AK226" s="86" t="s">
        <v>2084</v>
      </c>
      <c r="AL226" s="81" t="b">
        <v>0</v>
      </c>
      <c r="AM226" s="81">
        <v>8</v>
      </c>
      <c r="AN226" s="86" t="s">
        <v>6942</v>
      </c>
      <c r="AO226" s="86" t="s">
        <v>2178</v>
      </c>
      <c r="AP226" s="81" t="b">
        <v>0</v>
      </c>
      <c r="AQ226" s="86" t="s">
        <v>6942</v>
      </c>
      <c r="AR226" s="81" t="s">
        <v>179</v>
      </c>
      <c r="AS226" s="81">
        <v>0</v>
      </c>
      <c r="AT226" s="81">
        <v>0</v>
      </c>
      <c r="AU226" s="81"/>
      <c r="AV226" s="81"/>
      <c r="AW226" s="81"/>
      <c r="AX226" s="81"/>
      <c r="AY226" s="81"/>
      <c r="AZ226" s="81"/>
      <c r="BA226" s="81"/>
      <c r="BB226" s="81"/>
    </row>
    <row r="227" spans="1:54" x14ac:dyDescent="0.35">
      <c r="A227" s="66" t="s">
        <v>4262</v>
      </c>
      <c r="B227" s="66" t="s">
        <v>4407</v>
      </c>
      <c r="C227" s="67"/>
      <c r="D227" s="68"/>
      <c r="E227" s="69"/>
      <c r="F227" s="70"/>
      <c r="G227" s="67"/>
      <c r="H227" s="71"/>
      <c r="I227" s="72"/>
      <c r="J227" s="72"/>
      <c r="K227" s="36"/>
      <c r="L227" s="79"/>
      <c r="M227" s="79"/>
      <c r="N227" s="74"/>
      <c r="O227" s="81" t="s">
        <v>694</v>
      </c>
      <c r="P227" s="83">
        <v>44460.56826388889</v>
      </c>
      <c r="Q227" s="81" t="s">
        <v>5305</v>
      </c>
      <c r="R227" s="81" t="s">
        <v>5676</v>
      </c>
      <c r="S227" s="81" t="s">
        <v>5699</v>
      </c>
      <c r="T227" s="81"/>
      <c r="U227" s="81"/>
      <c r="V227" s="84" t="str">
        <f>HYPERLINK("https://pbs.twimg.com/profile_images/1284608079099830273/Fyed7E8w_normal.jpg")</f>
        <v>https://pbs.twimg.com/profile_images/1284608079099830273/Fyed7E8w_normal.jpg</v>
      </c>
      <c r="W227" s="83">
        <v>44460.56826388889</v>
      </c>
      <c r="X227" s="89">
        <v>44460</v>
      </c>
      <c r="Y227" s="86" t="s">
        <v>5885</v>
      </c>
      <c r="Z227" s="84" t="str">
        <f>HYPERLINK("https://twitter.com/alanildo_geo/status/1440309411747012618")</f>
        <v>https://twitter.com/alanildo_geo/status/1440309411747012618</v>
      </c>
      <c r="AA227" s="81"/>
      <c r="AB227" s="81"/>
      <c r="AC227" s="86" t="s">
        <v>6786</v>
      </c>
      <c r="AD227" s="81"/>
      <c r="AE227" s="81" t="b">
        <v>0</v>
      </c>
      <c r="AF227" s="81">
        <v>0</v>
      </c>
      <c r="AG227" s="86" t="s">
        <v>2084</v>
      </c>
      <c r="AH227" s="81" t="b">
        <v>0</v>
      </c>
      <c r="AI227" s="81" t="s">
        <v>2171</v>
      </c>
      <c r="AJ227" s="81"/>
      <c r="AK227" s="86" t="s">
        <v>2084</v>
      </c>
      <c r="AL227" s="81" t="b">
        <v>0</v>
      </c>
      <c r="AM227" s="81">
        <v>8</v>
      </c>
      <c r="AN227" s="86" t="s">
        <v>6942</v>
      </c>
      <c r="AO227" s="86" t="s">
        <v>2178</v>
      </c>
      <c r="AP227" s="81" t="b">
        <v>0</v>
      </c>
      <c r="AQ227" s="86" t="s">
        <v>6942</v>
      </c>
      <c r="AR227" s="81" t="s">
        <v>179</v>
      </c>
      <c r="AS227" s="81">
        <v>0</v>
      </c>
      <c r="AT227" s="81">
        <v>0</v>
      </c>
      <c r="AU227" s="81"/>
      <c r="AV227" s="81"/>
      <c r="AW227" s="81"/>
      <c r="AX227" s="81"/>
      <c r="AY227" s="81"/>
      <c r="AZ227" s="81"/>
      <c r="BA227" s="81"/>
      <c r="BB227" s="81"/>
    </row>
    <row r="228" spans="1:54" x14ac:dyDescent="0.35">
      <c r="A228" s="66" t="s">
        <v>4262</v>
      </c>
      <c r="B228" s="66" t="s">
        <v>4405</v>
      </c>
      <c r="C228" s="67"/>
      <c r="D228" s="68"/>
      <c r="E228" s="69"/>
      <c r="F228" s="70"/>
      <c r="G228" s="67"/>
      <c r="H228" s="71"/>
      <c r="I228" s="72"/>
      <c r="J228" s="72"/>
      <c r="K228" s="36"/>
      <c r="L228" s="79"/>
      <c r="M228" s="79"/>
      <c r="N228" s="74"/>
      <c r="O228" s="81" t="s">
        <v>693</v>
      </c>
      <c r="P228" s="83">
        <v>44460.56826388889</v>
      </c>
      <c r="Q228" s="81" t="s">
        <v>5305</v>
      </c>
      <c r="R228" s="81" t="s">
        <v>5676</v>
      </c>
      <c r="S228" s="81" t="s">
        <v>5699</v>
      </c>
      <c r="T228" s="81"/>
      <c r="U228" s="81"/>
      <c r="V228" s="84" t="str">
        <f>HYPERLINK("https://pbs.twimg.com/profile_images/1284608079099830273/Fyed7E8w_normal.jpg")</f>
        <v>https://pbs.twimg.com/profile_images/1284608079099830273/Fyed7E8w_normal.jpg</v>
      </c>
      <c r="W228" s="83">
        <v>44460.56826388889</v>
      </c>
      <c r="X228" s="89">
        <v>44460</v>
      </c>
      <c r="Y228" s="86" t="s">
        <v>5885</v>
      </c>
      <c r="Z228" s="84" t="str">
        <f>HYPERLINK("https://twitter.com/alanildo_geo/status/1440309411747012618")</f>
        <v>https://twitter.com/alanildo_geo/status/1440309411747012618</v>
      </c>
      <c r="AA228" s="81"/>
      <c r="AB228" s="81"/>
      <c r="AC228" s="86" t="s">
        <v>6786</v>
      </c>
      <c r="AD228" s="81"/>
      <c r="AE228" s="81" t="b">
        <v>0</v>
      </c>
      <c r="AF228" s="81">
        <v>0</v>
      </c>
      <c r="AG228" s="86" t="s">
        <v>2084</v>
      </c>
      <c r="AH228" s="81" t="b">
        <v>0</v>
      </c>
      <c r="AI228" s="81" t="s">
        <v>2171</v>
      </c>
      <c r="AJ228" s="81"/>
      <c r="AK228" s="86" t="s">
        <v>2084</v>
      </c>
      <c r="AL228" s="81" t="b">
        <v>0</v>
      </c>
      <c r="AM228" s="81">
        <v>8</v>
      </c>
      <c r="AN228" s="86" t="s">
        <v>6942</v>
      </c>
      <c r="AO228" s="86" t="s">
        <v>2178</v>
      </c>
      <c r="AP228" s="81" t="b">
        <v>0</v>
      </c>
      <c r="AQ228" s="86" t="s">
        <v>6942</v>
      </c>
      <c r="AR228" s="81" t="s">
        <v>179</v>
      </c>
      <c r="AS228" s="81">
        <v>0</v>
      </c>
      <c r="AT228" s="81">
        <v>0</v>
      </c>
      <c r="AU228" s="81"/>
      <c r="AV228" s="81"/>
      <c r="AW228" s="81"/>
      <c r="AX228" s="81"/>
      <c r="AY228" s="81"/>
      <c r="AZ228" s="81"/>
      <c r="BA228" s="81"/>
      <c r="BB228" s="81"/>
    </row>
    <row r="229" spans="1:54" x14ac:dyDescent="0.35">
      <c r="A229" s="66" t="s">
        <v>4263</v>
      </c>
      <c r="B229" s="66" t="s">
        <v>5000</v>
      </c>
      <c r="C229" s="67"/>
      <c r="D229" s="68"/>
      <c r="E229" s="69"/>
      <c r="F229" s="70"/>
      <c r="G229" s="67"/>
      <c r="H229" s="71"/>
      <c r="I229" s="72"/>
      <c r="J229" s="72"/>
      <c r="K229" s="36"/>
      <c r="L229" s="79"/>
      <c r="M229" s="79"/>
      <c r="N229" s="74"/>
      <c r="O229" s="81" t="s">
        <v>694</v>
      </c>
      <c r="P229" s="83">
        <v>44460.568460648145</v>
      </c>
      <c r="Q229" s="81" t="s">
        <v>5305</v>
      </c>
      <c r="R229" s="81" t="s">
        <v>5676</v>
      </c>
      <c r="S229" s="81" t="s">
        <v>5699</v>
      </c>
      <c r="T229" s="81"/>
      <c r="U229" s="81"/>
      <c r="V229" s="84" t="str">
        <f>HYPERLINK("https://pbs.twimg.com/profile_images/1294479274859266050/0IFnBAId_normal.jpg")</f>
        <v>https://pbs.twimg.com/profile_images/1294479274859266050/0IFnBAId_normal.jpg</v>
      </c>
      <c r="W229" s="83">
        <v>44460.568460648145</v>
      </c>
      <c r="X229" s="89">
        <v>44460</v>
      </c>
      <c r="Y229" s="86" t="s">
        <v>5886</v>
      </c>
      <c r="Z229" s="84" t="str">
        <f>HYPERLINK("https://twitter.com/brendacarduus/status/1440309483972939791")</f>
        <v>https://twitter.com/brendacarduus/status/1440309483972939791</v>
      </c>
      <c r="AA229" s="81"/>
      <c r="AB229" s="81"/>
      <c r="AC229" s="86" t="s">
        <v>6787</v>
      </c>
      <c r="AD229" s="81"/>
      <c r="AE229" s="81" t="b">
        <v>0</v>
      </c>
      <c r="AF229" s="81">
        <v>0</v>
      </c>
      <c r="AG229" s="86" t="s">
        <v>2084</v>
      </c>
      <c r="AH229" s="81" t="b">
        <v>0</v>
      </c>
      <c r="AI229" s="81" t="s">
        <v>2171</v>
      </c>
      <c r="AJ229" s="81"/>
      <c r="AK229" s="86" t="s">
        <v>2084</v>
      </c>
      <c r="AL229" s="81" t="b">
        <v>0</v>
      </c>
      <c r="AM229" s="81">
        <v>8</v>
      </c>
      <c r="AN229" s="86" t="s">
        <v>6942</v>
      </c>
      <c r="AO229" s="86" t="s">
        <v>2178</v>
      </c>
      <c r="AP229" s="81" t="b">
        <v>0</v>
      </c>
      <c r="AQ229" s="86" t="s">
        <v>6942</v>
      </c>
      <c r="AR229" s="81" t="s">
        <v>179</v>
      </c>
      <c r="AS229" s="81">
        <v>0</v>
      </c>
      <c r="AT229" s="81">
        <v>0</v>
      </c>
      <c r="AU229" s="81"/>
      <c r="AV229" s="81"/>
      <c r="AW229" s="81"/>
      <c r="AX229" s="81"/>
      <c r="AY229" s="81"/>
      <c r="AZ229" s="81"/>
      <c r="BA229" s="81"/>
      <c r="BB229" s="81"/>
    </row>
    <row r="230" spans="1:54" x14ac:dyDescent="0.35">
      <c r="A230" s="66" t="s">
        <v>4263</v>
      </c>
      <c r="B230" s="66" t="s">
        <v>5001</v>
      </c>
      <c r="C230" s="67"/>
      <c r="D230" s="68"/>
      <c r="E230" s="69"/>
      <c r="F230" s="70"/>
      <c r="G230" s="67"/>
      <c r="H230" s="71"/>
      <c r="I230" s="72"/>
      <c r="J230" s="72"/>
      <c r="K230" s="36"/>
      <c r="L230" s="79"/>
      <c r="M230" s="79"/>
      <c r="N230" s="74"/>
      <c r="O230" s="81" t="s">
        <v>694</v>
      </c>
      <c r="P230" s="83">
        <v>44460.568460648145</v>
      </c>
      <c r="Q230" s="81" t="s">
        <v>5305</v>
      </c>
      <c r="R230" s="81" t="s">
        <v>5676</v>
      </c>
      <c r="S230" s="81" t="s">
        <v>5699</v>
      </c>
      <c r="T230" s="81"/>
      <c r="U230" s="81"/>
      <c r="V230" s="84" t="str">
        <f>HYPERLINK("https://pbs.twimg.com/profile_images/1294479274859266050/0IFnBAId_normal.jpg")</f>
        <v>https://pbs.twimg.com/profile_images/1294479274859266050/0IFnBAId_normal.jpg</v>
      </c>
      <c r="W230" s="83">
        <v>44460.568460648145</v>
      </c>
      <c r="X230" s="89">
        <v>44460</v>
      </c>
      <c r="Y230" s="86" t="s">
        <v>5886</v>
      </c>
      <c r="Z230" s="84" t="str">
        <f>HYPERLINK("https://twitter.com/brendacarduus/status/1440309483972939791")</f>
        <v>https://twitter.com/brendacarduus/status/1440309483972939791</v>
      </c>
      <c r="AA230" s="81"/>
      <c r="AB230" s="81"/>
      <c r="AC230" s="86" t="s">
        <v>6787</v>
      </c>
      <c r="AD230" s="81"/>
      <c r="AE230" s="81" t="b">
        <v>0</v>
      </c>
      <c r="AF230" s="81">
        <v>0</v>
      </c>
      <c r="AG230" s="86" t="s">
        <v>2084</v>
      </c>
      <c r="AH230" s="81" t="b">
        <v>0</v>
      </c>
      <c r="AI230" s="81" t="s">
        <v>2171</v>
      </c>
      <c r="AJ230" s="81"/>
      <c r="AK230" s="86" t="s">
        <v>2084</v>
      </c>
      <c r="AL230" s="81" t="b">
        <v>0</v>
      </c>
      <c r="AM230" s="81">
        <v>8</v>
      </c>
      <c r="AN230" s="86" t="s">
        <v>6942</v>
      </c>
      <c r="AO230" s="86" t="s">
        <v>2178</v>
      </c>
      <c r="AP230" s="81" t="b">
        <v>0</v>
      </c>
      <c r="AQ230" s="86" t="s">
        <v>6942</v>
      </c>
      <c r="AR230" s="81" t="s">
        <v>179</v>
      </c>
      <c r="AS230" s="81">
        <v>0</v>
      </c>
      <c r="AT230" s="81">
        <v>0</v>
      </c>
      <c r="AU230" s="81"/>
      <c r="AV230" s="81"/>
      <c r="AW230" s="81"/>
      <c r="AX230" s="81"/>
      <c r="AY230" s="81"/>
      <c r="AZ230" s="81"/>
      <c r="BA230" s="81"/>
      <c r="BB230" s="81"/>
    </row>
    <row r="231" spans="1:54" x14ac:dyDescent="0.35">
      <c r="A231" s="66" t="s">
        <v>4263</v>
      </c>
      <c r="B231" s="66" t="s">
        <v>4406</v>
      </c>
      <c r="C231" s="67"/>
      <c r="D231" s="68"/>
      <c r="E231" s="69"/>
      <c r="F231" s="70"/>
      <c r="G231" s="67"/>
      <c r="H231" s="71"/>
      <c r="I231" s="72"/>
      <c r="J231" s="72"/>
      <c r="K231" s="36"/>
      <c r="L231" s="79"/>
      <c r="M231" s="79"/>
      <c r="N231" s="74"/>
      <c r="O231" s="81" t="s">
        <v>694</v>
      </c>
      <c r="P231" s="83">
        <v>44460.568460648145</v>
      </c>
      <c r="Q231" s="81" t="s">
        <v>5305</v>
      </c>
      <c r="R231" s="81" t="s">
        <v>5676</v>
      </c>
      <c r="S231" s="81" t="s">
        <v>5699</v>
      </c>
      <c r="T231" s="81"/>
      <c r="U231" s="81"/>
      <c r="V231" s="84" t="str">
        <f>HYPERLINK("https://pbs.twimg.com/profile_images/1294479274859266050/0IFnBAId_normal.jpg")</f>
        <v>https://pbs.twimg.com/profile_images/1294479274859266050/0IFnBAId_normal.jpg</v>
      </c>
      <c r="W231" s="83">
        <v>44460.568460648145</v>
      </c>
      <c r="X231" s="89">
        <v>44460</v>
      </c>
      <c r="Y231" s="86" t="s">
        <v>5886</v>
      </c>
      <c r="Z231" s="84" t="str">
        <f>HYPERLINK("https://twitter.com/brendacarduus/status/1440309483972939791")</f>
        <v>https://twitter.com/brendacarduus/status/1440309483972939791</v>
      </c>
      <c r="AA231" s="81"/>
      <c r="AB231" s="81"/>
      <c r="AC231" s="86" t="s">
        <v>6787</v>
      </c>
      <c r="AD231" s="81"/>
      <c r="AE231" s="81" t="b">
        <v>0</v>
      </c>
      <c r="AF231" s="81">
        <v>0</v>
      </c>
      <c r="AG231" s="86" t="s">
        <v>2084</v>
      </c>
      <c r="AH231" s="81" t="b">
        <v>0</v>
      </c>
      <c r="AI231" s="81" t="s">
        <v>2171</v>
      </c>
      <c r="AJ231" s="81"/>
      <c r="AK231" s="86" t="s">
        <v>2084</v>
      </c>
      <c r="AL231" s="81" t="b">
        <v>0</v>
      </c>
      <c r="AM231" s="81">
        <v>8</v>
      </c>
      <c r="AN231" s="86" t="s">
        <v>6942</v>
      </c>
      <c r="AO231" s="86" t="s">
        <v>2178</v>
      </c>
      <c r="AP231" s="81" t="b">
        <v>0</v>
      </c>
      <c r="AQ231" s="86" t="s">
        <v>6942</v>
      </c>
      <c r="AR231" s="81" t="s">
        <v>179</v>
      </c>
      <c r="AS231" s="81">
        <v>0</v>
      </c>
      <c r="AT231" s="81">
        <v>0</v>
      </c>
      <c r="AU231" s="81"/>
      <c r="AV231" s="81"/>
      <c r="AW231" s="81"/>
      <c r="AX231" s="81"/>
      <c r="AY231" s="81"/>
      <c r="AZ231" s="81"/>
      <c r="BA231" s="81"/>
      <c r="BB231" s="81"/>
    </row>
    <row r="232" spans="1:54" x14ac:dyDescent="0.35">
      <c r="A232" s="66" t="s">
        <v>4263</v>
      </c>
      <c r="B232" s="66" t="s">
        <v>5002</v>
      </c>
      <c r="C232" s="67"/>
      <c r="D232" s="68"/>
      <c r="E232" s="69"/>
      <c r="F232" s="70"/>
      <c r="G232" s="67"/>
      <c r="H232" s="71"/>
      <c r="I232" s="72"/>
      <c r="J232" s="72"/>
      <c r="K232" s="36"/>
      <c r="L232" s="79"/>
      <c r="M232" s="79"/>
      <c r="N232" s="74"/>
      <c r="O232" s="81" t="s">
        <v>694</v>
      </c>
      <c r="P232" s="83">
        <v>44460.568460648145</v>
      </c>
      <c r="Q232" s="81" t="s">
        <v>5305</v>
      </c>
      <c r="R232" s="81" t="s">
        <v>5676</v>
      </c>
      <c r="S232" s="81" t="s">
        <v>5699</v>
      </c>
      <c r="T232" s="81"/>
      <c r="U232" s="81"/>
      <c r="V232" s="84" t="str">
        <f>HYPERLINK("https://pbs.twimg.com/profile_images/1294479274859266050/0IFnBAId_normal.jpg")</f>
        <v>https://pbs.twimg.com/profile_images/1294479274859266050/0IFnBAId_normal.jpg</v>
      </c>
      <c r="W232" s="83">
        <v>44460.568460648145</v>
      </c>
      <c r="X232" s="89">
        <v>44460</v>
      </c>
      <c r="Y232" s="86" t="s">
        <v>5886</v>
      </c>
      <c r="Z232" s="84" t="str">
        <f>HYPERLINK("https://twitter.com/brendacarduus/status/1440309483972939791")</f>
        <v>https://twitter.com/brendacarduus/status/1440309483972939791</v>
      </c>
      <c r="AA232" s="81"/>
      <c r="AB232" s="81"/>
      <c r="AC232" s="86" t="s">
        <v>6787</v>
      </c>
      <c r="AD232" s="81"/>
      <c r="AE232" s="81" t="b">
        <v>0</v>
      </c>
      <c r="AF232" s="81">
        <v>0</v>
      </c>
      <c r="AG232" s="86" t="s">
        <v>2084</v>
      </c>
      <c r="AH232" s="81" t="b">
        <v>0</v>
      </c>
      <c r="AI232" s="81" t="s">
        <v>2171</v>
      </c>
      <c r="AJ232" s="81"/>
      <c r="AK232" s="86" t="s">
        <v>2084</v>
      </c>
      <c r="AL232" s="81" t="b">
        <v>0</v>
      </c>
      <c r="AM232" s="81">
        <v>8</v>
      </c>
      <c r="AN232" s="86" t="s">
        <v>6942</v>
      </c>
      <c r="AO232" s="86" t="s">
        <v>2178</v>
      </c>
      <c r="AP232" s="81" t="b">
        <v>0</v>
      </c>
      <c r="AQ232" s="86" t="s">
        <v>6942</v>
      </c>
      <c r="AR232" s="81" t="s">
        <v>179</v>
      </c>
      <c r="AS232" s="81">
        <v>0</v>
      </c>
      <c r="AT232" s="81">
        <v>0</v>
      </c>
      <c r="AU232" s="81"/>
      <c r="AV232" s="81"/>
      <c r="AW232" s="81"/>
      <c r="AX232" s="81"/>
      <c r="AY232" s="81"/>
      <c r="AZ232" s="81"/>
      <c r="BA232" s="81"/>
      <c r="BB232" s="81"/>
    </row>
    <row r="233" spans="1:54" x14ac:dyDescent="0.35">
      <c r="A233" s="66" t="s">
        <v>4263</v>
      </c>
      <c r="B233" s="66" t="s">
        <v>4407</v>
      </c>
      <c r="C233" s="67"/>
      <c r="D233" s="68"/>
      <c r="E233" s="69"/>
      <c r="F233" s="70"/>
      <c r="G233" s="67"/>
      <c r="H233" s="71"/>
      <c r="I233" s="72"/>
      <c r="J233" s="72"/>
      <c r="K233" s="36"/>
      <c r="L233" s="79"/>
      <c r="M233" s="79"/>
      <c r="N233" s="74"/>
      <c r="O233" s="81" t="s">
        <v>694</v>
      </c>
      <c r="P233" s="83">
        <v>44460.568460648145</v>
      </c>
      <c r="Q233" s="81" t="s">
        <v>5305</v>
      </c>
      <c r="R233" s="81" t="s">
        <v>5676</v>
      </c>
      <c r="S233" s="81" t="s">
        <v>5699</v>
      </c>
      <c r="T233" s="81"/>
      <c r="U233" s="81"/>
      <c r="V233" s="84" t="str">
        <f>HYPERLINK("https://pbs.twimg.com/profile_images/1294479274859266050/0IFnBAId_normal.jpg")</f>
        <v>https://pbs.twimg.com/profile_images/1294479274859266050/0IFnBAId_normal.jpg</v>
      </c>
      <c r="W233" s="83">
        <v>44460.568460648145</v>
      </c>
      <c r="X233" s="89">
        <v>44460</v>
      </c>
      <c r="Y233" s="86" t="s">
        <v>5886</v>
      </c>
      <c r="Z233" s="84" t="str">
        <f>HYPERLINK("https://twitter.com/brendacarduus/status/1440309483972939791")</f>
        <v>https://twitter.com/brendacarduus/status/1440309483972939791</v>
      </c>
      <c r="AA233" s="81"/>
      <c r="AB233" s="81"/>
      <c r="AC233" s="86" t="s">
        <v>6787</v>
      </c>
      <c r="AD233" s="81"/>
      <c r="AE233" s="81" t="b">
        <v>0</v>
      </c>
      <c r="AF233" s="81">
        <v>0</v>
      </c>
      <c r="AG233" s="86" t="s">
        <v>2084</v>
      </c>
      <c r="AH233" s="81" t="b">
        <v>0</v>
      </c>
      <c r="AI233" s="81" t="s">
        <v>2171</v>
      </c>
      <c r="AJ233" s="81"/>
      <c r="AK233" s="86" t="s">
        <v>2084</v>
      </c>
      <c r="AL233" s="81" t="b">
        <v>0</v>
      </c>
      <c r="AM233" s="81">
        <v>8</v>
      </c>
      <c r="AN233" s="86" t="s">
        <v>6942</v>
      </c>
      <c r="AO233" s="86" t="s">
        <v>2178</v>
      </c>
      <c r="AP233" s="81" t="b">
        <v>0</v>
      </c>
      <c r="AQ233" s="86" t="s">
        <v>6942</v>
      </c>
      <c r="AR233" s="81" t="s">
        <v>179</v>
      </c>
      <c r="AS233" s="81">
        <v>0</v>
      </c>
      <c r="AT233" s="81">
        <v>0</v>
      </c>
      <c r="AU233" s="81"/>
      <c r="AV233" s="81"/>
      <c r="AW233" s="81"/>
      <c r="AX233" s="81"/>
      <c r="AY233" s="81"/>
      <c r="AZ233" s="81"/>
      <c r="BA233" s="81"/>
      <c r="BB233" s="81"/>
    </row>
    <row r="234" spans="1:54" x14ac:dyDescent="0.35">
      <c r="A234" s="66" t="s">
        <v>4263</v>
      </c>
      <c r="B234" s="66" t="s">
        <v>4405</v>
      </c>
      <c r="C234" s="67"/>
      <c r="D234" s="68"/>
      <c r="E234" s="69"/>
      <c r="F234" s="70"/>
      <c r="G234" s="67"/>
      <c r="H234" s="71"/>
      <c r="I234" s="72"/>
      <c r="J234" s="72"/>
      <c r="K234" s="36"/>
      <c r="L234" s="79"/>
      <c r="M234" s="79"/>
      <c r="N234" s="74"/>
      <c r="O234" s="81" t="s">
        <v>693</v>
      </c>
      <c r="P234" s="83">
        <v>44460.568460648145</v>
      </c>
      <c r="Q234" s="81" t="s">
        <v>5305</v>
      </c>
      <c r="R234" s="81" t="s">
        <v>5676</v>
      </c>
      <c r="S234" s="81" t="s">
        <v>5699</v>
      </c>
      <c r="T234" s="81"/>
      <c r="U234" s="81"/>
      <c r="V234" s="84" t="str">
        <f>HYPERLINK("https://pbs.twimg.com/profile_images/1294479274859266050/0IFnBAId_normal.jpg")</f>
        <v>https://pbs.twimg.com/profile_images/1294479274859266050/0IFnBAId_normal.jpg</v>
      </c>
      <c r="W234" s="83">
        <v>44460.568460648145</v>
      </c>
      <c r="X234" s="89">
        <v>44460</v>
      </c>
      <c r="Y234" s="86" t="s">
        <v>5886</v>
      </c>
      <c r="Z234" s="84" t="str">
        <f>HYPERLINK("https://twitter.com/brendacarduus/status/1440309483972939791")</f>
        <v>https://twitter.com/brendacarduus/status/1440309483972939791</v>
      </c>
      <c r="AA234" s="81"/>
      <c r="AB234" s="81"/>
      <c r="AC234" s="86" t="s">
        <v>6787</v>
      </c>
      <c r="AD234" s="81"/>
      <c r="AE234" s="81" t="b">
        <v>0</v>
      </c>
      <c r="AF234" s="81">
        <v>0</v>
      </c>
      <c r="AG234" s="86" t="s">
        <v>2084</v>
      </c>
      <c r="AH234" s="81" t="b">
        <v>0</v>
      </c>
      <c r="AI234" s="81" t="s">
        <v>2171</v>
      </c>
      <c r="AJ234" s="81"/>
      <c r="AK234" s="86" t="s">
        <v>2084</v>
      </c>
      <c r="AL234" s="81" t="b">
        <v>0</v>
      </c>
      <c r="AM234" s="81">
        <v>8</v>
      </c>
      <c r="AN234" s="86" t="s">
        <v>6942</v>
      </c>
      <c r="AO234" s="86" t="s">
        <v>2178</v>
      </c>
      <c r="AP234" s="81" t="b">
        <v>0</v>
      </c>
      <c r="AQ234" s="86" t="s">
        <v>6942</v>
      </c>
      <c r="AR234" s="81" t="s">
        <v>179</v>
      </c>
      <c r="AS234" s="81">
        <v>0</v>
      </c>
      <c r="AT234" s="81">
        <v>0</v>
      </c>
      <c r="AU234" s="81"/>
      <c r="AV234" s="81"/>
      <c r="AW234" s="81"/>
      <c r="AX234" s="81"/>
      <c r="AY234" s="81"/>
      <c r="AZ234" s="81"/>
      <c r="BA234" s="81"/>
      <c r="BB234" s="81"/>
    </row>
    <row r="235" spans="1:54" x14ac:dyDescent="0.35">
      <c r="A235" s="66" t="s">
        <v>279</v>
      </c>
      <c r="B235" s="66" t="s">
        <v>332</v>
      </c>
      <c r="C235" s="67"/>
      <c r="D235" s="68"/>
      <c r="E235" s="69"/>
      <c r="F235" s="70"/>
      <c r="G235" s="67"/>
      <c r="H235" s="71"/>
      <c r="I235" s="72"/>
      <c r="J235" s="72"/>
      <c r="K235" s="36"/>
      <c r="L235" s="79"/>
      <c r="M235" s="79"/>
      <c r="N235" s="74"/>
      <c r="O235" s="81" t="s">
        <v>693</v>
      </c>
      <c r="P235" s="83">
        <v>44460.571875000001</v>
      </c>
      <c r="Q235" s="81" t="s">
        <v>726</v>
      </c>
      <c r="R235" s="81"/>
      <c r="S235" s="81"/>
      <c r="T235" s="81"/>
      <c r="U235" s="84" t="str">
        <f>HYPERLINK("https://pbs.twimg.com/media/E_0AOQ-VIAM2UO2.jpg")</f>
        <v>https://pbs.twimg.com/media/E_0AOQ-VIAM2UO2.jpg</v>
      </c>
      <c r="V235" s="84" t="str">
        <f>HYPERLINK("https://pbs.twimg.com/media/E_0AOQ-VIAM2UO2.jpg")</f>
        <v>https://pbs.twimg.com/media/E_0AOQ-VIAM2UO2.jpg</v>
      </c>
      <c r="W235" s="83">
        <v>44460.571875000001</v>
      </c>
      <c r="X235" s="89">
        <v>44460</v>
      </c>
      <c r="Y235" s="86" t="s">
        <v>1079</v>
      </c>
      <c r="Z235" s="84" t="str">
        <f>HYPERLINK("https://twitter.com/dw_sardjono/status/1440310721401610242")</f>
        <v>https://twitter.com/dw_sardjono/status/1440310721401610242</v>
      </c>
      <c r="AA235" s="81"/>
      <c r="AB235" s="81"/>
      <c r="AC235" s="86" t="s">
        <v>1577</v>
      </c>
      <c r="AD235" s="81"/>
      <c r="AE235" s="81" t="b">
        <v>0</v>
      </c>
      <c r="AF235" s="81">
        <v>0</v>
      </c>
      <c r="AG235" s="86" t="s">
        <v>2084</v>
      </c>
      <c r="AH235" s="81" t="b">
        <v>0</v>
      </c>
      <c r="AI235" s="81" t="s">
        <v>2167</v>
      </c>
      <c r="AJ235" s="81"/>
      <c r="AK235" s="86" t="s">
        <v>2084</v>
      </c>
      <c r="AL235" s="81" t="b">
        <v>0</v>
      </c>
      <c r="AM235" s="81">
        <v>3</v>
      </c>
      <c r="AN235" s="86" t="s">
        <v>1634</v>
      </c>
      <c r="AO235" s="86" t="s">
        <v>2178</v>
      </c>
      <c r="AP235" s="81" t="b">
        <v>0</v>
      </c>
      <c r="AQ235" s="86" t="s">
        <v>1634</v>
      </c>
      <c r="AR235" s="81" t="s">
        <v>179</v>
      </c>
      <c r="AS235" s="81">
        <v>0</v>
      </c>
      <c r="AT235" s="81">
        <v>0</v>
      </c>
      <c r="AU235" s="81"/>
      <c r="AV235" s="81"/>
      <c r="AW235" s="81"/>
      <c r="AX235" s="81"/>
      <c r="AY235" s="81"/>
      <c r="AZ235" s="81"/>
      <c r="BA235" s="81"/>
      <c r="BB235" s="81"/>
    </row>
    <row r="236" spans="1:54" x14ac:dyDescent="0.35">
      <c r="A236" s="66" t="s">
        <v>280</v>
      </c>
      <c r="B236" s="66" t="s">
        <v>603</v>
      </c>
      <c r="C236" s="67"/>
      <c r="D236" s="68"/>
      <c r="E236" s="69"/>
      <c r="F236" s="70"/>
      <c r="G236" s="67"/>
      <c r="H236" s="71"/>
      <c r="I236" s="72"/>
      <c r="J236" s="72"/>
      <c r="K236" s="36"/>
      <c r="L236" s="79"/>
      <c r="M236" s="79"/>
      <c r="N236" s="74"/>
      <c r="O236" s="81" t="s">
        <v>695</v>
      </c>
      <c r="P236" s="83">
        <v>44460.614537037036</v>
      </c>
      <c r="Q236" s="81" t="s">
        <v>727</v>
      </c>
      <c r="R236" s="81"/>
      <c r="S236" s="81"/>
      <c r="T236" s="81"/>
      <c r="U236" s="81"/>
      <c r="V236" s="84" t="str">
        <f>HYPERLINK("https://pbs.twimg.com/profile_images/1437989387069919238/liajAcnY_normal.jpg")</f>
        <v>https://pbs.twimg.com/profile_images/1437989387069919238/liajAcnY_normal.jpg</v>
      </c>
      <c r="W236" s="83">
        <v>44460.614537037036</v>
      </c>
      <c r="X236" s="89">
        <v>44460</v>
      </c>
      <c r="Y236" s="86" t="s">
        <v>1080</v>
      </c>
      <c r="Z236" s="84" t="str">
        <f>HYPERLINK("https://twitter.com/pinknjill/status/1440326182826696710")</f>
        <v>https://twitter.com/pinknjill/status/1440326182826696710</v>
      </c>
      <c r="AA236" s="81"/>
      <c r="AB236" s="81"/>
      <c r="AC236" s="86" t="s">
        <v>1578</v>
      </c>
      <c r="AD236" s="86" t="s">
        <v>2019</v>
      </c>
      <c r="AE236" s="81" t="b">
        <v>0</v>
      </c>
      <c r="AF236" s="81">
        <v>0</v>
      </c>
      <c r="AG236" s="86" t="s">
        <v>2085</v>
      </c>
      <c r="AH236" s="81" t="b">
        <v>0</v>
      </c>
      <c r="AI236" s="81" t="s">
        <v>2167</v>
      </c>
      <c r="AJ236" s="81"/>
      <c r="AK236" s="86" t="s">
        <v>2084</v>
      </c>
      <c r="AL236" s="81" t="b">
        <v>0</v>
      </c>
      <c r="AM236" s="81">
        <v>0</v>
      </c>
      <c r="AN236" s="86" t="s">
        <v>2084</v>
      </c>
      <c r="AO236" s="86" t="s">
        <v>2178</v>
      </c>
      <c r="AP236" s="81" t="b">
        <v>0</v>
      </c>
      <c r="AQ236" s="86" t="s">
        <v>2019</v>
      </c>
      <c r="AR236" s="81" t="s">
        <v>179</v>
      </c>
      <c r="AS236" s="81">
        <v>0</v>
      </c>
      <c r="AT236" s="81">
        <v>0</v>
      </c>
      <c r="AU236" s="81"/>
      <c r="AV236" s="81"/>
      <c r="AW236" s="81"/>
      <c r="AX236" s="81"/>
      <c r="AY236" s="81"/>
      <c r="AZ236" s="81"/>
      <c r="BA236" s="81"/>
      <c r="BB236" s="81"/>
    </row>
    <row r="237" spans="1:54" x14ac:dyDescent="0.35">
      <c r="A237" s="66" t="s">
        <v>281</v>
      </c>
      <c r="B237" s="66" t="s">
        <v>332</v>
      </c>
      <c r="C237" s="67"/>
      <c r="D237" s="68"/>
      <c r="E237" s="69"/>
      <c r="F237" s="70"/>
      <c r="G237" s="67"/>
      <c r="H237" s="71"/>
      <c r="I237" s="72"/>
      <c r="J237" s="72"/>
      <c r="K237" s="36"/>
      <c r="L237" s="79"/>
      <c r="M237" s="79"/>
      <c r="N237" s="74"/>
      <c r="O237" s="81" t="s">
        <v>693</v>
      </c>
      <c r="P237" s="83">
        <v>44460.651377314818</v>
      </c>
      <c r="Q237" s="81" t="s">
        <v>726</v>
      </c>
      <c r="R237" s="81"/>
      <c r="S237" s="81"/>
      <c r="T237" s="81"/>
      <c r="U237" s="84" t="str">
        <f>HYPERLINK("https://pbs.twimg.com/media/E_0AOQ-VIAM2UO2.jpg")</f>
        <v>https://pbs.twimg.com/media/E_0AOQ-VIAM2UO2.jpg</v>
      </c>
      <c r="V237" s="84" t="str">
        <f>HYPERLINK("https://pbs.twimg.com/media/E_0AOQ-VIAM2UO2.jpg")</f>
        <v>https://pbs.twimg.com/media/E_0AOQ-VIAM2UO2.jpg</v>
      </c>
      <c r="W237" s="83">
        <v>44460.651377314818</v>
      </c>
      <c r="X237" s="89">
        <v>44460</v>
      </c>
      <c r="Y237" s="86" t="s">
        <v>1081</v>
      </c>
      <c r="Z237" s="84" t="str">
        <f>HYPERLINK("https://twitter.com/ahjoss10/status/1440339534487515145")</f>
        <v>https://twitter.com/ahjoss10/status/1440339534487515145</v>
      </c>
      <c r="AA237" s="81"/>
      <c r="AB237" s="81"/>
      <c r="AC237" s="86" t="s">
        <v>1579</v>
      </c>
      <c r="AD237" s="81"/>
      <c r="AE237" s="81" t="b">
        <v>0</v>
      </c>
      <c r="AF237" s="81">
        <v>0</v>
      </c>
      <c r="AG237" s="86" t="s">
        <v>2084</v>
      </c>
      <c r="AH237" s="81" t="b">
        <v>0</v>
      </c>
      <c r="AI237" s="81" t="s">
        <v>2167</v>
      </c>
      <c r="AJ237" s="81"/>
      <c r="AK237" s="86" t="s">
        <v>2084</v>
      </c>
      <c r="AL237" s="81" t="b">
        <v>0</v>
      </c>
      <c r="AM237" s="81">
        <v>3</v>
      </c>
      <c r="AN237" s="86" t="s">
        <v>1634</v>
      </c>
      <c r="AO237" s="86" t="s">
        <v>2181</v>
      </c>
      <c r="AP237" s="81" t="b">
        <v>0</v>
      </c>
      <c r="AQ237" s="86" t="s">
        <v>1634</v>
      </c>
      <c r="AR237" s="81" t="s">
        <v>179</v>
      </c>
      <c r="AS237" s="81">
        <v>0</v>
      </c>
      <c r="AT237" s="81">
        <v>0</v>
      </c>
      <c r="AU237" s="81"/>
      <c r="AV237" s="81"/>
      <c r="AW237" s="81"/>
      <c r="AX237" s="81"/>
      <c r="AY237" s="81"/>
      <c r="AZ237" s="81"/>
      <c r="BA237" s="81"/>
      <c r="BB237" s="81"/>
    </row>
    <row r="238" spans="1:54" x14ac:dyDescent="0.35">
      <c r="A238" s="66" t="s">
        <v>4264</v>
      </c>
      <c r="B238" s="66" t="s">
        <v>4495</v>
      </c>
      <c r="C238" s="67"/>
      <c r="D238" s="68"/>
      <c r="E238" s="69"/>
      <c r="F238" s="70"/>
      <c r="G238" s="67"/>
      <c r="H238" s="71"/>
      <c r="I238" s="72"/>
      <c r="J238" s="72"/>
      <c r="K238" s="36"/>
      <c r="L238" s="79"/>
      <c r="M238" s="79"/>
      <c r="N238" s="74"/>
      <c r="O238" s="81" t="s">
        <v>693</v>
      </c>
      <c r="P238" s="83">
        <v>44460.659502314818</v>
      </c>
      <c r="Q238" s="81" t="s">
        <v>5272</v>
      </c>
      <c r="R238" s="84" t="str">
        <f>HYPERLINK("https://www.gov.br/anvisa/pt-br/assuntos/fiscalizacao-e-monitoramento/notificacoes/vigimed/")</f>
        <v>https://www.gov.br/anvisa/pt-br/assuntos/fiscalizacao-e-monitoramento/notificacoes/vigimed/</v>
      </c>
      <c r="S238" s="81" t="s">
        <v>5686</v>
      </c>
      <c r="T238" s="81"/>
      <c r="U238" s="81"/>
      <c r="V238" s="84" t="str">
        <f>HYPERLINK("https://pbs.twimg.com/profile_images/1401944444203581443/NCBGfWyY_normal.jpg")</f>
        <v>https://pbs.twimg.com/profile_images/1401944444203581443/NCBGfWyY_normal.jpg</v>
      </c>
      <c r="W238" s="83">
        <v>44460.659502314818</v>
      </c>
      <c r="X238" s="89">
        <v>44460</v>
      </c>
      <c r="Y238" s="86" t="s">
        <v>5887</v>
      </c>
      <c r="Z238" s="84" t="str">
        <f>HYPERLINK("https://twitter.com/dinoancap/status/1440342479266455562")</f>
        <v>https://twitter.com/dinoancap/status/1440342479266455562</v>
      </c>
      <c r="AA238" s="81"/>
      <c r="AB238" s="81"/>
      <c r="AC238" s="86" t="s">
        <v>6788</v>
      </c>
      <c r="AD238" s="81"/>
      <c r="AE238" s="81" t="b">
        <v>0</v>
      </c>
      <c r="AF238" s="81">
        <v>0</v>
      </c>
      <c r="AG238" s="86" t="s">
        <v>2084</v>
      </c>
      <c r="AH238" s="81" t="b">
        <v>0</v>
      </c>
      <c r="AI238" s="81" t="s">
        <v>2171</v>
      </c>
      <c r="AJ238" s="81"/>
      <c r="AK238" s="86" t="s">
        <v>2084</v>
      </c>
      <c r="AL238" s="81" t="b">
        <v>0</v>
      </c>
      <c r="AM238" s="81">
        <v>1497</v>
      </c>
      <c r="AN238" s="86" t="s">
        <v>7047</v>
      </c>
      <c r="AO238" s="86" t="s">
        <v>2181</v>
      </c>
      <c r="AP238" s="81" t="b">
        <v>0</v>
      </c>
      <c r="AQ238" s="86" t="s">
        <v>7047</v>
      </c>
      <c r="AR238" s="81" t="s">
        <v>179</v>
      </c>
      <c r="AS238" s="81">
        <v>0</v>
      </c>
      <c r="AT238" s="81">
        <v>0</v>
      </c>
      <c r="AU238" s="81"/>
      <c r="AV238" s="81"/>
      <c r="AW238" s="81"/>
      <c r="AX238" s="81"/>
      <c r="AY238" s="81"/>
      <c r="AZ238" s="81"/>
      <c r="BA238" s="81"/>
      <c r="BB238" s="81"/>
    </row>
    <row r="239" spans="1:54" x14ac:dyDescent="0.35">
      <c r="A239" s="66" t="s">
        <v>282</v>
      </c>
      <c r="B239" s="66" t="s">
        <v>628</v>
      </c>
      <c r="C239" s="67"/>
      <c r="D239" s="68"/>
      <c r="E239" s="69"/>
      <c r="F239" s="70"/>
      <c r="G239" s="67"/>
      <c r="H239" s="71"/>
      <c r="I239" s="72"/>
      <c r="J239" s="72"/>
      <c r="K239" s="36"/>
      <c r="L239" s="79"/>
      <c r="M239" s="79"/>
      <c r="N239" s="74"/>
      <c r="O239" s="81" t="s">
        <v>695</v>
      </c>
      <c r="P239" s="83">
        <v>44460.25440972222</v>
      </c>
      <c r="Q239" s="81" t="s">
        <v>728</v>
      </c>
      <c r="R239" s="84" t="str">
        <f>HYPERLINK("https://api.whatsapp.com/send?phone=60196376053&amp;text=minibrowniesdonut")</f>
        <v>https://api.whatsapp.com/send?phone=60196376053&amp;text=minibrowniesdonut</v>
      </c>
      <c r="S239" s="81" t="s">
        <v>940</v>
      </c>
      <c r="T239" s="81"/>
      <c r="U239" s="81"/>
      <c r="V239" s="84" t="str">
        <f>HYPERLINK("https://pbs.twimg.com/profile_images/1174350558120927232/3PqpMBwT_normal.jpg")</f>
        <v>https://pbs.twimg.com/profile_images/1174350558120927232/3PqpMBwT_normal.jpg</v>
      </c>
      <c r="W239" s="83">
        <v>44460.25440972222</v>
      </c>
      <c r="X239" s="89">
        <v>44460</v>
      </c>
      <c r="Y239" s="86" t="s">
        <v>1082</v>
      </c>
      <c r="Z239" s="84" t="str">
        <f>HYPERLINK("https://twitter.com/ateynnnn/status/1440195677804380160")</f>
        <v>https://twitter.com/ateynnnn/status/1440195677804380160</v>
      </c>
      <c r="AA239" s="81"/>
      <c r="AB239" s="81"/>
      <c r="AC239" s="86" t="s">
        <v>1580</v>
      </c>
      <c r="AD239" s="86" t="s">
        <v>2020</v>
      </c>
      <c r="AE239" s="81" t="b">
        <v>0</v>
      </c>
      <c r="AF239" s="81">
        <v>0</v>
      </c>
      <c r="AG239" s="86" t="s">
        <v>2101</v>
      </c>
      <c r="AH239" s="81" t="b">
        <v>0</v>
      </c>
      <c r="AI239" s="81" t="s">
        <v>2167</v>
      </c>
      <c r="AJ239" s="81"/>
      <c r="AK239" s="86" t="s">
        <v>2084</v>
      </c>
      <c r="AL239" s="81" t="b">
        <v>0</v>
      </c>
      <c r="AM239" s="81">
        <v>0</v>
      </c>
      <c r="AN239" s="86" t="s">
        <v>2084</v>
      </c>
      <c r="AO239" s="86" t="s">
        <v>2178</v>
      </c>
      <c r="AP239" s="81" t="b">
        <v>0</v>
      </c>
      <c r="AQ239" s="86" t="s">
        <v>2020</v>
      </c>
      <c r="AR239" s="81" t="s">
        <v>179</v>
      </c>
      <c r="AS239" s="81">
        <v>0</v>
      </c>
      <c r="AT239" s="81">
        <v>0</v>
      </c>
      <c r="AU239" s="81"/>
      <c r="AV239" s="81"/>
      <c r="AW239" s="81"/>
      <c r="AX239" s="81"/>
      <c r="AY239" s="81"/>
      <c r="AZ239" s="81"/>
      <c r="BA239" s="81"/>
      <c r="BB239" s="81"/>
    </row>
    <row r="240" spans="1:54" x14ac:dyDescent="0.35">
      <c r="A240" s="66" t="s">
        <v>282</v>
      </c>
      <c r="B240" s="66" t="s">
        <v>282</v>
      </c>
      <c r="C240" s="67"/>
      <c r="D240" s="68"/>
      <c r="E240" s="69"/>
      <c r="F240" s="70"/>
      <c r="G240" s="67"/>
      <c r="H240" s="71"/>
      <c r="I240" s="72"/>
      <c r="J240" s="72"/>
      <c r="K240" s="36"/>
      <c r="L240" s="79"/>
      <c r="M240" s="79"/>
      <c r="N240" s="74"/>
      <c r="O240" s="81" t="s">
        <v>179</v>
      </c>
      <c r="P240" s="83">
        <v>44460.682129629633</v>
      </c>
      <c r="Q240" s="81" t="s">
        <v>729</v>
      </c>
      <c r="R240" s="81"/>
      <c r="S240" s="81"/>
      <c r="T240" s="81"/>
      <c r="U240" s="84" t="str">
        <f>HYPERLINK("https://pbs.twimg.com/media/E_0nTnQUcAIA4pj.jpg")</f>
        <v>https://pbs.twimg.com/media/E_0nTnQUcAIA4pj.jpg</v>
      </c>
      <c r="V240" s="84" t="str">
        <f>HYPERLINK("https://pbs.twimg.com/media/E_0nTnQUcAIA4pj.jpg")</f>
        <v>https://pbs.twimg.com/media/E_0nTnQUcAIA4pj.jpg</v>
      </c>
      <c r="W240" s="83">
        <v>44460.682129629633</v>
      </c>
      <c r="X240" s="89">
        <v>44460</v>
      </c>
      <c r="Y240" s="86" t="s">
        <v>1083</v>
      </c>
      <c r="Z240" s="84" t="str">
        <f>HYPERLINK("https://twitter.com/ateynnnn/status/1440350676127682576")</f>
        <v>https://twitter.com/ateynnnn/status/1440350676127682576</v>
      </c>
      <c r="AA240" s="81"/>
      <c r="AB240" s="81"/>
      <c r="AC240" s="86" t="s">
        <v>1581</v>
      </c>
      <c r="AD240" s="86" t="s">
        <v>2021</v>
      </c>
      <c r="AE240" s="81" t="b">
        <v>0</v>
      </c>
      <c r="AF240" s="81">
        <v>0</v>
      </c>
      <c r="AG240" s="86" t="s">
        <v>2102</v>
      </c>
      <c r="AH240" s="81" t="b">
        <v>0</v>
      </c>
      <c r="AI240" s="81" t="s">
        <v>2167</v>
      </c>
      <c r="AJ240" s="81"/>
      <c r="AK240" s="86" t="s">
        <v>2084</v>
      </c>
      <c r="AL240" s="81" t="b">
        <v>0</v>
      </c>
      <c r="AM240" s="81">
        <v>0</v>
      </c>
      <c r="AN240" s="86" t="s">
        <v>2084</v>
      </c>
      <c r="AO240" s="86" t="s">
        <v>2178</v>
      </c>
      <c r="AP240" s="81" t="b">
        <v>0</v>
      </c>
      <c r="AQ240" s="86" t="s">
        <v>2021</v>
      </c>
      <c r="AR240" s="81" t="s">
        <v>179</v>
      </c>
      <c r="AS240" s="81">
        <v>0</v>
      </c>
      <c r="AT240" s="81">
        <v>0</v>
      </c>
      <c r="AU240" s="81"/>
      <c r="AV240" s="81"/>
      <c r="AW240" s="81"/>
      <c r="AX240" s="81"/>
      <c r="AY240" s="81"/>
      <c r="AZ240" s="81"/>
      <c r="BA240" s="81"/>
      <c r="BB240" s="81"/>
    </row>
    <row r="241" spans="1:54" x14ac:dyDescent="0.35">
      <c r="A241" s="66" t="s">
        <v>283</v>
      </c>
      <c r="B241" s="66" t="s">
        <v>627</v>
      </c>
      <c r="C241" s="67"/>
      <c r="D241" s="68"/>
      <c r="E241" s="69"/>
      <c r="F241" s="70"/>
      <c r="G241" s="67"/>
      <c r="H241" s="71"/>
      <c r="I241" s="72"/>
      <c r="J241" s="72"/>
      <c r="K241" s="36"/>
      <c r="L241" s="79"/>
      <c r="M241" s="79"/>
      <c r="N241" s="74"/>
      <c r="O241" s="81" t="s">
        <v>695</v>
      </c>
      <c r="P241" s="83">
        <v>44460.682870370372</v>
      </c>
      <c r="Q241" s="81" t="s">
        <v>730</v>
      </c>
      <c r="R241" s="81"/>
      <c r="S241" s="81"/>
      <c r="T241" s="81"/>
      <c r="U241" s="81"/>
      <c r="V241" s="84" t="str">
        <f>HYPERLINK("https://pbs.twimg.com/profile_images/1435628603857784840/QuQvsqWB_normal.jpg")</f>
        <v>https://pbs.twimg.com/profile_images/1435628603857784840/QuQvsqWB_normal.jpg</v>
      </c>
      <c r="W241" s="83">
        <v>44460.682870370372</v>
      </c>
      <c r="X241" s="89">
        <v>44460</v>
      </c>
      <c r="Y241" s="86" t="s">
        <v>1084</v>
      </c>
      <c r="Z241" s="84" t="str">
        <f>HYPERLINK("https://twitter.com/itsme0605/status/1440350944491835392")</f>
        <v>https://twitter.com/itsme0605/status/1440350944491835392</v>
      </c>
      <c r="AA241" s="81"/>
      <c r="AB241" s="81"/>
      <c r="AC241" s="86" t="s">
        <v>1582</v>
      </c>
      <c r="AD241" s="86" t="s">
        <v>2022</v>
      </c>
      <c r="AE241" s="81" t="b">
        <v>0</v>
      </c>
      <c r="AF241" s="81">
        <v>0</v>
      </c>
      <c r="AG241" s="86" t="s">
        <v>2100</v>
      </c>
      <c r="AH241" s="81" t="b">
        <v>0</v>
      </c>
      <c r="AI241" s="81" t="s">
        <v>2167</v>
      </c>
      <c r="AJ241" s="81"/>
      <c r="AK241" s="86" t="s">
        <v>2084</v>
      </c>
      <c r="AL241" s="81" t="b">
        <v>0</v>
      </c>
      <c r="AM241" s="81">
        <v>0</v>
      </c>
      <c r="AN241" s="86" t="s">
        <v>2084</v>
      </c>
      <c r="AO241" s="86" t="s">
        <v>2178</v>
      </c>
      <c r="AP241" s="81" t="b">
        <v>0</v>
      </c>
      <c r="AQ241" s="86" t="s">
        <v>2022</v>
      </c>
      <c r="AR241" s="81" t="s">
        <v>179</v>
      </c>
      <c r="AS241" s="81">
        <v>0</v>
      </c>
      <c r="AT241" s="81">
        <v>0</v>
      </c>
      <c r="AU241" s="81"/>
      <c r="AV241" s="81"/>
      <c r="AW241" s="81"/>
      <c r="AX241" s="81"/>
      <c r="AY241" s="81"/>
      <c r="AZ241" s="81"/>
      <c r="BA241" s="81"/>
      <c r="BB241" s="81"/>
    </row>
    <row r="242" spans="1:54" x14ac:dyDescent="0.35">
      <c r="A242" s="66" t="s">
        <v>4265</v>
      </c>
      <c r="B242" s="66" t="s">
        <v>5003</v>
      </c>
      <c r="C242" s="67"/>
      <c r="D242" s="68"/>
      <c r="E242" s="69"/>
      <c r="F242" s="70"/>
      <c r="G242" s="67"/>
      <c r="H242" s="71"/>
      <c r="I242" s="72"/>
      <c r="J242" s="72"/>
      <c r="K242" s="36"/>
      <c r="L242" s="79"/>
      <c r="M242" s="79"/>
      <c r="N242" s="74"/>
      <c r="O242" s="81" t="s">
        <v>696</v>
      </c>
      <c r="P242" s="83">
        <v>44460.761886574073</v>
      </c>
      <c r="Q242" s="81" t="s">
        <v>5306</v>
      </c>
      <c r="R242" s="81"/>
      <c r="S242" s="81"/>
      <c r="T242" s="81"/>
      <c r="U242" s="81"/>
      <c r="V242" s="84" t="str">
        <f>HYPERLINK("https://pbs.twimg.com/profile_images/1192164600889909248/Sb0p4xIf_normal.jpg")</f>
        <v>https://pbs.twimg.com/profile_images/1192164600889909248/Sb0p4xIf_normal.jpg</v>
      </c>
      <c r="W242" s="83">
        <v>44460.761886574073</v>
      </c>
      <c r="X242" s="89">
        <v>44460</v>
      </c>
      <c r="Y242" s="86" t="s">
        <v>5888</v>
      </c>
      <c r="Z242" s="84" t="str">
        <f>HYPERLINK("https://twitter.com/carolnowlencgc/status/1440379579634384896")</f>
        <v>https://twitter.com/carolnowlencgc/status/1440379579634384896</v>
      </c>
      <c r="AA242" s="81"/>
      <c r="AB242" s="81"/>
      <c r="AC242" s="86" t="s">
        <v>6789</v>
      </c>
      <c r="AD242" s="81"/>
      <c r="AE242" s="81" t="b">
        <v>0</v>
      </c>
      <c r="AF242" s="81">
        <v>2</v>
      </c>
      <c r="AG242" s="86" t="s">
        <v>2084</v>
      </c>
      <c r="AH242" s="81" t="b">
        <v>0</v>
      </c>
      <c r="AI242" s="81" t="s">
        <v>2168</v>
      </c>
      <c r="AJ242" s="81"/>
      <c r="AK242" s="86" t="s">
        <v>2084</v>
      </c>
      <c r="AL242" s="81" t="b">
        <v>0</v>
      </c>
      <c r="AM242" s="81">
        <v>0</v>
      </c>
      <c r="AN242" s="86" t="s">
        <v>2084</v>
      </c>
      <c r="AO242" s="86" t="s">
        <v>2178</v>
      </c>
      <c r="AP242" s="81" t="b">
        <v>0</v>
      </c>
      <c r="AQ242" s="86" t="s">
        <v>6789</v>
      </c>
      <c r="AR242" s="81" t="s">
        <v>179</v>
      </c>
      <c r="AS242" s="81">
        <v>0</v>
      </c>
      <c r="AT242" s="81">
        <v>0</v>
      </c>
      <c r="AU242" s="81"/>
      <c r="AV242" s="81"/>
      <c r="AW242" s="81"/>
      <c r="AX242" s="81"/>
      <c r="AY242" s="81"/>
      <c r="AZ242" s="81"/>
      <c r="BA242" s="81"/>
      <c r="BB242" s="81"/>
    </row>
    <row r="243" spans="1:54" x14ac:dyDescent="0.35">
      <c r="A243" s="66" t="s">
        <v>4266</v>
      </c>
      <c r="B243" s="66" t="s">
        <v>4266</v>
      </c>
      <c r="C243" s="67"/>
      <c r="D243" s="68"/>
      <c r="E243" s="69"/>
      <c r="F243" s="70"/>
      <c r="G243" s="67"/>
      <c r="H243" s="71"/>
      <c r="I243" s="72"/>
      <c r="J243" s="72"/>
      <c r="K243" s="36"/>
      <c r="L243" s="79"/>
      <c r="M243" s="79"/>
      <c r="N243" s="74"/>
      <c r="O243" s="81" t="s">
        <v>179</v>
      </c>
      <c r="P243" s="83">
        <v>44460.76321759259</v>
      </c>
      <c r="Q243" s="81" t="s">
        <v>5307</v>
      </c>
      <c r="R243" s="81"/>
      <c r="S243" s="81"/>
      <c r="T243" s="81"/>
      <c r="U243" s="81"/>
      <c r="V243" s="84" t="str">
        <f>HYPERLINK("https://pbs.twimg.com/profile_images/744613243595948032/Ssl2Y1Yd_normal.jpg")</f>
        <v>https://pbs.twimg.com/profile_images/744613243595948032/Ssl2Y1Yd_normal.jpg</v>
      </c>
      <c r="W243" s="83">
        <v>44460.76321759259</v>
      </c>
      <c r="X243" s="89">
        <v>44460</v>
      </c>
      <c r="Y243" s="86" t="s">
        <v>5889</v>
      </c>
      <c r="Z243" s="84" t="str">
        <f>HYPERLINK("https://twitter.com/_boerbn/status/1440380063732490241")</f>
        <v>https://twitter.com/_boerbn/status/1440380063732490241</v>
      </c>
      <c r="AA243" s="81"/>
      <c r="AB243" s="81"/>
      <c r="AC243" s="86" t="s">
        <v>6790</v>
      </c>
      <c r="AD243" s="86" t="s">
        <v>7629</v>
      </c>
      <c r="AE243" s="81" t="b">
        <v>0</v>
      </c>
      <c r="AF243" s="81">
        <v>0</v>
      </c>
      <c r="AG243" s="86" t="s">
        <v>7808</v>
      </c>
      <c r="AH243" s="81" t="b">
        <v>0</v>
      </c>
      <c r="AI243" s="81" t="s">
        <v>2168</v>
      </c>
      <c r="AJ243" s="81"/>
      <c r="AK243" s="86" t="s">
        <v>2084</v>
      </c>
      <c r="AL243" s="81" t="b">
        <v>0</v>
      </c>
      <c r="AM243" s="81">
        <v>0</v>
      </c>
      <c r="AN243" s="86" t="s">
        <v>2084</v>
      </c>
      <c r="AO243" s="86" t="s">
        <v>2179</v>
      </c>
      <c r="AP243" s="81" t="b">
        <v>0</v>
      </c>
      <c r="AQ243" s="86" t="s">
        <v>7629</v>
      </c>
      <c r="AR243" s="81" t="s">
        <v>179</v>
      </c>
      <c r="AS243" s="81">
        <v>0</v>
      </c>
      <c r="AT243" s="81">
        <v>0</v>
      </c>
      <c r="AU243" s="81"/>
      <c r="AV243" s="81"/>
      <c r="AW243" s="81"/>
      <c r="AX243" s="81"/>
      <c r="AY243" s="81"/>
      <c r="AZ243" s="81"/>
      <c r="BA243" s="81"/>
      <c r="BB243" s="81"/>
    </row>
    <row r="244" spans="1:54" x14ac:dyDescent="0.35">
      <c r="A244" s="66" t="s">
        <v>4267</v>
      </c>
      <c r="B244" s="66" t="s">
        <v>5004</v>
      </c>
      <c r="C244" s="67"/>
      <c r="D244" s="68"/>
      <c r="E244" s="69"/>
      <c r="F244" s="70"/>
      <c r="G244" s="67"/>
      <c r="H244" s="71"/>
      <c r="I244" s="72"/>
      <c r="J244" s="72"/>
      <c r="K244" s="36"/>
      <c r="L244" s="79"/>
      <c r="M244" s="79"/>
      <c r="N244" s="74"/>
      <c r="O244" s="81" t="s">
        <v>695</v>
      </c>
      <c r="P244" s="83">
        <v>44460.76599537037</v>
      </c>
      <c r="Q244" s="81" t="s">
        <v>5308</v>
      </c>
      <c r="R244" s="81"/>
      <c r="S244" s="81"/>
      <c r="T244" s="81"/>
      <c r="U244" s="81"/>
      <c r="V244" s="84" t="str">
        <f>HYPERLINK("https://pbs.twimg.com/profile_images/1428472645360758785/2vrcn7Xx_normal.jpg")</f>
        <v>https://pbs.twimg.com/profile_images/1428472645360758785/2vrcn7Xx_normal.jpg</v>
      </c>
      <c r="W244" s="83">
        <v>44460.76599537037</v>
      </c>
      <c r="X244" s="89">
        <v>44460</v>
      </c>
      <c r="Y244" s="86" t="s">
        <v>5890</v>
      </c>
      <c r="Z244" s="84" t="str">
        <f>HYPERLINK("https://twitter.com/algranz/status/1440381069975384064")</f>
        <v>https://twitter.com/algranz/status/1440381069975384064</v>
      </c>
      <c r="AA244" s="81"/>
      <c r="AB244" s="81"/>
      <c r="AC244" s="86" t="s">
        <v>6791</v>
      </c>
      <c r="AD244" s="86" t="s">
        <v>7630</v>
      </c>
      <c r="AE244" s="81" t="b">
        <v>0</v>
      </c>
      <c r="AF244" s="81">
        <v>0</v>
      </c>
      <c r="AG244" s="86" t="s">
        <v>7809</v>
      </c>
      <c r="AH244" s="81" t="b">
        <v>0</v>
      </c>
      <c r="AI244" s="81" t="s">
        <v>2171</v>
      </c>
      <c r="AJ244" s="81"/>
      <c r="AK244" s="86" t="s">
        <v>2084</v>
      </c>
      <c r="AL244" s="81" t="b">
        <v>0</v>
      </c>
      <c r="AM244" s="81">
        <v>0</v>
      </c>
      <c r="AN244" s="86" t="s">
        <v>2084</v>
      </c>
      <c r="AO244" s="86" t="s">
        <v>2178</v>
      </c>
      <c r="AP244" s="81" t="b">
        <v>0</v>
      </c>
      <c r="AQ244" s="86" t="s">
        <v>7630</v>
      </c>
      <c r="AR244" s="81" t="s">
        <v>179</v>
      </c>
      <c r="AS244" s="81">
        <v>0</v>
      </c>
      <c r="AT244" s="81">
        <v>0</v>
      </c>
      <c r="AU244" s="81"/>
      <c r="AV244" s="81"/>
      <c r="AW244" s="81"/>
      <c r="AX244" s="81"/>
      <c r="AY244" s="81"/>
      <c r="AZ244" s="81"/>
      <c r="BA244" s="81"/>
      <c r="BB244" s="81"/>
    </row>
    <row r="245" spans="1:54" x14ac:dyDescent="0.35">
      <c r="A245" s="66" t="s">
        <v>4268</v>
      </c>
      <c r="B245" s="66" t="s">
        <v>5005</v>
      </c>
      <c r="C245" s="67"/>
      <c r="D245" s="68"/>
      <c r="E245" s="69"/>
      <c r="F245" s="70"/>
      <c r="G245" s="67"/>
      <c r="H245" s="71"/>
      <c r="I245" s="72"/>
      <c r="J245" s="72"/>
      <c r="K245" s="36"/>
      <c r="L245" s="79"/>
      <c r="M245" s="79"/>
      <c r="N245" s="74"/>
      <c r="O245" s="81" t="s">
        <v>695</v>
      </c>
      <c r="P245" s="83">
        <v>44460.767511574071</v>
      </c>
      <c r="Q245" s="81" t="s">
        <v>5309</v>
      </c>
      <c r="R245" s="81"/>
      <c r="S245" s="81"/>
      <c r="T245" s="81"/>
      <c r="U245" s="81"/>
      <c r="V245" s="84" t="str">
        <f>HYPERLINK("https://pbs.twimg.com/profile_images/1430886327948517378/s_ocmT5Y_normal.jpg")</f>
        <v>https://pbs.twimg.com/profile_images/1430886327948517378/s_ocmT5Y_normal.jpg</v>
      </c>
      <c r="W245" s="83">
        <v>44460.767511574071</v>
      </c>
      <c r="X245" s="89">
        <v>44460</v>
      </c>
      <c r="Y245" s="86" t="s">
        <v>5891</v>
      </c>
      <c r="Z245" s="84" t="str">
        <f>HYPERLINK("https://twitter.com/2doism/status/1440381618321985537")</f>
        <v>https://twitter.com/2doism/status/1440381618321985537</v>
      </c>
      <c r="AA245" s="81"/>
      <c r="AB245" s="81"/>
      <c r="AC245" s="86" t="s">
        <v>6792</v>
      </c>
      <c r="AD245" s="86" t="s">
        <v>7631</v>
      </c>
      <c r="AE245" s="81" t="b">
        <v>0</v>
      </c>
      <c r="AF245" s="81">
        <v>0</v>
      </c>
      <c r="AG245" s="86" t="s">
        <v>7810</v>
      </c>
      <c r="AH245" s="81" t="b">
        <v>0</v>
      </c>
      <c r="AI245" s="81" t="s">
        <v>2171</v>
      </c>
      <c r="AJ245" s="81"/>
      <c r="AK245" s="86" t="s">
        <v>2084</v>
      </c>
      <c r="AL245" s="81" t="b">
        <v>0</v>
      </c>
      <c r="AM245" s="81">
        <v>0</v>
      </c>
      <c r="AN245" s="86" t="s">
        <v>2084</v>
      </c>
      <c r="AO245" s="86" t="s">
        <v>2178</v>
      </c>
      <c r="AP245" s="81" t="b">
        <v>0</v>
      </c>
      <c r="AQ245" s="86" t="s">
        <v>7631</v>
      </c>
      <c r="AR245" s="81" t="s">
        <v>179</v>
      </c>
      <c r="AS245" s="81">
        <v>0</v>
      </c>
      <c r="AT245" s="81">
        <v>0</v>
      </c>
      <c r="AU245" s="81"/>
      <c r="AV245" s="81"/>
      <c r="AW245" s="81"/>
      <c r="AX245" s="81"/>
      <c r="AY245" s="81"/>
      <c r="AZ245" s="81"/>
      <c r="BA245" s="81"/>
      <c r="BB245" s="81"/>
    </row>
    <row r="246" spans="1:54" x14ac:dyDescent="0.35">
      <c r="A246" s="66" t="s">
        <v>4269</v>
      </c>
      <c r="B246" s="66" t="s">
        <v>5006</v>
      </c>
      <c r="C246" s="67"/>
      <c r="D246" s="68"/>
      <c r="E246" s="69"/>
      <c r="F246" s="70"/>
      <c r="G246" s="67"/>
      <c r="H246" s="71"/>
      <c r="I246" s="72"/>
      <c r="J246" s="72"/>
      <c r="K246" s="36"/>
      <c r="L246" s="79"/>
      <c r="M246" s="79"/>
      <c r="N246" s="74"/>
      <c r="O246" s="81" t="s">
        <v>696</v>
      </c>
      <c r="P246" s="83">
        <v>44460.801979166667</v>
      </c>
      <c r="Q246" s="81" t="s">
        <v>5310</v>
      </c>
      <c r="R246" s="84" t="str">
        <f>HYPERLINK("https://elevensports.com/pt-br/view/highlight/cktug57o37gmr159y0cghcm8j?utm_campaign=fe_single_highlight&amp;utm_content=goal&amp;utm_medium=social&amp;utm_source=twitter")</f>
        <v>https://elevensports.com/pt-br/view/highlight/cktug57o37gmr159y0cghcm8j?utm_campaign=fe_single_highlight&amp;utm_content=goal&amp;utm_medium=social&amp;utm_source=twitter</v>
      </c>
      <c r="S246" s="81" t="s">
        <v>5700</v>
      </c>
      <c r="T246" s="81"/>
      <c r="U246" s="81"/>
      <c r="V246" s="84" t="str">
        <f>HYPERLINK("https://pbs.twimg.com/profile_images/1021112614888394753/kzMc1oxC_normal.jpg")</f>
        <v>https://pbs.twimg.com/profile_images/1021112614888394753/kzMc1oxC_normal.jpg</v>
      </c>
      <c r="W246" s="83">
        <v>44460.801979166667</v>
      </c>
      <c r="X246" s="89">
        <v>44460</v>
      </c>
      <c r="Y246" s="86" t="s">
        <v>5892</v>
      </c>
      <c r="Z246" s="84" t="str">
        <f>HYPERLINK("https://twitter.com/wandersfc/status/1440394109592559622")</f>
        <v>https://twitter.com/wandersfc/status/1440394109592559622</v>
      </c>
      <c r="AA246" s="81"/>
      <c r="AB246" s="81"/>
      <c r="AC246" s="86" t="s">
        <v>6793</v>
      </c>
      <c r="AD246" s="81"/>
      <c r="AE246" s="81" t="b">
        <v>0</v>
      </c>
      <c r="AF246" s="81">
        <v>22</v>
      </c>
      <c r="AG246" s="86" t="s">
        <v>2084</v>
      </c>
      <c r="AH246" s="81" t="b">
        <v>0</v>
      </c>
      <c r="AI246" s="81" t="s">
        <v>2171</v>
      </c>
      <c r="AJ246" s="81"/>
      <c r="AK246" s="86" t="s">
        <v>2084</v>
      </c>
      <c r="AL246" s="81" t="b">
        <v>0</v>
      </c>
      <c r="AM246" s="81">
        <v>1</v>
      </c>
      <c r="AN246" s="86" t="s">
        <v>2084</v>
      </c>
      <c r="AO246" s="86" t="s">
        <v>2181</v>
      </c>
      <c r="AP246" s="81" t="b">
        <v>0</v>
      </c>
      <c r="AQ246" s="86" t="s">
        <v>6793</v>
      </c>
      <c r="AR246" s="81" t="s">
        <v>179</v>
      </c>
      <c r="AS246" s="81">
        <v>0</v>
      </c>
      <c r="AT246" s="81">
        <v>0</v>
      </c>
      <c r="AU246" s="81"/>
      <c r="AV246" s="81"/>
      <c r="AW246" s="81"/>
      <c r="AX246" s="81"/>
      <c r="AY246" s="81"/>
      <c r="AZ246" s="81"/>
      <c r="BA246" s="81"/>
      <c r="BB246" s="81"/>
    </row>
    <row r="247" spans="1:54" x14ac:dyDescent="0.35">
      <c r="A247" s="66" t="s">
        <v>4270</v>
      </c>
      <c r="B247" s="66" t="s">
        <v>5006</v>
      </c>
      <c r="C247" s="67"/>
      <c r="D247" s="68"/>
      <c r="E247" s="69"/>
      <c r="F247" s="70"/>
      <c r="G247" s="67"/>
      <c r="H247" s="71"/>
      <c r="I247" s="72"/>
      <c r="J247" s="72"/>
      <c r="K247" s="36"/>
      <c r="L247" s="79"/>
      <c r="M247" s="79"/>
      <c r="N247" s="74"/>
      <c r="O247" s="81" t="s">
        <v>694</v>
      </c>
      <c r="P247" s="83">
        <v>44460.803784722222</v>
      </c>
      <c r="Q247" s="81" t="s">
        <v>5310</v>
      </c>
      <c r="R247" s="84" t="str">
        <f>HYPERLINK("https://elevensports.com/pt-br/view/highlight/cktug57o37gmr159y0cghcm8j?utm_campaign=fe_single_highlight&amp;utm_content=goal&amp;utm_medium=social&amp;utm_source=twitter")</f>
        <v>https://elevensports.com/pt-br/view/highlight/cktug57o37gmr159y0cghcm8j?utm_campaign=fe_single_highlight&amp;utm_content=goal&amp;utm_medium=social&amp;utm_source=twitter</v>
      </c>
      <c r="S247" s="81" t="s">
        <v>5700</v>
      </c>
      <c r="T247" s="81"/>
      <c r="U247" s="81"/>
      <c r="V247" s="84" t="str">
        <f>HYPERLINK("https://pbs.twimg.com/profile_images/1369766991498723331/idjlMpXl_normal.jpg")</f>
        <v>https://pbs.twimg.com/profile_images/1369766991498723331/idjlMpXl_normal.jpg</v>
      </c>
      <c r="W247" s="83">
        <v>44460.803784722222</v>
      </c>
      <c r="X247" s="89">
        <v>44460</v>
      </c>
      <c r="Y247" s="86" t="s">
        <v>5893</v>
      </c>
      <c r="Z247" s="84" t="str">
        <f>HYPERLINK("https://twitter.com/marciolleme/status/1440394763056795652")</f>
        <v>https://twitter.com/marciolleme/status/1440394763056795652</v>
      </c>
      <c r="AA247" s="81"/>
      <c r="AB247" s="81"/>
      <c r="AC247" s="86" t="s">
        <v>6794</v>
      </c>
      <c r="AD247" s="81"/>
      <c r="AE247" s="81" t="b">
        <v>0</v>
      </c>
      <c r="AF247" s="81">
        <v>0</v>
      </c>
      <c r="AG247" s="86" t="s">
        <v>2084</v>
      </c>
      <c r="AH247" s="81" t="b">
        <v>0</v>
      </c>
      <c r="AI247" s="81" t="s">
        <v>2171</v>
      </c>
      <c r="AJ247" s="81"/>
      <c r="AK247" s="86" t="s">
        <v>2084</v>
      </c>
      <c r="AL247" s="81" t="b">
        <v>0</v>
      </c>
      <c r="AM247" s="81">
        <v>1</v>
      </c>
      <c r="AN247" s="86" t="s">
        <v>6793</v>
      </c>
      <c r="AO247" s="86" t="s">
        <v>2178</v>
      </c>
      <c r="AP247" s="81" t="b">
        <v>0</v>
      </c>
      <c r="AQ247" s="86" t="s">
        <v>6793</v>
      </c>
      <c r="AR247" s="81" t="s">
        <v>179</v>
      </c>
      <c r="AS247" s="81">
        <v>0</v>
      </c>
      <c r="AT247" s="81">
        <v>0</v>
      </c>
      <c r="AU247" s="81"/>
      <c r="AV247" s="81"/>
      <c r="AW247" s="81"/>
      <c r="AX247" s="81"/>
      <c r="AY247" s="81"/>
      <c r="AZ247" s="81"/>
      <c r="BA247" s="81"/>
      <c r="BB247" s="81"/>
    </row>
    <row r="248" spans="1:54" x14ac:dyDescent="0.35">
      <c r="A248" s="66" t="s">
        <v>4270</v>
      </c>
      <c r="B248" s="66" t="s">
        <v>4269</v>
      </c>
      <c r="C248" s="67"/>
      <c r="D248" s="68"/>
      <c r="E248" s="69"/>
      <c r="F248" s="70"/>
      <c r="G248" s="67"/>
      <c r="H248" s="71"/>
      <c r="I248" s="72"/>
      <c r="J248" s="72"/>
      <c r="K248" s="36"/>
      <c r="L248" s="79"/>
      <c r="M248" s="79"/>
      <c r="N248" s="74"/>
      <c r="O248" s="81" t="s">
        <v>693</v>
      </c>
      <c r="P248" s="83">
        <v>44460.803784722222</v>
      </c>
      <c r="Q248" s="81" t="s">
        <v>5310</v>
      </c>
      <c r="R248" s="84" t="str">
        <f>HYPERLINK("https://elevensports.com/pt-br/view/highlight/cktug57o37gmr159y0cghcm8j?utm_campaign=fe_single_highlight&amp;utm_content=goal&amp;utm_medium=social&amp;utm_source=twitter")</f>
        <v>https://elevensports.com/pt-br/view/highlight/cktug57o37gmr159y0cghcm8j?utm_campaign=fe_single_highlight&amp;utm_content=goal&amp;utm_medium=social&amp;utm_source=twitter</v>
      </c>
      <c r="S248" s="81" t="s">
        <v>5700</v>
      </c>
      <c r="T248" s="81"/>
      <c r="U248" s="81"/>
      <c r="V248" s="84" t="str">
        <f>HYPERLINK("https://pbs.twimg.com/profile_images/1369766991498723331/idjlMpXl_normal.jpg")</f>
        <v>https://pbs.twimg.com/profile_images/1369766991498723331/idjlMpXl_normal.jpg</v>
      </c>
      <c r="W248" s="83">
        <v>44460.803784722222</v>
      </c>
      <c r="X248" s="89">
        <v>44460</v>
      </c>
      <c r="Y248" s="86" t="s">
        <v>5893</v>
      </c>
      <c r="Z248" s="84" t="str">
        <f>HYPERLINK("https://twitter.com/marciolleme/status/1440394763056795652")</f>
        <v>https://twitter.com/marciolleme/status/1440394763056795652</v>
      </c>
      <c r="AA248" s="81"/>
      <c r="AB248" s="81"/>
      <c r="AC248" s="86" t="s">
        <v>6794</v>
      </c>
      <c r="AD248" s="81"/>
      <c r="AE248" s="81" t="b">
        <v>0</v>
      </c>
      <c r="AF248" s="81">
        <v>0</v>
      </c>
      <c r="AG248" s="86" t="s">
        <v>2084</v>
      </c>
      <c r="AH248" s="81" t="b">
        <v>0</v>
      </c>
      <c r="AI248" s="81" t="s">
        <v>2171</v>
      </c>
      <c r="AJ248" s="81"/>
      <c r="AK248" s="86" t="s">
        <v>2084</v>
      </c>
      <c r="AL248" s="81" t="b">
        <v>0</v>
      </c>
      <c r="AM248" s="81">
        <v>1</v>
      </c>
      <c r="AN248" s="86" t="s">
        <v>6793</v>
      </c>
      <c r="AO248" s="86" t="s">
        <v>2178</v>
      </c>
      <c r="AP248" s="81" t="b">
        <v>0</v>
      </c>
      <c r="AQ248" s="86" t="s">
        <v>6793</v>
      </c>
      <c r="AR248" s="81" t="s">
        <v>179</v>
      </c>
      <c r="AS248" s="81">
        <v>0</v>
      </c>
      <c r="AT248" s="81">
        <v>0</v>
      </c>
      <c r="AU248" s="81"/>
      <c r="AV248" s="81"/>
      <c r="AW248" s="81"/>
      <c r="AX248" s="81"/>
      <c r="AY248" s="81"/>
      <c r="AZ248" s="81"/>
      <c r="BA248" s="81"/>
      <c r="BB248" s="81"/>
    </row>
    <row r="249" spans="1:54" x14ac:dyDescent="0.35">
      <c r="A249" s="66" t="s">
        <v>4271</v>
      </c>
      <c r="B249" s="66" t="s">
        <v>4978</v>
      </c>
      <c r="C249" s="67"/>
      <c r="D249" s="68"/>
      <c r="E249" s="69"/>
      <c r="F249" s="70"/>
      <c r="G249" s="67"/>
      <c r="H249" s="71"/>
      <c r="I249" s="72"/>
      <c r="J249" s="72"/>
      <c r="K249" s="36"/>
      <c r="L249" s="79"/>
      <c r="M249" s="79"/>
      <c r="N249" s="74"/>
      <c r="O249" s="81" t="s">
        <v>695</v>
      </c>
      <c r="P249" s="83">
        <v>44460.837789351855</v>
      </c>
      <c r="Q249" s="81" t="s">
        <v>5311</v>
      </c>
      <c r="R249" s="81"/>
      <c r="S249" s="81"/>
      <c r="T249" s="81"/>
      <c r="U249" s="81"/>
      <c r="V249" s="84" t="str">
        <f>HYPERLINK("https://pbs.twimg.com/profile_images/1321540016162639873/oci4A2QT_normal.jpg")</f>
        <v>https://pbs.twimg.com/profile_images/1321540016162639873/oci4A2QT_normal.jpg</v>
      </c>
      <c r="W249" s="83">
        <v>44460.837789351855</v>
      </c>
      <c r="X249" s="89">
        <v>44460</v>
      </c>
      <c r="Y249" s="86" t="s">
        <v>5894</v>
      </c>
      <c r="Z249" s="84" t="str">
        <f>HYPERLINK("https://twitter.com/mahabdalla/status/1440407084277776385")</f>
        <v>https://twitter.com/mahabdalla/status/1440407084277776385</v>
      </c>
      <c r="AA249" s="81"/>
      <c r="AB249" s="81"/>
      <c r="AC249" s="86" t="s">
        <v>6795</v>
      </c>
      <c r="AD249" s="86" t="s">
        <v>7632</v>
      </c>
      <c r="AE249" s="81" t="b">
        <v>0</v>
      </c>
      <c r="AF249" s="81">
        <v>17</v>
      </c>
      <c r="AG249" s="86" t="s">
        <v>7811</v>
      </c>
      <c r="AH249" s="81" t="b">
        <v>0</v>
      </c>
      <c r="AI249" s="81" t="s">
        <v>2171</v>
      </c>
      <c r="AJ249" s="81"/>
      <c r="AK249" s="86" t="s">
        <v>2084</v>
      </c>
      <c r="AL249" s="81" t="b">
        <v>0</v>
      </c>
      <c r="AM249" s="81">
        <v>0</v>
      </c>
      <c r="AN249" s="86" t="s">
        <v>2084</v>
      </c>
      <c r="AO249" s="86" t="s">
        <v>2181</v>
      </c>
      <c r="AP249" s="81" t="b">
        <v>0</v>
      </c>
      <c r="AQ249" s="86" t="s">
        <v>7632</v>
      </c>
      <c r="AR249" s="81" t="s">
        <v>179</v>
      </c>
      <c r="AS249" s="81">
        <v>0</v>
      </c>
      <c r="AT249" s="81">
        <v>0</v>
      </c>
      <c r="AU249" s="81"/>
      <c r="AV249" s="81"/>
      <c r="AW249" s="81"/>
      <c r="AX249" s="81"/>
      <c r="AY249" s="81"/>
      <c r="AZ249" s="81"/>
      <c r="BA249" s="81"/>
      <c r="BB249" s="81"/>
    </row>
    <row r="250" spans="1:54" x14ac:dyDescent="0.35">
      <c r="A250" s="66" t="s">
        <v>4272</v>
      </c>
      <c r="B250" s="66" t="s">
        <v>4272</v>
      </c>
      <c r="C250" s="67"/>
      <c r="D250" s="68"/>
      <c r="E250" s="69"/>
      <c r="F250" s="70"/>
      <c r="G250" s="67"/>
      <c r="H250" s="71"/>
      <c r="I250" s="72"/>
      <c r="J250" s="72"/>
      <c r="K250" s="36"/>
      <c r="L250" s="79"/>
      <c r="M250" s="79"/>
      <c r="N250" s="74"/>
      <c r="O250" s="81" t="s">
        <v>179</v>
      </c>
      <c r="P250" s="83">
        <v>44460.845347222225</v>
      </c>
      <c r="Q250" s="81" t="s">
        <v>5312</v>
      </c>
      <c r="R250" s="84" t="str">
        <f>HYPERLINK("https://www.publico.pt/2021/09/21/politica/noticia/sondagem-maioria-absoluta-moreira-ps-cair-dez-pontos-1978287")</f>
        <v>https://www.publico.pt/2021/09/21/politica/noticia/sondagem-maioria-absoluta-moreira-ps-cair-dez-pontos-1978287</v>
      </c>
      <c r="S250" s="81" t="s">
        <v>5701</v>
      </c>
      <c r="T250" s="81"/>
      <c r="U250" s="81"/>
      <c r="V250" s="84" t="str">
        <f>HYPERLINK("https://pbs.twimg.com/profile_images/744845925064019968/9rfVJUgH_normal.jpg")</f>
        <v>https://pbs.twimg.com/profile_images/744845925064019968/9rfVJUgH_normal.jpg</v>
      </c>
      <c r="W250" s="83">
        <v>44460.845347222225</v>
      </c>
      <c r="X250" s="89">
        <v>44460</v>
      </c>
      <c r="Y250" s="86" t="s">
        <v>5895</v>
      </c>
      <c r="Z250" s="84" t="str">
        <f>HYPERLINK("https://twitter.com/pedrofelixrocha/status/1440409826517864451")</f>
        <v>https://twitter.com/pedrofelixrocha/status/1440409826517864451</v>
      </c>
      <c r="AA250" s="81"/>
      <c r="AB250" s="81"/>
      <c r="AC250" s="86" t="s">
        <v>6796</v>
      </c>
      <c r="AD250" s="81"/>
      <c r="AE250" s="81" t="b">
        <v>0</v>
      </c>
      <c r="AF250" s="81">
        <v>0</v>
      </c>
      <c r="AG250" s="86" t="s">
        <v>2084</v>
      </c>
      <c r="AH250" s="81" t="b">
        <v>0</v>
      </c>
      <c r="AI250" s="81" t="s">
        <v>2171</v>
      </c>
      <c r="AJ250" s="81"/>
      <c r="AK250" s="86" t="s">
        <v>2084</v>
      </c>
      <c r="AL250" s="81" t="b">
        <v>0</v>
      </c>
      <c r="AM250" s="81">
        <v>0</v>
      </c>
      <c r="AN250" s="86" t="s">
        <v>2084</v>
      </c>
      <c r="AO250" s="86" t="s">
        <v>2178</v>
      </c>
      <c r="AP250" s="81" t="b">
        <v>0</v>
      </c>
      <c r="AQ250" s="86" t="s">
        <v>6796</v>
      </c>
      <c r="AR250" s="81" t="s">
        <v>179</v>
      </c>
      <c r="AS250" s="81">
        <v>0</v>
      </c>
      <c r="AT250" s="81">
        <v>0</v>
      </c>
      <c r="AU250" s="81"/>
      <c r="AV250" s="81"/>
      <c r="AW250" s="81"/>
      <c r="AX250" s="81"/>
      <c r="AY250" s="81"/>
      <c r="AZ250" s="81"/>
      <c r="BA250" s="81"/>
      <c r="BB250" s="81"/>
    </row>
    <row r="251" spans="1:54" x14ac:dyDescent="0.35">
      <c r="A251" s="66" t="s">
        <v>4273</v>
      </c>
      <c r="B251" s="66" t="s">
        <v>4273</v>
      </c>
      <c r="C251" s="67"/>
      <c r="D251" s="68"/>
      <c r="E251" s="69"/>
      <c r="F251" s="70"/>
      <c r="G251" s="67"/>
      <c r="H251" s="71"/>
      <c r="I251" s="72"/>
      <c r="J251" s="72"/>
      <c r="K251" s="36"/>
      <c r="L251" s="79"/>
      <c r="M251" s="79"/>
      <c r="N251" s="74"/>
      <c r="O251" s="81" t="s">
        <v>179</v>
      </c>
      <c r="P251" s="83">
        <v>44460.851122685184</v>
      </c>
      <c r="Q251" s="81" t="s">
        <v>5313</v>
      </c>
      <c r="R251" s="84" t="str">
        <f>HYPERLINK("https://www.gov.br/capes/pt-br/assuntos/noticias/em-videoconferencia-capes-discute-gestao-da-pos-graduacao")</f>
        <v>https://www.gov.br/capes/pt-br/assuntos/noticias/em-videoconferencia-capes-discute-gestao-da-pos-graduacao</v>
      </c>
      <c r="S251" s="81" t="s">
        <v>5686</v>
      </c>
      <c r="T251" s="81"/>
      <c r="U251" s="84" t="str">
        <f>HYPERLINK("https://pbs.twimg.com/media/E_1emCIUcBALjBW.jpg")</f>
        <v>https://pbs.twimg.com/media/E_1emCIUcBALjBW.jpg</v>
      </c>
      <c r="V251" s="84" t="str">
        <f>HYPERLINK("https://pbs.twimg.com/media/E_1emCIUcBALjBW.jpg")</f>
        <v>https://pbs.twimg.com/media/E_1emCIUcBALjBW.jpg</v>
      </c>
      <c r="W251" s="83">
        <v>44460.851122685184</v>
      </c>
      <c r="X251" s="89">
        <v>44460</v>
      </c>
      <c r="Y251" s="86" t="s">
        <v>5896</v>
      </c>
      <c r="Z251" s="84" t="str">
        <f>HYPERLINK("https://twitter.com/capes_oficial/status/1440411917898567685")</f>
        <v>https://twitter.com/capes_oficial/status/1440411917898567685</v>
      </c>
      <c r="AA251" s="81"/>
      <c r="AB251" s="81"/>
      <c r="AC251" s="86" t="s">
        <v>6797</v>
      </c>
      <c r="AD251" s="81"/>
      <c r="AE251" s="81" t="b">
        <v>0</v>
      </c>
      <c r="AF251" s="81">
        <v>2</v>
      </c>
      <c r="AG251" s="86" t="s">
        <v>2084</v>
      </c>
      <c r="AH251" s="81" t="b">
        <v>0</v>
      </c>
      <c r="AI251" s="81" t="s">
        <v>2171</v>
      </c>
      <c r="AJ251" s="81"/>
      <c r="AK251" s="86" t="s">
        <v>2084</v>
      </c>
      <c r="AL251" s="81" t="b">
        <v>0</v>
      </c>
      <c r="AM251" s="81">
        <v>0</v>
      </c>
      <c r="AN251" s="86" t="s">
        <v>2084</v>
      </c>
      <c r="AO251" s="86" t="s">
        <v>7978</v>
      </c>
      <c r="AP251" s="81" t="b">
        <v>0</v>
      </c>
      <c r="AQ251" s="86" t="s">
        <v>6797</v>
      </c>
      <c r="AR251" s="81" t="s">
        <v>179</v>
      </c>
      <c r="AS251" s="81">
        <v>0</v>
      </c>
      <c r="AT251" s="81">
        <v>0</v>
      </c>
      <c r="AU251" s="81"/>
      <c r="AV251" s="81"/>
      <c r="AW251" s="81"/>
      <c r="AX251" s="81"/>
      <c r="AY251" s="81"/>
      <c r="AZ251" s="81"/>
      <c r="BA251" s="81"/>
      <c r="BB251" s="81"/>
    </row>
    <row r="252" spans="1:54" x14ac:dyDescent="0.35">
      <c r="A252" s="66" t="s">
        <v>4274</v>
      </c>
      <c r="B252" s="66" t="s">
        <v>5007</v>
      </c>
      <c r="C252" s="67"/>
      <c r="D252" s="68"/>
      <c r="E252" s="69"/>
      <c r="F252" s="70"/>
      <c r="G252" s="67"/>
      <c r="H252" s="71"/>
      <c r="I252" s="72"/>
      <c r="J252" s="72"/>
      <c r="K252" s="36"/>
      <c r="L252" s="79"/>
      <c r="M252" s="79"/>
      <c r="N252" s="74"/>
      <c r="O252" s="81" t="s">
        <v>696</v>
      </c>
      <c r="P252" s="83">
        <v>44460.85527777778</v>
      </c>
      <c r="Q252" s="81" t="s">
        <v>5314</v>
      </c>
      <c r="R252" s="81"/>
      <c r="S252" s="81"/>
      <c r="T252" s="81"/>
      <c r="U252" s="81"/>
      <c r="V252" s="84" t="str">
        <f>HYPERLINK("https://pbs.twimg.com/profile_images/1124742514152562689/KNKRbQzg_normal.jpg")</f>
        <v>https://pbs.twimg.com/profile_images/1124742514152562689/KNKRbQzg_normal.jpg</v>
      </c>
      <c r="W252" s="83">
        <v>44460.85527777778</v>
      </c>
      <c r="X252" s="89">
        <v>44460</v>
      </c>
      <c r="Y252" s="86" t="s">
        <v>5897</v>
      </c>
      <c r="Z252" s="84" t="str">
        <f>HYPERLINK("https://twitter.com/luiz3underline/status/1440413425528492035")</f>
        <v>https://twitter.com/luiz3underline/status/1440413425528492035</v>
      </c>
      <c r="AA252" s="81"/>
      <c r="AB252" s="81"/>
      <c r="AC252" s="86" t="s">
        <v>6798</v>
      </c>
      <c r="AD252" s="86" t="s">
        <v>7633</v>
      </c>
      <c r="AE252" s="81" t="b">
        <v>0</v>
      </c>
      <c r="AF252" s="81">
        <v>0</v>
      </c>
      <c r="AG252" s="86" t="s">
        <v>7812</v>
      </c>
      <c r="AH252" s="81" t="b">
        <v>0</v>
      </c>
      <c r="AI252" s="81" t="s">
        <v>2171</v>
      </c>
      <c r="AJ252" s="81"/>
      <c r="AK252" s="86" t="s">
        <v>2084</v>
      </c>
      <c r="AL252" s="81" t="b">
        <v>0</v>
      </c>
      <c r="AM252" s="81">
        <v>0</v>
      </c>
      <c r="AN252" s="86" t="s">
        <v>2084</v>
      </c>
      <c r="AO252" s="86" t="s">
        <v>2178</v>
      </c>
      <c r="AP252" s="81" t="b">
        <v>0</v>
      </c>
      <c r="AQ252" s="86" t="s">
        <v>7633</v>
      </c>
      <c r="AR252" s="81" t="s">
        <v>179</v>
      </c>
      <c r="AS252" s="81">
        <v>0</v>
      </c>
      <c r="AT252" s="81">
        <v>0</v>
      </c>
      <c r="AU252" s="81"/>
      <c r="AV252" s="81"/>
      <c r="AW252" s="81"/>
      <c r="AX252" s="81"/>
      <c r="AY252" s="81"/>
      <c r="AZ252" s="81"/>
      <c r="BA252" s="81"/>
      <c r="BB252" s="81"/>
    </row>
    <row r="253" spans="1:54" x14ac:dyDescent="0.35">
      <c r="A253" s="66" t="s">
        <v>4274</v>
      </c>
      <c r="B253" s="66" t="s">
        <v>5008</v>
      </c>
      <c r="C253" s="67"/>
      <c r="D253" s="68"/>
      <c r="E253" s="69"/>
      <c r="F253" s="70"/>
      <c r="G253" s="67"/>
      <c r="H253" s="71"/>
      <c r="I253" s="72"/>
      <c r="J253" s="72"/>
      <c r="K253" s="36"/>
      <c r="L253" s="79"/>
      <c r="M253" s="79"/>
      <c r="N253" s="74"/>
      <c r="O253" s="81" t="s">
        <v>696</v>
      </c>
      <c r="P253" s="83">
        <v>44460.85527777778</v>
      </c>
      <c r="Q253" s="81" t="s">
        <v>5314</v>
      </c>
      <c r="R253" s="81"/>
      <c r="S253" s="81"/>
      <c r="T253" s="81"/>
      <c r="U253" s="81"/>
      <c r="V253" s="84" t="str">
        <f>HYPERLINK("https://pbs.twimg.com/profile_images/1124742514152562689/KNKRbQzg_normal.jpg")</f>
        <v>https://pbs.twimg.com/profile_images/1124742514152562689/KNKRbQzg_normal.jpg</v>
      </c>
      <c r="W253" s="83">
        <v>44460.85527777778</v>
      </c>
      <c r="X253" s="89">
        <v>44460</v>
      </c>
      <c r="Y253" s="86" t="s">
        <v>5897</v>
      </c>
      <c r="Z253" s="84" t="str">
        <f>HYPERLINK("https://twitter.com/luiz3underline/status/1440413425528492035")</f>
        <v>https://twitter.com/luiz3underline/status/1440413425528492035</v>
      </c>
      <c r="AA253" s="81"/>
      <c r="AB253" s="81"/>
      <c r="AC253" s="86" t="s">
        <v>6798</v>
      </c>
      <c r="AD253" s="86" t="s">
        <v>7633</v>
      </c>
      <c r="AE253" s="81" t="b">
        <v>0</v>
      </c>
      <c r="AF253" s="81">
        <v>0</v>
      </c>
      <c r="AG253" s="86" t="s">
        <v>7812</v>
      </c>
      <c r="AH253" s="81" t="b">
        <v>0</v>
      </c>
      <c r="AI253" s="81" t="s">
        <v>2171</v>
      </c>
      <c r="AJ253" s="81"/>
      <c r="AK253" s="86" t="s">
        <v>2084</v>
      </c>
      <c r="AL253" s="81" t="b">
        <v>0</v>
      </c>
      <c r="AM253" s="81">
        <v>0</v>
      </c>
      <c r="AN253" s="86" t="s">
        <v>2084</v>
      </c>
      <c r="AO253" s="86" t="s">
        <v>2178</v>
      </c>
      <c r="AP253" s="81" t="b">
        <v>0</v>
      </c>
      <c r="AQ253" s="86" t="s">
        <v>7633</v>
      </c>
      <c r="AR253" s="81" t="s">
        <v>179</v>
      </c>
      <c r="AS253" s="81">
        <v>0</v>
      </c>
      <c r="AT253" s="81">
        <v>0</v>
      </c>
      <c r="AU253" s="81"/>
      <c r="AV253" s="81"/>
      <c r="AW253" s="81"/>
      <c r="AX253" s="81"/>
      <c r="AY253" s="81"/>
      <c r="AZ253" s="81"/>
      <c r="BA253" s="81"/>
      <c r="BB253" s="81"/>
    </row>
    <row r="254" spans="1:54" x14ac:dyDescent="0.35">
      <c r="A254" s="66" t="s">
        <v>4274</v>
      </c>
      <c r="B254" s="66" t="s">
        <v>5009</v>
      </c>
      <c r="C254" s="67"/>
      <c r="D254" s="68"/>
      <c r="E254" s="69"/>
      <c r="F254" s="70"/>
      <c r="G254" s="67"/>
      <c r="H254" s="71"/>
      <c r="I254" s="72"/>
      <c r="J254" s="72"/>
      <c r="K254" s="36"/>
      <c r="L254" s="79"/>
      <c r="M254" s="79"/>
      <c r="N254" s="74"/>
      <c r="O254" s="81" t="s">
        <v>696</v>
      </c>
      <c r="P254" s="83">
        <v>44460.85527777778</v>
      </c>
      <c r="Q254" s="81" t="s">
        <v>5314</v>
      </c>
      <c r="R254" s="81"/>
      <c r="S254" s="81"/>
      <c r="T254" s="81"/>
      <c r="U254" s="81"/>
      <c r="V254" s="84" t="str">
        <f>HYPERLINK("https://pbs.twimg.com/profile_images/1124742514152562689/KNKRbQzg_normal.jpg")</f>
        <v>https://pbs.twimg.com/profile_images/1124742514152562689/KNKRbQzg_normal.jpg</v>
      </c>
      <c r="W254" s="83">
        <v>44460.85527777778</v>
      </c>
      <c r="X254" s="89">
        <v>44460</v>
      </c>
      <c r="Y254" s="86" t="s">
        <v>5897</v>
      </c>
      <c r="Z254" s="84" t="str">
        <f>HYPERLINK("https://twitter.com/luiz3underline/status/1440413425528492035")</f>
        <v>https://twitter.com/luiz3underline/status/1440413425528492035</v>
      </c>
      <c r="AA254" s="81"/>
      <c r="AB254" s="81"/>
      <c r="AC254" s="86" t="s">
        <v>6798</v>
      </c>
      <c r="AD254" s="86" t="s">
        <v>7633</v>
      </c>
      <c r="AE254" s="81" t="b">
        <v>0</v>
      </c>
      <c r="AF254" s="81">
        <v>0</v>
      </c>
      <c r="AG254" s="86" t="s">
        <v>7812</v>
      </c>
      <c r="AH254" s="81" t="b">
        <v>0</v>
      </c>
      <c r="AI254" s="81" t="s">
        <v>2171</v>
      </c>
      <c r="AJ254" s="81"/>
      <c r="AK254" s="86" t="s">
        <v>2084</v>
      </c>
      <c r="AL254" s="81" t="b">
        <v>0</v>
      </c>
      <c r="AM254" s="81">
        <v>0</v>
      </c>
      <c r="AN254" s="86" t="s">
        <v>2084</v>
      </c>
      <c r="AO254" s="86" t="s">
        <v>2178</v>
      </c>
      <c r="AP254" s="81" t="b">
        <v>0</v>
      </c>
      <c r="AQ254" s="86" t="s">
        <v>7633</v>
      </c>
      <c r="AR254" s="81" t="s">
        <v>179</v>
      </c>
      <c r="AS254" s="81">
        <v>0</v>
      </c>
      <c r="AT254" s="81">
        <v>0</v>
      </c>
      <c r="AU254" s="81"/>
      <c r="AV254" s="81"/>
      <c r="AW254" s="81"/>
      <c r="AX254" s="81"/>
      <c r="AY254" s="81"/>
      <c r="AZ254" s="81"/>
      <c r="BA254" s="81"/>
      <c r="BB254" s="81"/>
    </row>
    <row r="255" spans="1:54" x14ac:dyDescent="0.35">
      <c r="A255" s="66" t="s">
        <v>4274</v>
      </c>
      <c r="B255" s="66" t="s">
        <v>5010</v>
      </c>
      <c r="C255" s="67"/>
      <c r="D255" s="68"/>
      <c r="E255" s="69"/>
      <c r="F255" s="70"/>
      <c r="G255" s="67"/>
      <c r="H255" s="71"/>
      <c r="I255" s="72"/>
      <c r="J255" s="72"/>
      <c r="K255" s="36"/>
      <c r="L255" s="79"/>
      <c r="M255" s="79"/>
      <c r="N255" s="74"/>
      <c r="O255" s="81" t="s">
        <v>695</v>
      </c>
      <c r="P255" s="83">
        <v>44460.85527777778</v>
      </c>
      <c r="Q255" s="81" t="s">
        <v>5314</v>
      </c>
      <c r="R255" s="81"/>
      <c r="S255" s="81"/>
      <c r="T255" s="81"/>
      <c r="U255" s="81"/>
      <c r="V255" s="84" t="str">
        <f>HYPERLINK("https://pbs.twimg.com/profile_images/1124742514152562689/KNKRbQzg_normal.jpg")</f>
        <v>https://pbs.twimg.com/profile_images/1124742514152562689/KNKRbQzg_normal.jpg</v>
      </c>
      <c r="W255" s="83">
        <v>44460.85527777778</v>
      </c>
      <c r="X255" s="89">
        <v>44460</v>
      </c>
      <c r="Y255" s="86" t="s">
        <v>5897</v>
      </c>
      <c r="Z255" s="84" t="str">
        <f>HYPERLINK("https://twitter.com/luiz3underline/status/1440413425528492035")</f>
        <v>https://twitter.com/luiz3underline/status/1440413425528492035</v>
      </c>
      <c r="AA255" s="81"/>
      <c r="AB255" s="81"/>
      <c r="AC255" s="86" t="s">
        <v>6798</v>
      </c>
      <c r="AD255" s="86" t="s">
        <v>7633</v>
      </c>
      <c r="AE255" s="81" t="b">
        <v>0</v>
      </c>
      <c r="AF255" s="81">
        <v>0</v>
      </c>
      <c r="AG255" s="86" t="s">
        <v>7812</v>
      </c>
      <c r="AH255" s="81" t="b">
        <v>0</v>
      </c>
      <c r="AI255" s="81" t="s">
        <v>2171</v>
      </c>
      <c r="AJ255" s="81"/>
      <c r="AK255" s="86" t="s">
        <v>2084</v>
      </c>
      <c r="AL255" s="81" t="b">
        <v>0</v>
      </c>
      <c r="AM255" s="81">
        <v>0</v>
      </c>
      <c r="AN255" s="86" t="s">
        <v>2084</v>
      </c>
      <c r="AO255" s="86" t="s">
        <v>2178</v>
      </c>
      <c r="AP255" s="81" t="b">
        <v>0</v>
      </c>
      <c r="AQ255" s="86" t="s">
        <v>7633</v>
      </c>
      <c r="AR255" s="81" t="s">
        <v>179</v>
      </c>
      <c r="AS255" s="81">
        <v>0</v>
      </c>
      <c r="AT255" s="81">
        <v>0</v>
      </c>
      <c r="AU255" s="81"/>
      <c r="AV255" s="81"/>
      <c r="AW255" s="81"/>
      <c r="AX255" s="81"/>
      <c r="AY255" s="81"/>
      <c r="AZ255" s="81"/>
      <c r="BA255" s="81"/>
      <c r="BB255" s="81"/>
    </row>
    <row r="256" spans="1:54" x14ac:dyDescent="0.35">
      <c r="A256" s="66" t="s">
        <v>4275</v>
      </c>
      <c r="B256" s="66" t="s">
        <v>5011</v>
      </c>
      <c r="C256" s="67"/>
      <c r="D256" s="68"/>
      <c r="E256" s="69"/>
      <c r="F256" s="70"/>
      <c r="G256" s="67"/>
      <c r="H256" s="71"/>
      <c r="I256" s="72"/>
      <c r="J256" s="72"/>
      <c r="K256" s="36"/>
      <c r="L256" s="79"/>
      <c r="M256" s="79"/>
      <c r="N256" s="74"/>
      <c r="O256" s="81" t="s">
        <v>695</v>
      </c>
      <c r="P256" s="83">
        <v>44460.870856481481</v>
      </c>
      <c r="Q256" s="81" t="s">
        <v>5315</v>
      </c>
      <c r="R256" s="84" t="str">
        <f>HYPERLINK("https://www.gov.br/anvisa/pt-br/assuntos/fiscalizacao-e-monitoramento/notificacoes/vigimed/medicamentos-e-vacinas")</f>
        <v>https://www.gov.br/anvisa/pt-br/assuntos/fiscalizacao-e-monitoramento/notificacoes/vigimed/medicamentos-e-vacinas</v>
      </c>
      <c r="S256" s="81" t="s">
        <v>5686</v>
      </c>
      <c r="T256" s="81"/>
      <c r="U256" s="81"/>
      <c r="V256" s="84" t="str">
        <f>HYPERLINK("https://pbs.twimg.com/profile_images/1365822640854818825/se0hzumt_normal.jpg")</f>
        <v>https://pbs.twimg.com/profile_images/1365822640854818825/se0hzumt_normal.jpg</v>
      </c>
      <c r="W256" s="83">
        <v>44460.870856481481</v>
      </c>
      <c r="X256" s="89">
        <v>44460</v>
      </c>
      <c r="Y256" s="86" t="s">
        <v>5898</v>
      </c>
      <c r="Z256" s="84" t="str">
        <f>HYPERLINK("https://twitter.com/mab2828/status/1440419070428418051")</f>
        <v>https://twitter.com/mab2828/status/1440419070428418051</v>
      </c>
      <c r="AA256" s="81"/>
      <c r="AB256" s="81"/>
      <c r="AC256" s="86" t="s">
        <v>6799</v>
      </c>
      <c r="AD256" s="86" t="s">
        <v>7634</v>
      </c>
      <c r="AE256" s="81" t="b">
        <v>0</v>
      </c>
      <c r="AF256" s="81">
        <v>3</v>
      </c>
      <c r="AG256" s="86" t="s">
        <v>7813</v>
      </c>
      <c r="AH256" s="81" t="b">
        <v>0</v>
      </c>
      <c r="AI256" s="81" t="s">
        <v>2171</v>
      </c>
      <c r="AJ256" s="81"/>
      <c r="AK256" s="86" t="s">
        <v>2084</v>
      </c>
      <c r="AL256" s="81" t="b">
        <v>0</v>
      </c>
      <c r="AM256" s="81">
        <v>0</v>
      </c>
      <c r="AN256" s="86" t="s">
        <v>2084</v>
      </c>
      <c r="AO256" s="86" t="s">
        <v>2179</v>
      </c>
      <c r="AP256" s="81" t="b">
        <v>0</v>
      </c>
      <c r="AQ256" s="86" t="s">
        <v>7634</v>
      </c>
      <c r="AR256" s="81" t="s">
        <v>179</v>
      </c>
      <c r="AS256" s="81">
        <v>0</v>
      </c>
      <c r="AT256" s="81">
        <v>0</v>
      </c>
      <c r="AU256" s="81"/>
      <c r="AV256" s="81"/>
      <c r="AW256" s="81"/>
      <c r="AX256" s="81"/>
      <c r="AY256" s="81"/>
      <c r="AZ256" s="81"/>
      <c r="BA256" s="81"/>
      <c r="BB256" s="81"/>
    </row>
    <row r="257" spans="1:54" x14ac:dyDescent="0.35">
      <c r="A257" s="66" t="s">
        <v>4275</v>
      </c>
      <c r="B257" s="66" t="s">
        <v>5012</v>
      </c>
      <c r="C257" s="67"/>
      <c r="D257" s="68"/>
      <c r="E257" s="69"/>
      <c r="F257" s="70"/>
      <c r="G257" s="67"/>
      <c r="H257" s="71"/>
      <c r="I257" s="72"/>
      <c r="J257" s="72"/>
      <c r="K257" s="36"/>
      <c r="L257" s="79"/>
      <c r="M257" s="79"/>
      <c r="N257" s="74"/>
      <c r="O257" s="81" t="s">
        <v>695</v>
      </c>
      <c r="P257" s="83">
        <v>44460.870972222219</v>
      </c>
      <c r="Q257" s="81" t="s">
        <v>5316</v>
      </c>
      <c r="R257" s="84" t="str">
        <f>HYPERLINK("https://www.gov.br/anvisa/pt-br/assuntos/fiscalizacao-e-monitoramento/notificacoes/vigimed/medicamentos-e-vacinas")</f>
        <v>https://www.gov.br/anvisa/pt-br/assuntos/fiscalizacao-e-monitoramento/notificacoes/vigimed/medicamentos-e-vacinas</v>
      </c>
      <c r="S257" s="81" t="s">
        <v>5686</v>
      </c>
      <c r="T257" s="81"/>
      <c r="U257" s="81"/>
      <c r="V257" s="84" t="str">
        <f>HYPERLINK("https://pbs.twimg.com/profile_images/1365822640854818825/se0hzumt_normal.jpg")</f>
        <v>https://pbs.twimg.com/profile_images/1365822640854818825/se0hzumt_normal.jpg</v>
      </c>
      <c r="W257" s="83">
        <v>44460.870972222219</v>
      </c>
      <c r="X257" s="89">
        <v>44460</v>
      </c>
      <c r="Y257" s="86" t="s">
        <v>5899</v>
      </c>
      <c r="Z257" s="84" t="str">
        <f>HYPERLINK("https://twitter.com/mab2828/status/1440419111914201089")</f>
        <v>https://twitter.com/mab2828/status/1440419111914201089</v>
      </c>
      <c r="AA257" s="81"/>
      <c r="AB257" s="81"/>
      <c r="AC257" s="86" t="s">
        <v>6800</v>
      </c>
      <c r="AD257" s="86" t="s">
        <v>7635</v>
      </c>
      <c r="AE257" s="81" t="b">
        <v>0</v>
      </c>
      <c r="AF257" s="81">
        <v>2</v>
      </c>
      <c r="AG257" s="86" t="s">
        <v>7814</v>
      </c>
      <c r="AH257" s="81" t="b">
        <v>0</v>
      </c>
      <c r="AI257" s="81" t="s">
        <v>2171</v>
      </c>
      <c r="AJ257" s="81"/>
      <c r="AK257" s="86" t="s">
        <v>2084</v>
      </c>
      <c r="AL257" s="81" t="b">
        <v>0</v>
      </c>
      <c r="AM257" s="81">
        <v>0</v>
      </c>
      <c r="AN257" s="86" t="s">
        <v>2084</v>
      </c>
      <c r="AO257" s="86" t="s">
        <v>2179</v>
      </c>
      <c r="AP257" s="81" t="b">
        <v>0</v>
      </c>
      <c r="AQ257" s="86" t="s">
        <v>7635</v>
      </c>
      <c r="AR257" s="81" t="s">
        <v>179</v>
      </c>
      <c r="AS257" s="81">
        <v>0</v>
      </c>
      <c r="AT257" s="81">
        <v>0</v>
      </c>
      <c r="AU257" s="81"/>
      <c r="AV257" s="81"/>
      <c r="AW257" s="81"/>
      <c r="AX257" s="81"/>
      <c r="AY257" s="81"/>
      <c r="AZ257" s="81"/>
      <c r="BA257" s="81"/>
      <c r="BB257" s="81"/>
    </row>
    <row r="258" spans="1:54" x14ac:dyDescent="0.35">
      <c r="A258" s="66" t="s">
        <v>4276</v>
      </c>
      <c r="B258" s="66" t="s">
        <v>5013</v>
      </c>
      <c r="C258" s="67"/>
      <c r="D258" s="68"/>
      <c r="E258" s="69"/>
      <c r="F258" s="70"/>
      <c r="G258" s="67"/>
      <c r="H258" s="71"/>
      <c r="I258" s="72"/>
      <c r="J258" s="72"/>
      <c r="K258" s="36"/>
      <c r="L258" s="79"/>
      <c r="M258" s="79"/>
      <c r="N258" s="74"/>
      <c r="O258" s="81" t="s">
        <v>694</v>
      </c>
      <c r="P258" s="83">
        <v>44460.878032407411</v>
      </c>
      <c r="Q258" s="81" t="s">
        <v>5317</v>
      </c>
      <c r="R258" s="84" t="str">
        <f>HYPERLINK("https://www.gov.br/anvisa/pt-br/assuntos/fiscalizacao-e-monitoramento/notificacoes/vigimed/medicamentos-e-vacinas")</f>
        <v>https://www.gov.br/anvisa/pt-br/assuntos/fiscalizacao-e-monitoramento/notificacoes/vigimed/medicamentos-e-vacinas</v>
      </c>
      <c r="S258" s="81" t="s">
        <v>5686</v>
      </c>
      <c r="T258" s="81"/>
      <c r="U258" s="81"/>
      <c r="V258" s="84" t="str">
        <f>HYPERLINK("https://pbs.twimg.com/profile_images/1441127495185620992/_pxNSGh1_normal.jpg")</f>
        <v>https://pbs.twimg.com/profile_images/1441127495185620992/_pxNSGh1_normal.jpg</v>
      </c>
      <c r="W258" s="83">
        <v>44460.878032407411</v>
      </c>
      <c r="X258" s="89">
        <v>44460</v>
      </c>
      <c r="Y258" s="86" t="s">
        <v>5900</v>
      </c>
      <c r="Z258" s="84" t="str">
        <f>HYPERLINK("https://twitter.com/dyluisa2/status/1440421669470756871")</f>
        <v>https://twitter.com/dyluisa2/status/1440421669470756871</v>
      </c>
      <c r="AA258" s="81"/>
      <c r="AB258" s="81"/>
      <c r="AC258" s="86" t="s">
        <v>6801</v>
      </c>
      <c r="AD258" s="81"/>
      <c r="AE258" s="81" t="b">
        <v>0</v>
      </c>
      <c r="AF258" s="81">
        <v>0</v>
      </c>
      <c r="AG258" s="86" t="s">
        <v>2084</v>
      </c>
      <c r="AH258" s="81" t="b">
        <v>0</v>
      </c>
      <c r="AI258" s="81" t="s">
        <v>2171</v>
      </c>
      <c r="AJ258" s="81"/>
      <c r="AK258" s="86" t="s">
        <v>2084</v>
      </c>
      <c r="AL258" s="81" t="b">
        <v>0</v>
      </c>
      <c r="AM258" s="81">
        <v>4</v>
      </c>
      <c r="AN258" s="86" t="s">
        <v>6810</v>
      </c>
      <c r="AO258" s="86" t="s">
        <v>2178</v>
      </c>
      <c r="AP258" s="81" t="b">
        <v>0</v>
      </c>
      <c r="AQ258" s="86" t="s">
        <v>6810</v>
      </c>
      <c r="AR258" s="81" t="s">
        <v>179</v>
      </c>
      <c r="AS258" s="81">
        <v>0</v>
      </c>
      <c r="AT258" s="81">
        <v>0</v>
      </c>
      <c r="AU258" s="81"/>
      <c r="AV258" s="81"/>
      <c r="AW258" s="81"/>
      <c r="AX258" s="81"/>
      <c r="AY258" s="81"/>
      <c r="AZ258" s="81"/>
      <c r="BA258" s="81"/>
      <c r="BB258" s="81"/>
    </row>
    <row r="259" spans="1:54" x14ac:dyDescent="0.35">
      <c r="A259" s="66" t="s">
        <v>4276</v>
      </c>
      <c r="B259" s="66" t="s">
        <v>5014</v>
      </c>
      <c r="C259" s="67"/>
      <c r="D259" s="68"/>
      <c r="E259" s="69"/>
      <c r="F259" s="70"/>
      <c r="G259" s="67"/>
      <c r="H259" s="71"/>
      <c r="I259" s="72"/>
      <c r="J259" s="72"/>
      <c r="K259" s="36"/>
      <c r="L259" s="79"/>
      <c r="M259" s="79"/>
      <c r="N259" s="74"/>
      <c r="O259" s="81" t="s">
        <v>694</v>
      </c>
      <c r="P259" s="83">
        <v>44460.878032407411</v>
      </c>
      <c r="Q259" s="81" t="s">
        <v>5317</v>
      </c>
      <c r="R259" s="84" t="str">
        <f>HYPERLINK("https://www.gov.br/anvisa/pt-br/assuntos/fiscalizacao-e-monitoramento/notificacoes/vigimed/medicamentos-e-vacinas")</f>
        <v>https://www.gov.br/anvisa/pt-br/assuntos/fiscalizacao-e-monitoramento/notificacoes/vigimed/medicamentos-e-vacinas</v>
      </c>
      <c r="S259" s="81" t="s">
        <v>5686</v>
      </c>
      <c r="T259" s="81"/>
      <c r="U259" s="81"/>
      <c r="V259" s="84" t="str">
        <f>HYPERLINK("https://pbs.twimg.com/profile_images/1441127495185620992/_pxNSGh1_normal.jpg")</f>
        <v>https://pbs.twimg.com/profile_images/1441127495185620992/_pxNSGh1_normal.jpg</v>
      </c>
      <c r="W259" s="83">
        <v>44460.878032407411</v>
      </c>
      <c r="X259" s="89">
        <v>44460</v>
      </c>
      <c r="Y259" s="86" t="s">
        <v>5900</v>
      </c>
      <c r="Z259" s="84" t="str">
        <f>HYPERLINK("https://twitter.com/dyluisa2/status/1440421669470756871")</f>
        <v>https://twitter.com/dyluisa2/status/1440421669470756871</v>
      </c>
      <c r="AA259" s="81"/>
      <c r="AB259" s="81"/>
      <c r="AC259" s="86" t="s">
        <v>6801</v>
      </c>
      <c r="AD259" s="81"/>
      <c r="AE259" s="81" t="b">
        <v>0</v>
      </c>
      <c r="AF259" s="81">
        <v>0</v>
      </c>
      <c r="AG259" s="86" t="s">
        <v>2084</v>
      </c>
      <c r="AH259" s="81" t="b">
        <v>0</v>
      </c>
      <c r="AI259" s="81" t="s">
        <v>2171</v>
      </c>
      <c r="AJ259" s="81"/>
      <c r="AK259" s="86" t="s">
        <v>2084</v>
      </c>
      <c r="AL259" s="81" t="b">
        <v>0</v>
      </c>
      <c r="AM259" s="81">
        <v>4</v>
      </c>
      <c r="AN259" s="86" t="s">
        <v>6810</v>
      </c>
      <c r="AO259" s="86" t="s">
        <v>2178</v>
      </c>
      <c r="AP259" s="81" t="b">
        <v>0</v>
      </c>
      <c r="AQ259" s="86" t="s">
        <v>6810</v>
      </c>
      <c r="AR259" s="81" t="s">
        <v>179</v>
      </c>
      <c r="AS259" s="81">
        <v>0</v>
      </c>
      <c r="AT259" s="81">
        <v>0</v>
      </c>
      <c r="AU259" s="81"/>
      <c r="AV259" s="81"/>
      <c r="AW259" s="81"/>
      <c r="AX259" s="81"/>
      <c r="AY259" s="81"/>
      <c r="AZ259" s="81"/>
      <c r="BA259" s="81"/>
      <c r="BB259" s="81"/>
    </row>
    <row r="260" spans="1:54" x14ac:dyDescent="0.35">
      <c r="A260" s="66" t="s">
        <v>4276</v>
      </c>
      <c r="B260" s="66" t="s">
        <v>4275</v>
      </c>
      <c r="C260" s="67"/>
      <c r="D260" s="68"/>
      <c r="E260" s="69"/>
      <c r="F260" s="70"/>
      <c r="G260" s="67"/>
      <c r="H260" s="71"/>
      <c r="I260" s="72"/>
      <c r="J260" s="72"/>
      <c r="K260" s="36"/>
      <c r="L260" s="79"/>
      <c r="M260" s="79"/>
      <c r="N260" s="74"/>
      <c r="O260" s="81" t="s">
        <v>693</v>
      </c>
      <c r="P260" s="83">
        <v>44460.878032407411</v>
      </c>
      <c r="Q260" s="81" t="s">
        <v>5317</v>
      </c>
      <c r="R260" s="84" t="str">
        <f>HYPERLINK("https://www.gov.br/anvisa/pt-br/assuntos/fiscalizacao-e-monitoramento/notificacoes/vigimed/medicamentos-e-vacinas")</f>
        <v>https://www.gov.br/anvisa/pt-br/assuntos/fiscalizacao-e-monitoramento/notificacoes/vigimed/medicamentos-e-vacinas</v>
      </c>
      <c r="S260" s="81" t="s">
        <v>5686</v>
      </c>
      <c r="T260" s="81"/>
      <c r="U260" s="81"/>
      <c r="V260" s="84" t="str">
        <f>HYPERLINK("https://pbs.twimg.com/profile_images/1441127495185620992/_pxNSGh1_normal.jpg")</f>
        <v>https://pbs.twimg.com/profile_images/1441127495185620992/_pxNSGh1_normal.jpg</v>
      </c>
      <c r="W260" s="83">
        <v>44460.878032407411</v>
      </c>
      <c r="X260" s="89">
        <v>44460</v>
      </c>
      <c r="Y260" s="86" t="s">
        <v>5900</v>
      </c>
      <c r="Z260" s="84" t="str">
        <f>HYPERLINK("https://twitter.com/dyluisa2/status/1440421669470756871")</f>
        <v>https://twitter.com/dyluisa2/status/1440421669470756871</v>
      </c>
      <c r="AA260" s="81"/>
      <c r="AB260" s="81"/>
      <c r="AC260" s="86" t="s">
        <v>6801</v>
      </c>
      <c r="AD260" s="81"/>
      <c r="AE260" s="81" t="b">
        <v>0</v>
      </c>
      <c r="AF260" s="81">
        <v>0</v>
      </c>
      <c r="AG260" s="86" t="s">
        <v>2084</v>
      </c>
      <c r="AH260" s="81" t="b">
        <v>0</v>
      </c>
      <c r="AI260" s="81" t="s">
        <v>2171</v>
      </c>
      <c r="AJ260" s="81"/>
      <c r="AK260" s="86" t="s">
        <v>2084</v>
      </c>
      <c r="AL260" s="81" t="b">
        <v>0</v>
      </c>
      <c r="AM260" s="81">
        <v>4</v>
      </c>
      <c r="AN260" s="86" t="s">
        <v>6810</v>
      </c>
      <c r="AO260" s="86" t="s">
        <v>2178</v>
      </c>
      <c r="AP260" s="81" t="b">
        <v>0</v>
      </c>
      <c r="AQ260" s="86" t="s">
        <v>6810</v>
      </c>
      <c r="AR260" s="81" t="s">
        <v>179</v>
      </c>
      <c r="AS260" s="81">
        <v>0</v>
      </c>
      <c r="AT260" s="81">
        <v>0</v>
      </c>
      <c r="AU260" s="81"/>
      <c r="AV260" s="81"/>
      <c r="AW260" s="81"/>
      <c r="AX260" s="81"/>
      <c r="AY260" s="81"/>
      <c r="AZ260" s="81"/>
      <c r="BA260" s="81"/>
      <c r="BB260" s="81"/>
    </row>
    <row r="261" spans="1:54" x14ac:dyDescent="0.35">
      <c r="A261" s="66" t="s">
        <v>4276</v>
      </c>
      <c r="B261" s="66" t="s">
        <v>5015</v>
      </c>
      <c r="C261" s="67"/>
      <c r="D261" s="68"/>
      <c r="E261" s="69"/>
      <c r="F261" s="70"/>
      <c r="G261" s="67"/>
      <c r="H261" s="71"/>
      <c r="I261" s="72"/>
      <c r="J261" s="72"/>
      <c r="K261" s="36"/>
      <c r="L261" s="79"/>
      <c r="M261" s="79"/>
      <c r="N261" s="74"/>
      <c r="O261" s="81" t="s">
        <v>695</v>
      </c>
      <c r="P261" s="83">
        <v>44460.878032407411</v>
      </c>
      <c r="Q261" s="81" t="s">
        <v>5317</v>
      </c>
      <c r="R261" s="84" t="str">
        <f>HYPERLINK("https://www.gov.br/anvisa/pt-br/assuntos/fiscalizacao-e-monitoramento/notificacoes/vigimed/medicamentos-e-vacinas")</f>
        <v>https://www.gov.br/anvisa/pt-br/assuntos/fiscalizacao-e-monitoramento/notificacoes/vigimed/medicamentos-e-vacinas</v>
      </c>
      <c r="S261" s="81" t="s">
        <v>5686</v>
      </c>
      <c r="T261" s="81"/>
      <c r="U261" s="81"/>
      <c r="V261" s="84" t="str">
        <f>HYPERLINK("https://pbs.twimg.com/profile_images/1441127495185620992/_pxNSGh1_normal.jpg")</f>
        <v>https://pbs.twimg.com/profile_images/1441127495185620992/_pxNSGh1_normal.jpg</v>
      </c>
      <c r="W261" s="83">
        <v>44460.878032407411</v>
      </c>
      <c r="X261" s="89">
        <v>44460</v>
      </c>
      <c r="Y261" s="86" t="s">
        <v>5900</v>
      </c>
      <c r="Z261" s="84" t="str">
        <f>HYPERLINK("https://twitter.com/dyluisa2/status/1440421669470756871")</f>
        <v>https://twitter.com/dyluisa2/status/1440421669470756871</v>
      </c>
      <c r="AA261" s="81"/>
      <c r="AB261" s="81"/>
      <c r="AC261" s="86" t="s">
        <v>6801</v>
      </c>
      <c r="AD261" s="81"/>
      <c r="AE261" s="81" t="b">
        <v>0</v>
      </c>
      <c r="AF261" s="81">
        <v>0</v>
      </c>
      <c r="AG261" s="86" t="s">
        <v>2084</v>
      </c>
      <c r="AH261" s="81" t="b">
        <v>0</v>
      </c>
      <c r="AI261" s="81" t="s">
        <v>2171</v>
      </c>
      <c r="AJ261" s="81"/>
      <c r="AK261" s="86" t="s">
        <v>2084</v>
      </c>
      <c r="AL261" s="81" t="b">
        <v>0</v>
      </c>
      <c r="AM261" s="81">
        <v>4</v>
      </c>
      <c r="AN261" s="86" t="s">
        <v>6810</v>
      </c>
      <c r="AO261" s="86" t="s">
        <v>2178</v>
      </c>
      <c r="AP261" s="81" t="b">
        <v>0</v>
      </c>
      <c r="AQ261" s="86" t="s">
        <v>6810</v>
      </c>
      <c r="AR261" s="81" t="s">
        <v>179</v>
      </c>
      <c r="AS261" s="81">
        <v>0</v>
      </c>
      <c r="AT261" s="81">
        <v>0</v>
      </c>
      <c r="AU261" s="81"/>
      <c r="AV261" s="81"/>
      <c r="AW261" s="81"/>
      <c r="AX261" s="81"/>
      <c r="AY261" s="81"/>
      <c r="AZ261" s="81"/>
      <c r="BA261" s="81"/>
      <c r="BB261" s="81"/>
    </row>
    <row r="262" spans="1:54" x14ac:dyDescent="0.35">
      <c r="A262" s="66" t="s">
        <v>4277</v>
      </c>
      <c r="B262" s="66" t="s">
        <v>5013</v>
      </c>
      <c r="C262" s="67"/>
      <c r="D262" s="68"/>
      <c r="E262" s="69"/>
      <c r="F262" s="70"/>
      <c r="G262" s="67"/>
      <c r="H262" s="71"/>
      <c r="I262" s="72"/>
      <c r="J262" s="72"/>
      <c r="K262" s="36"/>
      <c r="L262" s="79"/>
      <c r="M262" s="79"/>
      <c r="N262" s="74"/>
      <c r="O262" s="81" t="s">
        <v>694</v>
      </c>
      <c r="P262" s="83">
        <v>44460.888518518521</v>
      </c>
      <c r="Q262" s="81" t="s">
        <v>5317</v>
      </c>
      <c r="R262" s="84" t="str">
        <f>HYPERLINK("https://www.gov.br/anvisa/pt-br/assuntos/fiscalizacao-e-monitoramento/notificacoes/vigimed/medicamentos-e-vacinas")</f>
        <v>https://www.gov.br/anvisa/pt-br/assuntos/fiscalizacao-e-monitoramento/notificacoes/vigimed/medicamentos-e-vacinas</v>
      </c>
      <c r="S262" s="81" t="s">
        <v>5686</v>
      </c>
      <c r="T262" s="81"/>
      <c r="U262" s="81"/>
      <c r="V262" s="84" t="str">
        <f>HYPERLINK("https://pbs.twimg.com/profile_images/1415425484012281859/E5sWEWvt_normal.jpg")</f>
        <v>https://pbs.twimg.com/profile_images/1415425484012281859/E5sWEWvt_normal.jpg</v>
      </c>
      <c r="W262" s="83">
        <v>44460.888518518521</v>
      </c>
      <c r="X262" s="89">
        <v>44460</v>
      </c>
      <c r="Y262" s="86" t="s">
        <v>5901</v>
      </c>
      <c r="Z262" s="84" t="str">
        <f>HYPERLINK("https://twitter.com/andymay66667747/status/1440425471011799046")</f>
        <v>https://twitter.com/andymay66667747/status/1440425471011799046</v>
      </c>
      <c r="AA262" s="81"/>
      <c r="AB262" s="81"/>
      <c r="AC262" s="86" t="s">
        <v>6802</v>
      </c>
      <c r="AD262" s="81"/>
      <c r="AE262" s="81" t="b">
        <v>0</v>
      </c>
      <c r="AF262" s="81">
        <v>0</v>
      </c>
      <c r="AG262" s="86" t="s">
        <v>2084</v>
      </c>
      <c r="AH262" s="81" t="b">
        <v>0</v>
      </c>
      <c r="AI262" s="81" t="s">
        <v>2171</v>
      </c>
      <c r="AJ262" s="81"/>
      <c r="AK262" s="86" t="s">
        <v>2084</v>
      </c>
      <c r="AL262" s="81" t="b">
        <v>0</v>
      </c>
      <c r="AM262" s="81">
        <v>4</v>
      </c>
      <c r="AN262" s="86" t="s">
        <v>6810</v>
      </c>
      <c r="AO262" s="86" t="s">
        <v>2178</v>
      </c>
      <c r="AP262" s="81" t="b">
        <v>0</v>
      </c>
      <c r="AQ262" s="86" t="s">
        <v>6810</v>
      </c>
      <c r="AR262" s="81" t="s">
        <v>179</v>
      </c>
      <c r="AS262" s="81">
        <v>0</v>
      </c>
      <c r="AT262" s="81">
        <v>0</v>
      </c>
      <c r="AU262" s="81"/>
      <c r="AV262" s="81"/>
      <c r="AW262" s="81"/>
      <c r="AX262" s="81"/>
      <c r="AY262" s="81"/>
      <c r="AZ262" s="81"/>
      <c r="BA262" s="81"/>
      <c r="BB262" s="81"/>
    </row>
    <row r="263" spans="1:54" x14ac:dyDescent="0.35">
      <c r="A263" s="66" t="s">
        <v>4277</v>
      </c>
      <c r="B263" s="66" t="s">
        <v>5014</v>
      </c>
      <c r="C263" s="67"/>
      <c r="D263" s="68"/>
      <c r="E263" s="69"/>
      <c r="F263" s="70"/>
      <c r="G263" s="67"/>
      <c r="H263" s="71"/>
      <c r="I263" s="72"/>
      <c r="J263" s="72"/>
      <c r="K263" s="36"/>
      <c r="L263" s="79"/>
      <c r="M263" s="79"/>
      <c r="N263" s="74"/>
      <c r="O263" s="81" t="s">
        <v>694</v>
      </c>
      <c r="P263" s="83">
        <v>44460.888518518521</v>
      </c>
      <c r="Q263" s="81" t="s">
        <v>5317</v>
      </c>
      <c r="R263" s="84" t="str">
        <f>HYPERLINK("https://www.gov.br/anvisa/pt-br/assuntos/fiscalizacao-e-monitoramento/notificacoes/vigimed/medicamentos-e-vacinas")</f>
        <v>https://www.gov.br/anvisa/pt-br/assuntos/fiscalizacao-e-monitoramento/notificacoes/vigimed/medicamentos-e-vacinas</v>
      </c>
      <c r="S263" s="81" t="s">
        <v>5686</v>
      </c>
      <c r="T263" s="81"/>
      <c r="U263" s="81"/>
      <c r="V263" s="84" t="str">
        <f>HYPERLINK("https://pbs.twimg.com/profile_images/1415425484012281859/E5sWEWvt_normal.jpg")</f>
        <v>https://pbs.twimg.com/profile_images/1415425484012281859/E5sWEWvt_normal.jpg</v>
      </c>
      <c r="W263" s="83">
        <v>44460.888518518521</v>
      </c>
      <c r="X263" s="89">
        <v>44460</v>
      </c>
      <c r="Y263" s="86" t="s">
        <v>5901</v>
      </c>
      <c r="Z263" s="84" t="str">
        <f>HYPERLINK("https://twitter.com/andymay66667747/status/1440425471011799046")</f>
        <v>https://twitter.com/andymay66667747/status/1440425471011799046</v>
      </c>
      <c r="AA263" s="81"/>
      <c r="AB263" s="81"/>
      <c r="AC263" s="86" t="s">
        <v>6802</v>
      </c>
      <c r="AD263" s="81"/>
      <c r="AE263" s="81" t="b">
        <v>0</v>
      </c>
      <c r="AF263" s="81">
        <v>0</v>
      </c>
      <c r="AG263" s="86" t="s">
        <v>2084</v>
      </c>
      <c r="AH263" s="81" t="b">
        <v>0</v>
      </c>
      <c r="AI263" s="81" t="s">
        <v>2171</v>
      </c>
      <c r="AJ263" s="81"/>
      <c r="AK263" s="86" t="s">
        <v>2084</v>
      </c>
      <c r="AL263" s="81" t="b">
        <v>0</v>
      </c>
      <c r="AM263" s="81">
        <v>4</v>
      </c>
      <c r="AN263" s="86" t="s">
        <v>6810</v>
      </c>
      <c r="AO263" s="86" t="s">
        <v>2178</v>
      </c>
      <c r="AP263" s="81" t="b">
        <v>0</v>
      </c>
      <c r="AQ263" s="86" t="s">
        <v>6810</v>
      </c>
      <c r="AR263" s="81" t="s">
        <v>179</v>
      </c>
      <c r="AS263" s="81">
        <v>0</v>
      </c>
      <c r="AT263" s="81">
        <v>0</v>
      </c>
      <c r="AU263" s="81"/>
      <c r="AV263" s="81"/>
      <c r="AW263" s="81"/>
      <c r="AX263" s="81"/>
      <c r="AY263" s="81"/>
      <c r="AZ263" s="81"/>
      <c r="BA263" s="81"/>
      <c r="BB263" s="81"/>
    </row>
    <row r="264" spans="1:54" x14ac:dyDescent="0.35">
      <c r="A264" s="66" t="s">
        <v>4277</v>
      </c>
      <c r="B264" s="66" t="s">
        <v>4275</v>
      </c>
      <c r="C264" s="67"/>
      <c r="D264" s="68"/>
      <c r="E264" s="69"/>
      <c r="F264" s="70"/>
      <c r="G264" s="67"/>
      <c r="H264" s="71"/>
      <c r="I264" s="72"/>
      <c r="J264" s="72"/>
      <c r="K264" s="36"/>
      <c r="L264" s="79"/>
      <c r="M264" s="79"/>
      <c r="N264" s="74"/>
      <c r="O264" s="81" t="s">
        <v>693</v>
      </c>
      <c r="P264" s="83">
        <v>44460.888518518521</v>
      </c>
      <c r="Q264" s="81" t="s">
        <v>5317</v>
      </c>
      <c r="R264" s="84" t="str">
        <f>HYPERLINK("https://www.gov.br/anvisa/pt-br/assuntos/fiscalizacao-e-monitoramento/notificacoes/vigimed/medicamentos-e-vacinas")</f>
        <v>https://www.gov.br/anvisa/pt-br/assuntos/fiscalizacao-e-monitoramento/notificacoes/vigimed/medicamentos-e-vacinas</v>
      </c>
      <c r="S264" s="81" t="s">
        <v>5686</v>
      </c>
      <c r="T264" s="81"/>
      <c r="U264" s="81"/>
      <c r="V264" s="84" t="str">
        <f>HYPERLINK("https://pbs.twimg.com/profile_images/1415425484012281859/E5sWEWvt_normal.jpg")</f>
        <v>https://pbs.twimg.com/profile_images/1415425484012281859/E5sWEWvt_normal.jpg</v>
      </c>
      <c r="W264" s="83">
        <v>44460.888518518521</v>
      </c>
      <c r="X264" s="89">
        <v>44460</v>
      </c>
      <c r="Y264" s="86" t="s">
        <v>5901</v>
      </c>
      <c r="Z264" s="84" t="str">
        <f>HYPERLINK("https://twitter.com/andymay66667747/status/1440425471011799046")</f>
        <v>https://twitter.com/andymay66667747/status/1440425471011799046</v>
      </c>
      <c r="AA264" s="81"/>
      <c r="AB264" s="81"/>
      <c r="AC264" s="86" t="s">
        <v>6802</v>
      </c>
      <c r="AD264" s="81"/>
      <c r="AE264" s="81" t="b">
        <v>0</v>
      </c>
      <c r="AF264" s="81">
        <v>0</v>
      </c>
      <c r="AG264" s="86" t="s">
        <v>2084</v>
      </c>
      <c r="AH264" s="81" t="b">
        <v>0</v>
      </c>
      <c r="AI264" s="81" t="s">
        <v>2171</v>
      </c>
      <c r="AJ264" s="81"/>
      <c r="AK264" s="86" t="s">
        <v>2084</v>
      </c>
      <c r="AL264" s="81" t="b">
        <v>0</v>
      </c>
      <c r="AM264" s="81">
        <v>4</v>
      </c>
      <c r="AN264" s="86" t="s">
        <v>6810</v>
      </c>
      <c r="AO264" s="86" t="s">
        <v>2178</v>
      </c>
      <c r="AP264" s="81" t="b">
        <v>0</v>
      </c>
      <c r="AQ264" s="86" t="s">
        <v>6810</v>
      </c>
      <c r="AR264" s="81" t="s">
        <v>179</v>
      </c>
      <c r="AS264" s="81">
        <v>0</v>
      </c>
      <c r="AT264" s="81">
        <v>0</v>
      </c>
      <c r="AU264" s="81"/>
      <c r="AV264" s="81"/>
      <c r="AW264" s="81"/>
      <c r="AX264" s="81"/>
      <c r="AY264" s="81"/>
      <c r="AZ264" s="81"/>
      <c r="BA264" s="81"/>
      <c r="BB264" s="81"/>
    </row>
    <row r="265" spans="1:54" x14ac:dyDescent="0.35">
      <c r="A265" s="66" t="s">
        <v>4277</v>
      </c>
      <c r="B265" s="66" t="s">
        <v>5015</v>
      </c>
      <c r="C265" s="67"/>
      <c r="D265" s="68"/>
      <c r="E265" s="69"/>
      <c r="F265" s="70"/>
      <c r="G265" s="67"/>
      <c r="H265" s="71"/>
      <c r="I265" s="72"/>
      <c r="J265" s="72"/>
      <c r="K265" s="36"/>
      <c r="L265" s="79"/>
      <c r="M265" s="79"/>
      <c r="N265" s="74"/>
      <c r="O265" s="81" t="s">
        <v>695</v>
      </c>
      <c r="P265" s="83">
        <v>44460.888518518521</v>
      </c>
      <c r="Q265" s="81" t="s">
        <v>5317</v>
      </c>
      <c r="R265" s="84" t="str">
        <f>HYPERLINK("https://www.gov.br/anvisa/pt-br/assuntos/fiscalizacao-e-monitoramento/notificacoes/vigimed/medicamentos-e-vacinas")</f>
        <v>https://www.gov.br/anvisa/pt-br/assuntos/fiscalizacao-e-monitoramento/notificacoes/vigimed/medicamentos-e-vacinas</v>
      </c>
      <c r="S265" s="81" t="s">
        <v>5686</v>
      </c>
      <c r="T265" s="81"/>
      <c r="U265" s="81"/>
      <c r="V265" s="84" t="str">
        <f>HYPERLINK("https://pbs.twimg.com/profile_images/1415425484012281859/E5sWEWvt_normal.jpg")</f>
        <v>https://pbs.twimg.com/profile_images/1415425484012281859/E5sWEWvt_normal.jpg</v>
      </c>
      <c r="W265" s="83">
        <v>44460.888518518521</v>
      </c>
      <c r="X265" s="89">
        <v>44460</v>
      </c>
      <c r="Y265" s="86" t="s">
        <v>5901</v>
      </c>
      <c r="Z265" s="84" t="str">
        <f>HYPERLINK("https://twitter.com/andymay66667747/status/1440425471011799046")</f>
        <v>https://twitter.com/andymay66667747/status/1440425471011799046</v>
      </c>
      <c r="AA265" s="81"/>
      <c r="AB265" s="81"/>
      <c r="AC265" s="86" t="s">
        <v>6802</v>
      </c>
      <c r="AD265" s="81"/>
      <c r="AE265" s="81" t="b">
        <v>0</v>
      </c>
      <c r="AF265" s="81">
        <v>0</v>
      </c>
      <c r="AG265" s="86" t="s">
        <v>2084</v>
      </c>
      <c r="AH265" s="81" t="b">
        <v>0</v>
      </c>
      <c r="AI265" s="81" t="s">
        <v>2171</v>
      </c>
      <c r="AJ265" s="81"/>
      <c r="AK265" s="86" t="s">
        <v>2084</v>
      </c>
      <c r="AL265" s="81" t="b">
        <v>0</v>
      </c>
      <c r="AM265" s="81">
        <v>4</v>
      </c>
      <c r="AN265" s="86" t="s">
        <v>6810</v>
      </c>
      <c r="AO265" s="86" t="s">
        <v>2178</v>
      </c>
      <c r="AP265" s="81" t="b">
        <v>0</v>
      </c>
      <c r="AQ265" s="86" t="s">
        <v>6810</v>
      </c>
      <c r="AR265" s="81" t="s">
        <v>179</v>
      </c>
      <c r="AS265" s="81">
        <v>0</v>
      </c>
      <c r="AT265" s="81">
        <v>0</v>
      </c>
      <c r="AU265" s="81"/>
      <c r="AV265" s="81"/>
      <c r="AW265" s="81"/>
      <c r="AX265" s="81"/>
      <c r="AY265" s="81"/>
      <c r="AZ265" s="81"/>
      <c r="BA265" s="81"/>
      <c r="BB265" s="81"/>
    </row>
    <row r="266" spans="1:54" x14ac:dyDescent="0.35">
      <c r="A266" s="66" t="s">
        <v>4278</v>
      </c>
      <c r="B266" s="66" t="s">
        <v>5013</v>
      </c>
      <c r="C266" s="67"/>
      <c r="D266" s="68"/>
      <c r="E266" s="69"/>
      <c r="F266" s="70"/>
      <c r="G266" s="67"/>
      <c r="H266" s="71"/>
      <c r="I266" s="72"/>
      <c r="J266" s="72"/>
      <c r="K266" s="36"/>
      <c r="L266" s="79"/>
      <c r="M266" s="79"/>
      <c r="N266" s="74"/>
      <c r="O266" s="81" t="s">
        <v>694</v>
      </c>
      <c r="P266" s="83">
        <v>44460.903252314813</v>
      </c>
      <c r="Q266" s="81" t="s">
        <v>5317</v>
      </c>
      <c r="R266" s="84" t="str">
        <f>HYPERLINK("https://www.gov.br/anvisa/pt-br/assuntos/fiscalizacao-e-monitoramento/notificacoes/vigimed/medicamentos-e-vacinas")</f>
        <v>https://www.gov.br/anvisa/pt-br/assuntos/fiscalizacao-e-monitoramento/notificacoes/vigimed/medicamentos-e-vacinas</v>
      </c>
      <c r="S266" s="81" t="s">
        <v>5686</v>
      </c>
      <c r="T266" s="81"/>
      <c r="U266" s="81"/>
      <c r="V266" s="84" t="str">
        <f>HYPERLINK("https://pbs.twimg.com/profile_images/1358227945488285696/4InvCYeQ_normal.jpg")</f>
        <v>https://pbs.twimg.com/profile_images/1358227945488285696/4InvCYeQ_normal.jpg</v>
      </c>
      <c r="W266" s="83">
        <v>44460.903252314813</v>
      </c>
      <c r="X266" s="89">
        <v>44460</v>
      </c>
      <c r="Y266" s="86" t="s">
        <v>5902</v>
      </c>
      <c r="Z266" s="84" t="str">
        <f>HYPERLINK("https://twitter.com/esquerdanuncam1/status/1440430807995195402")</f>
        <v>https://twitter.com/esquerdanuncam1/status/1440430807995195402</v>
      </c>
      <c r="AA266" s="81"/>
      <c r="AB266" s="81"/>
      <c r="AC266" s="86" t="s">
        <v>6803</v>
      </c>
      <c r="AD266" s="81"/>
      <c r="AE266" s="81" t="b">
        <v>0</v>
      </c>
      <c r="AF266" s="81">
        <v>0</v>
      </c>
      <c r="AG266" s="86" t="s">
        <v>2084</v>
      </c>
      <c r="AH266" s="81" t="b">
        <v>0</v>
      </c>
      <c r="AI266" s="81" t="s">
        <v>2171</v>
      </c>
      <c r="AJ266" s="81"/>
      <c r="AK266" s="86" t="s">
        <v>2084</v>
      </c>
      <c r="AL266" s="81" t="b">
        <v>0</v>
      </c>
      <c r="AM266" s="81">
        <v>4</v>
      </c>
      <c r="AN266" s="86" t="s">
        <v>6810</v>
      </c>
      <c r="AO266" s="86" t="s">
        <v>2179</v>
      </c>
      <c r="AP266" s="81" t="b">
        <v>0</v>
      </c>
      <c r="AQ266" s="86" t="s">
        <v>6810</v>
      </c>
      <c r="AR266" s="81" t="s">
        <v>179</v>
      </c>
      <c r="AS266" s="81">
        <v>0</v>
      </c>
      <c r="AT266" s="81">
        <v>0</v>
      </c>
      <c r="AU266" s="81"/>
      <c r="AV266" s="81"/>
      <c r="AW266" s="81"/>
      <c r="AX266" s="81"/>
      <c r="AY266" s="81"/>
      <c r="AZ266" s="81"/>
      <c r="BA266" s="81"/>
      <c r="BB266" s="81"/>
    </row>
    <row r="267" spans="1:54" x14ac:dyDescent="0.35">
      <c r="A267" s="66" t="s">
        <v>4278</v>
      </c>
      <c r="B267" s="66" t="s">
        <v>5014</v>
      </c>
      <c r="C267" s="67"/>
      <c r="D267" s="68"/>
      <c r="E267" s="69"/>
      <c r="F267" s="70"/>
      <c r="G267" s="67"/>
      <c r="H267" s="71"/>
      <c r="I267" s="72"/>
      <c r="J267" s="72"/>
      <c r="K267" s="36"/>
      <c r="L267" s="79"/>
      <c r="M267" s="79"/>
      <c r="N267" s="74"/>
      <c r="O267" s="81" t="s">
        <v>694</v>
      </c>
      <c r="P267" s="83">
        <v>44460.903252314813</v>
      </c>
      <c r="Q267" s="81" t="s">
        <v>5317</v>
      </c>
      <c r="R267" s="84" t="str">
        <f>HYPERLINK("https://www.gov.br/anvisa/pt-br/assuntos/fiscalizacao-e-monitoramento/notificacoes/vigimed/medicamentos-e-vacinas")</f>
        <v>https://www.gov.br/anvisa/pt-br/assuntos/fiscalizacao-e-monitoramento/notificacoes/vigimed/medicamentos-e-vacinas</v>
      </c>
      <c r="S267" s="81" t="s">
        <v>5686</v>
      </c>
      <c r="T267" s="81"/>
      <c r="U267" s="81"/>
      <c r="V267" s="84" t="str">
        <f>HYPERLINK("https://pbs.twimg.com/profile_images/1358227945488285696/4InvCYeQ_normal.jpg")</f>
        <v>https://pbs.twimg.com/profile_images/1358227945488285696/4InvCYeQ_normal.jpg</v>
      </c>
      <c r="W267" s="83">
        <v>44460.903252314813</v>
      </c>
      <c r="X267" s="89">
        <v>44460</v>
      </c>
      <c r="Y267" s="86" t="s">
        <v>5902</v>
      </c>
      <c r="Z267" s="84" t="str">
        <f>HYPERLINK("https://twitter.com/esquerdanuncam1/status/1440430807995195402")</f>
        <v>https://twitter.com/esquerdanuncam1/status/1440430807995195402</v>
      </c>
      <c r="AA267" s="81"/>
      <c r="AB267" s="81"/>
      <c r="AC267" s="86" t="s">
        <v>6803</v>
      </c>
      <c r="AD267" s="81"/>
      <c r="AE267" s="81" t="b">
        <v>0</v>
      </c>
      <c r="AF267" s="81">
        <v>0</v>
      </c>
      <c r="AG267" s="86" t="s">
        <v>2084</v>
      </c>
      <c r="AH267" s="81" t="b">
        <v>0</v>
      </c>
      <c r="AI267" s="81" t="s">
        <v>2171</v>
      </c>
      <c r="AJ267" s="81"/>
      <c r="AK267" s="86" t="s">
        <v>2084</v>
      </c>
      <c r="AL267" s="81" t="b">
        <v>0</v>
      </c>
      <c r="AM267" s="81">
        <v>4</v>
      </c>
      <c r="AN267" s="86" t="s">
        <v>6810</v>
      </c>
      <c r="AO267" s="86" t="s">
        <v>2179</v>
      </c>
      <c r="AP267" s="81" t="b">
        <v>0</v>
      </c>
      <c r="AQ267" s="86" t="s">
        <v>6810</v>
      </c>
      <c r="AR267" s="81" t="s">
        <v>179</v>
      </c>
      <c r="AS267" s="81">
        <v>0</v>
      </c>
      <c r="AT267" s="81">
        <v>0</v>
      </c>
      <c r="AU267" s="81"/>
      <c r="AV267" s="81"/>
      <c r="AW267" s="81"/>
      <c r="AX267" s="81"/>
      <c r="AY267" s="81"/>
      <c r="AZ267" s="81"/>
      <c r="BA267" s="81"/>
      <c r="BB267" s="81"/>
    </row>
    <row r="268" spans="1:54" x14ac:dyDescent="0.35">
      <c r="A268" s="66" t="s">
        <v>4278</v>
      </c>
      <c r="B268" s="66" t="s">
        <v>4275</v>
      </c>
      <c r="C268" s="67"/>
      <c r="D268" s="68"/>
      <c r="E268" s="69"/>
      <c r="F268" s="70"/>
      <c r="G268" s="67"/>
      <c r="H268" s="71"/>
      <c r="I268" s="72"/>
      <c r="J268" s="72"/>
      <c r="K268" s="36"/>
      <c r="L268" s="79"/>
      <c r="M268" s="79"/>
      <c r="N268" s="74"/>
      <c r="O268" s="81" t="s">
        <v>693</v>
      </c>
      <c r="P268" s="83">
        <v>44460.903252314813</v>
      </c>
      <c r="Q268" s="81" t="s">
        <v>5317</v>
      </c>
      <c r="R268" s="84" t="str">
        <f>HYPERLINK("https://www.gov.br/anvisa/pt-br/assuntos/fiscalizacao-e-monitoramento/notificacoes/vigimed/medicamentos-e-vacinas")</f>
        <v>https://www.gov.br/anvisa/pt-br/assuntos/fiscalizacao-e-monitoramento/notificacoes/vigimed/medicamentos-e-vacinas</v>
      </c>
      <c r="S268" s="81" t="s">
        <v>5686</v>
      </c>
      <c r="T268" s="81"/>
      <c r="U268" s="81"/>
      <c r="V268" s="84" t="str">
        <f>HYPERLINK("https://pbs.twimg.com/profile_images/1358227945488285696/4InvCYeQ_normal.jpg")</f>
        <v>https://pbs.twimg.com/profile_images/1358227945488285696/4InvCYeQ_normal.jpg</v>
      </c>
      <c r="W268" s="83">
        <v>44460.903252314813</v>
      </c>
      <c r="X268" s="89">
        <v>44460</v>
      </c>
      <c r="Y268" s="86" t="s">
        <v>5902</v>
      </c>
      <c r="Z268" s="84" t="str">
        <f>HYPERLINK("https://twitter.com/esquerdanuncam1/status/1440430807995195402")</f>
        <v>https://twitter.com/esquerdanuncam1/status/1440430807995195402</v>
      </c>
      <c r="AA268" s="81"/>
      <c r="AB268" s="81"/>
      <c r="AC268" s="86" t="s">
        <v>6803</v>
      </c>
      <c r="AD268" s="81"/>
      <c r="AE268" s="81" t="b">
        <v>0</v>
      </c>
      <c r="AF268" s="81">
        <v>0</v>
      </c>
      <c r="AG268" s="86" t="s">
        <v>2084</v>
      </c>
      <c r="AH268" s="81" t="b">
        <v>0</v>
      </c>
      <c r="AI268" s="81" t="s">
        <v>2171</v>
      </c>
      <c r="AJ268" s="81"/>
      <c r="AK268" s="86" t="s">
        <v>2084</v>
      </c>
      <c r="AL268" s="81" t="b">
        <v>0</v>
      </c>
      <c r="AM268" s="81">
        <v>4</v>
      </c>
      <c r="AN268" s="86" t="s">
        <v>6810</v>
      </c>
      <c r="AO268" s="86" t="s">
        <v>2179</v>
      </c>
      <c r="AP268" s="81" t="b">
        <v>0</v>
      </c>
      <c r="AQ268" s="86" t="s">
        <v>6810</v>
      </c>
      <c r="AR268" s="81" t="s">
        <v>179</v>
      </c>
      <c r="AS268" s="81">
        <v>0</v>
      </c>
      <c r="AT268" s="81">
        <v>0</v>
      </c>
      <c r="AU268" s="81"/>
      <c r="AV268" s="81"/>
      <c r="AW268" s="81"/>
      <c r="AX268" s="81"/>
      <c r="AY268" s="81"/>
      <c r="AZ268" s="81"/>
      <c r="BA268" s="81"/>
      <c r="BB268" s="81"/>
    </row>
    <row r="269" spans="1:54" x14ac:dyDescent="0.35">
      <c r="A269" s="66" t="s">
        <v>4278</v>
      </c>
      <c r="B269" s="66" t="s">
        <v>5015</v>
      </c>
      <c r="C269" s="67"/>
      <c r="D269" s="68"/>
      <c r="E269" s="69"/>
      <c r="F269" s="70"/>
      <c r="G269" s="67"/>
      <c r="H269" s="71"/>
      <c r="I269" s="72"/>
      <c r="J269" s="72"/>
      <c r="K269" s="36"/>
      <c r="L269" s="79"/>
      <c r="M269" s="79"/>
      <c r="N269" s="74"/>
      <c r="O269" s="81" t="s">
        <v>695</v>
      </c>
      <c r="P269" s="83">
        <v>44460.903252314813</v>
      </c>
      <c r="Q269" s="81" t="s">
        <v>5317</v>
      </c>
      <c r="R269" s="84" t="str">
        <f>HYPERLINK("https://www.gov.br/anvisa/pt-br/assuntos/fiscalizacao-e-monitoramento/notificacoes/vigimed/medicamentos-e-vacinas")</f>
        <v>https://www.gov.br/anvisa/pt-br/assuntos/fiscalizacao-e-monitoramento/notificacoes/vigimed/medicamentos-e-vacinas</v>
      </c>
      <c r="S269" s="81" t="s">
        <v>5686</v>
      </c>
      <c r="T269" s="81"/>
      <c r="U269" s="81"/>
      <c r="V269" s="84" t="str">
        <f>HYPERLINK("https://pbs.twimg.com/profile_images/1358227945488285696/4InvCYeQ_normal.jpg")</f>
        <v>https://pbs.twimg.com/profile_images/1358227945488285696/4InvCYeQ_normal.jpg</v>
      </c>
      <c r="W269" s="83">
        <v>44460.903252314813</v>
      </c>
      <c r="X269" s="89">
        <v>44460</v>
      </c>
      <c r="Y269" s="86" t="s">
        <v>5902</v>
      </c>
      <c r="Z269" s="84" t="str">
        <f>HYPERLINK("https://twitter.com/esquerdanuncam1/status/1440430807995195402")</f>
        <v>https://twitter.com/esquerdanuncam1/status/1440430807995195402</v>
      </c>
      <c r="AA269" s="81"/>
      <c r="AB269" s="81"/>
      <c r="AC269" s="86" t="s">
        <v>6803</v>
      </c>
      <c r="AD269" s="81"/>
      <c r="AE269" s="81" t="b">
        <v>0</v>
      </c>
      <c r="AF269" s="81">
        <v>0</v>
      </c>
      <c r="AG269" s="86" t="s">
        <v>2084</v>
      </c>
      <c r="AH269" s="81" t="b">
        <v>0</v>
      </c>
      <c r="AI269" s="81" t="s">
        <v>2171</v>
      </c>
      <c r="AJ269" s="81"/>
      <c r="AK269" s="86" t="s">
        <v>2084</v>
      </c>
      <c r="AL269" s="81" t="b">
        <v>0</v>
      </c>
      <c r="AM269" s="81">
        <v>4</v>
      </c>
      <c r="AN269" s="86" t="s">
        <v>6810</v>
      </c>
      <c r="AO269" s="86" t="s">
        <v>2179</v>
      </c>
      <c r="AP269" s="81" t="b">
        <v>0</v>
      </c>
      <c r="AQ269" s="86" t="s">
        <v>6810</v>
      </c>
      <c r="AR269" s="81" t="s">
        <v>179</v>
      </c>
      <c r="AS269" s="81">
        <v>0</v>
      </c>
      <c r="AT269" s="81">
        <v>0</v>
      </c>
      <c r="AU269" s="81"/>
      <c r="AV269" s="81"/>
      <c r="AW269" s="81"/>
      <c r="AX269" s="81"/>
      <c r="AY269" s="81"/>
      <c r="AZ269" s="81"/>
      <c r="BA269" s="81"/>
      <c r="BB269" s="81"/>
    </row>
    <row r="270" spans="1:54" x14ac:dyDescent="0.35">
      <c r="A270" s="66" t="s">
        <v>284</v>
      </c>
      <c r="B270" s="66" t="s">
        <v>284</v>
      </c>
      <c r="C270" s="67"/>
      <c r="D270" s="68"/>
      <c r="E270" s="69"/>
      <c r="F270" s="70"/>
      <c r="G270" s="67"/>
      <c r="H270" s="71"/>
      <c r="I270" s="72"/>
      <c r="J270" s="72"/>
      <c r="K270" s="36"/>
      <c r="L270" s="79"/>
      <c r="M270" s="79"/>
      <c r="N270" s="74"/>
      <c r="O270" s="81" t="s">
        <v>179</v>
      </c>
      <c r="P270" s="83">
        <v>44460.944571759261</v>
      </c>
      <c r="Q270" s="81" t="s">
        <v>731</v>
      </c>
      <c r="R270" s="84" t="str">
        <f>HYPERLINK("https://aikerja.com/blog/lowongan-kerja-info-lowongan-kerja-pt-pos-indonesia-persero-merupakan-salah-satu-perusa-4/10821/")</f>
        <v>https://aikerja.com/blog/lowongan-kerja-info-lowongan-kerja-pt-pos-indonesia-persero-merupakan-salah-satu-perusa-4/10821/</v>
      </c>
      <c r="S270" s="81" t="s">
        <v>948</v>
      </c>
      <c r="T270" s="81"/>
      <c r="U270" s="84" t="str">
        <f>HYPERLINK("https://pbs.twimg.com/media/E_19zjYVgAAtUVo.jpg")</f>
        <v>https://pbs.twimg.com/media/E_19zjYVgAAtUVo.jpg</v>
      </c>
      <c r="V270" s="84" t="str">
        <f>HYPERLINK("https://pbs.twimg.com/media/E_19zjYVgAAtUVo.jpg")</f>
        <v>https://pbs.twimg.com/media/E_19zjYVgAAtUVo.jpg</v>
      </c>
      <c r="W270" s="83">
        <v>44460.944571759261</v>
      </c>
      <c r="X270" s="89">
        <v>44460</v>
      </c>
      <c r="Y270" s="86" t="s">
        <v>1085</v>
      </c>
      <c r="Z270" s="84" t="str">
        <f>HYPERLINK("https://twitter.com/aikerja/status/1440445782771978245")</f>
        <v>https://twitter.com/aikerja/status/1440445782771978245</v>
      </c>
      <c r="AA270" s="81"/>
      <c r="AB270" s="81"/>
      <c r="AC270" s="86" t="s">
        <v>1583</v>
      </c>
      <c r="AD270" s="81"/>
      <c r="AE270" s="81" t="b">
        <v>0</v>
      </c>
      <c r="AF270" s="81">
        <v>0</v>
      </c>
      <c r="AG270" s="86" t="s">
        <v>2084</v>
      </c>
      <c r="AH270" s="81" t="b">
        <v>0</v>
      </c>
      <c r="AI270" s="81" t="s">
        <v>2167</v>
      </c>
      <c r="AJ270" s="81"/>
      <c r="AK270" s="86" t="s">
        <v>2084</v>
      </c>
      <c r="AL270" s="81" t="b">
        <v>0</v>
      </c>
      <c r="AM270" s="81">
        <v>0</v>
      </c>
      <c r="AN270" s="86" t="s">
        <v>2084</v>
      </c>
      <c r="AO270" s="86" t="s">
        <v>948</v>
      </c>
      <c r="AP270" s="81" t="b">
        <v>0</v>
      </c>
      <c r="AQ270" s="86" t="s">
        <v>1583</v>
      </c>
      <c r="AR270" s="81" t="s">
        <v>179</v>
      </c>
      <c r="AS270" s="81">
        <v>0</v>
      </c>
      <c r="AT270" s="81">
        <v>0</v>
      </c>
      <c r="AU270" s="81"/>
      <c r="AV270" s="81"/>
      <c r="AW270" s="81"/>
      <c r="AX270" s="81"/>
      <c r="AY270" s="81"/>
      <c r="AZ270" s="81"/>
      <c r="BA270" s="81"/>
      <c r="BB270" s="81"/>
    </row>
    <row r="271" spans="1:54" x14ac:dyDescent="0.35">
      <c r="A271" s="66" t="s">
        <v>4279</v>
      </c>
      <c r="B271" s="66" t="s">
        <v>4279</v>
      </c>
      <c r="C271" s="67"/>
      <c r="D271" s="68"/>
      <c r="E271" s="69"/>
      <c r="F271" s="70"/>
      <c r="G271" s="67"/>
      <c r="H271" s="71"/>
      <c r="I271" s="72"/>
      <c r="J271" s="72"/>
      <c r="K271" s="36"/>
      <c r="L271" s="79"/>
      <c r="M271" s="79"/>
      <c r="N271" s="74"/>
      <c r="O271" s="81" t="s">
        <v>179</v>
      </c>
      <c r="P271" s="83">
        <v>44460.964861111112</v>
      </c>
      <c r="Q271" s="81" t="s">
        <v>5318</v>
      </c>
      <c r="R271" s="84" t="str">
        <f>HYPERLINK("https://twitter.com/aeciodepapelao/status/1440269972383539207")</f>
        <v>https://twitter.com/aeciodepapelao/status/1440269972383539207</v>
      </c>
      <c r="S271" s="81" t="s">
        <v>936</v>
      </c>
      <c r="T271" s="81"/>
      <c r="U271" s="81"/>
      <c r="V271" s="84" t="str">
        <f>HYPERLINK("https://pbs.twimg.com/profile_images/1435748934270525443/jJ9rQEUo_normal.jpg")</f>
        <v>https://pbs.twimg.com/profile_images/1435748934270525443/jJ9rQEUo_normal.jpg</v>
      </c>
      <c r="W271" s="83">
        <v>44460.964861111112</v>
      </c>
      <c r="X271" s="89">
        <v>44460</v>
      </c>
      <c r="Y271" s="86" t="s">
        <v>5903</v>
      </c>
      <c r="Z271" s="84" t="str">
        <f>HYPERLINK("https://twitter.com/daniel_storti/status/1440453134111764489")</f>
        <v>https://twitter.com/daniel_storti/status/1440453134111764489</v>
      </c>
      <c r="AA271" s="81"/>
      <c r="AB271" s="81"/>
      <c r="AC271" s="86" t="s">
        <v>6804</v>
      </c>
      <c r="AD271" s="81"/>
      <c r="AE271" s="81" t="b">
        <v>0</v>
      </c>
      <c r="AF271" s="81">
        <v>0</v>
      </c>
      <c r="AG271" s="86" t="s">
        <v>2084</v>
      </c>
      <c r="AH271" s="81" t="b">
        <v>1</v>
      </c>
      <c r="AI271" s="81" t="s">
        <v>2171</v>
      </c>
      <c r="AJ271" s="81"/>
      <c r="AK271" s="86" t="s">
        <v>7962</v>
      </c>
      <c r="AL271" s="81" t="b">
        <v>0</v>
      </c>
      <c r="AM271" s="81">
        <v>0</v>
      </c>
      <c r="AN271" s="86" t="s">
        <v>2084</v>
      </c>
      <c r="AO271" s="86" t="s">
        <v>2179</v>
      </c>
      <c r="AP271" s="81" t="b">
        <v>0</v>
      </c>
      <c r="AQ271" s="86" t="s">
        <v>6804</v>
      </c>
      <c r="AR271" s="81" t="s">
        <v>179</v>
      </c>
      <c r="AS271" s="81">
        <v>0</v>
      </c>
      <c r="AT271" s="81">
        <v>0</v>
      </c>
      <c r="AU271" s="81"/>
      <c r="AV271" s="81"/>
      <c r="AW271" s="81"/>
      <c r="AX271" s="81"/>
      <c r="AY271" s="81"/>
      <c r="AZ271" s="81"/>
      <c r="BA271" s="81"/>
      <c r="BB271" s="81"/>
    </row>
    <row r="272" spans="1:54" x14ac:dyDescent="0.35">
      <c r="A272" s="66" t="s">
        <v>285</v>
      </c>
      <c r="B272" s="66" t="s">
        <v>629</v>
      </c>
      <c r="C272" s="67"/>
      <c r="D272" s="68"/>
      <c r="E272" s="69"/>
      <c r="F272" s="70"/>
      <c r="G272" s="67"/>
      <c r="H272" s="71"/>
      <c r="I272" s="72"/>
      <c r="J272" s="72"/>
      <c r="K272" s="36"/>
      <c r="L272" s="79"/>
      <c r="M272" s="79"/>
      <c r="N272" s="74"/>
      <c r="O272" s="81" t="s">
        <v>695</v>
      </c>
      <c r="P272" s="83">
        <v>44460.974224537036</v>
      </c>
      <c r="Q272" s="81" t="s">
        <v>732</v>
      </c>
      <c r="R272" s="81"/>
      <c r="S272" s="81"/>
      <c r="T272" s="81"/>
      <c r="U272" s="84" t="str">
        <f>HYPERLINK("https://pbs.twimg.com/tweet_video_thumb/E_2Hkx0UYAYHV2P.jpg")</f>
        <v>https://pbs.twimg.com/tweet_video_thumb/E_2Hkx0UYAYHV2P.jpg</v>
      </c>
      <c r="V272" s="84" t="str">
        <f>HYPERLINK("https://pbs.twimg.com/tweet_video_thumb/E_2Hkx0UYAYHV2P.jpg")</f>
        <v>https://pbs.twimg.com/tweet_video_thumb/E_2Hkx0UYAYHV2P.jpg</v>
      </c>
      <c r="W272" s="83">
        <v>44460.974224537036</v>
      </c>
      <c r="X272" s="89">
        <v>44460</v>
      </c>
      <c r="Y272" s="86" t="s">
        <v>1086</v>
      </c>
      <c r="Z272" s="84" t="str">
        <f>HYPERLINK("https://twitter.com/nursyhra_/status/1440456530529185796")</f>
        <v>https://twitter.com/nursyhra_/status/1440456530529185796</v>
      </c>
      <c r="AA272" s="81"/>
      <c r="AB272" s="81"/>
      <c r="AC272" s="86" t="s">
        <v>1584</v>
      </c>
      <c r="AD272" s="86" t="s">
        <v>2023</v>
      </c>
      <c r="AE272" s="81" t="b">
        <v>0</v>
      </c>
      <c r="AF272" s="81">
        <v>0</v>
      </c>
      <c r="AG272" s="86" t="s">
        <v>2103</v>
      </c>
      <c r="AH272" s="81" t="b">
        <v>0</v>
      </c>
      <c r="AI272" s="81" t="s">
        <v>2167</v>
      </c>
      <c r="AJ272" s="81"/>
      <c r="AK272" s="86" t="s">
        <v>2084</v>
      </c>
      <c r="AL272" s="81" t="b">
        <v>0</v>
      </c>
      <c r="AM272" s="81">
        <v>0</v>
      </c>
      <c r="AN272" s="86" t="s">
        <v>2084</v>
      </c>
      <c r="AO272" s="86" t="s">
        <v>2178</v>
      </c>
      <c r="AP272" s="81" t="b">
        <v>0</v>
      </c>
      <c r="AQ272" s="86" t="s">
        <v>2023</v>
      </c>
      <c r="AR272" s="81" t="s">
        <v>179</v>
      </c>
      <c r="AS272" s="81">
        <v>0</v>
      </c>
      <c r="AT272" s="81">
        <v>0</v>
      </c>
      <c r="AU272" s="81"/>
      <c r="AV272" s="81"/>
      <c r="AW272" s="81"/>
      <c r="AX272" s="81"/>
      <c r="AY272" s="81"/>
      <c r="AZ272" s="81"/>
      <c r="BA272" s="81"/>
      <c r="BB272" s="81"/>
    </row>
    <row r="273" spans="1:54" x14ac:dyDescent="0.35">
      <c r="A273" s="66" t="s">
        <v>4280</v>
      </c>
      <c r="B273" s="66" t="s">
        <v>4280</v>
      </c>
      <c r="C273" s="67"/>
      <c r="D273" s="68"/>
      <c r="E273" s="69"/>
      <c r="F273" s="70"/>
      <c r="G273" s="67"/>
      <c r="H273" s="71"/>
      <c r="I273" s="72"/>
      <c r="J273" s="72"/>
      <c r="K273" s="36"/>
      <c r="L273" s="79"/>
      <c r="M273" s="79"/>
      <c r="N273" s="74"/>
      <c r="O273" s="81" t="s">
        <v>179</v>
      </c>
      <c r="P273" s="83">
        <v>44460.988321759258</v>
      </c>
      <c r="Q273" s="81" t="s">
        <v>5319</v>
      </c>
      <c r="R273" s="81"/>
      <c r="S273" s="81"/>
      <c r="T273" s="81"/>
      <c r="U273" s="81"/>
      <c r="V273" s="84" t="str">
        <f>HYPERLINK("https://pbs.twimg.com/profile_images/1439570282516123654/h5FEcU_L_normal.jpg")</f>
        <v>https://pbs.twimg.com/profile_images/1439570282516123654/h5FEcU_L_normal.jpg</v>
      </c>
      <c r="W273" s="83">
        <v>44460.988321759258</v>
      </c>
      <c r="X273" s="89">
        <v>44460</v>
      </c>
      <c r="Y273" s="86" t="s">
        <v>5904</v>
      </c>
      <c r="Z273" s="84" t="str">
        <f>HYPERLINK("https://twitter.com/pt_reha/status/1440461635764699139")</f>
        <v>https://twitter.com/pt_reha/status/1440461635764699139</v>
      </c>
      <c r="AA273" s="81"/>
      <c r="AB273" s="81"/>
      <c r="AC273" s="86" t="s">
        <v>6805</v>
      </c>
      <c r="AD273" s="81"/>
      <c r="AE273" s="81" t="b">
        <v>0</v>
      </c>
      <c r="AF273" s="81">
        <v>1</v>
      </c>
      <c r="AG273" s="86" t="s">
        <v>2084</v>
      </c>
      <c r="AH273" s="81" t="b">
        <v>0</v>
      </c>
      <c r="AI273" s="81" t="s">
        <v>2169</v>
      </c>
      <c r="AJ273" s="81"/>
      <c r="AK273" s="86" t="s">
        <v>2084</v>
      </c>
      <c r="AL273" s="81" t="b">
        <v>0</v>
      </c>
      <c r="AM273" s="81">
        <v>0</v>
      </c>
      <c r="AN273" s="86" t="s">
        <v>2084</v>
      </c>
      <c r="AO273" s="86" t="s">
        <v>2179</v>
      </c>
      <c r="AP273" s="81" t="b">
        <v>0</v>
      </c>
      <c r="AQ273" s="86" t="s">
        <v>6805</v>
      </c>
      <c r="AR273" s="81" t="s">
        <v>179</v>
      </c>
      <c r="AS273" s="81">
        <v>0</v>
      </c>
      <c r="AT273" s="81">
        <v>0</v>
      </c>
      <c r="AU273" s="81"/>
      <c r="AV273" s="81"/>
      <c r="AW273" s="81"/>
      <c r="AX273" s="81"/>
      <c r="AY273" s="81"/>
      <c r="AZ273" s="81"/>
      <c r="BA273" s="81"/>
      <c r="BB273" s="81"/>
    </row>
    <row r="274" spans="1:54" x14ac:dyDescent="0.35">
      <c r="A274" s="66" t="s">
        <v>286</v>
      </c>
      <c r="B274" s="66" t="s">
        <v>630</v>
      </c>
      <c r="C274" s="67"/>
      <c r="D274" s="68"/>
      <c r="E274" s="69"/>
      <c r="F274" s="70"/>
      <c r="G274" s="67"/>
      <c r="H274" s="71"/>
      <c r="I274" s="72"/>
      <c r="J274" s="72"/>
      <c r="K274" s="36"/>
      <c r="L274" s="79"/>
      <c r="M274" s="79"/>
      <c r="N274" s="74"/>
      <c r="O274" s="81" t="s">
        <v>695</v>
      </c>
      <c r="P274" s="83">
        <v>44461.007905092592</v>
      </c>
      <c r="Q274" s="81" t="s">
        <v>733</v>
      </c>
      <c r="R274" s="81"/>
      <c r="S274" s="81"/>
      <c r="T274" s="81"/>
      <c r="U274" s="81"/>
      <c r="V274" s="84" t="str">
        <f>HYPERLINK("https://pbs.twimg.com/profile_images/1388370443183136768/Xi-gCM0R_normal.jpg")</f>
        <v>https://pbs.twimg.com/profile_images/1388370443183136768/Xi-gCM0R_normal.jpg</v>
      </c>
      <c r="W274" s="83">
        <v>44461.007905092592</v>
      </c>
      <c r="X274" s="89">
        <v>44461</v>
      </c>
      <c r="Y274" s="86" t="s">
        <v>1087</v>
      </c>
      <c r="Z274" s="84" t="str">
        <f>HYPERLINK("https://twitter.com/syzira/status/1440468732715753478")</f>
        <v>https://twitter.com/syzira/status/1440468732715753478</v>
      </c>
      <c r="AA274" s="81"/>
      <c r="AB274" s="81"/>
      <c r="AC274" s="86" t="s">
        <v>1585</v>
      </c>
      <c r="AD274" s="86" t="s">
        <v>2024</v>
      </c>
      <c r="AE274" s="81" t="b">
        <v>0</v>
      </c>
      <c r="AF274" s="81">
        <v>0</v>
      </c>
      <c r="AG274" s="86" t="s">
        <v>2104</v>
      </c>
      <c r="AH274" s="81" t="b">
        <v>0</v>
      </c>
      <c r="AI274" s="81" t="s">
        <v>2167</v>
      </c>
      <c r="AJ274" s="81"/>
      <c r="AK274" s="86" t="s">
        <v>2084</v>
      </c>
      <c r="AL274" s="81" t="b">
        <v>0</v>
      </c>
      <c r="AM274" s="81">
        <v>0</v>
      </c>
      <c r="AN274" s="86" t="s">
        <v>2084</v>
      </c>
      <c r="AO274" s="86" t="s">
        <v>2179</v>
      </c>
      <c r="AP274" s="81" t="b">
        <v>0</v>
      </c>
      <c r="AQ274" s="86" t="s">
        <v>2024</v>
      </c>
      <c r="AR274" s="81" t="s">
        <v>179</v>
      </c>
      <c r="AS274" s="81">
        <v>0</v>
      </c>
      <c r="AT274" s="81">
        <v>0</v>
      </c>
      <c r="AU274" s="81"/>
      <c r="AV274" s="81"/>
      <c r="AW274" s="81"/>
      <c r="AX274" s="81"/>
      <c r="AY274" s="81"/>
      <c r="AZ274" s="81"/>
      <c r="BA274" s="81"/>
      <c r="BB274" s="81"/>
    </row>
    <row r="275" spans="1:54" x14ac:dyDescent="0.35">
      <c r="A275" s="66" t="s">
        <v>4281</v>
      </c>
      <c r="B275" s="66" t="s">
        <v>4281</v>
      </c>
      <c r="C275" s="67"/>
      <c r="D275" s="68"/>
      <c r="E275" s="69"/>
      <c r="F275" s="70"/>
      <c r="G275" s="67"/>
      <c r="H275" s="71"/>
      <c r="I275" s="72"/>
      <c r="J275" s="72"/>
      <c r="K275" s="36"/>
      <c r="L275" s="79"/>
      <c r="M275" s="79"/>
      <c r="N275" s="74"/>
      <c r="O275" s="81" t="s">
        <v>179</v>
      </c>
      <c r="P275" s="83">
        <v>44461.035069444442</v>
      </c>
      <c r="Q275" s="81" t="s">
        <v>5320</v>
      </c>
      <c r="R275" s="81"/>
      <c r="S275" s="81"/>
      <c r="T275" s="81"/>
      <c r="U275" s="81"/>
      <c r="V275" s="84" t="str">
        <f>HYPERLINK("https://pbs.twimg.com/profile_images/1442666686528716804/8g1ZY7bh_normal.jpg")</f>
        <v>https://pbs.twimg.com/profile_images/1442666686528716804/8g1ZY7bh_normal.jpg</v>
      </c>
      <c r="W275" s="83">
        <v>44461.035069444442</v>
      </c>
      <c r="X275" s="89">
        <v>44461</v>
      </c>
      <c r="Y275" s="86" t="s">
        <v>5905</v>
      </c>
      <c r="Z275" s="84" t="str">
        <f>HYPERLINK("https://twitter.com/duwiry/status/1440478580006219797")</f>
        <v>https://twitter.com/duwiry/status/1440478580006219797</v>
      </c>
      <c r="AA275" s="81"/>
      <c r="AB275" s="81"/>
      <c r="AC275" s="86" t="s">
        <v>6806</v>
      </c>
      <c r="AD275" s="81"/>
      <c r="AE275" s="81" t="b">
        <v>0</v>
      </c>
      <c r="AF275" s="81">
        <v>0</v>
      </c>
      <c r="AG275" s="86" t="s">
        <v>2084</v>
      </c>
      <c r="AH275" s="81" t="b">
        <v>0</v>
      </c>
      <c r="AI275" s="81" t="s">
        <v>2167</v>
      </c>
      <c r="AJ275" s="81"/>
      <c r="AK275" s="86" t="s">
        <v>2084</v>
      </c>
      <c r="AL275" s="81" t="b">
        <v>0</v>
      </c>
      <c r="AM275" s="81">
        <v>0</v>
      </c>
      <c r="AN275" s="86" t="s">
        <v>2084</v>
      </c>
      <c r="AO275" s="86" t="s">
        <v>2179</v>
      </c>
      <c r="AP275" s="81" t="b">
        <v>0</v>
      </c>
      <c r="AQ275" s="86" t="s">
        <v>6806</v>
      </c>
      <c r="AR275" s="81" t="s">
        <v>179</v>
      </c>
      <c r="AS275" s="81">
        <v>0</v>
      </c>
      <c r="AT275" s="81">
        <v>0</v>
      </c>
      <c r="AU275" s="81"/>
      <c r="AV275" s="81"/>
      <c r="AW275" s="81"/>
      <c r="AX275" s="81"/>
      <c r="AY275" s="81"/>
      <c r="AZ275" s="81"/>
      <c r="BA275" s="81"/>
      <c r="BB275" s="81"/>
    </row>
    <row r="276" spans="1:54" x14ac:dyDescent="0.35">
      <c r="A276" s="66" t="s">
        <v>4282</v>
      </c>
      <c r="B276" s="66" t="s">
        <v>5016</v>
      </c>
      <c r="C276" s="67"/>
      <c r="D276" s="68"/>
      <c r="E276" s="69"/>
      <c r="F276" s="70"/>
      <c r="G276" s="67"/>
      <c r="H276" s="71"/>
      <c r="I276" s="72"/>
      <c r="J276" s="72"/>
      <c r="K276" s="36"/>
      <c r="L276" s="79"/>
      <c r="M276" s="79"/>
      <c r="N276" s="74"/>
      <c r="O276" s="81" t="s">
        <v>695</v>
      </c>
      <c r="P276" s="83">
        <v>44461.054212962961</v>
      </c>
      <c r="Q276" s="81" t="s">
        <v>5321</v>
      </c>
      <c r="R276" s="81"/>
      <c r="S276" s="81"/>
      <c r="T276" s="81"/>
      <c r="U276" s="81"/>
      <c r="V276" s="84" t="str">
        <f>HYPERLINK("https://pbs.twimg.com/profile_images/1436542513574187015/4AzE9oAF_normal.jpg")</f>
        <v>https://pbs.twimg.com/profile_images/1436542513574187015/4AzE9oAF_normal.jpg</v>
      </c>
      <c r="W276" s="83">
        <v>44461.054212962961</v>
      </c>
      <c r="X276" s="89">
        <v>44461</v>
      </c>
      <c r="Y276" s="86" t="s">
        <v>5906</v>
      </c>
      <c r="Z276" s="84" t="str">
        <f>HYPERLINK("https://twitter.com/qfontes/status/1440485517250883593")</f>
        <v>https://twitter.com/qfontes/status/1440485517250883593</v>
      </c>
      <c r="AA276" s="81"/>
      <c r="AB276" s="81"/>
      <c r="AC276" s="86" t="s">
        <v>6807</v>
      </c>
      <c r="AD276" s="86" t="s">
        <v>7636</v>
      </c>
      <c r="AE276" s="81" t="b">
        <v>0</v>
      </c>
      <c r="AF276" s="81">
        <v>0</v>
      </c>
      <c r="AG276" s="86" t="s">
        <v>7815</v>
      </c>
      <c r="AH276" s="81" t="b">
        <v>0</v>
      </c>
      <c r="AI276" s="81" t="s">
        <v>2171</v>
      </c>
      <c r="AJ276" s="81"/>
      <c r="AK276" s="86" t="s">
        <v>2084</v>
      </c>
      <c r="AL276" s="81" t="b">
        <v>0</v>
      </c>
      <c r="AM276" s="81">
        <v>0</v>
      </c>
      <c r="AN276" s="86" t="s">
        <v>2084</v>
      </c>
      <c r="AO276" s="86" t="s">
        <v>2179</v>
      </c>
      <c r="AP276" s="81" t="b">
        <v>0</v>
      </c>
      <c r="AQ276" s="86" t="s">
        <v>7636</v>
      </c>
      <c r="AR276" s="81" t="s">
        <v>179</v>
      </c>
      <c r="AS276" s="81">
        <v>0</v>
      </c>
      <c r="AT276" s="81">
        <v>0</v>
      </c>
      <c r="AU276" s="81"/>
      <c r="AV276" s="81"/>
      <c r="AW276" s="81"/>
      <c r="AX276" s="81"/>
      <c r="AY276" s="81"/>
      <c r="AZ276" s="81"/>
      <c r="BA276" s="81"/>
      <c r="BB276" s="81"/>
    </row>
    <row r="277" spans="1:54" x14ac:dyDescent="0.35">
      <c r="A277" s="66" t="s">
        <v>4283</v>
      </c>
      <c r="B277" s="66" t="s">
        <v>5016</v>
      </c>
      <c r="C277" s="67"/>
      <c r="D277" s="68"/>
      <c r="E277" s="69"/>
      <c r="F277" s="70"/>
      <c r="G277" s="67"/>
      <c r="H277" s="71"/>
      <c r="I277" s="72"/>
      <c r="J277" s="72"/>
      <c r="K277" s="36"/>
      <c r="L277" s="79"/>
      <c r="M277" s="79"/>
      <c r="N277" s="74"/>
      <c r="O277" s="81" t="s">
        <v>696</v>
      </c>
      <c r="P277" s="83">
        <v>44461.061736111114</v>
      </c>
      <c r="Q277" s="81" t="s">
        <v>5322</v>
      </c>
      <c r="R277" s="81"/>
      <c r="S277" s="81"/>
      <c r="T277" s="81"/>
      <c r="U277" s="84" t="str">
        <f>HYPERLINK("https://pbs.twimg.com/media/E_2kbAeUUAMscM6.jpg")</f>
        <v>https://pbs.twimg.com/media/E_2kbAeUUAMscM6.jpg</v>
      </c>
      <c r="V277" s="84" t="str">
        <f>HYPERLINK("https://pbs.twimg.com/media/E_2kbAeUUAMscM6.jpg")</f>
        <v>https://pbs.twimg.com/media/E_2kbAeUUAMscM6.jpg</v>
      </c>
      <c r="W277" s="83">
        <v>44461.061736111114</v>
      </c>
      <c r="X277" s="89">
        <v>44461</v>
      </c>
      <c r="Y277" s="86" t="s">
        <v>5907</v>
      </c>
      <c r="Z277" s="84" t="str">
        <f>HYPERLINK("https://twitter.com/sbrjjo/status/1440488242088841226")</f>
        <v>https://twitter.com/sbrjjo/status/1440488242088841226</v>
      </c>
      <c r="AA277" s="81"/>
      <c r="AB277" s="81"/>
      <c r="AC277" s="86" t="s">
        <v>6808</v>
      </c>
      <c r="AD277" s="86" t="s">
        <v>6807</v>
      </c>
      <c r="AE277" s="81" t="b">
        <v>0</v>
      </c>
      <c r="AF277" s="81">
        <v>3</v>
      </c>
      <c r="AG277" s="86" t="s">
        <v>7816</v>
      </c>
      <c r="AH277" s="81" t="b">
        <v>0</v>
      </c>
      <c r="AI277" s="81" t="s">
        <v>2171</v>
      </c>
      <c r="AJ277" s="81"/>
      <c r="AK277" s="86" t="s">
        <v>2084</v>
      </c>
      <c r="AL277" s="81" t="b">
        <v>0</v>
      </c>
      <c r="AM277" s="81">
        <v>0</v>
      </c>
      <c r="AN277" s="86" t="s">
        <v>2084</v>
      </c>
      <c r="AO277" s="86" t="s">
        <v>2178</v>
      </c>
      <c r="AP277" s="81" t="b">
        <v>0</v>
      </c>
      <c r="AQ277" s="86" t="s">
        <v>6807</v>
      </c>
      <c r="AR277" s="81" t="s">
        <v>179</v>
      </c>
      <c r="AS277" s="81">
        <v>0</v>
      </c>
      <c r="AT277" s="81">
        <v>0</v>
      </c>
      <c r="AU277" s="81"/>
      <c r="AV277" s="81"/>
      <c r="AW277" s="81"/>
      <c r="AX277" s="81"/>
      <c r="AY277" s="81"/>
      <c r="AZ277" s="81"/>
      <c r="BA277" s="81"/>
      <c r="BB277" s="81"/>
    </row>
    <row r="278" spans="1:54" x14ac:dyDescent="0.35">
      <c r="A278" s="66" t="s">
        <v>4283</v>
      </c>
      <c r="B278" s="66" t="s">
        <v>4282</v>
      </c>
      <c r="C278" s="67"/>
      <c r="D278" s="68"/>
      <c r="E278" s="69"/>
      <c r="F278" s="70"/>
      <c r="G278" s="67"/>
      <c r="H278" s="71"/>
      <c r="I278" s="72"/>
      <c r="J278" s="72"/>
      <c r="K278" s="36"/>
      <c r="L278" s="79"/>
      <c r="M278" s="79"/>
      <c r="N278" s="74"/>
      <c r="O278" s="81" t="s">
        <v>695</v>
      </c>
      <c r="P278" s="83">
        <v>44461.061736111114</v>
      </c>
      <c r="Q278" s="81" t="s">
        <v>5322</v>
      </c>
      <c r="R278" s="81"/>
      <c r="S278" s="81"/>
      <c r="T278" s="81"/>
      <c r="U278" s="84" t="str">
        <f>HYPERLINK("https://pbs.twimg.com/media/E_2kbAeUUAMscM6.jpg")</f>
        <v>https://pbs.twimg.com/media/E_2kbAeUUAMscM6.jpg</v>
      </c>
      <c r="V278" s="84" t="str">
        <f>HYPERLINK("https://pbs.twimg.com/media/E_2kbAeUUAMscM6.jpg")</f>
        <v>https://pbs.twimg.com/media/E_2kbAeUUAMscM6.jpg</v>
      </c>
      <c r="W278" s="83">
        <v>44461.061736111114</v>
      </c>
      <c r="X278" s="89">
        <v>44461</v>
      </c>
      <c r="Y278" s="86" t="s">
        <v>5907</v>
      </c>
      <c r="Z278" s="84" t="str">
        <f>HYPERLINK("https://twitter.com/sbrjjo/status/1440488242088841226")</f>
        <v>https://twitter.com/sbrjjo/status/1440488242088841226</v>
      </c>
      <c r="AA278" s="81"/>
      <c r="AB278" s="81"/>
      <c r="AC278" s="86" t="s">
        <v>6808</v>
      </c>
      <c r="AD278" s="86" t="s">
        <v>6807</v>
      </c>
      <c r="AE278" s="81" t="b">
        <v>0</v>
      </c>
      <c r="AF278" s="81">
        <v>3</v>
      </c>
      <c r="AG278" s="86" t="s">
        <v>7816</v>
      </c>
      <c r="AH278" s="81" t="b">
        <v>0</v>
      </c>
      <c r="AI278" s="81" t="s">
        <v>2171</v>
      </c>
      <c r="AJ278" s="81"/>
      <c r="AK278" s="86" t="s">
        <v>2084</v>
      </c>
      <c r="AL278" s="81" t="b">
        <v>0</v>
      </c>
      <c r="AM278" s="81">
        <v>0</v>
      </c>
      <c r="AN278" s="86" t="s">
        <v>2084</v>
      </c>
      <c r="AO278" s="86" t="s">
        <v>2178</v>
      </c>
      <c r="AP278" s="81" t="b">
        <v>0</v>
      </c>
      <c r="AQ278" s="86" t="s">
        <v>6807</v>
      </c>
      <c r="AR278" s="81" t="s">
        <v>179</v>
      </c>
      <c r="AS278" s="81">
        <v>0</v>
      </c>
      <c r="AT278" s="81">
        <v>0</v>
      </c>
      <c r="AU278" s="81"/>
      <c r="AV278" s="81"/>
      <c r="AW278" s="81"/>
      <c r="AX278" s="81"/>
      <c r="AY278" s="81"/>
      <c r="AZ278" s="81"/>
      <c r="BA278" s="81"/>
      <c r="BB278" s="81"/>
    </row>
    <row r="279" spans="1:54" x14ac:dyDescent="0.35">
      <c r="A279" s="66" t="s">
        <v>287</v>
      </c>
      <c r="B279" s="66" t="s">
        <v>287</v>
      </c>
      <c r="C279" s="67"/>
      <c r="D279" s="68"/>
      <c r="E279" s="69"/>
      <c r="F279" s="70"/>
      <c r="G279" s="67"/>
      <c r="H279" s="71"/>
      <c r="I279" s="72"/>
      <c r="J279" s="72"/>
      <c r="K279" s="36"/>
      <c r="L279" s="79"/>
      <c r="M279" s="79"/>
      <c r="N279" s="74"/>
      <c r="O279" s="81" t="s">
        <v>179</v>
      </c>
      <c r="P279" s="83">
        <v>44461.069120370368</v>
      </c>
      <c r="Q279" s="81" t="s">
        <v>734</v>
      </c>
      <c r="R279" s="81"/>
      <c r="S279" s="81"/>
      <c r="T279" s="81"/>
      <c r="U279" s="81"/>
      <c r="V279" s="84" t="str">
        <f>HYPERLINK("https://pbs.twimg.com/profile_images/1437496319262683137/OA_1UDhQ_normal.jpg")</f>
        <v>https://pbs.twimg.com/profile_images/1437496319262683137/OA_1UDhQ_normal.jpg</v>
      </c>
      <c r="W279" s="83">
        <v>44461.069120370368</v>
      </c>
      <c r="X279" s="89">
        <v>44461</v>
      </c>
      <c r="Y279" s="86" t="s">
        <v>1088</v>
      </c>
      <c r="Z279" s="84" t="str">
        <f>HYPERLINK("https://twitter.com/nrnshaik19/status/1440490918461591558")</f>
        <v>https://twitter.com/nrnshaik19/status/1440490918461591558</v>
      </c>
      <c r="AA279" s="81"/>
      <c r="AB279" s="81"/>
      <c r="AC279" s="86" t="s">
        <v>1586</v>
      </c>
      <c r="AD279" s="86" t="s">
        <v>2025</v>
      </c>
      <c r="AE279" s="81" t="b">
        <v>0</v>
      </c>
      <c r="AF279" s="81">
        <v>0</v>
      </c>
      <c r="AG279" s="86" t="s">
        <v>2105</v>
      </c>
      <c r="AH279" s="81" t="b">
        <v>0</v>
      </c>
      <c r="AI279" s="81" t="s">
        <v>2167</v>
      </c>
      <c r="AJ279" s="81"/>
      <c r="AK279" s="86" t="s">
        <v>2084</v>
      </c>
      <c r="AL279" s="81" t="b">
        <v>0</v>
      </c>
      <c r="AM279" s="81">
        <v>0</v>
      </c>
      <c r="AN279" s="86" t="s">
        <v>2084</v>
      </c>
      <c r="AO279" s="86" t="s">
        <v>2178</v>
      </c>
      <c r="AP279" s="81" t="b">
        <v>0</v>
      </c>
      <c r="AQ279" s="86" t="s">
        <v>2025</v>
      </c>
      <c r="AR279" s="81" t="s">
        <v>179</v>
      </c>
      <c r="AS279" s="81">
        <v>0</v>
      </c>
      <c r="AT279" s="81">
        <v>0</v>
      </c>
      <c r="AU279" s="81"/>
      <c r="AV279" s="81"/>
      <c r="AW279" s="81"/>
      <c r="AX279" s="81"/>
      <c r="AY279" s="81"/>
      <c r="AZ279" s="81"/>
      <c r="BA279" s="81"/>
      <c r="BB279" s="81"/>
    </row>
    <row r="280" spans="1:54" x14ac:dyDescent="0.35">
      <c r="A280" s="66" t="s">
        <v>287</v>
      </c>
      <c r="B280" s="66" t="s">
        <v>287</v>
      </c>
      <c r="C280" s="67"/>
      <c r="D280" s="68"/>
      <c r="E280" s="69"/>
      <c r="F280" s="70"/>
      <c r="G280" s="67"/>
      <c r="H280" s="71"/>
      <c r="I280" s="72"/>
      <c r="J280" s="72"/>
      <c r="K280" s="36"/>
      <c r="L280" s="79"/>
      <c r="M280" s="79"/>
      <c r="N280" s="74"/>
      <c r="O280" s="81" t="s">
        <v>179</v>
      </c>
      <c r="P280" s="83">
        <v>44461.069131944445</v>
      </c>
      <c r="Q280" s="81" t="s">
        <v>735</v>
      </c>
      <c r="R280" s="81"/>
      <c r="S280" s="81"/>
      <c r="T280" s="81"/>
      <c r="U280" s="81"/>
      <c r="V280" s="84" t="str">
        <f>HYPERLINK("https://pbs.twimg.com/profile_images/1437496319262683137/OA_1UDhQ_normal.jpg")</f>
        <v>https://pbs.twimg.com/profile_images/1437496319262683137/OA_1UDhQ_normal.jpg</v>
      </c>
      <c r="W280" s="83">
        <v>44461.069131944445</v>
      </c>
      <c r="X280" s="89">
        <v>44461</v>
      </c>
      <c r="Y280" s="86" t="s">
        <v>1089</v>
      </c>
      <c r="Z280" s="84" t="str">
        <f>HYPERLINK("https://twitter.com/nrnshaik19/status/1440490920068071428")</f>
        <v>https://twitter.com/nrnshaik19/status/1440490920068071428</v>
      </c>
      <c r="AA280" s="81"/>
      <c r="AB280" s="81"/>
      <c r="AC280" s="86" t="s">
        <v>1587</v>
      </c>
      <c r="AD280" s="86" t="s">
        <v>1586</v>
      </c>
      <c r="AE280" s="81" t="b">
        <v>0</v>
      </c>
      <c r="AF280" s="81">
        <v>0</v>
      </c>
      <c r="AG280" s="86" t="s">
        <v>2105</v>
      </c>
      <c r="AH280" s="81" t="b">
        <v>0</v>
      </c>
      <c r="AI280" s="81" t="s">
        <v>2167</v>
      </c>
      <c r="AJ280" s="81"/>
      <c r="AK280" s="86" t="s">
        <v>2084</v>
      </c>
      <c r="AL280" s="81" t="b">
        <v>0</v>
      </c>
      <c r="AM280" s="81">
        <v>0</v>
      </c>
      <c r="AN280" s="86" t="s">
        <v>2084</v>
      </c>
      <c r="AO280" s="86" t="s">
        <v>2178</v>
      </c>
      <c r="AP280" s="81" t="b">
        <v>0</v>
      </c>
      <c r="AQ280" s="86" t="s">
        <v>1586</v>
      </c>
      <c r="AR280" s="81" t="s">
        <v>179</v>
      </c>
      <c r="AS280" s="81">
        <v>0</v>
      </c>
      <c r="AT280" s="81">
        <v>0</v>
      </c>
      <c r="AU280" s="81"/>
      <c r="AV280" s="81"/>
      <c r="AW280" s="81"/>
      <c r="AX280" s="81"/>
      <c r="AY280" s="81"/>
      <c r="AZ280" s="81"/>
      <c r="BA280" s="81"/>
      <c r="BB280" s="81"/>
    </row>
    <row r="281" spans="1:54" x14ac:dyDescent="0.35">
      <c r="A281" s="66" t="s">
        <v>288</v>
      </c>
      <c r="B281" s="66" t="s">
        <v>288</v>
      </c>
      <c r="C281" s="67"/>
      <c r="D281" s="68"/>
      <c r="E281" s="69"/>
      <c r="F281" s="70"/>
      <c r="G281" s="67"/>
      <c r="H281" s="71"/>
      <c r="I281" s="72"/>
      <c r="J281" s="72"/>
      <c r="K281" s="36"/>
      <c r="L281" s="79"/>
      <c r="M281" s="79"/>
      <c r="N281" s="74"/>
      <c r="O281" s="81" t="s">
        <v>179</v>
      </c>
      <c r="P281" s="83">
        <v>44461.069768518515</v>
      </c>
      <c r="Q281" s="81" t="s">
        <v>736</v>
      </c>
      <c r="R281" s="81"/>
      <c r="S281" s="81"/>
      <c r="T281" s="81"/>
      <c r="U281" s="81"/>
      <c r="V281" s="84" t="str">
        <f>HYPERLINK("https://pbs.twimg.com/profile_images/1439814058362892294/99UlnPHr_normal.jpg")</f>
        <v>https://pbs.twimg.com/profile_images/1439814058362892294/99UlnPHr_normal.jpg</v>
      </c>
      <c r="W281" s="83">
        <v>44461.069768518515</v>
      </c>
      <c r="X281" s="89">
        <v>44461</v>
      </c>
      <c r="Y281" s="86" t="s">
        <v>1090</v>
      </c>
      <c r="Z281" s="84" t="str">
        <f>HYPERLINK("https://twitter.com/naaabihaaa/status/1440491153174847492")</f>
        <v>https://twitter.com/naaabihaaa/status/1440491153174847492</v>
      </c>
      <c r="AA281" s="81"/>
      <c r="AB281" s="81"/>
      <c r="AC281" s="86" t="s">
        <v>1588</v>
      </c>
      <c r="AD281" s="81"/>
      <c r="AE281" s="81" t="b">
        <v>0</v>
      </c>
      <c r="AF281" s="81">
        <v>0</v>
      </c>
      <c r="AG281" s="86" t="s">
        <v>2084</v>
      </c>
      <c r="AH281" s="81" t="b">
        <v>0</v>
      </c>
      <c r="AI281" s="81" t="s">
        <v>2167</v>
      </c>
      <c r="AJ281" s="81"/>
      <c r="AK281" s="86" t="s">
        <v>2084</v>
      </c>
      <c r="AL281" s="81" t="b">
        <v>0</v>
      </c>
      <c r="AM281" s="81">
        <v>0</v>
      </c>
      <c r="AN281" s="86" t="s">
        <v>2084</v>
      </c>
      <c r="AO281" s="86" t="s">
        <v>2179</v>
      </c>
      <c r="AP281" s="81" t="b">
        <v>0</v>
      </c>
      <c r="AQ281" s="86" t="s">
        <v>1588</v>
      </c>
      <c r="AR281" s="81" t="s">
        <v>179</v>
      </c>
      <c r="AS281" s="81">
        <v>0</v>
      </c>
      <c r="AT281" s="81">
        <v>0</v>
      </c>
      <c r="AU281" s="81"/>
      <c r="AV281" s="81"/>
      <c r="AW281" s="81"/>
      <c r="AX281" s="81"/>
      <c r="AY281" s="81"/>
      <c r="AZ281" s="81"/>
      <c r="BA281" s="81"/>
      <c r="BB281" s="81"/>
    </row>
    <row r="282" spans="1:54" x14ac:dyDescent="0.35">
      <c r="A282" s="66" t="s">
        <v>4284</v>
      </c>
      <c r="B282" s="66" t="s">
        <v>4980</v>
      </c>
      <c r="C282" s="67"/>
      <c r="D282" s="68"/>
      <c r="E282" s="69"/>
      <c r="F282" s="70"/>
      <c r="G282" s="67"/>
      <c r="H282" s="71"/>
      <c r="I282" s="72"/>
      <c r="J282" s="72"/>
      <c r="K282" s="36"/>
      <c r="L282" s="79"/>
      <c r="M282" s="79"/>
      <c r="N282" s="74"/>
      <c r="O282" s="81" t="s">
        <v>695</v>
      </c>
      <c r="P282" s="83">
        <v>44461.071203703701</v>
      </c>
      <c r="Q282" s="81" t="s">
        <v>5323</v>
      </c>
      <c r="R282" s="81"/>
      <c r="S282" s="81"/>
      <c r="T282" s="81"/>
      <c r="U282" s="81"/>
      <c r="V282" s="84" t="str">
        <f>HYPERLINK("https://pbs.twimg.com/profile_images/1269272461746606083/nlqyPMFF_normal.jpg")</f>
        <v>https://pbs.twimg.com/profile_images/1269272461746606083/nlqyPMFF_normal.jpg</v>
      </c>
      <c r="W282" s="83">
        <v>44461.071203703701</v>
      </c>
      <c r="X282" s="89">
        <v>44461</v>
      </c>
      <c r="Y282" s="86" t="s">
        <v>5908</v>
      </c>
      <c r="Z282" s="84" t="str">
        <f>HYPERLINK("https://twitter.com/lusouto6/status/1440491671154688004")</f>
        <v>https://twitter.com/lusouto6/status/1440491671154688004</v>
      </c>
      <c r="AA282" s="81"/>
      <c r="AB282" s="81"/>
      <c r="AC282" s="86" t="s">
        <v>6809</v>
      </c>
      <c r="AD282" s="86" t="s">
        <v>7637</v>
      </c>
      <c r="AE282" s="81" t="b">
        <v>0</v>
      </c>
      <c r="AF282" s="81">
        <v>1</v>
      </c>
      <c r="AG282" s="86" t="s">
        <v>7792</v>
      </c>
      <c r="AH282" s="81" t="b">
        <v>0</v>
      </c>
      <c r="AI282" s="81" t="s">
        <v>2171</v>
      </c>
      <c r="AJ282" s="81"/>
      <c r="AK282" s="86" t="s">
        <v>2084</v>
      </c>
      <c r="AL282" s="81" t="b">
        <v>0</v>
      </c>
      <c r="AM282" s="81">
        <v>0</v>
      </c>
      <c r="AN282" s="86" t="s">
        <v>2084</v>
      </c>
      <c r="AO282" s="86" t="s">
        <v>2179</v>
      </c>
      <c r="AP282" s="81" t="b">
        <v>0</v>
      </c>
      <c r="AQ282" s="86" t="s">
        <v>7637</v>
      </c>
      <c r="AR282" s="81" t="s">
        <v>179</v>
      </c>
      <c r="AS282" s="81">
        <v>0</v>
      </c>
      <c r="AT282" s="81">
        <v>0</v>
      </c>
      <c r="AU282" s="81"/>
      <c r="AV282" s="81"/>
      <c r="AW282" s="81"/>
      <c r="AX282" s="81"/>
      <c r="AY282" s="81"/>
      <c r="AZ282" s="81"/>
      <c r="BA282" s="81"/>
      <c r="BB282" s="81"/>
    </row>
    <row r="283" spans="1:54" x14ac:dyDescent="0.35">
      <c r="A283" s="66" t="s">
        <v>4275</v>
      </c>
      <c r="B283" s="66" t="s">
        <v>5013</v>
      </c>
      <c r="C283" s="67"/>
      <c r="D283" s="68"/>
      <c r="E283" s="69"/>
      <c r="F283" s="70"/>
      <c r="G283" s="67"/>
      <c r="H283" s="71"/>
      <c r="I283" s="72"/>
      <c r="J283" s="72"/>
      <c r="K283" s="36"/>
      <c r="L283" s="79"/>
      <c r="M283" s="79"/>
      <c r="N283" s="74"/>
      <c r="O283" s="81" t="s">
        <v>696</v>
      </c>
      <c r="P283" s="83">
        <v>44460.871180555558</v>
      </c>
      <c r="Q283" s="81" t="s">
        <v>5317</v>
      </c>
      <c r="R283" s="84" t="str">
        <f>HYPERLINK("https://www.gov.br/anvisa/pt-br/assuntos/fiscalizacao-e-monitoramento/notificacoes/vigimed/medicamentos-e-vacinas")</f>
        <v>https://www.gov.br/anvisa/pt-br/assuntos/fiscalizacao-e-monitoramento/notificacoes/vigimed/medicamentos-e-vacinas</v>
      </c>
      <c r="S283" s="81" t="s">
        <v>5686</v>
      </c>
      <c r="T283" s="81"/>
      <c r="U283" s="81"/>
      <c r="V283" s="84" t="str">
        <f>HYPERLINK("https://pbs.twimg.com/profile_images/1365822640854818825/se0hzumt_normal.jpg")</f>
        <v>https://pbs.twimg.com/profile_images/1365822640854818825/se0hzumt_normal.jpg</v>
      </c>
      <c r="W283" s="83">
        <v>44460.871180555558</v>
      </c>
      <c r="X283" s="89">
        <v>44460</v>
      </c>
      <c r="Y283" s="86" t="s">
        <v>5909</v>
      </c>
      <c r="Z283" s="84" t="str">
        <f>HYPERLINK("https://twitter.com/mab2828/status/1440419187562663939")</f>
        <v>https://twitter.com/mab2828/status/1440419187562663939</v>
      </c>
      <c r="AA283" s="81"/>
      <c r="AB283" s="81"/>
      <c r="AC283" s="86" t="s">
        <v>6810</v>
      </c>
      <c r="AD283" s="86" t="s">
        <v>7638</v>
      </c>
      <c r="AE283" s="81" t="b">
        <v>0</v>
      </c>
      <c r="AF283" s="81">
        <v>12</v>
      </c>
      <c r="AG283" s="86" t="s">
        <v>7817</v>
      </c>
      <c r="AH283" s="81" t="b">
        <v>0</v>
      </c>
      <c r="AI283" s="81" t="s">
        <v>2171</v>
      </c>
      <c r="AJ283" s="81"/>
      <c r="AK283" s="86" t="s">
        <v>2084</v>
      </c>
      <c r="AL283" s="81" t="b">
        <v>0</v>
      </c>
      <c r="AM283" s="81">
        <v>4</v>
      </c>
      <c r="AN283" s="86" t="s">
        <v>2084</v>
      </c>
      <c r="AO283" s="86" t="s">
        <v>2179</v>
      </c>
      <c r="AP283" s="81" t="b">
        <v>0</v>
      </c>
      <c r="AQ283" s="86" t="s">
        <v>7638</v>
      </c>
      <c r="AR283" s="81" t="s">
        <v>179</v>
      </c>
      <c r="AS283" s="81">
        <v>0</v>
      </c>
      <c r="AT283" s="81">
        <v>0</v>
      </c>
      <c r="AU283" s="81"/>
      <c r="AV283" s="81"/>
      <c r="AW283" s="81"/>
      <c r="AX283" s="81"/>
      <c r="AY283" s="81"/>
      <c r="AZ283" s="81"/>
      <c r="BA283" s="81"/>
      <c r="BB283" s="81"/>
    </row>
    <row r="284" spans="1:54" x14ac:dyDescent="0.35">
      <c r="A284" s="66" t="s">
        <v>4285</v>
      </c>
      <c r="B284" s="66" t="s">
        <v>5013</v>
      </c>
      <c r="C284" s="67"/>
      <c r="D284" s="68"/>
      <c r="E284" s="69"/>
      <c r="F284" s="70"/>
      <c r="G284" s="67"/>
      <c r="H284" s="71"/>
      <c r="I284" s="72"/>
      <c r="J284" s="72"/>
      <c r="K284" s="36"/>
      <c r="L284" s="79"/>
      <c r="M284" s="79"/>
      <c r="N284" s="74"/>
      <c r="O284" s="81" t="s">
        <v>694</v>
      </c>
      <c r="P284" s="83">
        <v>44461.074976851851</v>
      </c>
      <c r="Q284" s="81" t="s">
        <v>5317</v>
      </c>
      <c r="R284" s="84" t="str">
        <f>HYPERLINK("https://www.gov.br/anvisa/pt-br/assuntos/fiscalizacao-e-monitoramento/notificacoes/vigimed/medicamentos-e-vacinas")</f>
        <v>https://www.gov.br/anvisa/pt-br/assuntos/fiscalizacao-e-monitoramento/notificacoes/vigimed/medicamentos-e-vacinas</v>
      </c>
      <c r="S284" s="81" t="s">
        <v>5686</v>
      </c>
      <c r="T284" s="81"/>
      <c r="U284" s="81"/>
      <c r="V284" s="84" t="str">
        <f>HYPERLINK("https://pbs.twimg.com/profile_images/1275127022692556800/_0j7Eb9m_normal.jpg")</f>
        <v>https://pbs.twimg.com/profile_images/1275127022692556800/_0j7Eb9m_normal.jpg</v>
      </c>
      <c r="W284" s="83">
        <v>44461.074976851851</v>
      </c>
      <c r="X284" s="89">
        <v>44461</v>
      </c>
      <c r="Y284" s="86" t="s">
        <v>5910</v>
      </c>
      <c r="Z284" s="84" t="str">
        <f>HYPERLINK("https://twitter.com/thatyzzsp/status/1440493041203118081")</f>
        <v>https://twitter.com/thatyzzsp/status/1440493041203118081</v>
      </c>
      <c r="AA284" s="81"/>
      <c r="AB284" s="81"/>
      <c r="AC284" s="86" t="s">
        <v>6811</v>
      </c>
      <c r="AD284" s="81"/>
      <c r="AE284" s="81" t="b">
        <v>0</v>
      </c>
      <c r="AF284" s="81">
        <v>0</v>
      </c>
      <c r="AG284" s="86" t="s">
        <v>2084</v>
      </c>
      <c r="AH284" s="81" t="b">
        <v>0</v>
      </c>
      <c r="AI284" s="81" t="s">
        <v>2171</v>
      </c>
      <c r="AJ284" s="81"/>
      <c r="AK284" s="86" t="s">
        <v>2084</v>
      </c>
      <c r="AL284" s="81" t="b">
        <v>0</v>
      </c>
      <c r="AM284" s="81">
        <v>4</v>
      </c>
      <c r="AN284" s="86" t="s">
        <v>6810</v>
      </c>
      <c r="AO284" s="86" t="s">
        <v>2178</v>
      </c>
      <c r="AP284" s="81" t="b">
        <v>0</v>
      </c>
      <c r="AQ284" s="86" t="s">
        <v>6810</v>
      </c>
      <c r="AR284" s="81" t="s">
        <v>179</v>
      </c>
      <c r="AS284" s="81">
        <v>0</v>
      </c>
      <c r="AT284" s="81">
        <v>0</v>
      </c>
      <c r="AU284" s="81"/>
      <c r="AV284" s="81"/>
      <c r="AW284" s="81"/>
      <c r="AX284" s="81"/>
      <c r="AY284" s="81"/>
      <c r="AZ284" s="81"/>
      <c r="BA284" s="81"/>
      <c r="BB284" s="81"/>
    </row>
    <row r="285" spans="1:54" x14ac:dyDescent="0.35">
      <c r="A285" s="66" t="s">
        <v>4275</v>
      </c>
      <c r="B285" s="66" t="s">
        <v>5014</v>
      </c>
      <c r="C285" s="67"/>
      <c r="D285" s="68"/>
      <c r="E285" s="69"/>
      <c r="F285" s="70"/>
      <c r="G285" s="67"/>
      <c r="H285" s="71"/>
      <c r="I285" s="72"/>
      <c r="J285" s="72"/>
      <c r="K285" s="36"/>
      <c r="L285" s="79"/>
      <c r="M285" s="79"/>
      <c r="N285" s="74"/>
      <c r="O285" s="81" t="s">
        <v>695</v>
      </c>
      <c r="P285" s="83">
        <v>44460.870659722219</v>
      </c>
      <c r="Q285" s="81" t="s">
        <v>5324</v>
      </c>
      <c r="R285" s="84" t="str">
        <f>HYPERLINK("https://www.gov.br/anvisa/pt-br/assuntos/fiscalizacao-e-monitoramento/notificacoes/vigimed/medicamentos-e-vacinas")</f>
        <v>https://www.gov.br/anvisa/pt-br/assuntos/fiscalizacao-e-monitoramento/notificacoes/vigimed/medicamentos-e-vacinas</v>
      </c>
      <c r="S285" s="81" t="s">
        <v>5686</v>
      </c>
      <c r="T285" s="81"/>
      <c r="U285" s="81"/>
      <c r="V285" s="84" t="str">
        <f>HYPERLINK("https://pbs.twimg.com/profile_images/1365822640854818825/se0hzumt_normal.jpg")</f>
        <v>https://pbs.twimg.com/profile_images/1365822640854818825/se0hzumt_normal.jpg</v>
      </c>
      <c r="W285" s="83">
        <v>44460.870659722219</v>
      </c>
      <c r="X285" s="89">
        <v>44460</v>
      </c>
      <c r="Y285" s="86" t="s">
        <v>5911</v>
      </c>
      <c r="Z285" s="84" t="str">
        <f>HYPERLINK("https://twitter.com/mab2828/status/1440418999603380234")</f>
        <v>https://twitter.com/mab2828/status/1440418999603380234</v>
      </c>
      <c r="AA285" s="81"/>
      <c r="AB285" s="81"/>
      <c r="AC285" s="86" t="s">
        <v>6812</v>
      </c>
      <c r="AD285" s="86" t="s">
        <v>7639</v>
      </c>
      <c r="AE285" s="81" t="b">
        <v>0</v>
      </c>
      <c r="AF285" s="81">
        <v>1</v>
      </c>
      <c r="AG285" s="86" t="s">
        <v>7818</v>
      </c>
      <c r="AH285" s="81" t="b">
        <v>0</v>
      </c>
      <c r="AI285" s="81" t="s">
        <v>2171</v>
      </c>
      <c r="AJ285" s="81"/>
      <c r="AK285" s="86" t="s">
        <v>2084</v>
      </c>
      <c r="AL285" s="81" t="b">
        <v>0</v>
      </c>
      <c r="AM285" s="81">
        <v>0</v>
      </c>
      <c r="AN285" s="86" t="s">
        <v>2084</v>
      </c>
      <c r="AO285" s="86" t="s">
        <v>2179</v>
      </c>
      <c r="AP285" s="81" t="b">
        <v>0</v>
      </c>
      <c r="AQ285" s="86" t="s">
        <v>7639</v>
      </c>
      <c r="AR285" s="81" t="s">
        <v>179</v>
      </c>
      <c r="AS285" s="81">
        <v>0</v>
      </c>
      <c r="AT285" s="81">
        <v>0</v>
      </c>
      <c r="AU285" s="81"/>
      <c r="AV285" s="81"/>
      <c r="AW285" s="81"/>
      <c r="AX285" s="81"/>
      <c r="AY285" s="81"/>
      <c r="AZ285" s="81"/>
      <c r="BA285" s="81"/>
      <c r="BB285" s="81"/>
    </row>
    <row r="286" spans="1:54" x14ac:dyDescent="0.35">
      <c r="A286" s="66" t="s">
        <v>4275</v>
      </c>
      <c r="B286" s="66" t="s">
        <v>5014</v>
      </c>
      <c r="C286" s="67"/>
      <c r="D286" s="68"/>
      <c r="E286" s="69"/>
      <c r="F286" s="70"/>
      <c r="G286" s="67"/>
      <c r="H286" s="71"/>
      <c r="I286" s="72"/>
      <c r="J286" s="72"/>
      <c r="K286" s="36"/>
      <c r="L286" s="79"/>
      <c r="M286" s="79"/>
      <c r="N286" s="74"/>
      <c r="O286" s="81" t="s">
        <v>696</v>
      </c>
      <c r="P286" s="83">
        <v>44460.870856481481</v>
      </c>
      <c r="Q286" s="81" t="s">
        <v>5315</v>
      </c>
      <c r="R286" s="84" t="str">
        <f>HYPERLINK("https://www.gov.br/anvisa/pt-br/assuntos/fiscalizacao-e-monitoramento/notificacoes/vigimed/medicamentos-e-vacinas")</f>
        <v>https://www.gov.br/anvisa/pt-br/assuntos/fiscalizacao-e-monitoramento/notificacoes/vigimed/medicamentos-e-vacinas</v>
      </c>
      <c r="S286" s="81" t="s">
        <v>5686</v>
      </c>
      <c r="T286" s="81"/>
      <c r="U286" s="81"/>
      <c r="V286" s="84" t="str">
        <f>HYPERLINK("https://pbs.twimg.com/profile_images/1365822640854818825/se0hzumt_normal.jpg")</f>
        <v>https://pbs.twimg.com/profile_images/1365822640854818825/se0hzumt_normal.jpg</v>
      </c>
      <c r="W286" s="83">
        <v>44460.870856481481</v>
      </c>
      <c r="X286" s="89">
        <v>44460</v>
      </c>
      <c r="Y286" s="86" t="s">
        <v>5898</v>
      </c>
      <c r="Z286" s="84" t="str">
        <f>HYPERLINK("https://twitter.com/mab2828/status/1440419070428418051")</f>
        <v>https://twitter.com/mab2828/status/1440419070428418051</v>
      </c>
      <c r="AA286" s="81"/>
      <c r="AB286" s="81"/>
      <c r="AC286" s="86" t="s">
        <v>6799</v>
      </c>
      <c r="AD286" s="86" t="s">
        <v>7634</v>
      </c>
      <c r="AE286" s="81" t="b">
        <v>0</v>
      </c>
      <c r="AF286" s="81">
        <v>3</v>
      </c>
      <c r="AG286" s="86" t="s">
        <v>7813</v>
      </c>
      <c r="AH286" s="81" t="b">
        <v>0</v>
      </c>
      <c r="AI286" s="81" t="s">
        <v>2171</v>
      </c>
      <c r="AJ286" s="81"/>
      <c r="AK286" s="86" t="s">
        <v>2084</v>
      </c>
      <c r="AL286" s="81" t="b">
        <v>0</v>
      </c>
      <c r="AM286" s="81">
        <v>0</v>
      </c>
      <c r="AN286" s="86" t="s">
        <v>2084</v>
      </c>
      <c r="AO286" s="86" t="s">
        <v>2179</v>
      </c>
      <c r="AP286" s="81" t="b">
        <v>0</v>
      </c>
      <c r="AQ286" s="86" t="s">
        <v>7634</v>
      </c>
      <c r="AR286" s="81" t="s">
        <v>179</v>
      </c>
      <c r="AS286" s="81">
        <v>0</v>
      </c>
      <c r="AT286" s="81">
        <v>0</v>
      </c>
      <c r="AU286" s="81"/>
      <c r="AV286" s="81"/>
      <c r="AW286" s="81"/>
      <c r="AX286" s="81"/>
      <c r="AY286" s="81"/>
      <c r="AZ286" s="81"/>
      <c r="BA286" s="81"/>
      <c r="BB286" s="81"/>
    </row>
    <row r="287" spans="1:54" x14ac:dyDescent="0.35">
      <c r="A287" s="66" t="s">
        <v>4275</v>
      </c>
      <c r="B287" s="66" t="s">
        <v>5014</v>
      </c>
      <c r="C287" s="67"/>
      <c r="D287" s="68"/>
      <c r="E287" s="69"/>
      <c r="F287" s="70"/>
      <c r="G287" s="67"/>
      <c r="H287" s="71"/>
      <c r="I287" s="72"/>
      <c r="J287" s="72"/>
      <c r="K287" s="36"/>
      <c r="L287" s="79"/>
      <c r="M287" s="79"/>
      <c r="N287" s="74"/>
      <c r="O287" s="81" t="s">
        <v>696</v>
      </c>
      <c r="P287" s="83">
        <v>44460.870972222219</v>
      </c>
      <c r="Q287" s="81" t="s">
        <v>5316</v>
      </c>
      <c r="R287" s="84" t="str">
        <f>HYPERLINK("https://www.gov.br/anvisa/pt-br/assuntos/fiscalizacao-e-monitoramento/notificacoes/vigimed/medicamentos-e-vacinas")</f>
        <v>https://www.gov.br/anvisa/pt-br/assuntos/fiscalizacao-e-monitoramento/notificacoes/vigimed/medicamentos-e-vacinas</v>
      </c>
      <c r="S287" s="81" t="s">
        <v>5686</v>
      </c>
      <c r="T287" s="81"/>
      <c r="U287" s="81"/>
      <c r="V287" s="84" t="str">
        <f>HYPERLINK("https://pbs.twimg.com/profile_images/1365822640854818825/se0hzumt_normal.jpg")</f>
        <v>https://pbs.twimg.com/profile_images/1365822640854818825/se0hzumt_normal.jpg</v>
      </c>
      <c r="W287" s="83">
        <v>44460.870972222219</v>
      </c>
      <c r="X287" s="89">
        <v>44460</v>
      </c>
      <c r="Y287" s="86" t="s">
        <v>5899</v>
      </c>
      <c r="Z287" s="84" t="str">
        <f>HYPERLINK("https://twitter.com/mab2828/status/1440419111914201089")</f>
        <v>https://twitter.com/mab2828/status/1440419111914201089</v>
      </c>
      <c r="AA287" s="81"/>
      <c r="AB287" s="81"/>
      <c r="AC287" s="86" t="s">
        <v>6800</v>
      </c>
      <c r="AD287" s="86" t="s">
        <v>7635</v>
      </c>
      <c r="AE287" s="81" t="b">
        <v>0</v>
      </c>
      <c r="AF287" s="81">
        <v>2</v>
      </c>
      <c r="AG287" s="86" t="s">
        <v>7814</v>
      </c>
      <c r="AH287" s="81" t="b">
        <v>0</v>
      </c>
      <c r="AI287" s="81" t="s">
        <v>2171</v>
      </c>
      <c r="AJ287" s="81"/>
      <c r="AK287" s="86" t="s">
        <v>2084</v>
      </c>
      <c r="AL287" s="81" t="b">
        <v>0</v>
      </c>
      <c r="AM287" s="81">
        <v>0</v>
      </c>
      <c r="AN287" s="86" t="s">
        <v>2084</v>
      </c>
      <c r="AO287" s="86" t="s">
        <v>2179</v>
      </c>
      <c r="AP287" s="81" t="b">
        <v>0</v>
      </c>
      <c r="AQ287" s="86" t="s">
        <v>7635</v>
      </c>
      <c r="AR287" s="81" t="s">
        <v>179</v>
      </c>
      <c r="AS287" s="81">
        <v>0</v>
      </c>
      <c r="AT287" s="81">
        <v>0</v>
      </c>
      <c r="AU287" s="81"/>
      <c r="AV287" s="81"/>
      <c r="AW287" s="81"/>
      <c r="AX287" s="81"/>
      <c r="AY287" s="81"/>
      <c r="AZ287" s="81"/>
      <c r="BA287" s="81"/>
      <c r="BB287" s="81"/>
    </row>
    <row r="288" spans="1:54" x14ac:dyDescent="0.35">
      <c r="A288" s="66" t="s">
        <v>4275</v>
      </c>
      <c r="B288" s="66" t="s">
        <v>5014</v>
      </c>
      <c r="C288" s="67"/>
      <c r="D288" s="68"/>
      <c r="E288" s="69"/>
      <c r="F288" s="70"/>
      <c r="G288" s="67"/>
      <c r="H288" s="71"/>
      <c r="I288" s="72"/>
      <c r="J288" s="72"/>
      <c r="K288" s="36"/>
      <c r="L288" s="79"/>
      <c r="M288" s="79"/>
      <c r="N288" s="74"/>
      <c r="O288" s="81" t="s">
        <v>696</v>
      </c>
      <c r="P288" s="83">
        <v>44460.871180555558</v>
      </c>
      <c r="Q288" s="81" t="s">
        <v>5317</v>
      </c>
      <c r="R288" s="84" t="str">
        <f>HYPERLINK("https://www.gov.br/anvisa/pt-br/assuntos/fiscalizacao-e-monitoramento/notificacoes/vigimed/medicamentos-e-vacinas")</f>
        <v>https://www.gov.br/anvisa/pt-br/assuntos/fiscalizacao-e-monitoramento/notificacoes/vigimed/medicamentos-e-vacinas</v>
      </c>
      <c r="S288" s="81" t="s">
        <v>5686</v>
      </c>
      <c r="T288" s="81"/>
      <c r="U288" s="81"/>
      <c r="V288" s="84" t="str">
        <f>HYPERLINK("https://pbs.twimg.com/profile_images/1365822640854818825/se0hzumt_normal.jpg")</f>
        <v>https://pbs.twimg.com/profile_images/1365822640854818825/se0hzumt_normal.jpg</v>
      </c>
      <c r="W288" s="83">
        <v>44460.871180555558</v>
      </c>
      <c r="X288" s="89">
        <v>44460</v>
      </c>
      <c r="Y288" s="86" t="s">
        <v>5909</v>
      </c>
      <c r="Z288" s="84" t="str">
        <f>HYPERLINK("https://twitter.com/mab2828/status/1440419187562663939")</f>
        <v>https://twitter.com/mab2828/status/1440419187562663939</v>
      </c>
      <c r="AA288" s="81"/>
      <c r="AB288" s="81"/>
      <c r="AC288" s="86" t="s">
        <v>6810</v>
      </c>
      <c r="AD288" s="86" t="s">
        <v>7638</v>
      </c>
      <c r="AE288" s="81" t="b">
        <v>0</v>
      </c>
      <c r="AF288" s="81">
        <v>12</v>
      </c>
      <c r="AG288" s="86" t="s">
        <v>7817</v>
      </c>
      <c r="AH288" s="81" t="b">
        <v>0</v>
      </c>
      <c r="AI288" s="81" t="s">
        <v>2171</v>
      </c>
      <c r="AJ288" s="81"/>
      <c r="AK288" s="86" t="s">
        <v>2084</v>
      </c>
      <c r="AL288" s="81" t="b">
        <v>0</v>
      </c>
      <c r="AM288" s="81">
        <v>4</v>
      </c>
      <c r="AN288" s="86" t="s">
        <v>2084</v>
      </c>
      <c r="AO288" s="86" t="s">
        <v>2179</v>
      </c>
      <c r="AP288" s="81" t="b">
        <v>0</v>
      </c>
      <c r="AQ288" s="86" t="s">
        <v>7638</v>
      </c>
      <c r="AR288" s="81" t="s">
        <v>179</v>
      </c>
      <c r="AS288" s="81">
        <v>0</v>
      </c>
      <c r="AT288" s="81">
        <v>0</v>
      </c>
      <c r="AU288" s="81"/>
      <c r="AV288" s="81"/>
      <c r="AW288" s="81"/>
      <c r="AX288" s="81"/>
      <c r="AY288" s="81"/>
      <c r="AZ288" s="81"/>
      <c r="BA288" s="81"/>
      <c r="BB288" s="81"/>
    </row>
    <row r="289" spans="1:54" x14ac:dyDescent="0.35">
      <c r="A289" s="66" t="s">
        <v>4285</v>
      </c>
      <c r="B289" s="66" t="s">
        <v>5014</v>
      </c>
      <c r="C289" s="67"/>
      <c r="D289" s="68"/>
      <c r="E289" s="69"/>
      <c r="F289" s="70"/>
      <c r="G289" s="67"/>
      <c r="H289" s="71"/>
      <c r="I289" s="72"/>
      <c r="J289" s="72"/>
      <c r="K289" s="36"/>
      <c r="L289" s="79"/>
      <c r="M289" s="79"/>
      <c r="N289" s="74"/>
      <c r="O289" s="81" t="s">
        <v>694</v>
      </c>
      <c r="P289" s="83">
        <v>44461.074976851851</v>
      </c>
      <c r="Q289" s="81" t="s">
        <v>5317</v>
      </c>
      <c r="R289" s="84" t="str">
        <f>HYPERLINK("https://www.gov.br/anvisa/pt-br/assuntos/fiscalizacao-e-monitoramento/notificacoes/vigimed/medicamentos-e-vacinas")</f>
        <v>https://www.gov.br/anvisa/pt-br/assuntos/fiscalizacao-e-monitoramento/notificacoes/vigimed/medicamentos-e-vacinas</v>
      </c>
      <c r="S289" s="81" t="s">
        <v>5686</v>
      </c>
      <c r="T289" s="81"/>
      <c r="U289" s="81"/>
      <c r="V289" s="84" t="str">
        <f>HYPERLINK("https://pbs.twimg.com/profile_images/1275127022692556800/_0j7Eb9m_normal.jpg")</f>
        <v>https://pbs.twimg.com/profile_images/1275127022692556800/_0j7Eb9m_normal.jpg</v>
      </c>
      <c r="W289" s="83">
        <v>44461.074976851851</v>
      </c>
      <c r="X289" s="89">
        <v>44461</v>
      </c>
      <c r="Y289" s="86" t="s">
        <v>5910</v>
      </c>
      <c r="Z289" s="84" t="str">
        <f>HYPERLINK("https://twitter.com/thatyzzsp/status/1440493041203118081")</f>
        <v>https://twitter.com/thatyzzsp/status/1440493041203118081</v>
      </c>
      <c r="AA289" s="81"/>
      <c r="AB289" s="81"/>
      <c r="AC289" s="86" t="s">
        <v>6811</v>
      </c>
      <c r="AD289" s="81"/>
      <c r="AE289" s="81" t="b">
        <v>0</v>
      </c>
      <c r="AF289" s="81">
        <v>0</v>
      </c>
      <c r="AG289" s="86" t="s">
        <v>2084</v>
      </c>
      <c r="AH289" s="81" t="b">
        <v>0</v>
      </c>
      <c r="AI289" s="81" t="s">
        <v>2171</v>
      </c>
      <c r="AJ289" s="81"/>
      <c r="AK289" s="86" t="s">
        <v>2084</v>
      </c>
      <c r="AL289" s="81" t="b">
        <v>0</v>
      </c>
      <c r="AM289" s="81">
        <v>4</v>
      </c>
      <c r="AN289" s="86" t="s">
        <v>6810</v>
      </c>
      <c r="AO289" s="86" t="s">
        <v>2178</v>
      </c>
      <c r="AP289" s="81" t="b">
        <v>0</v>
      </c>
      <c r="AQ289" s="86" t="s">
        <v>6810</v>
      </c>
      <c r="AR289" s="81" t="s">
        <v>179</v>
      </c>
      <c r="AS289" s="81">
        <v>0</v>
      </c>
      <c r="AT289" s="81">
        <v>0</v>
      </c>
      <c r="AU289" s="81"/>
      <c r="AV289" s="81"/>
      <c r="AW289" s="81"/>
      <c r="AX289" s="81"/>
      <c r="AY289" s="81"/>
      <c r="AZ289" s="81"/>
      <c r="BA289" s="81"/>
      <c r="BB289" s="81"/>
    </row>
    <row r="290" spans="1:54" x14ac:dyDescent="0.35">
      <c r="A290" s="66" t="s">
        <v>4275</v>
      </c>
      <c r="B290" s="66" t="s">
        <v>5015</v>
      </c>
      <c r="C290" s="67"/>
      <c r="D290" s="68"/>
      <c r="E290" s="69"/>
      <c r="F290" s="70"/>
      <c r="G290" s="67"/>
      <c r="H290" s="71"/>
      <c r="I290" s="72"/>
      <c r="J290" s="72"/>
      <c r="K290" s="36"/>
      <c r="L290" s="79"/>
      <c r="M290" s="79"/>
      <c r="N290" s="74"/>
      <c r="O290" s="81" t="s">
        <v>695</v>
      </c>
      <c r="P290" s="83">
        <v>44460.871180555558</v>
      </c>
      <c r="Q290" s="81" t="s">
        <v>5317</v>
      </c>
      <c r="R290" s="84" t="str">
        <f>HYPERLINK("https://www.gov.br/anvisa/pt-br/assuntos/fiscalizacao-e-monitoramento/notificacoes/vigimed/medicamentos-e-vacinas")</f>
        <v>https://www.gov.br/anvisa/pt-br/assuntos/fiscalizacao-e-monitoramento/notificacoes/vigimed/medicamentos-e-vacinas</v>
      </c>
      <c r="S290" s="81" t="s">
        <v>5686</v>
      </c>
      <c r="T290" s="81"/>
      <c r="U290" s="81"/>
      <c r="V290" s="84" t="str">
        <f>HYPERLINK("https://pbs.twimg.com/profile_images/1365822640854818825/se0hzumt_normal.jpg")</f>
        <v>https://pbs.twimg.com/profile_images/1365822640854818825/se0hzumt_normal.jpg</v>
      </c>
      <c r="W290" s="83">
        <v>44460.871180555558</v>
      </c>
      <c r="X290" s="89">
        <v>44460</v>
      </c>
      <c r="Y290" s="86" t="s">
        <v>5909</v>
      </c>
      <c r="Z290" s="84" t="str">
        <f>HYPERLINK("https://twitter.com/mab2828/status/1440419187562663939")</f>
        <v>https://twitter.com/mab2828/status/1440419187562663939</v>
      </c>
      <c r="AA290" s="81"/>
      <c r="AB290" s="81"/>
      <c r="AC290" s="86" t="s">
        <v>6810</v>
      </c>
      <c r="AD290" s="86" t="s">
        <v>7638</v>
      </c>
      <c r="AE290" s="81" t="b">
        <v>0</v>
      </c>
      <c r="AF290" s="81">
        <v>12</v>
      </c>
      <c r="AG290" s="86" t="s">
        <v>7817</v>
      </c>
      <c r="AH290" s="81" t="b">
        <v>0</v>
      </c>
      <c r="AI290" s="81" t="s">
        <v>2171</v>
      </c>
      <c r="AJ290" s="81"/>
      <c r="AK290" s="86" t="s">
        <v>2084</v>
      </c>
      <c r="AL290" s="81" t="b">
        <v>0</v>
      </c>
      <c r="AM290" s="81">
        <v>4</v>
      </c>
      <c r="AN290" s="86" t="s">
        <v>2084</v>
      </c>
      <c r="AO290" s="86" t="s">
        <v>2179</v>
      </c>
      <c r="AP290" s="81" t="b">
        <v>0</v>
      </c>
      <c r="AQ290" s="86" t="s">
        <v>7638</v>
      </c>
      <c r="AR290" s="81" t="s">
        <v>179</v>
      </c>
      <c r="AS290" s="81">
        <v>0</v>
      </c>
      <c r="AT290" s="81">
        <v>0</v>
      </c>
      <c r="AU290" s="81"/>
      <c r="AV290" s="81"/>
      <c r="AW290" s="81"/>
      <c r="AX290" s="81"/>
      <c r="AY290" s="81"/>
      <c r="AZ290" s="81"/>
      <c r="BA290" s="81"/>
      <c r="BB290" s="81"/>
    </row>
    <row r="291" spans="1:54" x14ac:dyDescent="0.35">
      <c r="A291" s="66" t="s">
        <v>4285</v>
      </c>
      <c r="B291" s="66" t="s">
        <v>4275</v>
      </c>
      <c r="C291" s="67"/>
      <c r="D291" s="68"/>
      <c r="E291" s="69"/>
      <c r="F291" s="70"/>
      <c r="G291" s="67"/>
      <c r="H291" s="71"/>
      <c r="I291" s="72"/>
      <c r="J291" s="72"/>
      <c r="K291" s="36"/>
      <c r="L291" s="79"/>
      <c r="M291" s="79"/>
      <c r="N291" s="74"/>
      <c r="O291" s="81" t="s">
        <v>693</v>
      </c>
      <c r="P291" s="83">
        <v>44461.074976851851</v>
      </c>
      <c r="Q291" s="81" t="s">
        <v>5317</v>
      </c>
      <c r="R291" s="84" t="str">
        <f>HYPERLINK("https://www.gov.br/anvisa/pt-br/assuntos/fiscalizacao-e-monitoramento/notificacoes/vigimed/medicamentos-e-vacinas")</f>
        <v>https://www.gov.br/anvisa/pt-br/assuntos/fiscalizacao-e-monitoramento/notificacoes/vigimed/medicamentos-e-vacinas</v>
      </c>
      <c r="S291" s="81" t="s">
        <v>5686</v>
      </c>
      <c r="T291" s="81"/>
      <c r="U291" s="81"/>
      <c r="V291" s="84" t="str">
        <f>HYPERLINK("https://pbs.twimg.com/profile_images/1275127022692556800/_0j7Eb9m_normal.jpg")</f>
        <v>https://pbs.twimg.com/profile_images/1275127022692556800/_0j7Eb9m_normal.jpg</v>
      </c>
      <c r="W291" s="83">
        <v>44461.074976851851</v>
      </c>
      <c r="X291" s="89">
        <v>44461</v>
      </c>
      <c r="Y291" s="86" t="s">
        <v>5910</v>
      </c>
      <c r="Z291" s="84" t="str">
        <f>HYPERLINK("https://twitter.com/thatyzzsp/status/1440493041203118081")</f>
        <v>https://twitter.com/thatyzzsp/status/1440493041203118081</v>
      </c>
      <c r="AA291" s="81"/>
      <c r="AB291" s="81"/>
      <c r="AC291" s="86" t="s">
        <v>6811</v>
      </c>
      <c r="AD291" s="81"/>
      <c r="AE291" s="81" t="b">
        <v>0</v>
      </c>
      <c r="AF291" s="81">
        <v>0</v>
      </c>
      <c r="AG291" s="86" t="s">
        <v>2084</v>
      </c>
      <c r="AH291" s="81" t="b">
        <v>0</v>
      </c>
      <c r="AI291" s="81" t="s">
        <v>2171</v>
      </c>
      <c r="AJ291" s="81"/>
      <c r="AK291" s="86" t="s">
        <v>2084</v>
      </c>
      <c r="AL291" s="81" t="b">
        <v>0</v>
      </c>
      <c r="AM291" s="81">
        <v>4</v>
      </c>
      <c r="AN291" s="86" t="s">
        <v>6810</v>
      </c>
      <c r="AO291" s="86" t="s">
        <v>2178</v>
      </c>
      <c r="AP291" s="81" t="b">
        <v>0</v>
      </c>
      <c r="AQ291" s="86" t="s">
        <v>6810</v>
      </c>
      <c r="AR291" s="81" t="s">
        <v>179</v>
      </c>
      <c r="AS291" s="81">
        <v>0</v>
      </c>
      <c r="AT291" s="81">
        <v>0</v>
      </c>
      <c r="AU291" s="81"/>
      <c r="AV291" s="81"/>
      <c r="AW291" s="81"/>
      <c r="AX291" s="81"/>
      <c r="AY291" s="81"/>
      <c r="AZ291" s="81"/>
      <c r="BA291" s="81"/>
      <c r="BB291" s="81"/>
    </row>
    <row r="292" spans="1:54" x14ac:dyDescent="0.35">
      <c r="A292" s="66" t="s">
        <v>4285</v>
      </c>
      <c r="B292" s="66" t="s">
        <v>5015</v>
      </c>
      <c r="C292" s="67"/>
      <c r="D292" s="68"/>
      <c r="E292" s="69"/>
      <c r="F292" s="70"/>
      <c r="G292" s="67"/>
      <c r="H292" s="71"/>
      <c r="I292" s="72"/>
      <c r="J292" s="72"/>
      <c r="K292" s="36"/>
      <c r="L292" s="79"/>
      <c r="M292" s="79"/>
      <c r="N292" s="74"/>
      <c r="O292" s="81" t="s">
        <v>695</v>
      </c>
      <c r="P292" s="83">
        <v>44461.074976851851</v>
      </c>
      <c r="Q292" s="81" t="s">
        <v>5317</v>
      </c>
      <c r="R292" s="84" t="str">
        <f>HYPERLINK("https://www.gov.br/anvisa/pt-br/assuntos/fiscalizacao-e-monitoramento/notificacoes/vigimed/medicamentos-e-vacinas")</f>
        <v>https://www.gov.br/anvisa/pt-br/assuntos/fiscalizacao-e-monitoramento/notificacoes/vigimed/medicamentos-e-vacinas</v>
      </c>
      <c r="S292" s="81" t="s">
        <v>5686</v>
      </c>
      <c r="T292" s="81"/>
      <c r="U292" s="81"/>
      <c r="V292" s="84" t="str">
        <f>HYPERLINK("https://pbs.twimg.com/profile_images/1275127022692556800/_0j7Eb9m_normal.jpg")</f>
        <v>https://pbs.twimg.com/profile_images/1275127022692556800/_0j7Eb9m_normal.jpg</v>
      </c>
      <c r="W292" s="83">
        <v>44461.074976851851</v>
      </c>
      <c r="X292" s="89">
        <v>44461</v>
      </c>
      <c r="Y292" s="86" t="s">
        <v>5910</v>
      </c>
      <c r="Z292" s="84" t="str">
        <f>HYPERLINK("https://twitter.com/thatyzzsp/status/1440493041203118081")</f>
        <v>https://twitter.com/thatyzzsp/status/1440493041203118081</v>
      </c>
      <c r="AA292" s="81"/>
      <c r="AB292" s="81"/>
      <c r="AC292" s="86" t="s">
        <v>6811</v>
      </c>
      <c r="AD292" s="81"/>
      <c r="AE292" s="81" t="b">
        <v>0</v>
      </c>
      <c r="AF292" s="81">
        <v>0</v>
      </c>
      <c r="AG292" s="86" t="s">
        <v>2084</v>
      </c>
      <c r="AH292" s="81" t="b">
        <v>0</v>
      </c>
      <c r="AI292" s="81" t="s">
        <v>2171</v>
      </c>
      <c r="AJ292" s="81"/>
      <c r="AK292" s="86" t="s">
        <v>2084</v>
      </c>
      <c r="AL292" s="81" t="b">
        <v>0</v>
      </c>
      <c r="AM292" s="81">
        <v>4</v>
      </c>
      <c r="AN292" s="86" t="s">
        <v>6810</v>
      </c>
      <c r="AO292" s="86" t="s">
        <v>2178</v>
      </c>
      <c r="AP292" s="81" t="b">
        <v>0</v>
      </c>
      <c r="AQ292" s="86" t="s">
        <v>6810</v>
      </c>
      <c r="AR292" s="81" t="s">
        <v>179</v>
      </c>
      <c r="AS292" s="81">
        <v>0</v>
      </c>
      <c r="AT292" s="81">
        <v>0</v>
      </c>
      <c r="AU292" s="81"/>
      <c r="AV292" s="81"/>
      <c r="AW292" s="81"/>
      <c r="AX292" s="81"/>
      <c r="AY292" s="81"/>
      <c r="AZ292" s="81"/>
      <c r="BA292" s="81"/>
      <c r="BB292" s="81"/>
    </row>
    <row r="293" spans="1:54" x14ac:dyDescent="0.35">
      <c r="A293" s="66" t="s">
        <v>289</v>
      </c>
      <c r="B293" s="66" t="s">
        <v>289</v>
      </c>
      <c r="C293" s="67"/>
      <c r="D293" s="68"/>
      <c r="E293" s="69"/>
      <c r="F293" s="70"/>
      <c r="G293" s="67"/>
      <c r="H293" s="71"/>
      <c r="I293" s="72"/>
      <c r="J293" s="72"/>
      <c r="K293" s="36"/>
      <c r="L293" s="79"/>
      <c r="M293" s="79"/>
      <c r="N293" s="74"/>
      <c r="O293" s="81" t="s">
        <v>179</v>
      </c>
      <c r="P293" s="83">
        <v>44461.0778587963</v>
      </c>
      <c r="Q293" s="81" t="s">
        <v>737</v>
      </c>
      <c r="R293" s="81"/>
      <c r="S293" s="81"/>
      <c r="T293" s="81"/>
      <c r="U293" s="84" t="str">
        <f>HYPERLINK("https://pbs.twimg.com/media/E_2pKhvVQAAwIYD.jpg")</f>
        <v>https://pbs.twimg.com/media/E_2pKhvVQAAwIYD.jpg</v>
      </c>
      <c r="V293" s="84" t="str">
        <f>HYPERLINK("https://pbs.twimg.com/media/E_2pKhvVQAAwIYD.jpg")</f>
        <v>https://pbs.twimg.com/media/E_2pKhvVQAAwIYD.jpg</v>
      </c>
      <c r="W293" s="83">
        <v>44461.0778587963</v>
      </c>
      <c r="X293" s="89">
        <v>44461</v>
      </c>
      <c r="Y293" s="86" t="s">
        <v>1091</v>
      </c>
      <c r="Z293" s="84" t="str">
        <f>HYPERLINK("https://twitter.com/bcbanjarmasin_/status/1440494083084939264")</f>
        <v>https://twitter.com/bcbanjarmasin_/status/1440494083084939264</v>
      </c>
      <c r="AA293" s="81"/>
      <c r="AB293" s="81"/>
      <c r="AC293" s="86" t="s">
        <v>1589</v>
      </c>
      <c r="AD293" s="81"/>
      <c r="AE293" s="81" t="b">
        <v>0</v>
      </c>
      <c r="AF293" s="81">
        <v>1</v>
      </c>
      <c r="AG293" s="86" t="s">
        <v>2084</v>
      </c>
      <c r="AH293" s="81" t="b">
        <v>0</v>
      </c>
      <c r="AI293" s="81" t="s">
        <v>2167</v>
      </c>
      <c r="AJ293" s="81"/>
      <c r="AK293" s="86" t="s">
        <v>2084</v>
      </c>
      <c r="AL293" s="81" t="b">
        <v>0</v>
      </c>
      <c r="AM293" s="81">
        <v>0</v>
      </c>
      <c r="AN293" s="86" t="s">
        <v>2084</v>
      </c>
      <c r="AO293" s="86" t="s">
        <v>2181</v>
      </c>
      <c r="AP293" s="81" t="b">
        <v>0</v>
      </c>
      <c r="AQ293" s="86" t="s">
        <v>1589</v>
      </c>
      <c r="AR293" s="81" t="s">
        <v>179</v>
      </c>
      <c r="AS293" s="81">
        <v>0</v>
      </c>
      <c r="AT293" s="81">
        <v>0</v>
      </c>
      <c r="AU293" s="81"/>
      <c r="AV293" s="81"/>
      <c r="AW293" s="81"/>
      <c r="AX293" s="81"/>
      <c r="AY293" s="81"/>
      <c r="AZ293" s="81"/>
      <c r="BA293" s="81"/>
      <c r="BB293" s="81"/>
    </row>
    <row r="294" spans="1:54" x14ac:dyDescent="0.35">
      <c r="A294" s="66" t="s">
        <v>4286</v>
      </c>
      <c r="B294" s="66" t="s">
        <v>4286</v>
      </c>
      <c r="C294" s="67"/>
      <c r="D294" s="68"/>
      <c r="E294" s="69"/>
      <c r="F294" s="70"/>
      <c r="G294" s="67"/>
      <c r="H294" s="71"/>
      <c r="I294" s="72"/>
      <c r="J294" s="72"/>
      <c r="K294" s="36"/>
      <c r="L294" s="79"/>
      <c r="M294" s="79"/>
      <c r="N294" s="74"/>
      <c r="O294" s="81" t="s">
        <v>179</v>
      </c>
      <c r="P294" s="83">
        <v>44461.082905092589</v>
      </c>
      <c r="Q294" s="81" t="s">
        <v>5325</v>
      </c>
      <c r="R294" s="81"/>
      <c r="S294" s="81"/>
      <c r="T294" s="81"/>
      <c r="U294" s="84" t="str">
        <f>HYPERLINK("https://pbs.twimg.com/ext_tw_video_thumb/1440495311558832130/pu/img/8i0fpC4jhGDTdusf.jpg")</f>
        <v>https://pbs.twimg.com/ext_tw_video_thumb/1440495311558832130/pu/img/8i0fpC4jhGDTdusf.jpg</v>
      </c>
      <c r="V294" s="84" t="str">
        <f>HYPERLINK("https://pbs.twimg.com/ext_tw_video_thumb/1440495311558832130/pu/img/8i0fpC4jhGDTdusf.jpg")</f>
        <v>https://pbs.twimg.com/ext_tw_video_thumb/1440495311558832130/pu/img/8i0fpC4jhGDTdusf.jpg</v>
      </c>
      <c r="W294" s="83">
        <v>44461.082905092589</v>
      </c>
      <c r="X294" s="89">
        <v>44461</v>
      </c>
      <c r="Y294" s="86" t="s">
        <v>5912</v>
      </c>
      <c r="Z294" s="84" t="str">
        <f>HYPERLINK("https://twitter.com/stevensonsoare4/status/1440495914087378946")</f>
        <v>https://twitter.com/stevensonsoare4/status/1440495914087378946</v>
      </c>
      <c r="AA294" s="81"/>
      <c r="AB294" s="81"/>
      <c r="AC294" s="86" t="s">
        <v>6813</v>
      </c>
      <c r="AD294" s="81"/>
      <c r="AE294" s="81" t="b">
        <v>0</v>
      </c>
      <c r="AF294" s="81">
        <v>0</v>
      </c>
      <c r="AG294" s="86" t="s">
        <v>2084</v>
      </c>
      <c r="AH294" s="81" t="b">
        <v>0</v>
      </c>
      <c r="AI294" s="81" t="s">
        <v>2171</v>
      </c>
      <c r="AJ294" s="81"/>
      <c r="AK294" s="86" t="s">
        <v>2084</v>
      </c>
      <c r="AL294" s="81" t="b">
        <v>0</v>
      </c>
      <c r="AM294" s="81">
        <v>0</v>
      </c>
      <c r="AN294" s="86" t="s">
        <v>2084</v>
      </c>
      <c r="AO294" s="86" t="s">
        <v>2178</v>
      </c>
      <c r="AP294" s="81" t="b">
        <v>0</v>
      </c>
      <c r="AQ294" s="86" t="s">
        <v>6813</v>
      </c>
      <c r="AR294" s="81" t="s">
        <v>179</v>
      </c>
      <c r="AS294" s="81">
        <v>0</v>
      </c>
      <c r="AT294" s="81">
        <v>0</v>
      </c>
      <c r="AU294" s="81"/>
      <c r="AV294" s="81"/>
      <c r="AW294" s="81"/>
      <c r="AX294" s="81"/>
      <c r="AY294" s="81"/>
      <c r="AZ294" s="81"/>
      <c r="BA294" s="81"/>
      <c r="BB294" s="81"/>
    </row>
    <row r="295" spans="1:54" x14ac:dyDescent="0.35">
      <c r="A295" s="66" t="s">
        <v>4287</v>
      </c>
      <c r="B295" s="66" t="s">
        <v>4287</v>
      </c>
      <c r="C295" s="67"/>
      <c r="D295" s="68"/>
      <c r="E295" s="69"/>
      <c r="F295" s="70"/>
      <c r="G295" s="67"/>
      <c r="H295" s="71"/>
      <c r="I295" s="72"/>
      <c r="J295" s="72"/>
      <c r="K295" s="36"/>
      <c r="L295" s="79"/>
      <c r="M295" s="79"/>
      <c r="N295" s="74"/>
      <c r="O295" s="81" t="s">
        <v>179</v>
      </c>
      <c r="P295" s="83">
        <v>44461.107499999998</v>
      </c>
      <c r="Q295" s="81" t="s">
        <v>5326</v>
      </c>
      <c r="R295" s="84" t="str">
        <f>HYPERLINK("https://twitter.com/gato_tabaco/status/1440501456323309576")</f>
        <v>https://twitter.com/gato_tabaco/status/1440501456323309576</v>
      </c>
      <c r="S295" s="81" t="s">
        <v>936</v>
      </c>
      <c r="T295" s="81"/>
      <c r="U295" s="81"/>
      <c r="V295" s="84" t="str">
        <f>HYPERLINK("https://pbs.twimg.com/profile_images/1423886776364670978/DbkVyF0Z_normal.jpg")</f>
        <v>https://pbs.twimg.com/profile_images/1423886776364670978/DbkVyF0Z_normal.jpg</v>
      </c>
      <c r="W295" s="83">
        <v>44461.107499999998</v>
      </c>
      <c r="X295" s="89">
        <v>44461</v>
      </c>
      <c r="Y295" s="86" t="s">
        <v>5913</v>
      </c>
      <c r="Z295" s="84" t="str">
        <f>HYPERLINK("https://twitter.com/cpx_sla/status/1440504825641254915")</f>
        <v>https://twitter.com/cpx_sla/status/1440504825641254915</v>
      </c>
      <c r="AA295" s="81"/>
      <c r="AB295" s="81"/>
      <c r="AC295" s="86" t="s">
        <v>6814</v>
      </c>
      <c r="AD295" s="81"/>
      <c r="AE295" s="81" t="b">
        <v>0</v>
      </c>
      <c r="AF295" s="81">
        <v>0</v>
      </c>
      <c r="AG295" s="86" t="s">
        <v>2084</v>
      </c>
      <c r="AH295" s="81" t="b">
        <v>1</v>
      </c>
      <c r="AI295" s="81" t="s">
        <v>2171</v>
      </c>
      <c r="AJ295" s="81"/>
      <c r="AK295" s="86" t="s">
        <v>7963</v>
      </c>
      <c r="AL295" s="81" t="b">
        <v>0</v>
      </c>
      <c r="AM295" s="81">
        <v>0</v>
      </c>
      <c r="AN295" s="86" t="s">
        <v>2084</v>
      </c>
      <c r="AO295" s="86" t="s">
        <v>2178</v>
      </c>
      <c r="AP295" s="81" t="b">
        <v>0</v>
      </c>
      <c r="AQ295" s="86" t="s">
        <v>6814</v>
      </c>
      <c r="AR295" s="81" t="s">
        <v>179</v>
      </c>
      <c r="AS295" s="81">
        <v>0</v>
      </c>
      <c r="AT295" s="81">
        <v>0</v>
      </c>
      <c r="AU295" s="81"/>
      <c r="AV295" s="81"/>
      <c r="AW295" s="81"/>
      <c r="AX295" s="81"/>
      <c r="AY295" s="81"/>
      <c r="AZ295" s="81"/>
      <c r="BA295" s="81"/>
      <c r="BB295" s="81"/>
    </row>
    <row r="296" spans="1:54" x14ac:dyDescent="0.35">
      <c r="A296" s="66" t="s">
        <v>4288</v>
      </c>
      <c r="B296" s="66" t="s">
        <v>5017</v>
      </c>
      <c r="C296" s="67"/>
      <c r="D296" s="68"/>
      <c r="E296" s="69"/>
      <c r="F296" s="70"/>
      <c r="G296" s="67"/>
      <c r="H296" s="71"/>
      <c r="I296" s="72"/>
      <c r="J296" s="72"/>
      <c r="K296" s="36"/>
      <c r="L296" s="79"/>
      <c r="M296" s="79"/>
      <c r="N296" s="74"/>
      <c r="O296" s="81" t="s">
        <v>696</v>
      </c>
      <c r="P296" s="83">
        <v>44461.12060185185</v>
      </c>
      <c r="Q296" s="81" t="s">
        <v>5327</v>
      </c>
      <c r="R296" s="81"/>
      <c r="S296" s="81"/>
      <c r="T296" s="81"/>
      <c r="U296" s="81"/>
      <c r="V296" s="84" t="str">
        <f>HYPERLINK("https://abs.twimg.com/sticky/default_profile_images/default_profile_normal.png")</f>
        <v>https://abs.twimg.com/sticky/default_profile_images/default_profile_normal.png</v>
      </c>
      <c r="W296" s="83">
        <v>44461.12060185185</v>
      </c>
      <c r="X296" s="89">
        <v>44461</v>
      </c>
      <c r="Y296" s="86" t="s">
        <v>5914</v>
      </c>
      <c r="Z296" s="84" t="str">
        <f>HYPERLINK("https://twitter.com/perrorex2/status/1440509574952341506")</f>
        <v>https://twitter.com/perrorex2/status/1440509574952341506</v>
      </c>
      <c r="AA296" s="81"/>
      <c r="AB296" s="81"/>
      <c r="AC296" s="86" t="s">
        <v>6815</v>
      </c>
      <c r="AD296" s="86" t="s">
        <v>7640</v>
      </c>
      <c r="AE296" s="81" t="b">
        <v>0</v>
      </c>
      <c r="AF296" s="81">
        <v>0</v>
      </c>
      <c r="AG296" s="86" t="s">
        <v>7819</v>
      </c>
      <c r="AH296" s="81" t="b">
        <v>0</v>
      </c>
      <c r="AI296" s="81" t="s">
        <v>2172</v>
      </c>
      <c r="AJ296" s="81"/>
      <c r="AK296" s="86" t="s">
        <v>2084</v>
      </c>
      <c r="AL296" s="81" t="b">
        <v>0</v>
      </c>
      <c r="AM296" s="81">
        <v>0</v>
      </c>
      <c r="AN296" s="86" t="s">
        <v>2084</v>
      </c>
      <c r="AO296" s="86" t="s">
        <v>2178</v>
      </c>
      <c r="AP296" s="81" t="b">
        <v>0</v>
      </c>
      <c r="AQ296" s="86" t="s">
        <v>7640</v>
      </c>
      <c r="AR296" s="81" t="s">
        <v>179</v>
      </c>
      <c r="AS296" s="81">
        <v>0</v>
      </c>
      <c r="AT296" s="81">
        <v>0</v>
      </c>
      <c r="AU296" s="81"/>
      <c r="AV296" s="81"/>
      <c r="AW296" s="81"/>
      <c r="AX296" s="81"/>
      <c r="AY296" s="81"/>
      <c r="AZ296" s="81"/>
      <c r="BA296" s="81"/>
      <c r="BB296" s="81"/>
    </row>
    <row r="297" spans="1:54" x14ac:dyDescent="0.35">
      <c r="A297" s="66" t="s">
        <v>4288</v>
      </c>
      <c r="B297" s="66" t="s">
        <v>5018</v>
      </c>
      <c r="C297" s="67"/>
      <c r="D297" s="68"/>
      <c r="E297" s="69"/>
      <c r="F297" s="70"/>
      <c r="G297" s="67"/>
      <c r="H297" s="71"/>
      <c r="I297" s="72"/>
      <c r="J297" s="72"/>
      <c r="K297" s="36"/>
      <c r="L297" s="79"/>
      <c r="M297" s="79"/>
      <c r="N297" s="74"/>
      <c r="O297" s="81" t="s">
        <v>696</v>
      </c>
      <c r="P297" s="83">
        <v>44461.12060185185</v>
      </c>
      <c r="Q297" s="81" t="s">
        <v>5327</v>
      </c>
      <c r="R297" s="81"/>
      <c r="S297" s="81"/>
      <c r="T297" s="81"/>
      <c r="U297" s="81"/>
      <c r="V297" s="84" t="str">
        <f>HYPERLINK("https://abs.twimg.com/sticky/default_profile_images/default_profile_normal.png")</f>
        <v>https://abs.twimg.com/sticky/default_profile_images/default_profile_normal.png</v>
      </c>
      <c r="W297" s="83">
        <v>44461.12060185185</v>
      </c>
      <c r="X297" s="89">
        <v>44461</v>
      </c>
      <c r="Y297" s="86" t="s">
        <v>5914</v>
      </c>
      <c r="Z297" s="84" t="str">
        <f>HYPERLINK("https://twitter.com/perrorex2/status/1440509574952341506")</f>
        <v>https://twitter.com/perrorex2/status/1440509574952341506</v>
      </c>
      <c r="AA297" s="81"/>
      <c r="AB297" s="81"/>
      <c r="AC297" s="86" t="s">
        <v>6815</v>
      </c>
      <c r="AD297" s="86" t="s">
        <v>7640</v>
      </c>
      <c r="AE297" s="81" t="b">
        <v>0</v>
      </c>
      <c r="AF297" s="81">
        <v>0</v>
      </c>
      <c r="AG297" s="86" t="s">
        <v>7819</v>
      </c>
      <c r="AH297" s="81" t="b">
        <v>0</v>
      </c>
      <c r="AI297" s="81" t="s">
        <v>2172</v>
      </c>
      <c r="AJ297" s="81"/>
      <c r="AK297" s="86" t="s">
        <v>2084</v>
      </c>
      <c r="AL297" s="81" t="b">
        <v>0</v>
      </c>
      <c r="AM297" s="81">
        <v>0</v>
      </c>
      <c r="AN297" s="86" t="s">
        <v>2084</v>
      </c>
      <c r="AO297" s="86" t="s">
        <v>2178</v>
      </c>
      <c r="AP297" s="81" t="b">
        <v>0</v>
      </c>
      <c r="AQ297" s="86" t="s">
        <v>7640</v>
      </c>
      <c r="AR297" s="81" t="s">
        <v>179</v>
      </c>
      <c r="AS297" s="81">
        <v>0</v>
      </c>
      <c r="AT297" s="81">
        <v>0</v>
      </c>
      <c r="AU297" s="81"/>
      <c r="AV297" s="81"/>
      <c r="AW297" s="81"/>
      <c r="AX297" s="81"/>
      <c r="AY297" s="81"/>
      <c r="AZ297" s="81"/>
      <c r="BA297" s="81"/>
      <c r="BB297" s="81"/>
    </row>
    <row r="298" spans="1:54" x14ac:dyDescent="0.35">
      <c r="A298" s="66" t="s">
        <v>4288</v>
      </c>
      <c r="B298" s="66" t="s">
        <v>5019</v>
      </c>
      <c r="C298" s="67"/>
      <c r="D298" s="68"/>
      <c r="E298" s="69"/>
      <c r="F298" s="70"/>
      <c r="G298" s="67"/>
      <c r="H298" s="71"/>
      <c r="I298" s="72"/>
      <c r="J298" s="72"/>
      <c r="K298" s="36"/>
      <c r="L298" s="79"/>
      <c r="M298" s="79"/>
      <c r="N298" s="74"/>
      <c r="O298" s="81" t="s">
        <v>695</v>
      </c>
      <c r="P298" s="83">
        <v>44461.12060185185</v>
      </c>
      <c r="Q298" s="81" t="s">
        <v>5327</v>
      </c>
      <c r="R298" s="81"/>
      <c r="S298" s="81"/>
      <c r="T298" s="81"/>
      <c r="U298" s="81"/>
      <c r="V298" s="84" t="str">
        <f>HYPERLINK("https://abs.twimg.com/sticky/default_profile_images/default_profile_normal.png")</f>
        <v>https://abs.twimg.com/sticky/default_profile_images/default_profile_normal.png</v>
      </c>
      <c r="W298" s="83">
        <v>44461.12060185185</v>
      </c>
      <c r="X298" s="89">
        <v>44461</v>
      </c>
      <c r="Y298" s="86" t="s">
        <v>5914</v>
      </c>
      <c r="Z298" s="84" t="str">
        <f>HYPERLINK("https://twitter.com/perrorex2/status/1440509574952341506")</f>
        <v>https://twitter.com/perrorex2/status/1440509574952341506</v>
      </c>
      <c r="AA298" s="81"/>
      <c r="AB298" s="81"/>
      <c r="AC298" s="86" t="s">
        <v>6815</v>
      </c>
      <c r="AD298" s="86" t="s">
        <v>7640</v>
      </c>
      <c r="AE298" s="81" t="b">
        <v>0</v>
      </c>
      <c r="AF298" s="81">
        <v>0</v>
      </c>
      <c r="AG298" s="86" t="s">
        <v>7819</v>
      </c>
      <c r="AH298" s="81" t="b">
        <v>0</v>
      </c>
      <c r="AI298" s="81" t="s">
        <v>2172</v>
      </c>
      <c r="AJ298" s="81"/>
      <c r="AK298" s="86" t="s">
        <v>2084</v>
      </c>
      <c r="AL298" s="81" t="b">
        <v>0</v>
      </c>
      <c r="AM298" s="81">
        <v>0</v>
      </c>
      <c r="AN298" s="86" t="s">
        <v>2084</v>
      </c>
      <c r="AO298" s="86" t="s">
        <v>2178</v>
      </c>
      <c r="AP298" s="81" t="b">
        <v>0</v>
      </c>
      <c r="AQ298" s="86" t="s">
        <v>7640</v>
      </c>
      <c r="AR298" s="81" t="s">
        <v>179</v>
      </c>
      <c r="AS298" s="81">
        <v>0</v>
      </c>
      <c r="AT298" s="81">
        <v>0</v>
      </c>
      <c r="AU298" s="81"/>
      <c r="AV298" s="81"/>
      <c r="AW298" s="81"/>
      <c r="AX298" s="81"/>
      <c r="AY298" s="81"/>
      <c r="AZ298" s="81"/>
      <c r="BA298" s="81"/>
      <c r="BB298" s="81"/>
    </row>
    <row r="299" spans="1:54" x14ac:dyDescent="0.35">
      <c r="A299" s="66" t="s">
        <v>290</v>
      </c>
      <c r="B299" s="66" t="s">
        <v>290</v>
      </c>
      <c r="C299" s="67"/>
      <c r="D299" s="68"/>
      <c r="E299" s="69"/>
      <c r="F299" s="70"/>
      <c r="G299" s="67"/>
      <c r="H299" s="71"/>
      <c r="I299" s="72"/>
      <c r="J299" s="72"/>
      <c r="K299" s="36"/>
      <c r="L299" s="79"/>
      <c r="M299" s="79"/>
      <c r="N299" s="74"/>
      <c r="O299" s="81" t="s">
        <v>179</v>
      </c>
      <c r="P299" s="83">
        <v>44461.122800925928</v>
      </c>
      <c r="Q299" s="81" t="s">
        <v>738</v>
      </c>
      <c r="R299" s="81"/>
      <c r="S299" s="81"/>
      <c r="T299" s="81"/>
      <c r="U299" s="81"/>
      <c r="V299" s="84" t="str">
        <f>HYPERLINK("https://pbs.twimg.com/profile_images/1398648102588801028/pv-PdBIf_normal.jpg")</f>
        <v>https://pbs.twimg.com/profile_images/1398648102588801028/pv-PdBIf_normal.jpg</v>
      </c>
      <c r="W299" s="83">
        <v>44461.122800925928</v>
      </c>
      <c r="X299" s="89">
        <v>44461</v>
      </c>
      <c r="Y299" s="86" t="s">
        <v>1092</v>
      </c>
      <c r="Z299" s="84" t="str">
        <f>HYPERLINK("https://twitter.com/marlyanamn/status/1440510372331487233")</f>
        <v>https://twitter.com/marlyanamn/status/1440510372331487233</v>
      </c>
      <c r="AA299" s="81"/>
      <c r="AB299" s="81"/>
      <c r="AC299" s="86" t="s">
        <v>1590</v>
      </c>
      <c r="AD299" s="86" t="s">
        <v>2026</v>
      </c>
      <c r="AE299" s="81" t="b">
        <v>0</v>
      </c>
      <c r="AF299" s="81">
        <v>0</v>
      </c>
      <c r="AG299" s="86" t="s">
        <v>2106</v>
      </c>
      <c r="AH299" s="81" t="b">
        <v>0</v>
      </c>
      <c r="AI299" s="81" t="s">
        <v>2167</v>
      </c>
      <c r="AJ299" s="81"/>
      <c r="AK299" s="86" t="s">
        <v>2084</v>
      </c>
      <c r="AL299" s="81" t="b">
        <v>0</v>
      </c>
      <c r="AM299" s="81">
        <v>0</v>
      </c>
      <c r="AN299" s="86" t="s">
        <v>2084</v>
      </c>
      <c r="AO299" s="86" t="s">
        <v>2179</v>
      </c>
      <c r="AP299" s="81" t="b">
        <v>0</v>
      </c>
      <c r="AQ299" s="86" t="s">
        <v>2026</v>
      </c>
      <c r="AR299" s="81" t="s">
        <v>179</v>
      </c>
      <c r="AS299" s="81">
        <v>0</v>
      </c>
      <c r="AT299" s="81">
        <v>0</v>
      </c>
      <c r="AU299" s="81"/>
      <c r="AV299" s="81"/>
      <c r="AW299" s="81"/>
      <c r="AX299" s="81"/>
      <c r="AY299" s="81"/>
      <c r="AZ299" s="81"/>
      <c r="BA299" s="81"/>
      <c r="BB299" s="81"/>
    </row>
    <row r="300" spans="1:54" x14ac:dyDescent="0.35">
      <c r="A300" s="66" t="s">
        <v>435</v>
      </c>
      <c r="B300" s="66" t="s">
        <v>435</v>
      </c>
      <c r="C300" s="67"/>
      <c r="D300" s="68"/>
      <c r="E300" s="69"/>
      <c r="F300" s="70"/>
      <c r="G300" s="67"/>
      <c r="H300" s="71"/>
      <c r="I300" s="72"/>
      <c r="J300" s="72"/>
      <c r="K300" s="36"/>
      <c r="L300" s="79"/>
      <c r="M300" s="79"/>
      <c r="N300" s="74"/>
      <c r="O300" s="81" t="s">
        <v>179</v>
      </c>
      <c r="P300" s="83">
        <v>44461.126087962963</v>
      </c>
      <c r="Q300" s="81" t="s">
        <v>5328</v>
      </c>
      <c r="R300" s="84" t="str">
        <f>HYPERLINK("https://kendaripos.co.id/2021/09/dprd-desak-aktivitas-pt-gms-dihentikan/")</f>
        <v>https://kendaripos.co.id/2021/09/dprd-desak-aktivitas-pt-gms-dihentikan/</v>
      </c>
      <c r="S300" s="81" t="s">
        <v>937</v>
      </c>
      <c r="T300" s="81"/>
      <c r="U300" s="81"/>
      <c r="V300" s="84" t="str">
        <f>HYPERLINK("https://pbs.twimg.com/profile_images/699968807624798210/e61p2OuF_normal.png")</f>
        <v>https://pbs.twimg.com/profile_images/699968807624798210/e61p2OuF_normal.png</v>
      </c>
      <c r="W300" s="83">
        <v>44461.126087962963</v>
      </c>
      <c r="X300" s="89">
        <v>44461</v>
      </c>
      <c r="Y300" s="86" t="s">
        <v>5915</v>
      </c>
      <c r="Z300" s="84" t="str">
        <f>HYPERLINK("https://twitter.com/kendari_pos/status/1440511560842047493")</f>
        <v>https://twitter.com/kendari_pos/status/1440511560842047493</v>
      </c>
      <c r="AA300" s="81"/>
      <c r="AB300" s="81"/>
      <c r="AC300" s="86" t="s">
        <v>6816</v>
      </c>
      <c r="AD300" s="81"/>
      <c r="AE300" s="81" t="b">
        <v>0</v>
      </c>
      <c r="AF300" s="81">
        <v>0</v>
      </c>
      <c r="AG300" s="86" t="s">
        <v>2084</v>
      </c>
      <c r="AH300" s="81" t="b">
        <v>0</v>
      </c>
      <c r="AI300" s="81" t="s">
        <v>2167</v>
      </c>
      <c r="AJ300" s="81"/>
      <c r="AK300" s="86" t="s">
        <v>2084</v>
      </c>
      <c r="AL300" s="81" t="b">
        <v>0</v>
      </c>
      <c r="AM300" s="81">
        <v>0</v>
      </c>
      <c r="AN300" s="86" t="s">
        <v>2084</v>
      </c>
      <c r="AO300" s="86" t="s">
        <v>2183</v>
      </c>
      <c r="AP300" s="81" t="b">
        <v>0</v>
      </c>
      <c r="AQ300" s="86" t="s">
        <v>6816</v>
      </c>
      <c r="AR300" s="81" t="s">
        <v>179</v>
      </c>
      <c r="AS300" s="81">
        <v>0</v>
      </c>
      <c r="AT300" s="81">
        <v>0</v>
      </c>
      <c r="AU300" s="81"/>
      <c r="AV300" s="81"/>
      <c r="AW300" s="81"/>
      <c r="AX300" s="81"/>
      <c r="AY300" s="81"/>
      <c r="AZ300" s="81"/>
      <c r="BA300" s="81"/>
      <c r="BB300" s="81"/>
    </row>
    <row r="301" spans="1:54" x14ac:dyDescent="0.35">
      <c r="A301" s="66" t="s">
        <v>4289</v>
      </c>
      <c r="B301" s="66" t="s">
        <v>5020</v>
      </c>
      <c r="C301" s="67"/>
      <c r="D301" s="68"/>
      <c r="E301" s="69"/>
      <c r="F301" s="70"/>
      <c r="G301" s="67"/>
      <c r="H301" s="71"/>
      <c r="I301" s="72"/>
      <c r="J301" s="72"/>
      <c r="K301" s="36"/>
      <c r="L301" s="79"/>
      <c r="M301" s="79"/>
      <c r="N301" s="74"/>
      <c r="O301" s="81" t="s">
        <v>696</v>
      </c>
      <c r="P301" s="83">
        <v>44461.134479166663</v>
      </c>
      <c r="Q301" s="81" t="s">
        <v>5329</v>
      </c>
      <c r="R301" s="84" t="str">
        <f>HYPERLINK("https://twitter.com/ib_ost/status/1440119631516082176")</f>
        <v>https://twitter.com/ib_ost/status/1440119631516082176</v>
      </c>
      <c r="S301" s="81" t="s">
        <v>936</v>
      </c>
      <c r="T301" s="81"/>
      <c r="U301" s="81"/>
      <c r="V301" s="84" t="str">
        <f>HYPERLINK("https://pbs.twimg.com/profile_images/1344166794949316608/meYOgdNJ_normal.jpg")</f>
        <v>https://pbs.twimg.com/profile_images/1344166794949316608/meYOgdNJ_normal.jpg</v>
      </c>
      <c r="W301" s="83">
        <v>44461.134479166663</v>
      </c>
      <c r="X301" s="89">
        <v>44461</v>
      </c>
      <c r="Y301" s="86" t="s">
        <v>1057</v>
      </c>
      <c r="Z301" s="84" t="str">
        <f>HYPERLINK("https://twitter.com/huwietan/status/1440514601326563334")</f>
        <v>https://twitter.com/huwietan/status/1440514601326563334</v>
      </c>
      <c r="AA301" s="81"/>
      <c r="AB301" s="81"/>
      <c r="AC301" s="86" t="s">
        <v>6817</v>
      </c>
      <c r="AD301" s="81"/>
      <c r="AE301" s="81" t="b">
        <v>0</v>
      </c>
      <c r="AF301" s="81">
        <v>0</v>
      </c>
      <c r="AG301" s="86" t="s">
        <v>2799</v>
      </c>
      <c r="AH301" s="81" t="b">
        <v>1</v>
      </c>
      <c r="AI301" s="81" t="s">
        <v>2167</v>
      </c>
      <c r="AJ301" s="81"/>
      <c r="AK301" s="86" t="s">
        <v>2017</v>
      </c>
      <c r="AL301" s="81" t="b">
        <v>0</v>
      </c>
      <c r="AM301" s="81">
        <v>0</v>
      </c>
      <c r="AN301" s="86" t="s">
        <v>2084</v>
      </c>
      <c r="AO301" s="86" t="s">
        <v>2178</v>
      </c>
      <c r="AP301" s="81" t="b">
        <v>0</v>
      </c>
      <c r="AQ301" s="86" t="s">
        <v>6817</v>
      </c>
      <c r="AR301" s="81" t="s">
        <v>179</v>
      </c>
      <c r="AS301" s="81">
        <v>0</v>
      </c>
      <c r="AT301" s="81">
        <v>0</v>
      </c>
      <c r="AU301" s="81" t="s">
        <v>7991</v>
      </c>
      <c r="AV301" s="81" t="s">
        <v>2202</v>
      </c>
      <c r="AW301" s="81" t="s">
        <v>12</v>
      </c>
      <c r="AX301" s="81" t="s">
        <v>3614</v>
      </c>
      <c r="AY301" s="91" t="s">
        <v>8009</v>
      </c>
      <c r="AZ301" s="81" t="s">
        <v>8017</v>
      </c>
      <c r="BA301" s="81" t="s">
        <v>2212</v>
      </c>
      <c r="BB301" s="84" t="str">
        <f>HYPERLINK("https://api.twitter.com/1.1/geo/id/4e804e21f22144e1.json")</f>
        <v>https://api.twitter.com/1.1/geo/id/4e804e21f22144e1.json</v>
      </c>
    </row>
    <row r="302" spans="1:54" x14ac:dyDescent="0.35">
      <c r="A302" s="66" t="s">
        <v>4289</v>
      </c>
      <c r="B302" s="66" t="s">
        <v>5021</v>
      </c>
      <c r="C302" s="67"/>
      <c r="D302" s="68"/>
      <c r="E302" s="69"/>
      <c r="F302" s="70"/>
      <c r="G302" s="67"/>
      <c r="H302" s="71"/>
      <c r="I302" s="72"/>
      <c r="J302" s="72"/>
      <c r="K302" s="36"/>
      <c r="L302" s="79"/>
      <c r="M302" s="79"/>
      <c r="N302" s="74"/>
      <c r="O302" s="81" t="s">
        <v>696</v>
      </c>
      <c r="P302" s="83">
        <v>44461.134479166663</v>
      </c>
      <c r="Q302" s="81" t="s">
        <v>5329</v>
      </c>
      <c r="R302" s="84" t="str">
        <f>HYPERLINK("https://twitter.com/ib_ost/status/1440119631516082176")</f>
        <v>https://twitter.com/ib_ost/status/1440119631516082176</v>
      </c>
      <c r="S302" s="81" t="s">
        <v>936</v>
      </c>
      <c r="T302" s="81"/>
      <c r="U302" s="81"/>
      <c r="V302" s="84" t="str">
        <f>HYPERLINK("https://pbs.twimg.com/profile_images/1344166794949316608/meYOgdNJ_normal.jpg")</f>
        <v>https://pbs.twimg.com/profile_images/1344166794949316608/meYOgdNJ_normal.jpg</v>
      </c>
      <c r="W302" s="83">
        <v>44461.134479166663</v>
      </c>
      <c r="X302" s="89">
        <v>44461</v>
      </c>
      <c r="Y302" s="86" t="s">
        <v>1057</v>
      </c>
      <c r="Z302" s="84" t="str">
        <f>HYPERLINK("https://twitter.com/huwietan/status/1440514601326563334")</f>
        <v>https://twitter.com/huwietan/status/1440514601326563334</v>
      </c>
      <c r="AA302" s="81"/>
      <c r="AB302" s="81"/>
      <c r="AC302" s="86" t="s">
        <v>6817</v>
      </c>
      <c r="AD302" s="81"/>
      <c r="AE302" s="81" t="b">
        <v>0</v>
      </c>
      <c r="AF302" s="81">
        <v>0</v>
      </c>
      <c r="AG302" s="86" t="s">
        <v>2799</v>
      </c>
      <c r="AH302" s="81" t="b">
        <v>1</v>
      </c>
      <c r="AI302" s="81" t="s">
        <v>2167</v>
      </c>
      <c r="AJ302" s="81"/>
      <c r="AK302" s="86" t="s">
        <v>2017</v>
      </c>
      <c r="AL302" s="81" t="b">
        <v>0</v>
      </c>
      <c r="AM302" s="81">
        <v>0</v>
      </c>
      <c r="AN302" s="86" t="s">
        <v>2084</v>
      </c>
      <c r="AO302" s="86" t="s">
        <v>2178</v>
      </c>
      <c r="AP302" s="81" t="b">
        <v>0</v>
      </c>
      <c r="AQ302" s="86" t="s">
        <v>6817</v>
      </c>
      <c r="AR302" s="81" t="s">
        <v>179</v>
      </c>
      <c r="AS302" s="81">
        <v>0</v>
      </c>
      <c r="AT302" s="81">
        <v>0</v>
      </c>
      <c r="AU302" s="81" t="s">
        <v>7991</v>
      </c>
      <c r="AV302" s="81" t="s">
        <v>2202</v>
      </c>
      <c r="AW302" s="81" t="s">
        <v>12</v>
      </c>
      <c r="AX302" s="81" t="s">
        <v>3614</v>
      </c>
      <c r="AY302" s="91" t="s">
        <v>8009</v>
      </c>
      <c r="AZ302" s="81" t="s">
        <v>8017</v>
      </c>
      <c r="BA302" s="81" t="s">
        <v>2212</v>
      </c>
      <c r="BB302" s="84" t="str">
        <f>HYPERLINK("https://api.twitter.com/1.1/geo/id/4e804e21f22144e1.json")</f>
        <v>https://api.twitter.com/1.1/geo/id/4e804e21f22144e1.json</v>
      </c>
    </row>
    <row r="303" spans="1:54" x14ac:dyDescent="0.35">
      <c r="A303" s="66" t="s">
        <v>4289</v>
      </c>
      <c r="B303" s="66" t="s">
        <v>602</v>
      </c>
      <c r="C303" s="67"/>
      <c r="D303" s="68"/>
      <c r="E303" s="69"/>
      <c r="F303" s="70"/>
      <c r="G303" s="67"/>
      <c r="H303" s="71"/>
      <c r="I303" s="72"/>
      <c r="J303" s="72"/>
      <c r="K303" s="36"/>
      <c r="L303" s="79"/>
      <c r="M303" s="79"/>
      <c r="N303" s="74"/>
      <c r="O303" s="81" t="s">
        <v>696</v>
      </c>
      <c r="P303" s="83">
        <v>44461.134479166663</v>
      </c>
      <c r="Q303" s="81" t="s">
        <v>5329</v>
      </c>
      <c r="R303" s="84" t="str">
        <f>HYPERLINK("https://twitter.com/ib_ost/status/1440119631516082176")</f>
        <v>https://twitter.com/ib_ost/status/1440119631516082176</v>
      </c>
      <c r="S303" s="81" t="s">
        <v>936</v>
      </c>
      <c r="T303" s="81"/>
      <c r="U303" s="81"/>
      <c r="V303" s="84" t="str">
        <f>HYPERLINK("https://pbs.twimg.com/profile_images/1344166794949316608/meYOgdNJ_normal.jpg")</f>
        <v>https://pbs.twimg.com/profile_images/1344166794949316608/meYOgdNJ_normal.jpg</v>
      </c>
      <c r="W303" s="83">
        <v>44461.134479166663</v>
      </c>
      <c r="X303" s="89">
        <v>44461</v>
      </c>
      <c r="Y303" s="86" t="s">
        <v>1057</v>
      </c>
      <c r="Z303" s="84" t="str">
        <f>HYPERLINK("https://twitter.com/huwietan/status/1440514601326563334")</f>
        <v>https://twitter.com/huwietan/status/1440514601326563334</v>
      </c>
      <c r="AA303" s="81"/>
      <c r="AB303" s="81"/>
      <c r="AC303" s="86" t="s">
        <v>6817</v>
      </c>
      <c r="AD303" s="81"/>
      <c r="AE303" s="81" t="b">
        <v>0</v>
      </c>
      <c r="AF303" s="81">
        <v>0</v>
      </c>
      <c r="AG303" s="86" t="s">
        <v>2799</v>
      </c>
      <c r="AH303" s="81" t="b">
        <v>1</v>
      </c>
      <c r="AI303" s="81" t="s">
        <v>2167</v>
      </c>
      <c r="AJ303" s="81"/>
      <c r="AK303" s="86" t="s">
        <v>2017</v>
      </c>
      <c r="AL303" s="81" t="b">
        <v>0</v>
      </c>
      <c r="AM303" s="81">
        <v>0</v>
      </c>
      <c r="AN303" s="86" t="s">
        <v>2084</v>
      </c>
      <c r="AO303" s="86" t="s">
        <v>2178</v>
      </c>
      <c r="AP303" s="81" t="b">
        <v>0</v>
      </c>
      <c r="AQ303" s="86" t="s">
        <v>6817</v>
      </c>
      <c r="AR303" s="81" t="s">
        <v>179</v>
      </c>
      <c r="AS303" s="81">
        <v>0</v>
      </c>
      <c r="AT303" s="81">
        <v>0</v>
      </c>
      <c r="AU303" s="81" t="s">
        <v>7991</v>
      </c>
      <c r="AV303" s="81" t="s">
        <v>2202</v>
      </c>
      <c r="AW303" s="81" t="s">
        <v>12</v>
      </c>
      <c r="AX303" s="81" t="s">
        <v>3614</v>
      </c>
      <c r="AY303" s="91" t="s">
        <v>8009</v>
      </c>
      <c r="AZ303" s="81" t="s">
        <v>8017</v>
      </c>
      <c r="BA303" s="81" t="s">
        <v>2212</v>
      </c>
      <c r="BB303" s="84" t="str">
        <f>HYPERLINK("https://api.twitter.com/1.1/geo/id/4e804e21f22144e1.json")</f>
        <v>https://api.twitter.com/1.1/geo/id/4e804e21f22144e1.json</v>
      </c>
    </row>
    <row r="304" spans="1:54" x14ac:dyDescent="0.35">
      <c r="A304" s="66" t="s">
        <v>4289</v>
      </c>
      <c r="B304" s="66" t="s">
        <v>633</v>
      </c>
      <c r="C304" s="67"/>
      <c r="D304" s="68"/>
      <c r="E304" s="69"/>
      <c r="F304" s="70"/>
      <c r="G304" s="67"/>
      <c r="H304" s="71"/>
      <c r="I304" s="72"/>
      <c r="J304" s="72"/>
      <c r="K304" s="36"/>
      <c r="L304" s="79"/>
      <c r="M304" s="79"/>
      <c r="N304" s="74"/>
      <c r="O304" s="81" t="s">
        <v>695</v>
      </c>
      <c r="P304" s="83">
        <v>44461.134479166663</v>
      </c>
      <c r="Q304" s="81" t="s">
        <v>5329</v>
      </c>
      <c r="R304" s="84" t="str">
        <f>HYPERLINK("https://twitter.com/ib_ost/status/1440119631516082176")</f>
        <v>https://twitter.com/ib_ost/status/1440119631516082176</v>
      </c>
      <c r="S304" s="81" t="s">
        <v>936</v>
      </c>
      <c r="T304" s="81"/>
      <c r="U304" s="81"/>
      <c r="V304" s="84" t="str">
        <f>HYPERLINK("https://pbs.twimg.com/profile_images/1344166794949316608/meYOgdNJ_normal.jpg")</f>
        <v>https://pbs.twimg.com/profile_images/1344166794949316608/meYOgdNJ_normal.jpg</v>
      </c>
      <c r="W304" s="83">
        <v>44461.134479166663</v>
      </c>
      <c r="X304" s="89">
        <v>44461</v>
      </c>
      <c r="Y304" s="86" t="s">
        <v>1057</v>
      </c>
      <c r="Z304" s="84" t="str">
        <f>HYPERLINK("https://twitter.com/huwietan/status/1440514601326563334")</f>
        <v>https://twitter.com/huwietan/status/1440514601326563334</v>
      </c>
      <c r="AA304" s="81"/>
      <c r="AB304" s="81"/>
      <c r="AC304" s="86" t="s">
        <v>6817</v>
      </c>
      <c r="AD304" s="81"/>
      <c r="AE304" s="81" t="b">
        <v>0</v>
      </c>
      <c r="AF304" s="81">
        <v>0</v>
      </c>
      <c r="AG304" s="86" t="s">
        <v>2799</v>
      </c>
      <c r="AH304" s="81" t="b">
        <v>1</v>
      </c>
      <c r="AI304" s="81" t="s">
        <v>2167</v>
      </c>
      <c r="AJ304" s="81"/>
      <c r="AK304" s="86" t="s">
        <v>2017</v>
      </c>
      <c r="AL304" s="81" t="b">
        <v>0</v>
      </c>
      <c r="AM304" s="81">
        <v>0</v>
      </c>
      <c r="AN304" s="86" t="s">
        <v>2084</v>
      </c>
      <c r="AO304" s="86" t="s">
        <v>2178</v>
      </c>
      <c r="AP304" s="81" t="b">
        <v>0</v>
      </c>
      <c r="AQ304" s="86" t="s">
        <v>6817</v>
      </c>
      <c r="AR304" s="81" t="s">
        <v>179</v>
      </c>
      <c r="AS304" s="81">
        <v>0</v>
      </c>
      <c r="AT304" s="81">
        <v>0</v>
      </c>
      <c r="AU304" s="81" t="s">
        <v>7991</v>
      </c>
      <c r="AV304" s="81" t="s">
        <v>2202</v>
      </c>
      <c r="AW304" s="81" t="s">
        <v>12</v>
      </c>
      <c r="AX304" s="81" t="s">
        <v>3614</v>
      </c>
      <c r="AY304" s="91" t="s">
        <v>8009</v>
      </c>
      <c r="AZ304" s="81" t="s">
        <v>8017</v>
      </c>
      <c r="BA304" s="81" t="s">
        <v>2212</v>
      </c>
      <c r="BB304" s="84" t="str">
        <f>HYPERLINK("https://api.twitter.com/1.1/geo/id/4e804e21f22144e1.json")</f>
        <v>https://api.twitter.com/1.1/geo/id/4e804e21f22144e1.json</v>
      </c>
    </row>
    <row r="305" spans="1:54" x14ac:dyDescent="0.35">
      <c r="A305" s="66" t="s">
        <v>508</v>
      </c>
      <c r="B305" s="66" t="s">
        <v>508</v>
      </c>
      <c r="C305" s="67"/>
      <c r="D305" s="68"/>
      <c r="E305" s="69"/>
      <c r="F305" s="70"/>
      <c r="G305" s="67"/>
      <c r="H305" s="71"/>
      <c r="I305" s="72"/>
      <c r="J305" s="72"/>
      <c r="K305" s="36"/>
      <c r="L305" s="79"/>
      <c r="M305" s="79"/>
      <c r="N305" s="74"/>
      <c r="O305" s="81" t="s">
        <v>179</v>
      </c>
      <c r="P305" s="83">
        <v>44461.198298611111</v>
      </c>
      <c r="Q305" s="81" t="s">
        <v>853</v>
      </c>
      <c r="R305" s="81" t="s">
        <v>933</v>
      </c>
      <c r="S305" s="81" t="s">
        <v>963</v>
      </c>
      <c r="T305" s="81"/>
      <c r="U305" s="81"/>
      <c r="V305" s="84" t="str">
        <f>HYPERLINK("https://pbs.twimg.com/profile_images/2418591123/images_normal.jpg")</f>
        <v>https://pbs.twimg.com/profile_images/2418591123/images_normal.jpg</v>
      </c>
      <c r="W305" s="83">
        <v>44461.198298611111</v>
      </c>
      <c r="X305" s="89">
        <v>44461</v>
      </c>
      <c r="Y305" s="86" t="s">
        <v>1381</v>
      </c>
      <c r="Z305" s="84" t="str">
        <f>HYPERLINK("https://twitter.com/lowongankerjalu/status/1440537729675059206")</f>
        <v>https://twitter.com/lowongankerjalu/status/1440537729675059206</v>
      </c>
      <c r="AA305" s="81"/>
      <c r="AB305" s="81"/>
      <c r="AC305" s="86" t="s">
        <v>1879</v>
      </c>
      <c r="AD305" s="81"/>
      <c r="AE305" s="81" t="b">
        <v>0</v>
      </c>
      <c r="AF305" s="81">
        <v>0</v>
      </c>
      <c r="AG305" s="86" t="s">
        <v>2084</v>
      </c>
      <c r="AH305" s="81" t="b">
        <v>0</v>
      </c>
      <c r="AI305" s="81" t="s">
        <v>2167</v>
      </c>
      <c r="AJ305" s="81"/>
      <c r="AK305" s="86" t="s">
        <v>2084</v>
      </c>
      <c r="AL305" s="81" t="b">
        <v>0</v>
      </c>
      <c r="AM305" s="81">
        <v>0</v>
      </c>
      <c r="AN305" s="86" t="s">
        <v>2084</v>
      </c>
      <c r="AO305" s="86" t="s">
        <v>2194</v>
      </c>
      <c r="AP305" s="81" t="b">
        <v>0</v>
      </c>
      <c r="AQ305" s="86" t="s">
        <v>1879</v>
      </c>
      <c r="AR305" s="81" t="s">
        <v>179</v>
      </c>
      <c r="AS305" s="81">
        <v>0</v>
      </c>
      <c r="AT305" s="81">
        <v>0</v>
      </c>
      <c r="AU305" s="81"/>
      <c r="AV305" s="81"/>
      <c r="AW305" s="81"/>
      <c r="AX305" s="81"/>
      <c r="AY305" s="81"/>
      <c r="AZ305" s="81"/>
      <c r="BA305" s="81"/>
      <c r="BB305" s="81"/>
    </row>
    <row r="306" spans="1:54" x14ac:dyDescent="0.35">
      <c r="A306" s="66" t="s">
        <v>291</v>
      </c>
      <c r="B306" s="66" t="s">
        <v>632</v>
      </c>
      <c r="C306" s="67"/>
      <c r="D306" s="68"/>
      <c r="E306" s="69"/>
      <c r="F306" s="70"/>
      <c r="G306" s="67"/>
      <c r="H306" s="71"/>
      <c r="I306" s="72"/>
      <c r="J306" s="72"/>
      <c r="K306" s="36"/>
      <c r="L306" s="79"/>
      <c r="M306" s="79"/>
      <c r="N306" s="74"/>
      <c r="O306" s="81" t="s">
        <v>695</v>
      </c>
      <c r="P306" s="83">
        <v>44461.251574074071</v>
      </c>
      <c r="Q306" s="81" t="s">
        <v>739</v>
      </c>
      <c r="R306" s="81"/>
      <c r="S306" s="81"/>
      <c r="T306" s="81"/>
      <c r="U306" s="81"/>
      <c r="V306" s="84" t="str">
        <f>HYPERLINK("https://pbs.twimg.com/profile_images/1439614657644302340/zuSv9_3f_normal.jpg")</f>
        <v>https://pbs.twimg.com/profile_images/1439614657644302340/zuSv9_3f_normal.jpg</v>
      </c>
      <c r="W306" s="83">
        <v>44461.251574074071</v>
      </c>
      <c r="X306" s="89">
        <v>44461</v>
      </c>
      <c r="Y306" s="86" t="s">
        <v>1093</v>
      </c>
      <c r="Z306" s="84" t="str">
        <f>HYPERLINK("https://twitter.com/itzelworid/status/1440557036995964930")</f>
        <v>https://twitter.com/itzelworid/status/1440557036995964930</v>
      </c>
      <c r="AA306" s="81"/>
      <c r="AB306" s="81"/>
      <c r="AC306" s="86" t="s">
        <v>1591</v>
      </c>
      <c r="AD306" s="86" t="s">
        <v>2027</v>
      </c>
      <c r="AE306" s="81" t="b">
        <v>0</v>
      </c>
      <c r="AF306" s="81">
        <v>0</v>
      </c>
      <c r="AG306" s="86" t="s">
        <v>2108</v>
      </c>
      <c r="AH306" s="81" t="b">
        <v>0</v>
      </c>
      <c r="AI306" s="81" t="s">
        <v>2167</v>
      </c>
      <c r="AJ306" s="81"/>
      <c r="AK306" s="86" t="s">
        <v>2084</v>
      </c>
      <c r="AL306" s="81" t="b">
        <v>0</v>
      </c>
      <c r="AM306" s="81">
        <v>0</v>
      </c>
      <c r="AN306" s="86" t="s">
        <v>2084</v>
      </c>
      <c r="AO306" s="86" t="s">
        <v>2178</v>
      </c>
      <c r="AP306" s="81" t="b">
        <v>0</v>
      </c>
      <c r="AQ306" s="86" t="s">
        <v>2027</v>
      </c>
      <c r="AR306" s="81" t="s">
        <v>179</v>
      </c>
      <c r="AS306" s="81">
        <v>0</v>
      </c>
      <c r="AT306" s="81">
        <v>0</v>
      </c>
      <c r="AU306" s="81"/>
      <c r="AV306" s="81"/>
      <c r="AW306" s="81"/>
      <c r="AX306" s="81"/>
      <c r="AY306" s="81"/>
      <c r="AZ306" s="81"/>
      <c r="BA306" s="81"/>
      <c r="BB306" s="81"/>
    </row>
    <row r="307" spans="1:54" x14ac:dyDescent="0.35">
      <c r="A307" s="66" t="s">
        <v>292</v>
      </c>
      <c r="B307" s="66" t="s">
        <v>292</v>
      </c>
      <c r="C307" s="67"/>
      <c r="D307" s="68"/>
      <c r="E307" s="69"/>
      <c r="F307" s="70"/>
      <c r="G307" s="67"/>
      <c r="H307" s="71"/>
      <c r="I307" s="72"/>
      <c r="J307" s="72"/>
      <c r="K307" s="36"/>
      <c r="L307" s="79"/>
      <c r="M307" s="79"/>
      <c r="N307" s="74"/>
      <c r="O307" s="81" t="s">
        <v>179</v>
      </c>
      <c r="P307" s="83">
        <v>44461.287858796299</v>
      </c>
      <c r="Q307" s="81" t="s">
        <v>740</v>
      </c>
      <c r="R307" s="81"/>
      <c r="S307" s="81"/>
      <c r="T307" s="81"/>
      <c r="U307" s="84" t="str">
        <f>HYPERLINK("https://pbs.twimg.com/ext_tw_video_thumb/1440569883511558152/pu/img/yc1a6YXJhTJ_jTOq.jpg")</f>
        <v>https://pbs.twimg.com/ext_tw_video_thumb/1440569883511558152/pu/img/yc1a6YXJhTJ_jTOq.jpg</v>
      </c>
      <c r="V307" s="84" t="str">
        <f>HYPERLINK("https://pbs.twimg.com/ext_tw_video_thumb/1440569883511558152/pu/img/yc1a6YXJhTJ_jTOq.jpg")</f>
        <v>https://pbs.twimg.com/ext_tw_video_thumb/1440569883511558152/pu/img/yc1a6YXJhTJ_jTOq.jpg</v>
      </c>
      <c r="W307" s="83">
        <v>44461.287858796299</v>
      </c>
      <c r="X307" s="89">
        <v>44461</v>
      </c>
      <c r="Y307" s="86" t="s">
        <v>1094</v>
      </c>
      <c r="Z307" s="84" t="str">
        <f>HYPERLINK("https://twitter.com/gopinda901/status/1440570185971236872")</f>
        <v>https://twitter.com/gopinda901/status/1440570185971236872</v>
      </c>
      <c r="AA307" s="81"/>
      <c r="AB307" s="81"/>
      <c r="AC307" s="86" t="s">
        <v>1592</v>
      </c>
      <c r="AD307" s="81"/>
      <c r="AE307" s="81" t="b">
        <v>0</v>
      </c>
      <c r="AF307" s="81">
        <v>1</v>
      </c>
      <c r="AG307" s="86" t="s">
        <v>2084</v>
      </c>
      <c r="AH307" s="81" t="b">
        <v>0</v>
      </c>
      <c r="AI307" s="81" t="s">
        <v>2167</v>
      </c>
      <c r="AJ307" s="81"/>
      <c r="AK307" s="86" t="s">
        <v>2084</v>
      </c>
      <c r="AL307" s="81" t="b">
        <v>0</v>
      </c>
      <c r="AM307" s="81">
        <v>0</v>
      </c>
      <c r="AN307" s="86" t="s">
        <v>2084</v>
      </c>
      <c r="AO307" s="86" t="s">
        <v>2178</v>
      </c>
      <c r="AP307" s="81" t="b">
        <v>0</v>
      </c>
      <c r="AQ307" s="86" t="s">
        <v>1592</v>
      </c>
      <c r="AR307" s="81" t="s">
        <v>179</v>
      </c>
      <c r="AS307" s="81">
        <v>0</v>
      </c>
      <c r="AT307" s="81">
        <v>0</v>
      </c>
      <c r="AU307" s="81"/>
      <c r="AV307" s="81"/>
      <c r="AW307" s="81"/>
      <c r="AX307" s="81"/>
      <c r="AY307" s="81"/>
      <c r="AZ307" s="81"/>
      <c r="BA307" s="81"/>
      <c r="BB307" s="81"/>
    </row>
    <row r="308" spans="1:54" x14ac:dyDescent="0.35">
      <c r="A308" s="66" t="s">
        <v>4290</v>
      </c>
      <c r="B308" s="66" t="s">
        <v>4290</v>
      </c>
      <c r="C308" s="67"/>
      <c r="D308" s="68"/>
      <c r="E308" s="69"/>
      <c r="F308" s="70"/>
      <c r="G308" s="67"/>
      <c r="H308" s="71"/>
      <c r="I308" s="72"/>
      <c r="J308" s="72"/>
      <c r="K308" s="36"/>
      <c r="L308" s="79"/>
      <c r="M308" s="79"/>
      <c r="N308" s="74"/>
      <c r="O308" s="81" t="s">
        <v>179</v>
      </c>
      <c r="P308" s="83">
        <v>41267.551678240743</v>
      </c>
      <c r="Q308" s="81" t="s">
        <v>5330</v>
      </c>
      <c r="R308" s="81"/>
      <c r="S308" s="81"/>
      <c r="T308" s="81"/>
      <c r="U308" s="81"/>
      <c r="V308" s="84" t="str">
        <f>HYPERLINK("https://pbs.twimg.com/profile_images/1391973951904047105/z0TVn0yl_normal.jpg")</f>
        <v>https://pbs.twimg.com/profile_images/1391973951904047105/z0TVn0yl_normal.jpg</v>
      </c>
      <c r="W308" s="83">
        <v>41267.551678240743</v>
      </c>
      <c r="X308" s="89">
        <v>41267</v>
      </c>
      <c r="Y308" s="86" t="s">
        <v>5916</v>
      </c>
      <c r="Z308" s="84" t="str">
        <f>HYPERLINK("https://twitter.com/southerngemgal/status/283198948888440833")</f>
        <v>https://twitter.com/southerngemgal/status/283198948888440833</v>
      </c>
      <c r="AA308" s="81"/>
      <c r="AB308" s="81"/>
      <c r="AC308" s="86" t="s">
        <v>6818</v>
      </c>
      <c r="AD308" s="81"/>
      <c r="AE308" s="81" t="b">
        <v>0</v>
      </c>
      <c r="AF308" s="81">
        <v>0</v>
      </c>
      <c r="AG308" s="86" t="s">
        <v>2084</v>
      </c>
      <c r="AH308" s="81" t="b">
        <v>0</v>
      </c>
      <c r="AI308" s="81" t="s">
        <v>2168</v>
      </c>
      <c r="AJ308" s="81"/>
      <c r="AK308" s="86" t="s">
        <v>2084</v>
      </c>
      <c r="AL308" s="81" t="b">
        <v>0</v>
      </c>
      <c r="AM308" s="81">
        <v>1</v>
      </c>
      <c r="AN308" s="86" t="s">
        <v>2084</v>
      </c>
      <c r="AO308" s="86" t="s">
        <v>2190</v>
      </c>
      <c r="AP308" s="81" t="b">
        <v>0</v>
      </c>
      <c r="AQ308" s="86" t="s">
        <v>6818</v>
      </c>
      <c r="AR308" s="81" t="s">
        <v>693</v>
      </c>
      <c r="AS308" s="81">
        <v>0</v>
      </c>
      <c r="AT308" s="81">
        <v>0</v>
      </c>
      <c r="AU308" s="81"/>
      <c r="AV308" s="81"/>
      <c r="AW308" s="81"/>
      <c r="AX308" s="81"/>
      <c r="AY308" s="81"/>
      <c r="AZ308" s="81"/>
      <c r="BA308" s="81"/>
      <c r="BB308" s="81"/>
    </row>
    <row r="309" spans="1:54" x14ac:dyDescent="0.35">
      <c r="A309" s="66" t="s">
        <v>4290</v>
      </c>
      <c r="B309" s="66" t="s">
        <v>4290</v>
      </c>
      <c r="C309" s="67"/>
      <c r="D309" s="68"/>
      <c r="E309" s="69"/>
      <c r="F309" s="70"/>
      <c r="G309" s="67"/>
      <c r="H309" s="71"/>
      <c r="I309" s="72"/>
      <c r="J309" s="72"/>
      <c r="K309" s="36"/>
      <c r="L309" s="79"/>
      <c r="M309" s="79"/>
      <c r="N309" s="74"/>
      <c r="O309" s="81" t="s">
        <v>693</v>
      </c>
      <c r="P309" s="83">
        <v>44461.287870370368</v>
      </c>
      <c r="Q309" s="81" t="s">
        <v>5330</v>
      </c>
      <c r="R309" s="81"/>
      <c r="S309" s="81"/>
      <c r="T309" s="81"/>
      <c r="U309" s="81"/>
      <c r="V309" s="84" t="str">
        <f>HYPERLINK("https://pbs.twimg.com/profile_images/1391973951904047105/z0TVn0yl_normal.jpg")</f>
        <v>https://pbs.twimg.com/profile_images/1391973951904047105/z0TVn0yl_normal.jpg</v>
      </c>
      <c r="W309" s="83">
        <v>44461.287870370368</v>
      </c>
      <c r="X309" s="89">
        <v>44461</v>
      </c>
      <c r="Y309" s="86" t="s">
        <v>5917</v>
      </c>
      <c r="Z309" s="84" t="str">
        <f>HYPERLINK("https://twitter.com/southerngemgal/status/1440570191956434954")</f>
        <v>https://twitter.com/southerngemgal/status/1440570191956434954</v>
      </c>
      <c r="AA309" s="81"/>
      <c r="AB309" s="81"/>
      <c r="AC309" s="86" t="s">
        <v>6819</v>
      </c>
      <c r="AD309" s="81"/>
      <c r="AE309" s="81" t="b">
        <v>0</v>
      </c>
      <c r="AF309" s="81">
        <v>0</v>
      </c>
      <c r="AG309" s="86" t="s">
        <v>2084</v>
      </c>
      <c r="AH309" s="81" t="b">
        <v>0</v>
      </c>
      <c r="AI309" s="81" t="s">
        <v>2168</v>
      </c>
      <c r="AJ309" s="81"/>
      <c r="AK309" s="86" t="s">
        <v>2084</v>
      </c>
      <c r="AL309" s="81" t="b">
        <v>0</v>
      </c>
      <c r="AM309" s="81">
        <v>1</v>
      </c>
      <c r="AN309" s="86" t="s">
        <v>6818</v>
      </c>
      <c r="AO309" s="86" t="s">
        <v>2179</v>
      </c>
      <c r="AP309" s="81" t="b">
        <v>0</v>
      </c>
      <c r="AQ309" s="86" t="s">
        <v>6818</v>
      </c>
      <c r="AR309" s="81" t="s">
        <v>179</v>
      </c>
      <c r="AS309" s="81">
        <v>0</v>
      </c>
      <c r="AT309" s="81">
        <v>0</v>
      </c>
      <c r="AU309" s="81"/>
      <c r="AV309" s="81"/>
      <c r="AW309" s="81"/>
      <c r="AX309" s="81"/>
      <c r="AY309" s="81"/>
      <c r="AZ309" s="81"/>
      <c r="BA309" s="81"/>
      <c r="BB309" s="81"/>
    </row>
    <row r="310" spans="1:54" x14ac:dyDescent="0.35">
      <c r="A310" s="66" t="s">
        <v>293</v>
      </c>
      <c r="B310" s="66" t="s">
        <v>592</v>
      </c>
      <c r="C310" s="67"/>
      <c r="D310" s="68"/>
      <c r="E310" s="69"/>
      <c r="F310" s="70"/>
      <c r="G310" s="67"/>
      <c r="H310" s="71"/>
      <c r="I310" s="72"/>
      <c r="J310" s="72"/>
      <c r="K310" s="36"/>
      <c r="L310" s="79"/>
      <c r="M310" s="79"/>
      <c r="N310" s="74"/>
      <c r="O310" s="81" t="s">
        <v>693</v>
      </c>
      <c r="P310" s="83">
        <v>44461.338819444441</v>
      </c>
      <c r="Q310" s="81" t="s">
        <v>741</v>
      </c>
      <c r="R310" s="81"/>
      <c r="S310" s="81"/>
      <c r="T310" s="86" t="s">
        <v>972</v>
      </c>
      <c r="U310" s="84" t="str">
        <f>HYPERLINK("https://pbs.twimg.com/media/E_38CFLVkAAf4fL.jpg")</f>
        <v>https://pbs.twimg.com/media/E_38CFLVkAAf4fL.jpg</v>
      </c>
      <c r="V310" s="84" t="str">
        <f>HYPERLINK("https://pbs.twimg.com/media/E_38CFLVkAAf4fL.jpg")</f>
        <v>https://pbs.twimg.com/media/E_38CFLVkAAf4fL.jpg</v>
      </c>
      <c r="W310" s="83">
        <v>44461.338819444441</v>
      </c>
      <c r="X310" s="89">
        <v>44461</v>
      </c>
      <c r="Y310" s="86" t="s">
        <v>1095</v>
      </c>
      <c r="Z310" s="84" t="str">
        <f>HYPERLINK("https://twitter.com/crossvinee/status/1440588654653566982")</f>
        <v>https://twitter.com/crossvinee/status/1440588654653566982</v>
      </c>
      <c r="AA310" s="81"/>
      <c r="AB310" s="81"/>
      <c r="AC310" s="86" t="s">
        <v>1593</v>
      </c>
      <c r="AD310" s="81"/>
      <c r="AE310" s="81" t="b">
        <v>0</v>
      </c>
      <c r="AF310" s="81">
        <v>0</v>
      </c>
      <c r="AG310" s="86" t="s">
        <v>2084</v>
      </c>
      <c r="AH310" s="81" t="b">
        <v>0</v>
      </c>
      <c r="AI310" s="81" t="s">
        <v>2168</v>
      </c>
      <c r="AJ310" s="81"/>
      <c r="AK310" s="86" t="s">
        <v>2084</v>
      </c>
      <c r="AL310" s="81" t="b">
        <v>0</v>
      </c>
      <c r="AM310" s="81">
        <v>25</v>
      </c>
      <c r="AN310" s="86" t="s">
        <v>1996</v>
      </c>
      <c r="AO310" s="86" t="s">
        <v>2178</v>
      </c>
      <c r="AP310" s="81" t="b">
        <v>0</v>
      </c>
      <c r="AQ310" s="86" t="s">
        <v>1996</v>
      </c>
      <c r="AR310" s="81" t="s">
        <v>179</v>
      </c>
      <c r="AS310" s="81">
        <v>0</v>
      </c>
      <c r="AT310" s="81">
        <v>0</v>
      </c>
      <c r="AU310" s="81"/>
      <c r="AV310" s="81"/>
      <c r="AW310" s="81"/>
      <c r="AX310" s="81"/>
      <c r="AY310" s="81"/>
      <c r="AZ310" s="81"/>
      <c r="BA310" s="81"/>
      <c r="BB310" s="81"/>
    </row>
    <row r="311" spans="1:54" x14ac:dyDescent="0.35">
      <c r="A311" s="66" t="s">
        <v>294</v>
      </c>
      <c r="B311" s="66" t="s">
        <v>592</v>
      </c>
      <c r="C311" s="67"/>
      <c r="D311" s="68"/>
      <c r="E311" s="69"/>
      <c r="F311" s="70"/>
      <c r="G311" s="67"/>
      <c r="H311" s="71"/>
      <c r="I311" s="72"/>
      <c r="J311" s="72"/>
      <c r="K311" s="36"/>
      <c r="L311" s="79"/>
      <c r="M311" s="79"/>
      <c r="N311" s="74"/>
      <c r="O311" s="81" t="s">
        <v>693</v>
      </c>
      <c r="P311" s="83">
        <v>44461.33935185185</v>
      </c>
      <c r="Q311" s="81" t="s">
        <v>741</v>
      </c>
      <c r="R311" s="81"/>
      <c r="S311" s="81"/>
      <c r="T311" s="86" t="s">
        <v>972</v>
      </c>
      <c r="U311" s="84" t="str">
        <f>HYPERLINK("https://pbs.twimg.com/media/E_38CFLVkAAf4fL.jpg")</f>
        <v>https://pbs.twimg.com/media/E_38CFLVkAAf4fL.jpg</v>
      </c>
      <c r="V311" s="84" t="str">
        <f>HYPERLINK("https://pbs.twimg.com/media/E_38CFLVkAAf4fL.jpg")</f>
        <v>https://pbs.twimg.com/media/E_38CFLVkAAf4fL.jpg</v>
      </c>
      <c r="W311" s="83">
        <v>44461.33935185185</v>
      </c>
      <c r="X311" s="89">
        <v>44461</v>
      </c>
      <c r="Y311" s="86" t="s">
        <v>1096</v>
      </c>
      <c r="Z311" s="84" t="str">
        <f>HYPERLINK("https://twitter.com/hunjisvngs/status/1440588847461453825")</f>
        <v>https://twitter.com/hunjisvngs/status/1440588847461453825</v>
      </c>
      <c r="AA311" s="81"/>
      <c r="AB311" s="81"/>
      <c r="AC311" s="86" t="s">
        <v>1594</v>
      </c>
      <c r="AD311" s="81"/>
      <c r="AE311" s="81" t="b">
        <v>0</v>
      </c>
      <c r="AF311" s="81">
        <v>0</v>
      </c>
      <c r="AG311" s="86" t="s">
        <v>2084</v>
      </c>
      <c r="AH311" s="81" t="b">
        <v>0</v>
      </c>
      <c r="AI311" s="81" t="s">
        <v>2168</v>
      </c>
      <c r="AJ311" s="81"/>
      <c r="AK311" s="86" t="s">
        <v>2084</v>
      </c>
      <c r="AL311" s="81" t="b">
        <v>0</v>
      </c>
      <c r="AM311" s="81">
        <v>25</v>
      </c>
      <c r="AN311" s="86" t="s">
        <v>1996</v>
      </c>
      <c r="AO311" s="86" t="s">
        <v>2178</v>
      </c>
      <c r="AP311" s="81" t="b">
        <v>0</v>
      </c>
      <c r="AQ311" s="86" t="s">
        <v>1996</v>
      </c>
      <c r="AR311" s="81" t="s">
        <v>179</v>
      </c>
      <c r="AS311" s="81">
        <v>0</v>
      </c>
      <c r="AT311" s="81">
        <v>0</v>
      </c>
      <c r="AU311" s="81"/>
      <c r="AV311" s="81"/>
      <c r="AW311" s="81"/>
      <c r="AX311" s="81"/>
      <c r="AY311" s="81"/>
      <c r="AZ311" s="81"/>
      <c r="BA311" s="81"/>
      <c r="BB311" s="81"/>
    </row>
    <row r="312" spans="1:54" x14ac:dyDescent="0.35">
      <c r="A312" s="66" t="s">
        <v>295</v>
      </c>
      <c r="B312" s="66" t="s">
        <v>592</v>
      </c>
      <c r="C312" s="67"/>
      <c r="D312" s="68"/>
      <c r="E312" s="69"/>
      <c r="F312" s="70"/>
      <c r="G312" s="67"/>
      <c r="H312" s="71"/>
      <c r="I312" s="72"/>
      <c r="J312" s="72"/>
      <c r="K312" s="36"/>
      <c r="L312" s="79"/>
      <c r="M312" s="79"/>
      <c r="N312" s="74"/>
      <c r="O312" s="81" t="s">
        <v>693</v>
      </c>
      <c r="P312" s="83">
        <v>44461.339722222219</v>
      </c>
      <c r="Q312" s="81" t="s">
        <v>741</v>
      </c>
      <c r="R312" s="81"/>
      <c r="S312" s="81"/>
      <c r="T312" s="86" t="s">
        <v>972</v>
      </c>
      <c r="U312" s="84" t="str">
        <f>HYPERLINK("https://pbs.twimg.com/media/E_38CFLVkAAf4fL.jpg")</f>
        <v>https://pbs.twimg.com/media/E_38CFLVkAAf4fL.jpg</v>
      </c>
      <c r="V312" s="84" t="str">
        <f>HYPERLINK("https://pbs.twimg.com/media/E_38CFLVkAAf4fL.jpg")</f>
        <v>https://pbs.twimg.com/media/E_38CFLVkAAf4fL.jpg</v>
      </c>
      <c r="W312" s="83">
        <v>44461.339722222219</v>
      </c>
      <c r="X312" s="89">
        <v>44461</v>
      </c>
      <c r="Y312" s="86" t="s">
        <v>1097</v>
      </c>
      <c r="Z312" s="84" t="str">
        <f>HYPERLINK("https://twitter.com/hyunjiyoungein/status/1440588981033312263")</f>
        <v>https://twitter.com/hyunjiyoungein/status/1440588981033312263</v>
      </c>
      <c r="AA312" s="81"/>
      <c r="AB312" s="81"/>
      <c r="AC312" s="86" t="s">
        <v>1595</v>
      </c>
      <c r="AD312" s="81"/>
      <c r="AE312" s="81" t="b">
        <v>0</v>
      </c>
      <c r="AF312" s="81">
        <v>0</v>
      </c>
      <c r="AG312" s="86" t="s">
        <v>2084</v>
      </c>
      <c r="AH312" s="81" t="b">
        <v>0</v>
      </c>
      <c r="AI312" s="81" t="s">
        <v>2168</v>
      </c>
      <c r="AJ312" s="81"/>
      <c r="AK312" s="86" t="s">
        <v>2084</v>
      </c>
      <c r="AL312" s="81" t="b">
        <v>0</v>
      </c>
      <c r="AM312" s="81">
        <v>25</v>
      </c>
      <c r="AN312" s="86" t="s">
        <v>1996</v>
      </c>
      <c r="AO312" s="86" t="s">
        <v>2178</v>
      </c>
      <c r="AP312" s="81" t="b">
        <v>0</v>
      </c>
      <c r="AQ312" s="86" t="s">
        <v>1996</v>
      </c>
      <c r="AR312" s="81" t="s">
        <v>179</v>
      </c>
      <c r="AS312" s="81">
        <v>0</v>
      </c>
      <c r="AT312" s="81">
        <v>0</v>
      </c>
      <c r="AU312" s="81"/>
      <c r="AV312" s="81"/>
      <c r="AW312" s="81"/>
      <c r="AX312" s="81"/>
      <c r="AY312" s="81"/>
      <c r="AZ312" s="81"/>
      <c r="BA312" s="81"/>
      <c r="BB312" s="81"/>
    </row>
    <row r="313" spans="1:54" x14ac:dyDescent="0.35">
      <c r="A313" s="66" t="s">
        <v>296</v>
      </c>
      <c r="B313" s="66" t="s">
        <v>592</v>
      </c>
      <c r="C313" s="67"/>
      <c r="D313" s="68"/>
      <c r="E313" s="69"/>
      <c r="F313" s="70"/>
      <c r="G313" s="67"/>
      <c r="H313" s="71"/>
      <c r="I313" s="72"/>
      <c r="J313" s="72"/>
      <c r="K313" s="36"/>
      <c r="L313" s="79"/>
      <c r="M313" s="79"/>
      <c r="N313" s="74"/>
      <c r="O313" s="81" t="s">
        <v>693</v>
      </c>
      <c r="P313" s="83">
        <v>44461.340370370373</v>
      </c>
      <c r="Q313" s="81" t="s">
        <v>741</v>
      </c>
      <c r="R313" s="81"/>
      <c r="S313" s="81"/>
      <c r="T313" s="86" t="s">
        <v>972</v>
      </c>
      <c r="U313" s="84" t="str">
        <f>HYPERLINK("https://pbs.twimg.com/media/E_38CFLVkAAf4fL.jpg")</f>
        <v>https://pbs.twimg.com/media/E_38CFLVkAAf4fL.jpg</v>
      </c>
      <c r="V313" s="84" t="str">
        <f>HYPERLINK("https://pbs.twimg.com/media/E_38CFLVkAAf4fL.jpg")</f>
        <v>https://pbs.twimg.com/media/E_38CFLVkAAf4fL.jpg</v>
      </c>
      <c r="W313" s="83">
        <v>44461.340370370373</v>
      </c>
      <c r="X313" s="89">
        <v>44461</v>
      </c>
      <c r="Y313" s="86" t="s">
        <v>1098</v>
      </c>
      <c r="Z313" s="84" t="str">
        <f>HYPERLINK("https://twitter.com/minnieeeeyey/status/1440589213615882242")</f>
        <v>https://twitter.com/minnieeeeyey/status/1440589213615882242</v>
      </c>
      <c r="AA313" s="81"/>
      <c r="AB313" s="81"/>
      <c r="AC313" s="86" t="s">
        <v>1596</v>
      </c>
      <c r="AD313" s="81"/>
      <c r="AE313" s="81" t="b">
        <v>0</v>
      </c>
      <c r="AF313" s="81">
        <v>0</v>
      </c>
      <c r="AG313" s="86" t="s">
        <v>2084</v>
      </c>
      <c r="AH313" s="81" t="b">
        <v>0</v>
      </c>
      <c r="AI313" s="81" t="s">
        <v>2168</v>
      </c>
      <c r="AJ313" s="81"/>
      <c r="AK313" s="86" t="s">
        <v>2084</v>
      </c>
      <c r="AL313" s="81" t="b">
        <v>0</v>
      </c>
      <c r="AM313" s="81">
        <v>25</v>
      </c>
      <c r="AN313" s="86" t="s">
        <v>1996</v>
      </c>
      <c r="AO313" s="86" t="s">
        <v>2178</v>
      </c>
      <c r="AP313" s="81" t="b">
        <v>0</v>
      </c>
      <c r="AQ313" s="86" t="s">
        <v>1996</v>
      </c>
      <c r="AR313" s="81" t="s">
        <v>179</v>
      </c>
      <c r="AS313" s="81">
        <v>0</v>
      </c>
      <c r="AT313" s="81">
        <v>0</v>
      </c>
      <c r="AU313" s="81"/>
      <c r="AV313" s="81"/>
      <c r="AW313" s="81"/>
      <c r="AX313" s="81"/>
      <c r="AY313" s="81"/>
      <c r="AZ313" s="81"/>
      <c r="BA313" s="81"/>
      <c r="BB313" s="81"/>
    </row>
    <row r="314" spans="1:54" x14ac:dyDescent="0.35">
      <c r="A314" s="66" t="s">
        <v>298</v>
      </c>
      <c r="B314" s="66" t="s">
        <v>297</v>
      </c>
      <c r="C314" s="67"/>
      <c r="D314" s="68"/>
      <c r="E314" s="69"/>
      <c r="F314" s="70"/>
      <c r="G314" s="67"/>
      <c r="H314" s="71"/>
      <c r="I314" s="72"/>
      <c r="J314" s="72"/>
      <c r="K314" s="36"/>
      <c r="L314" s="79"/>
      <c r="M314" s="79"/>
      <c r="N314" s="74"/>
      <c r="O314" s="81" t="s">
        <v>693</v>
      </c>
      <c r="P314" s="83">
        <v>44459.760879629626</v>
      </c>
      <c r="Q314" s="81" t="s">
        <v>702</v>
      </c>
      <c r="R314" s="81"/>
      <c r="S314" s="81"/>
      <c r="T314" s="86" t="s">
        <v>972</v>
      </c>
      <c r="U314" s="84" t="str">
        <f>HYPERLINK("https://pbs.twimg.com/media/E_vEDNvVIAkAnBd.jpg")</f>
        <v>https://pbs.twimg.com/media/E_vEDNvVIAkAnBd.jpg</v>
      </c>
      <c r="V314" s="84" t="str">
        <f>HYPERLINK("https://pbs.twimg.com/media/E_vEDNvVIAkAnBd.jpg")</f>
        <v>https://pbs.twimg.com/media/E_vEDNvVIAkAnBd.jpg</v>
      </c>
      <c r="W314" s="83">
        <v>44459.760879629626</v>
      </c>
      <c r="X314" s="89">
        <v>44459</v>
      </c>
      <c r="Y314" s="86" t="s">
        <v>1100</v>
      </c>
      <c r="Z314" s="84" t="str">
        <f>HYPERLINK("https://twitter.com/skzstaycmchhysj/status/1440016826436513792")</f>
        <v>https://twitter.com/skzstaycmchhysj/status/1440016826436513792</v>
      </c>
      <c r="AA314" s="81"/>
      <c r="AB314" s="81"/>
      <c r="AC314" s="86" t="s">
        <v>1598</v>
      </c>
      <c r="AD314" s="81"/>
      <c r="AE314" s="81" t="b">
        <v>0</v>
      </c>
      <c r="AF314" s="81">
        <v>0</v>
      </c>
      <c r="AG314" s="86" t="s">
        <v>2084</v>
      </c>
      <c r="AH314" s="81" t="b">
        <v>0</v>
      </c>
      <c r="AI314" s="81" t="s">
        <v>2168</v>
      </c>
      <c r="AJ314" s="81"/>
      <c r="AK314" s="86" t="s">
        <v>2084</v>
      </c>
      <c r="AL314" s="81" t="b">
        <v>0</v>
      </c>
      <c r="AM314" s="81">
        <v>10</v>
      </c>
      <c r="AN314" s="86" t="s">
        <v>1597</v>
      </c>
      <c r="AO314" s="86" t="s">
        <v>2178</v>
      </c>
      <c r="AP314" s="81" t="b">
        <v>0</v>
      </c>
      <c r="AQ314" s="86" t="s">
        <v>1597</v>
      </c>
      <c r="AR314" s="81" t="s">
        <v>179</v>
      </c>
      <c r="AS314" s="81">
        <v>0</v>
      </c>
      <c r="AT314" s="81">
        <v>0</v>
      </c>
      <c r="AU314" s="81"/>
      <c r="AV314" s="81"/>
      <c r="AW314" s="81"/>
      <c r="AX314" s="81"/>
      <c r="AY314" s="81"/>
      <c r="AZ314" s="81"/>
      <c r="BA314" s="81"/>
      <c r="BB314" s="81"/>
    </row>
    <row r="315" spans="1:54" x14ac:dyDescent="0.35">
      <c r="A315" s="66" t="s">
        <v>298</v>
      </c>
      <c r="B315" s="66" t="s">
        <v>592</v>
      </c>
      <c r="C315" s="67"/>
      <c r="D315" s="68"/>
      <c r="E315" s="69"/>
      <c r="F315" s="70"/>
      <c r="G315" s="67"/>
      <c r="H315" s="71"/>
      <c r="I315" s="72"/>
      <c r="J315" s="72"/>
      <c r="K315" s="36"/>
      <c r="L315" s="79"/>
      <c r="M315" s="79"/>
      <c r="N315" s="74"/>
      <c r="O315" s="81" t="s">
        <v>693</v>
      </c>
      <c r="P315" s="83">
        <v>44461.340405092589</v>
      </c>
      <c r="Q315" s="81" t="s">
        <v>741</v>
      </c>
      <c r="R315" s="81"/>
      <c r="S315" s="81"/>
      <c r="T315" s="86" t="s">
        <v>972</v>
      </c>
      <c r="U315" s="84" t="str">
        <f>HYPERLINK("https://pbs.twimg.com/media/E_38CFLVkAAf4fL.jpg")</f>
        <v>https://pbs.twimg.com/media/E_38CFLVkAAf4fL.jpg</v>
      </c>
      <c r="V315" s="84" t="str">
        <f>HYPERLINK("https://pbs.twimg.com/media/E_38CFLVkAAf4fL.jpg")</f>
        <v>https://pbs.twimg.com/media/E_38CFLVkAAf4fL.jpg</v>
      </c>
      <c r="W315" s="83">
        <v>44461.340405092589</v>
      </c>
      <c r="X315" s="89">
        <v>44461</v>
      </c>
      <c r="Y315" s="86" t="s">
        <v>1101</v>
      </c>
      <c r="Z315" s="84" t="str">
        <f>HYPERLINK("https://twitter.com/skzstaycmchhysj/status/1440589228581142528")</f>
        <v>https://twitter.com/skzstaycmchhysj/status/1440589228581142528</v>
      </c>
      <c r="AA315" s="81"/>
      <c r="AB315" s="81"/>
      <c r="AC315" s="86" t="s">
        <v>1599</v>
      </c>
      <c r="AD315" s="81"/>
      <c r="AE315" s="81" t="b">
        <v>0</v>
      </c>
      <c r="AF315" s="81">
        <v>0</v>
      </c>
      <c r="AG315" s="86" t="s">
        <v>2084</v>
      </c>
      <c r="AH315" s="81" t="b">
        <v>0</v>
      </c>
      <c r="AI315" s="81" t="s">
        <v>2168</v>
      </c>
      <c r="AJ315" s="81"/>
      <c r="AK315" s="86" t="s">
        <v>2084</v>
      </c>
      <c r="AL315" s="81" t="b">
        <v>0</v>
      </c>
      <c r="AM315" s="81">
        <v>25</v>
      </c>
      <c r="AN315" s="86" t="s">
        <v>1996</v>
      </c>
      <c r="AO315" s="86" t="s">
        <v>2178</v>
      </c>
      <c r="AP315" s="81" t="b">
        <v>0</v>
      </c>
      <c r="AQ315" s="86" t="s">
        <v>1996</v>
      </c>
      <c r="AR315" s="81" t="s">
        <v>179</v>
      </c>
      <c r="AS315" s="81">
        <v>0</v>
      </c>
      <c r="AT315" s="81">
        <v>0</v>
      </c>
      <c r="AU315" s="81"/>
      <c r="AV315" s="81"/>
      <c r="AW315" s="81"/>
      <c r="AX315" s="81"/>
      <c r="AY315" s="81"/>
      <c r="AZ315" s="81"/>
      <c r="BA315" s="81"/>
      <c r="BB315" s="81"/>
    </row>
    <row r="316" spans="1:54" x14ac:dyDescent="0.35">
      <c r="A316" s="66" t="s">
        <v>299</v>
      </c>
      <c r="B316" s="66" t="s">
        <v>592</v>
      </c>
      <c r="C316" s="67"/>
      <c r="D316" s="68"/>
      <c r="E316" s="69"/>
      <c r="F316" s="70"/>
      <c r="G316" s="67"/>
      <c r="H316" s="71"/>
      <c r="I316" s="72"/>
      <c r="J316" s="72"/>
      <c r="K316" s="36"/>
      <c r="L316" s="79"/>
      <c r="M316" s="79"/>
      <c r="N316" s="74"/>
      <c r="O316" s="81" t="s">
        <v>693</v>
      </c>
      <c r="P316" s="83">
        <v>44461.340497685182</v>
      </c>
      <c r="Q316" s="81" t="s">
        <v>741</v>
      </c>
      <c r="R316" s="81"/>
      <c r="S316" s="81"/>
      <c r="T316" s="86" t="s">
        <v>972</v>
      </c>
      <c r="U316" s="84" t="str">
        <f>HYPERLINK("https://pbs.twimg.com/media/E_38CFLVkAAf4fL.jpg")</f>
        <v>https://pbs.twimg.com/media/E_38CFLVkAAf4fL.jpg</v>
      </c>
      <c r="V316" s="84" t="str">
        <f>HYPERLINK("https://pbs.twimg.com/media/E_38CFLVkAAf4fL.jpg")</f>
        <v>https://pbs.twimg.com/media/E_38CFLVkAAf4fL.jpg</v>
      </c>
      <c r="W316" s="83">
        <v>44461.340497685182</v>
      </c>
      <c r="X316" s="89">
        <v>44461</v>
      </c>
      <c r="Y316" s="86" t="s">
        <v>1102</v>
      </c>
      <c r="Z316" s="84" t="str">
        <f>HYPERLINK("https://twitter.com/bbokfreckkie/status/1440589263649718273")</f>
        <v>https://twitter.com/bbokfreckkie/status/1440589263649718273</v>
      </c>
      <c r="AA316" s="81"/>
      <c r="AB316" s="81"/>
      <c r="AC316" s="86" t="s">
        <v>1600</v>
      </c>
      <c r="AD316" s="81"/>
      <c r="AE316" s="81" t="b">
        <v>0</v>
      </c>
      <c r="AF316" s="81">
        <v>0</v>
      </c>
      <c r="AG316" s="86" t="s">
        <v>2084</v>
      </c>
      <c r="AH316" s="81" t="b">
        <v>0</v>
      </c>
      <c r="AI316" s="81" t="s">
        <v>2168</v>
      </c>
      <c r="AJ316" s="81"/>
      <c r="AK316" s="86" t="s">
        <v>2084</v>
      </c>
      <c r="AL316" s="81" t="b">
        <v>0</v>
      </c>
      <c r="AM316" s="81">
        <v>25</v>
      </c>
      <c r="AN316" s="86" t="s">
        <v>1996</v>
      </c>
      <c r="AO316" s="86" t="s">
        <v>2179</v>
      </c>
      <c r="AP316" s="81" t="b">
        <v>0</v>
      </c>
      <c r="AQ316" s="86" t="s">
        <v>1996</v>
      </c>
      <c r="AR316" s="81" t="s">
        <v>179</v>
      </c>
      <c r="AS316" s="81">
        <v>0</v>
      </c>
      <c r="AT316" s="81">
        <v>0</v>
      </c>
      <c r="AU316" s="81"/>
      <c r="AV316" s="81"/>
      <c r="AW316" s="81"/>
      <c r="AX316" s="81"/>
      <c r="AY316" s="81"/>
      <c r="AZ316" s="81"/>
      <c r="BA316" s="81"/>
      <c r="BB316" s="81"/>
    </row>
    <row r="317" spans="1:54" x14ac:dyDescent="0.35">
      <c r="A317" s="66" t="s">
        <v>300</v>
      </c>
      <c r="B317" s="66" t="s">
        <v>592</v>
      </c>
      <c r="C317" s="67"/>
      <c r="D317" s="68"/>
      <c r="E317" s="69"/>
      <c r="F317" s="70"/>
      <c r="G317" s="67"/>
      <c r="H317" s="71"/>
      <c r="I317" s="72"/>
      <c r="J317" s="72"/>
      <c r="K317" s="36"/>
      <c r="L317" s="79"/>
      <c r="M317" s="79"/>
      <c r="N317" s="74"/>
      <c r="O317" s="81" t="s">
        <v>693</v>
      </c>
      <c r="P317" s="83">
        <v>44461.341307870367</v>
      </c>
      <c r="Q317" s="81" t="s">
        <v>741</v>
      </c>
      <c r="R317" s="81"/>
      <c r="S317" s="81"/>
      <c r="T317" s="86" t="s">
        <v>972</v>
      </c>
      <c r="U317" s="84" t="str">
        <f>HYPERLINK("https://pbs.twimg.com/media/E_38CFLVkAAf4fL.jpg")</f>
        <v>https://pbs.twimg.com/media/E_38CFLVkAAf4fL.jpg</v>
      </c>
      <c r="V317" s="84" t="str">
        <f>HYPERLINK("https://pbs.twimg.com/media/E_38CFLVkAAf4fL.jpg")</f>
        <v>https://pbs.twimg.com/media/E_38CFLVkAAf4fL.jpg</v>
      </c>
      <c r="W317" s="83">
        <v>44461.341307870367</v>
      </c>
      <c r="X317" s="89">
        <v>44461</v>
      </c>
      <c r="Y317" s="86" t="s">
        <v>1103</v>
      </c>
      <c r="Z317" s="84" t="str">
        <f>HYPERLINK("https://twitter.com/favorskz/status/1440589554608525318")</f>
        <v>https://twitter.com/favorskz/status/1440589554608525318</v>
      </c>
      <c r="AA317" s="81"/>
      <c r="AB317" s="81"/>
      <c r="AC317" s="86" t="s">
        <v>1601</v>
      </c>
      <c r="AD317" s="81"/>
      <c r="AE317" s="81" t="b">
        <v>0</v>
      </c>
      <c r="AF317" s="81">
        <v>0</v>
      </c>
      <c r="AG317" s="86" t="s">
        <v>2084</v>
      </c>
      <c r="AH317" s="81" t="b">
        <v>0</v>
      </c>
      <c r="AI317" s="81" t="s">
        <v>2168</v>
      </c>
      <c r="AJ317" s="81"/>
      <c r="AK317" s="86" t="s">
        <v>2084</v>
      </c>
      <c r="AL317" s="81" t="b">
        <v>0</v>
      </c>
      <c r="AM317" s="81">
        <v>25</v>
      </c>
      <c r="AN317" s="86" t="s">
        <v>1996</v>
      </c>
      <c r="AO317" s="86" t="s">
        <v>2178</v>
      </c>
      <c r="AP317" s="81" t="b">
        <v>0</v>
      </c>
      <c r="AQ317" s="86" t="s">
        <v>1996</v>
      </c>
      <c r="AR317" s="81" t="s">
        <v>179</v>
      </c>
      <c r="AS317" s="81">
        <v>0</v>
      </c>
      <c r="AT317" s="81">
        <v>0</v>
      </c>
      <c r="AU317" s="81"/>
      <c r="AV317" s="81"/>
      <c r="AW317" s="81"/>
      <c r="AX317" s="81"/>
      <c r="AY317" s="81"/>
      <c r="AZ317" s="81"/>
      <c r="BA317" s="81"/>
      <c r="BB317" s="81"/>
    </row>
    <row r="318" spans="1:54" x14ac:dyDescent="0.35">
      <c r="A318" s="66" t="s">
        <v>301</v>
      </c>
      <c r="B318" s="66" t="s">
        <v>592</v>
      </c>
      <c r="C318" s="67"/>
      <c r="D318" s="68"/>
      <c r="E318" s="69"/>
      <c r="F318" s="70"/>
      <c r="G318" s="67"/>
      <c r="H318" s="71"/>
      <c r="I318" s="72"/>
      <c r="J318" s="72"/>
      <c r="K318" s="36"/>
      <c r="L318" s="79"/>
      <c r="M318" s="79"/>
      <c r="N318" s="74"/>
      <c r="O318" s="81" t="s">
        <v>693</v>
      </c>
      <c r="P318" s="83">
        <v>44461.34134259259</v>
      </c>
      <c r="Q318" s="81" t="s">
        <v>741</v>
      </c>
      <c r="R318" s="81"/>
      <c r="S318" s="81"/>
      <c r="T318" s="86" t="s">
        <v>972</v>
      </c>
      <c r="U318" s="84" t="str">
        <f>HYPERLINK("https://pbs.twimg.com/media/E_38CFLVkAAf4fL.jpg")</f>
        <v>https://pbs.twimg.com/media/E_38CFLVkAAf4fL.jpg</v>
      </c>
      <c r="V318" s="84" t="str">
        <f>HYPERLINK("https://pbs.twimg.com/media/E_38CFLVkAAf4fL.jpg")</f>
        <v>https://pbs.twimg.com/media/E_38CFLVkAAf4fL.jpg</v>
      </c>
      <c r="W318" s="83">
        <v>44461.34134259259</v>
      </c>
      <c r="X318" s="89">
        <v>44461</v>
      </c>
      <c r="Y318" s="86" t="s">
        <v>1104</v>
      </c>
      <c r="Z318" s="84" t="str">
        <f>HYPERLINK("https://twitter.com/haafiieezaa98/status/1440589567787077641")</f>
        <v>https://twitter.com/haafiieezaa98/status/1440589567787077641</v>
      </c>
      <c r="AA318" s="81"/>
      <c r="AB318" s="81"/>
      <c r="AC318" s="86" t="s">
        <v>1602</v>
      </c>
      <c r="AD318" s="81"/>
      <c r="AE318" s="81" t="b">
        <v>0</v>
      </c>
      <c r="AF318" s="81">
        <v>0</v>
      </c>
      <c r="AG318" s="86" t="s">
        <v>2084</v>
      </c>
      <c r="AH318" s="81" t="b">
        <v>0</v>
      </c>
      <c r="AI318" s="81" t="s">
        <v>2168</v>
      </c>
      <c r="AJ318" s="81"/>
      <c r="AK318" s="86" t="s">
        <v>2084</v>
      </c>
      <c r="AL318" s="81" t="b">
        <v>0</v>
      </c>
      <c r="AM318" s="81">
        <v>25</v>
      </c>
      <c r="AN318" s="86" t="s">
        <v>1996</v>
      </c>
      <c r="AO318" s="86" t="s">
        <v>2178</v>
      </c>
      <c r="AP318" s="81" t="b">
        <v>0</v>
      </c>
      <c r="AQ318" s="86" t="s">
        <v>1996</v>
      </c>
      <c r="AR318" s="81" t="s">
        <v>179</v>
      </c>
      <c r="AS318" s="81">
        <v>0</v>
      </c>
      <c r="AT318" s="81">
        <v>0</v>
      </c>
      <c r="AU318" s="81"/>
      <c r="AV318" s="81"/>
      <c r="AW318" s="81"/>
      <c r="AX318" s="81"/>
      <c r="AY318" s="81"/>
      <c r="AZ318" s="81"/>
      <c r="BA318" s="81"/>
      <c r="BB318" s="81"/>
    </row>
    <row r="319" spans="1:54" x14ac:dyDescent="0.35">
      <c r="A319" s="66" t="s">
        <v>302</v>
      </c>
      <c r="B319" s="66" t="s">
        <v>592</v>
      </c>
      <c r="C319" s="67"/>
      <c r="D319" s="68"/>
      <c r="E319" s="69"/>
      <c r="F319" s="70"/>
      <c r="G319" s="67"/>
      <c r="H319" s="71"/>
      <c r="I319" s="72"/>
      <c r="J319" s="72"/>
      <c r="K319" s="36"/>
      <c r="L319" s="79"/>
      <c r="M319" s="79"/>
      <c r="N319" s="74"/>
      <c r="O319" s="81" t="s">
        <v>693</v>
      </c>
      <c r="P319" s="83">
        <v>44461.341886574075</v>
      </c>
      <c r="Q319" s="81" t="s">
        <v>741</v>
      </c>
      <c r="R319" s="81"/>
      <c r="S319" s="81"/>
      <c r="T319" s="86" t="s">
        <v>972</v>
      </c>
      <c r="U319" s="84" t="str">
        <f>HYPERLINK("https://pbs.twimg.com/media/E_38CFLVkAAf4fL.jpg")</f>
        <v>https://pbs.twimg.com/media/E_38CFLVkAAf4fL.jpg</v>
      </c>
      <c r="V319" s="84" t="str">
        <f>HYPERLINK("https://pbs.twimg.com/media/E_38CFLVkAAf4fL.jpg")</f>
        <v>https://pbs.twimg.com/media/E_38CFLVkAAf4fL.jpg</v>
      </c>
      <c r="W319" s="83">
        <v>44461.341886574075</v>
      </c>
      <c r="X319" s="89">
        <v>44461</v>
      </c>
      <c r="Y319" s="86" t="s">
        <v>1105</v>
      </c>
      <c r="Z319" s="84" t="str">
        <f>HYPERLINK("https://twitter.com/mongmongmy/status/1440589764386639879")</f>
        <v>https://twitter.com/mongmongmy/status/1440589764386639879</v>
      </c>
      <c r="AA319" s="81"/>
      <c r="AB319" s="81"/>
      <c r="AC319" s="86" t="s">
        <v>1603</v>
      </c>
      <c r="AD319" s="81"/>
      <c r="AE319" s="81" t="b">
        <v>0</v>
      </c>
      <c r="AF319" s="81">
        <v>0</v>
      </c>
      <c r="AG319" s="86" t="s">
        <v>2084</v>
      </c>
      <c r="AH319" s="81" t="b">
        <v>0</v>
      </c>
      <c r="AI319" s="81" t="s">
        <v>2168</v>
      </c>
      <c r="AJ319" s="81"/>
      <c r="AK319" s="86" t="s">
        <v>2084</v>
      </c>
      <c r="AL319" s="81" t="b">
        <v>0</v>
      </c>
      <c r="AM319" s="81">
        <v>25</v>
      </c>
      <c r="AN319" s="86" t="s">
        <v>1996</v>
      </c>
      <c r="AO319" s="86" t="s">
        <v>2178</v>
      </c>
      <c r="AP319" s="81" t="b">
        <v>0</v>
      </c>
      <c r="AQ319" s="86" t="s">
        <v>1996</v>
      </c>
      <c r="AR319" s="81" t="s">
        <v>179</v>
      </c>
      <c r="AS319" s="81">
        <v>0</v>
      </c>
      <c r="AT319" s="81">
        <v>0</v>
      </c>
      <c r="AU319" s="81"/>
      <c r="AV319" s="81"/>
      <c r="AW319" s="81"/>
      <c r="AX319" s="81"/>
      <c r="AY319" s="81"/>
      <c r="AZ319" s="81"/>
      <c r="BA319" s="81"/>
      <c r="BB319" s="81"/>
    </row>
    <row r="320" spans="1:54" x14ac:dyDescent="0.35">
      <c r="A320" s="66" t="s">
        <v>303</v>
      </c>
      <c r="B320" s="66" t="s">
        <v>592</v>
      </c>
      <c r="C320" s="67"/>
      <c r="D320" s="68"/>
      <c r="E320" s="69"/>
      <c r="F320" s="70"/>
      <c r="G320" s="67"/>
      <c r="H320" s="71"/>
      <c r="I320" s="72"/>
      <c r="J320" s="72"/>
      <c r="K320" s="36"/>
      <c r="L320" s="79"/>
      <c r="M320" s="79"/>
      <c r="N320" s="74"/>
      <c r="O320" s="81" t="s">
        <v>693</v>
      </c>
      <c r="P320" s="83">
        <v>44461.342546296299</v>
      </c>
      <c r="Q320" s="81" t="s">
        <v>741</v>
      </c>
      <c r="R320" s="81"/>
      <c r="S320" s="81"/>
      <c r="T320" s="86" t="s">
        <v>972</v>
      </c>
      <c r="U320" s="84" t="str">
        <f>HYPERLINK("https://pbs.twimg.com/media/E_38CFLVkAAf4fL.jpg")</f>
        <v>https://pbs.twimg.com/media/E_38CFLVkAAf4fL.jpg</v>
      </c>
      <c r="V320" s="84" t="str">
        <f>HYPERLINK("https://pbs.twimg.com/media/E_38CFLVkAAf4fL.jpg")</f>
        <v>https://pbs.twimg.com/media/E_38CFLVkAAf4fL.jpg</v>
      </c>
      <c r="W320" s="83">
        <v>44461.342546296299</v>
      </c>
      <c r="X320" s="89">
        <v>44461</v>
      </c>
      <c r="Y320" s="86" t="s">
        <v>1106</v>
      </c>
      <c r="Z320" s="84" t="str">
        <f>HYPERLINK("https://twitter.com/enhanreals/status/1440590003835334664")</f>
        <v>https://twitter.com/enhanreals/status/1440590003835334664</v>
      </c>
      <c r="AA320" s="81"/>
      <c r="AB320" s="81"/>
      <c r="AC320" s="86" t="s">
        <v>1604</v>
      </c>
      <c r="AD320" s="81"/>
      <c r="AE320" s="81" t="b">
        <v>0</v>
      </c>
      <c r="AF320" s="81">
        <v>0</v>
      </c>
      <c r="AG320" s="86" t="s">
        <v>2084</v>
      </c>
      <c r="AH320" s="81" t="b">
        <v>0</v>
      </c>
      <c r="AI320" s="81" t="s">
        <v>2168</v>
      </c>
      <c r="AJ320" s="81"/>
      <c r="AK320" s="86" t="s">
        <v>2084</v>
      </c>
      <c r="AL320" s="81" t="b">
        <v>0</v>
      </c>
      <c r="AM320" s="81">
        <v>25</v>
      </c>
      <c r="AN320" s="86" t="s">
        <v>1996</v>
      </c>
      <c r="AO320" s="86" t="s">
        <v>2182</v>
      </c>
      <c r="AP320" s="81" t="b">
        <v>0</v>
      </c>
      <c r="AQ320" s="86" t="s">
        <v>1996</v>
      </c>
      <c r="AR320" s="81" t="s">
        <v>179</v>
      </c>
      <c r="AS320" s="81">
        <v>0</v>
      </c>
      <c r="AT320" s="81">
        <v>0</v>
      </c>
      <c r="AU320" s="81"/>
      <c r="AV320" s="81"/>
      <c r="AW320" s="81"/>
      <c r="AX320" s="81"/>
      <c r="AY320" s="81"/>
      <c r="AZ320" s="81"/>
      <c r="BA320" s="81"/>
      <c r="BB320" s="81"/>
    </row>
    <row r="321" spans="1:54" x14ac:dyDescent="0.35">
      <c r="A321" s="66" t="s">
        <v>304</v>
      </c>
      <c r="B321" s="66" t="s">
        <v>592</v>
      </c>
      <c r="C321" s="67"/>
      <c r="D321" s="68"/>
      <c r="E321" s="69"/>
      <c r="F321" s="70"/>
      <c r="G321" s="67"/>
      <c r="H321" s="71"/>
      <c r="I321" s="72"/>
      <c r="J321" s="72"/>
      <c r="K321" s="36"/>
      <c r="L321" s="79"/>
      <c r="M321" s="79"/>
      <c r="N321" s="74"/>
      <c r="O321" s="81" t="s">
        <v>693</v>
      </c>
      <c r="P321" s="83">
        <v>44461.343541666669</v>
      </c>
      <c r="Q321" s="81" t="s">
        <v>741</v>
      </c>
      <c r="R321" s="81"/>
      <c r="S321" s="81"/>
      <c r="T321" s="86" t="s">
        <v>972</v>
      </c>
      <c r="U321" s="84" t="str">
        <f>HYPERLINK("https://pbs.twimg.com/media/E_38CFLVkAAf4fL.jpg")</f>
        <v>https://pbs.twimg.com/media/E_38CFLVkAAf4fL.jpg</v>
      </c>
      <c r="V321" s="84" t="str">
        <f>HYPERLINK("https://pbs.twimg.com/media/E_38CFLVkAAf4fL.jpg")</f>
        <v>https://pbs.twimg.com/media/E_38CFLVkAAf4fL.jpg</v>
      </c>
      <c r="W321" s="83">
        <v>44461.343541666669</v>
      </c>
      <c r="X321" s="89">
        <v>44461</v>
      </c>
      <c r="Y321" s="86" t="s">
        <v>1107</v>
      </c>
      <c r="Z321" s="84" t="str">
        <f>HYPERLINK("https://twitter.com/ansnisnis/status/1440590366793617412")</f>
        <v>https://twitter.com/ansnisnis/status/1440590366793617412</v>
      </c>
      <c r="AA321" s="81"/>
      <c r="AB321" s="81"/>
      <c r="AC321" s="86" t="s">
        <v>1605</v>
      </c>
      <c r="AD321" s="81"/>
      <c r="AE321" s="81" t="b">
        <v>0</v>
      </c>
      <c r="AF321" s="81">
        <v>0</v>
      </c>
      <c r="AG321" s="86" t="s">
        <v>2084</v>
      </c>
      <c r="AH321" s="81" t="b">
        <v>0</v>
      </c>
      <c r="AI321" s="81" t="s">
        <v>2168</v>
      </c>
      <c r="AJ321" s="81"/>
      <c r="AK321" s="86" t="s">
        <v>2084</v>
      </c>
      <c r="AL321" s="81" t="b">
        <v>0</v>
      </c>
      <c r="AM321" s="81">
        <v>25</v>
      </c>
      <c r="AN321" s="86" t="s">
        <v>1996</v>
      </c>
      <c r="AO321" s="86" t="s">
        <v>2179</v>
      </c>
      <c r="AP321" s="81" t="b">
        <v>0</v>
      </c>
      <c r="AQ321" s="86" t="s">
        <v>1996</v>
      </c>
      <c r="AR321" s="81" t="s">
        <v>179</v>
      </c>
      <c r="AS321" s="81">
        <v>0</v>
      </c>
      <c r="AT321" s="81">
        <v>0</v>
      </c>
      <c r="AU321" s="81"/>
      <c r="AV321" s="81"/>
      <c r="AW321" s="81"/>
      <c r="AX321" s="81"/>
      <c r="AY321" s="81"/>
      <c r="AZ321" s="81"/>
      <c r="BA321" s="81"/>
      <c r="BB321" s="81"/>
    </row>
    <row r="322" spans="1:54" x14ac:dyDescent="0.35">
      <c r="A322" s="66" t="s">
        <v>305</v>
      </c>
      <c r="B322" s="66" t="s">
        <v>592</v>
      </c>
      <c r="C322" s="67"/>
      <c r="D322" s="68"/>
      <c r="E322" s="69"/>
      <c r="F322" s="70"/>
      <c r="G322" s="67"/>
      <c r="H322" s="71"/>
      <c r="I322" s="72"/>
      <c r="J322" s="72"/>
      <c r="K322" s="36"/>
      <c r="L322" s="79"/>
      <c r="M322" s="79"/>
      <c r="N322" s="74"/>
      <c r="O322" s="81" t="s">
        <v>693</v>
      </c>
      <c r="P322" s="83">
        <v>44461.343645833331</v>
      </c>
      <c r="Q322" s="81" t="s">
        <v>741</v>
      </c>
      <c r="R322" s="81"/>
      <c r="S322" s="81"/>
      <c r="T322" s="86" t="s">
        <v>972</v>
      </c>
      <c r="U322" s="84" t="str">
        <f>HYPERLINK("https://pbs.twimg.com/media/E_38CFLVkAAf4fL.jpg")</f>
        <v>https://pbs.twimg.com/media/E_38CFLVkAAf4fL.jpg</v>
      </c>
      <c r="V322" s="84" t="str">
        <f>HYPERLINK("https://pbs.twimg.com/media/E_38CFLVkAAf4fL.jpg")</f>
        <v>https://pbs.twimg.com/media/E_38CFLVkAAf4fL.jpg</v>
      </c>
      <c r="W322" s="83">
        <v>44461.343645833331</v>
      </c>
      <c r="X322" s="89">
        <v>44461</v>
      </c>
      <c r="Y322" s="86" t="s">
        <v>1108</v>
      </c>
      <c r="Z322" s="84" t="str">
        <f>HYPERLINK("https://twitter.com/abbykhai11/status/1440590402709426185")</f>
        <v>https://twitter.com/abbykhai11/status/1440590402709426185</v>
      </c>
      <c r="AA322" s="81"/>
      <c r="AB322" s="81"/>
      <c r="AC322" s="86" t="s">
        <v>1606</v>
      </c>
      <c r="AD322" s="81"/>
      <c r="AE322" s="81" t="b">
        <v>0</v>
      </c>
      <c r="AF322" s="81">
        <v>0</v>
      </c>
      <c r="AG322" s="86" t="s">
        <v>2084</v>
      </c>
      <c r="AH322" s="81" t="b">
        <v>0</v>
      </c>
      <c r="AI322" s="81" t="s">
        <v>2168</v>
      </c>
      <c r="AJ322" s="81"/>
      <c r="AK322" s="86" t="s">
        <v>2084</v>
      </c>
      <c r="AL322" s="81" t="b">
        <v>0</v>
      </c>
      <c r="AM322" s="81">
        <v>25</v>
      </c>
      <c r="AN322" s="86" t="s">
        <v>1996</v>
      </c>
      <c r="AO322" s="86" t="s">
        <v>2179</v>
      </c>
      <c r="AP322" s="81" t="b">
        <v>0</v>
      </c>
      <c r="AQ322" s="86" t="s">
        <v>1996</v>
      </c>
      <c r="AR322" s="81" t="s">
        <v>179</v>
      </c>
      <c r="AS322" s="81">
        <v>0</v>
      </c>
      <c r="AT322" s="81">
        <v>0</v>
      </c>
      <c r="AU322" s="81"/>
      <c r="AV322" s="81"/>
      <c r="AW322" s="81"/>
      <c r="AX322" s="81"/>
      <c r="AY322" s="81"/>
      <c r="AZ322" s="81"/>
      <c r="BA322" s="81"/>
      <c r="BB322" s="81"/>
    </row>
    <row r="323" spans="1:54" x14ac:dyDescent="0.35">
      <c r="A323" s="66" t="s">
        <v>306</v>
      </c>
      <c r="B323" s="66" t="s">
        <v>592</v>
      </c>
      <c r="C323" s="67"/>
      <c r="D323" s="68"/>
      <c r="E323" s="69"/>
      <c r="F323" s="70"/>
      <c r="G323" s="67"/>
      <c r="H323" s="71"/>
      <c r="I323" s="72"/>
      <c r="J323" s="72"/>
      <c r="K323" s="36"/>
      <c r="L323" s="79"/>
      <c r="M323" s="79"/>
      <c r="N323" s="74"/>
      <c r="O323" s="81" t="s">
        <v>693</v>
      </c>
      <c r="P323" s="83">
        <v>44461.350787037038</v>
      </c>
      <c r="Q323" s="81" t="s">
        <v>741</v>
      </c>
      <c r="R323" s="81"/>
      <c r="S323" s="81"/>
      <c r="T323" s="86" t="s">
        <v>972</v>
      </c>
      <c r="U323" s="84" t="str">
        <f>HYPERLINK("https://pbs.twimg.com/media/E_38CFLVkAAf4fL.jpg")</f>
        <v>https://pbs.twimg.com/media/E_38CFLVkAAf4fL.jpg</v>
      </c>
      <c r="V323" s="84" t="str">
        <f>HYPERLINK("https://pbs.twimg.com/media/E_38CFLVkAAf4fL.jpg")</f>
        <v>https://pbs.twimg.com/media/E_38CFLVkAAf4fL.jpg</v>
      </c>
      <c r="W323" s="83">
        <v>44461.350787037038</v>
      </c>
      <c r="X323" s="89">
        <v>44461</v>
      </c>
      <c r="Y323" s="86" t="s">
        <v>1109</v>
      </c>
      <c r="Z323" s="84" t="str">
        <f>HYPERLINK("https://twitter.com/nychnie/status/1440592988627898371")</f>
        <v>https://twitter.com/nychnie/status/1440592988627898371</v>
      </c>
      <c r="AA323" s="81"/>
      <c r="AB323" s="81"/>
      <c r="AC323" s="86" t="s">
        <v>1607</v>
      </c>
      <c r="AD323" s="81"/>
      <c r="AE323" s="81" t="b">
        <v>0</v>
      </c>
      <c r="AF323" s="81">
        <v>0</v>
      </c>
      <c r="AG323" s="86" t="s">
        <v>2084</v>
      </c>
      <c r="AH323" s="81" t="b">
        <v>0</v>
      </c>
      <c r="AI323" s="81" t="s">
        <v>2168</v>
      </c>
      <c r="AJ323" s="81"/>
      <c r="AK323" s="86" t="s">
        <v>2084</v>
      </c>
      <c r="AL323" s="81" t="b">
        <v>0</v>
      </c>
      <c r="AM323" s="81">
        <v>25</v>
      </c>
      <c r="AN323" s="86" t="s">
        <v>1996</v>
      </c>
      <c r="AO323" s="86" t="s">
        <v>2178</v>
      </c>
      <c r="AP323" s="81" t="b">
        <v>0</v>
      </c>
      <c r="AQ323" s="86" t="s">
        <v>1996</v>
      </c>
      <c r="AR323" s="81" t="s">
        <v>179</v>
      </c>
      <c r="AS323" s="81">
        <v>0</v>
      </c>
      <c r="AT323" s="81">
        <v>0</v>
      </c>
      <c r="AU323" s="81"/>
      <c r="AV323" s="81"/>
      <c r="AW323" s="81"/>
      <c r="AX323" s="81"/>
      <c r="AY323" s="81"/>
      <c r="AZ323" s="81"/>
      <c r="BA323" s="81"/>
      <c r="BB323" s="81"/>
    </row>
    <row r="324" spans="1:54" x14ac:dyDescent="0.35">
      <c r="A324" s="66" t="s">
        <v>307</v>
      </c>
      <c r="B324" s="66" t="s">
        <v>592</v>
      </c>
      <c r="C324" s="67"/>
      <c r="D324" s="68"/>
      <c r="E324" s="69"/>
      <c r="F324" s="70"/>
      <c r="G324" s="67"/>
      <c r="H324" s="71"/>
      <c r="I324" s="72"/>
      <c r="J324" s="72"/>
      <c r="K324" s="36"/>
      <c r="L324" s="79"/>
      <c r="M324" s="79"/>
      <c r="N324" s="74"/>
      <c r="O324" s="81" t="s">
        <v>693</v>
      </c>
      <c r="P324" s="83">
        <v>44461.35193287037</v>
      </c>
      <c r="Q324" s="81" t="s">
        <v>741</v>
      </c>
      <c r="R324" s="81"/>
      <c r="S324" s="81"/>
      <c r="T324" s="86" t="s">
        <v>972</v>
      </c>
      <c r="U324" s="84" t="str">
        <f>HYPERLINK("https://pbs.twimg.com/media/E_38CFLVkAAf4fL.jpg")</f>
        <v>https://pbs.twimg.com/media/E_38CFLVkAAf4fL.jpg</v>
      </c>
      <c r="V324" s="84" t="str">
        <f>HYPERLINK("https://pbs.twimg.com/media/E_38CFLVkAAf4fL.jpg")</f>
        <v>https://pbs.twimg.com/media/E_38CFLVkAAf4fL.jpg</v>
      </c>
      <c r="W324" s="83">
        <v>44461.35193287037</v>
      </c>
      <c r="X324" s="89">
        <v>44461</v>
      </c>
      <c r="Y324" s="86" t="s">
        <v>1110</v>
      </c>
      <c r="Z324" s="84" t="str">
        <f>HYPERLINK("https://twitter.com/14quokka/status/1440593405331980299")</f>
        <v>https://twitter.com/14quokka/status/1440593405331980299</v>
      </c>
      <c r="AA324" s="81"/>
      <c r="AB324" s="81"/>
      <c r="AC324" s="86" t="s">
        <v>1608</v>
      </c>
      <c r="AD324" s="81"/>
      <c r="AE324" s="81" t="b">
        <v>0</v>
      </c>
      <c r="AF324" s="81">
        <v>0</v>
      </c>
      <c r="AG324" s="86" t="s">
        <v>2084</v>
      </c>
      <c r="AH324" s="81" t="b">
        <v>0</v>
      </c>
      <c r="AI324" s="81" t="s">
        <v>2168</v>
      </c>
      <c r="AJ324" s="81"/>
      <c r="AK324" s="86" t="s">
        <v>2084</v>
      </c>
      <c r="AL324" s="81" t="b">
        <v>0</v>
      </c>
      <c r="AM324" s="81">
        <v>25</v>
      </c>
      <c r="AN324" s="86" t="s">
        <v>1996</v>
      </c>
      <c r="AO324" s="86" t="s">
        <v>2179</v>
      </c>
      <c r="AP324" s="81" t="b">
        <v>0</v>
      </c>
      <c r="AQ324" s="86" t="s">
        <v>1996</v>
      </c>
      <c r="AR324" s="81" t="s">
        <v>179</v>
      </c>
      <c r="AS324" s="81">
        <v>0</v>
      </c>
      <c r="AT324" s="81">
        <v>0</v>
      </c>
      <c r="AU324" s="81"/>
      <c r="AV324" s="81"/>
      <c r="AW324" s="81"/>
      <c r="AX324" s="81"/>
      <c r="AY324" s="81"/>
      <c r="AZ324" s="81"/>
      <c r="BA324" s="81"/>
      <c r="BB324" s="81"/>
    </row>
    <row r="325" spans="1:54" x14ac:dyDescent="0.35">
      <c r="A325" s="66" t="s">
        <v>308</v>
      </c>
      <c r="B325" s="66" t="s">
        <v>308</v>
      </c>
      <c r="C325" s="67"/>
      <c r="D325" s="68"/>
      <c r="E325" s="69"/>
      <c r="F325" s="70"/>
      <c r="G325" s="67"/>
      <c r="H325" s="71"/>
      <c r="I325" s="72"/>
      <c r="J325" s="72"/>
      <c r="K325" s="36"/>
      <c r="L325" s="79"/>
      <c r="M325" s="79"/>
      <c r="N325" s="74"/>
      <c r="O325" s="81" t="s">
        <v>179</v>
      </c>
      <c r="P325" s="83">
        <v>44461.352256944447</v>
      </c>
      <c r="Q325" s="81" t="s">
        <v>742</v>
      </c>
      <c r="R325" s="81"/>
      <c r="S325" s="81"/>
      <c r="T325" s="81"/>
      <c r="U325" s="81"/>
      <c r="V325" s="84" t="str">
        <f>HYPERLINK("https://pbs.twimg.com/profile_images/1172122438814953472/yvh-MPxy_normal.jpg")</f>
        <v>https://pbs.twimg.com/profile_images/1172122438814953472/yvh-MPxy_normal.jpg</v>
      </c>
      <c r="W325" s="83">
        <v>44461.352256944447</v>
      </c>
      <c r="X325" s="89">
        <v>44461</v>
      </c>
      <c r="Y325" s="86" t="s">
        <v>1111</v>
      </c>
      <c r="Z325" s="84" t="str">
        <f>HYPERLINK("https://twitter.com/aanisnana/status/1440593522961174529")</f>
        <v>https://twitter.com/aanisnana/status/1440593522961174529</v>
      </c>
      <c r="AA325" s="81"/>
      <c r="AB325" s="81"/>
      <c r="AC325" s="86" t="s">
        <v>1609</v>
      </c>
      <c r="AD325" s="81"/>
      <c r="AE325" s="81" t="b">
        <v>0</v>
      </c>
      <c r="AF325" s="81">
        <v>1</v>
      </c>
      <c r="AG325" s="86" t="s">
        <v>2084</v>
      </c>
      <c r="AH325" s="81" t="b">
        <v>0</v>
      </c>
      <c r="AI325" s="81" t="s">
        <v>2167</v>
      </c>
      <c r="AJ325" s="81"/>
      <c r="AK325" s="86" t="s">
        <v>2084</v>
      </c>
      <c r="AL325" s="81" t="b">
        <v>0</v>
      </c>
      <c r="AM325" s="81">
        <v>0</v>
      </c>
      <c r="AN325" s="86" t="s">
        <v>2084</v>
      </c>
      <c r="AO325" s="86" t="s">
        <v>2178</v>
      </c>
      <c r="AP325" s="81" t="b">
        <v>0</v>
      </c>
      <c r="AQ325" s="86" t="s">
        <v>1609</v>
      </c>
      <c r="AR325" s="81" t="s">
        <v>179</v>
      </c>
      <c r="AS325" s="81">
        <v>0</v>
      </c>
      <c r="AT325" s="81">
        <v>0</v>
      </c>
      <c r="AU325" s="81"/>
      <c r="AV325" s="81"/>
      <c r="AW325" s="81"/>
      <c r="AX325" s="81"/>
      <c r="AY325" s="81"/>
      <c r="AZ325" s="81"/>
      <c r="BA325" s="81"/>
      <c r="BB325" s="81"/>
    </row>
    <row r="326" spans="1:54" x14ac:dyDescent="0.35">
      <c r="A326" s="66" t="s">
        <v>309</v>
      </c>
      <c r="B326" s="66" t="s">
        <v>592</v>
      </c>
      <c r="C326" s="67"/>
      <c r="D326" s="68"/>
      <c r="E326" s="69"/>
      <c r="F326" s="70"/>
      <c r="G326" s="67"/>
      <c r="H326" s="71"/>
      <c r="I326" s="72"/>
      <c r="J326" s="72"/>
      <c r="K326" s="36"/>
      <c r="L326" s="79"/>
      <c r="M326" s="79"/>
      <c r="N326" s="74"/>
      <c r="O326" s="81" t="s">
        <v>693</v>
      </c>
      <c r="P326" s="83">
        <v>44461.353414351855</v>
      </c>
      <c r="Q326" s="81" t="s">
        <v>741</v>
      </c>
      <c r="R326" s="81"/>
      <c r="S326" s="81"/>
      <c r="T326" s="86" t="s">
        <v>972</v>
      </c>
      <c r="U326" s="84" t="str">
        <f>HYPERLINK("https://pbs.twimg.com/media/E_38CFLVkAAf4fL.jpg")</f>
        <v>https://pbs.twimg.com/media/E_38CFLVkAAf4fL.jpg</v>
      </c>
      <c r="V326" s="84" t="str">
        <f>HYPERLINK("https://pbs.twimg.com/media/E_38CFLVkAAf4fL.jpg")</f>
        <v>https://pbs.twimg.com/media/E_38CFLVkAAf4fL.jpg</v>
      </c>
      <c r="W326" s="83">
        <v>44461.353414351855</v>
      </c>
      <c r="X326" s="89">
        <v>44461</v>
      </c>
      <c r="Y326" s="86" t="s">
        <v>1112</v>
      </c>
      <c r="Z326" s="84" t="str">
        <f>HYPERLINK("https://twitter.com/_hanjillipop/status/1440593941879877635")</f>
        <v>https://twitter.com/_hanjillipop/status/1440593941879877635</v>
      </c>
      <c r="AA326" s="81"/>
      <c r="AB326" s="81"/>
      <c r="AC326" s="86" t="s">
        <v>1610</v>
      </c>
      <c r="AD326" s="81"/>
      <c r="AE326" s="81" t="b">
        <v>0</v>
      </c>
      <c r="AF326" s="81">
        <v>0</v>
      </c>
      <c r="AG326" s="86" t="s">
        <v>2084</v>
      </c>
      <c r="AH326" s="81" t="b">
        <v>0</v>
      </c>
      <c r="AI326" s="81" t="s">
        <v>2168</v>
      </c>
      <c r="AJ326" s="81"/>
      <c r="AK326" s="86" t="s">
        <v>2084</v>
      </c>
      <c r="AL326" s="81" t="b">
        <v>0</v>
      </c>
      <c r="AM326" s="81">
        <v>25</v>
      </c>
      <c r="AN326" s="86" t="s">
        <v>1996</v>
      </c>
      <c r="AO326" s="86" t="s">
        <v>2178</v>
      </c>
      <c r="AP326" s="81" t="b">
        <v>0</v>
      </c>
      <c r="AQ326" s="86" t="s">
        <v>1996</v>
      </c>
      <c r="AR326" s="81" t="s">
        <v>179</v>
      </c>
      <c r="AS326" s="81">
        <v>0</v>
      </c>
      <c r="AT326" s="81">
        <v>0</v>
      </c>
      <c r="AU326" s="81"/>
      <c r="AV326" s="81"/>
      <c r="AW326" s="81"/>
      <c r="AX326" s="81"/>
      <c r="AY326" s="81"/>
      <c r="AZ326" s="81"/>
      <c r="BA326" s="81"/>
      <c r="BB326" s="81"/>
    </row>
    <row r="327" spans="1:54" x14ac:dyDescent="0.35">
      <c r="A327" s="66" t="s">
        <v>310</v>
      </c>
      <c r="B327" s="66" t="s">
        <v>592</v>
      </c>
      <c r="C327" s="67"/>
      <c r="D327" s="68"/>
      <c r="E327" s="69"/>
      <c r="F327" s="70"/>
      <c r="G327" s="67"/>
      <c r="H327" s="71"/>
      <c r="I327" s="72"/>
      <c r="J327" s="72"/>
      <c r="K327" s="36"/>
      <c r="L327" s="79"/>
      <c r="M327" s="79"/>
      <c r="N327" s="74"/>
      <c r="O327" s="81" t="s">
        <v>693</v>
      </c>
      <c r="P327" s="83">
        <v>44461.354143518518</v>
      </c>
      <c r="Q327" s="81" t="s">
        <v>741</v>
      </c>
      <c r="R327" s="81"/>
      <c r="S327" s="81"/>
      <c r="T327" s="86" t="s">
        <v>972</v>
      </c>
      <c r="U327" s="84" t="str">
        <f>HYPERLINK("https://pbs.twimg.com/media/E_38CFLVkAAf4fL.jpg")</f>
        <v>https://pbs.twimg.com/media/E_38CFLVkAAf4fL.jpg</v>
      </c>
      <c r="V327" s="84" t="str">
        <f>HYPERLINK("https://pbs.twimg.com/media/E_38CFLVkAAf4fL.jpg")</f>
        <v>https://pbs.twimg.com/media/E_38CFLVkAAf4fL.jpg</v>
      </c>
      <c r="W327" s="83">
        <v>44461.354143518518</v>
      </c>
      <c r="X327" s="89">
        <v>44461</v>
      </c>
      <c r="Y327" s="86" t="s">
        <v>1113</v>
      </c>
      <c r="Z327" s="84" t="str">
        <f>HYPERLINK("https://twitter.com/prncsflwr_/status/1440594208457302027")</f>
        <v>https://twitter.com/prncsflwr_/status/1440594208457302027</v>
      </c>
      <c r="AA327" s="81"/>
      <c r="AB327" s="81"/>
      <c r="AC327" s="86" t="s">
        <v>1611</v>
      </c>
      <c r="AD327" s="81"/>
      <c r="AE327" s="81" t="b">
        <v>0</v>
      </c>
      <c r="AF327" s="81">
        <v>0</v>
      </c>
      <c r="AG327" s="86" t="s">
        <v>2084</v>
      </c>
      <c r="AH327" s="81" t="b">
        <v>0</v>
      </c>
      <c r="AI327" s="81" t="s">
        <v>2168</v>
      </c>
      <c r="AJ327" s="81"/>
      <c r="AK327" s="86" t="s">
        <v>2084</v>
      </c>
      <c r="AL327" s="81" t="b">
        <v>0</v>
      </c>
      <c r="AM327" s="81">
        <v>25</v>
      </c>
      <c r="AN327" s="86" t="s">
        <v>1996</v>
      </c>
      <c r="AO327" s="86" t="s">
        <v>2179</v>
      </c>
      <c r="AP327" s="81" t="b">
        <v>0</v>
      </c>
      <c r="AQ327" s="86" t="s">
        <v>1996</v>
      </c>
      <c r="AR327" s="81" t="s">
        <v>179</v>
      </c>
      <c r="AS327" s="81">
        <v>0</v>
      </c>
      <c r="AT327" s="81">
        <v>0</v>
      </c>
      <c r="AU327" s="81"/>
      <c r="AV327" s="81"/>
      <c r="AW327" s="81"/>
      <c r="AX327" s="81"/>
      <c r="AY327" s="81"/>
      <c r="AZ327" s="81"/>
      <c r="BA327" s="81"/>
      <c r="BB327" s="81"/>
    </row>
    <row r="328" spans="1:54" x14ac:dyDescent="0.35">
      <c r="A328" s="66" t="s">
        <v>311</v>
      </c>
      <c r="B328" s="66" t="s">
        <v>592</v>
      </c>
      <c r="C328" s="67"/>
      <c r="D328" s="68"/>
      <c r="E328" s="69"/>
      <c r="F328" s="70"/>
      <c r="G328" s="67"/>
      <c r="H328" s="71"/>
      <c r="I328" s="72"/>
      <c r="J328" s="72"/>
      <c r="K328" s="36"/>
      <c r="L328" s="79"/>
      <c r="M328" s="79"/>
      <c r="N328" s="74"/>
      <c r="O328" s="81" t="s">
        <v>693</v>
      </c>
      <c r="P328" s="83">
        <v>44461.359861111108</v>
      </c>
      <c r="Q328" s="81" t="s">
        <v>741</v>
      </c>
      <c r="R328" s="81"/>
      <c r="S328" s="81"/>
      <c r="T328" s="86" t="s">
        <v>972</v>
      </c>
      <c r="U328" s="84" t="str">
        <f>HYPERLINK("https://pbs.twimg.com/media/E_38CFLVkAAf4fL.jpg")</f>
        <v>https://pbs.twimg.com/media/E_38CFLVkAAf4fL.jpg</v>
      </c>
      <c r="V328" s="84" t="str">
        <f>HYPERLINK("https://pbs.twimg.com/media/E_38CFLVkAAf4fL.jpg")</f>
        <v>https://pbs.twimg.com/media/E_38CFLVkAAf4fL.jpg</v>
      </c>
      <c r="W328" s="83">
        <v>44461.359861111108</v>
      </c>
      <c r="X328" s="89">
        <v>44461</v>
      </c>
      <c r="Y328" s="86" t="s">
        <v>1114</v>
      </c>
      <c r="Z328" s="84" t="str">
        <f>HYPERLINK("https://twitter.com/stayawl/status/1440596277914308612")</f>
        <v>https://twitter.com/stayawl/status/1440596277914308612</v>
      </c>
      <c r="AA328" s="81"/>
      <c r="AB328" s="81"/>
      <c r="AC328" s="86" t="s">
        <v>1612</v>
      </c>
      <c r="AD328" s="81"/>
      <c r="AE328" s="81" t="b">
        <v>0</v>
      </c>
      <c r="AF328" s="81">
        <v>0</v>
      </c>
      <c r="AG328" s="86" t="s">
        <v>2084</v>
      </c>
      <c r="AH328" s="81" t="b">
        <v>0</v>
      </c>
      <c r="AI328" s="81" t="s">
        <v>2168</v>
      </c>
      <c r="AJ328" s="81"/>
      <c r="AK328" s="86" t="s">
        <v>2084</v>
      </c>
      <c r="AL328" s="81" t="b">
        <v>0</v>
      </c>
      <c r="AM328" s="81">
        <v>25</v>
      </c>
      <c r="AN328" s="86" t="s">
        <v>1996</v>
      </c>
      <c r="AO328" s="86" t="s">
        <v>2178</v>
      </c>
      <c r="AP328" s="81" t="b">
        <v>0</v>
      </c>
      <c r="AQ328" s="86" t="s">
        <v>1996</v>
      </c>
      <c r="AR328" s="81" t="s">
        <v>179</v>
      </c>
      <c r="AS328" s="81">
        <v>0</v>
      </c>
      <c r="AT328" s="81">
        <v>0</v>
      </c>
      <c r="AU328" s="81"/>
      <c r="AV328" s="81"/>
      <c r="AW328" s="81"/>
      <c r="AX328" s="81"/>
      <c r="AY328" s="81"/>
      <c r="AZ328" s="81"/>
      <c r="BA328" s="81"/>
      <c r="BB328" s="81"/>
    </row>
    <row r="329" spans="1:54" x14ac:dyDescent="0.35">
      <c r="A329" s="66" t="s">
        <v>4291</v>
      </c>
      <c r="B329" s="66" t="s">
        <v>4291</v>
      </c>
      <c r="C329" s="67"/>
      <c r="D329" s="68"/>
      <c r="E329" s="69"/>
      <c r="F329" s="70"/>
      <c r="G329" s="67"/>
      <c r="H329" s="71"/>
      <c r="I329" s="72"/>
      <c r="J329" s="72"/>
      <c r="K329" s="36"/>
      <c r="L329" s="79"/>
      <c r="M329" s="79"/>
      <c r="N329" s="74"/>
      <c r="O329" s="81" t="s">
        <v>179</v>
      </c>
      <c r="P329" s="83">
        <v>44461.371608796297</v>
      </c>
      <c r="Q329" s="81" t="s">
        <v>5331</v>
      </c>
      <c r="R329" s="84" t="str">
        <f>HYPERLINK("https://rui37.shopk.it/product/b2975-2")</f>
        <v>https://rui37.shopk.it/product/b2975-2</v>
      </c>
      <c r="S329" s="81" t="s">
        <v>5702</v>
      </c>
      <c r="T329" s="81"/>
      <c r="U329" s="84" t="str">
        <f>HYPERLINK("https://pbs.twimg.com/media/E_4KjT_VcAY6zwJ.jpg")</f>
        <v>https://pbs.twimg.com/media/E_4KjT_VcAY6zwJ.jpg</v>
      </c>
      <c r="V329" s="84" t="str">
        <f>HYPERLINK("https://pbs.twimg.com/media/E_4KjT_VcAY6zwJ.jpg")</f>
        <v>https://pbs.twimg.com/media/E_4KjT_VcAY6zwJ.jpg</v>
      </c>
      <c r="W329" s="83">
        <v>44461.371608796297</v>
      </c>
      <c r="X329" s="89">
        <v>44461</v>
      </c>
      <c r="Y329" s="86" t="s">
        <v>5918</v>
      </c>
      <c r="Z329" s="84" t="str">
        <f>HYPERLINK("https://twitter.com/beleza37/status/1440600537934663689")</f>
        <v>https://twitter.com/beleza37/status/1440600537934663689</v>
      </c>
      <c r="AA329" s="81"/>
      <c r="AB329" s="81"/>
      <c r="AC329" s="86" t="s">
        <v>6820</v>
      </c>
      <c r="AD329" s="81"/>
      <c r="AE329" s="81" t="b">
        <v>0</v>
      </c>
      <c r="AF329" s="81">
        <v>0</v>
      </c>
      <c r="AG329" s="86" t="s">
        <v>2084</v>
      </c>
      <c r="AH329" s="81" t="b">
        <v>0</v>
      </c>
      <c r="AI329" s="81" t="s">
        <v>2171</v>
      </c>
      <c r="AJ329" s="81"/>
      <c r="AK329" s="86" t="s">
        <v>2084</v>
      </c>
      <c r="AL329" s="81" t="b">
        <v>0</v>
      </c>
      <c r="AM329" s="81">
        <v>0</v>
      </c>
      <c r="AN329" s="86" t="s">
        <v>2084</v>
      </c>
      <c r="AO329" s="86" t="s">
        <v>2189</v>
      </c>
      <c r="AP329" s="81" t="b">
        <v>0</v>
      </c>
      <c r="AQ329" s="86" t="s">
        <v>6820</v>
      </c>
      <c r="AR329" s="81" t="s">
        <v>179</v>
      </c>
      <c r="AS329" s="81">
        <v>0</v>
      </c>
      <c r="AT329" s="81">
        <v>0</v>
      </c>
      <c r="AU329" s="81"/>
      <c r="AV329" s="81"/>
      <c r="AW329" s="81"/>
      <c r="AX329" s="81"/>
      <c r="AY329" s="81"/>
      <c r="AZ329" s="81"/>
      <c r="BA329" s="81"/>
      <c r="BB329" s="81"/>
    </row>
    <row r="330" spans="1:54" x14ac:dyDescent="0.35">
      <c r="A330" s="66" t="s">
        <v>315</v>
      </c>
      <c r="B330" s="66" t="s">
        <v>344</v>
      </c>
      <c r="C330" s="67"/>
      <c r="D330" s="68"/>
      <c r="E330" s="69"/>
      <c r="F330" s="70"/>
      <c r="G330" s="67"/>
      <c r="H330" s="71"/>
      <c r="I330" s="72"/>
      <c r="J330" s="72"/>
      <c r="K330" s="36"/>
      <c r="L330" s="79"/>
      <c r="M330" s="79"/>
      <c r="N330" s="74"/>
      <c r="O330" s="81" t="s">
        <v>693</v>
      </c>
      <c r="P330" s="83">
        <v>44461.376099537039</v>
      </c>
      <c r="Q330" s="81" t="s">
        <v>743</v>
      </c>
      <c r="R330" s="81"/>
      <c r="S330" s="81"/>
      <c r="T330" s="86" t="s">
        <v>977</v>
      </c>
      <c r="U330" s="84" t="str">
        <f>HYPERLINK("https://pbs.twimg.com/media/E_4G1w0UcAYtmKg.jpg")</f>
        <v>https://pbs.twimg.com/media/E_4G1w0UcAYtmKg.jpg</v>
      </c>
      <c r="V330" s="84" t="str">
        <f>HYPERLINK("https://pbs.twimg.com/media/E_4G1w0UcAYtmKg.jpg")</f>
        <v>https://pbs.twimg.com/media/E_4G1w0UcAYtmKg.jpg</v>
      </c>
      <c r="W330" s="83">
        <v>44461.376099537039</v>
      </c>
      <c r="X330" s="89">
        <v>44461</v>
      </c>
      <c r="Y330" s="86" t="s">
        <v>1118</v>
      </c>
      <c r="Z330" s="84" t="str">
        <f>HYPERLINK("https://twitter.com/elninosaurus/status/1440602161444917255")</f>
        <v>https://twitter.com/elninosaurus/status/1440602161444917255</v>
      </c>
      <c r="AA330" s="81"/>
      <c r="AB330" s="81"/>
      <c r="AC330" s="86" t="s">
        <v>1616</v>
      </c>
      <c r="AD330" s="81"/>
      <c r="AE330" s="81" t="b">
        <v>0</v>
      </c>
      <c r="AF330" s="81">
        <v>0</v>
      </c>
      <c r="AG330" s="86" t="s">
        <v>2084</v>
      </c>
      <c r="AH330" s="81" t="b">
        <v>0</v>
      </c>
      <c r="AI330" s="81" t="s">
        <v>2168</v>
      </c>
      <c r="AJ330" s="81"/>
      <c r="AK330" s="86" t="s">
        <v>2084</v>
      </c>
      <c r="AL330" s="81" t="b">
        <v>0</v>
      </c>
      <c r="AM330" s="81">
        <v>12</v>
      </c>
      <c r="AN330" s="86" t="s">
        <v>1646</v>
      </c>
      <c r="AO330" s="86" t="s">
        <v>2178</v>
      </c>
      <c r="AP330" s="81" t="b">
        <v>0</v>
      </c>
      <c r="AQ330" s="86" t="s">
        <v>1646</v>
      </c>
      <c r="AR330" s="81" t="s">
        <v>179</v>
      </c>
      <c r="AS330" s="81">
        <v>0</v>
      </c>
      <c r="AT330" s="81">
        <v>0</v>
      </c>
      <c r="AU330" s="81"/>
      <c r="AV330" s="81"/>
      <c r="AW330" s="81"/>
      <c r="AX330" s="81"/>
      <c r="AY330" s="81"/>
      <c r="AZ330" s="81"/>
      <c r="BA330" s="81"/>
      <c r="BB330" s="81"/>
    </row>
    <row r="331" spans="1:54" x14ac:dyDescent="0.35">
      <c r="A331" s="66" t="s">
        <v>316</v>
      </c>
      <c r="B331" s="66" t="s">
        <v>592</v>
      </c>
      <c r="C331" s="67"/>
      <c r="D331" s="68"/>
      <c r="E331" s="69"/>
      <c r="F331" s="70"/>
      <c r="G331" s="67"/>
      <c r="H331" s="71"/>
      <c r="I331" s="72"/>
      <c r="J331" s="72"/>
      <c r="K331" s="36"/>
      <c r="L331" s="79"/>
      <c r="M331" s="79"/>
      <c r="N331" s="74"/>
      <c r="O331" s="81" t="s">
        <v>693</v>
      </c>
      <c r="P331" s="83">
        <v>44459.523935185185</v>
      </c>
      <c r="Q331" s="81" t="s">
        <v>700</v>
      </c>
      <c r="R331" s="81"/>
      <c r="S331" s="81"/>
      <c r="T331" s="86" t="s">
        <v>972</v>
      </c>
      <c r="U331" s="84" t="str">
        <f>HYPERLINK("https://pbs.twimg.com/media/E_ubZIHUYAESLiB.jpg")</f>
        <v>https://pbs.twimg.com/media/E_ubZIHUYAESLiB.jpg</v>
      </c>
      <c r="V331" s="84" t="str">
        <f>HYPERLINK("https://pbs.twimg.com/media/E_ubZIHUYAESLiB.jpg")</f>
        <v>https://pbs.twimg.com/media/E_ubZIHUYAESLiB.jpg</v>
      </c>
      <c r="W331" s="83">
        <v>44459.523935185185</v>
      </c>
      <c r="X331" s="89">
        <v>44459</v>
      </c>
      <c r="Y331" s="86" t="s">
        <v>1119</v>
      </c>
      <c r="Z331" s="84" t="str">
        <f>HYPERLINK("https://twitter.com/bucinhwghyunjin/status/1439930962972852228")</f>
        <v>https://twitter.com/bucinhwghyunjin/status/1439930962972852228</v>
      </c>
      <c r="AA331" s="81"/>
      <c r="AB331" s="81"/>
      <c r="AC331" s="86" t="s">
        <v>1617</v>
      </c>
      <c r="AD331" s="81"/>
      <c r="AE331" s="81" t="b">
        <v>0</v>
      </c>
      <c r="AF331" s="81">
        <v>0</v>
      </c>
      <c r="AG331" s="86" t="s">
        <v>2084</v>
      </c>
      <c r="AH331" s="81" t="b">
        <v>0</v>
      </c>
      <c r="AI331" s="81" t="s">
        <v>2168</v>
      </c>
      <c r="AJ331" s="81"/>
      <c r="AK331" s="86" t="s">
        <v>2084</v>
      </c>
      <c r="AL331" s="81" t="b">
        <v>0</v>
      </c>
      <c r="AM331" s="81">
        <v>27</v>
      </c>
      <c r="AN331" s="86" t="s">
        <v>1995</v>
      </c>
      <c r="AO331" s="86" t="s">
        <v>2178</v>
      </c>
      <c r="AP331" s="81" t="b">
        <v>0</v>
      </c>
      <c r="AQ331" s="86" t="s">
        <v>1995</v>
      </c>
      <c r="AR331" s="81" t="s">
        <v>179</v>
      </c>
      <c r="AS331" s="81">
        <v>0</v>
      </c>
      <c r="AT331" s="81">
        <v>0</v>
      </c>
      <c r="AU331" s="81"/>
      <c r="AV331" s="81"/>
      <c r="AW331" s="81"/>
      <c r="AX331" s="81"/>
      <c r="AY331" s="81"/>
      <c r="AZ331" s="81"/>
      <c r="BA331" s="81"/>
      <c r="BB331" s="81"/>
    </row>
    <row r="332" spans="1:54" x14ac:dyDescent="0.35">
      <c r="A332" s="66" t="s">
        <v>316</v>
      </c>
      <c r="B332" s="66" t="s">
        <v>592</v>
      </c>
      <c r="C332" s="67"/>
      <c r="D332" s="68"/>
      <c r="E332" s="69"/>
      <c r="F332" s="70"/>
      <c r="G332" s="67"/>
      <c r="H332" s="71"/>
      <c r="I332" s="72"/>
      <c r="J332" s="72"/>
      <c r="K332" s="36"/>
      <c r="L332" s="79"/>
      <c r="M332" s="79"/>
      <c r="N332" s="74"/>
      <c r="O332" s="81" t="s">
        <v>693</v>
      </c>
      <c r="P332" s="83">
        <v>44461.382187499999</v>
      </c>
      <c r="Q332" s="81" t="s">
        <v>741</v>
      </c>
      <c r="R332" s="81"/>
      <c r="S332" s="81"/>
      <c r="T332" s="86" t="s">
        <v>972</v>
      </c>
      <c r="U332" s="84" t="str">
        <f>HYPERLINK("https://pbs.twimg.com/media/E_38CFLVkAAf4fL.jpg")</f>
        <v>https://pbs.twimg.com/media/E_38CFLVkAAf4fL.jpg</v>
      </c>
      <c r="V332" s="84" t="str">
        <f>HYPERLINK("https://pbs.twimg.com/media/E_38CFLVkAAf4fL.jpg")</f>
        <v>https://pbs.twimg.com/media/E_38CFLVkAAf4fL.jpg</v>
      </c>
      <c r="W332" s="83">
        <v>44461.382187499999</v>
      </c>
      <c r="X332" s="89">
        <v>44461</v>
      </c>
      <c r="Y332" s="86" t="s">
        <v>1120</v>
      </c>
      <c r="Z332" s="84" t="str">
        <f>HYPERLINK("https://twitter.com/bucinhwghyunjin/status/1440604369066463241")</f>
        <v>https://twitter.com/bucinhwghyunjin/status/1440604369066463241</v>
      </c>
      <c r="AA332" s="81"/>
      <c r="AB332" s="81"/>
      <c r="AC332" s="86" t="s">
        <v>1618</v>
      </c>
      <c r="AD332" s="81"/>
      <c r="AE332" s="81" t="b">
        <v>0</v>
      </c>
      <c r="AF332" s="81">
        <v>0</v>
      </c>
      <c r="AG332" s="86" t="s">
        <v>2084</v>
      </c>
      <c r="AH332" s="81" t="b">
        <v>0</v>
      </c>
      <c r="AI332" s="81" t="s">
        <v>2168</v>
      </c>
      <c r="AJ332" s="81"/>
      <c r="AK332" s="86" t="s">
        <v>2084</v>
      </c>
      <c r="AL332" s="81" t="b">
        <v>0</v>
      </c>
      <c r="AM332" s="81">
        <v>25</v>
      </c>
      <c r="AN332" s="86" t="s">
        <v>1996</v>
      </c>
      <c r="AO332" s="86" t="s">
        <v>2178</v>
      </c>
      <c r="AP332" s="81" t="b">
        <v>0</v>
      </c>
      <c r="AQ332" s="86" t="s">
        <v>1996</v>
      </c>
      <c r="AR332" s="81" t="s">
        <v>179</v>
      </c>
      <c r="AS332" s="81">
        <v>0</v>
      </c>
      <c r="AT332" s="81">
        <v>0</v>
      </c>
      <c r="AU332" s="81"/>
      <c r="AV332" s="81"/>
      <c r="AW332" s="81"/>
      <c r="AX332" s="81"/>
      <c r="AY332" s="81"/>
      <c r="AZ332" s="81"/>
      <c r="BA332" s="81"/>
      <c r="BB332" s="81"/>
    </row>
    <row r="333" spans="1:54" x14ac:dyDescent="0.35">
      <c r="A333" s="66" t="s">
        <v>317</v>
      </c>
      <c r="B333" s="66" t="s">
        <v>592</v>
      </c>
      <c r="C333" s="67"/>
      <c r="D333" s="68"/>
      <c r="E333" s="69"/>
      <c r="F333" s="70"/>
      <c r="G333" s="67"/>
      <c r="H333" s="71"/>
      <c r="I333" s="72"/>
      <c r="J333" s="72"/>
      <c r="K333" s="36"/>
      <c r="L333" s="79"/>
      <c r="M333" s="79"/>
      <c r="N333" s="74"/>
      <c r="O333" s="81" t="s">
        <v>693</v>
      </c>
      <c r="P333" s="83">
        <v>44461.384398148148</v>
      </c>
      <c r="Q333" s="81" t="s">
        <v>741</v>
      </c>
      <c r="R333" s="81"/>
      <c r="S333" s="81"/>
      <c r="T333" s="86" t="s">
        <v>972</v>
      </c>
      <c r="U333" s="84" t="str">
        <f>HYPERLINK("https://pbs.twimg.com/media/E_38CFLVkAAf4fL.jpg")</f>
        <v>https://pbs.twimg.com/media/E_38CFLVkAAf4fL.jpg</v>
      </c>
      <c r="V333" s="84" t="str">
        <f>HYPERLINK("https://pbs.twimg.com/media/E_38CFLVkAAf4fL.jpg")</f>
        <v>https://pbs.twimg.com/media/E_38CFLVkAAf4fL.jpg</v>
      </c>
      <c r="W333" s="83">
        <v>44461.384398148148</v>
      </c>
      <c r="X333" s="89">
        <v>44461</v>
      </c>
      <c r="Y333" s="86" t="s">
        <v>1121</v>
      </c>
      <c r="Z333" s="84" t="str">
        <f>HYPERLINK("https://twitter.com/hohochamzzz/status/1440605172489539588")</f>
        <v>https://twitter.com/hohochamzzz/status/1440605172489539588</v>
      </c>
      <c r="AA333" s="81"/>
      <c r="AB333" s="81"/>
      <c r="AC333" s="86" t="s">
        <v>1619</v>
      </c>
      <c r="AD333" s="81"/>
      <c r="AE333" s="81" t="b">
        <v>0</v>
      </c>
      <c r="AF333" s="81">
        <v>0</v>
      </c>
      <c r="AG333" s="86" t="s">
        <v>2084</v>
      </c>
      <c r="AH333" s="81" t="b">
        <v>0</v>
      </c>
      <c r="AI333" s="81" t="s">
        <v>2168</v>
      </c>
      <c r="AJ333" s="81"/>
      <c r="AK333" s="86" t="s">
        <v>2084</v>
      </c>
      <c r="AL333" s="81" t="b">
        <v>0</v>
      </c>
      <c r="AM333" s="81">
        <v>25</v>
      </c>
      <c r="AN333" s="86" t="s">
        <v>1996</v>
      </c>
      <c r="AO333" s="86" t="s">
        <v>2178</v>
      </c>
      <c r="AP333" s="81" t="b">
        <v>0</v>
      </c>
      <c r="AQ333" s="86" t="s">
        <v>1996</v>
      </c>
      <c r="AR333" s="81" t="s">
        <v>179</v>
      </c>
      <c r="AS333" s="81">
        <v>0</v>
      </c>
      <c r="AT333" s="81">
        <v>0</v>
      </c>
      <c r="AU333" s="81"/>
      <c r="AV333" s="81"/>
      <c r="AW333" s="81"/>
      <c r="AX333" s="81"/>
      <c r="AY333" s="81"/>
      <c r="AZ333" s="81"/>
      <c r="BA333" s="81"/>
      <c r="BB333" s="81"/>
    </row>
    <row r="334" spans="1:54" x14ac:dyDescent="0.35">
      <c r="A334" s="66" t="s">
        <v>318</v>
      </c>
      <c r="B334" s="66" t="s">
        <v>344</v>
      </c>
      <c r="C334" s="67"/>
      <c r="D334" s="68"/>
      <c r="E334" s="69"/>
      <c r="F334" s="70"/>
      <c r="G334" s="67"/>
      <c r="H334" s="71"/>
      <c r="I334" s="72"/>
      <c r="J334" s="72"/>
      <c r="K334" s="36"/>
      <c r="L334" s="79"/>
      <c r="M334" s="79"/>
      <c r="N334" s="74"/>
      <c r="O334" s="81" t="s">
        <v>693</v>
      </c>
      <c r="P334" s="83">
        <v>44461.384467592594</v>
      </c>
      <c r="Q334" s="81" t="s">
        <v>743</v>
      </c>
      <c r="R334" s="81"/>
      <c r="S334" s="81"/>
      <c r="T334" s="86" t="s">
        <v>977</v>
      </c>
      <c r="U334" s="84" t="str">
        <f>HYPERLINK("https://pbs.twimg.com/media/E_4G1w0UcAYtmKg.jpg")</f>
        <v>https://pbs.twimg.com/media/E_4G1w0UcAYtmKg.jpg</v>
      </c>
      <c r="V334" s="84" t="str">
        <f>HYPERLINK("https://pbs.twimg.com/media/E_4G1w0UcAYtmKg.jpg")</f>
        <v>https://pbs.twimg.com/media/E_4G1w0UcAYtmKg.jpg</v>
      </c>
      <c r="W334" s="83">
        <v>44461.384467592594</v>
      </c>
      <c r="X334" s="89">
        <v>44461</v>
      </c>
      <c r="Y334" s="86" t="s">
        <v>1122</v>
      </c>
      <c r="Z334" s="84" t="str">
        <f>HYPERLINK("https://twitter.com/sumasenyangyang/status/1440605195373666308")</f>
        <v>https://twitter.com/sumasenyangyang/status/1440605195373666308</v>
      </c>
      <c r="AA334" s="81"/>
      <c r="AB334" s="81"/>
      <c r="AC334" s="86" t="s">
        <v>1620</v>
      </c>
      <c r="AD334" s="81"/>
      <c r="AE334" s="81" t="b">
        <v>0</v>
      </c>
      <c r="AF334" s="81">
        <v>0</v>
      </c>
      <c r="AG334" s="86" t="s">
        <v>2084</v>
      </c>
      <c r="AH334" s="81" t="b">
        <v>0</v>
      </c>
      <c r="AI334" s="81" t="s">
        <v>2168</v>
      </c>
      <c r="AJ334" s="81"/>
      <c r="AK334" s="86" t="s">
        <v>2084</v>
      </c>
      <c r="AL334" s="81" t="b">
        <v>0</v>
      </c>
      <c r="AM334" s="81">
        <v>12</v>
      </c>
      <c r="AN334" s="86" t="s">
        <v>1646</v>
      </c>
      <c r="AO334" s="86" t="s">
        <v>2179</v>
      </c>
      <c r="AP334" s="81" t="b">
        <v>0</v>
      </c>
      <c r="AQ334" s="86" t="s">
        <v>1646</v>
      </c>
      <c r="AR334" s="81" t="s">
        <v>179</v>
      </c>
      <c r="AS334" s="81">
        <v>0</v>
      </c>
      <c r="AT334" s="81">
        <v>0</v>
      </c>
      <c r="AU334" s="81"/>
      <c r="AV334" s="81"/>
      <c r="AW334" s="81"/>
      <c r="AX334" s="81"/>
      <c r="AY334" s="81"/>
      <c r="AZ334" s="81"/>
      <c r="BA334" s="81"/>
      <c r="BB334" s="81"/>
    </row>
    <row r="335" spans="1:54" x14ac:dyDescent="0.35">
      <c r="A335" s="66" t="s">
        <v>319</v>
      </c>
      <c r="B335" s="66" t="s">
        <v>592</v>
      </c>
      <c r="C335" s="67"/>
      <c r="D335" s="68"/>
      <c r="E335" s="69"/>
      <c r="F335" s="70"/>
      <c r="G335" s="67"/>
      <c r="H335" s="71"/>
      <c r="I335" s="72"/>
      <c r="J335" s="72"/>
      <c r="K335" s="36"/>
      <c r="L335" s="79"/>
      <c r="M335" s="79"/>
      <c r="N335" s="74"/>
      <c r="O335" s="81" t="s">
        <v>693</v>
      </c>
      <c r="P335" s="83">
        <v>44461.389687499999</v>
      </c>
      <c r="Q335" s="81" t="s">
        <v>741</v>
      </c>
      <c r="R335" s="81"/>
      <c r="S335" s="81"/>
      <c r="T335" s="86" t="s">
        <v>972</v>
      </c>
      <c r="U335" s="84" t="str">
        <f>HYPERLINK("https://pbs.twimg.com/media/E_38CFLVkAAf4fL.jpg")</f>
        <v>https://pbs.twimg.com/media/E_38CFLVkAAf4fL.jpg</v>
      </c>
      <c r="V335" s="84" t="str">
        <f>HYPERLINK("https://pbs.twimg.com/media/E_38CFLVkAAf4fL.jpg")</f>
        <v>https://pbs.twimg.com/media/E_38CFLVkAAf4fL.jpg</v>
      </c>
      <c r="W335" s="83">
        <v>44461.389687499999</v>
      </c>
      <c r="X335" s="89">
        <v>44461</v>
      </c>
      <c r="Y335" s="86" t="s">
        <v>1123</v>
      </c>
      <c r="Z335" s="84" t="str">
        <f>HYPERLINK("https://twitter.com/piecesofhyune/status/1440607088678367238")</f>
        <v>https://twitter.com/piecesofhyune/status/1440607088678367238</v>
      </c>
      <c r="AA335" s="81"/>
      <c r="AB335" s="81"/>
      <c r="AC335" s="86" t="s">
        <v>1621</v>
      </c>
      <c r="AD335" s="81"/>
      <c r="AE335" s="81" t="b">
        <v>0</v>
      </c>
      <c r="AF335" s="81">
        <v>0</v>
      </c>
      <c r="AG335" s="86" t="s">
        <v>2084</v>
      </c>
      <c r="AH335" s="81" t="b">
        <v>0</v>
      </c>
      <c r="AI335" s="81" t="s">
        <v>2168</v>
      </c>
      <c r="AJ335" s="81"/>
      <c r="AK335" s="86" t="s">
        <v>2084</v>
      </c>
      <c r="AL335" s="81" t="b">
        <v>0</v>
      </c>
      <c r="AM335" s="81">
        <v>25</v>
      </c>
      <c r="AN335" s="86" t="s">
        <v>1996</v>
      </c>
      <c r="AO335" s="86" t="s">
        <v>2179</v>
      </c>
      <c r="AP335" s="81" t="b">
        <v>0</v>
      </c>
      <c r="AQ335" s="86" t="s">
        <v>1996</v>
      </c>
      <c r="AR335" s="81" t="s">
        <v>179</v>
      </c>
      <c r="AS335" s="81">
        <v>0</v>
      </c>
      <c r="AT335" s="81">
        <v>0</v>
      </c>
      <c r="AU335" s="81"/>
      <c r="AV335" s="81"/>
      <c r="AW335" s="81"/>
      <c r="AX335" s="81"/>
      <c r="AY335" s="81"/>
      <c r="AZ335" s="81"/>
      <c r="BA335" s="81"/>
      <c r="BB335" s="81"/>
    </row>
    <row r="336" spans="1:54" x14ac:dyDescent="0.35">
      <c r="A336" s="66" t="s">
        <v>321</v>
      </c>
      <c r="B336" s="66" t="s">
        <v>344</v>
      </c>
      <c r="C336" s="67"/>
      <c r="D336" s="68"/>
      <c r="E336" s="69"/>
      <c r="F336" s="70"/>
      <c r="G336" s="67"/>
      <c r="H336" s="71"/>
      <c r="I336" s="72"/>
      <c r="J336" s="72"/>
      <c r="K336" s="36"/>
      <c r="L336" s="79"/>
      <c r="M336" s="79"/>
      <c r="N336" s="74"/>
      <c r="O336" s="81" t="s">
        <v>693</v>
      </c>
      <c r="P336" s="83">
        <v>44461.404444444444</v>
      </c>
      <c r="Q336" s="81" t="s">
        <v>743</v>
      </c>
      <c r="R336" s="81"/>
      <c r="S336" s="81"/>
      <c r="T336" s="86" t="s">
        <v>977</v>
      </c>
      <c r="U336" s="84" t="str">
        <f>HYPERLINK("https://pbs.twimg.com/media/E_4G1w0UcAYtmKg.jpg")</f>
        <v>https://pbs.twimg.com/media/E_4G1w0UcAYtmKg.jpg</v>
      </c>
      <c r="V336" s="84" t="str">
        <f>HYPERLINK("https://pbs.twimg.com/media/E_4G1w0UcAYtmKg.jpg")</f>
        <v>https://pbs.twimg.com/media/E_4G1w0UcAYtmKg.jpg</v>
      </c>
      <c r="W336" s="83">
        <v>44461.404444444444</v>
      </c>
      <c r="X336" s="89">
        <v>44461</v>
      </c>
      <c r="Y336" s="86" t="s">
        <v>1125</v>
      </c>
      <c r="Z336" s="84" t="str">
        <f>HYPERLINK("https://twitter.com/tenlee_107/status/1440612433224081408")</f>
        <v>https://twitter.com/tenlee_107/status/1440612433224081408</v>
      </c>
      <c r="AA336" s="81"/>
      <c r="AB336" s="81"/>
      <c r="AC336" s="86" t="s">
        <v>1623</v>
      </c>
      <c r="AD336" s="81"/>
      <c r="AE336" s="81" t="b">
        <v>0</v>
      </c>
      <c r="AF336" s="81">
        <v>0</v>
      </c>
      <c r="AG336" s="86" t="s">
        <v>2084</v>
      </c>
      <c r="AH336" s="81" t="b">
        <v>0</v>
      </c>
      <c r="AI336" s="81" t="s">
        <v>2168</v>
      </c>
      <c r="AJ336" s="81"/>
      <c r="AK336" s="86" t="s">
        <v>2084</v>
      </c>
      <c r="AL336" s="81" t="b">
        <v>0</v>
      </c>
      <c r="AM336" s="81">
        <v>12</v>
      </c>
      <c r="AN336" s="86" t="s">
        <v>1646</v>
      </c>
      <c r="AO336" s="86" t="s">
        <v>2179</v>
      </c>
      <c r="AP336" s="81" t="b">
        <v>0</v>
      </c>
      <c r="AQ336" s="86" t="s">
        <v>1646</v>
      </c>
      <c r="AR336" s="81" t="s">
        <v>179</v>
      </c>
      <c r="AS336" s="81">
        <v>0</v>
      </c>
      <c r="AT336" s="81">
        <v>0</v>
      </c>
      <c r="AU336" s="81"/>
      <c r="AV336" s="81"/>
      <c r="AW336" s="81"/>
      <c r="AX336" s="81"/>
      <c r="AY336" s="81"/>
      <c r="AZ336" s="81"/>
      <c r="BA336" s="81"/>
      <c r="BB336" s="81"/>
    </row>
    <row r="337" spans="1:54" x14ac:dyDescent="0.35">
      <c r="A337" s="66" t="s">
        <v>12497</v>
      </c>
      <c r="B337" s="66" t="s">
        <v>12668</v>
      </c>
      <c r="C337" s="67"/>
      <c r="D337" s="68"/>
      <c r="E337" s="69"/>
      <c r="F337" s="70"/>
      <c r="G337" s="67"/>
      <c r="H337" s="71"/>
      <c r="I337" s="72"/>
      <c r="J337" s="72"/>
      <c r="K337" s="36"/>
      <c r="L337" s="79"/>
      <c r="M337" s="79"/>
      <c r="N337" s="74"/>
      <c r="O337" s="81" t="s">
        <v>695</v>
      </c>
      <c r="P337" s="83">
        <v>44461.415601851855</v>
      </c>
      <c r="Q337" s="81" t="s">
        <v>12736</v>
      </c>
      <c r="R337" s="81"/>
      <c r="S337" s="81"/>
      <c r="T337" s="81"/>
      <c r="U337" s="81"/>
      <c r="V337" s="84" t="str">
        <f>HYPERLINK("https://pbs.twimg.com/profile_images/1442525570349162497/ASIkQk-H_normal.jpg")</f>
        <v>https://pbs.twimg.com/profile_images/1442525570349162497/ASIkQk-H_normal.jpg</v>
      </c>
      <c r="W337" s="83">
        <v>44461.415601851855</v>
      </c>
      <c r="X337" s="89">
        <v>44461</v>
      </c>
      <c r="Y337" s="86" t="s">
        <v>12876</v>
      </c>
      <c r="Z337" s="84" t="str">
        <f>HYPERLINK("https://twitter.com/onimawma/status/1440616477116153861")</f>
        <v>https://twitter.com/onimawma/status/1440616477116153861</v>
      </c>
      <c r="AA337" s="81"/>
      <c r="AB337" s="81"/>
      <c r="AC337" s="86" t="s">
        <v>13113</v>
      </c>
      <c r="AD337" s="86" t="s">
        <v>13357</v>
      </c>
      <c r="AE337" s="81" t="b">
        <v>0</v>
      </c>
      <c r="AF337" s="81">
        <v>0</v>
      </c>
      <c r="AG337" s="86" t="s">
        <v>13400</v>
      </c>
      <c r="AH337" s="81" t="b">
        <v>0</v>
      </c>
      <c r="AI337" s="81" t="s">
        <v>2167</v>
      </c>
      <c r="AJ337" s="81"/>
      <c r="AK337" s="86" t="s">
        <v>2084</v>
      </c>
      <c r="AL337" s="81" t="b">
        <v>0</v>
      </c>
      <c r="AM337" s="81">
        <v>0</v>
      </c>
      <c r="AN337" s="86" t="s">
        <v>2084</v>
      </c>
      <c r="AO337" s="86" t="s">
        <v>2179</v>
      </c>
      <c r="AP337" s="81" t="b">
        <v>0</v>
      </c>
      <c r="AQ337" s="86" t="s">
        <v>13357</v>
      </c>
      <c r="AR337" s="81" t="s">
        <v>179</v>
      </c>
      <c r="AS337" s="81">
        <v>0</v>
      </c>
      <c r="AT337" s="81">
        <v>0</v>
      </c>
      <c r="AU337" s="81"/>
      <c r="AV337" s="81"/>
      <c r="AW337" s="81"/>
      <c r="AX337" s="81"/>
      <c r="AY337" s="81"/>
      <c r="AZ337" s="81"/>
      <c r="BA337" s="81"/>
      <c r="BB337" s="81"/>
    </row>
    <row r="338" spans="1:54" x14ac:dyDescent="0.35">
      <c r="A338" s="66" t="s">
        <v>12497</v>
      </c>
      <c r="B338" s="66" t="s">
        <v>297</v>
      </c>
      <c r="C338" s="67"/>
      <c r="D338" s="68"/>
      <c r="E338" s="69"/>
      <c r="F338" s="70"/>
      <c r="G338" s="67"/>
      <c r="H338" s="71"/>
      <c r="I338" s="72"/>
      <c r="J338" s="72"/>
      <c r="K338" s="36"/>
      <c r="L338" s="79"/>
      <c r="M338" s="79"/>
      <c r="N338" s="74"/>
      <c r="O338" s="81" t="s">
        <v>693</v>
      </c>
      <c r="P338" s="83">
        <v>44459.608726851853</v>
      </c>
      <c r="Q338" s="81" t="s">
        <v>702</v>
      </c>
      <c r="R338" s="81"/>
      <c r="S338" s="81"/>
      <c r="T338" s="86" t="s">
        <v>972</v>
      </c>
      <c r="U338" s="84" t="str">
        <f>HYPERLINK("https://pbs.twimg.com/media/E_vEDNvVIAkAnBd.jpg")</f>
        <v>https://pbs.twimg.com/media/E_vEDNvVIAkAnBd.jpg</v>
      </c>
      <c r="V338" s="84" t="str">
        <f>HYPERLINK("https://pbs.twimg.com/media/E_vEDNvVIAkAnBd.jpg")</f>
        <v>https://pbs.twimg.com/media/E_vEDNvVIAkAnBd.jpg</v>
      </c>
      <c r="W338" s="83">
        <v>44459.608726851853</v>
      </c>
      <c r="X338" s="89">
        <v>44459</v>
      </c>
      <c r="Y338" s="86" t="s">
        <v>12877</v>
      </c>
      <c r="Z338" s="84" t="str">
        <f>HYPERLINK("https://twitter.com/onimawma/status/1439961689839988745")</f>
        <v>https://twitter.com/onimawma/status/1439961689839988745</v>
      </c>
      <c r="AA338" s="81"/>
      <c r="AB338" s="81"/>
      <c r="AC338" s="86" t="s">
        <v>13114</v>
      </c>
      <c r="AD338" s="81"/>
      <c r="AE338" s="81" t="b">
        <v>0</v>
      </c>
      <c r="AF338" s="81">
        <v>0</v>
      </c>
      <c r="AG338" s="86" t="s">
        <v>2084</v>
      </c>
      <c r="AH338" s="81" t="b">
        <v>0</v>
      </c>
      <c r="AI338" s="81" t="s">
        <v>2168</v>
      </c>
      <c r="AJ338" s="81"/>
      <c r="AK338" s="86" t="s">
        <v>2084</v>
      </c>
      <c r="AL338" s="81" t="b">
        <v>0</v>
      </c>
      <c r="AM338" s="81">
        <v>10</v>
      </c>
      <c r="AN338" s="86" t="s">
        <v>1597</v>
      </c>
      <c r="AO338" s="86" t="s">
        <v>2179</v>
      </c>
      <c r="AP338" s="81" t="b">
        <v>0</v>
      </c>
      <c r="AQ338" s="86" t="s">
        <v>1597</v>
      </c>
      <c r="AR338" s="81" t="s">
        <v>179</v>
      </c>
      <c r="AS338" s="81">
        <v>0</v>
      </c>
      <c r="AT338" s="81">
        <v>0</v>
      </c>
      <c r="AU338" s="81"/>
      <c r="AV338" s="81"/>
      <c r="AW338" s="81"/>
      <c r="AX338" s="81"/>
      <c r="AY338" s="81"/>
      <c r="AZ338" s="81"/>
      <c r="BA338" s="81"/>
      <c r="BB338" s="81"/>
    </row>
    <row r="339" spans="1:54" x14ac:dyDescent="0.35">
      <c r="A339" s="66" t="s">
        <v>4292</v>
      </c>
      <c r="B339" s="66" t="s">
        <v>4292</v>
      </c>
      <c r="C339" s="67"/>
      <c r="D339" s="68"/>
      <c r="E339" s="69"/>
      <c r="F339" s="70"/>
      <c r="G339" s="67"/>
      <c r="H339" s="71"/>
      <c r="I339" s="72"/>
      <c r="J339" s="72"/>
      <c r="K339" s="36"/>
      <c r="L339" s="79"/>
      <c r="M339" s="79"/>
      <c r="N339" s="74"/>
      <c r="O339" s="81" t="s">
        <v>179</v>
      </c>
      <c r="P339" s="83">
        <v>44461.416284722225</v>
      </c>
      <c r="Q339" s="81" t="s">
        <v>5332</v>
      </c>
      <c r="R339" s="81" t="s">
        <v>5677</v>
      </c>
      <c r="S339" s="81" t="s">
        <v>5703</v>
      </c>
      <c r="T339" s="81"/>
      <c r="U339" s="81"/>
      <c r="V339" s="84" t="str">
        <f>HYPERLINK("https://pbs.twimg.com/profile_images/1374127581553950725/EI8dj6Ky_normal.jpg")</f>
        <v>https://pbs.twimg.com/profile_images/1374127581553950725/EI8dj6Ky_normal.jpg</v>
      </c>
      <c r="W339" s="83">
        <v>44461.416284722225</v>
      </c>
      <c r="X339" s="89">
        <v>44461</v>
      </c>
      <c r="Y339" s="86" t="s">
        <v>5919</v>
      </c>
      <c r="Z339" s="84" t="str">
        <f>HYPERLINK("https://twitter.com/antonio_reis_70/status/1440616725611835394")</f>
        <v>https://twitter.com/antonio_reis_70/status/1440616725611835394</v>
      </c>
      <c r="AA339" s="81"/>
      <c r="AB339" s="81"/>
      <c r="AC339" s="86" t="s">
        <v>6821</v>
      </c>
      <c r="AD339" s="81"/>
      <c r="AE339" s="81" t="b">
        <v>0</v>
      </c>
      <c r="AF339" s="81">
        <v>0</v>
      </c>
      <c r="AG339" s="86" t="s">
        <v>2084</v>
      </c>
      <c r="AH339" s="81" t="b">
        <v>0</v>
      </c>
      <c r="AI339" s="81" t="s">
        <v>2172</v>
      </c>
      <c r="AJ339" s="81"/>
      <c r="AK339" s="86" t="s">
        <v>2084</v>
      </c>
      <c r="AL339" s="81" t="b">
        <v>0</v>
      </c>
      <c r="AM339" s="81">
        <v>0</v>
      </c>
      <c r="AN339" s="86" t="s">
        <v>2084</v>
      </c>
      <c r="AO339" s="86" t="s">
        <v>2181</v>
      </c>
      <c r="AP339" s="81" t="b">
        <v>0</v>
      </c>
      <c r="AQ339" s="86" t="s">
        <v>6821</v>
      </c>
      <c r="AR339" s="81" t="s">
        <v>179</v>
      </c>
      <c r="AS339" s="81">
        <v>0</v>
      </c>
      <c r="AT339" s="81">
        <v>0</v>
      </c>
      <c r="AU339" s="81"/>
      <c r="AV339" s="81"/>
      <c r="AW339" s="81"/>
      <c r="AX339" s="81"/>
      <c r="AY339" s="81"/>
      <c r="AZ339" s="81"/>
      <c r="BA339" s="81"/>
      <c r="BB339" s="81"/>
    </row>
    <row r="340" spans="1:54" x14ac:dyDescent="0.35">
      <c r="A340" s="66" t="s">
        <v>4293</v>
      </c>
      <c r="B340" s="66" t="s">
        <v>4293</v>
      </c>
      <c r="C340" s="67"/>
      <c r="D340" s="68"/>
      <c r="E340" s="69"/>
      <c r="F340" s="70"/>
      <c r="G340" s="67"/>
      <c r="H340" s="71"/>
      <c r="I340" s="72"/>
      <c r="J340" s="72"/>
      <c r="K340" s="36"/>
      <c r="L340" s="79"/>
      <c r="M340" s="79"/>
      <c r="N340" s="74"/>
      <c r="O340" s="81" t="s">
        <v>179</v>
      </c>
      <c r="P340" s="83">
        <v>44461.424432870372</v>
      </c>
      <c r="Q340" s="81" t="s">
        <v>5333</v>
      </c>
      <c r="R340" s="84" t="str">
        <f>HYPERLINK("https://rhmagazine.pt/cenario-salarial-em-portugal-na-recuperacao-pos-pandemia/")</f>
        <v>https://rhmagazine.pt/cenario-salarial-em-portugal-na-recuperacao-pos-pandemia/</v>
      </c>
      <c r="S340" s="81" t="s">
        <v>5704</v>
      </c>
      <c r="T340" s="86" t="s">
        <v>5768</v>
      </c>
      <c r="U340" s="81"/>
      <c r="V340" s="84" t="str">
        <f>HYPERLINK("https://pbs.twimg.com/profile_images/1273276574687789057/vYWECeJY_normal.jpg")</f>
        <v>https://pbs.twimg.com/profile_images/1273276574687789057/vYWECeJY_normal.jpg</v>
      </c>
      <c r="W340" s="83">
        <v>44461.424432870372</v>
      </c>
      <c r="X340" s="89">
        <v>44461</v>
      </c>
      <c r="Y340" s="86" t="s">
        <v>5920</v>
      </c>
      <c r="Z340" s="84" t="str">
        <f>HYPERLINK("https://twitter.com/rhmagazine_iirh/status/1440619678666145797")</f>
        <v>https://twitter.com/rhmagazine_iirh/status/1440619678666145797</v>
      </c>
      <c r="AA340" s="81"/>
      <c r="AB340" s="81"/>
      <c r="AC340" s="86" t="s">
        <v>6822</v>
      </c>
      <c r="AD340" s="81"/>
      <c r="AE340" s="81" t="b">
        <v>0</v>
      </c>
      <c r="AF340" s="81">
        <v>1</v>
      </c>
      <c r="AG340" s="86" t="s">
        <v>2084</v>
      </c>
      <c r="AH340" s="81" t="b">
        <v>0</v>
      </c>
      <c r="AI340" s="81" t="s">
        <v>2171</v>
      </c>
      <c r="AJ340" s="81"/>
      <c r="AK340" s="86" t="s">
        <v>2084</v>
      </c>
      <c r="AL340" s="81" t="b">
        <v>0</v>
      </c>
      <c r="AM340" s="81">
        <v>0</v>
      </c>
      <c r="AN340" s="86" t="s">
        <v>2084</v>
      </c>
      <c r="AO340" s="86" t="s">
        <v>2181</v>
      </c>
      <c r="AP340" s="81" t="b">
        <v>0</v>
      </c>
      <c r="AQ340" s="86" t="s">
        <v>6822</v>
      </c>
      <c r="AR340" s="81" t="s">
        <v>179</v>
      </c>
      <c r="AS340" s="81">
        <v>0</v>
      </c>
      <c r="AT340" s="81">
        <v>0</v>
      </c>
      <c r="AU340" s="81"/>
      <c r="AV340" s="81"/>
      <c r="AW340" s="81"/>
      <c r="AX340" s="81"/>
      <c r="AY340" s="81"/>
      <c r="AZ340" s="81"/>
      <c r="BA340" s="81"/>
      <c r="BB340" s="81"/>
    </row>
    <row r="341" spans="1:54" x14ac:dyDescent="0.35">
      <c r="A341" s="66" t="s">
        <v>322</v>
      </c>
      <c r="B341" s="66" t="s">
        <v>322</v>
      </c>
      <c r="C341" s="67"/>
      <c r="D341" s="68"/>
      <c r="E341" s="69"/>
      <c r="F341" s="70"/>
      <c r="G341" s="67"/>
      <c r="H341" s="71"/>
      <c r="I341" s="72"/>
      <c r="J341" s="72"/>
      <c r="K341" s="36"/>
      <c r="L341" s="79"/>
      <c r="M341" s="79"/>
      <c r="N341" s="74"/>
      <c r="O341" s="81" t="s">
        <v>179</v>
      </c>
      <c r="P341" s="83">
        <v>44461.430567129632</v>
      </c>
      <c r="Q341" s="81" t="s">
        <v>744</v>
      </c>
      <c r="R341" s="81"/>
      <c r="S341" s="81"/>
      <c r="T341" s="81"/>
      <c r="U341" s="81"/>
      <c r="V341" s="84" t="str">
        <f>HYPERLINK("https://pbs.twimg.com/profile_images/1442080863047467008/-JloLyg-_normal.jpg")</f>
        <v>https://pbs.twimg.com/profile_images/1442080863047467008/-JloLyg-_normal.jpg</v>
      </c>
      <c r="W341" s="83">
        <v>44461.430567129632</v>
      </c>
      <c r="X341" s="89">
        <v>44461</v>
      </c>
      <c r="Y341" s="86" t="s">
        <v>1126</v>
      </c>
      <c r="Z341" s="84" t="str">
        <f>HYPERLINK("https://twitter.com/matchclctte/status/1440621901609533446")</f>
        <v>https://twitter.com/matchclctte/status/1440621901609533446</v>
      </c>
      <c r="AA341" s="81"/>
      <c r="AB341" s="81"/>
      <c r="AC341" s="86" t="s">
        <v>1624</v>
      </c>
      <c r="AD341" s="86" t="s">
        <v>2028</v>
      </c>
      <c r="AE341" s="81" t="b">
        <v>0</v>
      </c>
      <c r="AF341" s="81">
        <v>0</v>
      </c>
      <c r="AG341" s="86" t="s">
        <v>2109</v>
      </c>
      <c r="AH341" s="81" t="b">
        <v>0</v>
      </c>
      <c r="AI341" s="81" t="s">
        <v>2167</v>
      </c>
      <c r="AJ341" s="81"/>
      <c r="AK341" s="86" t="s">
        <v>2084</v>
      </c>
      <c r="AL341" s="81" t="b">
        <v>0</v>
      </c>
      <c r="AM341" s="81">
        <v>0</v>
      </c>
      <c r="AN341" s="86" t="s">
        <v>2084</v>
      </c>
      <c r="AO341" s="86" t="s">
        <v>2178</v>
      </c>
      <c r="AP341" s="81" t="b">
        <v>0</v>
      </c>
      <c r="AQ341" s="86" t="s">
        <v>2028</v>
      </c>
      <c r="AR341" s="81" t="s">
        <v>179</v>
      </c>
      <c r="AS341" s="81">
        <v>0</v>
      </c>
      <c r="AT341" s="81">
        <v>0</v>
      </c>
      <c r="AU341" s="81"/>
      <c r="AV341" s="81"/>
      <c r="AW341" s="81"/>
      <c r="AX341" s="81"/>
      <c r="AY341" s="81"/>
      <c r="AZ341" s="81"/>
      <c r="BA341" s="81"/>
      <c r="BB341" s="81"/>
    </row>
    <row r="342" spans="1:54" x14ac:dyDescent="0.35">
      <c r="A342" s="66" t="s">
        <v>323</v>
      </c>
      <c r="B342" s="66" t="s">
        <v>323</v>
      </c>
      <c r="C342" s="67"/>
      <c r="D342" s="68"/>
      <c r="E342" s="69"/>
      <c r="F342" s="70"/>
      <c r="G342" s="67"/>
      <c r="H342" s="71"/>
      <c r="I342" s="72"/>
      <c r="J342" s="72"/>
      <c r="K342" s="36"/>
      <c r="L342" s="79"/>
      <c r="M342" s="79"/>
      <c r="N342" s="74"/>
      <c r="O342" s="81" t="s">
        <v>179</v>
      </c>
      <c r="P342" s="83">
        <v>44461.436064814814</v>
      </c>
      <c r="Q342" s="81" t="s">
        <v>745</v>
      </c>
      <c r="R342" s="81"/>
      <c r="S342" s="81"/>
      <c r="T342" s="81"/>
      <c r="U342" s="84" t="str">
        <f>HYPERLINK("https://pbs.twimg.com/media/E_4fyoHVgBQjd-I.jpg")</f>
        <v>https://pbs.twimg.com/media/E_4fyoHVgBQjd-I.jpg</v>
      </c>
      <c r="V342" s="84" t="str">
        <f>HYPERLINK("https://pbs.twimg.com/media/E_4fyoHVgBQjd-I.jpg")</f>
        <v>https://pbs.twimg.com/media/E_4fyoHVgBQjd-I.jpg</v>
      </c>
      <c r="W342" s="83">
        <v>44461.436064814814</v>
      </c>
      <c r="X342" s="89">
        <v>44461</v>
      </c>
      <c r="Y342" s="86" t="s">
        <v>1127</v>
      </c>
      <c r="Z342" s="84" t="str">
        <f>HYPERLINK("https://twitter.com/shahrinazakaria/status/1440623892628869127")</f>
        <v>https://twitter.com/shahrinazakaria/status/1440623892628869127</v>
      </c>
      <c r="AA342" s="81"/>
      <c r="AB342" s="81"/>
      <c r="AC342" s="86" t="s">
        <v>1625</v>
      </c>
      <c r="AD342" s="81"/>
      <c r="AE342" s="81" t="b">
        <v>0</v>
      </c>
      <c r="AF342" s="81">
        <v>0</v>
      </c>
      <c r="AG342" s="86" t="s">
        <v>2084</v>
      </c>
      <c r="AH342" s="81" t="b">
        <v>0</v>
      </c>
      <c r="AI342" s="81" t="s">
        <v>2167</v>
      </c>
      <c r="AJ342" s="81"/>
      <c r="AK342" s="86" t="s">
        <v>2084</v>
      </c>
      <c r="AL342" s="81" t="b">
        <v>0</v>
      </c>
      <c r="AM342" s="81">
        <v>0</v>
      </c>
      <c r="AN342" s="86" t="s">
        <v>2084</v>
      </c>
      <c r="AO342" s="86" t="s">
        <v>2178</v>
      </c>
      <c r="AP342" s="81" t="b">
        <v>0</v>
      </c>
      <c r="AQ342" s="86" t="s">
        <v>1625</v>
      </c>
      <c r="AR342" s="81" t="s">
        <v>179</v>
      </c>
      <c r="AS342" s="81">
        <v>0</v>
      </c>
      <c r="AT342" s="81">
        <v>0</v>
      </c>
      <c r="AU342" s="81"/>
      <c r="AV342" s="81"/>
      <c r="AW342" s="81"/>
      <c r="AX342" s="81"/>
      <c r="AY342" s="81"/>
      <c r="AZ342" s="81"/>
      <c r="BA342" s="81"/>
      <c r="BB342" s="81"/>
    </row>
    <row r="343" spans="1:54" x14ac:dyDescent="0.35">
      <c r="A343" s="66" t="s">
        <v>324</v>
      </c>
      <c r="B343" s="66" t="s">
        <v>344</v>
      </c>
      <c r="C343" s="67"/>
      <c r="D343" s="68"/>
      <c r="E343" s="69"/>
      <c r="F343" s="70"/>
      <c r="G343" s="67"/>
      <c r="H343" s="71"/>
      <c r="I343" s="72"/>
      <c r="J343" s="72"/>
      <c r="K343" s="36"/>
      <c r="L343" s="79"/>
      <c r="M343" s="79"/>
      <c r="N343" s="74"/>
      <c r="O343" s="81" t="s">
        <v>693</v>
      </c>
      <c r="P343" s="83">
        <v>44461.460115740738</v>
      </c>
      <c r="Q343" s="81" t="s">
        <v>743</v>
      </c>
      <c r="R343" s="81"/>
      <c r="S343" s="81"/>
      <c r="T343" s="86" t="s">
        <v>977</v>
      </c>
      <c r="U343" s="84" t="str">
        <f>HYPERLINK("https://pbs.twimg.com/media/E_4G1w0UcAYtmKg.jpg")</f>
        <v>https://pbs.twimg.com/media/E_4G1w0UcAYtmKg.jpg</v>
      </c>
      <c r="V343" s="84" t="str">
        <f>HYPERLINK("https://pbs.twimg.com/media/E_4G1w0UcAYtmKg.jpg")</f>
        <v>https://pbs.twimg.com/media/E_4G1w0UcAYtmKg.jpg</v>
      </c>
      <c r="W343" s="83">
        <v>44461.460115740738</v>
      </c>
      <c r="X343" s="89">
        <v>44461</v>
      </c>
      <c r="Y343" s="86" t="s">
        <v>1128</v>
      </c>
      <c r="Z343" s="84" t="str">
        <f>HYPERLINK("https://twitter.com/nctmydream_/status/1440632610334511105")</f>
        <v>https://twitter.com/nctmydream_/status/1440632610334511105</v>
      </c>
      <c r="AA343" s="81"/>
      <c r="AB343" s="81"/>
      <c r="AC343" s="86" t="s">
        <v>1626</v>
      </c>
      <c r="AD343" s="81"/>
      <c r="AE343" s="81" t="b">
        <v>0</v>
      </c>
      <c r="AF343" s="81">
        <v>0</v>
      </c>
      <c r="AG343" s="86" t="s">
        <v>2084</v>
      </c>
      <c r="AH343" s="81" t="b">
        <v>0</v>
      </c>
      <c r="AI343" s="81" t="s">
        <v>2168</v>
      </c>
      <c r="AJ343" s="81"/>
      <c r="AK343" s="86" t="s">
        <v>2084</v>
      </c>
      <c r="AL343" s="81" t="b">
        <v>0</v>
      </c>
      <c r="AM343" s="81">
        <v>12</v>
      </c>
      <c r="AN343" s="86" t="s">
        <v>1646</v>
      </c>
      <c r="AO343" s="86" t="s">
        <v>2179</v>
      </c>
      <c r="AP343" s="81" t="b">
        <v>0</v>
      </c>
      <c r="AQ343" s="86" t="s">
        <v>1646</v>
      </c>
      <c r="AR343" s="81" t="s">
        <v>179</v>
      </c>
      <c r="AS343" s="81">
        <v>0</v>
      </c>
      <c r="AT343" s="81">
        <v>0</v>
      </c>
      <c r="AU343" s="81"/>
      <c r="AV343" s="81"/>
      <c r="AW343" s="81"/>
      <c r="AX343" s="81"/>
      <c r="AY343" s="81"/>
      <c r="AZ343" s="81"/>
      <c r="BA343" s="81"/>
      <c r="BB343" s="81"/>
    </row>
    <row r="344" spans="1:54" x14ac:dyDescent="0.35">
      <c r="A344" s="66" t="s">
        <v>4296</v>
      </c>
      <c r="B344" s="66" t="s">
        <v>4335</v>
      </c>
      <c r="C344" s="67"/>
      <c r="D344" s="68"/>
      <c r="E344" s="69"/>
      <c r="F344" s="70"/>
      <c r="G344" s="67"/>
      <c r="H344" s="71"/>
      <c r="I344" s="72"/>
      <c r="J344" s="72"/>
      <c r="K344" s="36"/>
      <c r="L344" s="79"/>
      <c r="M344" s="79"/>
      <c r="N344" s="74"/>
      <c r="O344" s="81" t="s">
        <v>693</v>
      </c>
      <c r="P344" s="83">
        <v>44461.485833333332</v>
      </c>
      <c r="Q344" s="81" t="s">
        <v>5336</v>
      </c>
      <c r="R344" s="81"/>
      <c r="S344" s="81"/>
      <c r="T344" s="81"/>
      <c r="U344" s="84" t="str">
        <f>HYPERLINK("https://pbs.twimg.com/media/E_4hS8vVUAYv7nN.jpg")</f>
        <v>https://pbs.twimg.com/media/E_4hS8vVUAYv7nN.jpg</v>
      </c>
      <c r="V344" s="84" t="str">
        <f>HYPERLINK("https://pbs.twimg.com/media/E_4hS8vVUAYv7nN.jpg")</f>
        <v>https://pbs.twimg.com/media/E_4hS8vVUAYv7nN.jpg</v>
      </c>
      <c r="W344" s="83">
        <v>44461.485833333332</v>
      </c>
      <c r="X344" s="89">
        <v>44461</v>
      </c>
      <c r="Y344" s="86" t="s">
        <v>5923</v>
      </c>
      <c r="Z344" s="84" t="str">
        <f>HYPERLINK("https://twitter.com/gotothejek/status/1440641927863431175")</f>
        <v>https://twitter.com/gotothejek/status/1440641927863431175</v>
      </c>
      <c r="AA344" s="81"/>
      <c r="AB344" s="81"/>
      <c r="AC344" s="86" t="s">
        <v>6825</v>
      </c>
      <c r="AD344" s="81"/>
      <c r="AE344" s="81" t="b">
        <v>0</v>
      </c>
      <c r="AF344" s="81">
        <v>0</v>
      </c>
      <c r="AG344" s="86" t="s">
        <v>2084</v>
      </c>
      <c r="AH344" s="81" t="b">
        <v>0</v>
      </c>
      <c r="AI344" s="81" t="s">
        <v>2167</v>
      </c>
      <c r="AJ344" s="81"/>
      <c r="AK344" s="86" t="s">
        <v>2084</v>
      </c>
      <c r="AL344" s="81" t="b">
        <v>0</v>
      </c>
      <c r="AM344" s="81">
        <v>9</v>
      </c>
      <c r="AN344" s="86" t="s">
        <v>6867</v>
      </c>
      <c r="AO344" s="86" t="s">
        <v>2178</v>
      </c>
      <c r="AP344" s="81" t="b">
        <v>0</v>
      </c>
      <c r="AQ344" s="86" t="s">
        <v>6867</v>
      </c>
      <c r="AR344" s="81" t="s">
        <v>179</v>
      </c>
      <c r="AS344" s="81">
        <v>0</v>
      </c>
      <c r="AT344" s="81">
        <v>0</v>
      </c>
      <c r="AU344" s="81"/>
      <c r="AV344" s="81"/>
      <c r="AW344" s="81"/>
      <c r="AX344" s="81"/>
      <c r="AY344" s="81"/>
      <c r="AZ344" s="81"/>
      <c r="BA344" s="81"/>
      <c r="BB344" s="81"/>
    </row>
    <row r="345" spans="1:54" x14ac:dyDescent="0.35">
      <c r="A345" s="66" t="s">
        <v>327</v>
      </c>
      <c r="B345" s="66" t="s">
        <v>634</v>
      </c>
      <c r="C345" s="67"/>
      <c r="D345" s="68"/>
      <c r="E345" s="69"/>
      <c r="F345" s="70"/>
      <c r="G345" s="67"/>
      <c r="H345" s="71"/>
      <c r="I345" s="72"/>
      <c r="J345" s="72"/>
      <c r="K345" s="36"/>
      <c r="L345" s="79"/>
      <c r="M345" s="79"/>
      <c r="N345" s="74"/>
      <c r="O345" s="81" t="s">
        <v>695</v>
      </c>
      <c r="P345" s="83">
        <v>44461.488912037035</v>
      </c>
      <c r="Q345" s="81" t="s">
        <v>746</v>
      </c>
      <c r="R345" s="81"/>
      <c r="S345" s="81"/>
      <c r="T345" s="81"/>
      <c r="U345" s="81"/>
      <c r="V345" s="84" t="str">
        <f>HYPERLINK("https://pbs.twimg.com/profile_images/1376977612866646019/p1jnlMYL_normal.jpg")</f>
        <v>https://pbs.twimg.com/profile_images/1376977612866646019/p1jnlMYL_normal.jpg</v>
      </c>
      <c r="W345" s="83">
        <v>44461.488912037035</v>
      </c>
      <c r="X345" s="89">
        <v>44461</v>
      </c>
      <c r="Y345" s="86" t="s">
        <v>1131</v>
      </c>
      <c r="Z345" s="84" t="str">
        <f>HYPERLINK("https://twitter.com/jjeyaz/status/1440643047134416904")</f>
        <v>https://twitter.com/jjeyaz/status/1440643047134416904</v>
      </c>
      <c r="AA345" s="81"/>
      <c r="AB345" s="81"/>
      <c r="AC345" s="86" t="s">
        <v>1629</v>
      </c>
      <c r="AD345" s="86" t="s">
        <v>2029</v>
      </c>
      <c r="AE345" s="81" t="b">
        <v>0</v>
      </c>
      <c r="AF345" s="81">
        <v>1</v>
      </c>
      <c r="AG345" s="86" t="s">
        <v>2110</v>
      </c>
      <c r="AH345" s="81" t="b">
        <v>0</v>
      </c>
      <c r="AI345" s="81" t="s">
        <v>2167</v>
      </c>
      <c r="AJ345" s="81"/>
      <c r="AK345" s="86" t="s">
        <v>2084</v>
      </c>
      <c r="AL345" s="81" t="b">
        <v>0</v>
      </c>
      <c r="AM345" s="81">
        <v>0</v>
      </c>
      <c r="AN345" s="86" t="s">
        <v>2084</v>
      </c>
      <c r="AO345" s="86" t="s">
        <v>2178</v>
      </c>
      <c r="AP345" s="81" t="b">
        <v>0</v>
      </c>
      <c r="AQ345" s="86" t="s">
        <v>2029</v>
      </c>
      <c r="AR345" s="81" t="s">
        <v>179</v>
      </c>
      <c r="AS345" s="81">
        <v>0</v>
      </c>
      <c r="AT345" s="81">
        <v>0</v>
      </c>
      <c r="AU345" s="81"/>
      <c r="AV345" s="81"/>
      <c r="AW345" s="81"/>
      <c r="AX345" s="81"/>
      <c r="AY345" s="81"/>
      <c r="AZ345" s="81"/>
      <c r="BA345" s="81"/>
      <c r="BB345" s="81"/>
    </row>
    <row r="346" spans="1:54" x14ac:dyDescent="0.35">
      <c r="A346" s="66" t="s">
        <v>4297</v>
      </c>
      <c r="B346" s="66" t="s">
        <v>4297</v>
      </c>
      <c r="C346" s="67"/>
      <c r="D346" s="68"/>
      <c r="E346" s="69"/>
      <c r="F346" s="70"/>
      <c r="G346" s="67"/>
      <c r="H346" s="71"/>
      <c r="I346" s="72"/>
      <c r="J346" s="72"/>
      <c r="K346" s="36"/>
      <c r="L346" s="79"/>
      <c r="M346" s="79"/>
      <c r="N346" s="74"/>
      <c r="O346" s="81" t="s">
        <v>179</v>
      </c>
      <c r="P346" s="83">
        <v>44461.489618055559</v>
      </c>
      <c r="Q346" s="81" t="s">
        <v>5337</v>
      </c>
      <c r="R346" s="84" t="str">
        <f>HYPERLINK("https://www.dn.pt/politica/autarquicas-jeronimo-alerta-que-apoios-tem-de-continuar-no-pos-pandemia--14147386.html?utm_source=dlvr.it&amp;utm_medium=twitter")</f>
        <v>https://www.dn.pt/politica/autarquicas-jeronimo-alerta-que-apoios-tem-de-continuar-no-pos-pandemia--14147386.html?utm_source=dlvr.it&amp;utm_medium=twitter</v>
      </c>
      <c r="S346" s="81" t="s">
        <v>5706</v>
      </c>
      <c r="T346" s="81"/>
      <c r="U346" s="81"/>
      <c r="V346" s="84" t="str">
        <f>HYPERLINK("https://pbs.twimg.com/profile_images/1618752141/dn_avatar_normal.jpg")</f>
        <v>https://pbs.twimg.com/profile_images/1618752141/dn_avatar_normal.jpg</v>
      </c>
      <c r="W346" s="83">
        <v>44461.489618055559</v>
      </c>
      <c r="X346" s="89">
        <v>44461</v>
      </c>
      <c r="Y346" s="86" t="s">
        <v>5924</v>
      </c>
      <c r="Z346" s="84" t="str">
        <f>HYPERLINK("https://twitter.com/dntwit/status/1440643300331978758")</f>
        <v>https://twitter.com/dntwit/status/1440643300331978758</v>
      </c>
      <c r="AA346" s="81"/>
      <c r="AB346" s="81"/>
      <c r="AC346" s="86" t="s">
        <v>6826</v>
      </c>
      <c r="AD346" s="81"/>
      <c r="AE346" s="81" t="b">
        <v>0</v>
      </c>
      <c r="AF346" s="81">
        <v>4</v>
      </c>
      <c r="AG346" s="86" t="s">
        <v>2084</v>
      </c>
      <c r="AH346" s="81" t="b">
        <v>0</v>
      </c>
      <c r="AI346" s="81" t="s">
        <v>2171</v>
      </c>
      <c r="AJ346" s="81"/>
      <c r="AK346" s="86" t="s">
        <v>2084</v>
      </c>
      <c r="AL346" s="81" t="b">
        <v>0</v>
      </c>
      <c r="AM346" s="81">
        <v>0</v>
      </c>
      <c r="AN346" s="86" t="s">
        <v>2084</v>
      </c>
      <c r="AO346" s="86" t="s">
        <v>2188</v>
      </c>
      <c r="AP346" s="81" t="b">
        <v>0</v>
      </c>
      <c r="AQ346" s="86" t="s">
        <v>6826</v>
      </c>
      <c r="AR346" s="81" t="s">
        <v>179</v>
      </c>
      <c r="AS346" s="81">
        <v>0</v>
      </c>
      <c r="AT346" s="81">
        <v>0</v>
      </c>
      <c r="AU346" s="81"/>
      <c r="AV346" s="81"/>
      <c r="AW346" s="81"/>
      <c r="AX346" s="81"/>
      <c r="AY346" s="81"/>
      <c r="AZ346" s="81"/>
      <c r="BA346" s="81"/>
      <c r="BB346" s="81"/>
    </row>
    <row r="347" spans="1:54" x14ac:dyDescent="0.35">
      <c r="A347" s="66" t="s">
        <v>4298</v>
      </c>
      <c r="B347" s="66" t="s">
        <v>4335</v>
      </c>
      <c r="C347" s="67"/>
      <c r="D347" s="68"/>
      <c r="E347" s="69"/>
      <c r="F347" s="70"/>
      <c r="G347" s="67"/>
      <c r="H347" s="71"/>
      <c r="I347" s="72"/>
      <c r="J347" s="72"/>
      <c r="K347" s="36"/>
      <c r="L347" s="79"/>
      <c r="M347" s="79"/>
      <c r="N347" s="74"/>
      <c r="O347" s="81" t="s">
        <v>693</v>
      </c>
      <c r="P347" s="83">
        <v>44461.491620370369</v>
      </c>
      <c r="Q347" s="81" t="s">
        <v>5336</v>
      </c>
      <c r="R347" s="81"/>
      <c r="S347" s="81"/>
      <c r="T347" s="81"/>
      <c r="U347" s="84" t="str">
        <f>HYPERLINK("https://pbs.twimg.com/media/E_4hS8vVUAYv7nN.jpg")</f>
        <v>https://pbs.twimg.com/media/E_4hS8vVUAYv7nN.jpg</v>
      </c>
      <c r="V347" s="84" t="str">
        <f>HYPERLINK("https://pbs.twimg.com/media/E_4hS8vVUAYv7nN.jpg")</f>
        <v>https://pbs.twimg.com/media/E_4hS8vVUAYv7nN.jpg</v>
      </c>
      <c r="W347" s="83">
        <v>44461.491620370369</v>
      </c>
      <c r="X347" s="89">
        <v>44461</v>
      </c>
      <c r="Y347" s="86" t="s">
        <v>5925</v>
      </c>
      <c r="Z347" s="84" t="str">
        <f>HYPERLINK("https://twitter.com/sonsih56gmailc1/status/1440644027397804032")</f>
        <v>https://twitter.com/sonsih56gmailc1/status/1440644027397804032</v>
      </c>
      <c r="AA347" s="81"/>
      <c r="AB347" s="81"/>
      <c r="AC347" s="86" t="s">
        <v>6827</v>
      </c>
      <c r="AD347" s="81"/>
      <c r="AE347" s="81" t="b">
        <v>0</v>
      </c>
      <c r="AF347" s="81">
        <v>0</v>
      </c>
      <c r="AG347" s="86" t="s">
        <v>2084</v>
      </c>
      <c r="AH347" s="81" t="b">
        <v>0</v>
      </c>
      <c r="AI347" s="81" t="s">
        <v>2167</v>
      </c>
      <c r="AJ347" s="81"/>
      <c r="AK347" s="86" t="s">
        <v>2084</v>
      </c>
      <c r="AL347" s="81" t="b">
        <v>0</v>
      </c>
      <c r="AM347" s="81">
        <v>9</v>
      </c>
      <c r="AN347" s="86" t="s">
        <v>6867</v>
      </c>
      <c r="AO347" s="86" t="s">
        <v>2178</v>
      </c>
      <c r="AP347" s="81" t="b">
        <v>0</v>
      </c>
      <c r="AQ347" s="86" t="s">
        <v>6867</v>
      </c>
      <c r="AR347" s="81" t="s">
        <v>179</v>
      </c>
      <c r="AS347" s="81">
        <v>0</v>
      </c>
      <c r="AT347" s="81">
        <v>0</v>
      </c>
      <c r="AU347" s="81"/>
      <c r="AV347" s="81"/>
      <c r="AW347" s="81"/>
      <c r="AX347" s="81"/>
      <c r="AY347" s="81"/>
      <c r="AZ347" s="81"/>
      <c r="BA347" s="81"/>
      <c r="BB347" s="81"/>
    </row>
    <row r="348" spans="1:54" x14ac:dyDescent="0.35">
      <c r="A348" s="66" t="s">
        <v>4299</v>
      </c>
      <c r="B348" s="66" t="s">
        <v>4501</v>
      </c>
      <c r="C348" s="67"/>
      <c r="D348" s="68"/>
      <c r="E348" s="69"/>
      <c r="F348" s="70"/>
      <c r="G348" s="67"/>
      <c r="H348" s="71"/>
      <c r="I348" s="72"/>
      <c r="J348" s="72"/>
      <c r="K348" s="36"/>
      <c r="L348" s="79"/>
      <c r="M348" s="79"/>
      <c r="N348" s="74"/>
      <c r="O348" s="81" t="s">
        <v>696</v>
      </c>
      <c r="P348" s="83">
        <v>44461.491736111115</v>
      </c>
      <c r="Q348" s="81" t="s">
        <v>5338</v>
      </c>
      <c r="R348" s="84" t="str">
        <f>HYPERLINK("https://sicnoticias.pt/saude-e-bem-estar/2021-09-22-Recuperados-do-cancro-da-cabeca-e-pescoco-sentem-falta-de-acompanhamento-no-pos-tratamento-84e343d9")</f>
        <v>https://sicnoticias.pt/saude-e-bem-estar/2021-09-22-Recuperados-do-cancro-da-cabeca-e-pescoco-sentem-falta-de-acompanhamento-no-pos-tratamento-84e343d9</v>
      </c>
      <c r="S348" s="81" t="s">
        <v>5707</v>
      </c>
      <c r="T348" s="81"/>
      <c r="U348" s="81"/>
      <c r="V348" s="84" t="str">
        <f>HYPERLINK("https://pbs.twimg.com/profile_images/1114780374259904513/s3AF9Sou_normal.jpg")</f>
        <v>https://pbs.twimg.com/profile_images/1114780374259904513/s3AF9Sou_normal.jpg</v>
      </c>
      <c r="W348" s="83">
        <v>44461.491736111115</v>
      </c>
      <c r="X348" s="89">
        <v>44461</v>
      </c>
      <c r="Y348" s="86" t="s">
        <v>5926</v>
      </c>
      <c r="Z348" s="84" t="str">
        <f>HYPERLINK("https://twitter.com/sidvicious6691/status/1440644070456512524")</f>
        <v>https://twitter.com/sidvicious6691/status/1440644070456512524</v>
      </c>
      <c r="AA348" s="81"/>
      <c r="AB348" s="81"/>
      <c r="AC348" s="86" t="s">
        <v>6828</v>
      </c>
      <c r="AD348" s="81"/>
      <c r="AE348" s="81" t="b">
        <v>0</v>
      </c>
      <c r="AF348" s="81">
        <v>0</v>
      </c>
      <c r="AG348" s="86" t="s">
        <v>2084</v>
      </c>
      <c r="AH348" s="81" t="b">
        <v>0</v>
      </c>
      <c r="AI348" s="81" t="s">
        <v>2171</v>
      </c>
      <c r="AJ348" s="81"/>
      <c r="AK348" s="86" t="s">
        <v>2084</v>
      </c>
      <c r="AL348" s="81" t="b">
        <v>0</v>
      </c>
      <c r="AM348" s="81">
        <v>0</v>
      </c>
      <c r="AN348" s="86" t="s">
        <v>2084</v>
      </c>
      <c r="AO348" s="86" t="s">
        <v>2181</v>
      </c>
      <c r="AP348" s="81" t="b">
        <v>0</v>
      </c>
      <c r="AQ348" s="86" t="s">
        <v>6828</v>
      </c>
      <c r="AR348" s="81" t="s">
        <v>179</v>
      </c>
      <c r="AS348" s="81">
        <v>0</v>
      </c>
      <c r="AT348" s="81">
        <v>0</v>
      </c>
      <c r="AU348" s="81"/>
      <c r="AV348" s="81"/>
      <c r="AW348" s="81"/>
      <c r="AX348" s="81"/>
      <c r="AY348" s="81"/>
      <c r="AZ348" s="81"/>
      <c r="BA348" s="81"/>
      <c r="BB348" s="81"/>
    </row>
    <row r="349" spans="1:54" x14ac:dyDescent="0.35">
      <c r="A349" s="66" t="s">
        <v>4300</v>
      </c>
      <c r="B349" s="66" t="s">
        <v>4335</v>
      </c>
      <c r="C349" s="67"/>
      <c r="D349" s="68"/>
      <c r="E349" s="69"/>
      <c r="F349" s="70"/>
      <c r="G349" s="67"/>
      <c r="H349" s="71"/>
      <c r="I349" s="72"/>
      <c r="J349" s="72"/>
      <c r="K349" s="36"/>
      <c r="L349" s="79"/>
      <c r="M349" s="79"/>
      <c r="N349" s="74"/>
      <c r="O349" s="81" t="s">
        <v>693</v>
      </c>
      <c r="P349" s="83">
        <v>44461.492280092592</v>
      </c>
      <c r="Q349" s="81" t="s">
        <v>5336</v>
      </c>
      <c r="R349" s="81"/>
      <c r="S349" s="81"/>
      <c r="T349" s="81"/>
      <c r="U349" s="84" t="str">
        <f>HYPERLINK("https://pbs.twimg.com/media/E_4hS8vVUAYv7nN.jpg")</f>
        <v>https://pbs.twimg.com/media/E_4hS8vVUAYv7nN.jpg</v>
      </c>
      <c r="V349" s="84" t="str">
        <f>HYPERLINK("https://pbs.twimg.com/media/E_4hS8vVUAYv7nN.jpg")</f>
        <v>https://pbs.twimg.com/media/E_4hS8vVUAYv7nN.jpg</v>
      </c>
      <c r="W349" s="83">
        <v>44461.492280092592</v>
      </c>
      <c r="X349" s="89">
        <v>44461</v>
      </c>
      <c r="Y349" s="86" t="s">
        <v>5927</v>
      </c>
      <c r="Z349" s="84" t="str">
        <f>HYPERLINK("https://twitter.com/monyiikuu/status/1440644267538407446")</f>
        <v>https://twitter.com/monyiikuu/status/1440644267538407446</v>
      </c>
      <c r="AA349" s="81"/>
      <c r="AB349" s="81"/>
      <c r="AC349" s="86" t="s">
        <v>6829</v>
      </c>
      <c r="AD349" s="81"/>
      <c r="AE349" s="81" t="b">
        <v>0</v>
      </c>
      <c r="AF349" s="81">
        <v>0</v>
      </c>
      <c r="AG349" s="86" t="s">
        <v>2084</v>
      </c>
      <c r="AH349" s="81" t="b">
        <v>0</v>
      </c>
      <c r="AI349" s="81" t="s">
        <v>2167</v>
      </c>
      <c r="AJ349" s="81"/>
      <c r="AK349" s="86" t="s">
        <v>2084</v>
      </c>
      <c r="AL349" s="81" t="b">
        <v>0</v>
      </c>
      <c r="AM349" s="81">
        <v>9</v>
      </c>
      <c r="AN349" s="86" t="s">
        <v>6867</v>
      </c>
      <c r="AO349" s="86" t="s">
        <v>2178</v>
      </c>
      <c r="AP349" s="81" t="b">
        <v>0</v>
      </c>
      <c r="AQ349" s="86" t="s">
        <v>6867</v>
      </c>
      <c r="AR349" s="81" t="s">
        <v>179</v>
      </c>
      <c r="AS349" s="81">
        <v>0</v>
      </c>
      <c r="AT349" s="81">
        <v>0</v>
      </c>
      <c r="AU349" s="81"/>
      <c r="AV349" s="81"/>
      <c r="AW349" s="81"/>
      <c r="AX349" s="81"/>
      <c r="AY349" s="81"/>
      <c r="AZ349" s="81"/>
      <c r="BA349" s="81"/>
      <c r="BB349" s="81"/>
    </row>
    <row r="350" spans="1:54" x14ac:dyDescent="0.35">
      <c r="A350" s="66" t="s">
        <v>4301</v>
      </c>
      <c r="B350" s="66" t="s">
        <v>4335</v>
      </c>
      <c r="C350" s="67"/>
      <c r="D350" s="68"/>
      <c r="E350" s="69"/>
      <c r="F350" s="70"/>
      <c r="G350" s="67"/>
      <c r="H350" s="71"/>
      <c r="I350" s="72"/>
      <c r="J350" s="72"/>
      <c r="K350" s="36"/>
      <c r="L350" s="79"/>
      <c r="M350" s="79"/>
      <c r="N350" s="74"/>
      <c r="O350" s="81" t="s">
        <v>693</v>
      </c>
      <c r="P350" s="83">
        <v>44461.492604166669</v>
      </c>
      <c r="Q350" s="81" t="s">
        <v>5336</v>
      </c>
      <c r="R350" s="81"/>
      <c r="S350" s="81"/>
      <c r="T350" s="81"/>
      <c r="U350" s="84" t="str">
        <f>HYPERLINK("https://pbs.twimg.com/media/E_4hS8vVUAYv7nN.jpg")</f>
        <v>https://pbs.twimg.com/media/E_4hS8vVUAYv7nN.jpg</v>
      </c>
      <c r="V350" s="84" t="str">
        <f>HYPERLINK("https://pbs.twimg.com/media/E_4hS8vVUAYv7nN.jpg")</f>
        <v>https://pbs.twimg.com/media/E_4hS8vVUAYv7nN.jpg</v>
      </c>
      <c r="W350" s="83">
        <v>44461.492604166669</v>
      </c>
      <c r="X350" s="89">
        <v>44461</v>
      </c>
      <c r="Y350" s="86" t="s">
        <v>5928</v>
      </c>
      <c r="Z350" s="84" t="str">
        <f>HYPERLINK("https://twitter.com/olisandita/status/1440644381803827204")</f>
        <v>https://twitter.com/olisandita/status/1440644381803827204</v>
      </c>
      <c r="AA350" s="81"/>
      <c r="AB350" s="81"/>
      <c r="AC350" s="86" t="s">
        <v>6830</v>
      </c>
      <c r="AD350" s="81"/>
      <c r="AE350" s="81" t="b">
        <v>0</v>
      </c>
      <c r="AF350" s="81">
        <v>0</v>
      </c>
      <c r="AG350" s="86" t="s">
        <v>2084</v>
      </c>
      <c r="AH350" s="81" t="b">
        <v>0</v>
      </c>
      <c r="AI350" s="81" t="s">
        <v>2167</v>
      </c>
      <c r="AJ350" s="81"/>
      <c r="AK350" s="86" t="s">
        <v>2084</v>
      </c>
      <c r="AL350" s="81" t="b">
        <v>0</v>
      </c>
      <c r="AM350" s="81">
        <v>9</v>
      </c>
      <c r="AN350" s="86" t="s">
        <v>6867</v>
      </c>
      <c r="AO350" s="86" t="s">
        <v>2181</v>
      </c>
      <c r="AP350" s="81" t="b">
        <v>0</v>
      </c>
      <c r="AQ350" s="86" t="s">
        <v>6867</v>
      </c>
      <c r="AR350" s="81" t="s">
        <v>179</v>
      </c>
      <c r="AS350" s="81">
        <v>0</v>
      </c>
      <c r="AT350" s="81">
        <v>0</v>
      </c>
      <c r="AU350" s="81"/>
      <c r="AV350" s="81"/>
      <c r="AW350" s="81"/>
      <c r="AX350" s="81"/>
      <c r="AY350" s="81"/>
      <c r="AZ350" s="81"/>
      <c r="BA350" s="81"/>
      <c r="BB350" s="81"/>
    </row>
    <row r="351" spans="1:54" x14ac:dyDescent="0.35">
      <c r="A351" s="66" t="s">
        <v>328</v>
      </c>
      <c r="B351" s="66" t="s">
        <v>596</v>
      </c>
      <c r="C351" s="67"/>
      <c r="D351" s="68"/>
      <c r="E351" s="69"/>
      <c r="F351" s="70"/>
      <c r="G351" s="67"/>
      <c r="H351" s="71"/>
      <c r="I351" s="72"/>
      <c r="J351" s="72"/>
      <c r="K351" s="36"/>
      <c r="L351" s="79"/>
      <c r="M351" s="79"/>
      <c r="N351" s="74"/>
      <c r="O351" s="81" t="s">
        <v>693</v>
      </c>
      <c r="P351" s="83">
        <v>44461.507372685184</v>
      </c>
      <c r="Q351" s="81" t="s">
        <v>701</v>
      </c>
      <c r="R351" s="84" t="str">
        <f>HYPERLINK("https://api.whatsapp.com/send?phone=6281222353823")</f>
        <v>https://api.whatsapp.com/send?phone=6281222353823</v>
      </c>
      <c r="S351" s="81" t="s">
        <v>940</v>
      </c>
      <c r="T351" s="81"/>
      <c r="U351" s="84" t="str">
        <f>HYPERLINK("https://pbs.twimg.com/media/E_P_XMQWYAUXeaR.jpg")</f>
        <v>https://pbs.twimg.com/media/E_P_XMQWYAUXeaR.jpg</v>
      </c>
      <c r="V351" s="84" t="str">
        <f>HYPERLINK("https://pbs.twimg.com/media/E_P_XMQWYAUXeaR.jpg")</f>
        <v>https://pbs.twimg.com/media/E_P_XMQWYAUXeaR.jpg</v>
      </c>
      <c r="W351" s="83">
        <v>44461.507372685184</v>
      </c>
      <c r="X351" s="89">
        <v>44461</v>
      </c>
      <c r="Y351" s="86" t="s">
        <v>1132</v>
      </c>
      <c r="Z351" s="84" t="str">
        <f>HYPERLINK("https://twitter.com/nblnndf/status/1440649736592113673")</f>
        <v>https://twitter.com/nblnndf/status/1440649736592113673</v>
      </c>
      <c r="AA351" s="81"/>
      <c r="AB351" s="81"/>
      <c r="AC351" s="86" t="s">
        <v>1630</v>
      </c>
      <c r="AD351" s="81"/>
      <c r="AE351" s="81" t="b">
        <v>0</v>
      </c>
      <c r="AF351" s="81">
        <v>0</v>
      </c>
      <c r="AG351" s="86" t="s">
        <v>2084</v>
      </c>
      <c r="AH351" s="81" t="b">
        <v>0</v>
      </c>
      <c r="AI351" s="81" t="s">
        <v>2167</v>
      </c>
      <c r="AJ351" s="81"/>
      <c r="AK351" s="86" t="s">
        <v>2084</v>
      </c>
      <c r="AL351" s="81" t="b">
        <v>0</v>
      </c>
      <c r="AM351" s="81">
        <v>51</v>
      </c>
      <c r="AN351" s="86" t="s">
        <v>2005</v>
      </c>
      <c r="AO351" s="86" t="s">
        <v>2179</v>
      </c>
      <c r="AP351" s="81" t="b">
        <v>0</v>
      </c>
      <c r="AQ351" s="86" t="s">
        <v>2005</v>
      </c>
      <c r="AR351" s="81" t="s">
        <v>179</v>
      </c>
      <c r="AS351" s="81">
        <v>0</v>
      </c>
      <c r="AT351" s="81">
        <v>0</v>
      </c>
      <c r="AU351" s="81"/>
      <c r="AV351" s="81"/>
      <c r="AW351" s="81"/>
      <c r="AX351" s="81"/>
      <c r="AY351" s="81"/>
      <c r="AZ351" s="81"/>
      <c r="BA351" s="81"/>
      <c r="BB351" s="81"/>
    </row>
    <row r="352" spans="1:54" x14ac:dyDescent="0.35">
      <c r="A352" s="66" t="s">
        <v>4302</v>
      </c>
      <c r="B352" s="66" t="s">
        <v>4302</v>
      </c>
      <c r="C352" s="67"/>
      <c r="D352" s="68"/>
      <c r="E352" s="69"/>
      <c r="F352" s="70"/>
      <c r="G352" s="67"/>
      <c r="H352" s="71"/>
      <c r="I352" s="72"/>
      <c r="J352" s="72"/>
      <c r="K352" s="36"/>
      <c r="L352" s="79"/>
      <c r="M352" s="79"/>
      <c r="N352" s="74"/>
      <c r="O352" s="81" t="s">
        <v>179</v>
      </c>
      <c r="P352" s="83">
        <v>44461.521550925929</v>
      </c>
      <c r="Q352" s="81" t="s">
        <v>5339</v>
      </c>
      <c r="R352" s="84" t="str">
        <f>HYPERLINK("https://semanariov.pt/2021/09/22/autarquicas-jeronimo-alerta-que-apoios-tem-de-continuar-no-pos-pandemia/")</f>
        <v>https://semanariov.pt/2021/09/22/autarquicas-jeronimo-alerta-que-apoios-tem-de-continuar-no-pos-pandemia/</v>
      </c>
      <c r="S352" s="81" t="s">
        <v>5708</v>
      </c>
      <c r="T352" s="81"/>
      <c r="U352" s="81"/>
      <c r="V352" s="84" t="str">
        <f>HYPERLINK("https://pbs.twimg.com/profile_images/1359847378044485635/xAibFHus_normal.jpg")</f>
        <v>https://pbs.twimg.com/profile_images/1359847378044485635/xAibFHus_normal.jpg</v>
      </c>
      <c r="W352" s="83">
        <v>44461.521550925929</v>
      </c>
      <c r="X352" s="89">
        <v>44461</v>
      </c>
      <c r="Y352" s="86" t="s">
        <v>5929</v>
      </c>
      <c r="Z352" s="84" t="str">
        <f>HYPERLINK("https://twitter.com/semanariov/status/1440654872450256910")</f>
        <v>https://twitter.com/semanariov/status/1440654872450256910</v>
      </c>
      <c r="AA352" s="81"/>
      <c r="AB352" s="81"/>
      <c r="AC352" s="86" t="s">
        <v>6831</v>
      </c>
      <c r="AD352" s="81"/>
      <c r="AE352" s="81" t="b">
        <v>0</v>
      </c>
      <c r="AF352" s="81">
        <v>0</v>
      </c>
      <c r="AG352" s="86" t="s">
        <v>2084</v>
      </c>
      <c r="AH352" s="81" t="b">
        <v>0</v>
      </c>
      <c r="AI352" s="81" t="s">
        <v>2171</v>
      </c>
      <c r="AJ352" s="81"/>
      <c r="AK352" s="86" t="s">
        <v>2084</v>
      </c>
      <c r="AL352" s="81" t="b">
        <v>0</v>
      </c>
      <c r="AM352" s="81">
        <v>0</v>
      </c>
      <c r="AN352" s="86" t="s">
        <v>2084</v>
      </c>
      <c r="AO352" s="86" t="s">
        <v>2195</v>
      </c>
      <c r="AP352" s="81" t="b">
        <v>0</v>
      </c>
      <c r="AQ352" s="86" t="s">
        <v>6831</v>
      </c>
      <c r="AR352" s="81" t="s">
        <v>179</v>
      </c>
      <c r="AS352" s="81">
        <v>0</v>
      </c>
      <c r="AT352" s="81">
        <v>0</v>
      </c>
      <c r="AU352" s="81"/>
      <c r="AV352" s="81"/>
      <c r="AW352" s="81"/>
      <c r="AX352" s="81"/>
      <c r="AY352" s="81"/>
      <c r="AZ352" s="81"/>
      <c r="BA352" s="81"/>
      <c r="BB352" s="81"/>
    </row>
    <row r="353" spans="1:54" x14ac:dyDescent="0.35">
      <c r="A353" s="66" t="s">
        <v>4303</v>
      </c>
      <c r="B353" s="66" t="s">
        <v>4303</v>
      </c>
      <c r="C353" s="67"/>
      <c r="D353" s="68"/>
      <c r="E353" s="69"/>
      <c r="F353" s="70"/>
      <c r="G353" s="67"/>
      <c r="H353" s="71"/>
      <c r="I353" s="72"/>
      <c r="J353" s="72"/>
      <c r="K353" s="36"/>
      <c r="L353" s="79"/>
      <c r="M353" s="79"/>
      <c r="N353" s="74"/>
      <c r="O353" s="81" t="s">
        <v>179</v>
      </c>
      <c r="P353" s="83">
        <v>44461.541608796295</v>
      </c>
      <c r="Q353" s="81" t="s">
        <v>5340</v>
      </c>
      <c r="R353" s="84" t="str">
        <f>HYPERLINK("https://www.publico.pt/1978370")</f>
        <v>https://www.publico.pt/1978370</v>
      </c>
      <c r="S353" s="81" t="s">
        <v>5701</v>
      </c>
      <c r="T353" s="81"/>
      <c r="U353" s="81"/>
      <c r="V353" s="84" t="str">
        <f>HYPERLINK("https://pbs.twimg.com/profile_images/1410542619902550016/2tNyH8DW_normal.jpg")</f>
        <v>https://pbs.twimg.com/profile_images/1410542619902550016/2tNyH8DW_normal.jpg</v>
      </c>
      <c r="W353" s="83">
        <v>44461.541608796295</v>
      </c>
      <c r="X353" s="89">
        <v>44461</v>
      </c>
      <c r="Y353" s="86" t="s">
        <v>5930</v>
      </c>
      <c r="Z353" s="84" t="str">
        <f>HYPERLINK("https://twitter.com/publico/status/1440662143997661184")</f>
        <v>https://twitter.com/publico/status/1440662143997661184</v>
      </c>
      <c r="AA353" s="81"/>
      <c r="AB353" s="81"/>
      <c r="AC353" s="86" t="s">
        <v>6832</v>
      </c>
      <c r="AD353" s="81"/>
      <c r="AE353" s="81" t="b">
        <v>0</v>
      </c>
      <c r="AF353" s="81">
        <v>7</v>
      </c>
      <c r="AG353" s="86" t="s">
        <v>2084</v>
      </c>
      <c r="AH353" s="81" t="b">
        <v>0</v>
      </c>
      <c r="AI353" s="81" t="s">
        <v>2171</v>
      </c>
      <c r="AJ353" s="81"/>
      <c r="AK353" s="86" t="s">
        <v>2084</v>
      </c>
      <c r="AL353" s="81" t="b">
        <v>0</v>
      </c>
      <c r="AM353" s="81">
        <v>0</v>
      </c>
      <c r="AN353" s="86" t="s">
        <v>2084</v>
      </c>
      <c r="AO353" s="86" t="s">
        <v>7979</v>
      </c>
      <c r="AP353" s="81" t="b">
        <v>0</v>
      </c>
      <c r="AQ353" s="86" t="s">
        <v>6832</v>
      </c>
      <c r="AR353" s="81" t="s">
        <v>179</v>
      </c>
      <c r="AS353" s="81">
        <v>0</v>
      </c>
      <c r="AT353" s="81">
        <v>0</v>
      </c>
      <c r="AU353" s="81"/>
      <c r="AV353" s="81"/>
      <c r="AW353" s="81"/>
      <c r="AX353" s="81"/>
      <c r="AY353" s="81"/>
      <c r="AZ353" s="81"/>
      <c r="BA353" s="81"/>
      <c r="BB353" s="81"/>
    </row>
    <row r="354" spans="1:54" x14ac:dyDescent="0.35">
      <c r="A354" s="66" t="s">
        <v>4304</v>
      </c>
      <c r="B354" s="66" t="s">
        <v>4304</v>
      </c>
      <c r="C354" s="67"/>
      <c r="D354" s="68"/>
      <c r="E354" s="69"/>
      <c r="F354" s="70"/>
      <c r="G354" s="67"/>
      <c r="H354" s="71"/>
      <c r="I354" s="72"/>
      <c r="J354" s="72"/>
      <c r="K354" s="36"/>
      <c r="L354" s="79"/>
      <c r="M354" s="79"/>
      <c r="N354" s="74"/>
      <c r="O354" s="81" t="s">
        <v>179</v>
      </c>
      <c r="P354" s="83">
        <v>44461.541620370372</v>
      </c>
      <c r="Q354" s="81" t="s">
        <v>5341</v>
      </c>
      <c r="R354" s="84" t="str">
        <f>HYPERLINK("https://www.publico.pt/1978370")</f>
        <v>https://www.publico.pt/1978370</v>
      </c>
      <c r="S354" s="81" t="s">
        <v>5701</v>
      </c>
      <c r="T354" s="81"/>
      <c r="U354" s="81"/>
      <c r="V354" s="84" t="str">
        <f>HYPERLINK("https://pbs.twimg.com/profile_images/882282293632565248/1727Lb5W_normal.jpg")</f>
        <v>https://pbs.twimg.com/profile_images/882282293632565248/1727Lb5W_normal.jpg</v>
      </c>
      <c r="W354" s="83">
        <v>44461.541620370372</v>
      </c>
      <c r="X354" s="89">
        <v>44461</v>
      </c>
      <c r="Y354" s="86" t="s">
        <v>5931</v>
      </c>
      <c r="Z354" s="84" t="str">
        <f>HYPERLINK("https://twitter.com/p_mundo/status/1440662145692147728")</f>
        <v>https://twitter.com/p_mundo/status/1440662145692147728</v>
      </c>
      <c r="AA354" s="81"/>
      <c r="AB354" s="81"/>
      <c r="AC354" s="86" t="s">
        <v>6833</v>
      </c>
      <c r="AD354" s="81"/>
      <c r="AE354" s="81" t="b">
        <v>0</v>
      </c>
      <c r="AF354" s="81">
        <v>1</v>
      </c>
      <c r="AG354" s="86" t="s">
        <v>2084</v>
      </c>
      <c r="AH354" s="81" t="b">
        <v>0</v>
      </c>
      <c r="AI354" s="81" t="s">
        <v>2171</v>
      </c>
      <c r="AJ354" s="81"/>
      <c r="AK354" s="86" t="s">
        <v>2084</v>
      </c>
      <c r="AL354" s="81" t="b">
        <v>0</v>
      </c>
      <c r="AM354" s="81">
        <v>0</v>
      </c>
      <c r="AN354" s="86" t="s">
        <v>2084</v>
      </c>
      <c r="AO354" s="86" t="s">
        <v>7979</v>
      </c>
      <c r="AP354" s="81" t="b">
        <v>0</v>
      </c>
      <c r="AQ354" s="86" t="s">
        <v>6833</v>
      </c>
      <c r="AR354" s="81" t="s">
        <v>179</v>
      </c>
      <c r="AS354" s="81">
        <v>0</v>
      </c>
      <c r="AT354" s="81">
        <v>0</v>
      </c>
      <c r="AU354" s="81"/>
      <c r="AV354" s="81"/>
      <c r="AW354" s="81"/>
      <c r="AX354" s="81"/>
      <c r="AY354" s="81"/>
      <c r="AZ354" s="81"/>
      <c r="BA354" s="81"/>
      <c r="BB354" s="81"/>
    </row>
    <row r="355" spans="1:54" x14ac:dyDescent="0.35">
      <c r="A355" s="66" t="s">
        <v>4305</v>
      </c>
      <c r="B355" s="66" t="s">
        <v>5022</v>
      </c>
      <c r="C355" s="67"/>
      <c r="D355" s="68"/>
      <c r="E355" s="69"/>
      <c r="F355" s="70"/>
      <c r="G355" s="67"/>
      <c r="H355" s="71"/>
      <c r="I355" s="72"/>
      <c r="J355" s="72"/>
      <c r="K355" s="36"/>
      <c r="L355" s="79"/>
      <c r="M355" s="79"/>
      <c r="N355" s="74"/>
      <c r="O355" s="81" t="s">
        <v>696</v>
      </c>
      <c r="P355" s="83">
        <v>44461.570914351854</v>
      </c>
      <c r="Q355" s="81" t="s">
        <v>5342</v>
      </c>
      <c r="R355" s="84" t="s">
        <v>5671</v>
      </c>
      <c r="S355" s="81" t="s">
        <v>5686</v>
      </c>
      <c r="T355" s="81"/>
      <c r="U355" s="81"/>
      <c r="V355" s="84" t="str">
        <f>HYPERLINK("https://pbs.twimg.com/profile_images/1427368216075059208/1GwLH5mY_normal.jpg")</f>
        <v>https://pbs.twimg.com/profile_images/1427368216075059208/1GwLH5mY_normal.jpg</v>
      </c>
      <c r="W355" s="83">
        <v>44461.570914351854</v>
      </c>
      <c r="X355" s="89">
        <v>44461</v>
      </c>
      <c r="Y355" s="86" t="s">
        <v>5932</v>
      </c>
      <c r="Z355" s="84" t="str">
        <f>HYPERLINK("https://twitter.com/dipper2130c/status/1440672763451084811")</f>
        <v>https://twitter.com/dipper2130c/status/1440672763451084811</v>
      </c>
      <c r="AA355" s="81"/>
      <c r="AB355" s="81"/>
      <c r="AC355" s="86" t="s">
        <v>6834</v>
      </c>
      <c r="AD355" s="86" t="s">
        <v>7641</v>
      </c>
      <c r="AE355" s="81" t="b">
        <v>0</v>
      </c>
      <c r="AF355" s="81">
        <v>0</v>
      </c>
      <c r="AG355" s="86" t="s">
        <v>7820</v>
      </c>
      <c r="AH355" s="81" t="b">
        <v>0</v>
      </c>
      <c r="AI355" s="81" t="s">
        <v>2171</v>
      </c>
      <c r="AJ355" s="81"/>
      <c r="AK355" s="86" t="s">
        <v>2084</v>
      </c>
      <c r="AL355" s="81" t="b">
        <v>0</v>
      </c>
      <c r="AM355" s="81">
        <v>0</v>
      </c>
      <c r="AN355" s="86" t="s">
        <v>2084</v>
      </c>
      <c r="AO355" s="86" t="s">
        <v>2178</v>
      </c>
      <c r="AP355" s="81" t="b">
        <v>0</v>
      </c>
      <c r="AQ355" s="86" t="s">
        <v>7641</v>
      </c>
      <c r="AR355" s="81" t="s">
        <v>179</v>
      </c>
      <c r="AS355" s="81">
        <v>0</v>
      </c>
      <c r="AT355" s="81">
        <v>0</v>
      </c>
      <c r="AU355" s="81"/>
      <c r="AV355" s="81"/>
      <c r="AW355" s="81"/>
      <c r="AX355" s="81"/>
      <c r="AY355" s="81"/>
      <c r="AZ355" s="81"/>
      <c r="BA355" s="81"/>
      <c r="BB355" s="81"/>
    </row>
    <row r="356" spans="1:54" x14ac:dyDescent="0.35">
      <c r="A356" s="66" t="s">
        <v>4305</v>
      </c>
      <c r="B356" s="66" t="s">
        <v>5023</v>
      </c>
      <c r="C356" s="67"/>
      <c r="D356" s="68"/>
      <c r="E356" s="69"/>
      <c r="F356" s="70"/>
      <c r="G356" s="67"/>
      <c r="H356" s="71"/>
      <c r="I356" s="72"/>
      <c r="J356" s="72"/>
      <c r="K356" s="36"/>
      <c r="L356" s="79"/>
      <c r="M356" s="79"/>
      <c r="N356" s="74"/>
      <c r="O356" s="81" t="s">
        <v>695</v>
      </c>
      <c r="P356" s="83">
        <v>44461.570914351854</v>
      </c>
      <c r="Q356" s="81" t="s">
        <v>5342</v>
      </c>
      <c r="R356" s="84" t="s">
        <v>5671</v>
      </c>
      <c r="S356" s="81" t="s">
        <v>5686</v>
      </c>
      <c r="T356" s="81"/>
      <c r="U356" s="81"/>
      <c r="V356" s="84" t="str">
        <f>HYPERLINK("https://pbs.twimg.com/profile_images/1427368216075059208/1GwLH5mY_normal.jpg")</f>
        <v>https://pbs.twimg.com/profile_images/1427368216075059208/1GwLH5mY_normal.jpg</v>
      </c>
      <c r="W356" s="83">
        <v>44461.570914351854</v>
      </c>
      <c r="X356" s="89">
        <v>44461</v>
      </c>
      <c r="Y356" s="86" t="s">
        <v>5932</v>
      </c>
      <c r="Z356" s="84" t="str">
        <f>HYPERLINK("https://twitter.com/dipper2130c/status/1440672763451084811")</f>
        <v>https://twitter.com/dipper2130c/status/1440672763451084811</v>
      </c>
      <c r="AA356" s="81"/>
      <c r="AB356" s="81"/>
      <c r="AC356" s="86" t="s">
        <v>6834</v>
      </c>
      <c r="AD356" s="86" t="s">
        <v>7641</v>
      </c>
      <c r="AE356" s="81" t="b">
        <v>0</v>
      </c>
      <c r="AF356" s="81">
        <v>0</v>
      </c>
      <c r="AG356" s="86" t="s">
        <v>7820</v>
      </c>
      <c r="AH356" s="81" t="b">
        <v>0</v>
      </c>
      <c r="AI356" s="81" t="s">
        <v>2171</v>
      </c>
      <c r="AJ356" s="81"/>
      <c r="AK356" s="86" t="s">
        <v>2084</v>
      </c>
      <c r="AL356" s="81" t="b">
        <v>0</v>
      </c>
      <c r="AM356" s="81">
        <v>0</v>
      </c>
      <c r="AN356" s="86" t="s">
        <v>2084</v>
      </c>
      <c r="AO356" s="86" t="s">
        <v>2178</v>
      </c>
      <c r="AP356" s="81" t="b">
        <v>0</v>
      </c>
      <c r="AQ356" s="86" t="s">
        <v>7641</v>
      </c>
      <c r="AR356" s="81" t="s">
        <v>179</v>
      </c>
      <c r="AS356" s="81">
        <v>0</v>
      </c>
      <c r="AT356" s="81">
        <v>0</v>
      </c>
      <c r="AU356" s="81"/>
      <c r="AV356" s="81"/>
      <c r="AW356" s="81"/>
      <c r="AX356" s="81"/>
      <c r="AY356" s="81"/>
      <c r="AZ356" s="81"/>
      <c r="BA356" s="81"/>
      <c r="BB356" s="81"/>
    </row>
    <row r="357" spans="1:54" x14ac:dyDescent="0.35">
      <c r="A357" s="66" t="s">
        <v>4306</v>
      </c>
      <c r="B357" s="66" t="s">
        <v>12669</v>
      </c>
      <c r="C357" s="67"/>
      <c r="D357" s="68"/>
      <c r="E357" s="69"/>
      <c r="F357" s="70"/>
      <c r="G357" s="67"/>
      <c r="H357" s="71"/>
      <c r="I357" s="72"/>
      <c r="J357" s="72"/>
      <c r="K357" s="36"/>
      <c r="L357" s="79"/>
      <c r="M357" s="79"/>
      <c r="N357" s="74"/>
      <c r="O357" s="81" t="s">
        <v>695</v>
      </c>
      <c r="P357" s="83">
        <v>44461.572430555556</v>
      </c>
      <c r="Q357" s="81" t="s">
        <v>5343</v>
      </c>
      <c r="R357" s="81"/>
      <c r="S357" s="81"/>
      <c r="T357" s="81"/>
      <c r="U357" s="81"/>
      <c r="V357" s="84" t="str">
        <f>HYPERLINK("https://pbs.twimg.com/profile_images/1369971896196939776/Jmgs7ns4_normal.jpg")</f>
        <v>https://pbs.twimg.com/profile_images/1369971896196939776/Jmgs7ns4_normal.jpg</v>
      </c>
      <c r="W357" s="83">
        <v>44461.572430555556</v>
      </c>
      <c r="X357" s="89">
        <v>44461</v>
      </c>
      <c r="Y357" s="86" t="s">
        <v>5933</v>
      </c>
      <c r="Z357" s="84" t="str">
        <f>HYPERLINK("https://twitter.com/sav4ge_bull/status/1440673310803562496")</f>
        <v>https://twitter.com/sav4ge_bull/status/1440673310803562496</v>
      </c>
      <c r="AA357" s="81"/>
      <c r="AB357" s="81"/>
      <c r="AC357" s="86" t="s">
        <v>6835</v>
      </c>
      <c r="AD357" s="86" t="s">
        <v>7642</v>
      </c>
      <c r="AE357" s="81" t="b">
        <v>0</v>
      </c>
      <c r="AF357" s="81">
        <v>0</v>
      </c>
      <c r="AG357" s="86" t="s">
        <v>7821</v>
      </c>
      <c r="AH357" s="81" t="b">
        <v>0</v>
      </c>
      <c r="AI357" s="81" t="s">
        <v>2171</v>
      </c>
      <c r="AJ357" s="81"/>
      <c r="AK357" s="86" t="s">
        <v>2084</v>
      </c>
      <c r="AL357" s="81" t="b">
        <v>0</v>
      </c>
      <c r="AM357" s="81">
        <v>0</v>
      </c>
      <c r="AN357" s="86" t="s">
        <v>2084</v>
      </c>
      <c r="AO357" s="86" t="s">
        <v>2178</v>
      </c>
      <c r="AP357" s="81" t="b">
        <v>0</v>
      </c>
      <c r="AQ357" s="86" t="s">
        <v>7642</v>
      </c>
      <c r="AR357" s="81" t="s">
        <v>179</v>
      </c>
      <c r="AS357" s="81">
        <v>0</v>
      </c>
      <c r="AT357" s="81">
        <v>0</v>
      </c>
      <c r="AU357" s="81"/>
      <c r="AV357" s="81"/>
      <c r="AW357" s="81"/>
      <c r="AX357" s="81"/>
      <c r="AY357" s="81"/>
      <c r="AZ357" s="81"/>
      <c r="BA357" s="81"/>
      <c r="BB357" s="81"/>
    </row>
    <row r="358" spans="1:54" x14ac:dyDescent="0.35">
      <c r="A358" s="66" t="s">
        <v>4307</v>
      </c>
      <c r="B358" s="66" t="s">
        <v>4555</v>
      </c>
      <c r="C358" s="67"/>
      <c r="D358" s="68"/>
      <c r="E358" s="69"/>
      <c r="F358" s="70"/>
      <c r="G358" s="67"/>
      <c r="H358" s="71"/>
      <c r="I358" s="72"/>
      <c r="J358" s="72"/>
      <c r="K358" s="36"/>
      <c r="L358" s="79"/>
      <c r="M358" s="79"/>
      <c r="N358" s="74"/>
      <c r="O358" s="81" t="s">
        <v>696</v>
      </c>
      <c r="P358" s="83">
        <v>44461.527337962965</v>
      </c>
      <c r="Q358" s="81" t="s">
        <v>5344</v>
      </c>
      <c r="R358" s="81"/>
      <c r="S358" s="81"/>
      <c r="T358" s="81"/>
      <c r="U358" s="81"/>
      <c r="V358" s="84" t="str">
        <f>HYPERLINK("https://pbs.twimg.com/profile_images/914258381090824192/SAxF4SOb_normal.jpg")</f>
        <v>https://pbs.twimg.com/profile_images/914258381090824192/SAxF4SOb_normal.jpg</v>
      </c>
      <c r="W358" s="83">
        <v>44461.527337962965</v>
      </c>
      <c r="X358" s="89">
        <v>44461</v>
      </c>
      <c r="Y358" s="86" t="s">
        <v>5934</v>
      </c>
      <c r="Z358" s="84" t="str">
        <f>HYPERLINK("https://twitter.com/leuxande/status/1440656970202054681")</f>
        <v>https://twitter.com/leuxande/status/1440656970202054681</v>
      </c>
      <c r="AA358" s="81"/>
      <c r="AB358" s="81"/>
      <c r="AC358" s="86" t="s">
        <v>6836</v>
      </c>
      <c r="AD358" s="86" t="s">
        <v>7643</v>
      </c>
      <c r="AE358" s="81" t="b">
        <v>0</v>
      </c>
      <c r="AF358" s="81">
        <v>3</v>
      </c>
      <c r="AG358" s="86" t="s">
        <v>7822</v>
      </c>
      <c r="AH358" s="81" t="b">
        <v>0</v>
      </c>
      <c r="AI358" s="81" t="s">
        <v>2171</v>
      </c>
      <c r="AJ358" s="81"/>
      <c r="AK358" s="86" t="s">
        <v>2084</v>
      </c>
      <c r="AL358" s="81" t="b">
        <v>0</v>
      </c>
      <c r="AM358" s="81">
        <v>1</v>
      </c>
      <c r="AN358" s="86" t="s">
        <v>2084</v>
      </c>
      <c r="AO358" s="86" t="s">
        <v>2178</v>
      </c>
      <c r="AP358" s="81" t="b">
        <v>0</v>
      </c>
      <c r="AQ358" s="86" t="s">
        <v>7643</v>
      </c>
      <c r="AR358" s="81" t="s">
        <v>179</v>
      </c>
      <c r="AS358" s="81">
        <v>0</v>
      </c>
      <c r="AT358" s="81">
        <v>0</v>
      </c>
      <c r="AU358" s="81"/>
      <c r="AV358" s="81"/>
      <c r="AW358" s="81"/>
      <c r="AX358" s="81"/>
      <c r="AY358" s="81"/>
      <c r="AZ358" s="81"/>
      <c r="BA358" s="81"/>
      <c r="BB358" s="81"/>
    </row>
    <row r="359" spans="1:54" x14ac:dyDescent="0.35">
      <c r="A359" s="66" t="s">
        <v>4307</v>
      </c>
      <c r="B359" s="66" t="s">
        <v>5024</v>
      </c>
      <c r="C359" s="67"/>
      <c r="D359" s="68"/>
      <c r="E359" s="69"/>
      <c r="F359" s="70"/>
      <c r="G359" s="67"/>
      <c r="H359" s="71"/>
      <c r="I359" s="72"/>
      <c r="J359" s="72"/>
      <c r="K359" s="36"/>
      <c r="L359" s="79"/>
      <c r="M359" s="79"/>
      <c r="N359" s="74"/>
      <c r="O359" s="81" t="s">
        <v>695</v>
      </c>
      <c r="P359" s="83">
        <v>44461.527337962965</v>
      </c>
      <c r="Q359" s="81" t="s">
        <v>5344</v>
      </c>
      <c r="R359" s="81"/>
      <c r="S359" s="81"/>
      <c r="T359" s="81"/>
      <c r="U359" s="81"/>
      <c r="V359" s="84" t="str">
        <f>HYPERLINK("https://pbs.twimg.com/profile_images/914258381090824192/SAxF4SOb_normal.jpg")</f>
        <v>https://pbs.twimg.com/profile_images/914258381090824192/SAxF4SOb_normal.jpg</v>
      </c>
      <c r="W359" s="83">
        <v>44461.527337962965</v>
      </c>
      <c r="X359" s="89">
        <v>44461</v>
      </c>
      <c r="Y359" s="86" t="s">
        <v>5934</v>
      </c>
      <c r="Z359" s="84" t="str">
        <f>HYPERLINK("https://twitter.com/leuxande/status/1440656970202054681")</f>
        <v>https://twitter.com/leuxande/status/1440656970202054681</v>
      </c>
      <c r="AA359" s="81"/>
      <c r="AB359" s="81"/>
      <c r="AC359" s="86" t="s">
        <v>6836</v>
      </c>
      <c r="AD359" s="86" t="s">
        <v>7643</v>
      </c>
      <c r="AE359" s="81" t="b">
        <v>0</v>
      </c>
      <c r="AF359" s="81">
        <v>3</v>
      </c>
      <c r="AG359" s="86" t="s">
        <v>7822</v>
      </c>
      <c r="AH359" s="81" t="b">
        <v>0</v>
      </c>
      <c r="AI359" s="81" t="s">
        <v>2171</v>
      </c>
      <c r="AJ359" s="81"/>
      <c r="AK359" s="86" t="s">
        <v>2084</v>
      </c>
      <c r="AL359" s="81" t="b">
        <v>0</v>
      </c>
      <c r="AM359" s="81">
        <v>1</v>
      </c>
      <c r="AN359" s="86" t="s">
        <v>2084</v>
      </c>
      <c r="AO359" s="86" t="s">
        <v>2178</v>
      </c>
      <c r="AP359" s="81" t="b">
        <v>0</v>
      </c>
      <c r="AQ359" s="86" t="s">
        <v>7643</v>
      </c>
      <c r="AR359" s="81" t="s">
        <v>179</v>
      </c>
      <c r="AS359" s="81">
        <v>0</v>
      </c>
      <c r="AT359" s="81">
        <v>0</v>
      </c>
      <c r="AU359" s="81"/>
      <c r="AV359" s="81"/>
      <c r="AW359" s="81"/>
      <c r="AX359" s="81"/>
      <c r="AY359" s="81"/>
      <c r="AZ359" s="81"/>
      <c r="BA359" s="81"/>
      <c r="BB359" s="81"/>
    </row>
    <row r="360" spans="1:54" x14ac:dyDescent="0.35">
      <c r="A360" s="66" t="s">
        <v>4308</v>
      </c>
      <c r="B360" s="66" t="s">
        <v>4307</v>
      </c>
      <c r="C360" s="67"/>
      <c r="D360" s="68"/>
      <c r="E360" s="69"/>
      <c r="F360" s="70"/>
      <c r="G360" s="67"/>
      <c r="H360" s="71"/>
      <c r="I360" s="72"/>
      <c r="J360" s="72"/>
      <c r="K360" s="36"/>
      <c r="L360" s="79"/>
      <c r="M360" s="79"/>
      <c r="N360" s="74"/>
      <c r="O360" s="81" t="s">
        <v>693</v>
      </c>
      <c r="P360" s="83">
        <v>44461.582789351851</v>
      </c>
      <c r="Q360" s="81" t="s">
        <v>5344</v>
      </c>
      <c r="R360" s="81"/>
      <c r="S360" s="81"/>
      <c r="T360" s="81"/>
      <c r="U360" s="81"/>
      <c r="V360" s="84" t="str">
        <f>HYPERLINK("https://pbs.twimg.com/profile_images/1441558937774407684/bxjCdue8_normal.jpg")</f>
        <v>https://pbs.twimg.com/profile_images/1441558937774407684/bxjCdue8_normal.jpg</v>
      </c>
      <c r="W360" s="83">
        <v>44461.582789351851</v>
      </c>
      <c r="X360" s="89">
        <v>44461</v>
      </c>
      <c r="Y360" s="86" t="s">
        <v>5935</v>
      </c>
      <c r="Z360" s="84" t="str">
        <f>HYPERLINK("https://twitter.com/euzaribeiro/status/1440677065288650762")</f>
        <v>https://twitter.com/euzaribeiro/status/1440677065288650762</v>
      </c>
      <c r="AA360" s="81"/>
      <c r="AB360" s="81"/>
      <c r="AC360" s="86" t="s">
        <v>6837</v>
      </c>
      <c r="AD360" s="81"/>
      <c r="AE360" s="81" t="b">
        <v>0</v>
      </c>
      <c r="AF360" s="81">
        <v>0</v>
      </c>
      <c r="AG360" s="86" t="s">
        <v>2084</v>
      </c>
      <c r="AH360" s="81" t="b">
        <v>0</v>
      </c>
      <c r="AI360" s="81" t="s">
        <v>2171</v>
      </c>
      <c r="AJ360" s="81"/>
      <c r="AK360" s="86" t="s">
        <v>2084</v>
      </c>
      <c r="AL360" s="81" t="b">
        <v>0</v>
      </c>
      <c r="AM360" s="81">
        <v>1</v>
      </c>
      <c r="AN360" s="86" t="s">
        <v>6836</v>
      </c>
      <c r="AO360" s="86" t="s">
        <v>2178</v>
      </c>
      <c r="AP360" s="81" t="b">
        <v>0</v>
      </c>
      <c r="AQ360" s="86" t="s">
        <v>6836</v>
      </c>
      <c r="AR360" s="81" t="s">
        <v>179</v>
      </c>
      <c r="AS360" s="81">
        <v>0</v>
      </c>
      <c r="AT360" s="81">
        <v>0</v>
      </c>
      <c r="AU360" s="81"/>
      <c r="AV360" s="81"/>
      <c r="AW360" s="81"/>
      <c r="AX360" s="81"/>
      <c r="AY360" s="81"/>
      <c r="AZ360" s="81"/>
      <c r="BA360" s="81"/>
      <c r="BB360" s="81"/>
    </row>
    <row r="361" spans="1:54" x14ac:dyDescent="0.35">
      <c r="A361" s="66" t="s">
        <v>4308</v>
      </c>
      <c r="B361" s="66" t="s">
        <v>5024</v>
      </c>
      <c r="C361" s="67"/>
      <c r="D361" s="68"/>
      <c r="E361" s="69"/>
      <c r="F361" s="70"/>
      <c r="G361" s="67"/>
      <c r="H361" s="71"/>
      <c r="I361" s="72"/>
      <c r="J361" s="72"/>
      <c r="K361" s="36"/>
      <c r="L361" s="79"/>
      <c r="M361" s="79"/>
      <c r="N361" s="74"/>
      <c r="O361" s="81" t="s">
        <v>695</v>
      </c>
      <c r="P361" s="83">
        <v>44461.582789351851</v>
      </c>
      <c r="Q361" s="81" t="s">
        <v>5344</v>
      </c>
      <c r="R361" s="81"/>
      <c r="S361" s="81"/>
      <c r="T361" s="81"/>
      <c r="U361" s="81"/>
      <c r="V361" s="84" t="str">
        <f>HYPERLINK("https://pbs.twimg.com/profile_images/1441558937774407684/bxjCdue8_normal.jpg")</f>
        <v>https://pbs.twimg.com/profile_images/1441558937774407684/bxjCdue8_normal.jpg</v>
      </c>
      <c r="W361" s="83">
        <v>44461.582789351851</v>
      </c>
      <c r="X361" s="89">
        <v>44461</v>
      </c>
      <c r="Y361" s="86" t="s">
        <v>5935</v>
      </c>
      <c r="Z361" s="84" t="str">
        <f>HYPERLINK("https://twitter.com/euzaribeiro/status/1440677065288650762")</f>
        <v>https://twitter.com/euzaribeiro/status/1440677065288650762</v>
      </c>
      <c r="AA361" s="81"/>
      <c r="AB361" s="81"/>
      <c r="AC361" s="86" t="s">
        <v>6837</v>
      </c>
      <c r="AD361" s="81"/>
      <c r="AE361" s="81" t="b">
        <v>0</v>
      </c>
      <c r="AF361" s="81">
        <v>0</v>
      </c>
      <c r="AG361" s="86" t="s">
        <v>2084</v>
      </c>
      <c r="AH361" s="81" t="b">
        <v>0</v>
      </c>
      <c r="AI361" s="81" t="s">
        <v>2171</v>
      </c>
      <c r="AJ361" s="81"/>
      <c r="AK361" s="86" t="s">
        <v>2084</v>
      </c>
      <c r="AL361" s="81" t="b">
        <v>0</v>
      </c>
      <c r="AM361" s="81">
        <v>1</v>
      </c>
      <c r="AN361" s="86" t="s">
        <v>6836</v>
      </c>
      <c r="AO361" s="86" t="s">
        <v>2178</v>
      </c>
      <c r="AP361" s="81" t="b">
        <v>0</v>
      </c>
      <c r="AQ361" s="86" t="s">
        <v>6836</v>
      </c>
      <c r="AR361" s="81" t="s">
        <v>179</v>
      </c>
      <c r="AS361" s="81">
        <v>0</v>
      </c>
      <c r="AT361" s="81">
        <v>0</v>
      </c>
      <c r="AU361" s="81"/>
      <c r="AV361" s="81"/>
      <c r="AW361" s="81"/>
      <c r="AX361" s="81"/>
      <c r="AY361" s="81"/>
      <c r="AZ361" s="81"/>
      <c r="BA361" s="81"/>
      <c r="BB361" s="81"/>
    </row>
    <row r="362" spans="1:54" x14ac:dyDescent="0.35">
      <c r="A362" s="66" t="s">
        <v>4308</v>
      </c>
      <c r="B362" s="66" t="s">
        <v>4555</v>
      </c>
      <c r="C362" s="67"/>
      <c r="D362" s="68"/>
      <c r="E362" s="69"/>
      <c r="F362" s="70"/>
      <c r="G362" s="67"/>
      <c r="H362" s="71"/>
      <c r="I362" s="72"/>
      <c r="J362" s="72"/>
      <c r="K362" s="36"/>
      <c r="L362" s="79"/>
      <c r="M362" s="79"/>
      <c r="N362" s="74"/>
      <c r="O362" s="81" t="s">
        <v>694</v>
      </c>
      <c r="P362" s="83">
        <v>44461.582789351851</v>
      </c>
      <c r="Q362" s="81" t="s">
        <v>5344</v>
      </c>
      <c r="R362" s="81"/>
      <c r="S362" s="81"/>
      <c r="T362" s="81"/>
      <c r="U362" s="81"/>
      <c r="V362" s="84" t="str">
        <f>HYPERLINK("https://pbs.twimg.com/profile_images/1441558937774407684/bxjCdue8_normal.jpg")</f>
        <v>https://pbs.twimg.com/profile_images/1441558937774407684/bxjCdue8_normal.jpg</v>
      </c>
      <c r="W362" s="83">
        <v>44461.582789351851</v>
      </c>
      <c r="X362" s="89">
        <v>44461</v>
      </c>
      <c r="Y362" s="86" t="s">
        <v>5935</v>
      </c>
      <c r="Z362" s="84" t="str">
        <f>HYPERLINK("https://twitter.com/euzaribeiro/status/1440677065288650762")</f>
        <v>https://twitter.com/euzaribeiro/status/1440677065288650762</v>
      </c>
      <c r="AA362" s="81"/>
      <c r="AB362" s="81"/>
      <c r="AC362" s="86" t="s">
        <v>6837</v>
      </c>
      <c r="AD362" s="81"/>
      <c r="AE362" s="81" t="b">
        <v>0</v>
      </c>
      <c r="AF362" s="81">
        <v>0</v>
      </c>
      <c r="AG362" s="86" t="s">
        <v>2084</v>
      </c>
      <c r="AH362" s="81" t="b">
        <v>0</v>
      </c>
      <c r="AI362" s="81" t="s">
        <v>2171</v>
      </c>
      <c r="AJ362" s="81"/>
      <c r="AK362" s="86" t="s">
        <v>2084</v>
      </c>
      <c r="AL362" s="81" t="b">
        <v>0</v>
      </c>
      <c r="AM362" s="81">
        <v>1</v>
      </c>
      <c r="AN362" s="86" t="s">
        <v>6836</v>
      </c>
      <c r="AO362" s="86" t="s">
        <v>2178</v>
      </c>
      <c r="AP362" s="81" t="b">
        <v>0</v>
      </c>
      <c r="AQ362" s="86" t="s">
        <v>6836</v>
      </c>
      <c r="AR362" s="81" t="s">
        <v>179</v>
      </c>
      <c r="AS362" s="81">
        <v>0</v>
      </c>
      <c r="AT362" s="81">
        <v>0</v>
      </c>
      <c r="AU362" s="81"/>
      <c r="AV362" s="81"/>
      <c r="AW362" s="81"/>
      <c r="AX362" s="81"/>
      <c r="AY362" s="81"/>
      <c r="AZ362" s="81"/>
      <c r="BA362" s="81"/>
      <c r="BB362" s="81"/>
    </row>
    <row r="363" spans="1:54" x14ac:dyDescent="0.35">
      <c r="A363" s="66" t="s">
        <v>4309</v>
      </c>
      <c r="B363" s="66" t="s">
        <v>4335</v>
      </c>
      <c r="C363" s="67"/>
      <c r="D363" s="68"/>
      <c r="E363" s="69"/>
      <c r="F363" s="70"/>
      <c r="G363" s="67"/>
      <c r="H363" s="71"/>
      <c r="I363" s="72"/>
      <c r="J363" s="72"/>
      <c r="K363" s="36"/>
      <c r="L363" s="79"/>
      <c r="M363" s="79"/>
      <c r="N363" s="74"/>
      <c r="O363" s="81" t="s">
        <v>693</v>
      </c>
      <c r="P363" s="83">
        <v>44461.586817129632</v>
      </c>
      <c r="Q363" s="81" t="s">
        <v>5336</v>
      </c>
      <c r="R363" s="81"/>
      <c r="S363" s="81"/>
      <c r="T363" s="81"/>
      <c r="U363" s="84" t="str">
        <f>HYPERLINK("https://pbs.twimg.com/media/E_4hS8vVUAYv7nN.jpg")</f>
        <v>https://pbs.twimg.com/media/E_4hS8vVUAYv7nN.jpg</v>
      </c>
      <c r="V363" s="84" t="str">
        <f>HYPERLINK("https://pbs.twimg.com/media/E_4hS8vVUAYv7nN.jpg")</f>
        <v>https://pbs.twimg.com/media/E_4hS8vVUAYv7nN.jpg</v>
      </c>
      <c r="W363" s="83">
        <v>44461.586817129632</v>
      </c>
      <c r="X363" s="89">
        <v>44461</v>
      </c>
      <c r="Y363" s="86" t="s">
        <v>5936</v>
      </c>
      <c r="Z363" s="84" t="str">
        <f>HYPERLINK("https://twitter.com/fmkbr1/status/1440678526051491840")</f>
        <v>https://twitter.com/fmkbr1/status/1440678526051491840</v>
      </c>
      <c r="AA363" s="81"/>
      <c r="AB363" s="81"/>
      <c r="AC363" s="86" t="s">
        <v>6838</v>
      </c>
      <c r="AD363" s="81"/>
      <c r="AE363" s="81" t="b">
        <v>0</v>
      </c>
      <c r="AF363" s="81">
        <v>0</v>
      </c>
      <c r="AG363" s="86" t="s">
        <v>2084</v>
      </c>
      <c r="AH363" s="81" t="b">
        <v>0</v>
      </c>
      <c r="AI363" s="81" t="s">
        <v>2167</v>
      </c>
      <c r="AJ363" s="81"/>
      <c r="AK363" s="86" t="s">
        <v>2084</v>
      </c>
      <c r="AL363" s="81" t="b">
        <v>0</v>
      </c>
      <c r="AM363" s="81">
        <v>9</v>
      </c>
      <c r="AN363" s="86" t="s">
        <v>6867</v>
      </c>
      <c r="AO363" s="86" t="s">
        <v>2178</v>
      </c>
      <c r="AP363" s="81" t="b">
        <v>0</v>
      </c>
      <c r="AQ363" s="86" t="s">
        <v>6867</v>
      </c>
      <c r="AR363" s="81" t="s">
        <v>179</v>
      </c>
      <c r="AS363" s="81">
        <v>0</v>
      </c>
      <c r="AT363" s="81">
        <v>0</v>
      </c>
      <c r="AU363" s="81"/>
      <c r="AV363" s="81"/>
      <c r="AW363" s="81"/>
      <c r="AX363" s="81"/>
      <c r="AY363" s="81"/>
      <c r="AZ363" s="81"/>
      <c r="BA363" s="81"/>
      <c r="BB363" s="81"/>
    </row>
    <row r="364" spans="1:54" x14ac:dyDescent="0.35">
      <c r="A364" s="66" t="s">
        <v>4310</v>
      </c>
      <c r="B364" s="66" t="s">
        <v>4310</v>
      </c>
      <c r="C364" s="67"/>
      <c r="D364" s="68"/>
      <c r="E364" s="69"/>
      <c r="F364" s="70"/>
      <c r="G364" s="67"/>
      <c r="H364" s="71"/>
      <c r="I364" s="72"/>
      <c r="J364" s="72"/>
      <c r="K364" s="36"/>
      <c r="L364" s="79"/>
      <c r="M364" s="79"/>
      <c r="N364" s="74"/>
      <c r="O364" s="81" t="s">
        <v>179</v>
      </c>
      <c r="P364" s="83">
        <v>44461.588194444441</v>
      </c>
      <c r="Q364" s="81" t="s">
        <v>5345</v>
      </c>
      <c r="R364" s="84" t="str">
        <f>HYPERLINK("https://gettr.com/post/pbvfi0ccd5")</f>
        <v>https://gettr.com/post/pbvfi0ccd5</v>
      </c>
      <c r="S364" s="81" t="s">
        <v>5709</v>
      </c>
      <c r="T364" s="81"/>
      <c r="U364" s="81"/>
      <c r="V364" s="84" t="str">
        <f>HYPERLINK("https://pbs.twimg.com/profile_images/1432368931554136066/AAmLJr11_normal.jpg")</f>
        <v>https://pbs.twimg.com/profile_images/1432368931554136066/AAmLJr11_normal.jpg</v>
      </c>
      <c r="W364" s="83">
        <v>44461.588194444441</v>
      </c>
      <c r="X364" s="89">
        <v>44461</v>
      </c>
      <c r="Y364" s="86" t="s">
        <v>5937</v>
      </c>
      <c r="Z364" s="84" t="str">
        <f>HYPERLINK("https://twitter.com/fiuzaelisabeth/status/1440679023424638986")</f>
        <v>https://twitter.com/fiuzaelisabeth/status/1440679023424638986</v>
      </c>
      <c r="AA364" s="81"/>
      <c r="AB364" s="81"/>
      <c r="AC364" s="86" t="s">
        <v>6839</v>
      </c>
      <c r="AD364" s="81"/>
      <c r="AE364" s="81" t="b">
        <v>0</v>
      </c>
      <c r="AF364" s="81">
        <v>1</v>
      </c>
      <c r="AG364" s="86" t="s">
        <v>2084</v>
      </c>
      <c r="AH364" s="81" t="b">
        <v>0</v>
      </c>
      <c r="AI364" s="81" t="s">
        <v>2171</v>
      </c>
      <c r="AJ364" s="81"/>
      <c r="AK364" s="86" t="s">
        <v>2084</v>
      </c>
      <c r="AL364" s="81" t="b">
        <v>0</v>
      </c>
      <c r="AM364" s="81">
        <v>0</v>
      </c>
      <c r="AN364" s="86" t="s">
        <v>2084</v>
      </c>
      <c r="AO364" s="86" t="s">
        <v>2178</v>
      </c>
      <c r="AP364" s="81" t="b">
        <v>0</v>
      </c>
      <c r="AQ364" s="86" t="s">
        <v>6839</v>
      </c>
      <c r="AR364" s="81" t="s">
        <v>179</v>
      </c>
      <c r="AS364" s="81">
        <v>0</v>
      </c>
      <c r="AT364" s="81">
        <v>0</v>
      </c>
      <c r="AU364" s="81"/>
      <c r="AV364" s="81"/>
      <c r="AW364" s="81"/>
      <c r="AX364" s="81"/>
      <c r="AY364" s="81"/>
      <c r="AZ364" s="81"/>
      <c r="BA364" s="81"/>
      <c r="BB364" s="81"/>
    </row>
    <row r="365" spans="1:54" x14ac:dyDescent="0.35">
      <c r="A365" s="66" t="s">
        <v>4311</v>
      </c>
      <c r="B365" s="66" t="s">
        <v>4311</v>
      </c>
      <c r="C365" s="67"/>
      <c r="D365" s="68"/>
      <c r="E365" s="69"/>
      <c r="F365" s="70"/>
      <c r="G365" s="67"/>
      <c r="H365" s="71"/>
      <c r="I365" s="72"/>
      <c r="J365" s="72"/>
      <c r="K365" s="36"/>
      <c r="L365" s="79"/>
      <c r="M365" s="79"/>
      <c r="N365" s="74"/>
      <c r="O365" s="81" t="s">
        <v>179</v>
      </c>
      <c r="P365" s="83">
        <v>44461.609016203707</v>
      </c>
      <c r="Q365" s="81" t="s">
        <v>5346</v>
      </c>
      <c r="R365" s="84" t="str">
        <f>HYPERLINK("https://rr.sapo.pt/noticia/politica/2021/09/22/apoios-covid-19-tem-de-continuar-no-pos-pandemia-defende-pcp/254177/?utm_medium=rss")</f>
        <v>https://rr.sapo.pt/noticia/politica/2021/09/22/apoios-covid-19-tem-de-continuar-no-pos-pandemia-defende-pcp/254177/?utm_medium=rss</v>
      </c>
      <c r="S365" s="81" t="s">
        <v>5689</v>
      </c>
      <c r="T365" s="81"/>
      <c r="U365" s="81"/>
      <c r="V365" s="84" t="str">
        <f>HYPERLINK("https://pbs.twimg.com/profile_images/968443633325232129/tHcHpx1F_normal.jpg")</f>
        <v>https://pbs.twimg.com/profile_images/968443633325232129/tHcHpx1F_normal.jpg</v>
      </c>
      <c r="W365" s="83">
        <v>44461.609016203707</v>
      </c>
      <c r="X365" s="89">
        <v>44461</v>
      </c>
      <c r="Y365" s="86" t="s">
        <v>5938</v>
      </c>
      <c r="Z365" s="84" t="str">
        <f>HYPERLINK("https://twitter.com/renascenca/status/1440686568331624464")</f>
        <v>https://twitter.com/renascenca/status/1440686568331624464</v>
      </c>
      <c r="AA365" s="81"/>
      <c r="AB365" s="81"/>
      <c r="AC365" s="86" t="s">
        <v>6840</v>
      </c>
      <c r="AD365" s="81"/>
      <c r="AE365" s="81" t="b">
        <v>0</v>
      </c>
      <c r="AF365" s="81">
        <v>0</v>
      </c>
      <c r="AG365" s="86" t="s">
        <v>2084</v>
      </c>
      <c r="AH365" s="81" t="b">
        <v>0</v>
      </c>
      <c r="AI365" s="81" t="s">
        <v>2171</v>
      </c>
      <c r="AJ365" s="81"/>
      <c r="AK365" s="86" t="s">
        <v>2084</v>
      </c>
      <c r="AL365" s="81" t="b">
        <v>0</v>
      </c>
      <c r="AM365" s="81">
        <v>0</v>
      </c>
      <c r="AN365" s="86" t="s">
        <v>2084</v>
      </c>
      <c r="AO365" s="86" t="s">
        <v>7976</v>
      </c>
      <c r="AP365" s="81" t="b">
        <v>0</v>
      </c>
      <c r="AQ365" s="86" t="s">
        <v>6840</v>
      </c>
      <c r="AR365" s="81" t="s">
        <v>179</v>
      </c>
      <c r="AS365" s="81">
        <v>0</v>
      </c>
      <c r="AT365" s="81">
        <v>0</v>
      </c>
      <c r="AU365" s="81"/>
      <c r="AV365" s="81"/>
      <c r="AW365" s="81"/>
      <c r="AX365" s="81"/>
      <c r="AY365" s="81"/>
      <c r="AZ365" s="81"/>
      <c r="BA365" s="81"/>
      <c r="BB365" s="81"/>
    </row>
    <row r="366" spans="1:54" x14ac:dyDescent="0.35">
      <c r="A366" s="66" t="s">
        <v>330</v>
      </c>
      <c r="B366" s="66" t="s">
        <v>330</v>
      </c>
      <c r="C366" s="67"/>
      <c r="D366" s="68"/>
      <c r="E366" s="69"/>
      <c r="F366" s="70"/>
      <c r="G366" s="67"/>
      <c r="H366" s="71"/>
      <c r="I366" s="72"/>
      <c r="J366" s="72"/>
      <c r="K366" s="36"/>
      <c r="L366" s="79"/>
      <c r="M366" s="79"/>
      <c r="N366" s="74"/>
      <c r="O366" s="81" t="s">
        <v>179</v>
      </c>
      <c r="P366" s="83">
        <v>44461.620509259257</v>
      </c>
      <c r="Q366" s="81" t="s">
        <v>747</v>
      </c>
      <c r="R366" s="81"/>
      <c r="S366" s="81"/>
      <c r="T366" s="81"/>
      <c r="U366" s="81"/>
      <c r="V366" s="84" t="str">
        <f>HYPERLINK("https://pbs.twimg.com/profile_images/1397531388312653830/Dr3w03Yw_normal.jpg")</f>
        <v>https://pbs.twimg.com/profile_images/1397531388312653830/Dr3w03Yw_normal.jpg</v>
      </c>
      <c r="W366" s="83">
        <v>44461.620509259257</v>
      </c>
      <c r="X366" s="89">
        <v>44461</v>
      </c>
      <c r="Y366" s="86" t="s">
        <v>1134</v>
      </c>
      <c r="Z366" s="84" t="str">
        <f>HYPERLINK("https://twitter.com/azrnazol/status/1440690734978383878")</f>
        <v>https://twitter.com/azrnazol/status/1440690734978383878</v>
      </c>
      <c r="AA366" s="81"/>
      <c r="AB366" s="81"/>
      <c r="AC366" s="86" t="s">
        <v>1632</v>
      </c>
      <c r="AD366" s="81"/>
      <c r="AE366" s="81" t="b">
        <v>0</v>
      </c>
      <c r="AF366" s="81">
        <v>0</v>
      </c>
      <c r="AG366" s="86" t="s">
        <v>2084</v>
      </c>
      <c r="AH366" s="81" t="b">
        <v>0</v>
      </c>
      <c r="AI366" s="81" t="s">
        <v>2167</v>
      </c>
      <c r="AJ366" s="81"/>
      <c r="AK366" s="86" t="s">
        <v>2084</v>
      </c>
      <c r="AL366" s="81" t="b">
        <v>0</v>
      </c>
      <c r="AM366" s="81">
        <v>0</v>
      </c>
      <c r="AN366" s="86" t="s">
        <v>2084</v>
      </c>
      <c r="AO366" s="86" t="s">
        <v>2179</v>
      </c>
      <c r="AP366" s="81" t="b">
        <v>0</v>
      </c>
      <c r="AQ366" s="86" t="s">
        <v>1632</v>
      </c>
      <c r="AR366" s="81" t="s">
        <v>179</v>
      </c>
      <c r="AS366" s="81">
        <v>0</v>
      </c>
      <c r="AT366" s="81">
        <v>0</v>
      </c>
      <c r="AU366" s="81"/>
      <c r="AV366" s="81"/>
      <c r="AW366" s="81"/>
      <c r="AX366" s="81"/>
      <c r="AY366" s="81"/>
      <c r="AZ366" s="81"/>
      <c r="BA366" s="81"/>
      <c r="BB366" s="81"/>
    </row>
    <row r="367" spans="1:54" x14ac:dyDescent="0.35">
      <c r="A367" s="66" t="s">
        <v>331</v>
      </c>
      <c r="B367" s="66" t="s">
        <v>331</v>
      </c>
      <c r="C367" s="67"/>
      <c r="D367" s="68"/>
      <c r="E367" s="69"/>
      <c r="F367" s="70"/>
      <c r="G367" s="67"/>
      <c r="H367" s="71"/>
      <c r="I367" s="72"/>
      <c r="J367" s="72"/>
      <c r="K367" s="36"/>
      <c r="L367" s="79"/>
      <c r="M367" s="79"/>
      <c r="N367" s="74"/>
      <c r="O367" s="81" t="s">
        <v>179</v>
      </c>
      <c r="P367" s="83">
        <v>44461.640833333331</v>
      </c>
      <c r="Q367" s="81" t="s">
        <v>748</v>
      </c>
      <c r="R367" s="84" t="str">
        <f>HYPERLINK("https://www.lokersumatera.com/2021/09/kantor-pos-30000-palembang.html#.YUtKQkjZynM.twitter")</f>
        <v>https://www.lokersumatera.com/2021/09/kantor-pos-30000-palembang.html#.YUtKQkjZynM.twitter</v>
      </c>
      <c r="S367" s="81" t="s">
        <v>949</v>
      </c>
      <c r="T367" s="86" t="s">
        <v>978</v>
      </c>
      <c r="U367" s="81"/>
      <c r="V367" s="84" t="str">
        <f>HYPERLINK("https://pbs.twimg.com/profile_images/1044596314292420608/UyByhG0l_normal.jpg")</f>
        <v>https://pbs.twimg.com/profile_images/1044596314292420608/UyByhG0l_normal.jpg</v>
      </c>
      <c r="W367" s="83">
        <v>44461.640833333331</v>
      </c>
      <c r="X367" s="89">
        <v>44461</v>
      </c>
      <c r="Y367" s="86" t="s">
        <v>1135</v>
      </c>
      <c r="Z367" s="84" t="str">
        <f>HYPERLINK("https://twitter.com/lokersumatera1/status/1440698098880106498")</f>
        <v>https://twitter.com/lokersumatera1/status/1440698098880106498</v>
      </c>
      <c r="AA367" s="81"/>
      <c r="AB367" s="81"/>
      <c r="AC367" s="86" t="s">
        <v>1633</v>
      </c>
      <c r="AD367" s="81"/>
      <c r="AE367" s="81" t="b">
        <v>0</v>
      </c>
      <c r="AF367" s="81">
        <v>0</v>
      </c>
      <c r="AG367" s="86" t="s">
        <v>2084</v>
      </c>
      <c r="AH367" s="81" t="b">
        <v>0</v>
      </c>
      <c r="AI367" s="81" t="s">
        <v>2167</v>
      </c>
      <c r="AJ367" s="81"/>
      <c r="AK367" s="86" t="s">
        <v>2084</v>
      </c>
      <c r="AL367" s="81" t="b">
        <v>0</v>
      </c>
      <c r="AM367" s="81">
        <v>0</v>
      </c>
      <c r="AN367" s="86" t="s">
        <v>2084</v>
      </c>
      <c r="AO367" s="86" t="s">
        <v>2181</v>
      </c>
      <c r="AP367" s="81" t="b">
        <v>0</v>
      </c>
      <c r="AQ367" s="86" t="s">
        <v>1633</v>
      </c>
      <c r="AR367" s="81" t="s">
        <v>179</v>
      </c>
      <c r="AS367" s="81">
        <v>0</v>
      </c>
      <c r="AT367" s="81">
        <v>0</v>
      </c>
      <c r="AU367" s="81"/>
      <c r="AV367" s="81"/>
      <c r="AW367" s="81"/>
      <c r="AX367" s="81"/>
      <c r="AY367" s="81"/>
      <c r="AZ367" s="81"/>
      <c r="BA367" s="81"/>
      <c r="BB367" s="81"/>
    </row>
    <row r="368" spans="1:54" x14ac:dyDescent="0.35">
      <c r="A368" s="66" t="s">
        <v>4312</v>
      </c>
      <c r="B368" s="66" t="s">
        <v>5025</v>
      </c>
      <c r="C368" s="67"/>
      <c r="D368" s="68"/>
      <c r="E368" s="69"/>
      <c r="F368" s="70"/>
      <c r="G368" s="67"/>
      <c r="H368" s="71"/>
      <c r="I368" s="72"/>
      <c r="J368" s="72"/>
      <c r="K368" s="36"/>
      <c r="L368" s="79"/>
      <c r="M368" s="79"/>
      <c r="N368" s="74"/>
      <c r="O368" s="81" t="s">
        <v>696</v>
      </c>
      <c r="P368" s="83">
        <v>44460.704699074071</v>
      </c>
      <c r="Q368" s="81" t="s">
        <v>5347</v>
      </c>
      <c r="R368" s="81"/>
      <c r="S368" s="81"/>
      <c r="T368" s="81"/>
      <c r="U368" s="84" t="str">
        <f>HYPERLINK("https://pbs.twimg.com/media/E_0uvWXVkAwcabI.jpg")</f>
        <v>https://pbs.twimg.com/media/E_0uvWXVkAwcabI.jpg</v>
      </c>
      <c r="V368" s="84" t="str">
        <f>HYPERLINK("https://pbs.twimg.com/media/E_0uvWXVkAwcabI.jpg")</f>
        <v>https://pbs.twimg.com/media/E_0uvWXVkAwcabI.jpg</v>
      </c>
      <c r="W368" s="83">
        <v>44460.704699074071</v>
      </c>
      <c r="X368" s="89">
        <v>44460</v>
      </c>
      <c r="Y368" s="86" t="s">
        <v>5939</v>
      </c>
      <c r="Z368" s="84" t="str">
        <f>HYPERLINK("https://twitter.com/umamaistempo/status/1440358855095959554")</f>
        <v>https://twitter.com/umamaistempo/status/1440358855095959554</v>
      </c>
      <c r="AA368" s="81"/>
      <c r="AB368" s="81"/>
      <c r="AC368" s="86" t="s">
        <v>6841</v>
      </c>
      <c r="AD368" s="81"/>
      <c r="AE368" s="81" t="b">
        <v>0</v>
      </c>
      <c r="AF368" s="81">
        <v>12</v>
      </c>
      <c r="AG368" s="86" t="s">
        <v>2084</v>
      </c>
      <c r="AH368" s="81" t="b">
        <v>0</v>
      </c>
      <c r="AI368" s="81" t="s">
        <v>2171</v>
      </c>
      <c r="AJ368" s="81"/>
      <c r="AK368" s="86" t="s">
        <v>2084</v>
      </c>
      <c r="AL368" s="81" t="b">
        <v>0</v>
      </c>
      <c r="AM368" s="81">
        <v>1</v>
      </c>
      <c r="AN368" s="86" t="s">
        <v>2084</v>
      </c>
      <c r="AO368" s="86" t="s">
        <v>2179</v>
      </c>
      <c r="AP368" s="81" t="b">
        <v>0</v>
      </c>
      <c r="AQ368" s="86" t="s">
        <v>6841</v>
      </c>
      <c r="AR368" s="81" t="s">
        <v>179</v>
      </c>
      <c r="AS368" s="81">
        <v>0</v>
      </c>
      <c r="AT368" s="81">
        <v>0</v>
      </c>
      <c r="AU368" s="81"/>
      <c r="AV368" s="81"/>
      <c r="AW368" s="81"/>
      <c r="AX368" s="81"/>
      <c r="AY368" s="81"/>
      <c r="AZ368" s="81"/>
      <c r="BA368" s="81"/>
      <c r="BB368" s="81"/>
    </row>
    <row r="369" spans="1:54" x14ac:dyDescent="0.35">
      <c r="A369" s="66" t="s">
        <v>4313</v>
      </c>
      <c r="B369" s="66" t="s">
        <v>5025</v>
      </c>
      <c r="C369" s="67"/>
      <c r="D369" s="68"/>
      <c r="E369" s="69"/>
      <c r="F369" s="70"/>
      <c r="G369" s="67"/>
      <c r="H369" s="71"/>
      <c r="I369" s="72"/>
      <c r="J369" s="72"/>
      <c r="K369" s="36"/>
      <c r="L369" s="79"/>
      <c r="M369" s="79"/>
      <c r="N369" s="74"/>
      <c r="O369" s="81" t="s">
        <v>694</v>
      </c>
      <c r="P369" s="83">
        <v>44461.648726851854</v>
      </c>
      <c r="Q369" s="81" t="s">
        <v>5347</v>
      </c>
      <c r="R369" s="81"/>
      <c r="S369" s="81"/>
      <c r="T369" s="81"/>
      <c r="U369" s="84" t="str">
        <f>HYPERLINK("https://pbs.twimg.com/media/E_0uvWXVkAwcabI.jpg")</f>
        <v>https://pbs.twimg.com/media/E_0uvWXVkAwcabI.jpg</v>
      </c>
      <c r="V369" s="84" t="str">
        <f>HYPERLINK("https://pbs.twimg.com/media/E_0uvWXVkAwcabI.jpg")</f>
        <v>https://pbs.twimg.com/media/E_0uvWXVkAwcabI.jpg</v>
      </c>
      <c r="W369" s="83">
        <v>44461.648726851854</v>
      </c>
      <c r="X369" s="89">
        <v>44461</v>
      </c>
      <c r="Y369" s="86" t="s">
        <v>5940</v>
      </c>
      <c r="Z369" s="84" t="str">
        <f>HYPERLINK("https://twitter.com/adolfont/status/1440700961949847554")</f>
        <v>https://twitter.com/adolfont/status/1440700961949847554</v>
      </c>
      <c r="AA369" s="81"/>
      <c r="AB369" s="81"/>
      <c r="AC369" s="86" t="s">
        <v>6842</v>
      </c>
      <c r="AD369" s="81"/>
      <c r="AE369" s="81" t="b">
        <v>0</v>
      </c>
      <c r="AF369" s="81">
        <v>0</v>
      </c>
      <c r="AG369" s="86" t="s">
        <v>2084</v>
      </c>
      <c r="AH369" s="81" t="b">
        <v>0</v>
      </c>
      <c r="AI369" s="81" t="s">
        <v>2171</v>
      </c>
      <c r="AJ369" s="81"/>
      <c r="AK369" s="86" t="s">
        <v>2084</v>
      </c>
      <c r="AL369" s="81" t="b">
        <v>0</v>
      </c>
      <c r="AM369" s="81">
        <v>1</v>
      </c>
      <c r="AN369" s="86" t="s">
        <v>6841</v>
      </c>
      <c r="AO369" s="86" t="s">
        <v>2178</v>
      </c>
      <c r="AP369" s="81" t="b">
        <v>0</v>
      </c>
      <c r="AQ369" s="86" t="s">
        <v>6841</v>
      </c>
      <c r="AR369" s="81" t="s">
        <v>179</v>
      </c>
      <c r="AS369" s="81">
        <v>0</v>
      </c>
      <c r="AT369" s="81">
        <v>0</v>
      </c>
      <c r="AU369" s="81"/>
      <c r="AV369" s="81"/>
      <c r="AW369" s="81"/>
      <c r="AX369" s="81"/>
      <c r="AY369" s="81"/>
      <c r="AZ369" s="81"/>
      <c r="BA369" s="81"/>
      <c r="BB369" s="81"/>
    </row>
    <row r="370" spans="1:54" x14ac:dyDescent="0.35">
      <c r="A370" s="66" t="s">
        <v>4313</v>
      </c>
      <c r="B370" s="66" t="s">
        <v>4312</v>
      </c>
      <c r="C370" s="67"/>
      <c r="D370" s="68"/>
      <c r="E370" s="69"/>
      <c r="F370" s="70"/>
      <c r="G370" s="67"/>
      <c r="H370" s="71"/>
      <c r="I370" s="72"/>
      <c r="J370" s="72"/>
      <c r="K370" s="36"/>
      <c r="L370" s="79"/>
      <c r="M370" s="79"/>
      <c r="N370" s="74"/>
      <c r="O370" s="81" t="s">
        <v>693</v>
      </c>
      <c r="P370" s="83">
        <v>44461.648726851854</v>
      </c>
      <c r="Q370" s="81" t="s">
        <v>5347</v>
      </c>
      <c r="R370" s="81"/>
      <c r="S370" s="81"/>
      <c r="T370" s="81"/>
      <c r="U370" s="84" t="str">
        <f>HYPERLINK("https://pbs.twimg.com/media/E_0uvWXVkAwcabI.jpg")</f>
        <v>https://pbs.twimg.com/media/E_0uvWXVkAwcabI.jpg</v>
      </c>
      <c r="V370" s="84" t="str">
        <f>HYPERLINK("https://pbs.twimg.com/media/E_0uvWXVkAwcabI.jpg")</f>
        <v>https://pbs.twimg.com/media/E_0uvWXVkAwcabI.jpg</v>
      </c>
      <c r="W370" s="83">
        <v>44461.648726851854</v>
      </c>
      <c r="X370" s="89">
        <v>44461</v>
      </c>
      <c r="Y370" s="86" t="s">
        <v>5940</v>
      </c>
      <c r="Z370" s="84" t="str">
        <f>HYPERLINK("https://twitter.com/adolfont/status/1440700961949847554")</f>
        <v>https://twitter.com/adolfont/status/1440700961949847554</v>
      </c>
      <c r="AA370" s="81"/>
      <c r="AB370" s="81"/>
      <c r="AC370" s="86" t="s">
        <v>6842</v>
      </c>
      <c r="AD370" s="81"/>
      <c r="AE370" s="81" t="b">
        <v>0</v>
      </c>
      <c r="AF370" s="81">
        <v>0</v>
      </c>
      <c r="AG370" s="86" t="s">
        <v>2084</v>
      </c>
      <c r="AH370" s="81" t="b">
        <v>0</v>
      </c>
      <c r="AI370" s="81" t="s">
        <v>2171</v>
      </c>
      <c r="AJ370" s="81"/>
      <c r="AK370" s="86" t="s">
        <v>2084</v>
      </c>
      <c r="AL370" s="81" t="b">
        <v>0</v>
      </c>
      <c r="AM370" s="81">
        <v>1</v>
      </c>
      <c r="AN370" s="86" t="s">
        <v>6841</v>
      </c>
      <c r="AO370" s="86" t="s">
        <v>2178</v>
      </c>
      <c r="AP370" s="81" t="b">
        <v>0</v>
      </c>
      <c r="AQ370" s="86" t="s">
        <v>6841</v>
      </c>
      <c r="AR370" s="81" t="s">
        <v>179</v>
      </c>
      <c r="AS370" s="81">
        <v>0</v>
      </c>
      <c r="AT370" s="81">
        <v>0</v>
      </c>
      <c r="AU370" s="81"/>
      <c r="AV370" s="81"/>
      <c r="AW370" s="81"/>
      <c r="AX370" s="81"/>
      <c r="AY370" s="81"/>
      <c r="AZ370" s="81"/>
      <c r="BA370" s="81"/>
      <c r="BB370" s="81"/>
    </row>
    <row r="371" spans="1:54" x14ac:dyDescent="0.35">
      <c r="A371" s="66" t="s">
        <v>4314</v>
      </c>
      <c r="B371" s="66" t="s">
        <v>4335</v>
      </c>
      <c r="C371" s="67"/>
      <c r="D371" s="68"/>
      <c r="E371" s="69"/>
      <c r="F371" s="70"/>
      <c r="G371" s="67"/>
      <c r="H371" s="71"/>
      <c r="I371" s="72"/>
      <c r="J371" s="72"/>
      <c r="K371" s="36"/>
      <c r="L371" s="79"/>
      <c r="M371" s="79"/>
      <c r="N371" s="74"/>
      <c r="O371" s="81" t="s">
        <v>693</v>
      </c>
      <c r="P371" s="83">
        <v>44461.649699074071</v>
      </c>
      <c r="Q371" s="81" t="s">
        <v>5336</v>
      </c>
      <c r="R371" s="81"/>
      <c r="S371" s="81"/>
      <c r="T371" s="81"/>
      <c r="U371" s="84" t="str">
        <f>HYPERLINK("https://pbs.twimg.com/media/E_4hS8vVUAYv7nN.jpg")</f>
        <v>https://pbs.twimg.com/media/E_4hS8vVUAYv7nN.jpg</v>
      </c>
      <c r="V371" s="84" t="str">
        <f>HYPERLINK("https://pbs.twimg.com/media/E_4hS8vVUAYv7nN.jpg")</f>
        <v>https://pbs.twimg.com/media/E_4hS8vVUAYv7nN.jpg</v>
      </c>
      <c r="W371" s="83">
        <v>44461.649699074071</v>
      </c>
      <c r="X371" s="89">
        <v>44461</v>
      </c>
      <c r="Y371" s="86" t="s">
        <v>1136</v>
      </c>
      <c r="Z371" s="84" t="str">
        <f>HYPERLINK("https://twitter.com/2five02/status/1440701312178348038")</f>
        <v>https://twitter.com/2five02/status/1440701312178348038</v>
      </c>
      <c r="AA371" s="81"/>
      <c r="AB371" s="81"/>
      <c r="AC371" s="86" t="s">
        <v>6843</v>
      </c>
      <c r="AD371" s="81"/>
      <c r="AE371" s="81" t="b">
        <v>0</v>
      </c>
      <c r="AF371" s="81">
        <v>0</v>
      </c>
      <c r="AG371" s="86" t="s">
        <v>2084</v>
      </c>
      <c r="AH371" s="81" t="b">
        <v>0</v>
      </c>
      <c r="AI371" s="81" t="s">
        <v>2167</v>
      </c>
      <c r="AJ371" s="81"/>
      <c r="AK371" s="86" t="s">
        <v>2084</v>
      </c>
      <c r="AL371" s="81" t="b">
        <v>0</v>
      </c>
      <c r="AM371" s="81">
        <v>9</v>
      </c>
      <c r="AN371" s="86" t="s">
        <v>6867</v>
      </c>
      <c r="AO371" s="86" t="s">
        <v>2178</v>
      </c>
      <c r="AP371" s="81" t="b">
        <v>0</v>
      </c>
      <c r="AQ371" s="86" t="s">
        <v>6867</v>
      </c>
      <c r="AR371" s="81" t="s">
        <v>179</v>
      </c>
      <c r="AS371" s="81">
        <v>0</v>
      </c>
      <c r="AT371" s="81">
        <v>0</v>
      </c>
      <c r="AU371" s="81"/>
      <c r="AV371" s="81"/>
      <c r="AW371" s="81"/>
      <c r="AX371" s="81"/>
      <c r="AY371" s="81"/>
      <c r="AZ371" s="81"/>
      <c r="BA371" s="81"/>
      <c r="BB371" s="81"/>
    </row>
    <row r="372" spans="1:54" x14ac:dyDescent="0.35">
      <c r="A372" s="66" t="s">
        <v>4315</v>
      </c>
      <c r="B372" s="66" t="s">
        <v>4315</v>
      </c>
      <c r="C372" s="67"/>
      <c r="D372" s="68"/>
      <c r="E372" s="69"/>
      <c r="F372" s="70"/>
      <c r="G372" s="67"/>
      <c r="H372" s="71"/>
      <c r="I372" s="72"/>
      <c r="J372" s="72"/>
      <c r="K372" s="36"/>
      <c r="L372" s="79"/>
      <c r="M372" s="79"/>
      <c r="N372" s="74"/>
      <c r="O372" s="81" t="s">
        <v>179</v>
      </c>
      <c r="P372" s="83">
        <v>44461.671620370369</v>
      </c>
      <c r="Q372" s="81" t="s">
        <v>5348</v>
      </c>
      <c r="R372" s="81"/>
      <c r="S372" s="81"/>
      <c r="T372" s="81"/>
      <c r="U372" s="81"/>
      <c r="V372" s="84" t="str">
        <f>HYPERLINK("https://pbs.twimg.com/profile_images/907650123244617728/KGfcNOhn_normal.jpg")</f>
        <v>https://pbs.twimg.com/profile_images/907650123244617728/KGfcNOhn_normal.jpg</v>
      </c>
      <c r="W372" s="83">
        <v>44461.671620370369</v>
      </c>
      <c r="X372" s="89">
        <v>44461</v>
      </c>
      <c r="Y372" s="86" t="s">
        <v>5941</v>
      </c>
      <c r="Z372" s="84" t="str">
        <f>HYPERLINK("https://twitter.com/limitedhangout1/status/1440709258383822853")</f>
        <v>https://twitter.com/limitedhangout1/status/1440709258383822853</v>
      </c>
      <c r="AA372" s="81"/>
      <c r="AB372" s="81"/>
      <c r="AC372" s="86" t="s">
        <v>6844</v>
      </c>
      <c r="AD372" s="86" t="s">
        <v>7644</v>
      </c>
      <c r="AE372" s="81" t="b">
        <v>0</v>
      </c>
      <c r="AF372" s="81">
        <v>0</v>
      </c>
      <c r="AG372" s="86" t="s">
        <v>7823</v>
      </c>
      <c r="AH372" s="81" t="b">
        <v>0</v>
      </c>
      <c r="AI372" s="81" t="s">
        <v>2168</v>
      </c>
      <c r="AJ372" s="81"/>
      <c r="AK372" s="86" t="s">
        <v>2084</v>
      </c>
      <c r="AL372" s="81" t="b">
        <v>0</v>
      </c>
      <c r="AM372" s="81">
        <v>0</v>
      </c>
      <c r="AN372" s="86" t="s">
        <v>2084</v>
      </c>
      <c r="AO372" s="86" t="s">
        <v>2181</v>
      </c>
      <c r="AP372" s="81" t="b">
        <v>0</v>
      </c>
      <c r="AQ372" s="86" t="s">
        <v>7644</v>
      </c>
      <c r="AR372" s="81" t="s">
        <v>179</v>
      </c>
      <c r="AS372" s="81">
        <v>0</v>
      </c>
      <c r="AT372" s="81">
        <v>0</v>
      </c>
      <c r="AU372" s="81"/>
      <c r="AV372" s="81"/>
      <c r="AW372" s="81"/>
      <c r="AX372" s="81"/>
      <c r="AY372" s="81"/>
      <c r="AZ372" s="81"/>
      <c r="BA372" s="81"/>
      <c r="BB372" s="81"/>
    </row>
    <row r="373" spans="1:54" x14ac:dyDescent="0.35">
      <c r="A373" s="66" t="s">
        <v>4316</v>
      </c>
      <c r="B373" s="66" t="s">
        <v>4316</v>
      </c>
      <c r="C373" s="67"/>
      <c r="D373" s="68"/>
      <c r="E373" s="69"/>
      <c r="F373" s="70"/>
      <c r="G373" s="67"/>
      <c r="H373" s="71"/>
      <c r="I373" s="72"/>
      <c r="J373" s="72"/>
      <c r="K373" s="36"/>
      <c r="L373" s="79"/>
      <c r="M373" s="79"/>
      <c r="N373" s="74"/>
      <c r="O373" s="81" t="s">
        <v>179</v>
      </c>
      <c r="P373" s="83">
        <v>44461.674780092595</v>
      </c>
      <c r="Q373" s="81" t="s">
        <v>5349</v>
      </c>
      <c r="R373" s="81"/>
      <c r="S373" s="81"/>
      <c r="T373" s="81"/>
      <c r="U373" s="81"/>
      <c r="V373" s="84" t="str">
        <f>HYPERLINK("https://pbs.twimg.com/profile_images/1442669015248277507/vBg7-OcG_normal.jpg")</f>
        <v>https://pbs.twimg.com/profile_images/1442669015248277507/vBg7-OcG_normal.jpg</v>
      </c>
      <c r="W373" s="83">
        <v>44461.674780092595</v>
      </c>
      <c r="X373" s="89">
        <v>44461</v>
      </c>
      <c r="Y373" s="86" t="s">
        <v>5942</v>
      </c>
      <c r="Z373" s="84" t="str">
        <f>HYPERLINK("https://twitter.com/tremchaves/status/1440710402241794055")</f>
        <v>https://twitter.com/tremchaves/status/1440710402241794055</v>
      </c>
      <c r="AA373" s="81"/>
      <c r="AB373" s="81"/>
      <c r="AC373" s="86" t="s">
        <v>6845</v>
      </c>
      <c r="AD373" s="81"/>
      <c r="AE373" s="81" t="b">
        <v>0</v>
      </c>
      <c r="AF373" s="81">
        <v>0</v>
      </c>
      <c r="AG373" s="86" t="s">
        <v>2084</v>
      </c>
      <c r="AH373" s="81" t="b">
        <v>0</v>
      </c>
      <c r="AI373" s="81" t="s">
        <v>2171</v>
      </c>
      <c r="AJ373" s="81"/>
      <c r="AK373" s="86" t="s">
        <v>2084</v>
      </c>
      <c r="AL373" s="81" t="b">
        <v>0</v>
      </c>
      <c r="AM373" s="81">
        <v>0</v>
      </c>
      <c r="AN373" s="86" t="s">
        <v>2084</v>
      </c>
      <c r="AO373" s="86" t="s">
        <v>2178</v>
      </c>
      <c r="AP373" s="81" t="b">
        <v>0</v>
      </c>
      <c r="AQ373" s="86" t="s">
        <v>6845</v>
      </c>
      <c r="AR373" s="81" t="s">
        <v>179</v>
      </c>
      <c r="AS373" s="81">
        <v>0</v>
      </c>
      <c r="AT373" s="81">
        <v>0</v>
      </c>
      <c r="AU373" s="81"/>
      <c r="AV373" s="81"/>
      <c r="AW373" s="81"/>
      <c r="AX373" s="81"/>
      <c r="AY373" s="81"/>
      <c r="AZ373" s="81"/>
      <c r="BA373" s="81"/>
      <c r="BB373" s="81"/>
    </row>
    <row r="374" spans="1:54" x14ac:dyDescent="0.35">
      <c r="A374" s="66" t="s">
        <v>4317</v>
      </c>
      <c r="B374" s="66" t="s">
        <v>4317</v>
      </c>
      <c r="C374" s="67"/>
      <c r="D374" s="68"/>
      <c r="E374" s="69"/>
      <c r="F374" s="70"/>
      <c r="G374" s="67"/>
      <c r="H374" s="71"/>
      <c r="I374" s="72"/>
      <c r="J374" s="72"/>
      <c r="K374" s="36"/>
      <c r="L374" s="79"/>
      <c r="M374" s="79"/>
      <c r="N374" s="74"/>
      <c r="O374" s="81" t="s">
        <v>179</v>
      </c>
      <c r="P374" s="83">
        <v>44461.703564814816</v>
      </c>
      <c r="Q374" s="81" t="s">
        <v>5350</v>
      </c>
      <c r="R374" s="84" t="str">
        <f>HYPERLINK("https://gettr.com/post/pbvfi0ccd5")</f>
        <v>https://gettr.com/post/pbvfi0ccd5</v>
      </c>
      <c r="S374" s="81" t="s">
        <v>5709</v>
      </c>
      <c r="T374" s="81"/>
      <c r="U374" s="81"/>
      <c r="V374" s="84" t="str">
        <f>HYPERLINK("https://pbs.twimg.com/profile_images/1425455954590580740/RgmATpCg_normal.jpg")</f>
        <v>https://pbs.twimg.com/profile_images/1425455954590580740/RgmATpCg_normal.jpg</v>
      </c>
      <c r="W374" s="83">
        <v>44461.703564814816</v>
      </c>
      <c r="X374" s="89">
        <v>44461</v>
      </c>
      <c r="Y374" s="86" t="s">
        <v>5943</v>
      </c>
      <c r="Z374" s="84" t="str">
        <f>HYPERLINK("https://twitter.com/dalva_trevisan/status/1440720832205000704")</f>
        <v>https://twitter.com/dalva_trevisan/status/1440720832205000704</v>
      </c>
      <c r="AA374" s="81"/>
      <c r="AB374" s="81"/>
      <c r="AC374" s="86" t="s">
        <v>6846</v>
      </c>
      <c r="AD374" s="81"/>
      <c r="AE374" s="81" t="b">
        <v>0</v>
      </c>
      <c r="AF374" s="81">
        <v>1</v>
      </c>
      <c r="AG374" s="86" t="s">
        <v>2084</v>
      </c>
      <c r="AH374" s="81" t="b">
        <v>0</v>
      </c>
      <c r="AI374" s="81" t="s">
        <v>2171</v>
      </c>
      <c r="AJ374" s="81"/>
      <c r="AK374" s="86" t="s">
        <v>2084</v>
      </c>
      <c r="AL374" s="81" t="b">
        <v>0</v>
      </c>
      <c r="AM374" s="81">
        <v>0</v>
      </c>
      <c r="AN374" s="86" t="s">
        <v>2084</v>
      </c>
      <c r="AO374" s="86" t="s">
        <v>2178</v>
      </c>
      <c r="AP374" s="81" t="b">
        <v>0</v>
      </c>
      <c r="AQ374" s="86" t="s">
        <v>6846</v>
      </c>
      <c r="AR374" s="81" t="s">
        <v>179</v>
      </c>
      <c r="AS374" s="81">
        <v>0</v>
      </c>
      <c r="AT374" s="81">
        <v>0</v>
      </c>
      <c r="AU374" s="81" t="s">
        <v>7992</v>
      </c>
      <c r="AV374" s="81" t="s">
        <v>7998</v>
      </c>
      <c r="AW374" s="81" t="s">
        <v>8000</v>
      </c>
      <c r="AX374" s="81" t="s">
        <v>8002</v>
      </c>
      <c r="AY374" s="81" t="s">
        <v>8010</v>
      </c>
      <c r="AZ374" s="81" t="s">
        <v>8018</v>
      </c>
      <c r="BA374" s="81" t="s">
        <v>2212</v>
      </c>
      <c r="BB374" s="84" t="str">
        <f>HYPERLINK("https://api.twitter.com/1.1/geo/id/8aed51289a235ff4.json")</f>
        <v>https://api.twitter.com/1.1/geo/id/8aed51289a235ff4.json</v>
      </c>
    </row>
    <row r="375" spans="1:54" x14ac:dyDescent="0.35">
      <c r="A375" s="66" t="s">
        <v>4318</v>
      </c>
      <c r="B375" s="66" t="s">
        <v>5026</v>
      </c>
      <c r="C375" s="67"/>
      <c r="D375" s="68"/>
      <c r="E375" s="69"/>
      <c r="F375" s="70"/>
      <c r="G375" s="67"/>
      <c r="H375" s="71"/>
      <c r="I375" s="72"/>
      <c r="J375" s="72"/>
      <c r="K375" s="36"/>
      <c r="L375" s="79"/>
      <c r="M375" s="79"/>
      <c r="N375" s="74"/>
      <c r="O375" s="81" t="s">
        <v>696</v>
      </c>
      <c r="P375" s="83">
        <v>44461.736956018518</v>
      </c>
      <c r="Q375" s="81" t="s">
        <v>5351</v>
      </c>
      <c r="R375" s="81"/>
      <c r="S375" s="81"/>
      <c r="T375" s="81"/>
      <c r="U375" s="81"/>
      <c r="V375" s="84" t="str">
        <f>HYPERLINK("https://pbs.twimg.com/profile_images/1262524141921501185/dbjoGZuU_normal.jpg")</f>
        <v>https://pbs.twimg.com/profile_images/1262524141921501185/dbjoGZuU_normal.jpg</v>
      </c>
      <c r="W375" s="83">
        <v>44461.736956018518</v>
      </c>
      <c r="X375" s="89">
        <v>44461</v>
      </c>
      <c r="Y375" s="86" t="s">
        <v>5944</v>
      </c>
      <c r="Z375" s="84" t="str">
        <f>HYPERLINK("https://twitter.com/da_euly/status/1440732934831362057")</f>
        <v>https://twitter.com/da_euly/status/1440732934831362057</v>
      </c>
      <c r="AA375" s="81"/>
      <c r="AB375" s="81"/>
      <c r="AC375" s="86" t="s">
        <v>6847</v>
      </c>
      <c r="AD375" s="86" t="s">
        <v>7645</v>
      </c>
      <c r="AE375" s="81" t="b">
        <v>0</v>
      </c>
      <c r="AF375" s="81">
        <v>0</v>
      </c>
      <c r="AG375" s="86" t="s">
        <v>7824</v>
      </c>
      <c r="AH375" s="81" t="b">
        <v>0</v>
      </c>
      <c r="AI375" s="81" t="s">
        <v>2171</v>
      </c>
      <c r="AJ375" s="81"/>
      <c r="AK375" s="86" t="s">
        <v>2084</v>
      </c>
      <c r="AL375" s="81" t="b">
        <v>0</v>
      </c>
      <c r="AM375" s="81">
        <v>0</v>
      </c>
      <c r="AN375" s="86" t="s">
        <v>2084</v>
      </c>
      <c r="AO375" s="86" t="s">
        <v>2178</v>
      </c>
      <c r="AP375" s="81" t="b">
        <v>0</v>
      </c>
      <c r="AQ375" s="86" t="s">
        <v>7645</v>
      </c>
      <c r="AR375" s="81" t="s">
        <v>179</v>
      </c>
      <c r="AS375" s="81">
        <v>0</v>
      </c>
      <c r="AT375" s="81">
        <v>0</v>
      </c>
      <c r="AU375" s="81" t="s">
        <v>7993</v>
      </c>
      <c r="AV375" s="81" t="s">
        <v>7998</v>
      </c>
      <c r="AW375" s="81" t="s">
        <v>8000</v>
      </c>
      <c r="AX375" s="81" t="s">
        <v>8003</v>
      </c>
      <c r="AY375" s="81" t="s">
        <v>8011</v>
      </c>
      <c r="AZ375" s="81" t="s">
        <v>8019</v>
      </c>
      <c r="BA375" s="81" t="s">
        <v>2212</v>
      </c>
      <c r="BB375" s="84" t="str">
        <f>HYPERLINK("https://api.twitter.com/1.1/geo/id/f3587bc643e7d7b8.json")</f>
        <v>https://api.twitter.com/1.1/geo/id/f3587bc643e7d7b8.json</v>
      </c>
    </row>
    <row r="376" spans="1:54" x14ac:dyDescent="0.35">
      <c r="A376" s="66" t="s">
        <v>4318</v>
      </c>
      <c r="B376" s="66" t="s">
        <v>5027</v>
      </c>
      <c r="C376" s="67"/>
      <c r="D376" s="68"/>
      <c r="E376" s="69"/>
      <c r="F376" s="70"/>
      <c r="G376" s="67"/>
      <c r="H376" s="71"/>
      <c r="I376" s="72"/>
      <c r="J376" s="72"/>
      <c r="K376" s="36"/>
      <c r="L376" s="79"/>
      <c r="M376" s="79"/>
      <c r="N376" s="74"/>
      <c r="O376" s="81" t="s">
        <v>695</v>
      </c>
      <c r="P376" s="83">
        <v>44461.736956018518</v>
      </c>
      <c r="Q376" s="81" t="s">
        <v>5351</v>
      </c>
      <c r="R376" s="81"/>
      <c r="S376" s="81"/>
      <c r="T376" s="81"/>
      <c r="U376" s="81"/>
      <c r="V376" s="84" t="str">
        <f>HYPERLINK("https://pbs.twimg.com/profile_images/1262524141921501185/dbjoGZuU_normal.jpg")</f>
        <v>https://pbs.twimg.com/profile_images/1262524141921501185/dbjoGZuU_normal.jpg</v>
      </c>
      <c r="W376" s="83">
        <v>44461.736956018518</v>
      </c>
      <c r="X376" s="89">
        <v>44461</v>
      </c>
      <c r="Y376" s="86" t="s">
        <v>5944</v>
      </c>
      <c r="Z376" s="84" t="str">
        <f>HYPERLINK("https://twitter.com/da_euly/status/1440732934831362057")</f>
        <v>https://twitter.com/da_euly/status/1440732934831362057</v>
      </c>
      <c r="AA376" s="81"/>
      <c r="AB376" s="81"/>
      <c r="AC376" s="86" t="s">
        <v>6847</v>
      </c>
      <c r="AD376" s="86" t="s">
        <v>7645</v>
      </c>
      <c r="AE376" s="81" t="b">
        <v>0</v>
      </c>
      <c r="AF376" s="81">
        <v>0</v>
      </c>
      <c r="AG376" s="86" t="s">
        <v>7824</v>
      </c>
      <c r="AH376" s="81" t="b">
        <v>0</v>
      </c>
      <c r="AI376" s="81" t="s">
        <v>2171</v>
      </c>
      <c r="AJ376" s="81"/>
      <c r="AK376" s="86" t="s">
        <v>2084</v>
      </c>
      <c r="AL376" s="81" t="b">
        <v>0</v>
      </c>
      <c r="AM376" s="81">
        <v>0</v>
      </c>
      <c r="AN376" s="86" t="s">
        <v>2084</v>
      </c>
      <c r="AO376" s="86" t="s">
        <v>2178</v>
      </c>
      <c r="AP376" s="81" t="b">
        <v>0</v>
      </c>
      <c r="AQ376" s="86" t="s">
        <v>7645</v>
      </c>
      <c r="AR376" s="81" t="s">
        <v>179</v>
      </c>
      <c r="AS376" s="81">
        <v>0</v>
      </c>
      <c r="AT376" s="81">
        <v>0</v>
      </c>
      <c r="AU376" s="81" t="s">
        <v>7993</v>
      </c>
      <c r="AV376" s="81" t="s">
        <v>7998</v>
      </c>
      <c r="AW376" s="81" t="s">
        <v>8000</v>
      </c>
      <c r="AX376" s="81" t="s">
        <v>8003</v>
      </c>
      <c r="AY376" s="81" t="s">
        <v>8011</v>
      </c>
      <c r="AZ376" s="81" t="s">
        <v>8019</v>
      </c>
      <c r="BA376" s="81" t="s">
        <v>2212</v>
      </c>
      <c r="BB376" s="84" t="str">
        <f>HYPERLINK("https://api.twitter.com/1.1/geo/id/f3587bc643e7d7b8.json")</f>
        <v>https://api.twitter.com/1.1/geo/id/f3587bc643e7d7b8.json</v>
      </c>
    </row>
    <row r="377" spans="1:54" x14ac:dyDescent="0.35">
      <c r="A377" s="66" t="s">
        <v>4318</v>
      </c>
      <c r="B377" s="66" t="s">
        <v>5028</v>
      </c>
      <c r="C377" s="67"/>
      <c r="D377" s="68"/>
      <c r="E377" s="69"/>
      <c r="F377" s="70"/>
      <c r="G377" s="67"/>
      <c r="H377" s="71"/>
      <c r="I377" s="72"/>
      <c r="J377" s="72"/>
      <c r="K377" s="36"/>
      <c r="L377" s="79"/>
      <c r="M377" s="79"/>
      <c r="N377" s="74"/>
      <c r="O377" s="81" t="s">
        <v>696</v>
      </c>
      <c r="P377" s="83">
        <v>44461.736956018518</v>
      </c>
      <c r="Q377" s="81" t="s">
        <v>5351</v>
      </c>
      <c r="R377" s="81"/>
      <c r="S377" s="81"/>
      <c r="T377" s="81"/>
      <c r="U377" s="81"/>
      <c r="V377" s="84" t="str">
        <f>HYPERLINK("https://pbs.twimg.com/profile_images/1262524141921501185/dbjoGZuU_normal.jpg")</f>
        <v>https://pbs.twimg.com/profile_images/1262524141921501185/dbjoGZuU_normal.jpg</v>
      </c>
      <c r="W377" s="83">
        <v>44461.736956018518</v>
      </c>
      <c r="X377" s="89">
        <v>44461</v>
      </c>
      <c r="Y377" s="86" t="s">
        <v>5944</v>
      </c>
      <c r="Z377" s="84" t="str">
        <f>HYPERLINK("https://twitter.com/da_euly/status/1440732934831362057")</f>
        <v>https://twitter.com/da_euly/status/1440732934831362057</v>
      </c>
      <c r="AA377" s="81"/>
      <c r="AB377" s="81"/>
      <c r="AC377" s="86" t="s">
        <v>6847</v>
      </c>
      <c r="AD377" s="86" t="s">
        <v>7645</v>
      </c>
      <c r="AE377" s="81" t="b">
        <v>0</v>
      </c>
      <c r="AF377" s="81">
        <v>0</v>
      </c>
      <c r="AG377" s="86" t="s">
        <v>7824</v>
      </c>
      <c r="AH377" s="81" t="b">
        <v>0</v>
      </c>
      <c r="AI377" s="81" t="s">
        <v>2171</v>
      </c>
      <c r="AJ377" s="81"/>
      <c r="AK377" s="86" t="s">
        <v>2084</v>
      </c>
      <c r="AL377" s="81" t="b">
        <v>0</v>
      </c>
      <c r="AM377" s="81">
        <v>0</v>
      </c>
      <c r="AN377" s="86" t="s">
        <v>2084</v>
      </c>
      <c r="AO377" s="86" t="s">
        <v>2178</v>
      </c>
      <c r="AP377" s="81" t="b">
        <v>0</v>
      </c>
      <c r="AQ377" s="86" t="s">
        <v>7645</v>
      </c>
      <c r="AR377" s="81" t="s">
        <v>179</v>
      </c>
      <c r="AS377" s="81">
        <v>0</v>
      </c>
      <c r="AT377" s="81">
        <v>0</v>
      </c>
      <c r="AU377" s="81" t="s">
        <v>7993</v>
      </c>
      <c r="AV377" s="81" t="s">
        <v>7998</v>
      </c>
      <c r="AW377" s="81" t="s">
        <v>8000</v>
      </c>
      <c r="AX377" s="81" t="s">
        <v>8003</v>
      </c>
      <c r="AY377" s="81" t="s">
        <v>8011</v>
      </c>
      <c r="AZ377" s="81" t="s">
        <v>8019</v>
      </c>
      <c r="BA377" s="81" t="s">
        <v>2212</v>
      </c>
      <c r="BB377" s="84" t="str">
        <f>HYPERLINK("https://api.twitter.com/1.1/geo/id/f3587bc643e7d7b8.json")</f>
        <v>https://api.twitter.com/1.1/geo/id/f3587bc643e7d7b8.json</v>
      </c>
    </row>
    <row r="378" spans="1:54" x14ac:dyDescent="0.35">
      <c r="A378" s="66" t="s">
        <v>4319</v>
      </c>
      <c r="B378" s="66" t="s">
        <v>5029</v>
      </c>
      <c r="C378" s="67"/>
      <c r="D378" s="68"/>
      <c r="E378" s="69"/>
      <c r="F378" s="70"/>
      <c r="G378" s="67"/>
      <c r="H378" s="71"/>
      <c r="I378" s="72"/>
      <c r="J378" s="72"/>
      <c r="K378" s="36"/>
      <c r="L378" s="79"/>
      <c r="M378" s="79"/>
      <c r="N378" s="74"/>
      <c r="O378" s="81" t="s">
        <v>694</v>
      </c>
      <c r="P378" s="83">
        <v>44461.797835648147</v>
      </c>
      <c r="Q378" s="81" t="s">
        <v>5352</v>
      </c>
      <c r="R378" s="84" t="str">
        <f>HYPERLINK("https://www.gov.br/mj/pt-br/assuntos/noticias/cursos-de-pos-graduacao-oferecidos-pela-pf-estao-com-vagas-abertas")</f>
        <v>https://www.gov.br/mj/pt-br/assuntos/noticias/cursos-de-pos-graduacao-oferecidos-pela-pf-estao-com-vagas-abertas</v>
      </c>
      <c r="S378" s="81" t="s">
        <v>5686</v>
      </c>
      <c r="T378" s="86" t="s">
        <v>5769</v>
      </c>
      <c r="U378" s="84" t="str">
        <f>HYPERLINK("https://pbs.twimg.com/media/E_6WEtBVQAA9KIi.png")</f>
        <v>https://pbs.twimg.com/media/E_6WEtBVQAA9KIi.png</v>
      </c>
      <c r="V378" s="84" t="str">
        <f>HYPERLINK("https://pbs.twimg.com/media/E_6WEtBVQAA9KIi.png")</f>
        <v>https://pbs.twimg.com/media/E_6WEtBVQAA9KIi.png</v>
      </c>
      <c r="W378" s="83">
        <v>44461.797835648147</v>
      </c>
      <c r="X378" s="89">
        <v>44461</v>
      </c>
      <c r="Y378" s="86" t="s">
        <v>5945</v>
      </c>
      <c r="Z378" s="84" t="str">
        <f>HYPERLINK("https://twitter.com/vanzanrose/status/1440754996610359302")</f>
        <v>https://twitter.com/vanzanrose/status/1440754996610359302</v>
      </c>
      <c r="AA378" s="81"/>
      <c r="AB378" s="81"/>
      <c r="AC378" s="86" t="s">
        <v>6848</v>
      </c>
      <c r="AD378" s="81"/>
      <c r="AE378" s="81" t="b">
        <v>0</v>
      </c>
      <c r="AF378" s="81">
        <v>0</v>
      </c>
      <c r="AG378" s="86" t="s">
        <v>2084</v>
      </c>
      <c r="AH378" s="81" t="b">
        <v>0</v>
      </c>
      <c r="AI378" s="81" t="s">
        <v>2171</v>
      </c>
      <c r="AJ378" s="81"/>
      <c r="AK378" s="86" t="s">
        <v>2084</v>
      </c>
      <c r="AL378" s="81" t="b">
        <v>0</v>
      </c>
      <c r="AM378" s="81">
        <v>5</v>
      </c>
      <c r="AN378" s="86" t="s">
        <v>6851</v>
      </c>
      <c r="AO378" s="86" t="s">
        <v>2179</v>
      </c>
      <c r="AP378" s="81" t="b">
        <v>0</v>
      </c>
      <c r="AQ378" s="86" t="s">
        <v>6851</v>
      </c>
      <c r="AR378" s="81" t="s">
        <v>179</v>
      </c>
      <c r="AS378" s="81">
        <v>0</v>
      </c>
      <c r="AT378" s="81">
        <v>0</v>
      </c>
      <c r="AU378" s="81"/>
      <c r="AV378" s="81"/>
      <c r="AW378" s="81"/>
      <c r="AX378" s="81"/>
      <c r="AY378" s="81"/>
      <c r="AZ378" s="81"/>
      <c r="BA378" s="81"/>
      <c r="BB378" s="81"/>
    </row>
    <row r="379" spans="1:54" x14ac:dyDescent="0.35">
      <c r="A379" s="66" t="s">
        <v>4319</v>
      </c>
      <c r="B379" s="66" t="s">
        <v>4322</v>
      </c>
      <c r="C379" s="67"/>
      <c r="D379" s="68"/>
      <c r="E379" s="69"/>
      <c r="F379" s="70"/>
      <c r="G379" s="67"/>
      <c r="H379" s="71"/>
      <c r="I379" s="72"/>
      <c r="J379" s="72"/>
      <c r="K379" s="36"/>
      <c r="L379" s="79"/>
      <c r="M379" s="79"/>
      <c r="N379" s="74"/>
      <c r="O379" s="81" t="s">
        <v>693</v>
      </c>
      <c r="P379" s="83">
        <v>44461.797835648147</v>
      </c>
      <c r="Q379" s="81" t="s">
        <v>5352</v>
      </c>
      <c r="R379" s="84" t="str">
        <f>HYPERLINK("https://www.gov.br/mj/pt-br/assuntos/noticias/cursos-de-pos-graduacao-oferecidos-pela-pf-estao-com-vagas-abertas")</f>
        <v>https://www.gov.br/mj/pt-br/assuntos/noticias/cursos-de-pos-graduacao-oferecidos-pela-pf-estao-com-vagas-abertas</v>
      </c>
      <c r="S379" s="81" t="s">
        <v>5686</v>
      </c>
      <c r="T379" s="86" t="s">
        <v>5769</v>
      </c>
      <c r="U379" s="84" t="str">
        <f>HYPERLINK("https://pbs.twimg.com/media/E_6WEtBVQAA9KIi.png")</f>
        <v>https://pbs.twimg.com/media/E_6WEtBVQAA9KIi.png</v>
      </c>
      <c r="V379" s="84" t="str">
        <f>HYPERLINK("https://pbs.twimg.com/media/E_6WEtBVQAA9KIi.png")</f>
        <v>https://pbs.twimg.com/media/E_6WEtBVQAA9KIi.png</v>
      </c>
      <c r="W379" s="83">
        <v>44461.797835648147</v>
      </c>
      <c r="X379" s="89">
        <v>44461</v>
      </c>
      <c r="Y379" s="86" t="s">
        <v>5945</v>
      </c>
      <c r="Z379" s="84" t="str">
        <f>HYPERLINK("https://twitter.com/vanzanrose/status/1440754996610359302")</f>
        <v>https://twitter.com/vanzanrose/status/1440754996610359302</v>
      </c>
      <c r="AA379" s="81"/>
      <c r="AB379" s="81"/>
      <c r="AC379" s="86" t="s">
        <v>6848</v>
      </c>
      <c r="AD379" s="81"/>
      <c r="AE379" s="81" t="b">
        <v>0</v>
      </c>
      <c r="AF379" s="81">
        <v>0</v>
      </c>
      <c r="AG379" s="86" t="s">
        <v>2084</v>
      </c>
      <c r="AH379" s="81" t="b">
        <v>0</v>
      </c>
      <c r="AI379" s="81" t="s">
        <v>2171</v>
      </c>
      <c r="AJ379" s="81"/>
      <c r="AK379" s="86" t="s">
        <v>2084</v>
      </c>
      <c r="AL379" s="81" t="b">
        <v>0</v>
      </c>
      <c r="AM379" s="81">
        <v>5</v>
      </c>
      <c r="AN379" s="86" t="s">
        <v>6851</v>
      </c>
      <c r="AO379" s="86" t="s">
        <v>2179</v>
      </c>
      <c r="AP379" s="81" t="b">
        <v>0</v>
      </c>
      <c r="AQ379" s="86" t="s">
        <v>6851</v>
      </c>
      <c r="AR379" s="81" t="s">
        <v>179</v>
      </c>
      <c r="AS379" s="81">
        <v>0</v>
      </c>
      <c r="AT379" s="81">
        <v>0</v>
      </c>
      <c r="AU379" s="81"/>
      <c r="AV379" s="81"/>
      <c r="AW379" s="81"/>
      <c r="AX379" s="81"/>
      <c r="AY379" s="81"/>
      <c r="AZ379" s="81"/>
      <c r="BA379" s="81"/>
      <c r="BB379" s="81"/>
    </row>
    <row r="380" spans="1:54" x14ac:dyDescent="0.35">
      <c r="A380" s="66" t="s">
        <v>4320</v>
      </c>
      <c r="B380" s="66" t="s">
        <v>5029</v>
      </c>
      <c r="C380" s="67"/>
      <c r="D380" s="68"/>
      <c r="E380" s="69"/>
      <c r="F380" s="70"/>
      <c r="G380" s="67"/>
      <c r="H380" s="71"/>
      <c r="I380" s="72"/>
      <c r="J380" s="72"/>
      <c r="K380" s="36"/>
      <c r="L380" s="79"/>
      <c r="M380" s="79"/>
      <c r="N380" s="74"/>
      <c r="O380" s="81" t="s">
        <v>694</v>
      </c>
      <c r="P380" s="83">
        <v>44461.79828703704</v>
      </c>
      <c r="Q380" s="81" t="s">
        <v>5352</v>
      </c>
      <c r="R380" s="84" t="str">
        <f>HYPERLINK("https://www.gov.br/mj/pt-br/assuntos/noticias/cursos-de-pos-graduacao-oferecidos-pela-pf-estao-com-vagas-abertas")</f>
        <v>https://www.gov.br/mj/pt-br/assuntos/noticias/cursos-de-pos-graduacao-oferecidos-pela-pf-estao-com-vagas-abertas</v>
      </c>
      <c r="S380" s="81" t="s">
        <v>5686</v>
      </c>
      <c r="T380" s="86" t="s">
        <v>5769</v>
      </c>
      <c r="U380" s="84" t="str">
        <f>HYPERLINK("https://pbs.twimg.com/media/E_6WEtBVQAA9KIi.png")</f>
        <v>https://pbs.twimg.com/media/E_6WEtBVQAA9KIi.png</v>
      </c>
      <c r="V380" s="84" t="str">
        <f>HYPERLINK("https://pbs.twimg.com/media/E_6WEtBVQAA9KIi.png")</f>
        <v>https://pbs.twimg.com/media/E_6WEtBVQAA9KIi.png</v>
      </c>
      <c r="W380" s="83">
        <v>44461.79828703704</v>
      </c>
      <c r="X380" s="89">
        <v>44461</v>
      </c>
      <c r="Y380" s="86" t="s">
        <v>5946</v>
      </c>
      <c r="Z380" s="84" t="str">
        <f>HYPERLINK("https://twitter.com/soubelemlz/status/1440755158527340547")</f>
        <v>https://twitter.com/soubelemlz/status/1440755158527340547</v>
      </c>
      <c r="AA380" s="81"/>
      <c r="AB380" s="81"/>
      <c r="AC380" s="86" t="s">
        <v>6849</v>
      </c>
      <c r="AD380" s="81"/>
      <c r="AE380" s="81" t="b">
        <v>0</v>
      </c>
      <c r="AF380" s="81">
        <v>0</v>
      </c>
      <c r="AG380" s="86" t="s">
        <v>2084</v>
      </c>
      <c r="AH380" s="81" t="b">
        <v>0</v>
      </c>
      <c r="AI380" s="81" t="s">
        <v>2171</v>
      </c>
      <c r="AJ380" s="81"/>
      <c r="AK380" s="86" t="s">
        <v>2084</v>
      </c>
      <c r="AL380" s="81" t="b">
        <v>0</v>
      </c>
      <c r="AM380" s="81">
        <v>5</v>
      </c>
      <c r="AN380" s="86" t="s">
        <v>6851</v>
      </c>
      <c r="AO380" s="86" t="s">
        <v>2178</v>
      </c>
      <c r="AP380" s="81" t="b">
        <v>0</v>
      </c>
      <c r="AQ380" s="86" t="s">
        <v>6851</v>
      </c>
      <c r="AR380" s="81" t="s">
        <v>179</v>
      </c>
      <c r="AS380" s="81">
        <v>0</v>
      </c>
      <c r="AT380" s="81">
        <v>0</v>
      </c>
      <c r="AU380" s="81"/>
      <c r="AV380" s="81"/>
      <c r="AW380" s="81"/>
      <c r="AX380" s="81"/>
      <c r="AY380" s="81"/>
      <c r="AZ380" s="81"/>
      <c r="BA380" s="81"/>
      <c r="BB380" s="81"/>
    </row>
    <row r="381" spans="1:54" x14ac:dyDescent="0.35">
      <c r="A381" s="66" t="s">
        <v>4320</v>
      </c>
      <c r="B381" s="66" t="s">
        <v>4322</v>
      </c>
      <c r="C381" s="67"/>
      <c r="D381" s="68"/>
      <c r="E381" s="69"/>
      <c r="F381" s="70"/>
      <c r="G381" s="67"/>
      <c r="H381" s="71"/>
      <c r="I381" s="72"/>
      <c r="J381" s="72"/>
      <c r="K381" s="36"/>
      <c r="L381" s="79"/>
      <c r="M381" s="79"/>
      <c r="N381" s="74"/>
      <c r="O381" s="81" t="s">
        <v>693</v>
      </c>
      <c r="P381" s="83">
        <v>44461.79828703704</v>
      </c>
      <c r="Q381" s="81" t="s">
        <v>5352</v>
      </c>
      <c r="R381" s="84" t="str">
        <f>HYPERLINK("https://www.gov.br/mj/pt-br/assuntos/noticias/cursos-de-pos-graduacao-oferecidos-pela-pf-estao-com-vagas-abertas")</f>
        <v>https://www.gov.br/mj/pt-br/assuntos/noticias/cursos-de-pos-graduacao-oferecidos-pela-pf-estao-com-vagas-abertas</v>
      </c>
      <c r="S381" s="81" t="s">
        <v>5686</v>
      </c>
      <c r="T381" s="86" t="s">
        <v>5769</v>
      </c>
      <c r="U381" s="84" t="str">
        <f>HYPERLINK("https://pbs.twimg.com/media/E_6WEtBVQAA9KIi.png")</f>
        <v>https://pbs.twimg.com/media/E_6WEtBVQAA9KIi.png</v>
      </c>
      <c r="V381" s="84" t="str">
        <f>HYPERLINK("https://pbs.twimg.com/media/E_6WEtBVQAA9KIi.png")</f>
        <v>https://pbs.twimg.com/media/E_6WEtBVQAA9KIi.png</v>
      </c>
      <c r="W381" s="83">
        <v>44461.79828703704</v>
      </c>
      <c r="X381" s="89">
        <v>44461</v>
      </c>
      <c r="Y381" s="86" t="s">
        <v>5946</v>
      </c>
      <c r="Z381" s="84" t="str">
        <f>HYPERLINK("https://twitter.com/soubelemlz/status/1440755158527340547")</f>
        <v>https://twitter.com/soubelemlz/status/1440755158527340547</v>
      </c>
      <c r="AA381" s="81"/>
      <c r="AB381" s="81"/>
      <c r="AC381" s="86" t="s">
        <v>6849</v>
      </c>
      <c r="AD381" s="81"/>
      <c r="AE381" s="81" t="b">
        <v>0</v>
      </c>
      <c r="AF381" s="81">
        <v>0</v>
      </c>
      <c r="AG381" s="86" t="s">
        <v>2084</v>
      </c>
      <c r="AH381" s="81" t="b">
        <v>0</v>
      </c>
      <c r="AI381" s="81" t="s">
        <v>2171</v>
      </c>
      <c r="AJ381" s="81"/>
      <c r="AK381" s="86" t="s">
        <v>2084</v>
      </c>
      <c r="AL381" s="81" t="b">
        <v>0</v>
      </c>
      <c r="AM381" s="81">
        <v>5</v>
      </c>
      <c r="AN381" s="86" t="s">
        <v>6851</v>
      </c>
      <c r="AO381" s="86" t="s">
        <v>2178</v>
      </c>
      <c r="AP381" s="81" t="b">
        <v>0</v>
      </c>
      <c r="AQ381" s="86" t="s">
        <v>6851</v>
      </c>
      <c r="AR381" s="81" t="s">
        <v>179</v>
      </c>
      <c r="AS381" s="81">
        <v>0</v>
      </c>
      <c r="AT381" s="81">
        <v>0</v>
      </c>
      <c r="AU381" s="81"/>
      <c r="AV381" s="81"/>
      <c r="AW381" s="81"/>
      <c r="AX381" s="81"/>
      <c r="AY381" s="81"/>
      <c r="AZ381" s="81"/>
      <c r="BA381" s="81"/>
      <c r="BB381" s="81"/>
    </row>
    <row r="382" spans="1:54" x14ac:dyDescent="0.35">
      <c r="A382" s="66" t="s">
        <v>4321</v>
      </c>
      <c r="B382" s="66" t="s">
        <v>5029</v>
      </c>
      <c r="C382" s="67"/>
      <c r="D382" s="68"/>
      <c r="E382" s="69"/>
      <c r="F382" s="70"/>
      <c r="G382" s="67"/>
      <c r="H382" s="71"/>
      <c r="I382" s="72"/>
      <c r="J382" s="72"/>
      <c r="K382" s="36"/>
      <c r="L382" s="79"/>
      <c r="M382" s="79"/>
      <c r="N382" s="74"/>
      <c r="O382" s="81" t="s">
        <v>694</v>
      </c>
      <c r="P382" s="83">
        <v>44461.799907407411</v>
      </c>
      <c r="Q382" s="81" t="s">
        <v>5352</v>
      </c>
      <c r="R382" s="84" t="str">
        <f>HYPERLINK("https://www.gov.br/mj/pt-br/assuntos/noticias/cursos-de-pos-graduacao-oferecidos-pela-pf-estao-com-vagas-abertas")</f>
        <v>https://www.gov.br/mj/pt-br/assuntos/noticias/cursos-de-pos-graduacao-oferecidos-pela-pf-estao-com-vagas-abertas</v>
      </c>
      <c r="S382" s="81" t="s">
        <v>5686</v>
      </c>
      <c r="T382" s="86" t="s">
        <v>5769</v>
      </c>
      <c r="U382" s="84" t="str">
        <f>HYPERLINK("https://pbs.twimg.com/media/E_6WEtBVQAA9KIi.png")</f>
        <v>https://pbs.twimg.com/media/E_6WEtBVQAA9KIi.png</v>
      </c>
      <c r="V382" s="84" t="str">
        <f>HYPERLINK("https://pbs.twimg.com/media/E_6WEtBVQAA9KIi.png")</f>
        <v>https://pbs.twimg.com/media/E_6WEtBVQAA9KIi.png</v>
      </c>
      <c r="W382" s="83">
        <v>44461.799907407411</v>
      </c>
      <c r="X382" s="89">
        <v>44461</v>
      </c>
      <c r="Y382" s="86" t="s">
        <v>5947</v>
      </c>
      <c r="Z382" s="84" t="str">
        <f>HYPERLINK("https://twitter.com/coito_cristina/status/1440755747776651268")</f>
        <v>https://twitter.com/coito_cristina/status/1440755747776651268</v>
      </c>
      <c r="AA382" s="81"/>
      <c r="AB382" s="81"/>
      <c r="AC382" s="86" t="s">
        <v>6850</v>
      </c>
      <c r="AD382" s="81"/>
      <c r="AE382" s="81" t="b">
        <v>0</v>
      </c>
      <c r="AF382" s="81">
        <v>0</v>
      </c>
      <c r="AG382" s="86" t="s">
        <v>2084</v>
      </c>
      <c r="AH382" s="81" t="b">
        <v>0</v>
      </c>
      <c r="AI382" s="81" t="s">
        <v>2171</v>
      </c>
      <c r="AJ382" s="81"/>
      <c r="AK382" s="86" t="s">
        <v>2084</v>
      </c>
      <c r="AL382" s="81" t="b">
        <v>0</v>
      </c>
      <c r="AM382" s="81">
        <v>5</v>
      </c>
      <c r="AN382" s="86" t="s">
        <v>6851</v>
      </c>
      <c r="AO382" s="86" t="s">
        <v>2178</v>
      </c>
      <c r="AP382" s="81" t="b">
        <v>0</v>
      </c>
      <c r="AQ382" s="86" t="s">
        <v>6851</v>
      </c>
      <c r="AR382" s="81" t="s">
        <v>179</v>
      </c>
      <c r="AS382" s="81">
        <v>0</v>
      </c>
      <c r="AT382" s="81">
        <v>0</v>
      </c>
      <c r="AU382" s="81"/>
      <c r="AV382" s="81"/>
      <c r="AW382" s="81"/>
      <c r="AX382" s="81"/>
      <c r="AY382" s="81"/>
      <c r="AZ382" s="81"/>
      <c r="BA382" s="81"/>
      <c r="BB382" s="81"/>
    </row>
    <row r="383" spans="1:54" x14ac:dyDescent="0.35">
      <c r="A383" s="66" t="s">
        <v>4321</v>
      </c>
      <c r="B383" s="66" t="s">
        <v>4322</v>
      </c>
      <c r="C383" s="67"/>
      <c r="D383" s="68"/>
      <c r="E383" s="69"/>
      <c r="F383" s="70"/>
      <c r="G383" s="67"/>
      <c r="H383" s="71"/>
      <c r="I383" s="72"/>
      <c r="J383" s="72"/>
      <c r="K383" s="36"/>
      <c r="L383" s="79"/>
      <c r="M383" s="79"/>
      <c r="N383" s="74"/>
      <c r="O383" s="81" t="s">
        <v>693</v>
      </c>
      <c r="P383" s="83">
        <v>44461.799907407411</v>
      </c>
      <c r="Q383" s="81" t="s">
        <v>5352</v>
      </c>
      <c r="R383" s="84" t="str">
        <f>HYPERLINK("https://www.gov.br/mj/pt-br/assuntos/noticias/cursos-de-pos-graduacao-oferecidos-pela-pf-estao-com-vagas-abertas")</f>
        <v>https://www.gov.br/mj/pt-br/assuntos/noticias/cursos-de-pos-graduacao-oferecidos-pela-pf-estao-com-vagas-abertas</v>
      </c>
      <c r="S383" s="81" t="s">
        <v>5686</v>
      </c>
      <c r="T383" s="86" t="s">
        <v>5769</v>
      </c>
      <c r="U383" s="84" t="str">
        <f>HYPERLINK("https://pbs.twimg.com/media/E_6WEtBVQAA9KIi.png")</f>
        <v>https://pbs.twimg.com/media/E_6WEtBVQAA9KIi.png</v>
      </c>
      <c r="V383" s="84" t="str">
        <f>HYPERLINK("https://pbs.twimg.com/media/E_6WEtBVQAA9KIi.png")</f>
        <v>https://pbs.twimg.com/media/E_6WEtBVQAA9KIi.png</v>
      </c>
      <c r="W383" s="83">
        <v>44461.799907407411</v>
      </c>
      <c r="X383" s="89">
        <v>44461</v>
      </c>
      <c r="Y383" s="86" t="s">
        <v>5947</v>
      </c>
      <c r="Z383" s="84" t="str">
        <f>HYPERLINK("https://twitter.com/coito_cristina/status/1440755747776651268")</f>
        <v>https://twitter.com/coito_cristina/status/1440755747776651268</v>
      </c>
      <c r="AA383" s="81"/>
      <c r="AB383" s="81"/>
      <c r="AC383" s="86" t="s">
        <v>6850</v>
      </c>
      <c r="AD383" s="81"/>
      <c r="AE383" s="81" t="b">
        <v>0</v>
      </c>
      <c r="AF383" s="81">
        <v>0</v>
      </c>
      <c r="AG383" s="86" t="s">
        <v>2084</v>
      </c>
      <c r="AH383" s="81" t="b">
        <v>0</v>
      </c>
      <c r="AI383" s="81" t="s">
        <v>2171</v>
      </c>
      <c r="AJ383" s="81"/>
      <c r="AK383" s="86" t="s">
        <v>2084</v>
      </c>
      <c r="AL383" s="81" t="b">
        <v>0</v>
      </c>
      <c r="AM383" s="81">
        <v>5</v>
      </c>
      <c r="AN383" s="86" t="s">
        <v>6851</v>
      </c>
      <c r="AO383" s="86" t="s">
        <v>2178</v>
      </c>
      <c r="AP383" s="81" t="b">
        <v>0</v>
      </c>
      <c r="AQ383" s="86" t="s">
        <v>6851</v>
      </c>
      <c r="AR383" s="81" t="s">
        <v>179</v>
      </c>
      <c r="AS383" s="81">
        <v>0</v>
      </c>
      <c r="AT383" s="81">
        <v>0</v>
      </c>
      <c r="AU383" s="81"/>
      <c r="AV383" s="81"/>
      <c r="AW383" s="81"/>
      <c r="AX383" s="81"/>
      <c r="AY383" s="81"/>
      <c r="AZ383" s="81"/>
      <c r="BA383" s="81"/>
      <c r="BB383" s="81"/>
    </row>
    <row r="384" spans="1:54" x14ac:dyDescent="0.35">
      <c r="A384" s="66" t="s">
        <v>4322</v>
      </c>
      <c r="B384" s="66" t="s">
        <v>5029</v>
      </c>
      <c r="C384" s="67"/>
      <c r="D384" s="68"/>
      <c r="E384" s="69"/>
      <c r="F384" s="70"/>
      <c r="G384" s="67"/>
      <c r="H384" s="71"/>
      <c r="I384" s="72"/>
      <c r="J384" s="72"/>
      <c r="K384" s="36"/>
      <c r="L384" s="79"/>
      <c r="M384" s="79"/>
      <c r="N384" s="74"/>
      <c r="O384" s="81" t="s">
        <v>696</v>
      </c>
      <c r="P384" s="83">
        <v>44461.796527777777</v>
      </c>
      <c r="Q384" s="81" t="s">
        <v>5352</v>
      </c>
      <c r="R384" s="84" t="str">
        <f>HYPERLINK("https://www.gov.br/mj/pt-br/assuntos/noticias/cursos-de-pos-graduacao-oferecidos-pela-pf-estao-com-vagas-abertas")</f>
        <v>https://www.gov.br/mj/pt-br/assuntos/noticias/cursos-de-pos-graduacao-oferecidos-pela-pf-estao-com-vagas-abertas</v>
      </c>
      <c r="S384" s="81" t="s">
        <v>5686</v>
      </c>
      <c r="T384" s="86" t="s">
        <v>5769</v>
      </c>
      <c r="U384" s="84" t="str">
        <f>HYPERLINK("https://pbs.twimg.com/media/E_6WEtBVQAA9KIi.png")</f>
        <v>https://pbs.twimg.com/media/E_6WEtBVQAA9KIi.png</v>
      </c>
      <c r="V384" s="84" t="str">
        <f>HYPERLINK("https://pbs.twimg.com/media/E_6WEtBVQAA9KIi.png")</f>
        <v>https://pbs.twimg.com/media/E_6WEtBVQAA9KIi.png</v>
      </c>
      <c r="W384" s="83">
        <v>44461.796527777777</v>
      </c>
      <c r="X384" s="89">
        <v>44461</v>
      </c>
      <c r="Y384" s="86" t="s">
        <v>5948</v>
      </c>
      <c r="Z384" s="84" t="str">
        <f>HYPERLINK("https://twitter.com/justicagovbr/status/1440754521068638221")</f>
        <v>https://twitter.com/justicagovbr/status/1440754521068638221</v>
      </c>
      <c r="AA384" s="81"/>
      <c r="AB384" s="81"/>
      <c r="AC384" s="86" t="s">
        <v>6851</v>
      </c>
      <c r="AD384" s="81"/>
      <c r="AE384" s="81" t="b">
        <v>0</v>
      </c>
      <c r="AF384" s="81">
        <v>39</v>
      </c>
      <c r="AG384" s="86" t="s">
        <v>2084</v>
      </c>
      <c r="AH384" s="81" t="b">
        <v>0</v>
      </c>
      <c r="AI384" s="81" t="s">
        <v>2171</v>
      </c>
      <c r="AJ384" s="81"/>
      <c r="AK384" s="86" t="s">
        <v>2084</v>
      </c>
      <c r="AL384" s="81" t="b">
        <v>0</v>
      </c>
      <c r="AM384" s="81">
        <v>5</v>
      </c>
      <c r="AN384" s="86" t="s">
        <v>2084</v>
      </c>
      <c r="AO384" s="86" t="s">
        <v>2181</v>
      </c>
      <c r="AP384" s="81" t="b">
        <v>0</v>
      </c>
      <c r="AQ384" s="86" t="s">
        <v>6851</v>
      </c>
      <c r="AR384" s="81" t="s">
        <v>179</v>
      </c>
      <c r="AS384" s="81">
        <v>0</v>
      </c>
      <c r="AT384" s="81">
        <v>0</v>
      </c>
      <c r="AU384" s="81"/>
      <c r="AV384" s="81"/>
      <c r="AW384" s="81"/>
      <c r="AX384" s="81"/>
      <c r="AY384" s="81"/>
      <c r="AZ384" s="81"/>
      <c r="BA384" s="81"/>
      <c r="BB384" s="81"/>
    </row>
    <row r="385" spans="1:54" x14ac:dyDescent="0.35">
      <c r="A385" s="66" t="s">
        <v>4323</v>
      </c>
      <c r="B385" s="66" t="s">
        <v>5029</v>
      </c>
      <c r="C385" s="67"/>
      <c r="D385" s="68"/>
      <c r="E385" s="69"/>
      <c r="F385" s="70"/>
      <c r="G385" s="67"/>
      <c r="H385" s="71"/>
      <c r="I385" s="72"/>
      <c r="J385" s="72"/>
      <c r="K385" s="36"/>
      <c r="L385" s="79"/>
      <c r="M385" s="79"/>
      <c r="N385" s="74"/>
      <c r="O385" s="81" t="s">
        <v>694</v>
      </c>
      <c r="P385" s="83">
        <v>44461.817442129628</v>
      </c>
      <c r="Q385" s="81" t="s">
        <v>5352</v>
      </c>
      <c r="R385" s="84" t="str">
        <f>HYPERLINK("https://www.gov.br/mj/pt-br/assuntos/noticias/cursos-de-pos-graduacao-oferecidos-pela-pf-estao-com-vagas-abertas")</f>
        <v>https://www.gov.br/mj/pt-br/assuntos/noticias/cursos-de-pos-graduacao-oferecidos-pela-pf-estao-com-vagas-abertas</v>
      </c>
      <c r="S385" s="81" t="s">
        <v>5686</v>
      </c>
      <c r="T385" s="86" t="s">
        <v>5769</v>
      </c>
      <c r="U385" s="84" t="str">
        <f>HYPERLINK("https://pbs.twimg.com/media/E_6WEtBVQAA9KIi.png")</f>
        <v>https://pbs.twimg.com/media/E_6WEtBVQAA9KIi.png</v>
      </c>
      <c r="V385" s="84" t="str">
        <f>HYPERLINK("https://pbs.twimg.com/media/E_6WEtBVQAA9KIi.png")</f>
        <v>https://pbs.twimg.com/media/E_6WEtBVQAA9KIi.png</v>
      </c>
      <c r="W385" s="83">
        <v>44461.817442129628</v>
      </c>
      <c r="X385" s="89">
        <v>44461</v>
      </c>
      <c r="Y385" s="86" t="s">
        <v>5949</v>
      </c>
      <c r="Z385" s="84" t="str">
        <f>HYPERLINK("https://twitter.com/grillnandus/status/1440762100465340418")</f>
        <v>https://twitter.com/grillnandus/status/1440762100465340418</v>
      </c>
      <c r="AA385" s="81"/>
      <c r="AB385" s="81"/>
      <c r="AC385" s="86" t="s">
        <v>6852</v>
      </c>
      <c r="AD385" s="81"/>
      <c r="AE385" s="81" t="b">
        <v>0</v>
      </c>
      <c r="AF385" s="81">
        <v>0</v>
      </c>
      <c r="AG385" s="86" t="s">
        <v>2084</v>
      </c>
      <c r="AH385" s="81" t="b">
        <v>0</v>
      </c>
      <c r="AI385" s="81" t="s">
        <v>2171</v>
      </c>
      <c r="AJ385" s="81"/>
      <c r="AK385" s="86" t="s">
        <v>2084</v>
      </c>
      <c r="AL385" s="81" t="b">
        <v>0</v>
      </c>
      <c r="AM385" s="81">
        <v>5</v>
      </c>
      <c r="AN385" s="86" t="s">
        <v>6851</v>
      </c>
      <c r="AO385" s="86" t="s">
        <v>2181</v>
      </c>
      <c r="AP385" s="81" t="b">
        <v>0</v>
      </c>
      <c r="AQ385" s="86" t="s">
        <v>6851</v>
      </c>
      <c r="AR385" s="81" t="s">
        <v>179</v>
      </c>
      <c r="AS385" s="81">
        <v>0</v>
      </c>
      <c r="AT385" s="81">
        <v>0</v>
      </c>
      <c r="AU385" s="81"/>
      <c r="AV385" s="81"/>
      <c r="AW385" s="81"/>
      <c r="AX385" s="81"/>
      <c r="AY385" s="81"/>
      <c r="AZ385" s="81"/>
      <c r="BA385" s="81"/>
      <c r="BB385" s="81"/>
    </row>
    <row r="386" spans="1:54" x14ac:dyDescent="0.35">
      <c r="A386" s="66" t="s">
        <v>4323</v>
      </c>
      <c r="B386" s="66" t="s">
        <v>4322</v>
      </c>
      <c r="C386" s="67"/>
      <c r="D386" s="68"/>
      <c r="E386" s="69"/>
      <c r="F386" s="70"/>
      <c r="G386" s="67"/>
      <c r="H386" s="71"/>
      <c r="I386" s="72"/>
      <c r="J386" s="72"/>
      <c r="K386" s="36"/>
      <c r="L386" s="79"/>
      <c r="M386" s="79"/>
      <c r="N386" s="74"/>
      <c r="O386" s="81" t="s">
        <v>693</v>
      </c>
      <c r="P386" s="83">
        <v>44461.817442129628</v>
      </c>
      <c r="Q386" s="81" t="s">
        <v>5352</v>
      </c>
      <c r="R386" s="84" t="str">
        <f>HYPERLINK("https://www.gov.br/mj/pt-br/assuntos/noticias/cursos-de-pos-graduacao-oferecidos-pela-pf-estao-com-vagas-abertas")</f>
        <v>https://www.gov.br/mj/pt-br/assuntos/noticias/cursos-de-pos-graduacao-oferecidos-pela-pf-estao-com-vagas-abertas</v>
      </c>
      <c r="S386" s="81" t="s">
        <v>5686</v>
      </c>
      <c r="T386" s="86" t="s">
        <v>5769</v>
      </c>
      <c r="U386" s="84" t="str">
        <f>HYPERLINK("https://pbs.twimg.com/media/E_6WEtBVQAA9KIi.png")</f>
        <v>https://pbs.twimg.com/media/E_6WEtBVQAA9KIi.png</v>
      </c>
      <c r="V386" s="84" t="str">
        <f>HYPERLINK("https://pbs.twimg.com/media/E_6WEtBVQAA9KIi.png")</f>
        <v>https://pbs.twimg.com/media/E_6WEtBVQAA9KIi.png</v>
      </c>
      <c r="W386" s="83">
        <v>44461.817442129628</v>
      </c>
      <c r="X386" s="89">
        <v>44461</v>
      </c>
      <c r="Y386" s="86" t="s">
        <v>5949</v>
      </c>
      <c r="Z386" s="84" t="str">
        <f>HYPERLINK("https://twitter.com/grillnandus/status/1440762100465340418")</f>
        <v>https://twitter.com/grillnandus/status/1440762100465340418</v>
      </c>
      <c r="AA386" s="81"/>
      <c r="AB386" s="81"/>
      <c r="AC386" s="86" t="s">
        <v>6852</v>
      </c>
      <c r="AD386" s="81"/>
      <c r="AE386" s="81" t="b">
        <v>0</v>
      </c>
      <c r="AF386" s="81">
        <v>0</v>
      </c>
      <c r="AG386" s="86" t="s">
        <v>2084</v>
      </c>
      <c r="AH386" s="81" t="b">
        <v>0</v>
      </c>
      <c r="AI386" s="81" t="s">
        <v>2171</v>
      </c>
      <c r="AJ386" s="81"/>
      <c r="AK386" s="86" t="s">
        <v>2084</v>
      </c>
      <c r="AL386" s="81" t="b">
        <v>0</v>
      </c>
      <c r="AM386" s="81">
        <v>5</v>
      </c>
      <c r="AN386" s="86" t="s">
        <v>6851</v>
      </c>
      <c r="AO386" s="86" t="s">
        <v>2181</v>
      </c>
      <c r="AP386" s="81" t="b">
        <v>0</v>
      </c>
      <c r="AQ386" s="86" t="s">
        <v>6851</v>
      </c>
      <c r="AR386" s="81" t="s">
        <v>179</v>
      </c>
      <c r="AS386" s="81">
        <v>0</v>
      </c>
      <c r="AT386" s="81">
        <v>0</v>
      </c>
      <c r="AU386" s="81"/>
      <c r="AV386" s="81"/>
      <c r="AW386" s="81"/>
      <c r="AX386" s="81"/>
      <c r="AY386" s="81"/>
      <c r="AZ386" s="81"/>
      <c r="BA386" s="81"/>
      <c r="BB386" s="81"/>
    </row>
    <row r="387" spans="1:54" x14ac:dyDescent="0.35">
      <c r="A387" s="66" t="s">
        <v>4324</v>
      </c>
      <c r="B387" s="66" t="s">
        <v>4327</v>
      </c>
      <c r="C387" s="67"/>
      <c r="D387" s="68"/>
      <c r="E387" s="69"/>
      <c r="F387" s="70"/>
      <c r="G387" s="67"/>
      <c r="H387" s="71"/>
      <c r="I387" s="72"/>
      <c r="J387" s="72"/>
      <c r="K387" s="36"/>
      <c r="L387" s="79"/>
      <c r="M387" s="79"/>
      <c r="N387" s="74"/>
      <c r="O387" s="81" t="s">
        <v>693</v>
      </c>
      <c r="P387" s="83">
        <v>44461.826064814813</v>
      </c>
      <c r="Q387" s="81" t="s">
        <v>5353</v>
      </c>
      <c r="R387" s="84" t="str">
        <f>HYPERLINK("https://edthink.pt/educacao-pos-pandemia-um-guia-para-desafiar-as-escolas")</f>
        <v>https://edthink.pt/educacao-pos-pandemia-um-guia-para-desafiar-as-escolas</v>
      </c>
      <c r="S387" s="81" t="s">
        <v>5697</v>
      </c>
      <c r="T387" s="81"/>
      <c r="U387" s="84" t="str">
        <f>HYPERLINK("https://pbs.twimg.com/media/E_6bwwNVEA0mIBZ.jpg")</f>
        <v>https://pbs.twimg.com/media/E_6bwwNVEA0mIBZ.jpg</v>
      </c>
      <c r="V387" s="84" t="str">
        <f>HYPERLINK("https://pbs.twimg.com/media/E_6bwwNVEA0mIBZ.jpg")</f>
        <v>https://pbs.twimg.com/media/E_6bwwNVEA0mIBZ.jpg</v>
      </c>
      <c r="W387" s="83">
        <v>44461.826064814813</v>
      </c>
      <c r="X387" s="89">
        <v>44461</v>
      </c>
      <c r="Y387" s="86" t="s">
        <v>5950</v>
      </c>
      <c r="Z387" s="84" t="str">
        <f>HYPERLINK("https://twitter.com/artesanatoedu/status/1440765224127111172")</f>
        <v>https://twitter.com/artesanatoedu/status/1440765224127111172</v>
      </c>
      <c r="AA387" s="81"/>
      <c r="AB387" s="81"/>
      <c r="AC387" s="86" t="s">
        <v>6853</v>
      </c>
      <c r="AD387" s="81"/>
      <c r="AE387" s="81" t="b">
        <v>0</v>
      </c>
      <c r="AF387" s="81">
        <v>0</v>
      </c>
      <c r="AG387" s="86" t="s">
        <v>2084</v>
      </c>
      <c r="AH387" s="81" t="b">
        <v>0</v>
      </c>
      <c r="AI387" s="81" t="s">
        <v>2171</v>
      </c>
      <c r="AJ387" s="81"/>
      <c r="AK387" s="86" t="s">
        <v>2084</v>
      </c>
      <c r="AL387" s="81" t="b">
        <v>0</v>
      </c>
      <c r="AM387" s="81">
        <v>2</v>
      </c>
      <c r="AN387" s="86" t="s">
        <v>6858</v>
      </c>
      <c r="AO387" s="86" t="s">
        <v>2191</v>
      </c>
      <c r="AP387" s="81" t="b">
        <v>0</v>
      </c>
      <c r="AQ387" s="86" t="s">
        <v>6858</v>
      </c>
      <c r="AR387" s="81" t="s">
        <v>179</v>
      </c>
      <c r="AS387" s="81">
        <v>0</v>
      </c>
      <c r="AT387" s="81">
        <v>0</v>
      </c>
      <c r="AU387" s="81"/>
      <c r="AV387" s="81"/>
      <c r="AW387" s="81"/>
      <c r="AX387" s="81"/>
      <c r="AY387" s="81"/>
      <c r="AZ387" s="81"/>
      <c r="BA387" s="81"/>
      <c r="BB387" s="81"/>
    </row>
    <row r="388" spans="1:54" x14ac:dyDescent="0.35">
      <c r="A388" s="66" t="s">
        <v>4325</v>
      </c>
      <c r="B388" s="66" t="s">
        <v>4325</v>
      </c>
      <c r="C388" s="67"/>
      <c r="D388" s="68"/>
      <c r="E388" s="69"/>
      <c r="F388" s="70"/>
      <c r="G388" s="67"/>
      <c r="H388" s="71"/>
      <c r="I388" s="72"/>
      <c r="J388" s="72"/>
      <c r="K388" s="36"/>
      <c r="L388" s="79"/>
      <c r="M388" s="79"/>
      <c r="N388" s="74"/>
      <c r="O388" s="81" t="s">
        <v>179</v>
      </c>
      <c r="P388" s="83">
        <v>44460.854548611111</v>
      </c>
      <c r="Q388" s="81" t="s">
        <v>5354</v>
      </c>
      <c r="R388" s="84" t="str">
        <f>HYPERLINK("https://www.ulusofona.pt/pos-graduacoes/contabilidade-e-fiscalidade")</f>
        <v>https://www.ulusofona.pt/pos-graduacoes/contabilidade-e-fiscalidade</v>
      </c>
      <c r="S388" s="81" t="s">
        <v>5710</v>
      </c>
      <c r="T388" s="81"/>
      <c r="U388" s="84" t="str">
        <f>HYPERLINK("https://pbs.twimg.com/media/E_1gIj4VQAQ7CIS.jpg")</f>
        <v>https://pbs.twimg.com/media/E_1gIj4VQAQ7CIS.jpg</v>
      </c>
      <c r="V388" s="84" t="str">
        <f>HYPERLINK("https://pbs.twimg.com/media/E_1gIj4VQAQ7CIS.jpg")</f>
        <v>https://pbs.twimg.com/media/E_1gIj4VQAQ7CIS.jpg</v>
      </c>
      <c r="W388" s="83">
        <v>44460.854548611111</v>
      </c>
      <c r="X388" s="89">
        <v>44460</v>
      </c>
      <c r="Y388" s="86" t="s">
        <v>5951</v>
      </c>
      <c r="Z388" s="84" t="str">
        <f>HYPERLINK("https://twitter.com/ulusofona/status/1440413159831916546")</f>
        <v>https://twitter.com/ulusofona/status/1440413159831916546</v>
      </c>
      <c r="AA388" s="81"/>
      <c r="AB388" s="81"/>
      <c r="AC388" s="86" t="s">
        <v>6854</v>
      </c>
      <c r="AD388" s="81"/>
      <c r="AE388" s="81" t="b">
        <v>0</v>
      </c>
      <c r="AF388" s="81">
        <v>0</v>
      </c>
      <c r="AG388" s="86" t="s">
        <v>2084</v>
      </c>
      <c r="AH388" s="81" t="b">
        <v>0</v>
      </c>
      <c r="AI388" s="81" t="s">
        <v>2171</v>
      </c>
      <c r="AJ388" s="81"/>
      <c r="AK388" s="86" t="s">
        <v>2084</v>
      </c>
      <c r="AL388" s="81" t="b">
        <v>0</v>
      </c>
      <c r="AM388" s="81">
        <v>0</v>
      </c>
      <c r="AN388" s="86" t="s">
        <v>2084</v>
      </c>
      <c r="AO388" s="86" t="s">
        <v>7980</v>
      </c>
      <c r="AP388" s="81" t="b">
        <v>0</v>
      </c>
      <c r="AQ388" s="86" t="s">
        <v>6854</v>
      </c>
      <c r="AR388" s="81" t="s">
        <v>179</v>
      </c>
      <c r="AS388" s="81">
        <v>0</v>
      </c>
      <c r="AT388" s="81">
        <v>0</v>
      </c>
      <c r="AU388" s="81"/>
      <c r="AV388" s="81"/>
      <c r="AW388" s="81"/>
      <c r="AX388" s="81"/>
      <c r="AY388" s="81"/>
      <c r="AZ388" s="81"/>
      <c r="BA388" s="81"/>
      <c r="BB388" s="81"/>
    </row>
    <row r="389" spans="1:54" x14ac:dyDescent="0.35">
      <c r="A389" s="66" t="s">
        <v>4325</v>
      </c>
      <c r="B389" s="66" t="s">
        <v>4325</v>
      </c>
      <c r="C389" s="67"/>
      <c r="D389" s="68"/>
      <c r="E389" s="69"/>
      <c r="F389" s="70"/>
      <c r="G389" s="67"/>
      <c r="H389" s="71"/>
      <c r="I389" s="72"/>
      <c r="J389" s="72"/>
      <c r="K389" s="36"/>
      <c r="L389" s="79"/>
      <c r="M389" s="79"/>
      <c r="N389" s="74"/>
      <c r="O389" s="81" t="s">
        <v>179</v>
      </c>
      <c r="P389" s="83">
        <v>44461.771249999998</v>
      </c>
      <c r="Q389" s="81" t="s">
        <v>5355</v>
      </c>
      <c r="R389" s="84" t="str">
        <f>HYPERLINK("https://www.ulusofona.pt/pos-graduacoes/intervencao-com-criancas-e-jovens-em-perigo-acolhimento-familiar-e-residencial")</f>
        <v>https://www.ulusofona.pt/pos-graduacoes/intervencao-com-criancas-e-jovens-em-perigo-acolhimento-familiar-e-residencial</v>
      </c>
      <c r="S389" s="81" t="s">
        <v>5710</v>
      </c>
      <c r="T389" s="81"/>
      <c r="U389" s="84" t="str">
        <f>HYPERLINK("https://pbs.twimg.com/media/E_6ORMkVcAMPCyd.jpg")</f>
        <v>https://pbs.twimg.com/media/E_6ORMkVcAMPCyd.jpg</v>
      </c>
      <c r="V389" s="84" t="str">
        <f>HYPERLINK("https://pbs.twimg.com/media/E_6ORMkVcAMPCyd.jpg")</f>
        <v>https://pbs.twimg.com/media/E_6ORMkVcAMPCyd.jpg</v>
      </c>
      <c r="W389" s="83">
        <v>44461.771249999998</v>
      </c>
      <c r="X389" s="89">
        <v>44461</v>
      </c>
      <c r="Y389" s="86" t="s">
        <v>5952</v>
      </c>
      <c r="Z389" s="84" t="str">
        <f>HYPERLINK("https://twitter.com/ulusofona/status/1440745360025014283")</f>
        <v>https://twitter.com/ulusofona/status/1440745360025014283</v>
      </c>
      <c r="AA389" s="81"/>
      <c r="AB389" s="81"/>
      <c r="AC389" s="86" t="s">
        <v>6855</v>
      </c>
      <c r="AD389" s="81"/>
      <c r="AE389" s="81" t="b">
        <v>0</v>
      </c>
      <c r="AF389" s="81">
        <v>1</v>
      </c>
      <c r="AG389" s="86" t="s">
        <v>2084</v>
      </c>
      <c r="AH389" s="81" t="b">
        <v>0</v>
      </c>
      <c r="AI389" s="81" t="s">
        <v>2171</v>
      </c>
      <c r="AJ389" s="81"/>
      <c r="AK389" s="86" t="s">
        <v>2084</v>
      </c>
      <c r="AL389" s="81" t="b">
        <v>0</v>
      </c>
      <c r="AM389" s="81">
        <v>0</v>
      </c>
      <c r="AN389" s="86" t="s">
        <v>2084</v>
      </c>
      <c r="AO389" s="86" t="s">
        <v>7980</v>
      </c>
      <c r="AP389" s="81" t="b">
        <v>0</v>
      </c>
      <c r="AQ389" s="86" t="s">
        <v>6855</v>
      </c>
      <c r="AR389" s="81" t="s">
        <v>179</v>
      </c>
      <c r="AS389" s="81">
        <v>0</v>
      </c>
      <c r="AT389" s="81">
        <v>0</v>
      </c>
      <c r="AU389" s="81"/>
      <c r="AV389" s="81"/>
      <c r="AW389" s="81"/>
      <c r="AX389" s="81"/>
      <c r="AY389" s="81"/>
      <c r="AZ389" s="81"/>
      <c r="BA389" s="81"/>
      <c r="BB389" s="81"/>
    </row>
    <row r="390" spans="1:54" x14ac:dyDescent="0.35">
      <c r="A390" s="66" t="s">
        <v>4325</v>
      </c>
      <c r="B390" s="66" t="s">
        <v>4325</v>
      </c>
      <c r="C390" s="67"/>
      <c r="D390" s="68"/>
      <c r="E390" s="69"/>
      <c r="F390" s="70"/>
      <c r="G390" s="67"/>
      <c r="H390" s="71"/>
      <c r="I390" s="72"/>
      <c r="J390" s="72"/>
      <c r="K390" s="36"/>
      <c r="L390" s="79"/>
      <c r="M390" s="79"/>
      <c r="N390" s="74"/>
      <c r="O390" s="81" t="s">
        <v>179</v>
      </c>
      <c r="P390" s="83">
        <v>44461.855046296296</v>
      </c>
      <c r="Q390" s="81" t="s">
        <v>5356</v>
      </c>
      <c r="R390" s="84" t="str">
        <f>HYPERLINK("https://www.ulusofona.pt/pos-graduacoes/direito-do-desporto")</f>
        <v>https://www.ulusofona.pt/pos-graduacoes/direito-do-desporto</v>
      </c>
      <c r="S390" s="81" t="s">
        <v>5710</v>
      </c>
      <c r="T390" s="81"/>
      <c r="U390" s="84" t="str">
        <f>HYPERLINK("https://pbs.twimg.com/media/E_6p4ynVgAARuXi.jpg")</f>
        <v>https://pbs.twimg.com/media/E_6p4ynVgAARuXi.jpg</v>
      </c>
      <c r="V390" s="84" t="str">
        <f>HYPERLINK("https://pbs.twimg.com/media/E_6p4ynVgAARuXi.jpg")</f>
        <v>https://pbs.twimg.com/media/E_6p4ynVgAARuXi.jpg</v>
      </c>
      <c r="W390" s="83">
        <v>44461.855046296296</v>
      </c>
      <c r="X390" s="89">
        <v>44461</v>
      </c>
      <c r="Y390" s="86" t="s">
        <v>5953</v>
      </c>
      <c r="Z390" s="84" t="str">
        <f>HYPERLINK("https://twitter.com/ulusofona/status/1440775726047772675")</f>
        <v>https://twitter.com/ulusofona/status/1440775726047772675</v>
      </c>
      <c r="AA390" s="81"/>
      <c r="AB390" s="81"/>
      <c r="AC390" s="86" t="s">
        <v>6856</v>
      </c>
      <c r="AD390" s="81"/>
      <c r="AE390" s="81" t="b">
        <v>0</v>
      </c>
      <c r="AF390" s="81">
        <v>0</v>
      </c>
      <c r="AG390" s="86" t="s">
        <v>2084</v>
      </c>
      <c r="AH390" s="81" t="b">
        <v>0</v>
      </c>
      <c r="AI390" s="81" t="s">
        <v>2171</v>
      </c>
      <c r="AJ390" s="81"/>
      <c r="AK390" s="86" t="s">
        <v>2084</v>
      </c>
      <c r="AL390" s="81" t="b">
        <v>0</v>
      </c>
      <c r="AM390" s="81">
        <v>0</v>
      </c>
      <c r="AN390" s="86" t="s">
        <v>2084</v>
      </c>
      <c r="AO390" s="86" t="s">
        <v>7980</v>
      </c>
      <c r="AP390" s="81" t="b">
        <v>0</v>
      </c>
      <c r="AQ390" s="86" t="s">
        <v>6856</v>
      </c>
      <c r="AR390" s="81" t="s">
        <v>179</v>
      </c>
      <c r="AS390" s="81">
        <v>0</v>
      </c>
      <c r="AT390" s="81">
        <v>0</v>
      </c>
      <c r="AU390" s="81"/>
      <c r="AV390" s="81"/>
      <c r="AW390" s="81"/>
      <c r="AX390" s="81"/>
      <c r="AY390" s="81"/>
      <c r="AZ390" s="81"/>
      <c r="BA390" s="81"/>
      <c r="BB390" s="81"/>
    </row>
    <row r="391" spans="1:54" x14ac:dyDescent="0.35">
      <c r="A391" s="66" t="s">
        <v>4326</v>
      </c>
      <c r="B391" s="66" t="s">
        <v>5030</v>
      </c>
      <c r="C391" s="67"/>
      <c r="D391" s="68"/>
      <c r="E391" s="69"/>
      <c r="F391" s="70"/>
      <c r="G391" s="67"/>
      <c r="H391" s="71"/>
      <c r="I391" s="72"/>
      <c r="J391" s="72"/>
      <c r="K391" s="36"/>
      <c r="L391" s="79"/>
      <c r="M391" s="79"/>
      <c r="N391" s="74"/>
      <c r="O391" s="81" t="s">
        <v>696</v>
      </c>
      <c r="P391" s="83">
        <v>44461.862604166665</v>
      </c>
      <c r="Q391" s="81" t="s">
        <v>5357</v>
      </c>
      <c r="R391" s="81"/>
      <c r="S391" s="81"/>
      <c r="T391" s="81"/>
      <c r="U391" s="81"/>
      <c r="V391" s="84" t="str">
        <f>HYPERLINK("https://pbs.twimg.com/profile_images/1360319879673503757/xk2Jj6gw_normal.jpg")</f>
        <v>https://pbs.twimg.com/profile_images/1360319879673503757/xk2Jj6gw_normal.jpg</v>
      </c>
      <c r="W391" s="83">
        <v>44461.862604166665</v>
      </c>
      <c r="X391" s="89">
        <v>44461</v>
      </c>
      <c r="Y391" s="86" t="s">
        <v>5954</v>
      </c>
      <c r="Z391" s="84" t="str">
        <f>HYPERLINK("https://twitter.com/brunolo15379312/status/1440778467868479490")</f>
        <v>https://twitter.com/brunolo15379312/status/1440778467868479490</v>
      </c>
      <c r="AA391" s="81"/>
      <c r="AB391" s="81"/>
      <c r="AC391" s="86" t="s">
        <v>6857</v>
      </c>
      <c r="AD391" s="86" t="s">
        <v>7646</v>
      </c>
      <c r="AE391" s="81" t="b">
        <v>0</v>
      </c>
      <c r="AF391" s="81">
        <v>2</v>
      </c>
      <c r="AG391" s="86" t="s">
        <v>7825</v>
      </c>
      <c r="AH391" s="81" t="b">
        <v>0</v>
      </c>
      <c r="AI391" s="81" t="s">
        <v>2171</v>
      </c>
      <c r="AJ391" s="81"/>
      <c r="AK391" s="86" t="s">
        <v>2084</v>
      </c>
      <c r="AL391" s="81" t="b">
        <v>0</v>
      </c>
      <c r="AM391" s="81">
        <v>0</v>
      </c>
      <c r="AN391" s="86" t="s">
        <v>2084</v>
      </c>
      <c r="AO391" s="86" t="s">
        <v>2178</v>
      </c>
      <c r="AP391" s="81" t="b">
        <v>0</v>
      </c>
      <c r="AQ391" s="86" t="s">
        <v>7646</v>
      </c>
      <c r="AR391" s="81" t="s">
        <v>179</v>
      </c>
      <c r="AS391" s="81">
        <v>0</v>
      </c>
      <c r="AT391" s="81">
        <v>0</v>
      </c>
      <c r="AU391" s="81"/>
      <c r="AV391" s="81"/>
      <c r="AW391" s="81"/>
      <c r="AX391" s="81"/>
      <c r="AY391" s="81"/>
      <c r="AZ391" s="81"/>
      <c r="BA391" s="81"/>
      <c r="BB391" s="81"/>
    </row>
    <row r="392" spans="1:54" x14ac:dyDescent="0.35">
      <c r="A392" s="66" t="s">
        <v>4326</v>
      </c>
      <c r="B392" s="66" t="s">
        <v>5031</v>
      </c>
      <c r="C392" s="67"/>
      <c r="D392" s="68"/>
      <c r="E392" s="69"/>
      <c r="F392" s="70"/>
      <c r="G392" s="67"/>
      <c r="H392" s="71"/>
      <c r="I392" s="72"/>
      <c r="J392" s="72"/>
      <c r="K392" s="36"/>
      <c r="L392" s="79"/>
      <c r="M392" s="79"/>
      <c r="N392" s="74"/>
      <c r="O392" s="81" t="s">
        <v>695</v>
      </c>
      <c r="P392" s="83">
        <v>44461.862604166665</v>
      </c>
      <c r="Q392" s="81" t="s">
        <v>5357</v>
      </c>
      <c r="R392" s="81"/>
      <c r="S392" s="81"/>
      <c r="T392" s="81"/>
      <c r="U392" s="81"/>
      <c r="V392" s="84" t="str">
        <f>HYPERLINK("https://pbs.twimg.com/profile_images/1360319879673503757/xk2Jj6gw_normal.jpg")</f>
        <v>https://pbs.twimg.com/profile_images/1360319879673503757/xk2Jj6gw_normal.jpg</v>
      </c>
      <c r="W392" s="83">
        <v>44461.862604166665</v>
      </c>
      <c r="X392" s="89">
        <v>44461</v>
      </c>
      <c r="Y392" s="86" t="s">
        <v>5954</v>
      </c>
      <c r="Z392" s="84" t="str">
        <f>HYPERLINK("https://twitter.com/brunolo15379312/status/1440778467868479490")</f>
        <v>https://twitter.com/brunolo15379312/status/1440778467868479490</v>
      </c>
      <c r="AA392" s="81"/>
      <c r="AB392" s="81"/>
      <c r="AC392" s="86" t="s">
        <v>6857</v>
      </c>
      <c r="AD392" s="86" t="s">
        <v>7646</v>
      </c>
      <c r="AE392" s="81" t="b">
        <v>0</v>
      </c>
      <c r="AF392" s="81">
        <v>2</v>
      </c>
      <c r="AG392" s="86" t="s">
        <v>7825</v>
      </c>
      <c r="AH392" s="81" t="b">
        <v>0</v>
      </c>
      <c r="AI392" s="81" t="s">
        <v>2171</v>
      </c>
      <c r="AJ392" s="81"/>
      <c r="AK392" s="86" t="s">
        <v>2084</v>
      </c>
      <c r="AL392" s="81" t="b">
        <v>0</v>
      </c>
      <c r="AM392" s="81">
        <v>0</v>
      </c>
      <c r="AN392" s="86" t="s">
        <v>2084</v>
      </c>
      <c r="AO392" s="86" t="s">
        <v>2178</v>
      </c>
      <c r="AP392" s="81" t="b">
        <v>0</v>
      </c>
      <c r="AQ392" s="86" t="s">
        <v>7646</v>
      </c>
      <c r="AR392" s="81" t="s">
        <v>179</v>
      </c>
      <c r="AS392" s="81">
        <v>0</v>
      </c>
      <c r="AT392" s="81">
        <v>0</v>
      </c>
      <c r="AU392" s="81"/>
      <c r="AV392" s="81"/>
      <c r="AW392" s="81"/>
      <c r="AX392" s="81"/>
      <c r="AY392" s="81"/>
      <c r="AZ392" s="81"/>
      <c r="BA392" s="81"/>
      <c r="BB392" s="81"/>
    </row>
    <row r="393" spans="1:54" x14ac:dyDescent="0.35">
      <c r="A393" s="66" t="s">
        <v>4326</v>
      </c>
      <c r="B393" s="66" t="s">
        <v>4982</v>
      </c>
      <c r="C393" s="67"/>
      <c r="D393" s="68"/>
      <c r="E393" s="69"/>
      <c r="F393" s="70"/>
      <c r="G393" s="67"/>
      <c r="H393" s="71"/>
      <c r="I393" s="72"/>
      <c r="J393" s="72"/>
      <c r="K393" s="36"/>
      <c r="L393" s="79"/>
      <c r="M393" s="79"/>
      <c r="N393" s="74"/>
      <c r="O393" s="81" t="s">
        <v>696</v>
      </c>
      <c r="P393" s="83">
        <v>44461.862604166665</v>
      </c>
      <c r="Q393" s="81" t="s">
        <v>5357</v>
      </c>
      <c r="R393" s="81"/>
      <c r="S393" s="81"/>
      <c r="T393" s="81"/>
      <c r="U393" s="81"/>
      <c r="V393" s="84" t="str">
        <f>HYPERLINK("https://pbs.twimg.com/profile_images/1360319879673503757/xk2Jj6gw_normal.jpg")</f>
        <v>https://pbs.twimg.com/profile_images/1360319879673503757/xk2Jj6gw_normal.jpg</v>
      </c>
      <c r="W393" s="83">
        <v>44461.862604166665</v>
      </c>
      <c r="X393" s="89">
        <v>44461</v>
      </c>
      <c r="Y393" s="86" t="s">
        <v>5954</v>
      </c>
      <c r="Z393" s="84" t="str">
        <f>HYPERLINK("https://twitter.com/brunolo15379312/status/1440778467868479490")</f>
        <v>https://twitter.com/brunolo15379312/status/1440778467868479490</v>
      </c>
      <c r="AA393" s="81"/>
      <c r="AB393" s="81"/>
      <c r="AC393" s="86" t="s">
        <v>6857</v>
      </c>
      <c r="AD393" s="86" t="s">
        <v>7646</v>
      </c>
      <c r="AE393" s="81" t="b">
        <v>0</v>
      </c>
      <c r="AF393" s="81">
        <v>2</v>
      </c>
      <c r="AG393" s="86" t="s">
        <v>7825</v>
      </c>
      <c r="AH393" s="81" t="b">
        <v>0</v>
      </c>
      <c r="AI393" s="81" t="s">
        <v>2171</v>
      </c>
      <c r="AJ393" s="81"/>
      <c r="AK393" s="86" t="s">
        <v>2084</v>
      </c>
      <c r="AL393" s="81" t="b">
        <v>0</v>
      </c>
      <c r="AM393" s="81">
        <v>0</v>
      </c>
      <c r="AN393" s="86" t="s">
        <v>2084</v>
      </c>
      <c r="AO393" s="86" t="s">
        <v>2178</v>
      </c>
      <c r="AP393" s="81" t="b">
        <v>0</v>
      </c>
      <c r="AQ393" s="86" t="s">
        <v>7646</v>
      </c>
      <c r="AR393" s="81" t="s">
        <v>179</v>
      </c>
      <c r="AS393" s="81">
        <v>0</v>
      </c>
      <c r="AT393" s="81">
        <v>0</v>
      </c>
      <c r="AU393" s="81"/>
      <c r="AV393" s="81"/>
      <c r="AW393" s="81"/>
      <c r="AX393" s="81"/>
      <c r="AY393" s="81"/>
      <c r="AZ393" s="81"/>
      <c r="BA393" s="81"/>
      <c r="BB393" s="81"/>
    </row>
    <row r="394" spans="1:54" x14ac:dyDescent="0.35">
      <c r="A394" s="66" t="s">
        <v>4326</v>
      </c>
      <c r="B394" s="66" t="s">
        <v>5032</v>
      </c>
      <c r="C394" s="67"/>
      <c r="D394" s="68"/>
      <c r="E394" s="69"/>
      <c r="F394" s="70"/>
      <c r="G394" s="67"/>
      <c r="H394" s="71"/>
      <c r="I394" s="72"/>
      <c r="J394" s="72"/>
      <c r="K394" s="36"/>
      <c r="L394" s="79"/>
      <c r="M394" s="79"/>
      <c r="N394" s="74"/>
      <c r="O394" s="81" t="s">
        <v>696</v>
      </c>
      <c r="P394" s="83">
        <v>44461.862604166665</v>
      </c>
      <c r="Q394" s="81" t="s">
        <v>5357</v>
      </c>
      <c r="R394" s="81"/>
      <c r="S394" s="81"/>
      <c r="T394" s="81"/>
      <c r="U394" s="81"/>
      <c r="V394" s="84" t="str">
        <f>HYPERLINK("https://pbs.twimg.com/profile_images/1360319879673503757/xk2Jj6gw_normal.jpg")</f>
        <v>https://pbs.twimg.com/profile_images/1360319879673503757/xk2Jj6gw_normal.jpg</v>
      </c>
      <c r="W394" s="83">
        <v>44461.862604166665</v>
      </c>
      <c r="X394" s="89">
        <v>44461</v>
      </c>
      <c r="Y394" s="86" t="s">
        <v>5954</v>
      </c>
      <c r="Z394" s="84" t="str">
        <f>HYPERLINK("https://twitter.com/brunolo15379312/status/1440778467868479490")</f>
        <v>https://twitter.com/brunolo15379312/status/1440778467868479490</v>
      </c>
      <c r="AA394" s="81"/>
      <c r="AB394" s="81"/>
      <c r="AC394" s="86" t="s">
        <v>6857</v>
      </c>
      <c r="AD394" s="86" t="s">
        <v>7646</v>
      </c>
      <c r="AE394" s="81" t="b">
        <v>0</v>
      </c>
      <c r="AF394" s="81">
        <v>2</v>
      </c>
      <c r="AG394" s="86" t="s">
        <v>7825</v>
      </c>
      <c r="AH394" s="81" t="b">
        <v>0</v>
      </c>
      <c r="AI394" s="81" t="s">
        <v>2171</v>
      </c>
      <c r="AJ394" s="81"/>
      <c r="AK394" s="86" t="s">
        <v>2084</v>
      </c>
      <c r="AL394" s="81" t="b">
        <v>0</v>
      </c>
      <c r="AM394" s="81">
        <v>0</v>
      </c>
      <c r="AN394" s="86" t="s">
        <v>2084</v>
      </c>
      <c r="AO394" s="86" t="s">
        <v>2178</v>
      </c>
      <c r="AP394" s="81" t="b">
        <v>0</v>
      </c>
      <c r="AQ394" s="86" t="s">
        <v>7646</v>
      </c>
      <c r="AR394" s="81" t="s">
        <v>179</v>
      </c>
      <c r="AS394" s="81">
        <v>0</v>
      </c>
      <c r="AT394" s="81">
        <v>0</v>
      </c>
      <c r="AU394" s="81"/>
      <c r="AV394" s="81"/>
      <c r="AW394" s="81"/>
      <c r="AX394" s="81"/>
      <c r="AY394" s="81"/>
      <c r="AZ394" s="81"/>
      <c r="BA394" s="81"/>
      <c r="BB394" s="81"/>
    </row>
    <row r="395" spans="1:54" x14ac:dyDescent="0.35">
      <c r="A395" s="66" t="s">
        <v>4327</v>
      </c>
      <c r="B395" s="66" t="s">
        <v>4327</v>
      </c>
      <c r="C395" s="67"/>
      <c r="D395" s="68"/>
      <c r="E395" s="69"/>
      <c r="F395" s="70"/>
      <c r="G395" s="67"/>
      <c r="H395" s="71"/>
      <c r="I395" s="72"/>
      <c r="J395" s="72"/>
      <c r="K395" s="36"/>
      <c r="L395" s="79"/>
      <c r="M395" s="79"/>
      <c r="N395" s="74"/>
      <c r="O395" s="81" t="s">
        <v>179</v>
      </c>
      <c r="P395" s="83">
        <v>44461.812175925923</v>
      </c>
      <c r="Q395" s="81" t="s">
        <v>5353</v>
      </c>
      <c r="R395" s="84" t="str">
        <f>HYPERLINK("https://edthink.pt/educacao-pos-pandemia-um-guia-para-desafiar-as-escolas")</f>
        <v>https://edthink.pt/educacao-pos-pandemia-um-guia-para-desafiar-as-escolas</v>
      </c>
      <c r="S395" s="81" t="s">
        <v>5697</v>
      </c>
      <c r="T395" s="81"/>
      <c r="U395" s="84" t="str">
        <f>HYPERLINK("https://pbs.twimg.com/media/E_6bwwNVEA0mIBZ.jpg")</f>
        <v>https://pbs.twimg.com/media/E_6bwwNVEA0mIBZ.jpg</v>
      </c>
      <c r="V395" s="84" t="str">
        <f>HYPERLINK("https://pbs.twimg.com/media/E_6bwwNVEA0mIBZ.jpg")</f>
        <v>https://pbs.twimg.com/media/E_6bwwNVEA0mIBZ.jpg</v>
      </c>
      <c r="W395" s="83">
        <v>44461.812175925923</v>
      </c>
      <c r="X395" s="89">
        <v>44461</v>
      </c>
      <c r="Y395" s="86" t="s">
        <v>5955</v>
      </c>
      <c r="Z395" s="84" t="str">
        <f>HYPERLINK("https://twitter.com/joaomattar/status/1440760194166759424")</f>
        <v>https://twitter.com/joaomattar/status/1440760194166759424</v>
      </c>
      <c r="AA395" s="81"/>
      <c r="AB395" s="81"/>
      <c r="AC395" s="86" t="s">
        <v>6858</v>
      </c>
      <c r="AD395" s="81"/>
      <c r="AE395" s="81" t="b">
        <v>0</v>
      </c>
      <c r="AF395" s="81">
        <v>1</v>
      </c>
      <c r="AG395" s="86" t="s">
        <v>2084</v>
      </c>
      <c r="AH395" s="81" t="b">
        <v>0</v>
      </c>
      <c r="AI395" s="81" t="s">
        <v>2171</v>
      </c>
      <c r="AJ395" s="81"/>
      <c r="AK395" s="86" t="s">
        <v>2084</v>
      </c>
      <c r="AL395" s="81" t="b">
        <v>0</v>
      </c>
      <c r="AM395" s="81">
        <v>2</v>
      </c>
      <c r="AN395" s="86" t="s">
        <v>2084</v>
      </c>
      <c r="AO395" s="86" t="s">
        <v>2191</v>
      </c>
      <c r="AP395" s="81" t="b">
        <v>0</v>
      </c>
      <c r="AQ395" s="86" t="s">
        <v>6858</v>
      </c>
      <c r="AR395" s="81" t="s">
        <v>179</v>
      </c>
      <c r="AS395" s="81">
        <v>0</v>
      </c>
      <c r="AT395" s="81">
        <v>0</v>
      </c>
      <c r="AU395" s="81"/>
      <c r="AV395" s="81"/>
      <c r="AW395" s="81"/>
      <c r="AX395" s="81"/>
      <c r="AY395" s="81"/>
      <c r="AZ395" s="81"/>
      <c r="BA395" s="81"/>
      <c r="BB395" s="81"/>
    </row>
    <row r="396" spans="1:54" x14ac:dyDescent="0.35">
      <c r="A396" s="66" t="s">
        <v>4328</v>
      </c>
      <c r="B396" s="66" t="s">
        <v>4327</v>
      </c>
      <c r="C396" s="67"/>
      <c r="D396" s="68"/>
      <c r="E396" s="69"/>
      <c r="F396" s="70"/>
      <c r="G396" s="67"/>
      <c r="H396" s="71"/>
      <c r="I396" s="72"/>
      <c r="J396" s="72"/>
      <c r="K396" s="36"/>
      <c r="L396" s="79"/>
      <c r="M396" s="79"/>
      <c r="N396" s="74"/>
      <c r="O396" s="81" t="s">
        <v>693</v>
      </c>
      <c r="P396" s="83">
        <v>44461.867442129631</v>
      </c>
      <c r="Q396" s="81" t="s">
        <v>5353</v>
      </c>
      <c r="R396" s="84" t="str">
        <f>HYPERLINK("https://edthink.pt/educacao-pos-pandemia-um-guia-para-desafiar-as-escolas")</f>
        <v>https://edthink.pt/educacao-pos-pandemia-um-guia-para-desafiar-as-escolas</v>
      </c>
      <c r="S396" s="81" t="s">
        <v>5697</v>
      </c>
      <c r="T396" s="81"/>
      <c r="U396" s="84" t="str">
        <f>HYPERLINK("https://pbs.twimg.com/media/E_6bwwNVEA0mIBZ.jpg")</f>
        <v>https://pbs.twimg.com/media/E_6bwwNVEA0mIBZ.jpg</v>
      </c>
      <c r="V396" s="84" t="str">
        <f>HYPERLINK("https://pbs.twimg.com/media/E_6bwwNVEA0mIBZ.jpg")</f>
        <v>https://pbs.twimg.com/media/E_6bwwNVEA0mIBZ.jpg</v>
      </c>
      <c r="W396" s="83">
        <v>44461.867442129631</v>
      </c>
      <c r="X396" s="89">
        <v>44461</v>
      </c>
      <c r="Y396" s="86" t="s">
        <v>5956</v>
      </c>
      <c r="Z396" s="84" t="str">
        <f>HYPERLINK("https://twitter.com/jornadaead/status/1440780218847793154")</f>
        <v>https://twitter.com/jornadaead/status/1440780218847793154</v>
      </c>
      <c r="AA396" s="81"/>
      <c r="AB396" s="81"/>
      <c r="AC396" s="86" t="s">
        <v>6859</v>
      </c>
      <c r="AD396" s="81"/>
      <c r="AE396" s="81" t="b">
        <v>0</v>
      </c>
      <c r="AF396" s="81">
        <v>0</v>
      </c>
      <c r="AG396" s="86" t="s">
        <v>2084</v>
      </c>
      <c r="AH396" s="81" t="b">
        <v>0</v>
      </c>
      <c r="AI396" s="81" t="s">
        <v>2171</v>
      </c>
      <c r="AJ396" s="81"/>
      <c r="AK396" s="86" t="s">
        <v>2084</v>
      </c>
      <c r="AL396" s="81" t="b">
        <v>0</v>
      </c>
      <c r="AM396" s="81">
        <v>2</v>
      </c>
      <c r="AN396" s="86" t="s">
        <v>6858</v>
      </c>
      <c r="AO396" s="86" t="s">
        <v>2191</v>
      </c>
      <c r="AP396" s="81" t="b">
        <v>0</v>
      </c>
      <c r="AQ396" s="86" t="s">
        <v>6858</v>
      </c>
      <c r="AR396" s="81" t="s">
        <v>179</v>
      </c>
      <c r="AS396" s="81">
        <v>0</v>
      </c>
      <c r="AT396" s="81">
        <v>0</v>
      </c>
      <c r="AU396" s="81"/>
      <c r="AV396" s="81"/>
      <c r="AW396" s="81"/>
      <c r="AX396" s="81"/>
      <c r="AY396" s="81"/>
      <c r="AZ396" s="81"/>
      <c r="BA396" s="81"/>
      <c r="BB396" s="81"/>
    </row>
    <row r="397" spans="1:54" x14ac:dyDescent="0.35">
      <c r="A397" s="66" t="s">
        <v>4329</v>
      </c>
      <c r="B397" s="66" t="s">
        <v>4329</v>
      </c>
      <c r="C397" s="67"/>
      <c r="D397" s="68"/>
      <c r="E397" s="69"/>
      <c r="F397" s="70"/>
      <c r="G397" s="67"/>
      <c r="H397" s="71"/>
      <c r="I397" s="72"/>
      <c r="J397" s="72"/>
      <c r="K397" s="36"/>
      <c r="L397" s="79"/>
      <c r="M397" s="79"/>
      <c r="N397" s="74"/>
      <c r="O397" s="81" t="s">
        <v>179</v>
      </c>
      <c r="P397" s="83">
        <v>44459.945497685185</v>
      </c>
      <c r="Q397" s="81" t="s">
        <v>5358</v>
      </c>
      <c r="R397" s="84" t="str">
        <f>HYPERLINK("https://www.gov.br/cnen/pt-br/assunto/ultimas-noticias/edital-cnen-05-2021-concessao-de-bolsas-de-pos-doutorado")</f>
        <v>https://www.gov.br/cnen/pt-br/assunto/ultimas-noticias/edital-cnen-05-2021-concessao-de-bolsas-de-pos-doutorado</v>
      </c>
      <c r="S397" s="81" t="s">
        <v>5686</v>
      </c>
      <c r="T397" s="81"/>
      <c r="U397" s="81"/>
      <c r="V397" s="84" t="str">
        <f>HYPERLINK("https://pbs.twimg.com/profile_images/1042099600298074114/YG0sy9iy_normal.jpg")</f>
        <v>https://pbs.twimg.com/profile_images/1042099600298074114/YG0sy9iy_normal.jpg</v>
      </c>
      <c r="W397" s="83">
        <v>44459.945497685185</v>
      </c>
      <c r="X397" s="89">
        <v>44459</v>
      </c>
      <c r="Y397" s="86" t="s">
        <v>5957</v>
      </c>
      <c r="Z397" s="84" t="str">
        <f>HYPERLINK("https://twitter.com/nuclearsocial/status/1440083729959903238")</f>
        <v>https://twitter.com/nuclearsocial/status/1440083729959903238</v>
      </c>
      <c r="AA397" s="81"/>
      <c r="AB397" s="81"/>
      <c r="AC397" s="86" t="s">
        <v>6860</v>
      </c>
      <c r="AD397" s="81"/>
      <c r="AE397" s="81" t="b">
        <v>0</v>
      </c>
      <c r="AF397" s="81">
        <v>0</v>
      </c>
      <c r="AG397" s="86" t="s">
        <v>2084</v>
      </c>
      <c r="AH397" s="81" t="b">
        <v>0</v>
      </c>
      <c r="AI397" s="81" t="s">
        <v>2171</v>
      </c>
      <c r="AJ397" s="81"/>
      <c r="AK397" s="86" t="s">
        <v>2084</v>
      </c>
      <c r="AL397" s="81" t="b">
        <v>0</v>
      </c>
      <c r="AM397" s="81">
        <v>0</v>
      </c>
      <c r="AN397" s="86" t="s">
        <v>2084</v>
      </c>
      <c r="AO397" s="86" t="s">
        <v>2181</v>
      </c>
      <c r="AP397" s="81" t="b">
        <v>0</v>
      </c>
      <c r="AQ397" s="86" t="s">
        <v>6860</v>
      </c>
      <c r="AR397" s="81" t="s">
        <v>179</v>
      </c>
      <c r="AS397" s="81">
        <v>0</v>
      </c>
      <c r="AT397" s="81">
        <v>0</v>
      </c>
      <c r="AU397" s="81"/>
      <c r="AV397" s="81"/>
      <c r="AW397" s="81"/>
      <c r="AX397" s="81"/>
      <c r="AY397" s="81"/>
      <c r="AZ397" s="81"/>
      <c r="BA397" s="81"/>
      <c r="BB397" s="81"/>
    </row>
    <row r="398" spans="1:54" x14ac:dyDescent="0.35">
      <c r="A398" s="66" t="s">
        <v>4329</v>
      </c>
      <c r="B398" s="66" t="s">
        <v>4329</v>
      </c>
      <c r="C398" s="67"/>
      <c r="D398" s="68"/>
      <c r="E398" s="69"/>
      <c r="F398" s="70"/>
      <c r="G398" s="67"/>
      <c r="H398" s="71"/>
      <c r="I398" s="72"/>
      <c r="J398" s="72"/>
      <c r="K398" s="36"/>
      <c r="L398" s="79"/>
      <c r="M398" s="79"/>
      <c r="N398" s="74"/>
      <c r="O398" s="81" t="s">
        <v>179</v>
      </c>
      <c r="P398" s="83">
        <v>44461.87604166667</v>
      </c>
      <c r="Q398" s="81" t="s">
        <v>5359</v>
      </c>
      <c r="R398" s="84" t="str">
        <f>HYPERLINK("https://www.gov.br/cnen/pt-br/assunto/ultimas-noticias/edital-cnen-05-2021-concessao-de-bolsas-de-pos-doutorado-1")</f>
        <v>https://www.gov.br/cnen/pt-br/assunto/ultimas-noticias/edital-cnen-05-2021-concessao-de-bolsas-de-pos-doutorado-1</v>
      </c>
      <c r="S398" s="81" t="s">
        <v>5686</v>
      </c>
      <c r="T398" s="81"/>
      <c r="U398" s="81"/>
      <c r="V398" s="84" t="str">
        <f>HYPERLINK("https://pbs.twimg.com/profile_images/1042099600298074114/YG0sy9iy_normal.jpg")</f>
        <v>https://pbs.twimg.com/profile_images/1042099600298074114/YG0sy9iy_normal.jpg</v>
      </c>
      <c r="W398" s="83">
        <v>44461.87604166667</v>
      </c>
      <c r="X398" s="89">
        <v>44461</v>
      </c>
      <c r="Y398" s="86" t="s">
        <v>5958</v>
      </c>
      <c r="Z398" s="84" t="str">
        <f>HYPERLINK("https://twitter.com/nuclearsocial/status/1440783334536200195")</f>
        <v>https://twitter.com/nuclearsocial/status/1440783334536200195</v>
      </c>
      <c r="AA398" s="81"/>
      <c r="AB398" s="81"/>
      <c r="AC398" s="86" t="s">
        <v>6861</v>
      </c>
      <c r="AD398" s="81"/>
      <c r="AE398" s="81" t="b">
        <v>0</v>
      </c>
      <c r="AF398" s="81">
        <v>2</v>
      </c>
      <c r="AG398" s="86" t="s">
        <v>2084</v>
      </c>
      <c r="AH398" s="81" t="b">
        <v>0</v>
      </c>
      <c r="AI398" s="81" t="s">
        <v>2171</v>
      </c>
      <c r="AJ398" s="81"/>
      <c r="AK398" s="86" t="s">
        <v>2084</v>
      </c>
      <c r="AL398" s="81" t="b">
        <v>0</v>
      </c>
      <c r="AM398" s="81">
        <v>1</v>
      </c>
      <c r="AN398" s="86" t="s">
        <v>2084</v>
      </c>
      <c r="AO398" s="86" t="s">
        <v>2181</v>
      </c>
      <c r="AP398" s="81" t="b">
        <v>0</v>
      </c>
      <c r="AQ398" s="86" t="s">
        <v>6861</v>
      </c>
      <c r="AR398" s="81" t="s">
        <v>179</v>
      </c>
      <c r="AS398" s="81">
        <v>0</v>
      </c>
      <c r="AT398" s="81">
        <v>0</v>
      </c>
      <c r="AU398" s="81"/>
      <c r="AV398" s="81"/>
      <c r="AW398" s="81"/>
      <c r="AX398" s="81"/>
      <c r="AY398" s="81"/>
      <c r="AZ398" s="81"/>
      <c r="BA398" s="81"/>
      <c r="BB398" s="81"/>
    </row>
    <row r="399" spans="1:54" x14ac:dyDescent="0.35">
      <c r="A399" s="66" t="s">
        <v>4330</v>
      </c>
      <c r="B399" s="66" t="s">
        <v>4330</v>
      </c>
      <c r="C399" s="67"/>
      <c r="D399" s="68"/>
      <c r="E399" s="69"/>
      <c r="F399" s="70"/>
      <c r="G399" s="67"/>
      <c r="H399" s="71"/>
      <c r="I399" s="72"/>
      <c r="J399" s="72"/>
      <c r="K399" s="36"/>
      <c r="L399" s="79"/>
      <c r="M399" s="79"/>
      <c r="N399" s="74"/>
      <c r="O399" s="81" t="s">
        <v>179</v>
      </c>
      <c r="P399" s="83">
        <v>44461.892951388887</v>
      </c>
      <c r="Q399" s="81" t="s">
        <v>5360</v>
      </c>
      <c r="R399"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399" s="81" t="s">
        <v>5696</v>
      </c>
      <c r="T399" s="81"/>
      <c r="U399" s="81"/>
      <c r="V399" s="84" t="str">
        <f>HYPERLINK("https://pbs.twimg.com/profile_images/1434611624518852611/FN1QiZhF_normal.jpg")</f>
        <v>https://pbs.twimg.com/profile_images/1434611624518852611/FN1QiZhF_normal.jpg</v>
      </c>
      <c r="W399" s="83">
        <v>44461.892951388887</v>
      </c>
      <c r="X399" s="89">
        <v>44461</v>
      </c>
      <c r="Y399" s="86" t="s">
        <v>5959</v>
      </c>
      <c r="Z399" s="84" t="str">
        <f>HYPERLINK("https://twitter.com/ayanishimuta/status/1440789465459421193")</f>
        <v>https://twitter.com/ayanishimuta/status/1440789465459421193</v>
      </c>
      <c r="AA399" s="81"/>
      <c r="AB399" s="81"/>
      <c r="AC399" s="86" t="s">
        <v>6862</v>
      </c>
      <c r="AD399" s="86" t="s">
        <v>7647</v>
      </c>
      <c r="AE399" s="81" t="b">
        <v>0</v>
      </c>
      <c r="AF399" s="81">
        <v>1</v>
      </c>
      <c r="AG399" s="86" t="s">
        <v>7826</v>
      </c>
      <c r="AH399" s="81" t="b">
        <v>0</v>
      </c>
      <c r="AI399" s="81" t="s">
        <v>2171</v>
      </c>
      <c r="AJ399" s="81"/>
      <c r="AK399" s="86" t="s">
        <v>2084</v>
      </c>
      <c r="AL399" s="81" t="b">
        <v>0</v>
      </c>
      <c r="AM399" s="81">
        <v>0</v>
      </c>
      <c r="AN399" s="86" t="s">
        <v>2084</v>
      </c>
      <c r="AO399" s="86" t="s">
        <v>2181</v>
      </c>
      <c r="AP399" s="81" t="b">
        <v>0</v>
      </c>
      <c r="AQ399" s="86" t="s">
        <v>7647</v>
      </c>
      <c r="AR399" s="81" t="s">
        <v>179</v>
      </c>
      <c r="AS399" s="81">
        <v>0</v>
      </c>
      <c r="AT399" s="81">
        <v>0</v>
      </c>
      <c r="AU399" s="81"/>
      <c r="AV399" s="81"/>
      <c r="AW399" s="81"/>
      <c r="AX399" s="81"/>
      <c r="AY399" s="81"/>
      <c r="AZ399" s="81"/>
      <c r="BA399" s="81"/>
      <c r="BB399" s="81"/>
    </row>
    <row r="400" spans="1:54" x14ac:dyDescent="0.35">
      <c r="A400" s="66" t="s">
        <v>4331</v>
      </c>
      <c r="B400" s="66" t="s">
        <v>5033</v>
      </c>
      <c r="C400" s="67"/>
      <c r="D400" s="68"/>
      <c r="E400" s="69"/>
      <c r="F400" s="70"/>
      <c r="G400" s="67"/>
      <c r="H400" s="71"/>
      <c r="I400" s="72"/>
      <c r="J400" s="72"/>
      <c r="K400" s="36"/>
      <c r="L400" s="79"/>
      <c r="M400" s="79"/>
      <c r="N400" s="74"/>
      <c r="O400" s="81" t="s">
        <v>695</v>
      </c>
      <c r="P400" s="83">
        <v>44461.944444444445</v>
      </c>
      <c r="Q400" s="81" t="s">
        <v>5361</v>
      </c>
      <c r="R400" s="84" t="s">
        <v>5672</v>
      </c>
      <c r="S400" s="81" t="s">
        <v>5687</v>
      </c>
      <c r="T400" s="81"/>
      <c r="U400" s="81"/>
      <c r="V400" s="84" t="str">
        <f>HYPERLINK("https://pbs.twimg.com/profile_images/1325498228788383744/HrZS8Fri_normal.jpg")</f>
        <v>https://pbs.twimg.com/profile_images/1325498228788383744/HrZS8Fri_normal.jpg</v>
      </c>
      <c r="W400" s="83">
        <v>44461.944444444445</v>
      </c>
      <c r="X400" s="89">
        <v>44461</v>
      </c>
      <c r="Y400" s="86" t="s">
        <v>5960</v>
      </c>
      <c r="Z400" s="84" t="str">
        <f>HYPERLINK("https://twitter.com/eusamircrf/status/1440808125347479559")</f>
        <v>https://twitter.com/eusamircrf/status/1440808125347479559</v>
      </c>
      <c r="AA400" s="81"/>
      <c r="AB400" s="81"/>
      <c r="AC400" s="86" t="s">
        <v>6863</v>
      </c>
      <c r="AD400" s="86" t="s">
        <v>7648</v>
      </c>
      <c r="AE400" s="81" t="b">
        <v>0</v>
      </c>
      <c r="AF400" s="81">
        <v>0</v>
      </c>
      <c r="AG400" s="86" t="s">
        <v>7827</v>
      </c>
      <c r="AH400" s="81" t="b">
        <v>0</v>
      </c>
      <c r="AI400" s="81" t="s">
        <v>2171</v>
      </c>
      <c r="AJ400" s="81"/>
      <c r="AK400" s="86" t="s">
        <v>2084</v>
      </c>
      <c r="AL400" s="81" t="b">
        <v>0</v>
      </c>
      <c r="AM400" s="81">
        <v>0</v>
      </c>
      <c r="AN400" s="86" t="s">
        <v>2084</v>
      </c>
      <c r="AO400" s="86" t="s">
        <v>2178</v>
      </c>
      <c r="AP400" s="81" t="b">
        <v>0</v>
      </c>
      <c r="AQ400" s="86" t="s">
        <v>7648</v>
      </c>
      <c r="AR400" s="81" t="s">
        <v>179</v>
      </c>
      <c r="AS400" s="81">
        <v>0</v>
      </c>
      <c r="AT400" s="81">
        <v>0</v>
      </c>
      <c r="AU400" s="81"/>
      <c r="AV400" s="81"/>
      <c r="AW400" s="81"/>
      <c r="AX400" s="81"/>
      <c r="AY400" s="81"/>
      <c r="AZ400" s="81"/>
      <c r="BA400" s="81"/>
      <c r="BB400" s="81"/>
    </row>
    <row r="401" spans="1:54" x14ac:dyDescent="0.35">
      <c r="A401" s="66" t="s">
        <v>4332</v>
      </c>
      <c r="B401" s="66" t="s">
        <v>4332</v>
      </c>
      <c r="C401" s="67"/>
      <c r="D401" s="68"/>
      <c r="E401" s="69"/>
      <c r="F401" s="70"/>
      <c r="G401" s="67"/>
      <c r="H401" s="71"/>
      <c r="I401" s="72"/>
      <c r="J401" s="72"/>
      <c r="K401" s="36"/>
      <c r="L401" s="79"/>
      <c r="M401" s="79"/>
      <c r="N401" s="74"/>
      <c r="O401" s="81" t="s">
        <v>179</v>
      </c>
      <c r="P401" s="83">
        <v>44461.947488425925</v>
      </c>
      <c r="Q401" s="81" t="s">
        <v>5362</v>
      </c>
      <c r="R401" s="81"/>
      <c r="S401" s="81"/>
      <c r="T401" s="81"/>
      <c r="U401" s="81"/>
      <c r="V401" s="84" t="str">
        <f>HYPERLINK("https://pbs.twimg.com/profile_images/1435865996091277316/43hyBHvp_normal.jpg")</f>
        <v>https://pbs.twimg.com/profile_images/1435865996091277316/43hyBHvp_normal.jpg</v>
      </c>
      <c r="W401" s="83">
        <v>44461.947488425925</v>
      </c>
      <c r="X401" s="89">
        <v>44461</v>
      </c>
      <c r="Y401" s="86" t="s">
        <v>5961</v>
      </c>
      <c r="Z401" s="84" t="str">
        <f>HYPERLINK("https://twitter.com/wincayyy/status/1440809227652505600")</f>
        <v>https://twitter.com/wincayyy/status/1440809227652505600</v>
      </c>
      <c r="AA401" s="81"/>
      <c r="AB401" s="81"/>
      <c r="AC401" s="86" t="s">
        <v>6864</v>
      </c>
      <c r="AD401" s="86" t="s">
        <v>7649</v>
      </c>
      <c r="AE401" s="81" t="b">
        <v>0</v>
      </c>
      <c r="AF401" s="81">
        <v>0</v>
      </c>
      <c r="AG401" s="86" t="s">
        <v>7828</v>
      </c>
      <c r="AH401" s="81" t="b">
        <v>0</v>
      </c>
      <c r="AI401" s="81" t="s">
        <v>2167</v>
      </c>
      <c r="AJ401" s="81"/>
      <c r="AK401" s="86" t="s">
        <v>2084</v>
      </c>
      <c r="AL401" s="81" t="b">
        <v>0</v>
      </c>
      <c r="AM401" s="81">
        <v>0</v>
      </c>
      <c r="AN401" s="86" t="s">
        <v>2084</v>
      </c>
      <c r="AO401" s="86" t="s">
        <v>2181</v>
      </c>
      <c r="AP401" s="81" t="b">
        <v>0</v>
      </c>
      <c r="AQ401" s="86" t="s">
        <v>7649</v>
      </c>
      <c r="AR401" s="81" t="s">
        <v>179</v>
      </c>
      <c r="AS401" s="81">
        <v>0</v>
      </c>
      <c r="AT401" s="81">
        <v>0</v>
      </c>
      <c r="AU401" s="81"/>
      <c r="AV401" s="81"/>
      <c r="AW401" s="81"/>
      <c r="AX401" s="81"/>
      <c r="AY401" s="81"/>
      <c r="AZ401" s="81"/>
      <c r="BA401" s="81"/>
      <c r="BB401" s="81"/>
    </row>
    <row r="402" spans="1:54" x14ac:dyDescent="0.35">
      <c r="A402" s="66" t="s">
        <v>4333</v>
      </c>
      <c r="B402" s="66" t="s">
        <v>4346</v>
      </c>
      <c r="C402" s="67"/>
      <c r="D402" s="68"/>
      <c r="E402" s="69"/>
      <c r="F402" s="70"/>
      <c r="G402" s="67"/>
      <c r="H402" s="71"/>
      <c r="I402" s="72"/>
      <c r="J402" s="72"/>
      <c r="K402" s="36"/>
      <c r="L402" s="79"/>
      <c r="M402" s="79"/>
      <c r="N402" s="74"/>
      <c r="O402" s="81" t="s">
        <v>694</v>
      </c>
      <c r="P402" s="83">
        <v>44461.953159722223</v>
      </c>
      <c r="Q402" s="81" t="s">
        <v>5363</v>
      </c>
      <c r="R402" s="84" t="str">
        <f>HYPERLINK("https://blitz.pt/principal/update/2021-04-03-O-javali-que-pos-bandas-portuguesas-a-cantar-em-galego.-Uma-historia-desconhecida-dos-anos-90-entre-Portugal-e-a-Galiza-3649c87a")</f>
        <v>https://blitz.pt/principal/update/2021-04-03-O-javali-que-pos-bandas-portuguesas-a-cantar-em-galego.-Uma-historia-desconhecida-dos-anos-90-entre-Portugal-e-a-Galiza-3649c87a</v>
      </c>
      <c r="S402" s="81" t="s">
        <v>5711</v>
      </c>
      <c r="T402" s="81"/>
      <c r="U402" s="81"/>
      <c r="V402" s="84" t="str">
        <f>HYPERLINK("https://pbs.twimg.com/profile_images/1440811035187761154/AfijV3Te_normal.jpg")</f>
        <v>https://pbs.twimg.com/profile_images/1440811035187761154/AfijV3Te_normal.jpg</v>
      </c>
      <c r="W402" s="83">
        <v>44461.953159722223</v>
      </c>
      <c r="X402" s="89">
        <v>44461</v>
      </c>
      <c r="Y402" s="86" t="s">
        <v>5962</v>
      </c>
      <c r="Z402" s="84" t="str">
        <f>HYPERLINK("https://twitter.com/dind55319228/status/1440811282123276292")</f>
        <v>https://twitter.com/dind55319228/status/1440811282123276292</v>
      </c>
      <c r="AA402" s="81"/>
      <c r="AB402" s="81"/>
      <c r="AC402" s="86" t="s">
        <v>6865</v>
      </c>
      <c r="AD402" s="81"/>
      <c r="AE402" s="81" t="b">
        <v>0</v>
      </c>
      <c r="AF402" s="81">
        <v>0</v>
      </c>
      <c r="AG402" s="86" t="s">
        <v>2084</v>
      </c>
      <c r="AH402" s="81" t="b">
        <v>0</v>
      </c>
      <c r="AI402" s="81" t="s">
        <v>2171</v>
      </c>
      <c r="AJ402" s="81"/>
      <c r="AK402" s="86" t="s">
        <v>2084</v>
      </c>
      <c r="AL402" s="81" t="b">
        <v>0</v>
      </c>
      <c r="AM402" s="81">
        <v>3</v>
      </c>
      <c r="AN402" s="86" t="s">
        <v>6879</v>
      </c>
      <c r="AO402" s="86" t="s">
        <v>2178</v>
      </c>
      <c r="AP402" s="81" t="b">
        <v>0</v>
      </c>
      <c r="AQ402" s="86" t="s">
        <v>6879</v>
      </c>
      <c r="AR402" s="81" t="s">
        <v>179</v>
      </c>
      <c r="AS402" s="81">
        <v>0</v>
      </c>
      <c r="AT402" s="81">
        <v>0</v>
      </c>
      <c r="AU402" s="81"/>
      <c r="AV402" s="81"/>
      <c r="AW402" s="81"/>
      <c r="AX402" s="81"/>
      <c r="AY402" s="81"/>
      <c r="AZ402" s="81"/>
      <c r="BA402" s="81"/>
      <c r="BB402" s="81"/>
    </row>
    <row r="403" spans="1:54" x14ac:dyDescent="0.35">
      <c r="A403" s="66" t="s">
        <v>4333</v>
      </c>
      <c r="B403" s="66" t="s">
        <v>4347</v>
      </c>
      <c r="C403" s="67"/>
      <c r="D403" s="68"/>
      <c r="E403" s="69"/>
      <c r="F403" s="70"/>
      <c r="G403" s="67"/>
      <c r="H403" s="71"/>
      <c r="I403" s="72"/>
      <c r="J403" s="72"/>
      <c r="K403" s="36"/>
      <c r="L403" s="79"/>
      <c r="M403" s="79"/>
      <c r="N403" s="74"/>
      <c r="O403" s="81" t="s">
        <v>693</v>
      </c>
      <c r="P403" s="83">
        <v>44461.953159722223</v>
      </c>
      <c r="Q403" s="81" t="s">
        <v>5363</v>
      </c>
      <c r="R403" s="84" t="str">
        <f>HYPERLINK("https://blitz.pt/principal/update/2021-04-03-O-javali-que-pos-bandas-portuguesas-a-cantar-em-galego.-Uma-historia-desconhecida-dos-anos-90-entre-Portugal-e-a-Galiza-3649c87a")</f>
        <v>https://blitz.pt/principal/update/2021-04-03-O-javali-que-pos-bandas-portuguesas-a-cantar-em-galego.-Uma-historia-desconhecida-dos-anos-90-entre-Portugal-e-a-Galiza-3649c87a</v>
      </c>
      <c r="S403" s="81" t="s">
        <v>5711</v>
      </c>
      <c r="T403" s="81"/>
      <c r="U403" s="81"/>
      <c r="V403" s="84" t="str">
        <f>HYPERLINK("https://pbs.twimg.com/profile_images/1440811035187761154/AfijV3Te_normal.jpg")</f>
        <v>https://pbs.twimg.com/profile_images/1440811035187761154/AfijV3Te_normal.jpg</v>
      </c>
      <c r="W403" s="83">
        <v>44461.953159722223</v>
      </c>
      <c r="X403" s="89">
        <v>44461</v>
      </c>
      <c r="Y403" s="86" t="s">
        <v>5962</v>
      </c>
      <c r="Z403" s="84" t="str">
        <f>HYPERLINK("https://twitter.com/dind55319228/status/1440811282123276292")</f>
        <v>https://twitter.com/dind55319228/status/1440811282123276292</v>
      </c>
      <c r="AA403" s="81"/>
      <c r="AB403" s="81"/>
      <c r="AC403" s="86" t="s">
        <v>6865</v>
      </c>
      <c r="AD403" s="81"/>
      <c r="AE403" s="81" t="b">
        <v>0</v>
      </c>
      <c r="AF403" s="81">
        <v>0</v>
      </c>
      <c r="AG403" s="86" t="s">
        <v>2084</v>
      </c>
      <c r="AH403" s="81" t="b">
        <v>0</v>
      </c>
      <c r="AI403" s="81" t="s">
        <v>2171</v>
      </c>
      <c r="AJ403" s="81"/>
      <c r="AK403" s="86" t="s">
        <v>2084</v>
      </c>
      <c r="AL403" s="81" t="b">
        <v>0</v>
      </c>
      <c r="AM403" s="81">
        <v>3</v>
      </c>
      <c r="AN403" s="86" t="s">
        <v>6879</v>
      </c>
      <c r="AO403" s="86" t="s">
        <v>2178</v>
      </c>
      <c r="AP403" s="81" t="b">
        <v>0</v>
      </c>
      <c r="AQ403" s="86" t="s">
        <v>6879</v>
      </c>
      <c r="AR403" s="81" t="s">
        <v>179</v>
      </c>
      <c r="AS403" s="81">
        <v>0</v>
      </c>
      <c r="AT403" s="81">
        <v>0</v>
      </c>
      <c r="AU403" s="81"/>
      <c r="AV403" s="81"/>
      <c r="AW403" s="81"/>
      <c r="AX403" s="81"/>
      <c r="AY403" s="81"/>
      <c r="AZ403" s="81"/>
      <c r="BA403" s="81"/>
      <c r="BB403" s="81"/>
    </row>
    <row r="404" spans="1:54" x14ac:dyDescent="0.35">
      <c r="A404" s="66" t="s">
        <v>4334</v>
      </c>
      <c r="B404" s="66" t="s">
        <v>5034</v>
      </c>
      <c r="C404" s="67"/>
      <c r="D404" s="68"/>
      <c r="E404" s="69"/>
      <c r="F404" s="70"/>
      <c r="G404" s="67"/>
      <c r="H404" s="71"/>
      <c r="I404" s="72"/>
      <c r="J404" s="72"/>
      <c r="K404" s="36"/>
      <c r="L404" s="79"/>
      <c r="M404" s="79"/>
      <c r="N404" s="74"/>
      <c r="O404" s="81" t="s">
        <v>695</v>
      </c>
      <c r="P404" s="83">
        <v>44461.963333333333</v>
      </c>
      <c r="Q404" s="81" t="s">
        <v>5364</v>
      </c>
      <c r="R404" s="81"/>
      <c r="S404" s="81"/>
      <c r="T404" s="81"/>
      <c r="U404" s="84" t="str">
        <f>HYPERLINK("https://pbs.twimg.com/tweet_video_thumb/E_7Nkq0VIAYywEL.jpg")</f>
        <v>https://pbs.twimg.com/tweet_video_thumb/E_7Nkq0VIAYywEL.jpg</v>
      </c>
      <c r="V404" s="84" t="str">
        <f>HYPERLINK("https://pbs.twimg.com/tweet_video_thumb/E_7Nkq0VIAYywEL.jpg")</f>
        <v>https://pbs.twimg.com/tweet_video_thumb/E_7Nkq0VIAYywEL.jpg</v>
      </c>
      <c r="W404" s="83">
        <v>44461.963333333333</v>
      </c>
      <c r="X404" s="89">
        <v>44461</v>
      </c>
      <c r="Y404" s="86" t="s">
        <v>5963</v>
      </c>
      <c r="Z404" s="84" t="str">
        <f>HYPERLINK("https://twitter.com/marswasstars/status/1440814968887136257")</f>
        <v>https://twitter.com/marswasstars/status/1440814968887136257</v>
      </c>
      <c r="AA404" s="81"/>
      <c r="AB404" s="81"/>
      <c r="AC404" s="86" t="s">
        <v>6866</v>
      </c>
      <c r="AD404" s="86" t="s">
        <v>7650</v>
      </c>
      <c r="AE404" s="81" t="b">
        <v>0</v>
      </c>
      <c r="AF404" s="81">
        <v>1</v>
      </c>
      <c r="AG404" s="86" t="s">
        <v>7829</v>
      </c>
      <c r="AH404" s="81" t="b">
        <v>0</v>
      </c>
      <c r="AI404" s="81" t="s">
        <v>2168</v>
      </c>
      <c r="AJ404" s="81"/>
      <c r="AK404" s="86" t="s">
        <v>2084</v>
      </c>
      <c r="AL404" s="81" t="b">
        <v>0</v>
      </c>
      <c r="AM404" s="81">
        <v>0</v>
      </c>
      <c r="AN404" s="86" t="s">
        <v>2084</v>
      </c>
      <c r="AO404" s="86" t="s">
        <v>2178</v>
      </c>
      <c r="AP404" s="81" t="b">
        <v>0</v>
      </c>
      <c r="AQ404" s="86" t="s">
        <v>7650</v>
      </c>
      <c r="AR404" s="81" t="s">
        <v>179</v>
      </c>
      <c r="AS404" s="81">
        <v>0</v>
      </c>
      <c r="AT404" s="81">
        <v>0</v>
      </c>
      <c r="AU404" s="81"/>
      <c r="AV404" s="81"/>
      <c r="AW404" s="81"/>
      <c r="AX404" s="81"/>
      <c r="AY404" s="81"/>
      <c r="AZ404" s="81"/>
      <c r="BA404" s="81"/>
      <c r="BB404" s="81"/>
    </row>
    <row r="405" spans="1:54" x14ac:dyDescent="0.35">
      <c r="A405" s="66" t="s">
        <v>332</v>
      </c>
      <c r="B405" s="66" t="s">
        <v>332</v>
      </c>
      <c r="C405" s="67"/>
      <c r="D405" s="68"/>
      <c r="E405" s="69"/>
      <c r="F405" s="70"/>
      <c r="G405" s="67"/>
      <c r="H405" s="71"/>
      <c r="I405" s="72"/>
      <c r="J405" s="72"/>
      <c r="K405" s="36"/>
      <c r="L405" s="79"/>
      <c r="M405" s="79"/>
      <c r="N405" s="74"/>
      <c r="O405" s="81" t="s">
        <v>179</v>
      </c>
      <c r="P405" s="83">
        <v>44460.563587962963</v>
      </c>
      <c r="Q405" s="81" t="s">
        <v>726</v>
      </c>
      <c r="R405" s="81"/>
      <c r="S405" s="81"/>
      <c r="T405" s="81"/>
      <c r="U405" s="84" t="str">
        <f>HYPERLINK("https://pbs.twimg.com/media/E_0AOQ-VIAM2UO2.jpg")</f>
        <v>https://pbs.twimg.com/media/E_0AOQ-VIAM2UO2.jpg</v>
      </c>
      <c r="V405" s="84" t="str">
        <f>HYPERLINK("https://pbs.twimg.com/media/E_0AOQ-VIAM2UO2.jpg")</f>
        <v>https://pbs.twimg.com/media/E_0AOQ-VIAM2UO2.jpg</v>
      </c>
      <c r="W405" s="83">
        <v>44460.563587962963</v>
      </c>
      <c r="X405" s="89">
        <v>44460</v>
      </c>
      <c r="Y405" s="86" t="s">
        <v>1137</v>
      </c>
      <c r="Z405" s="84" t="str">
        <f>HYPERLINK("https://twitter.com/andrifigfarm/status/1440307720297463811")</f>
        <v>https://twitter.com/andrifigfarm/status/1440307720297463811</v>
      </c>
      <c r="AA405" s="81"/>
      <c r="AB405" s="81"/>
      <c r="AC405" s="86" t="s">
        <v>1634</v>
      </c>
      <c r="AD405" s="81"/>
      <c r="AE405" s="81" t="b">
        <v>0</v>
      </c>
      <c r="AF405" s="81">
        <v>12</v>
      </c>
      <c r="AG405" s="86" t="s">
        <v>2084</v>
      </c>
      <c r="AH405" s="81" t="b">
        <v>0</v>
      </c>
      <c r="AI405" s="81" t="s">
        <v>2167</v>
      </c>
      <c r="AJ405" s="81"/>
      <c r="AK405" s="86" t="s">
        <v>2084</v>
      </c>
      <c r="AL405" s="81" t="b">
        <v>0</v>
      </c>
      <c r="AM405" s="81">
        <v>3</v>
      </c>
      <c r="AN405" s="86" t="s">
        <v>2084</v>
      </c>
      <c r="AO405" s="86" t="s">
        <v>2178</v>
      </c>
      <c r="AP405" s="81" t="b">
        <v>0</v>
      </c>
      <c r="AQ405" s="86" t="s">
        <v>1634</v>
      </c>
      <c r="AR405" s="81" t="s">
        <v>179</v>
      </c>
      <c r="AS405" s="81">
        <v>0</v>
      </c>
      <c r="AT405" s="81">
        <v>0</v>
      </c>
      <c r="AU405" s="81"/>
      <c r="AV405" s="81"/>
      <c r="AW405" s="81"/>
      <c r="AX405" s="81"/>
      <c r="AY405" s="81"/>
      <c r="AZ405" s="81"/>
      <c r="BA405" s="81"/>
      <c r="BB405" s="81"/>
    </row>
    <row r="406" spans="1:54" x14ac:dyDescent="0.35">
      <c r="A406" s="66" t="s">
        <v>333</v>
      </c>
      <c r="B406" s="66" t="s">
        <v>332</v>
      </c>
      <c r="C406" s="67"/>
      <c r="D406" s="68"/>
      <c r="E406" s="69"/>
      <c r="F406" s="70"/>
      <c r="G406" s="67"/>
      <c r="H406" s="71"/>
      <c r="I406" s="72"/>
      <c r="J406" s="72"/>
      <c r="K406" s="36"/>
      <c r="L406" s="79"/>
      <c r="M406" s="79"/>
      <c r="N406" s="74"/>
      <c r="O406" s="81" t="s">
        <v>693</v>
      </c>
      <c r="P406" s="83">
        <v>44461.970520833333</v>
      </c>
      <c r="Q406" s="81" t="s">
        <v>726</v>
      </c>
      <c r="R406" s="81"/>
      <c r="S406" s="81"/>
      <c r="T406" s="81"/>
      <c r="U406" s="84" t="str">
        <f>HYPERLINK("https://pbs.twimg.com/media/E_0AOQ-VIAM2UO2.jpg")</f>
        <v>https://pbs.twimg.com/media/E_0AOQ-VIAM2UO2.jpg</v>
      </c>
      <c r="V406" s="84" t="str">
        <f>HYPERLINK("https://pbs.twimg.com/media/E_0AOQ-VIAM2UO2.jpg")</f>
        <v>https://pbs.twimg.com/media/E_0AOQ-VIAM2UO2.jpg</v>
      </c>
      <c r="W406" s="83">
        <v>44461.970520833333</v>
      </c>
      <c r="X406" s="89">
        <v>44461</v>
      </c>
      <c r="Y406" s="86" t="s">
        <v>1138</v>
      </c>
      <c r="Z406" s="84" t="str">
        <f>HYPERLINK("https://twitter.com/_iansyah/status/1440817573231136768")</f>
        <v>https://twitter.com/_iansyah/status/1440817573231136768</v>
      </c>
      <c r="AA406" s="81"/>
      <c r="AB406" s="81"/>
      <c r="AC406" s="86" t="s">
        <v>1635</v>
      </c>
      <c r="AD406" s="81"/>
      <c r="AE406" s="81" t="b">
        <v>0</v>
      </c>
      <c r="AF406" s="81">
        <v>0</v>
      </c>
      <c r="AG406" s="86" t="s">
        <v>2084</v>
      </c>
      <c r="AH406" s="81" t="b">
        <v>0</v>
      </c>
      <c r="AI406" s="81" t="s">
        <v>2167</v>
      </c>
      <c r="AJ406" s="81"/>
      <c r="AK406" s="86" t="s">
        <v>2084</v>
      </c>
      <c r="AL406" s="81" t="b">
        <v>0</v>
      </c>
      <c r="AM406" s="81">
        <v>3</v>
      </c>
      <c r="AN406" s="86" t="s">
        <v>1634</v>
      </c>
      <c r="AO406" s="86" t="s">
        <v>2178</v>
      </c>
      <c r="AP406" s="81" t="b">
        <v>0</v>
      </c>
      <c r="AQ406" s="86" t="s">
        <v>1634</v>
      </c>
      <c r="AR406" s="81" t="s">
        <v>179</v>
      </c>
      <c r="AS406" s="81">
        <v>0</v>
      </c>
      <c r="AT406" s="81">
        <v>0</v>
      </c>
      <c r="AU406" s="81"/>
      <c r="AV406" s="81"/>
      <c r="AW406" s="81"/>
      <c r="AX406" s="81"/>
      <c r="AY406" s="81"/>
      <c r="AZ406" s="81"/>
      <c r="BA406" s="81"/>
      <c r="BB406" s="81"/>
    </row>
    <row r="407" spans="1:54" x14ac:dyDescent="0.35">
      <c r="A407" s="66" t="s">
        <v>4335</v>
      </c>
      <c r="B407" s="66" t="s">
        <v>4335</v>
      </c>
      <c r="C407" s="67"/>
      <c r="D407" s="68"/>
      <c r="E407" s="69"/>
      <c r="F407" s="70"/>
      <c r="G407" s="67"/>
      <c r="H407" s="71"/>
      <c r="I407" s="72"/>
      <c r="J407" s="72"/>
      <c r="K407" s="36"/>
      <c r="L407" s="79"/>
      <c r="M407" s="79"/>
      <c r="N407" s="74"/>
      <c r="O407" s="81" t="s">
        <v>179</v>
      </c>
      <c r="P407" s="83">
        <v>44461.444687499999</v>
      </c>
      <c r="Q407" s="81" t="s">
        <v>5336</v>
      </c>
      <c r="R407" s="81"/>
      <c r="S407" s="81"/>
      <c r="T407" s="81"/>
      <c r="U407" s="84" t="str">
        <f>HYPERLINK("https://pbs.twimg.com/media/E_4hS8vVUAYv7nN.jpg")</f>
        <v>https://pbs.twimg.com/media/E_4hS8vVUAYv7nN.jpg</v>
      </c>
      <c r="V407" s="84" t="str">
        <f>HYPERLINK("https://pbs.twimg.com/media/E_4hS8vVUAYv7nN.jpg")</f>
        <v>https://pbs.twimg.com/media/E_4hS8vVUAYv7nN.jpg</v>
      </c>
      <c r="W407" s="83">
        <v>44461.444687499999</v>
      </c>
      <c r="X407" s="89">
        <v>44461</v>
      </c>
      <c r="Y407" s="86" t="s">
        <v>5964</v>
      </c>
      <c r="Z407" s="84" t="str">
        <f>HYPERLINK("https://twitter.com/leonita_lestari/status/1440627020497514506")</f>
        <v>https://twitter.com/leonita_lestari/status/1440627020497514506</v>
      </c>
      <c r="AA407" s="81"/>
      <c r="AB407" s="81"/>
      <c r="AC407" s="86" t="s">
        <v>6867</v>
      </c>
      <c r="AD407" s="86" t="s">
        <v>7651</v>
      </c>
      <c r="AE407" s="81" t="b">
        <v>0</v>
      </c>
      <c r="AF407" s="81">
        <v>64</v>
      </c>
      <c r="AG407" s="86" t="s">
        <v>7830</v>
      </c>
      <c r="AH407" s="81" t="b">
        <v>0</v>
      </c>
      <c r="AI407" s="81" t="s">
        <v>2167</v>
      </c>
      <c r="AJ407" s="81"/>
      <c r="AK407" s="86" t="s">
        <v>2084</v>
      </c>
      <c r="AL407" s="81" t="b">
        <v>0</v>
      </c>
      <c r="AM407" s="81">
        <v>9</v>
      </c>
      <c r="AN407" s="86" t="s">
        <v>2084</v>
      </c>
      <c r="AO407" s="86" t="s">
        <v>2181</v>
      </c>
      <c r="AP407" s="81" t="b">
        <v>0</v>
      </c>
      <c r="AQ407" s="86" t="s">
        <v>7651</v>
      </c>
      <c r="AR407" s="81" t="s">
        <v>179</v>
      </c>
      <c r="AS407" s="81">
        <v>0</v>
      </c>
      <c r="AT407" s="81">
        <v>0</v>
      </c>
      <c r="AU407" s="81"/>
      <c r="AV407" s="81"/>
      <c r="AW407" s="81"/>
      <c r="AX407" s="81"/>
      <c r="AY407" s="81"/>
      <c r="AZ407" s="81"/>
      <c r="BA407" s="81"/>
      <c r="BB407" s="81"/>
    </row>
    <row r="408" spans="1:54" x14ac:dyDescent="0.35">
      <c r="A408" s="66" t="s">
        <v>4336</v>
      </c>
      <c r="B408" s="66" t="s">
        <v>4335</v>
      </c>
      <c r="C408" s="67"/>
      <c r="D408" s="68"/>
      <c r="E408" s="69"/>
      <c r="F408" s="70"/>
      <c r="G408" s="67"/>
      <c r="H408" s="71"/>
      <c r="I408" s="72"/>
      <c r="J408" s="72"/>
      <c r="K408" s="36"/>
      <c r="L408" s="79"/>
      <c r="M408" s="79"/>
      <c r="N408" s="74"/>
      <c r="O408" s="81" t="s">
        <v>693</v>
      </c>
      <c r="P408" s="83">
        <v>44461.984270833331</v>
      </c>
      <c r="Q408" s="81" t="s">
        <v>5336</v>
      </c>
      <c r="R408" s="81"/>
      <c r="S408" s="81"/>
      <c r="T408" s="81"/>
      <c r="U408" s="84" t="str">
        <f>HYPERLINK("https://pbs.twimg.com/media/E_4hS8vVUAYv7nN.jpg")</f>
        <v>https://pbs.twimg.com/media/E_4hS8vVUAYv7nN.jpg</v>
      </c>
      <c r="V408" s="84" t="str">
        <f>HYPERLINK("https://pbs.twimg.com/media/E_4hS8vVUAYv7nN.jpg")</f>
        <v>https://pbs.twimg.com/media/E_4hS8vVUAYv7nN.jpg</v>
      </c>
      <c r="W408" s="83">
        <v>44461.984270833331</v>
      </c>
      <c r="X408" s="89">
        <v>44461</v>
      </c>
      <c r="Y408" s="86" t="s">
        <v>5965</v>
      </c>
      <c r="Z408" s="84" t="str">
        <f>HYPERLINK("https://twitter.com/wongkalibanteng/status/1440822557377064963")</f>
        <v>https://twitter.com/wongkalibanteng/status/1440822557377064963</v>
      </c>
      <c r="AA408" s="81"/>
      <c r="AB408" s="81"/>
      <c r="AC408" s="86" t="s">
        <v>6868</v>
      </c>
      <c r="AD408" s="81"/>
      <c r="AE408" s="81" t="b">
        <v>0</v>
      </c>
      <c r="AF408" s="81">
        <v>0</v>
      </c>
      <c r="AG408" s="86" t="s">
        <v>2084</v>
      </c>
      <c r="AH408" s="81" t="b">
        <v>0</v>
      </c>
      <c r="AI408" s="81" t="s">
        <v>2167</v>
      </c>
      <c r="AJ408" s="81"/>
      <c r="AK408" s="86" t="s">
        <v>2084</v>
      </c>
      <c r="AL408" s="81" t="b">
        <v>0</v>
      </c>
      <c r="AM408" s="81">
        <v>9</v>
      </c>
      <c r="AN408" s="86" t="s">
        <v>6867</v>
      </c>
      <c r="AO408" s="86" t="s">
        <v>2178</v>
      </c>
      <c r="AP408" s="81" t="b">
        <v>0</v>
      </c>
      <c r="AQ408" s="86" t="s">
        <v>6867</v>
      </c>
      <c r="AR408" s="81" t="s">
        <v>179</v>
      </c>
      <c r="AS408" s="81">
        <v>0</v>
      </c>
      <c r="AT408" s="81">
        <v>0</v>
      </c>
      <c r="AU408" s="81"/>
      <c r="AV408" s="81"/>
      <c r="AW408" s="81"/>
      <c r="AX408" s="81"/>
      <c r="AY408" s="81"/>
      <c r="AZ408" s="81"/>
      <c r="BA408" s="81"/>
      <c r="BB408" s="81"/>
    </row>
    <row r="409" spans="1:54" x14ac:dyDescent="0.35">
      <c r="A409" s="66" t="s">
        <v>334</v>
      </c>
      <c r="B409" s="66" t="s">
        <v>334</v>
      </c>
      <c r="C409" s="67"/>
      <c r="D409" s="68"/>
      <c r="E409" s="69"/>
      <c r="F409" s="70"/>
      <c r="G409" s="67"/>
      <c r="H409" s="71"/>
      <c r="I409" s="72"/>
      <c r="J409" s="72"/>
      <c r="K409" s="36"/>
      <c r="L409" s="79"/>
      <c r="M409" s="79"/>
      <c r="N409" s="74"/>
      <c r="O409" s="81" t="s">
        <v>179</v>
      </c>
      <c r="P409" s="83">
        <v>44462.018460648149</v>
      </c>
      <c r="Q409" s="81" t="s">
        <v>749</v>
      </c>
      <c r="R409" s="81"/>
      <c r="S409" s="81"/>
      <c r="T409" s="81"/>
      <c r="U409" s="81"/>
      <c r="V409" s="84" t="str">
        <f>HYPERLINK("https://pbs.twimg.com/profile_images/1437943571877826563/b68ib-IB_normal.jpg")</f>
        <v>https://pbs.twimg.com/profile_images/1437943571877826563/b68ib-IB_normal.jpg</v>
      </c>
      <c r="W409" s="83">
        <v>44462.018460648149</v>
      </c>
      <c r="X409" s="89">
        <v>44462</v>
      </c>
      <c r="Y409" s="86" t="s">
        <v>1139</v>
      </c>
      <c r="Z409" s="84" t="str">
        <f>HYPERLINK("https://twitter.com/25yuyun/status/1440834947380432896")</f>
        <v>https://twitter.com/25yuyun/status/1440834947380432896</v>
      </c>
      <c r="AA409" s="81"/>
      <c r="AB409" s="81"/>
      <c r="AC409" s="86" t="s">
        <v>1636</v>
      </c>
      <c r="AD409" s="81"/>
      <c r="AE409" s="81" t="b">
        <v>0</v>
      </c>
      <c r="AF409" s="81">
        <v>14</v>
      </c>
      <c r="AG409" s="86" t="s">
        <v>2084</v>
      </c>
      <c r="AH409" s="81" t="b">
        <v>0</v>
      </c>
      <c r="AI409" s="81" t="s">
        <v>2167</v>
      </c>
      <c r="AJ409" s="81"/>
      <c r="AK409" s="86" t="s">
        <v>2084</v>
      </c>
      <c r="AL409" s="81" t="b">
        <v>0</v>
      </c>
      <c r="AM409" s="81">
        <v>0</v>
      </c>
      <c r="AN409" s="86" t="s">
        <v>2084</v>
      </c>
      <c r="AO409" s="86" t="s">
        <v>2181</v>
      </c>
      <c r="AP409" s="81" t="b">
        <v>0</v>
      </c>
      <c r="AQ409" s="86" t="s">
        <v>1636</v>
      </c>
      <c r="AR409" s="81" t="s">
        <v>179</v>
      </c>
      <c r="AS409" s="81">
        <v>0</v>
      </c>
      <c r="AT409" s="81">
        <v>0</v>
      </c>
      <c r="AU409" s="81"/>
      <c r="AV409" s="81"/>
      <c r="AW409" s="81"/>
      <c r="AX409" s="81"/>
      <c r="AY409" s="81"/>
      <c r="AZ409" s="81"/>
      <c r="BA409" s="81"/>
      <c r="BB409" s="81"/>
    </row>
    <row r="410" spans="1:54" x14ac:dyDescent="0.35">
      <c r="A410" s="66" t="s">
        <v>335</v>
      </c>
      <c r="B410" s="66" t="s">
        <v>335</v>
      </c>
      <c r="C410" s="67"/>
      <c r="D410" s="68"/>
      <c r="E410" s="69"/>
      <c r="F410" s="70"/>
      <c r="G410" s="67"/>
      <c r="H410" s="71"/>
      <c r="I410" s="72"/>
      <c r="J410" s="72"/>
      <c r="K410" s="36"/>
      <c r="L410" s="79"/>
      <c r="M410" s="79"/>
      <c r="N410" s="74"/>
      <c r="O410" s="81" t="s">
        <v>179</v>
      </c>
      <c r="P410" s="83">
        <v>44462.041388888887</v>
      </c>
      <c r="Q410" s="81" t="s">
        <v>750</v>
      </c>
      <c r="R410" s="84" t="str">
        <f>HYPERLINK("https://dinsos.bulelengkab.go.id/informasi/detail/berita/65-rekon-bst-kabupaten-buleleng-dengan-anggaran-btt-bersama-pt-pos-indonesia-tahap-i-bulan-juli-tahun-2021")</f>
        <v>https://dinsos.bulelengkab.go.id/informasi/detail/berita/65-rekon-bst-kabupaten-buleleng-dengan-anggaran-btt-bersama-pt-pos-indonesia-tahap-i-bulan-juli-tahun-2021</v>
      </c>
      <c r="S410" s="81" t="s">
        <v>945</v>
      </c>
      <c r="T410" s="81"/>
      <c r="U410" s="84" t="str">
        <f>HYPERLINK("https://pbs.twimg.com/media/E_7nTEdUYAY6tpx.jpg")</f>
        <v>https://pbs.twimg.com/media/E_7nTEdUYAY6tpx.jpg</v>
      </c>
      <c r="V410" s="84" t="str">
        <f>HYPERLINK("https://pbs.twimg.com/media/E_7nTEdUYAY6tpx.jpg")</f>
        <v>https://pbs.twimg.com/media/E_7nTEdUYAY6tpx.jpg</v>
      </c>
      <c r="W410" s="83">
        <v>44462.041388888887</v>
      </c>
      <c r="X410" s="89">
        <v>44462</v>
      </c>
      <c r="Y410" s="86" t="s">
        <v>1141</v>
      </c>
      <c r="Z410" s="84" t="str">
        <f>HYPERLINK("https://twitter.com/hadirdinsos/status/1440843256678338572")</f>
        <v>https://twitter.com/hadirdinsos/status/1440843256678338572</v>
      </c>
      <c r="AA410" s="81"/>
      <c r="AB410" s="81"/>
      <c r="AC410" s="86" t="s">
        <v>1637</v>
      </c>
      <c r="AD410" s="81"/>
      <c r="AE410" s="81" t="b">
        <v>0</v>
      </c>
      <c r="AF410" s="81">
        <v>0</v>
      </c>
      <c r="AG410" s="86" t="s">
        <v>2084</v>
      </c>
      <c r="AH410" s="81" t="b">
        <v>0</v>
      </c>
      <c r="AI410" s="81" t="s">
        <v>2167</v>
      </c>
      <c r="AJ410" s="81"/>
      <c r="AK410" s="86" t="s">
        <v>2084</v>
      </c>
      <c r="AL410" s="81" t="b">
        <v>0</v>
      </c>
      <c r="AM410" s="81">
        <v>0</v>
      </c>
      <c r="AN410" s="86" t="s">
        <v>2084</v>
      </c>
      <c r="AO410" s="86" t="s">
        <v>2181</v>
      </c>
      <c r="AP410" s="81" t="b">
        <v>0</v>
      </c>
      <c r="AQ410" s="86" t="s">
        <v>1637</v>
      </c>
      <c r="AR410" s="81" t="s">
        <v>179</v>
      </c>
      <c r="AS410" s="81">
        <v>0</v>
      </c>
      <c r="AT410" s="81">
        <v>0</v>
      </c>
      <c r="AU410" s="81"/>
      <c r="AV410" s="81"/>
      <c r="AW410" s="81"/>
      <c r="AX410" s="81"/>
      <c r="AY410" s="81"/>
      <c r="AZ410" s="81"/>
      <c r="BA410" s="81"/>
      <c r="BB410" s="81"/>
    </row>
    <row r="411" spans="1:54" x14ac:dyDescent="0.35">
      <c r="A411" s="66" t="s">
        <v>336</v>
      </c>
      <c r="B411" s="66" t="s">
        <v>336</v>
      </c>
      <c r="C411" s="67"/>
      <c r="D411" s="68"/>
      <c r="E411" s="69"/>
      <c r="F411" s="70"/>
      <c r="G411" s="67"/>
      <c r="H411" s="71"/>
      <c r="I411" s="72"/>
      <c r="J411" s="72"/>
      <c r="K411" s="36"/>
      <c r="L411" s="79"/>
      <c r="M411" s="79"/>
      <c r="N411" s="74"/>
      <c r="O411" s="81" t="s">
        <v>179</v>
      </c>
      <c r="P411" s="83">
        <v>44462.047430555554</v>
      </c>
      <c r="Q411" s="81" t="s">
        <v>751</v>
      </c>
      <c r="R411" s="81"/>
      <c r="S411" s="81"/>
      <c r="T411" s="81"/>
      <c r="U411" s="81"/>
      <c r="V411" s="84" t="str">
        <f>HYPERLINK("https://pbs.twimg.com/profile_images/1441326394743476234/w7KiDXih_normal.jpg")</f>
        <v>https://pbs.twimg.com/profile_images/1441326394743476234/w7KiDXih_normal.jpg</v>
      </c>
      <c r="W411" s="83">
        <v>44462.047430555554</v>
      </c>
      <c r="X411" s="89">
        <v>44462</v>
      </c>
      <c r="Y411" s="86" t="s">
        <v>1142</v>
      </c>
      <c r="Z411" s="84" t="str">
        <f>HYPERLINK("https://twitter.com/asfarinaaaa_/status/1440845446709088265")</f>
        <v>https://twitter.com/asfarinaaaa_/status/1440845446709088265</v>
      </c>
      <c r="AA411" s="81"/>
      <c r="AB411" s="81"/>
      <c r="AC411" s="86" t="s">
        <v>1638</v>
      </c>
      <c r="AD411" s="81"/>
      <c r="AE411" s="81" t="b">
        <v>0</v>
      </c>
      <c r="AF411" s="81">
        <v>0</v>
      </c>
      <c r="AG411" s="86" t="s">
        <v>2084</v>
      </c>
      <c r="AH411" s="81" t="b">
        <v>0</v>
      </c>
      <c r="AI411" s="81" t="s">
        <v>2167</v>
      </c>
      <c r="AJ411" s="81"/>
      <c r="AK411" s="86" t="s">
        <v>2084</v>
      </c>
      <c r="AL411" s="81" t="b">
        <v>0</v>
      </c>
      <c r="AM411" s="81">
        <v>0</v>
      </c>
      <c r="AN411" s="86" t="s">
        <v>2084</v>
      </c>
      <c r="AO411" s="86" t="s">
        <v>2179</v>
      </c>
      <c r="AP411" s="81" t="b">
        <v>0</v>
      </c>
      <c r="AQ411" s="86" t="s">
        <v>1638</v>
      </c>
      <c r="AR411" s="81" t="s">
        <v>179</v>
      </c>
      <c r="AS411" s="81">
        <v>0</v>
      </c>
      <c r="AT411" s="81">
        <v>0</v>
      </c>
      <c r="AU411" s="81"/>
      <c r="AV411" s="81"/>
      <c r="AW411" s="81"/>
      <c r="AX411" s="81"/>
      <c r="AY411" s="81"/>
      <c r="AZ411" s="81"/>
      <c r="BA411" s="81"/>
      <c r="BB411" s="81"/>
    </row>
    <row r="412" spans="1:54" x14ac:dyDescent="0.35">
      <c r="A412" s="66" t="s">
        <v>4337</v>
      </c>
      <c r="B412" s="66" t="s">
        <v>5036</v>
      </c>
      <c r="C412" s="67"/>
      <c r="D412" s="68"/>
      <c r="E412" s="69"/>
      <c r="F412" s="70"/>
      <c r="G412" s="67"/>
      <c r="H412" s="71"/>
      <c r="I412" s="72"/>
      <c r="J412" s="72"/>
      <c r="K412" s="36"/>
      <c r="L412" s="79"/>
      <c r="M412" s="79"/>
      <c r="N412" s="74"/>
      <c r="O412" s="81" t="s">
        <v>695</v>
      </c>
      <c r="P412" s="83">
        <v>44462.09134259259</v>
      </c>
      <c r="Q412" s="81" t="s">
        <v>5365</v>
      </c>
      <c r="R412" s="81"/>
      <c r="S412" s="81"/>
      <c r="T412" s="81"/>
      <c r="U412" s="81"/>
      <c r="V412" s="84" t="str">
        <f>HYPERLINK("https://pbs.twimg.com/profile_images/1366872786334068740/ECzA_Ev6_normal.jpg")</f>
        <v>https://pbs.twimg.com/profile_images/1366872786334068740/ECzA_Ev6_normal.jpg</v>
      </c>
      <c r="W412" s="83">
        <v>44462.09134259259</v>
      </c>
      <c r="X412" s="89">
        <v>44462</v>
      </c>
      <c r="Y412" s="86" t="s">
        <v>5966</v>
      </c>
      <c r="Z412" s="84" t="str">
        <f>HYPERLINK("https://twitter.com/loball357/status/1440861360175394818")</f>
        <v>https://twitter.com/loball357/status/1440861360175394818</v>
      </c>
      <c r="AA412" s="81"/>
      <c r="AB412" s="81"/>
      <c r="AC412" s="86" t="s">
        <v>6869</v>
      </c>
      <c r="AD412" s="81"/>
      <c r="AE412" s="81" t="b">
        <v>0</v>
      </c>
      <c r="AF412" s="81">
        <v>0</v>
      </c>
      <c r="AG412" s="86" t="s">
        <v>7832</v>
      </c>
      <c r="AH412" s="81" t="b">
        <v>0</v>
      </c>
      <c r="AI412" s="81" t="s">
        <v>2168</v>
      </c>
      <c r="AJ412" s="81"/>
      <c r="AK412" s="86" t="s">
        <v>2084</v>
      </c>
      <c r="AL412" s="81" t="b">
        <v>0</v>
      </c>
      <c r="AM412" s="81">
        <v>0</v>
      </c>
      <c r="AN412" s="86" t="s">
        <v>2084</v>
      </c>
      <c r="AO412" s="86" t="s">
        <v>2178</v>
      </c>
      <c r="AP412" s="81" t="b">
        <v>0</v>
      </c>
      <c r="AQ412" s="86" t="s">
        <v>6869</v>
      </c>
      <c r="AR412" s="81" t="s">
        <v>179</v>
      </c>
      <c r="AS412" s="81">
        <v>0</v>
      </c>
      <c r="AT412" s="81">
        <v>0</v>
      </c>
      <c r="AU412" s="81"/>
      <c r="AV412" s="81"/>
      <c r="AW412" s="81"/>
      <c r="AX412" s="81"/>
      <c r="AY412" s="81"/>
      <c r="AZ412" s="81"/>
      <c r="BA412" s="81"/>
      <c r="BB412" s="81"/>
    </row>
    <row r="413" spans="1:54" x14ac:dyDescent="0.35">
      <c r="A413" s="66" t="s">
        <v>4338</v>
      </c>
      <c r="B413" s="66" t="s">
        <v>4338</v>
      </c>
      <c r="C413" s="67"/>
      <c r="D413" s="68"/>
      <c r="E413" s="69"/>
      <c r="F413" s="70"/>
      <c r="G413" s="67"/>
      <c r="H413" s="71"/>
      <c r="I413" s="72"/>
      <c r="J413" s="72"/>
      <c r="K413" s="36"/>
      <c r="L413" s="79"/>
      <c r="M413" s="79"/>
      <c r="N413" s="74"/>
      <c r="O413" s="81" t="s">
        <v>179</v>
      </c>
      <c r="P413" s="83">
        <v>44462.126319444447</v>
      </c>
      <c r="Q413" s="81" t="s">
        <v>5366</v>
      </c>
      <c r="R413" s="84" t="str">
        <f>HYPERLINK("https://www.twitch.tv/game_gozth")</f>
        <v>https://www.twitch.tv/game_gozth</v>
      </c>
      <c r="S413" s="81" t="s">
        <v>5712</v>
      </c>
      <c r="T413" s="81"/>
      <c r="U413" s="81"/>
      <c r="V413" s="84" t="str">
        <f>HYPERLINK("https://pbs.twimg.com/profile_images/1357038782017658886/jHGELk0D_normal.jpg")</f>
        <v>https://pbs.twimg.com/profile_images/1357038782017658886/jHGELk0D_normal.jpg</v>
      </c>
      <c r="W413" s="83">
        <v>44462.126319444447</v>
      </c>
      <c r="X413" s="89">
        <v>44462</v>
      </c>
      <c r="Y413" s="86" t="s">
        <v>5967</v>
      </c>
      <c r="Z413" s="84" t="str">
        <f>HYPERLINK("https://twitter.com/ggozth/status/1440874035399872512")</f>
        <v>https://twitter.com/ggozth/status/1440874035399872512</v>
      </c>
      <c r="AA413" s="81"/>
      <c r="AB413" s="81"/>
      <c r="AC413" s="86" t="s">
        <v>6870</v>
      </c>
      <c r="AD413" s="81"/>
      <c r="AE413" s="81" t="b">
        <v>0</v>
      </c>
      <c r="AF413" s="81">
        <v>0</v>
      </c>
      <c r="AG413" s="86" t="s">
        <v>2084</v>
      </c>
      <c r="AH413" s="81" t="b">
        <v>0</v>
      </c>
      <c r="AI413" s="81" t="s">
        <v>2172</v>
      </c>
      <c r="AJ413" s="81"/>
      <c r="AK413" s="86" t="s">
        <v>2084</v>
      </c>
      <c r="AL413" s="81" t="b">
        <v>0</v>
      </c>
      <c r="AM413" s="81">
        <v>1</v>
      </c>
      <c r="AN413" s="86" t="s">
        <v>2084</v>
      </c>
      <c r="AO413" s="86" t="s">
        <v>2179</v>
      </c>
      <c r="AP413" s="81" t="b">
        <v>0</v>
      </c>
      <c r="AQ413" s="86" t="s">
        <v>6870</v>
      </c>
      <c r="AR413" s="81" t="s">
        <v>179</v>
      </c>
      <c r="AS413" s="81">
        <v>0</v>
      </c>
      <c r="AT413" s="81">
        <v>0</v>
      </c>
      <c r="AU413" s="81"/>
      <c r="AV413" s="81"/>
      <c r="AW413" s="81"/>
      <c r="AX413" s="81"/>
      <c r="AY413" s="81"/>
      <c r="AZ413" s="81"/>
      <c r="BA413" s="81"/>
      <c r="BB413" s="81"/>
    </row>
    <row r="414" spans="1:54" x14ac:dyDescent="0.35">
      <c r="A414" s="66" t="s">
        <v>4339</v>
      </c>
      <c r="B414" s="66" t="s">
        <v>4338</v>
      </c>
      <c r="C414" s="67"/>
      <c r="D414" s="68"/>
      <c r="E414" s="69"/>
      <c r="F414" s="70"/>
      <c r="G414" s="67"/>
      <c r="H414" s="71"/>
      <c r="I414" s="72"/>
      <c r="J414" s="72"/>
      <c r="K414" s="36"/>
      <c r="L414" s="79"/>
      <c r="M414" s="79"/>
      <c r="N414" s="74"/>
      <c r="O414" s="81" t="s">
        <v>693</v>
      </c>
      <c r="P414" s="83">
        <v>44462.127604166664</v>
      </c>
      <c r="Q414" s="81" t="s">
        <v>5366</v>
      </c>
      <c r="R414" s="84" t="str">
        <f>HYPERLINK("https://www.twitch.tv/game_gozth")</f>
        <v>https://www.twitch.tv/game_gozth</v>
      </c>
      <c r="S414" s="81" t="s">
        <v>5712</v>
      </c>
      <c r="T414" s="81"/>
      <c r="U414" s="81"/>
      <c r="V414" s="84" t="str">
        <f>HYPERLINK("https://pbs.twimg.com/profile_images/1399746313521094660/LkcWVl9U_normal.jpg")</f>
        <v>https://pbs.twimg.com/profile_images/1399746313521094660/LkcWVl9U_normal.jpg</v>
      </c>
      <c r="W414" s="83">
        <v>44462.127604166664</v>
      </c>
      <c r="X414" s="89">
        <v>44462</v>
      </c>
      <c r="Y414" s="86" t="s">
        <v>5968</v>
      </c>
      <c r="Z414" s="84" t="str">
        <f>HYPERLINK("https://twitter.com/cafepxl/status/1440874497821712386")</f>
        <v>https://twitter.com/cafepxl/status/1440874497821712386</v>
      </c>
      <c r="AA414" s="81"/>
      <c r="AB414" s="81"/>
      <c r="AC414" s="86" t="s">
        <v>6871</v>
      </c>
      <c r="AD414" s="81"/>
      <c r="AE414" s="81" t="b">
        <v>0</v>
      </c>
      <c r="AF414" s="81">
        <v>0</v>
      </c>
      <c r="AG414" s="86" t="s">
        <v>2084</v>
      </c>
      <c r="AH414" s="81" t="b">
        <v>0</v>
      </c>
      <c r="AI414" s="81" t="s">
        <v>2172</v>
      </c>
      <c r="AJ414" s="81"/>
      <c r="AK414" s="86" t="s">
        <v>2084</v>
      </c>
      <c r="AL414" s="81" t="b">
        <v>0</v>
      </c>
      <c r="AM414" s="81">
        <v>1</v>
      </c>
      <c r="AN414" s="86" t="s">
        <v>6870</v>
      </c>
      <c r="AO414" s="86" t="s">
        <v>2181</v>
      </c>
      <c r="AP414" s="81" t="b">
        <v>0</v>
      </c>
      <c r="AQ414" s="86" t="s">
        <v>6870</v>
      </c>
      <c r="AR414" s="81" t="s">
        <v>179</v>
      </c>
      <c r="AS414" s="81">
        <v>0</v>
      </c>
      <c r="AT414" s="81">
        <v>0</v>
      </c>
      <c r="AU414" s="81"/>
      <c r="AV414" s="81"/>
      <c r="AW414" s="81"/>
      <c r="AX414" s="81"/>
      <c r="AY414" s="81"/>
      <c r="AZ414" s="81"/>
      <c r="BA414" s="81"/>
      <c r="BB414" s="81"/>
    </row>
    <row r="415" spans="1:54" x14ac:dyDescent="0.35">
      <c r="A415" s="66" t="s">
        <v>337</v>
      </c>
      <c r="B415" s="66" t="s">
        <v>337</v>
      </c>
      <c r="C415" s="67"/>
      <c r="D415" s="68"/>
      <c r="E415" s="69"/>
      <c r="F415" s="70"/>
      <c r="G415" s="67"/>
      <c r="H415" s="71"/>
      <c r="I415" s="72"/>
      <c r="J415" s="72"/>
      <c r="K415" s="36"/>
      <c r="L415" s="79"/>
      <c r="M415" s="79"/>
      <c r="N415" s="74"/>
      <c r="O415" s="81" t="s">
        <v>179</v>
      </c>
      <c r="P415" s="83">
        <v>44462.128298611111</v>
      </c>
      <c r="Q415" s="81" t="s">
        <v>752</v>
      </c>
      <c r="R415" s="81"/>
      <c r="S415" s="81"/>
      <c r="T415" s="81"/>
      <c r="U415" s="81"/>
      <c r="V415" s="84" t="str">
        <f>HYPERLINK("https://pbs.twimg.com/profile_images/1425469704504635393/VLY5d0Sl_normal.jpg")</f>
        <v>https://pbs.twimg.com/profile_images/1425469704504635393/VLY5d0Sl_normal.jpg</v>
      </c>
      <c r="W415" s="83">
        <v>44462.128298611111</v>
      </c>
      <c r="X415" s="89">
        <v>44462</v>
      </c>
      <c r="Y415" s="86" t="s">
        <v>1143</v>
      </c>
      <c r="Z415" s="84" t="str">
        <f>HYPERLINK("https://twitter.com/peeloffsmile/status/1440874753259020290")</f>
        <v>https://twitter.com/peeloffsmile/status/1440874753259020290</v>
      </c>
      <c r="AA415" s="81"/>
      <c r="AB415" s="81"/>
      <c r="AC415" s="86" t="s">
        <v>1639</v>
      </c>
      <c r="AD415" s="81"/>
      <c r="AE415" s="81" t="b">
        <v>0</v>
      </c>
      <c r="AF415" s="81">
        <v>0</v>
      </c>
      <c r="AG415" s="86" t="s">
        <v>2084</v>
      </c>
      <c r="AH415" s="81" t="b">
        <v>0</v>
      </c>
      <c r="AI415" s="81" t="s">
        <v>2167</v>
      </c>
      <c r="AJ415" s="81"/>
      <c r="AK415" s="86" t="s">
        <v>2084</v>
      </c>
      <c r="AL415" s="81" t="b">
        <v>0</v>
      </c>
      <c r="AM415" s="81">
        <v>0</v>
      </c>
      <c r="AN415" s="86" t="s">
        <v>2084</v>
      </c>
      <c r="AO415" s="86" t="s">
        <v>2178</v>
      </c>
      <c r="AP415" s="81" t="b">
        <v>0</v>
      </c>
      <c r="AQ415" s="86" t="s">
        <v>1639</v>
      </c>
      <c r="AR415" s="81" t="s">
        <v>179</v>
      </c>
      <c r="AS415" s="81">
        <v>0</v>
      </c>
      <c r="AT415" s="81">
        <v>0</v>
      </c>
      <c r="AU415" s="81"/>
      <c r="AV415" s="81"/>
      <c r="AW415" s="81"/>
      <c r="AX415" s="81"/>
      <c r="AY415" s="81"/>
      <c r="AZ415" s="81"/>
      <c r="BA415" s="81"/>
      <c r="BB415" s="81"/>
    </row>
    <row r="416" spans="1:54" x14ac:dyDescent="0.35">
      <c r="A416" s="66" t="s">
        <v>338</v>
      </c>
      <c r="B416" s="66" t="s">
        <v>338</v>
      </c>
      <c r="C416" s="67"/>
      <c r="D416" s="68"/>
      <c r="E416" s="69"/>
      <c r="F416" s="70"/>
      <c r="G416" s="67"/>
      <c r="H416" s="71"/>
      <c r="I416" s="72"/>
      <c r="J416" s="72"/>
      <c r="K416" s="36"/>
      <c r="L416" s="79"/>
      <c r="M416" s="79"/>
      <c r="N416" s="74"/>
      <c r="O416" s="81" t="s">
        <v>179</v>
      </c>
      <c r="P416" s="83">
        <v>44462.129247685189</v>
      </c>
      <c r="Q416" s="81" t="s">
        <v>753</v>
      </c>
      <c r="R416" s="81"/>
      <c r="S416" s="81"/>
      <c r="T416" s="81"/>
      <c r="U416" s="81"/>
      <c r="V416" s="84" t="str">
        <f>HYPERLINK("https://pbs.twimg.com/profile_images/1436563360728846336/k2_-C4_Z_normal.jpg")</f>
        <v>https://pbs.twimg.com/profile_images/1436563360728846336/k2_-C4_Z_normal.jpg</v>
      </c>
      <c r="W416" s="83">
        <v>44462.129247685189</v>
      </c>
      <c r="X416" s="89">
        <v>44462</v>
      </c>
      <c r="Y416" s="86" t="s">
        <v>1144</v>
      </c>
      <c r="Z416" s="84" t="str">
        <f>HYPERLINK("https://twitter.com/namujoon__/status/1440875093706502152")</f>
        <v>https://twitter.com/namujoon__/status/1440875093706502152</v>
      </c>
      <c r="AA416" s="81"/>
      <c r="AB416" s="81"/>
      <c r="AC416" s="86" t="s">
        <v>1640</v>
      </c>
      <c r="AD416" s="81"/>
      <c r="AE416" s="81" t="b">
        <v>0</v>
      </c>
      <c r="AF416" s="81">
        <v>5</v>
      </c>
      <c r="AG416" s="86" t="s">
        <v>2084</v>
      </c>
      <c r="AH416" s="81" t="b">
        <v>0</v>
      </c>
      <c r="AI416" s="81" t="s">
        <v>2167</v>
      </c>
      <c r="AJ416" s="81"/>
      <c r="AK416" s="86" t="s">
        <v>2084</v>
      </c>
      <c r="AL416" s="81" t="b">
        <v>0</v>
      </c>
      <c r="AM416" s="81">
        <v>0</v>
      </c>
      <c r="AN416" s="86" t="s">
        <v>2084</v>
      </c>
      <c r="AO416" s="86" t="s">
        <v>2178</v>
      </c>
      <c r="AP416" s="81" t="b">
        <v>0</v>
      </c>
      <c r="AQ416" s="86" t="s">
        <v>1640</v>
      </c>
      <c r="AR416" s="81" t="s">
        <v>179</v>
      </c>
      <c r="AS416" s="81">
        <v>0</v>
      </c>
      <c r="AT416" s="81">
        <v>0</v>
      </c>
      <c r="AU416" s="81"/>
      <c r="AV416" s="81"/>
      <c r="AW416" s="81"/>
      <c r="AX416" s="81"/>
      <c r="AY416" s="81"/>
      <c r="AZ416" s="81"/>
      <c r="BA416" s="81"/>
      <c r="BB416" s="81"/>
    </row>
    <row r="417" spans="1:54" x14ac:dyDescent="0.35">
      <c r="A417" s="66" t="s">
        <v>4340</v>
      </c>
      <c r="B417" s="66" t="s">
        <v>4963</v>
      </c>
      <c r="C417" s="67"/>
      <c r="D417" s="68"/>
      <c r="E417" s="69"/>
      <c r="F417" s="70"/>
      <c r="G417" s="67"/>
      <c r="H417" s="71"/>
      <c r="I417" s="72"/>
      <c r="J417" s="72"/>
      <c r="K417" s="36"/>
      <c r="L417" s="79"/>
      <c r="M417" s="79"/>
      <c r="N417" s="74"/>
      <c r="O417" s="81" t="s">
        <v>693</v>
      </c>
      <c r="P417" s="83">
        <v>44462.138553240744</v>
      </c>
      <c r="Q417" s="81" t="s">
        <v>5367</v>
      </c>
      <c r="R417" s="81"/>
      <c r="S417" s="81"/>
      <c r="T417" s="81"/>
      <c r="U417" s="81"/>
      <c r="V417" s="84" t="str">
        <f>HYPERLINK("https://pbs.twimg.com/profile_images/1395944823618744322/zYsr20O4_normal.jpg")</f>
        <v>https://pbs.twimg.com/profile_images/1395944823618744322/zYsr20O4_normal.jpg</v>
      </c>
      <c r="W417" s="83">
        <v>44462.138553240744</v>
      </c>
      <c r="X417" s="89">
        <v>44462</v>
      </c>
      <c r="Y417" s="86" t="s">
        <v>5969</v>
      </c>
      <c r="Z417" s="84" t="str">
        <f>HYPERLINK("https://twitter.com/roselimatos10/status/1440878466510036997")</f>
        <v>https://twitter.com/roselimatos10/status/1440878466510036997</v>
      </c>
      <c r="AA417" s="81"/>
      <c r="AB417" s="81"/>
      <c r="AC417" s="86" t="s">
        <v>6872</v>
      </c>
      <c r="AD417" s="81"/>
      <c r="AE417" s="81" t="b">
        <v>0</v>
      </c>
      <c r="AF417" s="81">
        <v>0</v>
      </c>
      <c r="AG417" s="86" t="s">
        <v>2084</v>
      </c>
      <c r="AH417" s="81" t="b">
        <v>0</v>
      </c>
      <c r="AI417" s="81" t="s">
        <v>2171</v>
      </c>
      <c r="AJ417" s="81"/>
      <c r="AK417" s="86" t="s">
        <v>2084</v>
      </c>
      <c r="AL417" s="81" t="b">
        <v>0</v>
      </c>
      <c r="AM417" s="81">
        <v>1</v>
      </c>
      <c r="AN417" s="86" t="s">
        <v>7574</v>
      </c>
      <c r="AO417" s="86" t="s">
        <v>2178</v>
      </c>
      <c r="AP417" s="81" t="b">
        <v>0</v>
      </c>
      <c r="AQ417" s="86" t="s">
        <v>7574</v>
      </c>
      <c r="AR417" s="81" t="s">
        <v>179</v>
      </c>
      <c r="AS417" s="81">
        <v>0</v>
      </c>
      <c r="AT417" s="81">
        <v>0</v>
      </c>
      <c r="AU417" s="81"/>
      <c r="AV417" s="81"/>
      <c r="AW417" s="81"/>
      <c r="AX417" s="81"/>
      <c r="AY417" s="81"/>
      <c r="AZ417" s="81"/>
      <c r="BA417" s="81"/>
      <c r="BB417" s="81"/>
    </row>
    <row r="418" spans="1:54" x14ac:dyDescent="0.35">
      <c r="A418" s="66" t="s">
        <v>4340</v>
      </c>
      <c r="B418" s="66" t="s">
        <v>5037</v>
      </c>
      <c r="C418" s="67"/>
      <c r="D418" s="68"/>
      <c r="E418" s="69"/>
      <c r="F418" s="70"/>
      <c r="G418" s="67"/>
      <c r="H418" s="71"/>
      <c r="I418" s="72"/>
      <c r="J418" s="72"/>
      <c r="K418" s="36"/>
      <c r="L418" s="79"/>
      <c r="M418" s="79"/>
      <c r="N418" s="74"/>
      <c r="O418" s="81" t="s">
        <v>695</v>
      </c>
      <c r="P418" s="83">
        <v>44462.138553240744</v>
      </c>
      <c r="Q418" s="81" t="s">
        <v>5367</v>
      </c>
      <c r="R418" s="81"/>
      <c r="S418" s="81"/>
      <c r="T418" s="81"/>
      <c r="U418" s="81"/>
      <c r="V418" s="84" t="str">
        <f>HYPERLINK("https://pbs.twimg.com/profile_images/1395944823618744322/zYsr20O4_normal.jpg")</f>
        <v>https://pbs.twimg.com/profile_images/1395944823618744322/zYsr20O4_normal.jpg</v>
      </c>
      <c r="W418" s="83">
        <v>44462.138553240744</v>
      </c>
      <c r="X418" s="89">
        <v>44462</v>
      </c>
      <c r="Y418" s="86" t="s">
        <v>5969</v>
      </c>
      <c r="Z418" s="84" t="str">
        <f>HYPERLINK("https://twitter.com/roselimatos10/status/1440878466510036997")</f>
        <v>https://twitter.com/roselimatos10/status/1440878466510036997</v>
      </c>
      <c r="AA418" s="81"/>
      <c r="AB418" s="81"/>
      <c r="AC418" s="86" t="s">
        <v>6872</v>
      </c>
      <c r="AD418" s="81"/>
      <c r="AE418" s="81" t="b">
        <v>0</v>
      </c>
      <c r="AF418" s="81">
        <v>0</v>
      </c>
      <c r="AG418" s="86" t="s">
        <v>2084</v>
      </c>
      <c r="AH418" s="81" t="b">
        <v>0</v>
      </c>
      <c r="AI418" s="81" t="s">
        <v>2171</v>
      </c>
      <c r="AJ418" s="81"/>
      <c r="AK418" s="86" t="s">
        <v>2084</v>
      </c>
      <c r="AL418" s="81" t="b">
        <v>0</v>
      </c>
      <c r="AM418" s="81">
        <v>1</v>
      </c>
      <c r="AN418" s="86" t="s">
        <v>7574</v>
      </c>
      <c r="AO418" s="86" t="s">
        <v>2178</v>
      </c>
      <c r="AP418" s="81" t="b">
        <v>0</v>
      </c>
      <c r="AQ418" s="86" t="s">
        <v>7574</v>
      </c>
      <c r="AR418" s="81" t="s">
        <v>179</v>
      </c>
      <c r="AS418" s="81">
        <v>0</v>
      </c>
      <c r="AT418" s="81">
        <v>0</v>
      </c>
      <c r="AU418" s="81"/>
      <c r="AV418" s="81"/>
      <c r="AW418" s="81"/>
      <c r="AX418" s="81"/>
      <c r="AY418" s="81"/>
      <c r="AZ418" s="81"/>
      <c r="BA418" s="81"/>
      <c r="BB418" s="81"/>
    </row>
    <row r="419" spans="1:54" x14ac:dyDescent="0.35">
      <c r="A419" s="66" t="s">
        <v>339</v>
      </c>
      <c r="B419" s="66" t="s">
        <v>423</v>
      </c>
      <c r="C419" s="67"/>
      <c r="D419" s="68"/>
      <c r="E419" s="69"/>
      <c r="F419" s="70"/>
      <c r="G419" s="67"/>
      <c r="H419" s="71"/>
      <c r="I419" s="72"/>
      <c r="J419" s="72"/>
      <c r="K419" s="36"/>
      <c r="L419" s="79"/>
      <c r="M419" s="79"/>
      <c r="N419" s="74"/>
      <c r="O419" s="81" t="s">
        <v>693</v>
      </c>
      <c r="P419" s="83">
        <v>44462.140231481484</v>
      </c>
      <c r="Q419" s="81" t="s">
        <v>754</v>
      </c>
      <c r="R419" s="81"/>
      <c r="S419" s="81"/>
      <c r="T419" s="81"/>
      <c r="U419" s="81"/>
      <c r="V419" s="84" t="str">
        <f>HYPERLINK("https://pbs.twimg.com/profile_images/1443050050737741828/uKXz_d02_normal.jpg")</f>
        <v>https://pbs.twimg.com/profile_images/1443050050737741828/uKXz_d02_normal.jpg</v>
      </c>
      <c r="W419" s="83">
        <v>44462.140231481484</v>
      </c>
      <c r="X419" s="89">
        <v>44462</v>
      </c>
      <c r="Y419" s="86" t="s">
        <v>1145</v>
      </c>
      <c r="Z419" s="84" t="str">
        <f>HYPERLINK("https://twitter.com/faayyyh/status/1440879077167022084")</f>
        <v>https://twitter.com/faayyyh/status/1440879077167022084</v>
      </c>
      <c r="AA419" s="81"/>
      <c r="AB419" s="81"/>
      <c r="AC419" s="86" t="s">
        <v>1641</v>
      </c>
      <c r="AD419" s="81"/>
      <c r="AE419" s="81" t="b">
        <v>0</v>
      </c>
      <c r="AF419" s="81">
        <v>0</v>
      </c>
      <c r="AG419" s="86" t="s">
        <v>2084</v>
      </c>
      <c r="AH419" s="81" t="b">
        <v>0</v>
      </c>
      <c r="AI419" s="81" t="s">
        <v>2168</v>
      </c>
      <c r="AJ419" s="81"/>
      <c r="AK419" s="86" t="s">
        <v>2084</v>
      </c>
      <c r="AL419" s="81" t="b">
        <v>0</v>
      </c>
      <c r="AM419" s="81">
        <v>6</v>
      </c>
      <c r="AN419" s="86" t="s">
        <v>1755</v>
      </c>
      <c r="AO419" s="86" t="s">
        <v>2178</v>
      </c>
      <c r="AP419" s="81" t="b">
        <v>0</v>
      </c>
      <c r="AQ419" s="86" t="s">
        <v>1755</v>
      </c>
      <c r="AR419" s="81" t="s">
        <v>179</v>
      </c>
      <c r="AS419" s="81">
        <v>0</v>
      </c>
      <c r="AT419" s="81">
        <v>0</v>
      </c>
      <c r="AU419" s="81"/>
      <c r="AV419" s="81"/>
      <c r="AW419" s="81"/>
      <c r="AX419" s="81"/>
      <c r="AY419" s="81"/>
      <c r="AZ419" s="81"/>
      <c r="BA419" s="81"/>
      <c r="BB419" s="81"/>
    </row>
    <row r="420" spans="1:54" x14ac:dyDescent="0.35">
      <c r="A420" s="66" t="s">
        <v>340</v>
      </c>
      <c r="B420" s="66" t="s">
        <v>340</v>
      </c>
      <c r="C420" s="67"/>
      <c r="D420" s="68"/>
      <c r="E420" s="69"/>
      <c r="F420" s="70"/>
      <c r="G420" s="67"/>
      <c r="H420" s="71"/>
      <c r="I420" s="72"/>
      <c r="J420" s="72"/>
      <c r="K420" s="36"/>
      <c r="L420" s="79"/>
      <c r="M420" s="79"/>
      <c r="N420" s="74"/>
      <c r="O420" s="81" t="s">
        <v>179</v>
      </c>
      <c r="P420" s="83">
        <v>44462.147337962961</v>
      </c>
      <c r="Q420" s="81" t="s">
        <v>755</v>
      </c>
      <c r="R420" s="81"/>
      <c r="S420" s="81"/>
      <c r="T420" s="81"/>
      <c r="U420" s="81"/>
      <c r="V420" s="84" t="str">
        <f>HYPERLINK("https://pbs.twimg.com/profile_images/1438896010399416332/KVy5M-3X_normal.jpg")</f>
        <v>https://pbs.twimg.com/profile_images/1438896010399416332/KVy5M-3X_normal.jpg</v>
      </c>
      <c r="W420" s="83">
        <v>44462.147337962961</v>
      </c>
      <c r="X420" s="89">
        <v>44462</v>
      </c>
      <c r="Y420" s="86" t="s">
        <v>1146</v>
      </c>
      <c r="Z420" s="84" t="str">
        <f>HYPERLINK("https://twitter.com/aidilzulkefli_/status/1440881651123318787")</f>
        <v>https://twitter.com/aidilzulkefli_/status/1440881651123318787</v>
      </c>
      <c r="AA420" s="81"/>
      <c r="AB420" s="81"/>
      <c r="AC420" s="86" t="s">
        <v>1642</v>
      </c>
      <c r="AD420" s="81"/>
      <c r="AE420" s="81" t="b">
        <v>0</v>
      </c>
      <c r="AF420" s="81">
        <v>0</v>
      </c>
      <c r="AG420" s="86" t="s">
        <v>2084</v>
      </c>
      <c r="AH420" s="81" t="b">
        <v>0</v>
      </c>
      <c r="AI420" s="81" t="s">
        <v>2167</v>
      </c>
      <c r="AJ420" s="81"/>
      <c r="AK420" s="86" t="s">
        <v>2084</v>
      </c>
      <c r="AL420" s="81" t="b">
        <v>0</v>
      </c>
      <c r="AM420" s="81">
        <v>0</v>
      </c>
      <c r="AN420" s="86" t="s">
        <v>2084</v>
      </c>
      <c r="AO420" s="86" t="s">
        <v>2179</v>
      </c>
      <c r="AP420" s="81" t="b">
        <v>0</v>
      </c>
      <c r="AQ420" s="86" t="s">
        <v>1642</v>
      </c>
      <c r="AR420" s="81" t="s">
        <v>179</v>
      </c>
      <c r="AS420" s="81">
        <v>0</v>
      </c>
      <c r="AT420" s="81">
        <v>0</v>
      </c>
      <c r="AU420" s="81"/>
      <c r="AV420" s="81"/>
      <c r="AW420" s="81"/>
      <c r="AX420" s="81"/>
      <c r="AY420" s="81"/>
      <c r="AZ420" s="81"/>
      <c r="BA420" s="81"/>
      <c r="BB420" s="81"/>
    </row>
    <row r="421" spans="1:54" x14ac:dyDescent="0.35">
      <c r="A421" s="66" t="s">
        <v>341</v>
      </c>
      <c r="B421" s="66" t="s">
        <v>423</v>
      </c>
      <c r="C421" s="67"/>
      <c r="D421" s="68"/>
      <c r="E421" s="69"/>
      <c r="F421" s="70"/>
      <c r="G421" s="67"/>
      <c r="H421" s="71"/>
      <c r="I421" s="72"/>
      <c r="J421" s="72"/>
      <c r="K421" s="36"/>
      <c r="L421" s="79"/>
      <c r="M421" s="79"/>
      <c r="N421" s="74"/>
      <c r="O421" s="81" t="s">
        <v>693</v>
      </c>
      <c r="P421" s="83">
        <v>44462.188576388886</v>
      </c>
      <c r="Q421" s="81" t="s">
        <v>754</v>
      </c>
      <c r="R421" s="81"/>
      <c r="S421" s="81"/>
      <c r="T421" s="81"/>
      <c r="U421" s="81"/>
      <c r="V421" s="84" t="str">
        <f>HYPERLINK("https://pbs.twimg.com/profile_images/1431485031566897154/JqH9xZtg_normal.jpg")</f>
        <v>https://pbs.twimg.com/profile_images/1431485031566897154/JqH9xZtg_normal.jpg</v>
      </c>
      <c r="W421" s="83">
        <v>44462.188576388886</v>
      </c>
      <c r="X421" s="89">
        <v>44462</v>
      </c>
      <c r="Y421" s="86" t="s">
        <v>1147</v>
      </c>
      <c r="Z421" s="84" t="str">
        <f>HYPERLINK("https://twitter.com/dvisyyy_/status/1440896595239661570")</f>
        <v>https://twitter.com/dvisyyy_/status/1440896595239661570</v>
      </c>
      <c r="AA421" s="81"/>
      <c r="AB421" s="81"/>
      <c r="AC421" s="86" t="s">
        <v>1643</v>
      </c>
      <c r="AD421" s="81"/>
      <c r="AE421" s="81" t="b">
        <v>0</v>
      </c>
      <c r="AF421" s="81">
        <v>0</v>
      </c>
      <c r="AG421" s="86" t="s">
        <v>2084</v>
      </c>
      <c r="AH421" s="81" t="b">
        <v>0</v>
      </c>
      <c r="AI421" s="81" t="s">
        <v>2168</v>
      </c>
      <c r="AJ421" s="81"/>
      <c r="AK421" s="86" t="s">
        <v>2084</v>
      </c>
      <c r="AL421" s="81" t="b">
        <v>0</v>
      </c>
      <c r="AM421" s="81">
        <v>6</v>
      </c>
      <c r="AN421" s="86" t="s">
        <v>1755</v>
      </c>
      <c r="AO421" s="86" t="s">
        <v>2178</v>
      </c>
      <c r="AP421" s="81" t="b">
        <v>0</v>
      </c>
      <c r="AQ421" s="86" t="s">
        <v>1755</v>
      </c>
      <c r="AR421" s="81" t="s">
        <v>179</v>
      </c>
      <c r="AS421" s="81">
        <v>0</v>
      </c>
      <c r="AT421" s="81">
        <v>0</v>
      </c>
      <c r="AU421" s="81"/>
      <c r="AV421" s="81"/>
      <c r="AW421" s="81"/>
      <c r="AX421" s="81"/>
      <c r="AY421" s="81"/>
      <c r="AZ421" s="81"/>
      <c r="BA421" s="81"/>
      <c r="BB421" s="81"/>
    </row>
    <row r="422" spans="1:54" x14ac:dyDescent="0.35">
      <c r="A422" s="66" t="s">
        <v>398</v>
      </c>
      <c r="B422" s="66" t="s">
        <v>398</v>
      </c>
      <c r="C422" s="67"/>
      <c r="D422" s="68"/>
      <c r="E422" s="69"/>
      <c r="F422" s="70"/>
      <c r="G422" s="67"/>
      <c r="H422" s="71"/>
      <c r="I422" s="72"/>
      <c r="J422" s="72"/>
      <c r="K422" s="36"/>
      <c r="L422" s="79"/>
      <c r="M422" s="79"/>
      <c r="N422" s="74"/>
      <c r="O422" s="81" t="s">
        <v>179</v>
      </c>
      <c r="P422" s="83">
        <v>44462.226412037038</v>
      </c>
      <c r="Q422" s="81" t="s">
        <v>789</v>
      </c>
      <c r="R422" s="84" t="s">
        <v>931</v>
      </c>
      <c r="S422" s="81" t="s">
        <v>959</v>
      </c>
      <c r="T422" s="86" t="s">
        <v>985</v>
      </c>
      <c r="U422" s="81"/>
      <c r="V422" s="84" t="str">
        <f>HYPERLINK("https://pbs.twimg.com/profile_images/1347980680597147648/bfOplA4w_normal.jpg")</f>
        <v>https://pbs.twimg.com/profile_images/1347980680597147648/bfOplA4w_normal.jpg</v>
      </c>
      <c r="W422" s="83">
        <v>44462.226412037038</v>
      </c>
      <c r="X422" s="89">
        <v>44462</v>
      </c>
      <c r="Y422" s="86" t="s">
        <v>1227</v>
      </c>
      <c r="Z422" s="84" t="str">
        <f>HYPERLINK("https://twitter.com/bursakerja20/status/1440910307501608965")</f>
        <v>https://twitter.com/bursakerja20/status/1440910307501608965</v>
      </c>
      <c r="AA422" s="81"/>
      <c r="AB422" s="81"/>
      <c r="AC422" s="86" t="s">
        <v>1723</v>
      </c>
      <c r="AD422" s="81"/>
      <c r="AE422" s="81" t="b">
        <v>0</v>
      </c>
      <c r="AF422" s="81">
        <v>0</v>
      </c>
      <c r="AG422" s="86" t="s">
        <v>2084</v>
      </c>
      <c r="AH422" s="81" t="b">
        <v>0</v>
      </c>
      <c r="AI422" s="81" t="s">
        <v>2167</v>
      </c>
      <c r="AJ422" s="81"/>
      <c r="AK422" s="86" t="s">
        <v>2084</v>
      </c>
      <c r="AL422" s="81" t="b">
        <v>0</v>
      </c>
      <c r="AM422" s="81">
        <v>0</v>
      </c>
      <c r="AN422" s="86" t="s">
        <v>2084</v>
      </c>
      <c r="AO422" s="86" t="s">
        <v>2188</v>
      </c>
      <c r="AP422" s="81" t="b">
        <v>0</v>
      </c>
      <c r="AQ422" s="86" t="s">
        <v>1723</v>
      </c>
      <c r="AR422" s="81" t="s">
        <v>179</v>
      </c>
      <c r="AS422" s="81">
        <v>0</v>
      </c>
      <c r="AT422" s="81">
        <v>0</v>
      </c>
      <c r="AU422" s="81"/>
      <c r="AV422" s="81"/>
      <c r="AW422" s="81"/>
      <c r="AX422" s="81"/>
      <c r="AY422" s="81"/>
      <c r="AZ422" s="81"/>
      <c r="BA422" s="81"/>
      <c r="BB422" s="81"/>
    </row>
    <row r="423" spans="1:54" x14ac:dyDescent="0.35">
      <c r="A423" s="66" t="s">
        <v>342</v>
      </c>
      <c r="B423" s="66" t="s">
        <v>423</v>
      </c>
      <c r="C423" s="67"/>
      <c r="D423" s="68"/>
      <c r="E423" s="69"/>
      <c r="F423" s="70"/>
      <c r="G423" s="67"/>
      <c r="H423" s="71"/>
      <c r="I423" s="72"/>
      <c r="J423" s="72"/>
      <c r="K423" s="36"/>
      <c r="L423" s="79"/>
      <c r="M423" s="79"/>
      <c r="N423" s="74"/>
      <c r="O423" s="81" t="s">
        <v>693</v>
      </c>
      <c r="P423" s="83">
        <v>44462.235381944447</v>
      </c>
      <c r="Q423" s="81" t="s">
        <v>754</v>
      </c>
      <c r="R423" s="81"/>
      <c r="S423" s="81"/>
      <c r="T423" s="81"/>
      <c r="U423" s="81"/>
      <c r="V423" s="84" t="str">
        <f>HYPERLINK("https://pbs.twimg.com/profile_images/1439767324379136007/jklWuMKI_normal.jpg")</f>
        <v>https://pbs.twimg.com/profile_images/1439767324379136007/jklWuMKI_normal.jpg</v>
      </c>
      <c r="W423" s="83">
        <v>44462.235381944447</v>
      </c>
      <c r="X423" s="89">
        <v>44462</v>
      </c>
      <c r="Y423" s="86" t="s">
        <v>1148</v>
      </c>
      <c r="Z423" s="84" t="str">
        <f>HYPERLINK("https://twitter.com/ashataee/status/1440913557877497856")</f>
        <v>https://twitter.com/ashataee/status/1440913557877497856</v>
      </c>
      <c r="AA423" s="81"/>
      <c r="AB423" s="81"/>
      <c r="AC423" s="86" t="s">
        <v>1644</v>
      </c>
      <c r="AD423" s="81"/>
      <c r="AE423" s="81" t="b">
        <v>0</v>
      </c>
      <c r="AF423" s="81">
        <v>0</v>
      </c>
      <c r="AG423" s="86" t="s">
        <v>2084</v>
      </c>
      <c r="AH423" s="81" t="b">
        <v>0</v>
      </c>
      <c r="AI423" s="81" t="s">
        <v>2168</v>
      </c>
      <c r="AJ423" s="81"/>
      <c r="AK423" s="86" t="s">
        <v>2084</v>
      </c>
      <c r="AL423" s="81" t="b">
        <v>0</v>
      </c>
      <c r="AM423" s="81">
        <v>6</v>
      </c>
      <c r="AN423" s="86" t="s">
        <v>1755</v>
      </c>
      <c r="AO423" s="86" t="s">
        <v>2178</v>
      </c>
      <c r="AP423" s="81" t="b">
        <v>0</v>
      </c>
      <c r="AQ423" s="86" t="s">
        <v>1755</v>
      </c>
      <c r="AR423" s="81" t="s">
        <v>179</v>
      </c>
      <c r="AS423" s="81">
        <v>0</v>
      </c>
      <c r="AT423" s="81">
        <v>0</v>
      </c>
      <c r="AU423" s="81"/>
      <c r="AV423" s="81"/>
      <c r="AW423" s="81"/>
      <c r="AX423" s="81"/>
      <c r="AY423" s="81"/>
      <c r="AZ423" s="81"/>
      <c r="BA423" s="81"/>
      <c r="BB423" s="81"/>
    </row>
    <row r="424" spans="1:54" x14ac:dyDescent="0.35">
      <c r="A424" s="66" t="s">
        <v>343</v>
      </c>
      <c r="B424" s="66" t="s">
        <v>423</v>
      </c>
      <c r="C424" s="67"/>
      <c r="D424" s="68"/>
      <c r="E424" s="69"/>
      <c r="F424" s="70"/>
      <c r="G424" s="67"/>
      <c r="H424" s="71"/>
      <c r="I424" s="72"/>
      <c r="J424" s="72"/>
      <c r="K424" s="36"/>
      <c r="L424" s="79"/>
      <c r="M424" s="79"/>
      <c r="N424" s="74"/>
      <c r="O424" s="81" t="s">
        <v>693</v>
      </c>
      <c r="P424" s="83">
        <v>44462.239652777775</v>
      </c>
      <c r="Q424" s="81" t="s">
        <v>754</v>
      </c>
      <c r="R424" s="81"/>
      <c r="S424" s="81"/>
      <c r="T424" s="81"/>
      <c r="U424" s="81"/>
      <c r="V424" s="84" t="str">
        <f>HYPERLINK("https://pbs.twimg.com/profile_images/1443063376125444097/UWhE8rdF_normal.jpg")</f>
        <v>https://pbs.twimg.com/profile_images/1443063376125444097/UWhE8rdF_normal.jpg</v>
      </c>
      <c r="W424" s="83">
        <v>44462.239652777775</v>
      </c>
      <c r="X424" s="89">
        <v>44462</v>
      </c>
      <c r="Y424" s="86" t="s">
        <v>1149</v>
      </c>
      <c r="Z424" s="84" t="str">
        <f>HYPERLINK("https://twitter.com/jngwoozeus/status/1440915105290416135")</f>
        <v>https://twitter.com/jngwoozeus/status/1440915105290416135</v>
      </c>
      <c r="AA424" s="81"/>
      <c r="AB424" s="81"/>
      <c r="AC424" s="86" t="s">
        <v>1645</v>
      </c>
      <c r="AD424" s="81"/>
      <c r="AE424" s="81" t="b">
        <v>0</v>
      </c>
      <c r="AF424" s="81">
        <v>0</v>
      </c>
      <c r="AG424" s="86" t="s">
        <v>2084</v>
      </c>
      <c r="AH424" s="81" t="b">
        <v>0</v>
      </c>
      <c r="AI424" s="81" t="s">
        <v>2168</v>
      </c>
      <c r="AJ424" s="81"/>
      <c r="AK424" s="86" t="s">
        <v>2084</v>
      </c>
      <c r="AL424" s="81" t="b">
        <v>0</v>
      </c>
      <c r="AM424" s="81">
        <v>6</v>
      </c>
      <c r="AN424" s="86" t="s">
        <v>1755</v>
      </c>
      <c r="AO424" s="86" t="s">
        <v>2179</v>
      </c>
      <c r="AP424" s="81" t="b">
        <v>0</v>
      </c>
      <c r="AQ424" s="86" t="s">
        <v>1755</v>
      </c>
      <c r="AR424" s="81" t="s">
        <v>179</v>
      </c>
      <c r="AS424" s="81">
        <v>0</v>
      </c>
      <c r="AT424" s="81">
        <v>0</v>
      </c>
      <c r="AU424" s="81"/>
      <c r="AV424" s="81"/>
      <c r="AW424" s="81"/>
      <c r="AX424" s="81"/>
      <c r="AY424" s="81"/>
      <c r="AZ424" s="81"/>
      <c r="BA424" s="81"/>
      <c r="BB424" s="81"/>
    </row>
    <row r="425" spans="1:54" x14ac:dyDescent="0.35">
      <c r="A425" s="66" t="s">
        <v>4341</v>
      </c>
      <c r="B425" s="66" t="s">
        <v>4341</v>
      </c>
      <c r="C425" s="67"/>
      <c r="D425" s="68"/>
      <c r="E425" s="69"/>
      <c r="F425" s="70"/>
      <c r="G425" s="67"/>
      <c r="H425" s="71"/>
      <c r="I425" s="72"/>
      <c r="J425" s="72"/>
      <c r="K425" s="36"/>
      <c r="L425" s="79"/>
      <c r="M425" s="79"/>
      <c r="N425" s="74"/>
      <c r="O425" s="81" t="s">
        <v>179</v>
      </c>
      <c r="P425" s="83">
        <v>44462.243171296293</v>
      </c>
      <c r="Q425" s="81" t="s">
        <v>5368</v>
      </c>
      <c r="R425" s="84" t="str">
        <f>HYPERLINK("https://www.dn.pt/politica/autarquicas-jeronimo-alerta-que-apoios-tem-de-continuar-no-pos-pandemia--14147386.html")</f>
        <v>https://www.dn.pt/politica/autarquicas-jeronimo-alerta-que-apoios-tem-de-continuar-no-pos-pandemia--14147386.html</v>
      </c>
      <c r="S425" s="81" t="s">
        <v>5706</v>
      </c>
      <c r="T425" s="81"/>
      <c r="U425" s="81"/>
      <c r="V425" s="84" t="str">
        <f>HYPERLINK("https://pbs.twimg.com/profile_images/1421425070539481092/U9KO-K5H_normal.jpg")</f>
        <v>https://pbs.twimg.com/profile_images/1421425070539481092/U9KO-K5H_normal.jpg</v>
      </c>
      <c r="W425" s="83">
        <v>44462.243171296293</v>
      </c>
      <c r="X425" s="89">
        <v>44462</v>
      </c>
      <c r="Y425" s="86" t="s">
        <v>5970</v>
      </c>
      <c r="Z425" s="84" t="str">
        <f>HYPERLINK("https://twitter.com/josemssantos/status/1440916380090576897")</f>
        <v>https://twitter.com/josemssantos/status/1440916380090576897</v>
      </c>
      <c r="AA425" s="81"/>
      <c r="AB425" s="81"/>
      <c r="AC425" s="86" t="s">
        <v>6873</v>
      </c>
      <c r="AD425" s="81"/>
      <c r="AE425" s="81" t="b">
        <v>0</v>
      </c>
      <c r="AF425" s="81">
        <v>1</v>
      </c>
      <c r="AG425" s="86" t="s">
        <v>2084</v>
      </c>
      <c r="AH425" s="81" t="b">
        <v>0</v>
      </c>
      <c r="AI425" s="81" t="s">
        <v>2171</v>
      </c>
      <c r="AJ425" s="81"/>
      <c r="AK425" s="86" t="s">
        <v>2084</v>
      </c>
      <c r="AL425" s="81" t="b">
        <v>0</v>
      </c>
      <c r="AM425" s="81">
        <v>0</v>
      </c>
      <c r="AN425" s="86" t="s">
        <v>2084</v>
      </c>
      <c r="AO425" s="86" t="s">
        <v>2181</v>
      </c>
      <c r="AP425" s="81" t="b">
        <v>0</v>
      </c>
      <c r="AQ425" s="86" t="s">
        <v>6873</v>
      </c>
      <c r="AR425" s="81" t="s">
        <v>179</v>
      </c>
      <c r="AS425" s="81">
        <v>0</v>
      </c>
      <c r="AT425" s="81">
        <v>0</v>
      </c>
      <c r="AU425" s="81"/>
      <c r="AV425" s="81"/>
      <c r="AW425" s="81"/>
      <c r="AX425" s="81"/>
      <c r="AY425" s="81"/>
      <c r="AZ425" s="81"/>
      <c r="BA425" s="81"/>
      <c r="BB425" s="81"/>
    </row>
    <row r="426" spans="1:54" x14ac:dyDescent="0.35">
      <c r="A426" s="66" t="s">
        <v>345</v>
      </c>
      <c r="B426" s="66" t="s">
        <v>344</v>
      </c>
      <c r="C426" s="67"/>
      <c r="D426" s="68"/>
      <c r="E426" s="69"/>
      <c r="F426" s="70"/>
      <c r="G426" s="67"/>
      <c r="H426" s="71"/>
      <c r="I426" s="72"/>
      <c r="J426" s="72"/>
      <c r="K426" s="36"/>
      <c r="L426" s="79"/>
      <c r="M426" s="79"/>
      <c r="N426" s="74"/>
      <c r="O426" s="81" t="s">
        <v>693</v>
      </c>
      <c r="P426" s="83">
        <v>44462.244675925926</v>
      </c>
      <c r="Q426" s="81" t="s">
        <v>743</v>
      </c>
      <c r="R426" s="81"/>
      <c r="S426" s="81"/>
      <c r="T426" s="86" t="s">
        <v>977</v>
      </c>
      <c r="U426" s="84" t="str">
        <f>HYPERLINK("https://pbs.twimg.com/media/E_4G1w0UcAYtmKg.jpg")</f>
        <v>https://pbs.twimg.com/media/E_4G1w0UcAYtmKg.jpg</v>
      </c>
      <c r="V426" s="84" t="str">
        <f>HYPERLINK("https://pbs.twimg.com/media/E_4G1w0UcAYtmKg.jpg")</f>
        <v>https://pbs.twimg.com/media/E_4G1w0UcAYtmKg.jpg</v>
      </c>
      <c r="W426" s="83">
        <v>44462.244675925926</v>
      </c>
      <c r="X426" s="89">
        <v>44462</v>
      </c>
      <c r="Y426" s="86" t="s">
        <v>1151</v>
      </c>
      <c r="Z426" s="84" t="str">
        <f>HYPERLINK("https://twitter.com/psrnctrt/status/1440916922917294084")</f>
        <v>https://twitter.com/psrnctrt/status/1440916922917294084</v>
      </c>
      <c r="AA426" s="81"/>
      <c r="AB426" s="81"/>
      <c r="AC426" s="86" t="s">
        <v>1647</v>
      </c>
      <c r="AD426" s="81"/>
      <c r="AE426" s="81" t="b">
        <v>0</v>
      </c>
      <c r="AF426" s="81">
        <v>0</v>
      </c>
      <c r="AG426" s="86" t="s">
        <v>2084</v>
      </c>
      <c r="AH426" s="81" t="b">
        <v>0</v>
      </c>
      <c r="AI426" s="81" t="s">
        <v>2168</v>
      </c>
      <c r="AJ426" s="81"/>
      <c r="AK426" s="86" t="s">
        <v>2084</v>
      </c>
      <c r="AL426" s="81" t="b">
        <v>0</v>
      </c>
      <c r="AM426" s="81">
        <v>12</v>
      </c>
      <c r="AN426" s="86" t="s">
        <v>1646</v>
      </c>
      <c r="AO426" s="86" t="s">
        <v>2178</v>
      </c>
      <c r="AP426" s="81" t="b">
        <v>0</v>
      </c>
      <c r="AQ426" s="86" t="s">
        <v>1646</v>
      </c>
      <c r="AR426" s="81" t="s">
        <v>179</v>
      </c>
      <c r="AS426" s="81">
        <v>0</v>
      </c>
      <c r="AT426" s="81">
        <v>0</v>
      </c>
      <c r="AU426" s="81"/>
      <c r="AV426" s="81"/>
      <c r="AW426" s="81"/>
      <c r="AX426" s="81"/>
      <c r="AY426" s="81"/>
      <c r="AZ426" s="81"/>
      <c r="BA426" s="81"/>
      <c r="BB426" s="81"/>
    </row>
    <row r="427" spans="1:54" x14ac:dyDescent="0.35">
      <c r="A427" s="66" t="s">
        <v>4342</v>
      </c>
      <c r="B427" s="66" t="s">
        <v>5038</v>
      </c>
      <c r="C427" s="67"/>
      <c r="D427" s="68"/>
      <c r="E427" s="69"/>
      <c r="F427" s="70"/>
      <c r="G427" s="67"/>
      <c r="H427" s="71"/>
      <c r="I427" s="72"/>
      <c r="J427" s="72"/>
      <c r="K427" s="36"/>
      <c r="L427" s="79"/>
      <c r="M427" s="79"/>
      <c r="N427" s="74"/>
      <c r="O427" s="81" t="s">
        <v>695</v>
      </c>
      <c r="P427" s="83">
        <v>44462.25277777778</v>
      </c>
      <c r="Q427" s="81" t="s">
        <v>5369</v>
      </c>
      <c r="R427" s="81"/>
      <c r="S427" s="81"/>
      <c r="T427" s="81"/>
      <c r="U427" s="81"/>
      <c r="V427" s="84" t="str">
        <f>HYPERLINK("https://pbs.twimg.com/profile_images/1391341056176713729/O5oIfEn3_normal.jpg")</f>
        <v>https://pbs.twimg.com/profile_images/1391341056176713729/O5oIfEn3_normal.jpg</v>
      </c>
      <c r="W427" s="83">
        <v>44462.25277777778</v>
      </c>
      <c r="X427" s="89">
        <v>44462</v>
      </c>
      <c r="Y427" s="86" t="s">
        <v>5971</v>
      </c>
      <c r="Z427" s="84" t="str">
        <f>HYPERLINK("https://twitter.com/ratnadewi1392/status/1440919860163141634")</f>
        <v>https://twitter.com/ratnadewi1392/status/1440919860163141634</v>
      </c>
      <c r="AA427" s="81"/>
      <c r="AB427" s="81"/>
      <c r="AC427" s="86" t="s">
        <v>6874</v>
      </c>
      <c r="AD427" s="86" t="s">
        <v>7652</v>
      </c>
      <c r="AE427" s="81" t="b">
        <v>0</v>
      </c>
      <c r="AF427" s="81">
        <v>0</v>
      </c>
      <c r="AG427" s="86" t="s">
        <v>7833</v>
      </c>
      <c r="AH427" s="81" t="b">
        <v>0</v>
      </c>
      <c r="AI427" s="81" t="s">
        <v>2167</v>
      </c>
      <c r="AJ427" s="81"/>
      <c r="AK427" s="86" t="s">
        <v>2084</v>
      </c>
      <c r="AL427" s="81" t="b">
        <v>0</v>
      </c>
      <c r="AM427" s="81">
        <v>0</v>
      </c>
      <c r="AN427" s="86" t="s">
        <v>2084</v>
      </c>
      <c r="AO427" s="86" t="s">
        <v>2178</v>
      </c>
      <c r="AP427" s="81" t="b">
        <v>0</v>
      </c>
      <c r="AQ427" s="86" t="s">
        <v>7652</v>
      </c>
      <c r="AR427" s="81" t="s">
        <v>179</v>
      </c>
      <c r="AS427" s="81">
        <v>0</v>
      </c>
      <c r="AT427" s="81">
        <v>0</v>
      </c>
      <c r="AU427" s="81"/>
      <c r="AV427" s="81"/>
      <c r="AW427" s="81"/>
      <c r="AX427" s="81"/>
      <c r="AY427" s="81"/>
      <c r="AZ427" s="81"/>
      <c r="BA427" s="81"/>
      <c r="BB427" s="81"/>
    </row>
    <row r="428" spans="1:54" x14ac:dyDescent="0.35">
      <c r="A428" s="66" t="s">
        <v>346</v>
      </c>
      <c r="B428" s="66" t="s">
        <v>346</v>
      </c>
      <c r="C428" s="67"/>
      <c r="D428" s="68"/>
      <c r="E428" s="69"/>
      <c r="F428" s="70"/>
      <c r="G428" s="67"/>
      <c r="H428" s="71"/>
      <c r="I428" s="72"/>
      <c r="J428" s="72"/>
      <c r="K428" s="36"/>
      <c r="L428" s="79"/>
      <c r="M428" s="79"/>
      <c r="N428" s="74"/>
      <c r="O428" s="81" t="s">
        <v>179</v>
      </c>
      <c r="P428" s="83">
        <v>44462.270173611112</v>
      </c>
      <c r="Q428" s="81" t="s">
        <v>756</v>
      </c>
      <c r="R428" s="84" t="str">
        <f>HYPERLINK("https://www.disnakerja.com/job/lowongan-kerja-pt-pos-indonesia-persero-3/?utm_source=dlvr.it&amp;utm_medium=twitter")</f>
        <v>https://www.disnakerja.com/job/lowongan-kerja-pt-pos-indonesia-persero-3/?utm_source=dlvr.it&amp;utm_medium=twitter</v>
      </c>
      <c r="S428" s="81" t="s">
        <v>951</v>
      </c>
      <c r="T428" s="81"/>
      <c r="U428" s="81"/>
      <c r="V428" s="84" t="str">
        <f>HYPERLINK("https://pbs.twimg.com/profile_images/1178324812764086273/-s0I_nWA_normal.jpg")</f>
        <v>https://pbs.twimg.com/profile_images/1178324812764086273/-s0I_nWA_normal.jpg</v>
      </c>
      <c r="W428" s="83">
        <v>44462.270173611112</v>
      </c>
      <c r="X428" s="89">
        <v>44462</v>
      </c>
      <c r="Y428" s="86" t="s">
        <v>1152</v>
      </c>
      <c r="Z428" s="84" t="str">
        <f>HYPERLINK("https://twitter.com/disnakerja_com/status/1440926163094827013")</f>
        <v>https://twitter.com/disnakerja_com/status/1440926163094827013</v>
      </c>
      <c r="AA428" s="81"/>
      <c r="AB428" s="81"/>
      <c r="AC428" s="86" t="s">
        <v>1648</v>
      </c>
      <c r="AD428" s="81"/>
      <c r="AE428" s="81" t="b">
        <v>0</v>
      </c>
      <c r="AF428" s="81">
        <v>0</v>
      </c>
      <c r="AG428" s="86" t="s">
        <v>2084</v>
      </c>
      <c r="AH428" s="81" t="b">
        <v>0</v>
      </c>
      <c r="AI428" s="81" t="s">
        <v>2167</v>
      </c>
      <c r="AJ428" s="81"/>
      <c r="AK428" s="86" t="s">
        <v>2084</v>
      </c>
      <c r="AL428" s="81" t="b">
        <v>0</v>
      </c>
      <c r="AM428" s="81">
        <v>0</v>
      </c>
      <c r="AN428" s="86" t="s">
        <v>2084</v>
      </c>
      <c r="AO428" s="86" t="s">
        <v>2188</v>
      </c>
      <c r="AP428" s="81" t="b">
        <v>0</v>
      </c>
      <c r="AQ428" s="86" t="s">
        <v>1648</v>
      </c>
      <c r="AR428" s="81" t="s">
        <v>179</v>
      </c>
      <c r="AS428" s="81">
        <v>0</v>
      </c>
      <c r="AT428" s="81">
        <v>0</v>
      </c>
      <c r="AU428" s="81"/>
      <c r="AV428" s="81"/>
      <c r="AW428" s="81"/>
      <c r="AX428" s="81"/>
      <c r="AY428" s="81"/>
      <c r="AZ428" s="81"/>
      <c r="BA428" s="81"/>
      <c r="BB428" s="81"/>
    </row>
    <row r="429" spans="1:54" x14ac:dyDescent="0.35">
      <c r="A429" s="66" t="s">
        <v>347</v>
      </c>
      <c r="B429" s="66" t="s">
        <v>347</v>
      </c>
      <c r="C429" s="67"/>
      <c r="D429" s="68"/>
      <c r="E429" s="69"/>
      <c r="F429" s="70"/>
      <c r="G429" s="67"/>
      <c r="H429" s="71"/>
      <c r="I429" s="72"/>
      <c r="J429" s="72"/>
      <c r="K429" s="36"/>
      <c r="L429" s="79"/>
      <c r="M429" s="79"/>
      <c r="N429" s="74"/>
      <c r="O429" s="81" t="s">
        <v>179</v>
      </c>
      <c r="P429" s="83">
        <v>44462.177488425928</v>
      </c>
      <c r="Q429" s="81" t="s">
        <v>757</v>
      </c>
      <c r="R429" s="84" t="str">
        <f>HYPERLINK("https://www.tribunnews.com/nasional/2021/09/23/lowongan-kerja-pt-pos-indonesia-persero-makassar-2021-frontliner-dibuka-hingga-24-september-2021")</f>
        <v>https://www.tribunnews.com/nasional/2021/09/23/lowongan-kerja-pt-pos-indonesia-persero-makassar-2021-frontliner-dibuka-hingga-24-september-2021</v>
      </c>
      <c r="S429" s="81" t="s">
        <v>938</v>
      </c>
      <c r="T429" s="81"/>
      <c r="U429" s="81"/>
      <c r="V429" s="84" t="str">
        <f>HYPERLINK("https://pbs.twimg.com/profile_images/1373851008560812035/x57AQzF5_normal.jpg")</f>
        <v>https://pbs.twimg.com/profile_images/1373851008560812035/x57AQzF5_normal.jpg</v>
      </c>
      <c r="W429" s="83">
        <v>44462.177488425928</v>
      </c>
      <c r="X429" s="89">
        <v>44462</v>
      </c>
      <c r="Y429" s="86" t="s">
        <v>1153</v>
      </c>
      <c r="Z429" s="84" t="str">
        <f>HYPERLINK("https://twitter.com/tribunnews/status/1440892577113264136")</f>
        <v>https://twitter.com/tribunnews/status/1440892577113264136</v>
      </c>
      <c r="AA429" s="81"/>
      <c r="AB429" s="81"/>
      <c r="AC429" s="86" t="s">
        <v>1649</v>
      </c>
      <c r="AD429" s="81"/>
      <c r="AE429" s="81" t="b">
        <v>0</v>
      </c>
      <c r="AF429" s="81">
        <v>1</v>
      </c>
      <c r="AG429" s="86" t="s">
        <v>2084</v>
      </c>
      <c r="AH429" s="81" t="b">
        <v>0</v>
      </c>
      <c r="AI429" s="81" t="s">
        <v>2167</v>
      </c>
      <c r="AJ429" s="81"/>
      <c r="AK429" s="86" t="s">
        <v>2084</v>
      </c>
      <c r="AL429" s="81" t="b">
        <v>0</v>
      </c>
      <c r="AM429" s="81">
        <v>0</v>
      </c>
      <c r="AN429" s="86" t="s">
        <v>2084</v>
      </c>
      <c r="AO429" s="86" t="s">
        <v>2181</v>
      </c>
      <c r="AP429" s="81" t="b">
        <v>0</v>
      </c>
      <c r="AQ429" s="86" t="s">
        <v>1649</v>
      </c>
      <c r="AR429" s="81" t="s">
        <v>179</v>
      </c>
      <c r="AS429" s="81">
        <v>0</v>
      </c>
      <c r="AT429" s="81">
        <v>0</v>
      </c>
      <c r="AU429" s="81"/>
      <c r="AV429" s="81"/>
      <c r="AW429" s="81"/>
      <c r="AX429" s="81"/>
      <c r="AY429" s="81"/>
      <c r="AZ429" s="81"/>
      <c r="BA429" s="81"/>
      <c r="BB429" s="81"/>
    </row>
    <row r="430" spans="1:54" x14ac:dyDescent="0.35">
      <c r="A430" s="66" t="s">
        <v>347</v>
      </c>
      <c r="B430" s="66" t="s">
        <v>347</v>
      </c>
      <c r="C430" s="67"/>
      <c r="D430" s="68"/>
      <c r="E430" s="69"/>
      <c r="F430" s="70"/>
      <c r="G430" s="67"/>
      <c r="H430" s="71"/>
      <c r="I430" s="72"/>
      <c r="J430" s="72"/>
      <c r="K430" s="36"/>
      <c r="L430" s="79"/>
      <c r="M430" s="79"/>
      <c r="N430" s="74"/>
      <c r="O430" s="81" t="s">
        <v>179</v>
      </c>
      <c r="P430" s="83">
        <v>44462.287673611114</v>
      </c>
      <c r="Q430" s="81" t="s">
        <v>758</v>
      </c>
      <c r="R430" s="84" t="str">
        <f>HYPERLINK("https://www.tribunnews.com/nasional/2021/09/23/lowongan-kerja-pt-pos-indonesia-persero-makassar-2021-frontliner-dibuka-hingga-24-september-2021")</f>
        <v>https://www.tribunnews.com/nasional/2021/09/23/lowongan-kerja-pt-pos-indonesia-persero-makassar-2021-frontliner-dibuka-hingga-24-september-2021</v>
      </c>
      <c r="S430" s="81" t="s">
        <v>938</v>
      </c>
      <c r="T430" s="81"/>
      <c r="U430" s="81"/>
      <c r="V430" s="84" t="str">
        <f>HYPERLINK("https://pbs.twimg.com/profile_images/1373851008560812035/x57AQzF5_normal.jpg")</f>
        <v>https://pbs.twimg.com/profile_images/1373851008560812035/x57AQzF5_normal.jpg</v>
      </c>
      <c r="W430" s="83">
        <v>44462.287673611114</v>
      </c>
      <c r="X430" s="89">
        <v>44462</v>
      </c>
      <c r="Y430" s="86" t="s">
        <v>1154</v>
      </c>
      <c r="Z430" s="84" t="str">
        <f>HYPERLINK("https://twitter.com/tribunnews/status/1440932508191780868")</f>
        <v>https://twitter.com/tribunnews/status/1440932508191780868</v>
      </c>
      <c r="AA430" s="81"/>
      <c r="AB430" s="81"/>
      <c r="AC430" s="86" t="s">
        <v>1650</v>
      </c>
      <c r="AD430" s="81"/>
      <c r="AE430" s="81" t="b">
        <v>0</v>
      </c>
      <c r="AF430" s="81">
        <v>1</v>
      </c>
      <c r="AG430" s="86" t="s">
        <v>2084</v>
      </c>
      <c r="AH430" s="81" t="b">
        <v>0</v>
      </c>
      <c r="AI430" s="81" t="s">
        <v>2167</v>
      </c>
      <c r="AJ430" s="81"/>
      <c r="AK430" s="86" t="s">
        <v>2084</v>
      </c>
      <c r="AL430" s="81" t="b">
        <v>0</v>
      </c>
      <c r="AM430" s="81">
        <v>0</v>
      </c>
      <c r="AN430" s="86" t="s">
        <v>2084</v>
      </c>
      <c r="AO430" s="86" t="s">
        <v>2181</v>
      </c>
      <c r="AP430" s="81" t="b">
        <v>0</v>
      </c>
      <c r="AQ430" s="86" t="s">
        <v>1650</v>
      </c>
      <c r="AR430" s="81" t="s">
        <v>179</v>
      </c>
      <c r="AS430" s="81">
        <v>0</v>
      </c>
      <c r="AT430" s="81">
        <v>0</v>
      </c>
      <c r="AU430" s="81"/>
      <c r="AV430" s="81"/>
      <c r="AW430" s="81"/>
      <c r="AX430" s="81"/>
      <c r="AY430" s="81"/>
      <c r="AZ430" s="81"/>
      <c r="BA430" s="81"/>
      <c r="BB430" s="81"/>
    </row>
    <row r="431" spans="1:54" x14ac:dyDescent="0.35">
      <c r="A431" s="66" t="s">
        <v>348</v>
      </c>
      <c r="B431" s="66" t="s">
        <v>423</v>
      </c>
      <c r="C431" s="67"/>
      <c r="D431" s="68"/>
      <c r="E431" s="69"/>
      <c r="F431" s="70"/>
      <c r="G431" s="67"/>
      <c r="H431" s="71"/>
      <c r="I431" s="72"/>
      <c r="J431" s="72"/>
      <c r="K431" s="36"/>
      <c r="L431" s="79"/>
      <c r="M431" s="79"/>
      <c r="N431" s="74"/>
      <c r="O431" s="81" t="s">
        <v>693</v>
      </c>
      <c r="P431" s="83">
        <v>44462.302800925929</v>
      </c>
      <c r="Q431" s="81" t="s">
        <v>754</v>
      </c>
      <c r="R431" s="81"/>
      <c r="S431" s="81"/>
      <c r="T431" s="81"/>
      <c r="U431" s="81"/>
      <c r="V431" s="84" t="str">
        <f>HYPERLINK("https://pbs.twimg.com/profile_images/1439153933289590785/HesQlRKO_normal.jpg")</f>
        <v>https://pbs.twimg.com/profile_images/1439153933289590785/HesQlRKO_normal.jpg</v>
      </c>
      <c r="W431" s="83">
        <v>44462.302800925929</v>
      </c>
      <c r="X431" s="89">
        <v>44462</v>
      </c>
      <c r="Y431" s="86" t="s">
        <v>1155</v>
      </c>
      <c r="Z431" s="84" t="str">
        <f>HYPERLINK("https://twitter.com/taggie_03/status/1440937989081743363")</f>
        <v>https://twitter.com/taggie_03/status/1440937989081743363</v>
      </c>
      <c r="AA431" s="81"/>
      <c r="AB431" s="81"/>
      <c r="AC431" s="86" t="s">
        <v>1651</v>
      </c>
      <c r="AD431" s="81"/>
      <c r="AE431" s="81" t="b">
        <v>0</v>
      </c>
      <c r="AF431" s="81">
        <v>0</v>
      </c>
      <c r="AG431" s="86" t="s">
        <v>2084</v>
      </c>
      <c r="AH431" s="81" t="b">
        <v>0</v>
      </c>
      <c r="AI431" s="81" t="s">
        <v>2168</v>
      </c>
      <c r="AJ431" s="81"/>
      <c r="AK431" s="86" t="s">
        <v>2084</v>
      </c>
      <c r="AL431" s="81" t="b">
        <v>0</v>
      </c>
      <c r="AM431" s="81">
        <v>6</v>
      </c>
      <c r="AN431" s="86" t="s">
        <v>1755</v>
      </c>
      <c r="AO431" s="86" t="s">
        <v>2178</v>
      </c>
      <c r="AP431" s="81" t="b">
        <v>0</v>
      </c>
      <c r="AQ431" s="86" t="s">
        <v>1755</v>
      </c>
      <c r="AR431" s="81" t="s">
        <v>179</v>
      </c>
      <c r="AS431" s="81">
        <v>0</v>
      </c>
      <c r="AT431" s="81">
        <v>0</v>
      </c>
      <c r="AU431" s="81"/>
      <c r="AV431" s="81"/>
      <c r="AW431" s="81"/>
      <c r="AX431" s="81"/>
      <c r="AY431" s="81"/>
      <c r="AZ431" s="81"/>
      <c r="BA431" s="81"/>
      <c r="BB431" s="81"/>
    </row>
    <row r="432" spans="1:54" x14ac:dyDescent="0.35">
      <c r="A432" s="66" t="s">
        <v>4343</v>
      </c>
      <c r="B432" s="66" t="s">
        <v>4343</v>
      </c>
      <c r="C432" s="67"/>
      <c r="D432" s="68"/>
      <c r="E432" s="69"/>
      <c r="F432" s="70"/>
      <c r="G432" s="67"/>
      <c r="H432" s="71"/>
      <c r="I432" s="72"/>
      <c r="J432" s="72"/>
      <c r="K432" s="36"/>
      <c r="L432" s="79"/>
      <c r="M432" s="79"/>
      <c r="N432" s="74"/>
      <c r="O432" s="81" t="s">
        <v>179</v>
      </c>
      <c r="P432" s="83">
        <v>44462.345601851855</v>
      </c>
      <c r="Q432" s="81" t="s">
        <v>5370</v>
      </c>
      <c r="R432" s="81"/>
      <c r="S432" s="81"/>
      <c r="T432" s="81"/>
      <c r="U432" s="84" t="str">
        <f>HYPERLINK("https://pbs.twimg.com/media/E_9LbQ4XIAA-jFM.jpg")</f>
        <v>https://pbs.twimg.com/media/E_9LbQ4XIAA-jFM.jpg</v>
      </c>
      <c r="V432" s="84" t="str">
        <f>HYPERLINK("https://pbs.twimg.com/media/E_9LbQ4XIAA-jFM.jpg")</f>
        <v>https://pbs.twimg.com/media/E_9LbQ4XIAA-jFM.jpg</v>
      </c>
      <c r="W432" s="83">
        <v>44462.345601851855</v>
      </c>
      <c r="X432" s="89">
        <v>44462</v>
      </c>
      <c r="Y432" s="86" t="s">
        <v>5972</v>
      </c>
      <c r="Z432" s="84" t="str">
        <f>HYPERLINK("https://twitter.com/sptf_org_pt/status/1440953497244086274")</f>
        <v>https://twitter.com/sptf_org_pt/status/1440953497244086274</v>
      </c>
      <c r="AA432" s="81"/>
      <c r="AB432" s="81"/>
      <c r="AC432" s="86" t="s">
        <v>6875</v>
      </c>
      <c r="AD432" s="81"/>
      <c r="AE432" s="81" t="b">
        <v>0</v>
      </c>
      <c r="AF432" s="81">
        <v>0</v>
      </c>
      <c r="AG432" s="86" t="s">
        <v>2084</v>
      </c>
      <c r="AH432" s="81" t="b">
        <v>0</v>
      </c>
      <c r="AI432" s="81" t="s">
        <v>2171</v>
      </c>
      <c r="AJ432" s="81"/>
      <c r="AK432" s="86" t="s">
        <v>2084</v>
      </c>
      <c r="AL432" s="81" t="b">
        <v>0</v>
      </c>
      <c r="AM432" s="81">
        <v>0</v>
      </c>
      <c r="AN432" s="86" t="s">
        <v>2084</v>
      </c>
      <c r="AO432" s="86" t="s">
        <v>2181</v>
      </c>
      <c r="AP432" s="81" t="b">
        <v>0</v>
      </c>
      <c r="AQ432" s="86" t="s">
        <v>6875</v>
      </c>
      <c r="AR432" s="81" t="s">
        <v>179</v>
      </c>
      <c r="AS432" s="81">
        <v>0</v>
      </c>
      <c r="AT432" s="81">
        <v>0</v>
      </c>
      <c r="AU432" s="81"/>
      <c r="AV432" s="81"/>
      <c r="AW432" s="81"/>
      <c r="AX432" s="81"/>
      <c r="AY432" s="81"/>
      <c r="AZ432" s="81"/>
      <c r="BA432" s="81"/>
      <c r="BB432" s="81"/>
    </row>
    <row r="433" spans="1:54" x14ac:dyDescent="0.35">
      <c r="A433" s="66" t="s">
        <v>4344</v>
      </c>
      <c r="B433" s="66" t="s">
        <v>4495</v>
      </c>
      <c r="C433" s="67"/>
      <c r="D433" s="68"/>
      <c r="E433" s="69"/>
      <c r="F433" s="70"/>
      <c r="G433" s="67"/>
      <c r="H433" s="71"/>
      <c r="I433" s="72"/>
      <c r="J433" s="72"/>
      <c r="K433" s="36"/>
      <c r="L433" s="79"/>
      <c r="M433" s="79"/>
      <c r="N433" s="74"/>
      <c r="O433" s="81" t="s">
        <v>693</v>
      </c>
      <c r="P433" s="83">
        <v>44462.354224537034</v>
      </c>
      <c r="Q433" s="81" t="s">
        <v>5272</v>
      </c>
      <c r="R433" s="84" t="str">
        <f>HYPERLINK("https://www.gov.br/anvisa/pt-br/assuntos/fiscalizacao-e-monitoramento/notificacoes/vigimed/")</f>
        <v>https://www.gov.br/anvisa/pt-br/assuntos/fiscalizacao-e-monitoramento/notificacoes/vigimed/</v>
      </c>
      <c r="S433" s="81" t="s">
        <v>5686</v>
      </c>
      <c r="T433" s="81"/>
      <c r="U433" s="81"/>
      <c r="V433" s="84" t="str">
        <f>HYPERLINK("https://pbs.twimg.com/profile_images/1428486862046482433/JGb4AI-J_normal.jpg")</f>
        <v>https://pbs.twimg.com/profile_images/1428486862046482433/JGb4AI-J_normal.jpg</v>
      </c>
      <c r="W433" s="83">
        <v>44462.354224537034</v>
      </c>
      <c r="X433" s="89">
        <v>44462</v>
      </c>
      <c r="Y433" s="86" t="s">
        <v>5973</v>
      </c>
      <c r="Z433" s="84" t="str">
        <f>HYPERLINK("https://twitter.com/nutellabra/status/1440956625817309185")</f>
        <v>https://twitter.com/nutellabra/status/1440956625817309185</v>
      </c>
      <c r="AA433" s="81"/>
      <c r="AB433" s="81"/>
      <c r="AC433" s="86" t="s">
        <v>6876</v>
      </c>
      <c r="AD433" s="81"/>
      <c r="AE433" s="81" t="b">
        <v>0</v>
      </c>
      <c r="AF433" s="81">
        <v>0</v>
      </c>
      <c r="AG433" s="86" t="s">
        <v>2084</v>
      </c>
      <c r="AH433" s="81" t="b">
        <v>0</v>
      </c>
      <c r="AI433" s="81" t="s">
        <v>2171</v>
      </c>
      <c r="AJ433" s="81"/>
      <c r="AK433" s="86" t="s">
        <v>2084</v>
      </c>
      <c r="AL433" s="81" t="b">
        <v>0</v>
      </c>
      <c r="AM433" s="81">
        <v>1497</v>
      </c>
      <c r="AN433" s="86" t="s">
        <v>7047</v>
      </c>
      <c r="AO433" s="86" t="s">
        <v>2179</v>
      </c>
      <c r="AP433" s="81" t="b">
        <v>0</v>
      </c>
      <c r="AQ433" s="86" t="s">
        <v>7047</v>
      </c>
      <c r="AR433" s="81" t="s">
        <v>179</v>
      </c>
      <c r="AS433" s="81">
        <v>0</v>
      </c>
      <c r="AT433" s="81">
        <v>0</v>
      </c>
      <c r="AU433" s="81"/>
      <c r="AV433" s="81"/>
      <c r="AW433" s="81"/>
      <c r="AX433" s="81"/>
      <c r="AY433" s="81"/>
      <c r="AZ433" s="81"/>
      <c r="BA433" s="81"/>
      <c r="BB433" s="81"/>
    </row>
    <row r="434" spans="1:54" x14ac:dyDescent="0.35">
      <c r="A434" s="66" t="s">
        <v>4345</v>
      </c>
      <c r="B434" s="66" t="s">
        <v>5039</v>
      </c>
      <c r="C434" s="67"/>
      <c r="D434" s="68"/>
      <c r="E434" s="69"/>
      <c r="F434" s="70"/>
      <c r="G434" s="67"/>
      <c r="H434" s="71"/>
      <c r="I434" s="72"/>
      <c r="J434" s="72"/>
      <c r="K434" s="36"/>
      <c r="L434" s="79"/>
      <c r="M434" s="79"/>
      <c r="N434" s="74"/>
      <c r="O434" s="81" t="s">
        <v>696</v>
      </c>
      <c r="P434" s="83">
        <v>44462.356145833335</v>
      </c>
      <c r="Q434" s="81" t="s">
        <v>5371</v>
      </c>
      <c r="R434" s="81"/>
      <c r="S434" s="81"/>
      <c r="T434" s="81"/>
      <c r="U434" s="81"/>
      <c r="V434" s="84" t="str">
        <f>HYPERLINK("https://pbs.twimg.com/profile_images/1423307591715799044/5TFc17rk_normal.jpg")</f>
        <v>https://pbs.twimg.com/profile_images/1423307591715799044/5TFc17rk_normal.jpg</v>
      </c>
      <c r="W434" s="83">
        <v>44462.356145833335</v>
      </c>
      <c r="X434" s="89">
        <v>44462</v>
      </c>
      <c r="Y434" s="86" t="s">
        <v>5974</v>
      </c>
      <c r="Z434" s="84" t="str">
        <f>HYPERLINK("https://twitter.com/palhacokrusty00/status/1440957320037650433")</f>
        <v>https://twitter.com/palhacokrusty00/status/1440957320037650433</v>
      </c>
      <c r="AA434" s="81"/>
      <c r="AB434" s="81"/>
      <c r="AC434" s="86" t="s">
        <v>6877</v>
      </c>
      <c r="AD434" s="86" t="s">
        <v>7653</v>
      </c>
      <c r="AE434" s="81" t="b">
        <v>0</v>
      </c>
      <c r="AF434" s="81">
        <v>0</v>
      </c>
      <c r="AG434" s="86" t="s">
        <v>7834</v>
      </c>
      <c r="AH434" s="81" t="b">
        <v>0</v>
      </c>
      <c r="AI434" s="81" t="s">
        <v>2171</v>
      </c>
      <c r="AJ434" s="81"/>
      <c r="AK434" s="86" t="s">
        <v>2084</v>
      </c>
      <c r="AL434" s="81" t="b">
        <v>0</v>
      </c>
      <c r="AM434" s="81">
        <v>0</v>
      </c>
      <c r="AN434" s="86" t="s">
        <v>2084</v>
      </c>
      <c r="AO434" s="86" t="s">
        <v>2178</v>
      </c>
      <c r="AP434" s="81" t="b">
        <v>0</v>
      </c>
      <c r="AQ434" s="86" t="s">
        <v>7653</v>
      </c>
      <c r="AR434" s="81" t="s">
        <v>179</v>
      </c>
      <c r="AS434" s="81">
        <v>0</v>
      </c>
      <c r="AT434" s="81">
        <v>0</v>
      </c>
      <c r="AU434" s="81"/>
      <c r="AV434" s="81"/>
      <c r="AW434" s="81"/>
      <c r="AX434" s="81"/>
      <c r="AY434" s="81"/>
      <c r="AZ434" s="81"/>
      <c r="BA434" s="81"/>
      <c r="BB434" s="81"/>
    </row>
    <row r="435" spans="1:54" x14ac:dyDescent="0.35">
      <c r="A435" s="66" t="s">
        <v>4345</v>
      </c>
      <c r="B435" s="66" t="s">
        <v>5040</v>
      </c>
      <c r="C435" s="67"/>
      <c r="D435" s="68"/>
      <c r="E435" s="69"/>
      <c r="F435" s="70"/>
      <c r="G435" s="67"/>
      <c r="H435" s="71"/>
      <c r="I435" s="72"/>
      <c r="J435" s="72"/>
      <c r="K435" s="36"/>
      <c r="L435" s="79"/>
      <c r="M435" s="79"/>
      <c r="N435" s="74"/>
      <c r="O435" s="81" t="s">
        <v>696</v>
      </c>
      <c r="P435" s="83">
        <v>44462.356145833335</v>
      </c>
      <c r="Q435" s="81" t="s">
        <v>5371</v>
      </c>
      <c r="R435" s="81"/>
      <c r="S435" s="81"/>
      <c r="T435" s="81"/>
      <c r="U435" s="81"/>
      <c r="V435" s="84" t="str">
        <f>HYPERLINK("https://pbs.twimg.com/profile_images/1423307591715799044/5TFc17rk_normal.jpg")</f>
        <v>https://pbs.twimg.com/profile_images/1423307591715799044/5TFc17rk_normal.jpg</v>
      </c>
      <c r="W435" s="83">
        <v>44462.356145833335</v>
      </c>
      <c r="X435" s="89">
        <v>44462</v>
      </c>
      <c r="Y435" s="86" t="s">
        <v>5974</v>
      </c>
      <c r="Z435" s="84" t="str">
        <f>HYPERLINK("https://twitter.com/palhacokrusty00/status/1440957320037650433")</f>
        <v>https://twitter.com/palhacokrusty00/status/1440957320037650433</v>
      </c>
      <c r="AA435" s="81"/>
      <c r="AB435" s="81"/>
      <c r="AC435" s="86" t="s">
        <v>6877</v>
      </c>
      <c r="AD435" s="86" t="s">
        <v>7653</v>
      </c>
      <c r="AE435" s="81" t="b">
        <v>0</v>
      </c>
      <c r="AF435" s="81">
        <v>0</v>
      </c>
      <c r="AG435" s="86" t="s">
        <v>7834</v>
      </c>
      <c r="AH435" s="81" t="b">
        <v>0</v>
      </c>
      <c r="AI435" s="81" t="s">
        <v>2171</v>
      </c>
      <c r="AJ435" s="81"/>
      <c r="AK435" s="86" t="s">
        <v>2084</v>
      </c>
      <c r="AL435" s="81" t="b">
        <v>0</v>
      </c>
      <c r="AM435" s="81">
        <v>0</v>
      </c>
      <c r="AN435" s="86" t="s">
        <v>2084</v>
      </c>
      <c r="AO435" s="86" t="s">
        <v>2178</v>
      </c>
      <c r="AP435" s="81" t="b">
        <v>0</v>
      </c>
      <c r="AQ435" s="86" t="s">
        <v>7653</v>
      </c>
      <c r="AR435" s="81" t="s">
        <v>179</v>
      </c>
      <c r="AS435" s="81">
        <v>0</v>
      </c>
      <c r="AT435" s="81">
        <v>0</v>
      </c>
      <c r="AU435" s="81"/>
      <c r="AV435" s="81"/>
      <c r="AW435" s="81"/>
      <c r="AX435" s="81"/>
      <c r="AY435" s="81"/>
      <c r="AZ435" s="81"/>
      <c r="BA435" s="81"/>
      <c r="BB435" s="81"/>
    </row>
    <row r="436" spans="1:54" x14ac:dyDescent="0.35">
      <c r="A436" s="66" t="s">
        <v>4345</v>
      </c>
      <c r="B436" s="66" t="s">
        <v>5041</v>
      </c>
      <c r="C436" s="67"/>
      <c r="D436" s="68"/>
      <c r="E436" s="69"/>
      <c r="F436" s="70"/>
      <c r="G436" s="67"/>
      <c r="H436" s="71"/>
      <c r="I436" s="72"/>
      <c r="J436" s="72"/>
      <c r="K436" s="36"/>
      <c r="L436" s="79"/>
      <c r="M436" s="79"/>
      <c r="N436" s="74"/>
      <c r="O436" s="81" t="s">
        <v>695</v>
      </c>
      <c r="P436" s="83">
        <v>44462.356145833335</v>
      </c>
      <c r="Q436" s="81" t="s">
        <v>5371</v>
      </c>
      <c r="R436" s="81"/>
      <c r="S436" s="81"/>
      <c r="T436" s="81"/>
      <c r="U436" s="81"/>
      <c r="V436" s="84" t="str">
        <f>HYPERLINK("https://pbs.twimg.com/profile_images/1423307591715799044/5TFc17rk_normal.jpg")</f>
        <v>https://pbs.twimg.com/profile_images/1423307591715799044/5TFc17rk_normal.jpg</v>
      </c>
      <c r="W436" s="83">
        <v>44462.356145833335</v>
      </c>
      <c r="X436" s="89">
        <v>44462</v>
      </c>
      <c r="Y436" s="86" t="s">
        <v>5974</v>
      </c>
      <c r="Z436" s="84" t="str">
        <f>HYPERLINK("https://twitter.com/palhacokrusty00/status/1440957320037650433")</f>
        <v>https://twitter.com/palhacokrusty00/status/1440957320037650433</v>
      </c>
      <c r="AA436" s="81"/>
      <c r="AB436" s="81"/>
      <c r="AC436" s="86" t="s">
        <v>6877</v>
      </c>
      <c r="AD436" s="86" t="s">
        <v>7653</v>
      </c>
      <c r="AE436" s="81" t="b">
        <v>0</v>
      </c>
      <c r="AF436" s="81">
        <v>0</v>
      </c>
      <c r="AG436" s="86" t="s">
        <v>7834</v>
      </c>
      <c r="AH436" s="81" t="b">
        <v>0</v>
      </c>
      <c r="AI436" s="81" t="s">
        <v>2171</v>
      </c>
      <c r="AJ436" s="81"/>
      <c r="AK436" s="86" t="s">
        <v>2084</v>
      </c>
      <c r="AL436" s="81" t="b">
        <v>0</v>
      </c>
      <c r="AM436" s="81">
        <v>0</v>
      </c>
      <c r="AN436" s="86" t="s">
        <v>2084</v>
      </c>
      <c r="AO436" s="86" t="s">
        <v>2178</v>
      </c>
      <c r="AP436" s="81" t="b">
        <v>0</v>
      </c>
      <c r="AQ436" s="86" t="s">
        <v>7653</v>
      </c>
      <c r="AR436" s="81" t="s">
        <v>179</v>
      </c>
      <c r="AS436" s="81">
        <v>0</v>
      </c>
      <c r="AT436" s="81">
        <v>0</v>
      </c>
      <c r="AU436" s="81"/>
      <c r="AV436" s="81"/>
      <c r="AW436" s="81"/>
      <c r="AX436" s="81"/>
      <c r="AY436" s="81"/>
      <c r="AZ436" s="81"/>
      <c r="BA436" s="81"/>
      <c r="BB436" s="81"/>
    </row>
    <row r="437" spans="1:54" x14ac:dyDescent="0.35">
      <c r="A437" s="66" t="s">
        <v>4345</v>
      </c>
      <c r="B437" s="66" t="s">
        <v>5042</v>
      </c>
      <c r="C437" s="67"/>
      <c r="D437" s="68"/>
      <c r="E437" s="69"/>
      <c r="F437" s="70"/>
      <c r="G437" s="67"/>
      <c r="H437" s="71"/>
      <c r="I437" s="72"/>
      <c r="J437" s="72"/>
      <c r="K437" s="36"/>
      <c r="L437" s="79"/>
      <c r="M437" s="79"/>
      <c r="N437" s="74"/>
      <c r="O437" s="81" t="s">
        <v>696</v>
      </c>
      <c r="P437" s="83">
        <v>44462.356145833335</v>
      </c>
      <c r="Q437" s="81" t="s">
        <v>5371</v>
      </c>
      <c r="R437" s="81"/>
      <c r="S437" s="81"/>
      <c r="T437" s="81"/>
      <c r="U437" s="81"/>
      <c r="V437" s="84" t="str">
        <f>HYPERLINK("https://pbs.twimg.com/profile_images/1423307591715799044/5TFc17rk_normal.jpg")</f>
        <v>https://pbs.twimg.com/profile_images/1423307591715799044/5TFc17rk_normal.jpg</v>
      </c>
      <c r="W437" s="83">
        <v>44462.356145833335</v>
      </c>
      <c r="X437" s="89">
        <v>44462</v>
      </c>
      <c r="Y437" s="86" t="s">
        <v>5974</v>
      </c>
      <c r="Z437" s="84" t="str">
        <f>HYPERLINK("https://twitter.com/palhacokrusty00/status/1440957320037650433")</f>
        <v>https://twitter.com/palhacokrusty00/status/1440957320037650433</v>
      </c>
      <c r="AA437" s="81"/>
      <c r="AB437" s="81"/>
      <c r="AC437" s="86" t="s">
        <v>6877</v>
      </c>
      <c r="AD437" s="86" t="s">
        <v>7653</v>
      </c>
      <c r="AE437" s="81" t="b">
        <v>0</v>
      </c>
      <c r="AF437" s="81">
        <v>0</v>
      </c>
      <c r="AG437" s="86" t="s">
        <v>7834</v>
      </c>
      <c r="AH437" s="81" t="b">
        <v>0</v>
      </c>
      <c r="AI437" s="81" t="s">
        <v>2171</v>
      </c>
      <c r="AJ437" s="81"/>
      <c r="AK437" s="86" t="s">
        <v>2084</v>
      </c>
      <c r="AL437" s="81" t="b">
        <v>0</v>
      </c>
      <c r="AM437" s="81">
        <v>0</v>
      </c>
      <c r="AN437" s="86" t="s">
        <v>2084</v>
      </c>
      <c r="AO437" s="86" t="s">
        <v>2178</v>
      </c>
      <c r="AP437" s="81" t="b">
        <v>0</v>
      </c>
      <c r="AQ437" s="86" t="s">
        <v>7653</v>
      </c>
      <c r="AR437" s="81" t="s">
        <v>179</v>
      </c>
      <c r="AS437" s="81">
        <v>0</v>
      </c>
      <c r="AT437" s="81">
        <v>0</v>
      </c>
      <c r="AU437" s="81"/>
      <c r="AV437" s="81"/>
      <c r="AW437" s="81"/>
      <c r="AX437" s="81"/>
      <c r="AY437" s="81"/>
      <c r="AZ437" s="81"/>
      <c r="BA437" s="81"/>
      <c r="BB437" s="81"/>
    </row>
    <row r="438" spans="1:54" x14ac:dyDescent="0.35">
      <c r="A438" s="66" t="s">
        <v>4346</v>
      </c>
      <c r="B438" s="66" t="s">
        <v>4346</v>
      </c>
      <c r="C438" s="67"/>
      <c r="D438" s="68"/>
      <c r="E438" s="69"/>
      <c r="F438" s="70"/>
      <c r="G438" s="67"/>
      <c r="H438" s="71"/>
      <c r="I438" s="72"/>
      <c r="J438" s="72"/>
      <c r="K438" s="36"/>
      <c r="L438" s="79"/>
      <c r="M438" s="79"/>
      <c r="N438" s="74"/>
      <c r="O438" s="81" t="s">
        <v>179</v>
      </c>
      <c r="P438" s="83">
        <v>44460.712569444448</v>
      </c>
      <c r="Q438" s="81" t="s">
        <v>5372</v>
      </c>
      <c r="R438" s="84" t="str">
        <f>HYPERLINK("https://blitz.pt/principal/update/2021-09-21-Rita-Redshoes-Por-ter-tido-uma-depressao-pos-parto-sentia-me-ma-mae.-Entao-era-o-que-mais-queria-e-agora-nao-consigo-lidar-com-isto--a29012e8")</f>
        <v>https://blitz.pt/principal/update/2021-09-21-Rita-Redshoes-Por-ter-tido-uma-depressao-pos-parto-sentia-me-ma-mae.-Entao-era-o-que-mais-queria-e-agora-nao-consigo-lidar-com-isto--a29012e8</v>
      </c>
      <c r="S438" s="81" t="s">
        <v>5711</v>
      </c>
      <c r="T438" s="81"/>
      <c r="U438" s="81"/>
      <c r="V438" s="84" t="str">
        <f>HYPERLINK("https://pbs.twimg.com/profile_images/1428414023968694274/_VOjWgtv_normal.jpg")</f>
        <v>https://pbs.twimg.com/profile_images/1428414023968694274/_VOjWgtv_normal.jpg</v>
      </c>
      <c r="W438" s="83">
        <v>44460.712569444448</v>
      </c>
      <c r="X438" s="89">
        <v>44460</v>
      </c>
      <c r="Y438" s="86" t="s">
        <v>5975</v>
      </c>
      <c r="Z438" s="84" t="str">
        <f>HYPERLINK("https://twitter.com/blitz_twit/status/1440361706044092421")</f>
        <v>https://twitter.com/blitz_twit/status/1440361706044092421</v>
      </c>
      <c r="AA438" s="81"/>
      <c r="AB438" s="81"/>
      <c r="AC438" s="86" t="s">
        <v>6878</v>
      </c>
      <c r="AD438" s="81"/>
      <c r="AE438" s="81" t="b">
        <v>0</v>
      </c>
      <c r="AF438" s="81">
        <v>1</v>
      </c>
      <c r="AG438" s="86" t="s">
        <v>2084</v>
      </c>
      <c r="AH438" s="81" t="b">
        <v>0</v>
      </c>
      <c r="AI438" s="81" t="s">
        <v>2171</v>
      </c>
      <c r="AJ438" s="81"/>
      <c r="AK438" s="86" t="s">
        <v>2084</v>
      </c>
      <c r="AL438" s="81" t="b">
        <v>0</v>
      </c>
      <c r="AM438" s="81">
        <v>0</v>
      </c>
      <c r="AN438" s="86" t="s">
        <v>2084</v>
      </c>
      <c r="AO438" s="86" t="s">
        <v>7976</v>
      </c>
      <c r="AP438" s="81" t="b">
        <v>0</v>
      </c>
      <c r="AQ438" s="86" t="s">
        <v>6878</v>
      </c>
      <c r="AR438" s="81" t="s">
        <v>179</v>
      </c>
      <c r="AS438" s="81">
        <v>0</v>
      </c>
      <c r="AT438" s="81">
        <v>0</v>
      </c>
      <c r="AU438" s="81"/>
      <c r="AV438" s="81"/>
      <c r="AW438" s="81"/>
      <c r="AX438" s="81"/>
      <c r="AY438" s="81"/>
      <c r="AZ438" s="81"/>
      <c r="BA438" s="81"/>
      <c r="BB438" s="81"/>
    </row>
    <row r="439" spans="1:54" x14ac:dyDescent="0.35">
      <c r="A439" s="66" t="s">
        <v>4347</v>
      </c>
      <c r="B439" s="66" t="s">
        <v>4346</v>
      </c>
      <c r="C439" s="67"/>
      <c r="D439" s="68"/>
      <c r="E439" s="69"/>
      <c r="F439" s="70"/>
      <c r="G439" s="67"/>
      <c r="H439" s="71"/>
      <c r="I439" s="72"/>
      <c r="J439" s="72"/>
      <c r="K439" s="36"/>
      <c r="L439" s="79"/>
      <c r="M439" s="79"/>
      <c r="N439" s="74"/>
      <c r="O439" s="81" t="s">
        <v>696</v>
      </c>
      <c r="P439" s="83">
        <v>44461.786435185182</v>
      </c>
      <c r="Q439" s="81" t="s">
        <v>5363</v>
      </c>
      <c r="R439" s="84" t="str">
        <f>HYPERLINK("https://blitz.pt/principal/update/2021-04-03-O-javali-que-pos-bandas-portuguesas-a-cantar-em-galego.-Uma-historia-desconhecida-dos-anos-90-entre-Portugal-e-a-Galiza-3649c87a")</f>
        <v>https://blitz.pt/principal/update/2021-04-03-O-javali-que-pos-bandas-portuguesas-a-cantar-em-galego.-Uma-historia-desconhecida-dos-anos-90-entre-Portugal-e-a-Galiza-3649c87a</v>
      </c>
      <c r="S439" s="81" t="s">
        <v>5711</v>
      </c>
      <c r="T439" s="81"/>
      <c r="U439" s="81"/>
      <c r="V439" s="84" t="str">
        <f>HYPERLINK("https://pbs.twimg.com/profile_images/1192163285954682882/xPMIMMmX_normal.jpg")</f>
        <v>https://pbs.twimg.com/profile_images/1192163285954682882/xPMIMMmX_normal.jpg</v>
      </c>
      <c r="W439" s="83">
        <v>44461.786435185182</v>
      </c>
      <c r="X439" s="89">
        <v>44461</v>
      </c>
      <c r="Y439" s="86" t="s">
        <v>5976</v>
      </c>
      <c r="Z439" s="84" t="str">
        <f>HYPERLINK("https://twitter.com/emgalego/status/1440750864784773125")</f>
        <v>https://twitter.com/emgalego/status/1440750864784773125</v>
      </c>
      <c r="AA439" s="81"/>
      <c r="AB439" s="81"/>
      <c r="AC439" s="86" t="s">
        <v>6879</v>
      </c>
      <c r="AD439" s="81"/>
      <c r="AE439" s="81" t="b">
        <v>0</v>
      </c>
      <c r="AF439" s="81">
        <v>13</v>
      </c>
      <c r="AG439" s="86" t="s">
        <v>2084</v>
      </c>
      <c r="AH439" s="81" t="b">
        <v>0</v>
      </c>
      <c r="AI439" s="81" t="s">
        <v>2171</v>
      </c>
      <c r="AJ439" s="81"/>
      <c r="AK439" s="86" t="s">
        <v>2084</v>
      </c>
      <c r="AL439" s="81" t="b">
        <v>0</v>
      </c>
      <c r="AM439" s="81">
        <v>3</v>
      </c>
      <c r="AN439" s="86" t="s">
        <v>2084</v>
      </c>
      <c r="AO439" s="86" t="s">
        <v>2181</v>
      </c>
      <c r="AP439" s="81" t="b">
        <v>0</v>
      </c>
      <c r="AQ439" s="86" t="s">
        <v>6879</v>
      </c>
      <c r="AR439" s="81" t="s">
        <v>179</v>
      </c>
      <c r="AS439" s="81">
        <v>0</v>
      </c>
      <c r="AT439" s="81">
        <v>0</v>
      </c>
      <c r="AU439" s="81"/>
      <c r="AV439" s="81"/>
      <c r="AW439" s="81"/>
      <c r="AX439" s="81"/>
      <c r="AY439" s="81"/>
      <c r="AZ439" s="81"/>
      <c r="BA439" s="81"/>
      <c r="BB439" s="81"/>
    </row>
    <row r="440" spans="1:54" x14ac:dyDescent="0.35">
      <c r="A440" s="66" t="s">
        <v>4348</v>
      </c>
      <c r="B440" s="66" t="s">
        <v>4346</v>
      </c>
      <c r="C440" s="67"/>
      <c r="D440" s="68"/>
      <c r="E440" s="69"/>
      <c r="F440" s="70"/>
      <c r="G440" s="67"/>
      <c r="H440" s="71"/>
      <c r="I440" s="72"/>
      <c r="J440" s="72"/>
      <c r="K440" s="36"/>
      <c r="L440" s="79"/>
      <c r="M440" s="79"/>
      <c r="N440" s="74"/>
      <c r="O440" s="81" t="s">
        <v>694</v>
      </c>
      <c r="P440" s="83">
        <v>44462.364837962959</v>
      </c>
      <c r="Q440" s="81" t="s">
        <v>5363</v>
      </c>
      <c r="R440" s="84" t="str">
        <f>HYPERLINK("https://blitz.pt/principal/update/2021-04-03-O-javali-que-pos-bandas-portuguesas-a-cantar-em-galego.-Uma-historia-desconhecida-dos-anos-90-entre-Portugal-e-a-Galiza-3649c87a")</f>
        <v>https://blitz.pt/principal/update/2021-04-03-O-javali-que-pos-bandas-portuguesas-a-cantar-em-galego.-Uma-historia-desconhecida-dos-anos-90-entre-Portugal-e-a-Galiza-3649c87a</v>
      </c>
      <c r="S440" s="81" t="s">
        <v>5711</v>
      </c>
      <c r="T440" s="81"/>
      <c r="U440" s="81"/>
      <c r="V440" s="84" t="str">
        <f>HYPERLINK("https://pbs.twimg.com/profile_images/512402281019359232/j6xGrpni_normal.jpeg")</f>
        <v>https://pbs.twimg.com/profile_images/512402281019359232/j6xGrpni_normal.jpeg</v>
      </c>
      <c r="W440" s="83">
        <v>44462.364837962959</v>
      </c>
      <c r="X440" s="89">
        <v>44462</v>
      </c>
      <c r="Y440" s="86" t="s">
        <v>5977</v>
      </c>
      <c r="Z440" s="84" t="str">
        <f>HYPERLINK("https://twitter.com/dosiveiga/status/1440960468974247939")</f>
        <v>https://twitter.com/dosiveiga/status/1440960468974247939</v>
      </c>
      <c r="AA440" s="81"/>
      <c r="AB440" s="81"/>
      <c r="AC440" s="86" t="s">
        <v>6880</v>
      </c>
      <c r="AD440" s="81"/>
      <c r="AE440" s="81" t="b">
        <v>0</v>
      </c>
      <c r="AF440" s="81">
        <v>0</v>
      </c>
      <c r="AG440" s="86" t="s">
        <v>2084</v>
      </c>
      <c r="AH440" s="81" t="b">
        <v>0</v>
      </c>
      <c r="AI440" s="81" t="s">
        <v>2171</v>
      </c>
      <c r="AJ440" s="81"/>
      <c r="AK440" s="86" t="s">
        <v>2084</v>
      </c>
      <c r="AL440" s="81" t="b">
        <v>0</v>
      </c>
      <c r="AM440" s="81">
        <v>3</v>
      </c>
      <c r="AN440" s="86" t="s">
        <v>6879</v>
      </c>
      <c r="AO440" s="86" t="s">
        <v>2178</v>
      </c>
      <c r="AP440" s="81" t="b">
        <v>0</v>
      </c>
      <c r="AQ440" s="86" t="s">
        <v>6879</v>
      </c>
      <c r="AR440" s="81" t="s">
        <v>179</v>
      </c>
      <c r="AS440" s="81">
        <v>0</v>
      </c>
      <c r="AT440" s="81">
        <v>0</v>
      </c>
      <c r="AU440" s="81"/>
      <c r="AV440" s="81"/>
      <c r="AW440" s="81"/>
      <c r="AX440" s="81"/>
      <c r="AY440" s="81"/>
      <c r="AZ440" s="81"/>
      <c r="BA440" s="81"/>
      <c r="BB440" s="81"/>
    </row>
    <row r="441" spans="1:54" x14ac:dyDescent="0.35">
      <c r="A441" s="66" t="s">
        <v>4348</v>
      </c>
      <c r="B441" s="66" t="s">
        <v>4347</v>
      </c>
      <c r="C441" s="67"/>
      <c r="D441" s="68"/>
      <c r="E441" s="69"/>
      <c r="F441" s="70"/>
      <c r="G441" s="67"/>
      <c r="H441" s="71"/>
      <c r="I441" s="72"/>
      <c r="J441" s="72"/>
      <c r="K441" s="36"/>
      <c r="L441" s="79"/>
      <c r="M441" s="79"/>
      <c r="N441" s="74"/>
      <c r="O441" s="81" t="s">
        <v>693</v>
      </c>
      <c r="P441" s="83">
        <v>44462.364837962959</v>
      </c>
      <c r="Q441" s="81" t="s">
        <v>5363</v>
      </c>
      <c r="R441" s="84" t="str">
        <f>HYPERLINK("https://blitz.pt/principal/update/2021-04-03-O-javali-que-pos-bandas-portuguesas-a-cantar-em-galego.-Uma-historia-desconhecida-dos-anos-90-entre-Portugal-e-a-Galiza-3649c87a")</f>
        <v>https://blitz.pt/principal/update/2021-04-03-O-javali-que-pos-bandas-portuguesas-a-cantar-em-galego.-Uma-historia-desconhecida-dos-anos-90-entre-Portugal-e-a-Galiza-3649c87a</v>
      </c>
      <c r="S441" s="81" t="s">
        <v>5711</v>
      </c>
      <c r="T441" s="81"/>
      <c r="U441" s="81"/>
      <c r="V441" s="84" t="str">
        <f>HYPERLINK("https://pbs.twimg.com/profile_images/512402281019359232/j6xGrpni_normal.jpeg")</f>
        <v>https://pbs.twimg.com/profile_images/512402281019359232/j6xGrpni_normal.jpeg</v>
      </c>
      <c r="W441" s="83">
        <v>44462.364837962959</v>
      </c>
      <c r="X441" s="89">
        <v>44462</v>
      </c>
      <c r="Y441" s="86" t="s">
        <v>5977</v>
      </c>
      <c r="Z441" s="84" t="str">
        <f>HYPERLINK("https://twitter.com/dosiveiga/status/1440960468974247939")</f>
        <v>https://twitter.com/dosiveiga/status/1440960468974247939</v>
      </c>
      <c r="AA441" s="81"/>
      <c r="AB441" s="81"/>
      <c r="AC441" s="86" t="s">
        <v>6880</v>
      </c>
      <c r="AD441" s="81"/>
      <c r="AE441" s="81" t="b">
        <v>0</v>
      </c>
      <c r="AF441" s="81">
        <v>0</v>
      </c>
      <c r="AG441" s="86" t="s">
        <v>2084</v>
      </c>
      <c r="AH441" s="81" t="b">
        <v>0</v>
      </c>
      <c r="AI441" s="81" t="s">
        <v>2171</v>
      </c>
      <c r="AJ441" s="81"/>
      <c r="AK441" s="86" t="s">
        <v>2084</v>
      </c>
      <c r="AL441" s="81" t="b">
        <v>0</v>
      </c>
      <c r="AM441" s="81">
        <v>3</v>
      </c>
      <c r="AN441" s="86" t="s">
        <v>6879</v>
      </c>
      <c r="AO441" s="86" t="s">
        <v>2178</v>
      </c>
      <c r="AP441" s="81" t="b">
        <v>0</v>
      </c>
      <c r="AQ441" s="86" t="s">
        <v>6879</v>
      </c>
      <c r="AR441" s="81" t="s">
        <v>179</v>
      </c>
      <c r="AS441" s="81">
        <v>0</v>
      </c>
      <c r="AT441" s="81">
        <v>0</v>
      </c>
      <c r="AU441" s="81"/>
      <c r="AV441" s="81"/>
      <c r="AW441" s="81"/>
      <c r="AX441" s="81"/>
      <c r="AY441" s="81"/>
      <c r="AZ441" s="81"/>
      <c r="BA441" s="81"/>
      <c r="BB441" s="81"/>
    </row>
    <row r="442" spans="1:54" x14ac:dyDescent="0.35">
      <c r="A442" s="66" t="s">
        <v>4349</v>
      </c>
      <c r="B442" s="66" t="s">
        <v>4349</v>
      </c>
      <c r="C442" s="67"/>
      <c r="D442" s="68"/>
      <c r="E442" s="69"/>
      <c r="F442" s="70"/>
      <c r="G442" s="67"/>
      <c r="H442" s="71"/>
      <c r="I442" s="72"/>
      <c r="J442" s="72"/>
      <c r="K442" s="36"/>
      <c r="L442" s="79"/>
      <c r="M442" s="79"/>
      <c r="N442" s="74"/>
      <c r="O442" s="81" t="s">
        <v>179</v>
      </c>
      <c r="P442" s="83">
        <v>44462.366064814814</v>
      </c>
      <c r="Q442" s="81" t="s">
        <v>5373</v>
      </c>
      <c r="R442" s="81"/>
      <c r="S442" s="81"/>
      <c r="T442" s="81"/>
      <c r="U442" s="81"/>
      <c r="V442" s="84" t="str">
        <f>HYPERLINK("https://pbs.twimg.com/profile_images/1442521850987171840/8YTOnZRc_normal.jpg")</f>
        <v>https://pbs.twimg.com/profile_images/1442521850987171840/8YTOnZRc_normal.jpg</v>
      </c>
      <c r="W442" s="83">
        <v>44462.366064814814</v>
      </c>
      <c r="X442" s="89">
        <v>44462</v>
      </c>
      <c r="Y442" s="86" t="s">
        <v>5978</v>
      </c>
      <c r="Z442" s="84" t="str">
        <f>HYPERLINK("https://twitter.com/jamportugal10/status/1440960915738923012")</f>
        <v>https://twitter.com/jamportugal10/status/1440960915738923012</v>
      </c>
      <c r="AA442" s="81"/>
      <c r="AB442" s="81"/>
      <c r="AC442" s="86" t="s">
        <v>6881</v>
      </c>
      <c r="AD442" s="81"/>
      <c r="AE442" s="81" t="b">
        <v>0</v>
      </c>
      <c r="AF442" s="81">
        <v>4</v>
      </c>
      <c r="AG442" s="86" t="s">
        <v>2084</v>
      </c>
      <c r="AH442" s="81" t="b">
        <v>0</v>
      </c>
      <c r="AI442" s="81" t="s">
        <v>2171</v>
      </c>
      <c r="AJ442" s="81"/>
      <c r="AK442" s="86" t="s">
        <v>2084</v>
      </c>
      <c r="AL442" s="81" t="b">
        <v>0</v>
      </c>
      <c r="AM442" s="81">
        <v>1</v>
      </c>
      <c r="AN442" s="86" t="s">
        <v>2084</v>
      </c>
      <c r="AO442" s="86" t="s">
        <v>2181</v>
      </c>
      <c r="AP442" s="81" t="b">
        <v>0</v>
      </c>
      <c r="AQ442" s="86" t="s">
        <v>6881</v>
      </c>
      <c r="AR442" s="81" t="s">
        <v>179</v>
      </c>
      <c r="AS442" s="81">
        <v>0</v>
      </c>
      <c r="AT442" s="81">
        <v>0</v>
      </c>
      <c r="AU442" s="81"/>
      <c r="AV442" s="81"/>
      <c r="AW442" s="81"/>
      <c r="AX442" s="81"/>
      <c r="AY442" s="81"/>
      <c r="AZ442" s="81"/>
      <c r="BA442" s="81"/>
      <c r="BB442" s="81"/>
    </row>
    <row r="443" spans="1:54" x14ac:dyDescent="0.35">
      <c r="A443" s="66" t="s">
        <v>4350</v>
      </c>
      <c r="B443" s="66" t="s">
        <v>4349</v>
      </c>
      <c r="C443" s="67"/>
      <c r="D443" s="68"/>
      <c r="E443" s="69"/>
      <c r="F443" s="70"/>
      <c r="G443" s="67"/>
      <c r="H443" s="71"/>
      <c r="I443" s="72"/>
      <c r="J443" s="72"/>
      <c r="K443" s="36"/>
      <c r="L443" s="79"/>
      <c r="M443" s="79"/>
      <c r="N443" s="74"/>
      <c r="O443" s="81" t="s">
        <v>693</v>
      </c>
      <c r="P443" s="83">
        <v>44462.375891203701</v>
      </c>
      <c r="Q443" s="81" t="s">
        <v>5373</v>
      </c>
      <c r="R443" s="81"/>
      <c r="S443" s="81"/>
      <c r="T443" s="81"/>
      <c r="U443" s="81"/>
      <c r="V443" s="84" t="str">
        <f>HYPERLINK("https://pbs.twimg.com/profile_images/1441530311926587393/3PM6tjti_normal.jpg")</f>
        <v>https://pbs.twimg.com/profile_images/1441530311926587393/3PM6tjti_normal.jpg</v>
      </c>
      <c r="W443" s="83">
        <v>44462.375891203701</v>
      </c>
      <c r="X443" s="89">
        <v>44462</v>
      </c>
      <c r="Y443" s="86" t="s">
        <v>5979</v>
      </c>
      <c r="Z443" s="84" t="str">
        <f>HYPERLINK("https://twitter.com/helenarubensl/status/1440964477395116034")</f>
        <v>https://twitter.com/helenarubensl/status/1440964477395116034</v>
      </c>
      <c r="AA443" s="81"/>
      <c r="AB443" s="81"/>
      <c r="AC443" s="86" t="s">
        <v>6882</v>
      </c>
      <c r="AD443" s="81"/>
      <c r="AE443" s="81" t="b">
        <v>0</v>
      </c>
      <c r="AF443" s="81">
        <v>0</v>
      </c>
      <c r="AG443" s="86" t="s">
        <v>2084</v>
      </c>
      <c r="AH443" s="81" t="b">
        <v>0</v>
      </c>
      <c r="AI443" s="81" t="s">
        <v>2171</v>
      </c>
      <c r="AJ443" s="81"/>
      <c r="AK443" s="86" t="s">
        <v>2084</v>
      </c>
      <c r="AL443" s="81" t="b">
        <v>0</v>
      </c>
      <c r="AM443" s="81">
        <v>1</v>
      </c>
      <c r="AN443" s="86" t="s">
        <v>6881</v>
      </c>
      <c r="AO443" s="86" t="s">
        <v>2178</v>
      </c>
      <c r="AP443" s="81" t="b">
        <v>0</v>
      </c>
      <c r="AQ443" s="86" t="s">
        <v>6881</v>
      </c>
      <c r="AR443" s="81" t="s">
        <v>179</v>
      </c>
      <c r="AS443" s="81">
        <v>0</v>
      </c>
      <c r="AT443" s="81">
        <v>0</v>
      </c>
      <c r="AU443" s="81"/>
      <c r="AV443" s="81"/>
      <c r="AW443" s="81"/>
      <c r="AX443" s="81"/>
      <c r="AY443" s="81"/>
      <c r="AZ443" s="81"/>
      <c r="BA443" s="81"/>
      <c r="BB443" s="81"/>
    </row>
    <row r="444" spans="1:54" x14ac:dyDescent="0.35">
      <c r="A444" s="66" t="s">
        <v>349</v>
      </c>
      <c r="B444" s="66" t="s">
        <v>415</v>
      </c>
      <c r="C444" s="67"/>
      <c r="D444" s="68"/>
      <c r="E444" s="69"/>
      <c r="F444" s="70"/>
      <c r="G444" s="67"/>
      <c r="H444" s="71"/>
      <c r="I444" s="72"/>
      <c r="J444" s="72"/>
      <c r="K444" s="36"/>
      <c r="L444" s="79"/>
      <c r="M444" s="79"/>
      <c r="N444" s="74"/>
      <c r="O444" s="81" t="s">
        <v>693</v>
      </c>
      <c r="P444" s="83">
        <v>44462.378842592596</v>
      </c>
      <c r="Q444" s="81" t="s">
        <v>759</v>
      </c>
      <c r="R444" s="81"/>
      <c r="S444" s="81"/>
      <c r="T444" s="86" t="s">
        <v>979</v>
      </c>
      <c r="U444" s="84" t="str">
        <f>HYPERLINK("https://pbs.twimg.com/media/E_9V_ibVEAYc8c_.jpg")</f>
        <v>https://pbs.twimg.com/media/E_9V_ibVEAYc8c_.jpg</v>
      </c>
      <c r="V444" s="84" t="str">
        <f>HYPERLINK("https://pbs.twimg.com/media/E_9V_ibVEAYc8c_.jpg")</f>
        <v>https://pbs.twimg.com/media/E_9V_ibVEAYc8c_.jpg</v>
      </c>
      <c r="W444" s="83">
        <v>44462.378842592596</v>
      </c>
      <c r="X444" s="89">
        <v>44462</v>
      </c>
      <c r="Y444" s="86" t="s">
        <v>1156</v>
      </c>
      <c r="Z444" s="84" t="str">
        <f>HYPERLINK("https://twitter.com/miyongyu/status/1440965544719491078")</f>
        <v>https://twitter.com/miyongyu/status/1440965544719491078</v>
      </c>
      <c r="AA444" s="81"/>
      <c r="AB444" s="81"/>
      <c r="AC444" s="86" t="s">
        <v>1652</v>
      </c>
      <c r="AD444" s="81"/>
      <c r="AE444" s="81" t="b">
        <v>0</v>
      </c>
      <c r="AF444" s="81">
        <v>0</v>
      </c>
      <c r="AG444" s="86" t="s">
        <v>2084</v>
      </c>
      <c r="AH444" s="81" t="b">
        <v>0</v>
      </c>
      <c r="AI444" s="81" t="s">
        <v>2168</v>
      </c>
      <c r="AJ444" s="81"/>
      <c r="AK444" s="86" t="s">
        <v>2084</v>
      </c>
      <c r="AL444" s="81" t="b">
        <v>0</v>
      </c>
      <c r="AM444" s="81">
        <v>12</v>
      </c>
      <c r="AN444" s="86" t="s">
        <v>1740</v>
      </c>
      <c r="AO444" s="86" t="s">
        <v>2179</v>
      </c>
      <c r="AP444" s="81" t="b">
        <v>0</v>
      </c>
      <c r="AQ444" s="86" t="s">
        <v>1740</v>
      </c>
      <c r="AR444" s="81" t="s">
        <v>179</v>
      </c>
      <c r="AS444" s="81">
        <v>0</v>
      </c>
      <c r="AT444" s="81">
        <v>0</v>
      </c>
      <c r="AU444" s="81"/>
      <c r="AV444" s="81"/>
      <c r="AW444" s="81"/>
      <c r="AX444" s="81"/>
      <c r="AY444" s="81"/>
      <c r="AZ444" s="81"/>
      <c r="BA444" s="81"/>
      <c r="BB444" s="81"/>
    </row>
    <row r="445" spans="1:54" x14ac:dyDescent="0.35">
      <c r="A445" s="66" t="s">
        <v>351</v>
      </c>
      <c r="B445" s="66" t="s">
        <v>415</v>
      </c>
      <c r="C445" s="67"/>
      <c r="D445" s="68"/>
      <c r="E445" s="69"/>
      <c r="F445" s="70"/>
      <c r="G445" s="67"/>
      <c r="H445" s="71"/>
      <c r="I445" s="72"/>
      <c r="J445" s="72"/>
      <c r="K445" s="36"/>
      <c r="L445" s="79"/>
      <c r="M445" s="79"/>
      <c r="N445" s="74"/>
      <c r="O445" s="81" t="s">
        <v>693</v>
      </c>
      <c r="P445" s="83">
        <v>44462.386377314811</v>
      </c>
      <c r="Q445" s="81" t="s">
        <v>759</v>
      </c>
      <c r="R445" s="81"/>
      <c r="S445" s="81"/>
      <c r="T445" s="86" t="s">
        <v>979</v>
      </c>
      <c r="U445" s="84" t="str">
        <f>HYPERLINK("https://pbs.twimg.com/media/E_9V_ibVEAYc8c_.jpg")</f>
        <v>https://pbs.twimg.com/media/E_9V_ibVEAYc8c_.jpg</v>
      </c>
      <c r="V445" s="84" t="str">
        <f>HYPERLINK("https://pbs.twimg.com/media/E_9V_ibVEAYc8c_.jpg")</f>
        <v>https://pbs.twimg.com/media/E_9V_ibVEAYc8c_.jpg</v>
      </c>
      <c r="W445" s="83">
        <v>44462.386377314811</v>
      </c>
      <c r="X445" s="89">
        <v>44462</v>
      </c>
      <c r="Y445" s="86" t="s">
        <v>1158</v>
      </c>
      <c r="Z445" s="84" t="str">
        <f>HYPERLINK("https://twitter.com/wh0junie/status/1440968274380877824")</f>
        <v>https://twitter.com/wh0junie/status/1440968274380877824</v>
      </c>
      <c r="AA445" s="81"/>
      <c r="AB445" s="81"/>
      <c r="AC445" s="86" t="s">
        <v>1654</v>
      </c>
      <c r="AD445" s="81"/>
      <c r="AE445" s="81" t="b">
        <v>0</v>
      </c>
      <c r="AF445" s="81">
        <v>0</v>
      </c>
      <c r="AG445" s="86" t="s">
        <v>2084</v>
      </c>
      <c r="AH445" s="81" t="b">
        <v>0</v>
      </c>
      <c r="AI445" s="81" t="s">
        <v>2168</v>
      </c>
      <c r="AJ445" s="81"/>
      <c r="AK445" s="86" t="s">
        <v>2084</v>
      </c>
      <c r="AL445" s="81" t="b">
        <v>0</v>
      </c>
      <c r="AM445" s="81">
        <v>12</v>
      </c>
      <c r="AN445" s="86" t="s">
        <v>1740</v>
      </c>
      <c r="AO445" s="86" t="s">
        <v>2181</v>
      </c>
      <c r="AP445" s="81" t="b">
        <v>0</v>
      </c>
      <c r="AQ445" s="86" t="s">
        <v>1740</v>
      </c>
      <c r="AR445" s="81" t="s">
        <v>179</v>
      </c>
      <c r="AS445" s="81">
        <v>0</v>
      </c>
      <c r="AT445" s="81">
        <v>0</v>
      </c>
      <c r="AU445" s="81"/>
      <c r="AV445" s="81"/>
      <c r="AW445" s="81"/>
      <c r="AX445" s="81"/>
      <c r="AY445" s="81"/>
      <c r="AZ445" s="81"/>
      <c r="BA445" s="81"/>
      <c r="BB445" s="81"/>
    </row>
    <row r="446" spans="1:54" x14ac:dyDescent="0.35">
      <c r="A446" s="66" t="s">
        <v>352</v>
      </c>
      <c r="B446" s="66" t="s">
        <v>415</v>
      </c>
      <c r="C446" s="67"/>
      <c r="D446" s="68"/>
      <c r="E446" s="69"/>
      <c r="F446" s="70"/>
      <c r="G446" s="67"/>
      <c r="H446" s="71"/>
      <c r="I446" s="72"/>
      <c r="J446" s="72"/>
      <c r="K446" s="36"/>
      <c r="L446" s="79"/>
      <c r="M446" s="79"/>
      <c r="N446" s="74"/>
      <c r="O446" s="81" t="s">
        <v>693</v>
      </c>
      <c r="P446" s="83">
        <v>44462.391793981478</v>
      </c>
      <c r="Q446" s="81" t="s">
        <v>759</v>
      </c>
      <c r="R446" s="81"/>
      <c r="S446" s="81"/>
      <c r="T446" s="86" t="s">
        <v>979</v>
      </c>
      <c r="U446" s="84" t="str">
        <f>HYPERLINK("https://pbs.twimg.com/media/E_9V_ibVEAYc8c_.jpg")</f>
        <v>https://pbs.twimg.com/media/E_9V_ibVEAYc8c_.jpg</v>
      </c>
      <c r="V446" s="84" t="str">
        <f>HYPERLINK("https://pbs.twimg.com/media/E_9V_ibVEAYc8c_.jpg")</f>
        <v>https://pbs.twimg.com/media/E_9V_ibVEAYc8c_.jpg</v>
      </c>
      <c r="W446" s="83">
        <v>44462.391793981478</v>
      </c>
      <c r="X446" s="89">
        <v>44462</v>
      </c>
      <c r="Y446" s="86" t="s">
        <v>1159</v>
      </c>
      <c r="Z446" s="84" t="str">
        <f>HYPERLINK("https://twitter.com/chocoboyksw/status/1440970240381255680")</f>
        <v>https://twitter.com/chocoboyksw/status/1440970240381255680</v>
      </c>
      <c r="AA446" s="81"/>
      <c r="AB446" s="81"/>
      <c r="AC446" s="86" t="s">
        <v>1655</v>
      </c>
      <c r="AD446" s="81"/>
      <c r="AE446" s="81" t="b">
        <v>0</v>
      </c>
      <c r="AF446" s="81">
        <v>0</v>
      </c>
      <c r="AG446" s="86" t="s">
        <v>2084</v>
      </c>
      <c r="AH446" s="81" t="b">
        <v>0</v>
      </c>
      <c r="AI446" s="81" t="s">
        <v>2168</v>
      </c>
      <c r="AJ446" s="81"/>
      <c r="AK446" s="86" t="s">
        <v>2084</v>
      </c>
      <c r="AL446" s="81" t="b">
        <v>0</v>
      </c>
      <c r="AM446" s="81">
        <v>12</v>
      </c>
      <c r="AN446" s="86" t="s">
        <v>1740</v>
      </c>
      <c r="AO446" s="86" t="s">
        <v>2178</v>
      </c>
      <c r="AP446" s="81" t="b">
        <v>0</v>
      </c>
      <c r="AQ446" s="86" t="s">
        <v>1740</v>
      </c>
      <c r="AR446" s="81" t="s">
        <v>179</v>
      </c>
      <c r="AS446" s="81">
        <v>0</v>
      </c>
      <c r="AT446" s="81">
        <v>0</v>
      </c>
      <c r="AU446" s="81"/>
      <c r="AV446" s="81"/>
      <c r="AW446" s="81"/>
      <c r="AX446" s="81"/>
      <c r="AY446" s="81"/>
      <c r="AZ446" s="81"/>
      <c r="BA446" s="81"/>
      <c r="BB446" s="81"/>
    </row>
    <row r="447" spans="1:54" x14ac:dyDescent="0.35">
      <c r="A447" s="66" t="s">
        <v>353</v>
      </c>
      <c r="B447" s="66" t="s">
        <v>353</v>
      </c>
      <c r="C447" s="67"/>
      <c r="D447" s="68"/>
      <c r="E447" s="69"/>
      <c r="F447" s="70"/>
      <c r="G447" s="67"/>
      <c r="H447" s="71"/>
      <c r="I447" s="72"/>
      <c r="J447" s="72"/>
      <c r="K447" s="36"/>
      <c r="L447" s="79"/>
      <c r="M447" s="79"/>
      <c r="N447" s="74"/>
      <c r="O447" s="81" t="s">
        <v>179</v>
      </c>
      <c r="P447" s="83">
        <v>44462.392812500002</v>
      </c>
      <c r="Q447" s="81" t="s">
        <v>760</v>
      </c>
      <c r="R447" s="81"/>
      <c r="S447" s="81"/>
      <c r="T447" s="86" t="s">
        <v>980</v>
      </c>
      <c r="U447" s="84" t="str">
        <f>HYPERLINK("https://pbs.twimg.com/media/E_9bH_YUYAQv5t9.jpg")</f>
        <v>https://pbs.twimg.com/media/E_9bH_YUYAQv5t9.jpg</v>
      </c>
      <c r="V447" s="84" t="str">
        <f>HYPERLINK("https://pbs.twimg.com/media/E_9bH_YUYAQv5t9.jpg")</f>
        <v>https://pbs.twimg.com/media/E_9bH_YUYAQv5t9.jpg</v>
      </c>
      <c r="W447" s="83">
        <v>44462.392812500002</v>
      </c>
      <c r="X447" s="89">
        <v>44462</v>
      </c>
      <c r="Y447" s="86" t="s">
        <v>1160</v>
      </c>
      <c r="Z447" s="84" t="str">
        <f>HYPERLINK("https://twitter.com/jasaraharjaaceh/status/1440970606682333185")</f>
        <v>https://twitter.com/jasaraharjaaceh/status/1440970606682333185</v>
      </c>
      <c r="AA447" s="81"/>
      <c r="AB447" s="81"/>
      <c r="AC447" s="86" t="s">
        <v>1656</v>
      </c>
      <c r="AD447" s="81"/>
      <c r="AE447" s="81" t="b">
        <v>0</v>
      </c>
      <c r="AF447" s="81">
        <v>0</v>
      </c>
      <c r="AG447" s="86" t="s">
        <v>2084</v>
      </c>
      <c r="AH447" s="81" t="b">
        <v>0</v>
      </c>
      <c r="AI447" s="81" t="s">
        <v>2167</v>
      </c>
      <c r="AJ447" s="81"/>
      <c r="AK447" s="86" t="s">
        <v>2084</v>
      </c>
      <c r="AL447" s="81" t="b">
        <v>0</v>
      </c>
      <c r="AM447" s="81">
        <v>0</v>
      </c>
      <c r="AN447" s="86" t="s">
        <v>2084</v>
      </c>
      <c r="AO447" s="86" t="s">
        <v>2178</v>
      </c>
      <c r="AP447" s="81" t="b">
        <v>0</v>
      </c>
      <c r="AQ447" s="86" t="s">
        <v>1656</v>
      </c>
      <c r="AR447" s="81" t="s">
        <v>179</v>
      </c>
      <c r="AS447" s="81">
        <v>0</v>
      </c>
      <c r="AT447" s="81">
        <v>0</v>
      </c>
      <c r="AU447" s="81"/>
      <c r="AV447" s="81"/>
      <c r="AW447" s="81"/>
      <c r="AX447" s="81"/>
      <c r="AY447" s="81"/>
      <c r="AZ447" s="81"/>
      <c r="BA447" s="81"/>
      <c r="BB447" s="81"/>
    </row>
    <row r="448" spans="1:54" x14ac:dyDescent="0.35">
      <c r="A448" s="66" t="s">
        <v>4351</v>
      </c>
      <c r="B448" s="66" t="s">
        <v>4351</v>
      </c>
      <c r="C448" s="67"/>
      <c r="D448" s="68"/>
      <c r="E448" s="69"/>
      <c r="F448" s="70"/>
      <c r="G448" s="67"/>
      <c r="H448" s="71"/>
      <c r="I448" s="72"/>
      <c r="J448" s="72"/>
      <c r="K448" s="36"/>
      <c r="L448" s="79"/>
      <c r="M448" s="79"/>
      <c r="N448" s="74"/>
      <c r="O448" s="81" t="s">
        <v>179</v>
      </c>
      <c r="P448" s="83">
        <v>44462.405960648146</v>
      </c>
      <c r="Q448" s="81" t="s">
        <v>5374</v>
      </c>
      <c r="R448" s="81"/>
      <c r="S448" s="81"/>
      <c r="T448" s="81"/>
      <c r="U448" s="81"/>
      <c r="V448" s="84" t="str">
        <f>HYPERLINK("https://pbs.twimg.com/profile_images/1334002085222707203/lrF_x9Rj_normal.jpg")</f>
        <v>https://pbs.twimg.com/profile_images/1334002085222707203/lrF_x9Rj_normal.jpg</v>
      </c>
      <c r="W448" s="83">
        <v>44462.405960648146</v>
      </c>
      <c r="X448" s="89">
        <v>44462</v>
      </c>
      <c r="Y448" s="86" t="s">
        <v>5980</v>
      </c>
      <c r="Z448" s="84" t="str">
        <f>HYPERLINK("https://twitter.com/ptmt2161/status/1440975372359634944")</f>
        <v>https://twitter.com/ptmt2161/status/1440975372359634944</v>
      </c>
      <c r="AA448" s="81"/>
      <c r="AB448" s="81"/>
      <c r="AC448" s="86" t="s">
        <v>6883</v>
      </c>
      <c r="AD448" s="81"/>
      <c r="AE448" s="81" t="b">
        <v>0</v>
      </c>
      <c r="AF448" s="81">
        <v>0</v>
      </c>
      <c r="AG448" s="86" t="s">
        <v>2084</v>
      </c>
      <c r="AH448" s="81" t="b">
        <v>0</v>
      </c>
      <c r="AI448" s="81" t="s">
        <v>2169</v>
      </c>
      <c r="AJ448" s="81"/>
      <c r="AK448" s="86" t="s">
        <v>2084</v>
      </c>
      <c r="AL448" s="81" t="b">
        <v>0</v>
      </c>
      <c r="AM448" s="81">
        <v>0</v>
      </c>
      <c r="AN448" s="86" t="s">
        <v>2084</v>
      </c>
      <c r="AO448" s="86" t="s">
        <v>2179</v>
      </c>
      <c r="AP448" s="81" t="b">
        <v>0</v>
      </c>
      <c r="AQ448" s="86" t="s">
        <v>6883</v>
      </c>
      <c r="AR448" s="81" t="s">
        <v>179</v>
      </c>
      <c r="AS448" s="81">
        <v>0</v>
      </c>
      <c r="AT448" s="81">
        <v>0</v>
      </c>
      <c r="AU448" s="81"/>
      <c r="AV448" s="81"/>
      <c r="AW448" s="81"/>
      <c r="AX448" s="81"/>
      <c r="AY448" s="81"/>
      <c r="AZ448" s="81"/>
      <c r="BA448" s="81"/>
      <c r="BB448" s="81"/>
    </row>
    <row r="449" spans="1:54" x14ac:dyDescent="0.35">
      <c r="A449" s="66" t="s">
        <v>354</v>
      </c>
      <c r="B449" s="66" t="s">
        <v>637</v>
      </c>
      <c r="C449" s="67"/>
      <c r="D449" s="68"/>
      <c r="E449" s="69"/>
      <c r="F449" s="70"/>
      <c r="G449" s="67"/>
      <c r="H449" s="71"/>
      <c r="I449" s="72"/>
      <c r="J449" s="72"/>
      <c r="K449" s="36"/>
      <c r="L449" s="79"/>
      <c r="M449" s="79"/>
      <c r="N449" s="74"/>
      <c r="O449" s="81" t="s">
        <v>696</v>
      </c>
      <c r="P449" s="83">
        <v>44449.934965277775</v>
      </c>
      <c r="Q449" s="81" t="s">
        <v>761</v>
      </c>
      <c r="R449" s="81"/>
      <c r="S449" s="81"/>
      <c r="T449" s="86" t="s">
        <v>981</v>
      </c>
      <c r="U449" s="84" t="str">
        <f>HYPERLINK("https://pbs.twimg.com/media/E-9RJfTUYAIy8al.jpg")</f>
        <v>https://pbs.twimg.com/media/E-9RJfTUYAIy8al.jpg</v>
      </c>
      <c r="V449" s="84" t="str">
        <f>HYPERLINK("https://pbs.twimg.com/media/E-9RJfTUYAIy8al.jpg")</f>
        <v>https://pbs.twimg.com/media/E-9RJfTUYAIy8al.jpg</v>
      </c>
      <c r="W449" s="83">
        <v>44449.934965277775</v>
      </c>
      <c r="X449" s="89">
        <v>44449</v>
      </c>
      <c r="Y449" s="86" t="s">
        <v>1161</v>
      </c>
      <c r="Z449" s="84" t="str">
        <f>HYPERLINK("https://twitter.com/3kimandimdead/status/1436456033686212608")</f>
        <v>https://twitter.com/3kimandimdead/status/1436456033686212608</v>
      </c>
      <c r="AA449" s="81"/>
      <c r="AB449" s="81"/>
      <c r="AC449" s="86" t="s">
        <v>1657</v>
      </c>
      <c r="AD449" s="81"/>
      <c r="AE449" s="81" t="b">
        <v>0</v>
      </c>
      <c r="AF449" s="81">
        <v>3</v>
      </c>
      <c r="AG449" s="86" t="s">
        <v>2084</v>
      </c>
      <c r="AH449" s="81" t="b">
        <v>0</v>
      </c>
      <c r="AI449" s="81" t="s">
        <v>2168</v>
      </c>
      <c r="AJ449" s="81"/>
      <c r="AK449" s="86" t="s">
        <v>2084</v>
      </c>
      <c r="AL449" s="81" t="b">
        <v>0</v>
      </c>
      <c r="AM449" s="81">
        <v>9</v>
      </c>
      <c r="AN449" s="86" t="s">
        <v>2084</v>
      </c>
      <c r="AO449" s="86" t="s">
        <v>2178</v>
      </c>
      <c r="AP449" s="81" t="b">
        <v>0</v>
      </c>
      <c r="AQ449" s="86" t="s">
        <v>1657</v>
      </c>
      <c r="AR449" s="81" t="s">
        <v>693</v>
      </c>
      <c r="AS449" s="81">
        <v>0</v>
      </c>
      <c r="AT449" s="81">
        <v>0</v>
      </c>
      <c r="AU449" s="81"/>
      <c r="AV449" s="81"/>
      <c r="AW449" s="81"/>
      <c r="AX449" s="81"/>
      <c r="AY449" s="81"/>
      <c r="AZ449" s="81"/>
      <c r="BA449" s="81"/>
      <c r="BB449" s="81"/>
    </row>
    <row r="450" spans="1:54" x14ac:dyDescent="0.35">
      <c r="A450" s="66" t="s">
        <v>355</v>
      </c>
      <c r="B450" s="66" t="s">
        <v>637</v>
      </c>
      <c r="C450" s="67"/>
      <c r="D450" s="68"/>
      <c r="E450" s="69"/>
      <c r="F450" s="70"/>
      <c r="G450" s="67"/>
      <c r="H450" s="71"/>
      <c r="I450" s="72"/>
      <c r="J450" s="72"/>
      <c r="K450" s="36"/>
      <c r="L450" s="79"/>
      <c r="M450" s="79"/>
      <c r="N450" s="74"/>
      <c r="O450" s="81" t="s">
        <v>694</v>
      </c>
      <c r="P450" s="83">
        <v>44462.411932870367</v>
      </c>
      <c r="Q450" s="81" t="s">
        <v>761</v>
      </c>
      <c r="R450" s="81"/>
      <c r="S450" s="81"/>
      <c r="T450" s="86" t="s">
        <v>981</v>
      </c>
      <c r="U450" s="84" t="str">
        <f>HYPERLINK("https://pbs.twimg.com/media/E-9RJfTUYAIy8al.jpg")</f>
        <v>https://pbs.twimg.com/media/E-9RJfTUYAIy8al.jpg</v>
      </c>
      <c r="V450" s="84" t="str">
        <f>HYPERLINK("https://pbs.twimg.com/media/E-9RJfTUYAIy8al.jpg")</f>
        <v>https://pbs.twimg.com/media/E-9RJfTUYAIy8al.jpg</v>
      </c>
      <c r="W450" s="83">
        <v>44462.411932870367</v>
      </c>
      <c r="X450" s="89">
        <v>44462</v>
      </c>
      <c r="Y450" s="86" t="s">
        <v>1162</v>
      </c>
      <c r="Z450" s="84" t="str">
        <f>HYPERLINK("https://twitter.com/jihoneybebe/status/1440977535676805120")</f>
        <v>https://twitter.com/jihoneybebe/status/1440977535676805120</v>
      </c>
      <c r="AA450" s="81"/>
      <c r="AB450" s="81"/>
      <c r="AC450" s="86" t="s">
        <v>1658</v>
      </c>
      <c r="AD450" s="81"/>
      <c r="AE450" s="81" t="b">
        <v>0</v>
      </c>
      <c r="AF450" s="81">
        <v>0</v>
      </c>
      <c r="AG450" s="86" t="s">
        <v>2084</v>
      </c>
      <c r="AH450" s="81" t="b">
        <v>0</v>
      </c>
      <c r="AI450" s="81" t="s">
        <v>2168</v>
      </c>
      <c r="AJ450" s="81"/>
      <c r="AK450" s="86" t="s">
        <v>2084</v>
      </c>
      <c r="AL450" s="81" t="b">
        <v>0</v>
      </c>
      <c r="AM450" s="81">
        <v>9</v>
      </c>
      <c r="AN450" s="86" t="s">
        <v>1657</v>
      </c>
      <c r="AO450" s="86" t="s">
        <v>2179</v>
      </c>
      <c r="AP450" s="81" t="b">
        <v>0</v>
      </c>
      <c r="AQ450" s="86" t="s">
        <v>1657</v>
      </c>
      <c r="AR450" s="81" t="s">
        <v>179</v>
      </c>
      <c r="AS450" s="81">
        <v>0</v>
      </c>
      <c r="AT450" s="81">
        <v>0</v>
      </c>
      <c r="AU450" s="81"/>
      <c r="AV450" s="81"/>
      <c r="AW450" s="81"/>
      <c r="AX450" s="81"/>
      <c r="AY450" s="81"/>
      <c r="AZ450" s="81"/>
      <c r="BA450" s="81"/>
      <c r="BB450" s="81"/>
    </row>
    <row r="451" spans="1:54" x14ac:dyDescent="0.35">
      <c r="A451" s="66" t="s">
        <v>355</v>
      </c>
      <c r="B451" s="66" t="s">
        <v>354</v>
      </c>
      <c r="C451" s="67"/>
      <c r="D451" s="68"/>
      <c r="E451" s="69"/>
      <c r="F451" s="70"/>
      <c r="G451" s="67"/>
      <c r="H451" s="71"/>
      <c r="I451" s="72"/>
      <c r="J451" s="72"/>
      <c r="K451" s="36"/>
      <c r="L451" s="79"/>
      <c r="M451" s="79"/>
      <c r="N451" s="74"/>
      <c r="O451" s="81" t="s">
        <v>693</v>
      </c>
      <c r="P451" s="83">
        <v>44462.411932870367</v>
      </c>
      <c r="Q451" s="81" t="s">
        <v>761</v>
      </c>
      <c r="R451" s="81"/>
      <c r="S451" s="81"/>
      <c r="T451" s="86" t="s">
        <v>981</v>
      </c>
      <c r="U451" s="84" t="str">
        <f>HYPERLINK("https://pbs.twimg.com/media/E-9RJfTUYAIy8al.jpg")</f>
        <v>https://pbs.twimg.com/media/E-9RJfTUYAIy8al.jpg</v>
      </c>
      <c r="V451" s="84" t="str">
        <f>HYPERLINK("https://pbs.twimg.com/media/E-9RJfTUYAIy8al.jpg")</f>
        <v>https://pbs.twimg.com/media/E-9RJfTUYAIy8al.jpg</v>
      </c>
      <c r="W451" s="83">
        <v>44462.411932870367</v>
      </c>
      <c r="X451" s="89">
        <v>44462</v>
      </c>
      <c r="Y451" s="86" t="s">
        <v>1162</v>
      </c>
      <c r="Z451" s="84" t="str">
        <f>HYPERLINK("https://twitter.com/jihoneybebe/status/1440977535676805120")</f>
        <v>https://twitter.com/jihoneybebe/status/1440977535676805120</v>
      </c>
      <c r="AA451" s="81"/>
      <c r="AB451" s="81"/>
      <c r="AC451" s="86" t="s">
        <v>1658</v>
      </c>
      <c r="AD451" s="81"/>
      <c r="AE451" s="81" t="b">
        <v>0</v>
      </c>
      <c r="AF451" s="81">
        <v>0</v>
      </c>
      <c r="AG451" s="86" t="s">
        <v>2084</v>
      </c>
      <c r="AH451" s="81" t="b">
        <v>0</v>
      </c>
      <c r="AI451" s="81" t="s">
        <v>2168</v>
      </c>
      <c r="AJ451" s="81"/>
      <c r="AK451" s="86" t="s">
        <v>2084</v>
      </c>
      <c r="AL451" s="81" t="b">
        <v>0</v>
      </c>
      <c r="AM451" s="81">
        <v>9</v>
      </c>
      <c r="AN451" s="86" t="s">
        <v>1657</v>
      </c>
      <c r="AO451" s="86" t="s">
        <v>2179</v>
      </c>
      <c r="AP451" s="81" t="b">
        <v>0</v>
      </c>
      <c r="AQ451" s="86" t="s">
        <v>1657</v>
      </c>
      <c r="AR451" s="81" t="s">
        <v>179</v>
      </c>
      <c r="AS451" s="81">
        <v>0</v>
      </c>
      <c r="AT451" s="81">
        <v>0</v>
      </c>
      <c r="AU451" s="81"/>
      <c r="AV451" s="81"/>
      <c r="AW451" s="81"/>
      <c r="AX451" s="81"/>
      <c r="AY451" s="81"/>
      <c r="AZ451" s="81"/>
      <c r="BA451" s="81"/>
      <c r="BB451" s="81"/>
    </row>
    <row r="452" spans="1:54" x14ac:dyDescent="0.35">
      <c r="A452" s="66" t="s">
        <v>356</v>
      </c>
      <c r="B452" s="66" t="s">
        <v>369</v>
      </c>
      <c r="C452" s="67"/>
      <c r="D452" s="68"/>
      <c r="E452" s="69"/>
      <c r="F452" s="70"/>
      <c r="G452" s="67"/>
      <c r="H452" s="71"/>
      <c r="I452" s="72"/>
      <c r="J452" s="72"/>
      <c r="K452" s="36"/>
      <c r="L452" s="79"/>
      <c r="M452" s="79"/>
      <c r="N452" s="74"/>
      <c r="O452" s="81" t="s">
        <v>693</v>
      </c>
      <c r="P452" s="83">
        <v>44462.422511574077</v>
      </c>
      <c r="Q452" s="81" t="s">
        <v>762</v>
      </c>
      <c r="R452" s="84" t="str">
        <f>HYPERLINK("https://www.suara.com/news/2021/09/22/201526/lanjutkan-perlindungan-untuk-masyarakat-pandemi-kemensos-alokasikan-rp7408-t-di-2022")</f>
        <v>https://www.suara.com/news/2021/09/22/201526/lanjutkan-perlindungan-untuk-masyarakat-pandemi-kemensos-alokasikan-rp7408-t-di-2022</v>
      </c>
      <c r="S452" s="81" t="s">
        <v>952</v>
      </c>
      <c r="T452" s="86" t="s">
        <v>982</v>
      </c>
      <c r="U452" s="81"/>
      <c r="V452" s="84" t="str">
        <f>HYPERLINK("https://pbs.twimg.com/profile_images/1373674517516623873/pH5Pj9Bs_normal.jpg")</f>
        <v>https://pbs.twimg.com/profile_images/1373674517516623873/pH5Pj9Bs_normal.jpg</v>
      </c>
      <c r="W452" s="83">
        <v>44462.422511574077</v>
      </c>
      <c r="X452" s="89">
        <v>44462</v>
      </c>
      <c r="Y452" s="86" t="s">
        <v>1163</v>
      </c>
      <c r="Z452" s="84" t="str">
        <f>HYPERLINK("https://twitter.com/tibott2/status/1440981371019661317")</f>
        <v>https://twitter.com/tibott2/status/1440981371019661317</v>
      </c>
      <c r="AA452" s="81"/>
      <c r="AB452" s="81"/>
      <c r="AC452" s="86" t="s">
        <v>1659</v>
      </c>
      <c r="AD452" s="81"/>
      <c r="AE452" s="81" t="b">
        <v>0</v>
      </c>
      <c r="AF452" s="81">
        <v>0</v>
      </c>
      <c r="AG452" s="86" t="s">
        <v>2084</v>
      </c>
      <c r="AH452" s="81" t="b">
        <v>0</v>
      </c>
      <c r="AI452" s="81" t="s">
        <v>2167</v>
      </c>
      <c r="AJ452" s="81"/>
      <c r="AK452" s="86" t="s">
        <v>2084</v>
      </c>
      <c r="AL452" s="81" t="b">
        <v>0</v>
      </c>
      <c r="AM452" s="81">
        <v>13</v>
      </c>
      <c r="AN452" s="86" t="s">
        <v>1684</v>
      </c>
      <c r="AO452" s="86" t="s">
        <v>2178</v>
      </c>
      <c r="AP452" s="81" t="b">
        <v>0</v>
      </c>
      <c r="AQ452" s="86" t="s">
        <v>1684</v>
      </c>
      <c r="AR452" s="81" t="s">
        <v>179</v>
      </c>
      <c r="AS452" s="81">
        <v>0</v>
      </c>
      <c r="AT452" s="81">
        <v>0</v>
      </c>
      <c r="AU452" s="81"/>
      <c r="AV452" s="81"/>
      <c r="AW452" s="81"/>
      <c r="AX452" s="81"/>
      <c r="AY452" s="81"/>
      <c r="AZ452" s="81"/>
      <c r="BA452" s="81"/>
      <c r="BB452" s="81"/>
    </row>
    <row r="453" spans="1:54" x14ac:dyDescent="0.35">
      <c r="A453" s="66" t="s">
        <v>356</v>
      </c>
      <c r="B453" s="66" t="s">
        <v>369</v>
      </c>
      <c r="C453" s="67"/>
      <c r="D453" s="68"/>
      <c r="E453" s="69"/>
      <c r="F453" s="70"/>
      <c r="G453" s="67"/>
      <c r="H453" s="71"/>
      <c r="I453" s="72"/>
      <c r="J453" s="72"/>
      <c r="K453" s="36"/>
      <c r="L453" s="79"/>
      <c r="M453" s="79"/>
      <c r="N453" s="74"/>
      <c r="O453" s="81" t="s">
        <v>693</v>
      </c>
      <c r="P453" s="83">
        <v>44462.422696759262</v>
      </c>
      <c r="Q453" s="81" t="s">
        <v>763</v>
      </c>
      <c r="R453" s="84" t="str">
        <f>HYPERLINK("https://nasional.tempo.co/read/1509255/risma-memastikan-bantuan-sosial-pada-warga-terdampak-covid-19-berlanjut")</f>
        <v>https://nasional.tempo.co/read/1509255/risma-memastikan-bantuan-sosial-pada-warga-terdampak-covid-19-berlanjut</v>
      </c>
      <c r="S453" s="81" t="s">
        <v>953</v>
      </c>
      <c r="T453" s="86" t="s">
        <v>982</v>
      </c>
      <c r="U453" s="81"/>
      <c r="V453" s="84" t="str">
        <f>HYPERLINK("https://pbs.twimg.com/profile_images/1373674517516623873/pH5Pj9Bs_normal.jpg")</f>
        <v>https://pbs.twimg.com/profile_images/1373674517516623873/pH5Pj9Bs_normal.jpg</v>
      </c>
      <c r="W453" s="83">
        <v>44462.422696759262</v>
      </c>
      <c r="X453" s="89">
        <v>44462</v>
      </c>
      <c r="Y453" s="86" t="s">
        <v>1164</v>
      </c>
      <c r="Z453" s="84" t="str">
        <f>HYPERLINK("https://twitter.com/tibott2/status/1440981439135186944")</f>
        <v>https://twitter.com/tibott2/status/1440981439135186944</v>
      </c>
      <c r="AA453" s="81"/>
      <c r="AB453" s="81"/>
      <c r="AC453" s="86" t="s">
        <v>1660</v>
      </c>
      <c r="AD453" s="81"/>
      <c r="AE453" s="81" t="b">
        <v>0</v>
      </c>
      <c r="AF453" s="81">
        <v>0</v>
      </c>
      <c r="AG453" s="86" t="s">
        <v>2084</v>
      </c>
      <c r="AH453" s="81" t="b">
        <v>0</v>
      </c>
      <c r="AI453" s="81" t="s">
        <v>2167</v>
      </c>
      <c r="AJ453" s="81"/>
      <c r="AK453" s="86" t="s">
        <v>2084</v>
      </c>
      <c r="AL453" s="81" t="b">
        <v>0</v>
      </c>
      <c r="AM453" s="81">
        <v>14</v>
      </c>
      <c r="AN453" s="86" t="s">
        <v>1683</v>
      </c>
      <c r="AO453" s="86" t="s">
        <v>2178</v>
      </c>
      <c r="AP453" s="81" t="b">
        <v>0</v>
      </c>
      <c r="AQ453" s="86" t="s">
        <v>1683</v>
      </c>
      <c r="AR453" s="81" t="s">
        <v>179</v>
      </c>
      <c r="AS453" s="81">
        <v>0</v>
      </c>
      <c r="AT453" s="81">
        <v>0</v>
      </c>
      <c r="AU453" s="81"/>
      <c r="AV453" s="81"/>
      <c r="AW453" s="81"/>
      <c r="AX453" s="81"/>
      <c r="AY453" s="81"/>
      <c r="AZ453" s="81"/>
      <c r="BA453" s="81"/>
      <c r="BB453" s="81"/>
    </row>
    <row r="454" spans="1:54" x14ac:dyDescent="0.35">
      <c r="A454" s="66" t="s">
        <v>357</v>
      </c>
      <c r="B454" s="66" t="s">
        <v>369</v>
      </c>
      <c r="C454" s="67"/>
      <c r="D454" s="68"/>
      <c r="E454" s="69"/>
      <c r="F454" s="70"/>
      <c r="G454" s="67"/>
      <c r="H454" s="71"/>
      <c r="I454" s="72"/>
      <c r="J454" s="72"/>
      <c r="K454" s="36"/>
      <c r="L454" s="79"/>
      <c r="M454" s="79"/>
      <c r="N454" s="74"/>
      <c r="O454" s="81" t="s">
        <v>693</v>
      </c>
      <c r="P454" s="83">
        <v>44462.42460648148</v>
      </c>
      <c r="Q454" s="81" t="s">
        <v>762</v>
      </c>
      <c r="R454" s="84" t="str">
        <f>HYPERLINK("https://www.suara.com/news/2021/09/22/201526/lanjutkan-perlindungan-untuk-masyarakat-pandemi-kemensos-alokasikan-rp7408-t-di-2022")</f>
        <v>https://www.suara.com/news/2021/09/22/201526/lanjutkan-perlindungan-untuk-masyarakat-pandemi-kemensos-alokasikan-rp7408-t-di-2022</v>
      </c>
      <c r="S454" s="81" t="s">
        <v>952</v>
      </c>
      <c r="T454" s="86" t="s">
        <v>982</v>
      </c>
      <c r="U454" s="81"/>
      <c r="V454" s="84" t="str">
        <f>HYPERLINK("https://pbs.twimg.com/profile_images/1382380287208792065/ftV0VLGe_normal.jpg")</f>
        <v>https://pbs.twimg.com/profile_images/1382380287208792065/ftV0VLGe_normal.jpg</v>
      </c>
      <c r="W454" s="83">
        <v>44462.42460648148</v>
      </c>
      <c r="X454" s="89">
        <v>44462</v>
      </c>
      <c r="Y454" s="86" t="s">
        <v>1165</v>
      </c>
      <c r="Z454" s="84" t="str">
        <f>HYPERLINK("https://twitter.com/aly_pemuda/status/1440982129911877632")</f>
        <v>https://twitter.com/aly_pemuda/status/1440982129911877632</v>
      </c>
      <c r="AA454" s="81"/>
      <c r="AB454" s="81"/>
      <c r="AC454" s="86" t="s">
        <v>1661</v>
      </c>
      <c r="AD454" s="81"/>
      <c r="AE454" s="81" t="b">
        <v>0</v>
      </c>
      <c r="AF454" s="81">
        <v>0</v>
      </c>
      <c r="AG454" s="86" t="s">
        <v>2084</v>
      </c>
      <c r="AH454" s="81" t="b">
        <v>0</v>
      </c>
      <c r="AI454" s="81" t="s">
        <v>2167</v>
      </c>
      <c r="AJ454" s="81"/>
      <c r="AK454" s="86" t="s">
        <v>2084</v>
      </c>
      <c r="AL454" s="81" t="b">
        <v>0</v>
      </c>
      <c r="AM454" s="81">
        <v>13</v>
      </c>
      <c r="AN454" s="86" t="s">
        <v>1684</v>
      </c>
      <c r="AO454" s="86" t="s">
        <v>2178</v>
      </c>
      <c r="AP454" s="81" t="b">
        <v>0</v>
      </c>
      <c r="AQ454" s="86" t="s">
        <v>1684</v>
      </c>
      <c r="AR454" s="81" t="s">
        <v>179</v>
      </c>
      <c r="AS454" s="81">
        <v>0</v>
      </c>
      <c r="AT454" s="81">
        <v>0</v>
      </c>
      <c r="AU454" s="81"/>
      <c r="AV454" s="81"/>
      <c r="AW454" s="81"/>
      <c r="AX454" s="81"/>
      <c r="AY454" s="81"/>
      <c r="AZ454" s="81"/>
      <c r="BA454" s="81"/>
      <c r="BB454" s="81"/>
    </row>
    <row r="455" spans="1:54" x14ac:dyDescent="0.35">
      <c r="A455" s="66" t="s">
        <v>357</v>
      </c>
      <c r="B455" s="66" t="s">
        <v>369</v>
      </c>
      <c r="C455" s="67"/>
      <c r="D455" s="68"/>
      <c r="E455" s="69"/>
      <c r="F455" s="70"/>
      <c r="G455" s="67"/>
      <c r="H455" s="71"/>
      <c r="I455" s="72"/>
      <c r="J455" s="72"/>
      <c r="K455" s="36"/>
      <c r="L455" s="79"/>
      <c r="M455" s="79"/>
      <c r="N455" s="74"/>
      <c r="O455" s="81" t="s">
        <v>693</v>
      </c>
      <c r="P455" s="83">
        <v>44462.424629629626</v>
      </c>
      <c r="Q455" s="81" t="s">
        <v>763</v>
      </c>
      <c r="R455" s="84" t="str">
        <f>HYPERLINK("https://nasional.tempo.co/read/1509255/risma-memastikan-bantuan-sosial-pada-warga-terdampak-covid-19-berlanjut")</f>
        <v>https://nasional.tempo.co/read/1509255/risma-memastikan-bantuan-sosial-pada-warga-terdampak-covid-19-berlanjut</v>
      </c>
      <c r="S455" s="81" t="s">
        <v>953</v>
      </c>
      <c r="T455" s="86" t="s">
        <v>982</v>
      </c>
      <c r="U455" s="81"/>
      <c r="V455" s="84" t="str">
        <f>HYPERLINK("https://pbs.twimg.com/profile_images/1382380287208792065/ftV0VLGe_normal.jpg")</f>
        <v>https://pbs.twimg.com/profile_images/1382380287208792065/ftV0VLGe_normal.jpg</v>
      </c>
      <c r="W455" s="83">
        <v>44462.424629629626</v>
      </c>
      <c r="X455" s="89">
        <v>44462</v>
      </c>
      <c r="Y455" s="86" t="s">
        <v>1166</v>
      </c>
      <c r="Z455" s="84" t="str">
        <f>HYPERLINK("https://twitter.com/aly_pemuda/status/1440982139709755395")</f>
        <v>https://twitter.com/aly_pemuda/status/1440982139709755395</v>
      </c>
      <c r="AA455" s="81"/>
      <c r="AB455" s="81"/>
      <c r="AC455" s="86" t="s">
        <v>1662</v>
      </c>
      <c r="AD455" s="81"/>
      <c r="AE455" s="81" t="b">
        <v>0</v>
      </c>
      <c r="AF455" s="81">
        <v>0</v>
      </c>
      <c r="AG455" s="86" t="s">
        <v>2084</v>
      </c>
      <c r="AH455" s="81" t="b">
        <v>0</v>
      </c>
      <c r="AI455" s="81" t="s">
        <v>2167</v>
      </c>
      <c r="AJ455" s="81"/>
      <c r="AK455" s="86" t="s">
        <v>2084</v>
      </c>
      <c r="AL455" s="81" t="b">
        <v>0</v>
      </c>
      <c r="AM455" s="81">
        <v>14</v>
      </c>
      <c r="AN455" s="86" t="s">
        <v>1683</v>
      </c>
      <c r="AO455" s="86" t="s">
        <v>2178</v>
      </c>
      <c r="AP455" s="81" t="b">
        <v>0</v>
      </c>
      <c r="AQ455" s="86" t="s">
        <v>1683</v>
      </c>
      <c r="AR455" s="81" t="s">
        <v>179</v>
      </c>
      <c r="AS455" s="81">
        <v>0</v>
      </c>
      <c r="AT455" s="81">
        <v>0</v>
      </c>
      <c r="AU455" s="81"/>
      <c r="AV455" s="81"/>
      <c r="AW455" s="81"/>
      <c r="AX455" s="81"/>
      <c r="AY455" s="81"/>
      <c r="AZ455" s="81"/>
      <c r="BA455" s="81"/>
      <c r="BB455" s="81"/>
    </row>
    <row r="456" spans="1:54" x14ac:dyDescent="0.35">
      <c r="A456" s="66" t="s">
        <v>358</v>
      </c>
      <c r="B456" s="66" t="s">
        <v>369</v>
      </c>
      <c r="C456" s="67"/>
      <c r="D456" s="68"/>
      <c r="E456" s="69"/>
      <c r="F456" s="70"/>
      <c r="G456" s="67"/>
      <c r="H456" s="71"/>
      <c r="I456" s="72"/>
      <c r="J456" s="72"/>
      <c r="K456" s="36"/>
      <c r="L456" s="79"/>
      <c r="M456" s="79"/>
      <c r="N456" s="74"/>
      <c r="O456" s="81" t="s">
        <v>693</v>
      </c>
      <c r="P456" s="83">
        <v>44462.427106481482</v>
      </c>
      <c r="Q456" s="81" t="s">
        <v>763</v>
      </c>
      <c r="R456" s="84" t="str">
        <f>HYPERLINK("https://nasional.tempo.co/read/1509255/risma-memastikan-bantuan-sosial-pada-warga-terdampak-covid-19-berlanjut")</f>
        <v>https://nasional.tempo.co/read/1509255/risma-memastikan-bantuan-sosial-pada-warga-terdampak-covid-19-berlanjut</v>
      </c>
      <c r="S456" s="81" t="s">
        <v>953</v>
      </c>
      <c r="T456" s="86" t="s">
        <v>982</v>
      </c>
      <c r="U456" s="81"/>
      <c r="V456" s="84" t="str">
        <f>HYPERLINK("https://pbs.twimg.com/profile_images/1405082194331279361/LC05l1W4_normal.jpg")</f>
        <v>https://pbs.twimg.com/profile_images/1405082194331279361/LC05l1W4_normal.jpg</v>
      </c>
      <c r="W456" s="83">
        <v>44462.427106481482</v>
      </c>
      <c r="X456" s="89">
        <v>44462</v>
      </c>
      <c r="Y456" s="86" t="s">
        <v>1167</v>
      </c>
      <c r="Z456" s="84" t="str">
        <f>HYPERLINK("https://twitter.com/naj_2709/status/1440983037420863493")</f>
        <v>https://twitter.com/naj_2709/status/1440983037420863493</v>
      </c>
      <c r="AA456" s="81"/>
      <c r="AB456" s="81"/>
      <c r="AC456" s="86" t="s">
        <v>1663</v>
      </c>
      <c r="AD456" s="81"/>
      <c r="AE456" s="81" t="b">
        <v>0</v>
      </c>
      <c r="AF456" s="81">
        <v>0</v>
      </c>
      <c r="AG456" s="86" t="s">
        <v>2084</v>
      </c>
      <c r="AH456" s="81" t="b">
        <v>0</v>
      </c>
      <c r="AI456" s="81" t="s">
        <v>2167</v>
      </c>
      <c r="AJ456" s="81"/>
      <c r="AK456" s="86" t="s">
        <v>2084</v>
      </c>
      <c r="AL456" s="81" t="b">
        <v>0</v>
      </c>
      <c r="AM456" s="81">
        <v>14</v>
      </c>
      <c r="AN456" s="86" t="s">
        <v>1683</v>
      </c>
      <c r="AO456" s="86" t="s">
        <v>2178</v>
      </c>
      <c r="AP456" s="81" t="b">
        <v>0</v>
      </c>
      <c r="AQ456" s="86" t="s">
        <v>1683</v>
      </c>
      <c r="AR456" s="81" t="s">
        <v>179</v>
      </c>
      <c r="AS456" s="81">
        <v>0</v>
      </c>
      <c r="AT456" s="81">
        <v>0</v>
      </c>
      <c r="AU456" s="81"/>
      <c r="AV456" s="81"/>
      <c r="AW456" s="81"/>
      <c r="AX456" s="81"/>
      <c r="AY456" s="81"/>
      <c r="AZ456" s="81"/>
      <c r="BA456" s="81"/>
      <c r="BB456" s="81"/>
    </row>
    <row r="457" spans="1:54" x14ac:dyDescent="0.35">
      <c r="A457" s="66" t="s">
        <v>358</v>
      </c>
      <c r="B457" s="66" t="s">
        <v>369</v>
      </c>
      <c r="C457" s="67"/>
      <c r="D457" s="68"/>
      <c r="E457" s="69"/>
      <c r="F457" s="70"/>
      <c r="G457" s="67"/>
      <c r="H457" s="71"/>
      <c r="I457" s="72"/>
      <c r="J457" s="72"/>
      <c r="K457" s="36"/>
      <c r="L457" s="79"/>
      <c r="M457" s="79"/>
      <c r="N457" s="74"/>
      <c r="O457" s="81" t="s">
        <v>693</v>
      </c>
      <c r="P457" s="83">
        <v>44462.427141203705</v>
      </c>
      <c r="Q457" s="81" t="s">
        <v>762</v>
      </c>
      <c r="R457" s="84" t="str">
        <f>HYPERLINK("https://www.suara.com/news/2021/09/22/201526/lanjutkan-perlindungan-untuk-masyarakat-pandemi-kemensos-alokasikan-rp7408-t-di-2022")</f>
        <v>https://www.suara.com/news/2021/09/22/201526/lanjutkan-perlindungan-untuk-masyarakat-pandemi-kemensos-alokasikan-rp7408-t-di-2022</v>
      </c>
      <c r="S457" s="81" t="s">
        <v>952</v>
      </c>
      <c r="T457" s="86" t="s">
        <v>982</v>
      </c>
      <c r="U457" s="81"/>
      <c r="V457" s="84" t="str">
        <f>HYPERLINK("https://pbs.twimg.com/profile_images/1405082194331279361/LC05l1W4_normal.jpg")</f>
        <v>https://pbs.twimg.com/profile_images/1405082194331279361/LC05l1W4_normal.jpg</v>
      </c>
      <c r="W457" s="83">
        <v>44462.427141203705</v>
      </c>
      <c r="X457" s="89">
        <v>44462</v>
      </c>
      <c r="Y457" s="86" t="s">
        <v>1168</v>
      </c>
      <c r="Z457" s="84" t="str">
        <f>HYPERLINK("https://twitter.com/naj_2709/status/1440983048657408009")</f>
        <v>https://twitter.com/naj_2709/status/1440983048657408009</v>
      </c>
      <c r="AA457" s="81"/>
      <c r="AB457" s="81"/>
      <c r="AC457" s="86" t="s">
        <v>1664</v>
      </c>
      <c r="AD457" s="81"/>
      <c r="AE457" s="81" t="b">
        <v>0</v>
      </c>
      <c r="AF457" s="81">
        <v>0</v>
      </c>
      <c r="AG457" s="86" t="s">
        <v>2084</v>
      </c>
      <c r="AH457" s="81" t="b">
        <v>0</v>
      </c>
      <c r="AI457" s="81" t="s">
        <v>2167</v>
      </c>
      <c r="AJ457" s="81"/>
      <c r="AK457" s="86" t="s">
        <v>2084</v>
      </c>
      <c r="AL457" s="81" t="b">
        <v>0</v>
      </c>
      <c r="AM457" s="81">
        <v>13</v>
      </c>
      <c r="AN457" s="86" t="s">
        <v>1684</v>
      </c>
      <c r="AO457" s="86" t="s">
        <v>2178</v>
      </c>
      <c r="AP457" s="81" t="b">
        <v>0</v>
      </c>
      <c r="AQ457" s="86" t="s">
        <v>1684</v>
      </c>
      <c r="AR457" s="81" t="s">
        <v>179</v>
      </c>
      <c r="AS457" s="81">
        <v>0</v>
      </c>
      <c r="AT457" s="81">
        <v>0</v>
      </c>
      <c r="AU457" s="81"/>
      <c r="AV457" s="81"/>
      <c r="AW457" s="81"/>
      <c r="AX457" s="81"/>
      <c r="AY457" s="81"/>
      <c r="AZ457" s="81"/>
      <c r="BA457" s="81"/>
      <c r="BB457" s="81"/>
    </row>
    <row r="458" spans="1:54" x14ac:dyDescent="0.35">
      <c r="A458" s="66" t="s">
        <v>359</v>
      </c>
      <c r="B458" s="66" t="s">
        <v>369</v>
      </c>
      <c r="C458" s="67"/>
      <c r="D458" s="68"/>
      <c r="E458" s="69"/>
      <c r="F458" s="70"/>
      <c r="G458" s="67"/>
      <c r="H458" s="71"/>
      <c r="I458" s="72"/>
      <c r="J458" s="72"/>
      <c r="K458" s="36"/>
      <c r="L458" s="79"/>
      <c r="M458" s="79"/>
      <c r="N458" s="74"/>
      <c r="O458" s="81" t="s">
        <v>693</v>
      </c>
      <c r="P458" s="83">
        <v>44462.430381944447</v>
      </c>
      <c r="Q458" s="81" t="s">
        <v>762</v>
      </c>
      <c r="R458" s="84" t="str">
        <f>HYPERLINK("https://www.suara.com/news/2021/09/22/201526/lanjutkan-perlindungan-untuk-masyarakat-pandemi-kemensos-alokasikan-rp7408-t-di-2022")</f>
        <v>https://www.suara.com/news/2021/09/22/201526/lanjutkan-perlindungan-untuk-masyarakat-pandemi-kemensos-alokasikan-rp7408-t-di-2022</v>
      </c>
      <c r="S458" s="81" t="s">
        <v>952</v>
      </c>
      <c r="T458" s="86" t="s">
        <v>982</v>
      </c>
      <c r="U458" s="81"/>
      <c r="V458" s="84" t="str">
        <f>HYPERLINK("https://pbs.twimg.com/profile_images/1370379061688639493/otshNSyV_normal.jpg")</f>
        <v>https://pbs.twimg.com/profile_images/1370379061688639493/otshNSyV_normal.jpg</v>
      </c>
      <c r="W458" s="83">
        <v>44462.430381944447</v>
      </c>
      <c r="X458" s="89">
        <v>44462</v>
      </c>
      <c r="Y458" s="86" t="s">
        <v>1169</v>
      </c>
      <c r="Z458" s="84" t="str">
        <f>HYPERLINK("https://twitter.com/youngfarrel27/status/1440984222815031300")</f>
        <v>https://twitter.com/youngfarrel27/status/1440984222815031300</v>
      </c>
      <c r="AA458" s="81"/>
      <c r="AB458" s="81"/>
      <c r="AC458" s="86" t="s">
        <v>1665</v>
      </c>
      <c r="AD458" s="81"/>
      <c r="AE458" s="81" t="b">
        <v>0</v>
      </c>
      <c r="AF458" s="81">
        <v>0</v>
      </c>
      <c r="AG458" s="86" t="s">
        <v>2084</v>
      </c>
      <c r="AH458" s="81" t="b">
        <v>0</v>
      </c>
      <c r="AI458" s="81" t="s">
        <v>2167</v>
      </c>
      <c r="AJ458" s="81"/>
      <c r="AK458" s="86" t="s">
        <v>2084</v>
      </c>
      <c r="AL458" s="81" t="b">
        <v>0</v>
      </c>
      <c r="AM458" s="81">
        <v>13</v>
      </c>
      <c r="AN458" s="86" t="s">
        <v>1684</v>
      </c>
      <c r="AO458" s="86" t="s">
        <v>2178</v>
      </c>
      <c r="AP458" s="81" t="b">
        <v>0</v>
      </c>
      <c r="AQ458" s="86" t="s">
        <v>1684</v>
      </c>
      <c r="AR458" s="81" t="s">
        <v>179</v>
      </c>
      <c r="AS458" s="81">
        <v>0</v>
      </c>
      <c r="AT458" s="81">
        <v>0</v>
      </c>
      <c r="AU458" s="81"/>
      <c r="AV458" s="81"/>
      <c r="AW458" s="81"/>
      <c r="AX458" s="81"/>
      <c r="AY458" s="81"/>
      <c r="AZ458" s="81"/>
      <c r="BA458" s="81"/>
      <c r="BB458" s="81"/>
    </row>
    <row r="459" spans="1:54" x14ac:dyDescent="0.35">
      <c r="A459" s="66" t="s">
        <v>359</v>
      </c>
      <c r="B459" s="66" t="s">
        <v>369</v>
      </c>
      <c r="C459" s="67"/>
      <c r="D459" s="68"/>
      <c r="E459" s="69"/>
      <c r="F459" s="70"/>
      <c r="G459" s="67"/>
      <c r="H459" s="71"/>
      <c r="I459" s="72"/>
      <c r="J459" s="72"/>
      <c r="K459" s="36"/>
      <c r="L459" s="79"/>
      <c r="M459" s="79"/>
      <c r="N459" s="74"/>
      <c r="O459" s="81" t="s">
        <v>693</v>
      </c>
      <c r="P459" s="83">
        <v>44462.430497685185</v>
      </c>
      <c r="Q459" s="81" t="s">
        <v>763</v>
      </c>
      <c r="R459" s="84" t="str">
        <f>HYPERLINK("https://nasional.tempo.co/read/1509255/risma-memastikan-bantuan-sosial-pada-warga-terdampak-covid-19-berlanjut")</f>
        <v>https://nasional.tempo.co/read/1509255/risma-memastikan-bantuan-sosial-pada-warga-terdampak-covid-19-berlanjut</v>
      </c>
      <c r="S459" s="81" t="s">
        <v>953</v>
      </c>
      <c r="T459" s="86" t="s">
        <v>982</v>
      </c>
      <c r="U459" s="81"/>
      <c r="V459" s="84" t="str">
        <f>HYPERLINK("https://pbs.twimg.com/profile_images/1370379061688639493/otshNSyV_normal.jpg")</f>
        <v>https://pbs.twimg.com/profile_images/1370379061688639493/otshNSyV_normal.jpg</v>
      </c>
      <c r="W459" s="83">
        <v>44462.430497685185</v>
      </c>
      <c r="X459" s="89">
        <v>44462</v>
      </c>
      <c r="Y459" s="86" t="s">
        <v>1170</v>
      </c>
      <c r="Z459" s="84" t="str">
        <f>HYPERLINK("https://twitter.com/youngfarrel27/status/1440984263302660102")</f>
        <v>https://twitter.com/youngfarrel27/status/1440984263302660102</v>
      </c>
      <c r="AA459" s="81"/>
      <c r="AB459" s="81"/>
      <c r="AC459" s="86" t="s">
        <v>1666</v>
      </c>
      <c r="AD459" s="81"/>
      <c r="AE459" s="81" t="b">
        <v>0</v>
      </c>
      <c r="AF459" s="81">
        <v>0</v>
      </c>
      <c r="AG459" s="86" t="s">
        <v>2084</v>
      </c>
      <c r="AH459" s="81" t="b">
        <v>0</v>
      </c>
      <c r="AI459" s="81" t="s">
        <v>2167</v>
      </c>
      <c r="AJ459" s="81"/>
      <c r="AK459" s="86" t="s">
        <v>2084</v>
      </c>
      <c r="AL459" s="81" t="b">
        <v>0</v>
      </c>
      <c r="AM459" s="81">
        <v>14</v>
      </c>
      <c r="AN459" s="86" t="s">
        <v>1683</v>
      </c>
      <c r="AO459" s="86" t="s">
        <v>2178</v>
      </c>
      <c r="AP459" s="81" t="b">
        <v>0</v>
      </c>
      <c r="AQ459" s="86" t="s">
        <v>1683</v>
      </c>
      <c r="AR459" s="81" t="s">
        <v>179</v>
      </c>
      <c r="AS459" s="81">
        <v>0</v>
      </c>
      <c r="AT459" s="81">
        <v>0</v>
      </c>
      <c r="AU459" s="81"/>
      <c r="AV459" s="81"/>
      <c r="AW459" s="81"/>
      <c r="AX459" s="81"/>
      <c r="AY459" s="81"/>
      <c r="AZ459" s="81"/>
      <c r="BA459" s="81"/>
      <c r="BB459" s="81"/>
    </row>
    <row r="460" spans="1:54" x14ac:dyDescent="0.35">
      <c r="A460" s="66" t="s">
        <v>360</v>
      </c>
      <c r="B460" s="66" t="s">
        <v>369</v>
      </c>
      <c r="C460" s="67"/>
      <c r="D460" s="68"/>
      <c r="E460" s="69"/>
      <c r="F460" s="70"/>
      <c r="G460" s="67"/>
      <c r="H460" s="71"/>
      <c r="I460" s="72"/>
      <c r="J460" s="72"/>
      <c r="K460" s="36"/>
      <c r="L460" s="79"/>
      <c r="M460" s="79"/>
      <c r="N460" s="74"/>
      <c r="O460" s="81" t="s">
        <v>693</v>
      </c>
      <c r="P460" s="83">
        <v>44462.430358796293</v>
      </c>
      <c r="Q460" s="81" t="s">
        <v>763</v>
      </c>
      <c r="R460" s="84" t="str">
        <f>HYPERLINK("https://nasional.tempo.co/read/1509255/risma-memastikan-bantuan-sosial-pada-warga-terdampak-covid-19-berlanjut")</f>
        <v>https://nasional.tempo.co/read/1509255/risma-memastikan-bantuan-sosial-pada-warga-terdampak-covid-19-berlanjut</v>
      </c>
      <c r="S460" s="81" t="s">
        <v>953</v>
      </c>
      <c r="T460" s="86" t="s">
        <v>982</v>
      </c>
      <c r="U460" s="81"/>
      <c r="V460" s="84" t="str">
        <f>HYPERLINK("https://pbs.twimg.com/profile_images/1426932034476277771/jSNvYakT_normal.jpg")</f>
        <v>https://pbs.twimg.com/profile_images/1426932034476277771/jSNvYakT_normal.jpg</v>
      </c>
      <c r="W460" s="83">
        <v>44462.430358796293</v>
      </c>
      <c r="X460" s="89">
        <v>44462</v>
      </c>
      <c r="Y460" s="86" t="s">
        <v>1171</v>
      </c>
      <c r="Z460" s="84" t="str">
        <f>HYPERLINK("https://twitter.com/ariestarico2/status/1440984212874530825")</f>
        <v>https://twitter.com/ariestarico2/status/1440984212874530825</v>
      </c>
      <c r="AA460" s="81"/>
      <c r="AB460" s="81"/>
      <c r="AC460" s="86" t="s">
        <v>1667</v>
      </c>
      <c r="AD460" s="81"/>
      <c r="AE460" s="81" t="b">
        <v>0</v>
      </c>
      <c r="AF460" s="81">
        <v>0</v>
      </c>
      <c r="AG460" s="86" t="s">
        <v>2084</v>
      </c>
      <c r="AH460" s="81" t="b">
        <v>0</v>
      </c>
      <c r="AI460" s="81" t="s">
        <v>2167</v>
      </c>
      <c r="AJ460" s="81"/>
      <c r="AK460" s="86" t="s">
        <v>2084</v>
      </c>
      <c r="AL460" s="81" t="b">
        <v>0</v>
      </c>
      <c r="AM460" s="81">
        <v>14</v>
      </c>
      <c r="AN460" s="86" t="s">
        <v>1683</v>
      </c>
      <c r="AO460" s="86" t="s">
        <v>2178</v>
      </c>
      <c r="AP460" s="81" t="b">
        <v>0</v>
      </c>
      <c r="AQ460" s="86" t="s">
        <v>1683</v>
      </c>
      <c r="AR460" s="81" t="s">
        <v>179</v>
      </c>
      <c r="AS460" s="81">
        <v>0</v>
      </c>
      <c r="AT460" s="81">
        <v>0</v>
      </c>
      <c r="AU460" s="81"/>
      <c r="AV460" s="81"/>
      <c r="AW460" s="81"/>
      <c r="AX460" s="81"/>
      <c r="AY460" s="81"/>
      <c r="AZ460" s="81"/>
      <c r="BA460" s="81"/>
      <c r="BB460" s="81"/>
    </row>
    <row r="461" spans="1:54" x14ac:dyDescent="0.35">
      <c r="A461" s="66" t="s">
        <v>360</v>
      </c>
      <c r="B461" s="66" t="s">
        <v>369</v>
      </c>
      <c r="C461" s="67"/>
      <c r="D461" s="68"/>
      <c r="E461" s="69"/>
      <c r="F461" s="70"/>
      <c r="G461" s="67"/>
      <c r="H461" s="71"/>
      <c r="I461" s="72"/>
      <c r="J461" s="72"/>
      <c r="K461" s="36"/>
      <c r="L461" s="79"/>
      <c r="M461" s="79"/>
      <c r="N461" s="74"/>
      <c r="O461" s="81" t="s">
        <v>693</v>
      </c>
      <c r="P461" s="83">
        <v>44462.430497685185</v>
      </c>
      <c r="Q461" s="81" t="s">
        <v>762</v>
      </c>
      <c r="R461" s="84" t="str">
        <f>HYPERLINK("https://www.suara.com/news/2021/09/22/201526/lanjutkan-perlindungan-untuk-masyarakat-pandemi-kemensos-alokasikan-rp7408-t-di-2022")</f>
        <v>https://www.suara.com/news/2021/09/22/201526/lanjutkan-perlindungan-untuk-masyarakat-pandemi-kemensos-alokasikan-rp7408-t-di-2022</v>
      </c>
      <c r="S461" s="81" t="s">
        <v>952</v>
      </c>
      <c r="T461" s="86" t="s">
        <v>982</v>
      </c>
      <c r="U461" s="81"/>
      <c r="V461" s="84" t="str">
        <f>HYPERLINK("https://pbs.twimg.com/profile_images/1426932034476277771/jSNvYakT_normal.jpg")</f>
        <v>https://pbs.twimg.com/profile_images/1426932034476277771/jSNvYakT_normal.jpg</v>
      </c>
      <c r="W461" s="83">
        <v>44462.430497685185</v>
      </c>
      <c r="X461" s="89">
        <v>44462</v>
      </c>
      <c r="Y461" s="86" t="s">
        <v>1170</v>
      </c>
      <c r="Z461" s="84" t="str">
        <f>HYPERLINK("https://twitter.com/ariestarico2/status/1440984264778993678")</f>
        <v>https://twitter.com/ariestarico2/status/1440984264778993678</v>
      </c>
      <c r="AA461" s="81"/>
      <c r="AB461" s="81"/>
      <c r="AC461" s="86" t="s">
        <v>1668</v>
      </c>
      <c r="AD461" s="81"/>
      <c r="AE461" s="81" t="b">
        <v>0</v>
      </c>
      <c r="AF461" s="81">
        <v>0</v>
      </c>
      <c r="AG461" s="86" t="s">
        <v>2084</v>
      </c>
      <c r="AH461" s="81" t="b">
        <v>0</v>
      </c>
      <c r="AI461" s="81" t="s">
        <v>2167</v>
      </c>
      <c r="AJ461" s="81"/>
      <c r="AK461" s="86" t="s">
        <v>2084</v>
      </c>
      <c r="AL461" s="81" t="b">
        <v>0</v>
      </c>
      <c r="AM461" s="81">
        <v>13</v>
      </c>
      <c r="AN461" s="86" t="s">
        <v>1684</v>
      </c>
      <c r="AO461" s="86" t="s">
        <v>2178</v>
      </c>
      <c r="AP461" s="81" t="b">
        <v>0</v>
      </c>
      <c r="AQ461" s="86" t="s">
        <v>1684</v>
      </c>
      <c r="AR461" s="81" t="s">
        <v>179</v>
      </c>
      <c r="AS461" s="81">
        <v>0</v>
      </c>
      <c r="AT461" s="81">
        <v>0</v>
      </c>
      <c r="AU461" s="81"/>
      <c r="AV461" s="81"/>
      <c r="AW461" s="81"/>
      <c r="AX461" s="81"/>
      <c r="AY461" s="81"/>
      <c r="AZ461" s="81"/>
      <c r="BA461" s="81"/>
      <c r="BB461" s="81"/>
    </row>
    <row r="462" spans="1:54" x14ac:dyDescent="0.35">
      <c r="A462" s="66" t="s">
        <v>361</v>
      </c>
      <c r="B462" s="66" t="s">
        <v>369</v>
      </c>
      <c r="C462" s="67"/>
      <c r="D462" s="68"/>
      <c r="E462" s="69"/>
      <c r="F462" s="70"/>
      <c r="G462" s="67"/>
      <c r="H462" s="71"/>
      <c r="I462" s="72"/>
      <c r="J462" s="72"/>
      <c r="K462" s="36"/>
      <c r="L462" s="79"/>
      <c r="M462" s="79"/>
      <c r="N462" s="74"/>
      <c r="O462" s="81" t="s">
        <v>693</v>
      </c>
      <c r="P462" s="83">
        <v>44462.432916666665</v>
      </c>
      <c r="Q462" s="81" t="s">
        <v>762</v>
      </c>
      <c r="R462" s="84" t="str">
        <f>HYPERLINK("https://www.suara.com/news/2021/09/22/201526/lanjutkan-perlindungan-untuk-masyarakat-pandemi-kemensos-alokasikan-rp7408-t-di-2022")</f>
        <v>https://www.suara.com/news/2021/09/22/201526/lanjutkan-perlindungan-untuk-masyarakat-pandemi-kemensos-alokasikan-rp7408-t-di-2022</v>
      </c>
      <c r="S462" s="81" t="s">
        <v>952</v>
      </c>
      <c r="T462" s="86" t="s">
        <v>982</v>
      </c>
      <c r="U462" s="81"/>
      <c r="V462" s="84" t="str">
        <f>HYPERLINK("https://pbs.twimg.com/profile_images/1419331343742214145/xNUgvSaq_normal.jpg")</f>
        <v>https://pbs.twimg.com/profile_images/1419331343742214145/xNUgvSaq_normal.jpg</v>
      </c>
      <c r="W462" s="83">
        <v>44462.432916666665</v>
      </c>
      <c r="X462" s="89">
        <v>44462</v>
      </c>
      <c r="Y462" s="86" t="s">
        <v>1172</v>
      </c>
      <c r="Z462" s="84" t="str">
        <f>HYPERLINK("https://twitter.com/rizkidikka/status/1440985142114222081")</f>
        <v>https://twitter.com/rizkidikka/status/1440985142114222081</v>
      </c>
      <c r="AA462" s="81"/>
      <c r="AB462" s="81"/>
      <c r="AC462" s="86" t="s">
        <v>1669</v>
      </c>
      <c r="AD462" s="81"/>
      <c r="AE462" s="81" t="b">
        <v>0</v>
      </c>
      <c r="AF462" s="81">
        <v>0</v>
      </c>
      <c r="AG462" s="86" t="s">
        <v>2084</v>
      </c>
      <c r="AH462" s="81" t="b">
        <v>0</v>
      </c>
      <c r="AI462" s="81" t="s">
        <v>2167</v>
      </c>
      <c r="AJ462" s="81"/>
      <c r="AK462" s="86" t="s">
        <v>2084</v>
      </c>
      <c r="AL462" s="81" t="b">
        <v>0</v>
      </c>
      <c r="AM462" s="81">
        <v>13</v>
      </c>
      <c r="AN462" s="86" t="s">
        <v>1684</v>
      </c>
      <c r="AO462" s="86" t="s">
        <v>2178</v>
      </c>
      <c r="AP462" s="81" t="b">
        <v>0</v>
      </c>
      <c r="AQ462" s="86" t="s">
        <v>1684</v>
      </c>
      <c r="AR462" s="81" t="s">
        <v>179</v>
      </c>
      <c r="AS462" s="81">
        <v>0</v>
      </c>
      <c r="AT462" s="81">
        <v>0</v>
      </c>
      <c r="AU462" s="81"/>
      <c r="AV462" s="81"/>
      <c r="AW462" s="81"/>
      <c r="AX462" s="81"/>
      <c r="AY462" s="81"/>
      <c r="AZ462" s="81"/>
      <c r="BA462" s="81"/>
      <c r="BB462" s="81"/>
    </row>
    <row r="463" spans="1:54" x14ac:dyDescent="0.35">
      <c r="A463" s="66" t="s">
        <v>361</v>
      </c>
      <c r="B463" s="66" t="s">
        <v>369</v>
      </c>
      <c r="C463" s="67"/>
      <c r="D463" s="68"/>
      <c r="E463" s="69"/>
      <c r="F463" s="70"/>
      <c r="G463" s="67"/>
      <c r="H463" s="71"/>
      <c r="I463" s="72"/>
      <c r="J463" s="72"/>
      <c r="K463" s="36"/>
      <c r="L463" s="79"/>
      <c r="M463" s="79"/>
      <c r="N463" s="74"/>
      <c r="O463" s="81" t="s">
        <v>693</v>
      </c>
      <c r="P463" s="83">
        <v>44462.432962962965</v>
      </c>
      <c r="Q463" s="81" t="s">
        <v>763</v>
      </c>
      <c r="R463" s="84" t="str">
        <f>HYPERLINK("https://nasional.tempo.co/read/1509255/risma-memastikan-bantuan-sosial-pada-warga-terdampak-covid-19-berlanjut")</f>
        <v>https://nasional.tempo.co/read/1509255/risma-memastikan-bantuan-sosial-pada-warga-terdampak-covid-19-berlanjut</v>
      </c>
      <c r="S463" s="81" t="s">
        <v>953</v>
      </c>
      <c r="T463" s="86" t="s">
        <v>982</v>
      </c>
      <c r="U463" s="81"/>
      <c r="V463" s="84" t="str">
        <f>HYPERLINK("https://pbs.twimg.com/profile_images/1419331343742214145/xNUgvSaq_normal.jpg")</f>
        <v>https://pbs.twimg.com/profile_images/1419331343742214145/xNUgvSaq_normal.jpg</v>
      </c>
      <c r="W463" s="83">
        <v>44462.432962962965</v>
      </c>
      <c r="X463" s="89">
        <v>44462</v>
      </c>
      <c r="Y463" s="86" t="s">
        <v>1173</v>
      </c>
      <c r="Z463" s="84" t="str">
        <f>HYPERLINK("https://twitter.com/rizkidikka/status/1440985156655849475")</f>
        <v>https://twitter.com/rizkidikka/status/1440985156655849475</v>
      </c>
      <c r="AA463" s="81"/>
      <c r="AB463" s="81"/>
      <c r="AC463" s="86" t="s">
        <v>1670</v>
      </c>
      <c r="AD463" s="81"/>
      <c r="AE463" s="81" t="b">
        <v>0</v>
      </c>
      <c r="AF463" s="81">
        <v>0</v>
      </c>
      <c r="AG463" s="86" t="s">
        <v>2084</v>
      </c>
      <c r="AH463" s="81" t="b">
        <v>0</v>
      </c>
      <c r="AI463" s="81" t="s">
        <v>2167</v>
      </c>
      <c r="AJ463" s="81"/>
      <c r="AK463" s="86" t="s">
        <v>2084</v>
      </c>
      <c r="AL463" s="81" t="b">
        <v>0</v>
      </c>
      <c r="AM463" s="81">
        <v>14</v>
      </c>
      <c r="AN463" s="86" t="s">
        <v>1683</v>
      </c>
      <c r="AO463" s="86" t="s">
        <v>2178</v>
      </c>
      <c r="AP463" s="81" t="b">
        <v>0</v>
      </c>
      <c r="AQ463" s="86" t="s">
        <v>1683</v>
      </c>
      <c r="AR463" s="81" t="s">
        <v>179</v>
      </c>
      <c r="AS463" s="81">
        <v>0</v>
      </c>
      <c r="AT463" s="81">
        <v>0</v>
      </c>
      <c r="AU463" s="81"/>
      <c r="AV463" s="81"/>
      <c r="AW463" s="81"/>
      <c r="AX463" s="81"/>
      <c r="AY463" s="81"/>
      <c r="AZ463" s="81"/>
      <c r="BA463" s="81"/>
      <c r="BB463" s="81"/>
    </row>
    <row r="464" spans="1:54" x14ac:dyDescent="0.35">
      <c r="A464" s="66" t="s">
        <v>362</v>
      </c>
      <c r="B464" s="66" t="s">
        <v>369</v>
      </c>
      <c r="C464" s="67"/>
      <c r="D464" s="68"/>
      <c r="E464" s="69"/>
      <c r="F464" s="70"/>
      <c r="G464" s="67"/>
      <c r="H464" s="71"/>
      <c r="I464" s="72"/>
      <c r="J464" s="72"/>
      <c r="K464" s="36"/>
      <c r="L464" s="79"/>
      <c r="M464" s="79"/>
      <c r="N464" s="74"/>
      <c r="O464" s="81" t="s">
        <v>693</v>
      </c>
      <c r="P464" s="83">
        <v>44462.433969907404</v>
      </c>
      <c r="Q464" s="81" t="s">
        <v>763</v>
      </c>
      <c r="R464" s="84" t="str">
        <f>HYPERLINK("https://nasional.tempo.co/read/1509255/risma-memastikan-bantuan-sosial-pada-warga-terdampak-covid-19-berlanjut")</f>
        <v>https://nasional.tempo.co/read/1509255/risma-memastikan-bantuan-sosial-pada-warga-terdampak-covid-19-berlanjut</v>
      </c>
      <c r="S464" s="81" t="s">
        <v>953</v>
      </c>
      <c r="T464" s="86" t="s">
        <v>982</v>
      </c>
      <c r="U464" s="81"/>
      <c r="V464" s="84" t="str">
        <f>HYPERLINK("https://pbs.twimg.com/profile_images/1366731661363212291/XzRK8wds_normal.jpg")</f>
        <v>https://pbs.twimg.com/profile_images/1366731661363212291/XzRK8wds_normal.jpg</v>
      </c>
      <c r="W464" s="83">
        <v>44462.433969907404</v>
      </c>
      <c r="X464" s="89">
        <v>44462</v>
      </c>
      <c r="Y464" s="86" t="s">
        <v>1174</v>
      </c>
      <c r="Z464" s="84" t="str">
        <f>HYPERLINK("https://twitter.com/berli_flo/status/1440985522621403136")</f>
        <v>https://twitter.com/berli_flo/status/1440985522621403136</v>
      </c>
      <c r="AA464" s="81"/>
      <c r="AB464" s="81"/>
      <c r="AC464" s="86" t="s">
        <v>1671</v>
      </c>
      <c r="AD464" s="81"/>
      <c r="AE464" s="81" t="b">
        <v>0</v>
      </c>
      <c r="AF464" s="81">
        <v>0</v>
      </c>
      <c r="AG464" s="86" t="s">
        <v>2084</v>
      </c>
      <c r="AH464" s="81" t="b">
        <v>0</v>
      </c>
      <c r="AI464" s="81" t="s">
        <v>2167</v>
      </c>
      <c r="AJ464" s="81"/>
      <c r="AK464" s="86" t="s">
        <v>2084</v>
      </c>
      <c r="AL464" s="81" t="b">
        <v>0</v>
      </c>
      <c r="AM464" s="81">
        <v>14</v>
      </c>
      <c r="AN464" s="86" t="s">
        <v>1683</v>
      </c>
      <c r="AO464" s="86" t="s">
        <v>2178</v>
      </c>
      <c r="AP464" s="81" t="b">
        <v>0</v>
      </c>
      <c r="AQ464" s="86" t="s">
        <v>1683</v>
      </c>
      <c r="AR464" s="81" t="s">
        <v>179</v>
      </c>
      <c r="AS464" s="81">
        <v>0</v>
      </c>
      <c r="AT464" s="81">
        <v>0</v>
      </c>
      <c r="AU464" s="81"/>
      <c r="AV464" s="81"/>
      <c r="AW464" s="81"/>
      <c r="AX464" s="81"/>
      <c r="AY464" s="81"/>
      <c r="AZ464" s="81"/>
      <c r="BA464" s="81"/>
      <c r="BB464" s="81"/>
    </row>
    <row r="465" spans="1:54" x14ac:dyDescent="0.35">
      <c r="A465" s="66" t="s">
        <v>12498</v>
      </c>
      <c r="B465" s="66" t="s">
        <v>12498</v>
      </c>
      <c r="C465" s="67"/>
      <c r="D465" s="68"/>
      <c r="E465" s="69"/>
      <c r="F465" s="70"/>
      <c r="G465" s="67"/>
      <c r="H465" s="71"/>
      <c r="I465" s="72"/>
      <c r="J465" s="72"/>
      <c r="K465" s="36"/>
      <c r="L465" s="79"/>
      <c r="M465" s="79"/>
      <c r="N465" s="74"/>
      <c r="O465" s="81" t="s">
        <v>179</v>
      </c>
      <c r="P465" s="83">
        <v>44461.387060185189</v>
      </c>
      <c r="Q465" s="81" t="s">
        <v>12737</v>
      </c>
      <c r="R465" s="84" t="str">
        <f>HYPERLINK("http://www.essa.pt/portal/cursos/pos-graduacoes/ft-fafr-6e/")</f>
        <v>http://www.essa.pt/portal/cursos/pos-graduacoes/ft-fafr-6e/</v>
      </c>
      <c r="S465" s="81" t="s">
        <v>12845</v>
      </c>
      <c r="T465" s="81"/>
      <c r="U465" s="84" t="str">
        <f>HYPERLINK("https://pbs.twimg.com/media/E_4PnwYUUAce-yc.jpg")</f>
        <v>https://pbs.twimg.com/media/E_4PnwYUUAce-yc.jpg</v>
      </c>
      <c r="V465" s="84" t="str">
        <f>HYPERLINK("https://pbs.twimg.com/media/E_4PnwYUUAce-yc.jpg")</f>
        <v>https://pbs.twimg.com/media/E_4PnwYUUAce-yc.jpg</v>
      </c>
      <c r="W465" s="83">
        <v>44461.387060185189</v>
      </c>
      <c r="X465" s="89">
        <v>44461</v>
      </c>
      <c r="Y465" s="86" t="s">
        <v>12878</v>
      </c>
      <c r="Z465" s="84" t="str">
        <f>HYPERLINK("https://twitter.com/essalcoitao/status/1440606137343041541")</f>
        <v>https://twitter.com/essalcoitao/status/1440606137343041541</v>
      </c>
      <c r="AA465" s="81"/>
      <c r="AB465" s="81"/>
      <c r="AC465" s="86" t="s">
        <v>13115</v>
      </c>
      <c r="AD465" s="81"/>
      <c r="AE465" s="81" t="b">
        <v>0</v>
      </c>
      <c r="AF465" s="81">
        <v>1</v>
      </c>
      <c r="AG465" s="86" t="s">
        <v>2084</v>
      </c>
      <c r="AH465" s="81" t="b">
        <v>0</v>
      </c>
      <c r="AI465" s="81" t="s">
        <v>2171</v>
      </c>
      <c r="AJ465" s="81"/>
      <c r="AK465" s="86" t="s">
        <v>2084</v>
      </c>
      <c r="AL465" s="81" t="b">
        <v>0</v>
      </c>
      <c r="AM465" s="81">
        <v>0</v>
      </c>
      <c r="AN465" s="86" t="s">
        <v>2084</v>
      </c>
      <c r="AO465" s="86" t="s">
        <v>2181</v>
      </c>
      <c r="AP465" s="81" t="b">
        <v>0</v>
      </c>
      <c r="AQ465" s="86" t="s">
        <v>13115</v>
      </c>
      <c r="AR465" s="81" t="s">
        <v>179</v>
      </c>
      <c r="AS465" s="81">
        <v>0</v>
      </c>
      <c r="AT465" s="81">
        <v>0</v>
      </c>
      <c r="AU465" s="81"/>
      <c r="AV465" s="81"/>
      <c r="AW465" s="81"/>
      <c r="AX465" s="81"/>
      <c r="AY465" s="81"/>
      <c r="AZ465" s="81"/>
      <c r="BA465" s="81"/>
      <c r="BB465" s="81"/>
    </row>
    <row r="466" spans="1:54" x14ac:dyDescent="0.35">
      <c r="A466" s="66" t="s">
        <v>12498</v>
      </c>
      <c r="B466" s="66" t="s">
        <v>12498</v>
      </c>
      <c r="C466" s="67"/>
      <c r="D466" s="68"/>
      <c r="E466" s="69"/>
      <c r="F466" s="70"/>
      <c r="G466" s="67"/>
      <c r="H466" s="71"/>
      <c r="I466" s="72"/>
      <c r="J466" s="72"/>
      <c r="K466" s="36"/>
      <c r="L466" s="79"/>
      <c r="M466" s="79"/>
      <c r="N466" s="74"/>
      <c r="O466" s="81" t="s">
        <v>179</v>
      </c>
      <c r="P466" s="83">
        <v>44462.434560185182</v>
      </c>
      <c r="Q466" s="81" t="s">
        <v>12738</v>
      </c>
      <c r="R466" s="84" t="str">
        <f>HYPERLINK("http://www.essa.pt/portal/cursos/pos-graduacoes/tf-ii-4e/")</f>
        <v>http://www.essa.pt/portal/cursos/pos-graduacoes/tf-ii-4e/</v>
      </c>
      <c r="S466" s="81" t="s">
        <v>12845</v>
      </c>
      <c r="T466" s="81"/>
      <c r="U466" s="84" t="str">
        <f>HYPERLINK("https://pbs.twimg.com/media/E_9oi-dWQAU70SD.jpg")</f>
        <v>https://pbs.twimg.com/media/E_9oi-dWQAU70SD.jpg</v>
      </c>
      <c r="V466" s="84" t="str">
        <f>HYPERLINK("https://pbs.twimg.com/media/E_9oi-dWQAU70SD.jpg")</f>
        <v>https://pbs.twimg.com/media/E_9oi-dWQAU70SD.jpg</v>
      </c>
      <c r="W466" s="83">
        <v>44462.434560185182</v>
      </c>
      <c r="X466" s="89">
        <v>44462</v>
      </c>
      <c r="Y466" s="86" t="s">
        <v>12879</v>
      </c>
      <c r="Z466" s="84" t="str">
        <f>HYPERLINK("https://twitter.com/essalcoitao/status/1440985736791175173")</f>
        <v>https://twitter.com/essalcoitao/status/1440985736791175173</v>
      </c>
      <c r="AA466" s="81"/>
      <c r="AB466" s="81"/>
      <c r="AC466" s="86" t="s">
        <v>13116</v>
      </c>
      <c r="AD466" s="81"/>
      <c r="AE466" s="81" t="b">
        <v>0</v>
      </c>
      <c r="AF466" s="81">
        <v>0</v>
      </c>
      <c r="AG466" s="86" t="s">
        <v>2084</v>
      </c>
      <c r="AH466" s="81" t="b">
        <v>0</v>
      </c>
      <c r="AI466" s="81" t="s">
        <v>2171</v>
      </c>
      <c r="AJ466" s="81"/>
      <c r="AK466" s="86" t="s">
        <v>2084</v>
      </c>
      <c r="AL466" s="81" t="b">
        <v>0</v>
      </c>
      <c r="AM466" s="81">
        <v>0</v>
      </c>
      <c r="AN466" s="86" t="s">
        <v>2084</v>
      </c>
      <c r="AO466" s="86" t="s">
        <v>2181</v>
      </c>
      <c r="AP466" s="81" t="b">
        <v>0</v>
      </c>
      <c r="AQ466" s="86" t="s">
        <v>13116</v>
      </c>
      <c r="AR466" s="81" t="s">
        <v>179</v>
      </c>
      <c r="AS466" s="81">
        <v>0</v>
      </c>
      <c r="AT466" s="81">
        <v>0</v>
      </c>
      <c r="AU466" s="81"/>
      <c r="AV466" s="81"/>
      <c r="AW466" s="81"/>
      <c r="AX466" s="81"/>
      <c r="AY466" s="81"/>
      <c r="AZ466" s="81"/>
      <c r="BA466" s="81"/>
      <c r="BB466" s="81"/>
    </row>
    <row r="467" spans="1:54" x14ac:dyDescent="0.35">
      <c r="A467" s="66" t="s">
        <v>363</v>
      </c>
      <c r="B467" s="66" t="s">
        <v>369</v>
      </c>
      <c r="C467" s="67"/>
      <c r="D467" s="68"/>
      <c r="E467" s="69"/>
      <c r="F467" s="70"/>
      <c r="G467" s="67"/>
      <c r="H467" s="71"/>
      <c r="I467" s="72"/>
      <c r="J467" s="72"/>
      <c r="K467" s="36"/>
      <c r="L467" s="79"/>
      <c r="M467" s="79"/>
      <c r="N467" s="74"/>
      <c r="O467" s="81" t="s">
        <v>693</v>
      </c>
      <c r="P467" s="83">
        <v>44462.436111111114</v>
      </c>
      <c r="Q467" s="81" t="s">
        <v>763</v>
      </c>
      <c r="R467" s="84" t="str">
        <f>HYPERLINK("https://nasional.tempo.co/read/1509255/risma-memastikan-bantuan-sosial-pada-warga-terdampak-covid-19-berlanjut")</f>
        <v>https://nasional.tempo.co/read/1509255/risma-memastikan-bantuan-sosial-pada-warga-terdampak-covid-19-berlanjut</v>
      </c>
      <c r="S467" s="81" t="s">
        <v>953</v>
      </c>
      <c r="T467" s="86" t="s">
        <v>982</v>
      </c>
      <c r="U467" s="81"/>
      <c r="V467" s="84" t="str">
        <f>HYPERLINK("https://pbs.twimg.com/profile_images/1396421365264044042/bWcTyREo_normal.jpg")</f>
        <v>https://pbs.twimg.com/profile_images/1396421365264044042/bWcTyREo_normal.jpg</v>
      </c>
      <c r="W467" s="83">
        <v>44462.436111111114</v>
      </c>
      <c r="X467" s="89">
        <v>44462</v>
      </c>
      <c r="Y467" s="86" t="s">
        <v>1175</v>
      </c>
      <c r="Z467" s="84" t="str">
        <f>HYPERLINK("https://twitter.com/marv3lll/status/1440986297250631683")</f>
        <v>https://twitter.com/marv3lll/status/1440986297250631683</v>
      </c>
      <c r="AA467" s="81"/>
      <c r="AB467" s="81"/>
      <c r="AC467" s="86" t="s">
        <v>1672</v>
      </c>
      <c r="AD467" s="81"/>
      <c r="AE467" s="81" t="b">
        <v>0</v>
      </c>
      <c r="AF467" s="81">
        <v>0</v>
      </c>
      <c r="AG467" s="86" t="s">
        <v>2084</v>
      </c>
      <c r="AH467" s="81" t="b">
        <v>0</v>
      </c>
      <c r="AI467" s="81" t="s">
        <v>2167</v>
      </c>
      <c r="AJ467" s="81"/>
      <c r="AK467" s="86" t="s">
        <v>2084</v>
      </c>
      <c r="AL467" s="81" t="b">
        <v>0</v>
      </c>
      <c r="AM467" s="81">
        <v>14</v>
      </c>
      <c r="AN467" s="86" t="s">
        <v>1683</v>
      </c>
      <c r="AO467" s="86" t="s">
        <v>2179</v>
      </c>
      <c r="AP467" s="81" t="b">
        <v>0</v>
      </c>
      <c r="AQ467" s="86" t="s">
        <v>1683</v>
      </c>
      <c r="AR467" s="81" t="s">
        <v>179</v>
      </c>
      <c r="AS467" s="81">
        <v>0</v>
      </c>
      <c r="AT467" s="81">
        <v>0</v>
      </c>
      <c r="AU467" s="81"/>
      <c r="AV467" s="81"/>
      <c r="AW467" s="81"/>
      <c r="AX467" s="81"/>
      <c r="AY467" s="81"/>
      <c r="AZ467" s="81"/>
      <c r="BA467" s="81"/>
      <c r="BB467" s="81"/>
    </row>
    <row r="468" spans="1:54" x14ac:dyDescent="0.35">
      <c r="A468" s="66" t="s">
        <v>363</v>
      </c>
      <c r="B468" s="66" t="s">
        <v>369</v>
      </c>
      <c r="C468" s="67"/>
      <c r="D468" s="68"/>
      <c r="E468" s="69"/>
      <c r="F468" s="70"/>
      <c r="G468" s="67"/>
      <c r="H468" s="71"/>
      <c r="I468" s="72"/>
      <c r="J468" s="72"/>
      <c r="K468" s="36"/>
      <c r="L468" s="79"/>
      <c r="M468" s="79"/>
      <c r="N468" s="74"/>
      <c r="O468" s="81" t="s">
        <v>693</v>
      </c>
      <c r="P468" s="83">
        <v>44462.436909722222</v>
      </c>
      <c r="Q468" s="81" t="s">
        <v>762</v>
      </c>
      <c r="R468" s="84" t="str">
        <f>HYPERLINK("https://www.suara.com/news/2021/09/22/201526/lanjutkan-perlindungan-untuk-masyarakat-pandemi-kemensos-alokasikan-rp7408-t-di-2022")</f>
        <v>https://www.suara.com/news/2021/09/22/201526/lanjutkan-perlindungan-untuk-masyarakat-pandemi-kemensos-alokasikan-rp7408-t-di-2022</v>
      </c>
      <c r="S468" s="81" t="s">
        <v>952</v>
      </c>
      <c r="T468" s="86" t="s">
        <v>982</v>
      </c>
      <c r="U468" s="81"/>
      <c r="V468" s="84" t="str">
        <f>HYPERLINK("https://pbs.twimg.com/profile_images/1396421365264044042/bWcTyREo_normal.jpg")</f>
        <v>https://pbs.twimg.com/profile_images/1396421365264044042/bWcTyREo_normal.jpg</v>
      </c>
      <c r="W468" s="83">
        <v>44462.436909722222</v>
      </c>
      <c r="X468" s="89">
        <v>44462</v>
      </c>
      <c r="Y468" s="86" t="s">
        <v>1176</v>
      </c>
      <c r="Z468" s="84" t="str">
        <f>HYPERLINK("https://twitter.com/marv3lll/status/1440986588431798277")</f>
        <v>https://twitter.com/marv3lll/status/1440986588431798277</v>
      </c>
      <c r="AA468" s="81"/>
      <c r="AB468" s="81"/>
      <c r="AC468" s="86" t="s">
        <v>1673</v>
      </c>
      <c r="AD468" s="81"/>
      <c r="AE468" s="81" t="b">
        <v>0</v>
      </c>
      <c r="AF468" s="81">
        <v>0</v>
      </c>
      <c r="AG468" s="86" t="s">
        <v>2084</v>
      </c>
      <c r="AH468" s="81" t="b">
        <v>0</v>
      </c>
      <c r="AI468" s="81" t="s">
        <v>2167</v>
      </c>
      <c r="AJ468" s="81"/>
      <c r="AK468" s="86" t="s">
        <v>2084</v>
      </c>
      <c r="AL468" s="81" t="b">
        <v>0</v>
      </c>
      <c r="AM468" s="81">
        <v>13</v>
      </c>
      <c r="AN468" s="86" t="s">
        <v>1684</v>
      </c>
      <c r="AO468" s="86" t="s">
        <v>2179</v>
      </c>
      <c r="AP468" s="81" t="b">
        <v>0</v>
      </c>
      <c r="AQ468" s="86" t="s">
        <v>1684</v>
      </c>
      <c r="AR468" s="81" t="s">
        <v>179</v>
      </c>
      <c r="AS468" s="81">
        <v>0</v>
      </c>
      <c r="AT468" s="81">
        <v>0</v>
      </c>
      <c r="AU468" s="81"/>
      <c r="AV468" s="81"/>
      <c r="AW468" s="81"/>
      <c r="AX468" s="81"/>
      <c r="AY468" s="81"/>
      <c r="AZ468" s="81"/>
      <c r="BA468" s="81"/>
      <c r="BB468" s="81"/>
    </row>
    <row r="469" spans="1:54" x14ac:dyDescent="0.35">
      <c r="A469" s="66" t="s">
        <v>364</v>
      </c>
      <c r="B469" s="66" t="s">
        <v>369</v>
      </c>
      <c r="C469" s="67"/>
      <c r="D469" s="68"/>
      <c r="E469" s="69"/>
      <c r="F469" s="70"/>
      <c r="G469" s="67"/>
      <c r="H469" s="71"/>
      <c r="I469" s="72"/>
      <c r="J469" s="72"/>
      <c r="K469" s="36"/>
      <c r="L469" s="79"/>
      <c r="M469" s="79"/>
      <c r="N469" s="74"/>
      <c r="O469" s="81" t="s">
        <v>693</v>
      </c>
      <c r="P469" s="83">
        <v>44462.448101851849</v>
      </c>
      <c r="Q469" s="81" t="s">
        <v>762</v>
      </c>
      <c r="R469" s="84" t="str">
        <f>HYPERLINK("https://www.suara.com/news/2021/09/22/201526/lanjutkan-perlindungan-untuk-masyarakat-pandemi-kemensos-alokasikan-rp7408-t-di-2022")</f>
        <v>https://www.suara.com/news/2021/09/22/201526/lanjutkan-perlindungan-untuk-masyarakat-pandemi-kemensos-alokasikan-rp7408-t-di-2022</v>
      </c>
      <c r="S469" s="81" t="s">
        <v>952</v>
      </c>
      <c r="T469" s="86" t="s">
        <v>982</v>
      </c>
      <c r="U469" s="81"/>
      <c r="V469" s="84" t="str">
        <f>HYPERLINK("https://pbs.twimg.com/profile_images/1407998233700274184/wM2uv0NX_normal.jpg")</f>
        <v>https://pbs.twimg.com/profile_images/1407998233700274184/wM2uv0NX_normal.jpg</v>
      </c>
      <c r="W469" s="83">
        <v>44462.448101851849</v>
      </c>
      <c r="X469" s="89">
        <v>44462</v>
      </c>
      <c r="Y469" s="86" t="s">
        <v>1177</v>
      </c>
      <c r="Z469" s="84" t="str">
        <f>HYPERLINK("https://twitter.com/panterorison20/status/1440990643153616897")</f>
        <v>https://twitter.com/panterorison20/status/1440990643153616897</v>
      </c>
      <c r="AA469" s="81"/>
      <c r="AB469" s="81"/>
      <c r="AC469" s="86" t="s">
        <v>1674</v>
      </c>
      <c r="AD469" s="81"/>
      <c r="AE469" s="81" t="b">
        <v>0</v>
      </c>
      <c r="AF469" s="81">
        <v>0</v>
      </c>
      <c r="AG469" s="86" t="s">
        <v>2084</v>
      </c>
      <c r="AH469" s="81" t="b">
        <v>0</v>
      </c>
      <c r="AI469" s="81" t="s">
        <v>2167</v>
      </c>
      <c r="AJ469" s="81"/>
      <c r="AK469" s="86" t="s">
        <v>2084</v>
      </c>
      <c r="AL469" s="81" t="b">
        <v>0</v>
      </c>
      <c r="AM469" s="81">
        <v>13</v>
      </c>
      <c r="AN469" s="86" t="s">
        <v>1684</v>
      </c>
      <c r="AO469" s="86" t="s">
        <v>2178</v>
      </c>
      <c r="AP469" s="81" t="b">
        <v>0</v>
      </c>
      <c r="AQ469" s="86" t="s">
        <v>1684</v>
      </c>
      <c r="AR469" s="81" t="s">
        <v>179</v>
      </c>
      <c r="AS469" s="81">
        <v>0</v>
      </c>
      <c r="AT469" s="81">
        <v>0</v>
      </c>
      <c r="AU469" s="81"/>
      <c r="AV469" s="81"/>
      <c r="AW469" s="81"/>
      <c r="AX469" s="81"/>
      <c r="AY469" s="81"/>
      <c r="AZ469" s="81"/>
      <c r="BA469" s="81"/>
      <c r="BB469" s="81"/>
    </row>
    <row r="470" spans="1:54" x14ac:dyDescent="0.35">
      <c r="A470" s="66" t="s">
        <v>364</v>
      </c>
      <c r="B470" s="66" t="s">
        <v>369</v>
      </c>
      <c r="C470" s="67"/>
      <c r="D470" s="68"/>
      <c r="E470" s="69"/>
      <c r="F470" s="70"/>
      <c r="G470" s="67"/>
      <c r="H470" s="71"/>
      <c r="I470" s="72"/>
      <c r="J470" s="72"/>
      <c r="K470" s="36"/>
      <c r="L470" s="79"/>
      <c r="M470" s="79"/>
      <c r="N470" s="74"/>
      <c r="O470" s="81" t="s">
        <v>693</v>
      </c>
      <c r="P470" s="83">
        <v>44462.448148148149</v>
      </c>
      <c r="Q470" s="81" t="s">
        <v>763</v>
      </c>
      <c r="R470" s="84" t="str">
        <f>HYPERLINK("https://nasional.tempo.co/read/1509255/risma-memastikan-bantuan-sosial-pada-warga-terdampak-covid-19-berlanjut")</f>
        <v>https://nasional.tempo.co/read/1509255/risma-memastikan-bantuan-sosial-pada-warga-terdampak-covid-19-berlanjut</v>
      </c>
      <c r="S470" s="81" t="s">
        <v>953</v>
      </c>
      <c r="T470" s="86" t="s">
        <v>982</v>
      </c>
      <c r="U470" s="81"/>
      <c r="V470" s="84" t="str">
        <f>HYPERLINK("https://pbs.twimg.com/profile_images/1407998233700274184/wM2uv0NX_normal.jpg")</f>
        <v>https://pbs.twimg.com/profile_images/1407998233700274184/wM2uv0NX_normal.jpg</v>
      </c>
      <c r="W470" s="83">
        <v>44462.448148148149</v>
      </c>
      <c r="X470" s="89">
        <v>44462</v>
      </c>
      <c r="Y470" s="86" t="s">
        <v>1178</v>
      </c>
      <c r="Z470" s="84" t="str">
        <f>HYPERLINK("https://twitter.com/panterorison20/status/1440990660341821441")</f>
        <v>https://twitter.com/panterorison20/status/1440990660341821441</v>
      </c>
      <c r="AA470" s="81"/>
      <c r="AB470" s="81"/>
      <c r="AC470" s="86" t="s">
        <v>1675</v>
      </c>
      <c r="AD470" s="81"/>
      <c r="AE470" s="81" t="b">
        <v>0</v>
      </c>
      <c r="AF470" s="81">
        <v>0</v>
      </c>
      <c r="AG470" s="86" t="s">
        <v>2084</v>
      </c>
      <c r="AH470" s="81" t="b">
        <v>0</v>
      </c>
      <c r="AI470" s="81" t="s">
        <v>2167</v>
      </c>
      <c r="AJ470" s="81"/>
      <c r="AK470" s="86" t="s">
        <v>2084</v>
      </c>
      <c r="AL470" s="81" t="b">
        <v>0</v>
      </c>
      <c r="AM470" s="81">
        <v>14</v>
      </c>
      <c r="AN470" s="86" t="s">
        <v>1683</v>
      </c>
      <c r="AO470" s="86" t="s">
        <v>2178</v>
      </c>
      <c r="AP470" s="81" t="b">
        <v>0</v>
      </c>
      <c r="AQ470" s="86" t="s">
        <v>1683</v>
      </c>
      <c r="AR470" s="81" t="s">
        <v>179</v>
      </c>
      <c r="AS470" s="81">
        <v>0</v>
      </c>
      <c r="AT470" s="81">
        <v>0</v>
      </c>
      <c r="AU470" s="81"/>
      <c r="AV470" s="81"/>
      <c r="AW470" s="81"/>
      <c r="AX470" s="81"/>
      <c r="AY470" s="81"/>
      <c r="AZ470" s="81"/>
      <c r="BA470" s="81"/>
      <c r="BB470" s="81"/>
    </row>
    <row r="471" spans="1:54" x14ac:dyDescent="0.35">
      <c r="A471" s="66" t="s">
        <v>365</v>
      </c>
      <c r="B471" s="66" t="s">
        <v>369</v>
      </c>
      <c r="C471" s="67"/>
      <c r="D471" s="68"/>
      <c r="E471" s="69"/>
      <c r="F471" s="70"/>
      <c r="G471" s="67"/>
      <c r="H471" s="71"/>
      <c r="I471" s="72"/>
      <c r="J471" s="72"/>
      <c r="K471" s="36"/>
      <c r="L471" s="79"/>
      <c r="M471" s="79"/>
      <c r="N471" s="74"/>
      <c r="O471" s="81" t="s">
        <v>693</v>
      </c>
      <c r="P471" s="83">
        <v>44462.43891203704</v>
      </c>
      <c r="Q471" s="81" t="s">
        <v>763</v>
      </c>
      <c r="R471" s="84" t="str">
        <f>HYPERLINK("https://nasional.tempo.co/read/1509255/risma-memastikan-bantuan-sosial-pada-warga-terdampak-covid-19-berlanjut")</f>
        <v>https://nasional.tempo.co/read/1509255/risma-memastikan-bantuan-sosial-pada-warga-terdampak-covid-19-berlanjut</v>
      </c>
      <c r="S471" s="81" t="s">
        <v>953</v>
      </c>
      <c r="T471" s="86" t="s">
        <v>982</v>
      </c>
      <c r="U471" s="81"/>
      <c r="V471" s="84" t="str">
        <f>HYPERLINK("https://pbs.twimg.com/profile_images/1398648555737288707/4Uw_Pcvy_normal.jpg")</f>
        <v>https://pbs.twimg.com/profile_images/1398648555737288707/4Uw_Pcvy_normal.jpg</v>
      </c>
      <c r="W471" s="83">
        <v>44462.43891203704</v>
      </c>
      <c r="X471" s="89">
        <v>44462</v>
      </c>
      <c r="Y471" s="86" t="s">
        <v>1179</v>
      </c>
      <c r="Z471" s="84" t="str">
        <f>HYPERLINK("https://twitter.com/sydneyx5w/status/1440987313098551308")</f>
        <v>https://twitter.com/sydneyx5w/status/1440987313098551308</v>
      </c>
      <c r="AA471" s="81"/>
      <c r="AB471" s="81"/>
      <c r="AC471" s="86" t="s">
        <v>1676</v>
      </c>
      <c r="AD471" s="81"/>
      <c r="AE471" s="81" t="b">
        <v>0</v>
      </c>
      <c r="AF471" s="81">
        <v>0</v>
      </c>
      <c r="AG471" s="86" t="s">
        <v>2084</v>
      </c>
      <c r="AH471" s="81" t="b">
        <v>0</v>
      </c>
      <c r="AI471" s="81" t="s">
        <v>2167</v>
      </c>
      <c r="AJ471" s="81"/>
      <c r="AK471" s="86" t="s">
        <v>2084</v>
      </c>
      <c r="AL471" s="81" t="b">
        <v>0</v>
      </c>
      <c r="AM471" s="81">
        <v>14</v>
      </c>
      <c r="AN471" s="86" t="s">
        <v>1683</v>
      </c>
      <c r="AO471" s="86" t="s">
        <v>2179</v>
      </c>
      <c r="AP471" s="81" t="b">
        <v>0</v>
      </c>
      <c r="AQ471" s="86" t="s">
        <v>1683</v>
      </c>
      <c r="AR471" s="81" t="s">
        <v>179</v>
      </c>
      <c r="AS471" s="81">
        <v>0</v>
      </c>
      <c r="AT471" s="81">
        <v>0</v>
      </c>
      <c r="AU471" s="81"/>
      <c r="AV471" s="81"/>
      <c r="AW471" s="81"/>
      <c r="AX471" s="81"/>
      <c r="AY471" s="81"/>
      <c r="AZ471" s="81"/>
      <c r="BA471" s="81"/>
      <c r="BB471" s="81"/>
    </row>
    <row r="472" spans="1:54" x14ac:dyDescent="0.35">
      <c r="A472" s="66" t="s">
        <v>365</v>
      </c>
      <c r="B472" s="66" t="s">
        <v>369</v>
      </c>
      <c r="C472" s="67"/>
      <c r="D472" s="68"/>
      <c r="E472" s="69"/>
      <c r="F472" s="70"/>
      <c r="G472" s="67"/>
      <c r="H472" s="71"/>
      <c r="I472" s="72"/>
      <c r="J472" s="72"/>
      <c r="K472" s="36"/>
      <c r="L472" s="79"/>
      <c r="M472" s="79"/>
      <c r="N472" s="74"/>
      <c r="O472" s="81" t="s">
        <v>693</v>
      </c>
      <c r="P472" s="83">
        <v>44462.455474537041</v>
      </c>
      <c r="Q472" s="81" t="s">
        <v>762</v>
      </c>
      <c r="R472" s="84" t="str">
        <f>HYPERLINK("https://www.suara.com/news/2021/09/22/201526/lanjutkan-perlindungan-untuk-masyarakat-pandemi-kemensos-alokasikan-rp7408-t-di-2022")</f>
        <v>https://www.suara.com/news/2021/09/22/201526/lanjutkan-perlindungan-untuk-masyarakat-pandemi-kemensos-alokasikan-rp7408-t-di-2022</v>
      </c>
      <c r="S472" s="81" t="s">
        <v>952</v>
      </c>
      <c r="T472" s="86" t="s">
        <v>982</v>
      </c>
      <c r="U472" s="81"/>
      <c r="V472" s="84" t="str">
        <f>HYPERLINK("https://pbs.twimg.com/profile_images/1398648555737288707/4Uw_Pcvy_normal.jpg")</f>
        <v>https://pbs.twimg.com/profile_images/1398648555737288707/4Uw_Pcvy_normal.jpg</v>
      </c>
      <c r="W472" s="83">
        <v>44462.455474537041</v>
      </c>
      <c r="X472" s="89">
        <v>44462</v>
      </c>
      <c r="Y472" s="86" t="s">
        <v>1180</v>
      </c>
      <c r="Z472" s="84" t="str">
        <f>HYPERLINK("https://twitter.com/sydneyx5w/status/1440993317446057985")</f>
        <v>https://twitter.com/sydneyx5w/status/1440993317446057985</v>
      </c>
      <c r="AA472" s="81"/>
      <c r="AB472" s="81"/>
      <c r="AC472" s="86" t="s">
        <v>1677</v>
      </c>
      <c r="AD472" s="81"/>
      <c r="AE472" s="81" t="b">
        <v>0</v>
      </c>
      <c r="AF472" s="81">
        <v>0</v>
      </c>
      <c r="AG472" s="86" t="s">
        <v>2084</v>
      </c>
      <c r="AH472" s="81" t="b">
        <v>0</v>
      </c>
      <c r="AI472" s="81" t="s">
        <v>2167</v>
      </c>
      <c r="AJ472" s="81"/>
      <c r="AK472" s="86" t="s">
        <v>2084</v>
      </c>
      <c r="AL472" s="81" t="b">
        <v>0</v>
      </c>
      <c r="AM472" s="81">
        <v>13</v>
      </c>
      <c r="AN472" s="86" t="s">
        <v>1684</v>
      </c>
      <c r="AO472" s="86" t="s">
        <v>2179</v>
      </c>
      <c r="AP472" s="81" t="b">
        <v>0</v>
      </c>
      <c r="AQ472" s="86" t="s">
        <v>1684</v>
      </c>
      <c r="AR472" s="81" t="s">
        <v>179</v>
      </c>
      <c r="AS472" s="81">
        <v>0</v>
      </c>
      <c r="AT472" s="81">
        <v>0</v>
      </c>
      <c r="AU472" s="81"/>
      <c r="AV472" s="81"/>
      <c r="AW472" s="81"/>
      <c r="AX472" s="81"/>
      <c r="AY472" s="81"/>
      <c r="AZ472" s="81"/>
      <c r="BA472" s="81"/>
      <c r="BB472" s="81"/>
    </row>
    <row r="473" spans="1:54" x14ac:dyDescent="0.35">
      <c r="A473" s="66" t="s">
        <v>4352</v>
      </c>
      <c r="B473" s="66" t="s">
        <v>4352</v>
      </c>
      <c r="C473" s="67"/>
      <c r="D473" s="68"/>
      <c r="E473" s="69"/>
      <c r="F473" s="70"/>
      <c r="G473" s="67"/>
      <c r="H473" s="71"/>
      <c r="I473" s="72"/>
      <c r="J473" s="72"/>
      <c r="K473" s="36"/>
      <c r="L473" s="79"/>
      <c r="M473" s="79"/>
      <c r="N473" s="74"/>
      <c r="O473" s="81" t="s">
        <v>179</v>
      </c>
      <c r="P473" s="83">
        <v>44462.459479166668</v>
      </c>
      <c r="Q473" s="84" t="str">
        <f>HYPERLINK("https://t.co/SfPOkVPJ92")</f>
        <v>https://t.co/SfPOkVPJ92</v>
      </c>
      <c r="R473" s="84" t="str">
        <f>HYPERLINK("https://zap.aeiou.pt/biden-chuta-acordo-comercial-reino-unido-pos-brexit-433538")</f>
        <v>https://zap.aeiou.pt/biden-chuta-acordo-comercial-reino-unido-pos-brexit-433538</v>
      </c>
      <c r="S473" s="81" t="s">
        <v>5713</v>
      </c>
      <c r="T473" s="81"/>
      <c r="U473" s="81"/>
      <c r="V473" s="84" t="str">
        <f>HYPERLINK("https://pbs.twimg.com/profile_images/621355862012112896/6YXBxVKu_normal.jpg")</f>
        <v>https://pbs.twimg.com/profile_images/621355862012112896/6YXBxVKu_normal.jpg</v>
      </c>
      <c r="W473" s="83">
        <v>44462.459479166668</v>
      </c>
      <c r="X473" s="89">
        <v>44462</v>
      </c>
      <c r="Y473" s="86" t="s">
        <v>5981</v>
      </c>
      <c r="Z473" s="84" t="str">
        <f>HYPERLINK("https://twitter.com/aeiou_pt/status/1440994764955033604")</f>
        <v>https://twitter.com/aeiou_pt/status/1440994764955033604</v>
      </c>
      <c r="AA473" s="81"/>
      <c r="AB473" s="81"/>
      <c r="AC473" s="86" t="s">
        <v>6884</v>
      </c>
      <c r="AD473" s="81"/>
      <c r="AE473" s="81" t="b">
        <v>0</v>
      </c>
      <c r="AF473" s="81">
        <v>0</v>
      </c>
      <c r="AG473" s="86" t="s">
        <v>2084</v>
      </c>
      <c r="AH473" s="81" t="b">
        <v>0</v>
      </c>
      <c r="AI473" s="81" t="s">
        <v>2173</v>
      </c>
      <c r="AJ473" s="81"/>
      <c r="AK473" s="86" t="s">
        <v>2084</v>
      </c>
      <c r="AL473" s="81" t="b">
        <v>0</v>
      </c>
      <c r="AM473" s="81">
        <v>0</v>
      </c>
      <c r="AN473" s="86" t="s">
        <v>2084</v>
      </c>
      <c r="AO473" s="86" t="s">
        <v>7981</v>
      </c>
      <c r="AP473" s="81" t="b">
        <v>0</v>
      </c>
      <c r="AQ473" s="86" t="s">
        <v>6884</v>
      </c>
      <c r="AR473" s="81" t="s">
        <v>179</v>
      </c>
      <c r="AS473" s="81">
        <v>0</v>
      </c>
      <c r="AT473" s="81">
        <v>0</v>
      </c>
      <c r="AU473" s="81"/>
      <c r="AV473" s="81"/>
      <c r="AW473" s="81"/>
      <c r="AX473" s="81"/>
      <c r="AY473" s="81"/>
      <c r="AZ473" s="81"/>
      <c r="BA473" s="81"/>
      <c r="BB473" s="81"/>
    </row>
    <row r="474" spans="1:54" x14ac:dyDescent="0.35">
      <c r="A474" s="66" t="s">
        <v>366</v>
      </c>
      <c r="B474" s="66" t="s">
        <v>369</v>
      </c>
      <c r="C474" s="67"/>
      <c r="D474" s="68"/>
      <c r="E474" s="69"/>
      <c r="F474" s="70"/>
      <c r="G474" s="67"/>
      <c r="H474" s="71"/>
      <c r="I474" s="72"/>
      <c r="J474" s="72"/>
      <c r="K474" s="36"/>
      <c r="L474" s="79"/>
      <c r="M474" s="79"/>
      <c r="N474" s="74"/>
      <c r="O474" s="81" t="s">
        <v>693</v>
      </c>
      <c r="P474" s="83">
        <v>44462.464386574073</v>
      </c>
      <c r="Q474" s="81" t="s">
        <v>762</v>
      </c>
      <c r="R474" s="84" t="str">
        <f>HYPERLINK("https://www.suara.com/news/2021/09/22/201526/lanjutkan-perlindungan-untuk-masyarakat-pandemi-kemensos-alokasikan-rp7408-t-di-2022")</f>
        <v>https://www.suara.com/news/2021/09/22/201526/lanjutkan-perlindungan-untuk-masyarakat-pandemi-kemensos-alokasikan-rp7408-t-di-2022</v>
      </c>
      <c r="S474" s="81" t="s">
        <v>952</v>
      </c>
      <c r="T474" s="86" t="s">
        <v>982</v>
      </c>
      <c r="U474" s="81"/>
      <c r="V474" s="84" t="str">
        <f>HYPERLINK("https://pbs.twimg.com/profile_images/1367427699224944643/rYHtleLv_normal.jpg")</f>
        <v>https://pbs.twimg.com/profile_images/1367427699224944643/rYHtleLv_normal.jpg</v>
      </c>
      <c r="W474" s="83">
        <v>44462.464386574073</v>
      </c>
      <c r="X474" s="89">
        <v>44462</v>
      </c>
      <c r="Y474" s="86" t="s">
        <v>1181</v>
      </c>
      <c r="Z474" s="84" t="str">
        <f>HYPERLINK("https://twitter.com/farrel27/status/1440996547072696324")</f>
        <v>https://twitter.com/farrel27/status/1440996547072696324</v>
      </c>
      <c r="AA474" s="81"/>
      <c r="AB474" s="81"/>
      <c r="AC474" s="86" t="s">
        <v>1678</v>
      </c>
      <c r="AD474" s="81"/>
      <c r="AE474" s="81" t="b">
        <v>0</v>
      </c>
      <c r="AF474" s="81">
        <v>0</v>
      </c>
      <c r="AG474" s="86" t="s">
        <v>2084</v>
      </c>
      <c r="AH474" s="81" t="b">
        <v>0</v>
      </c>
      <c r="AI474" s="81" t="s">
        <v>2167</v>
      </c>
      <c r="AJ474" s="81"/>
      <c r="AK474" s="86" t="s">
        <v>2084</v>
      </c>
      <c r="AL474" s="81" t="b">
        <v>0</v>
      </c>
      <c r="AM474" s="81">
        <v>13</v>
      </c>
      <c r="AN474" s="86" t="s">
        <v>1684</v>
      </c>
      <c r="AO474" s="86" t="s">
        <v>2178</v>
      </c>
      <c r="AP474" s="81" t="b">
        <v>0</v>
      </c>
      <c r="AQ474" s="86" t="s">
        <v>1684</v>
      </c>
      <c r="AR474" s="81" t="s">
        <v>179</v>
      </c>
      <c r="AS474" s="81">
        <v>0</v>
      </c>
      <c r="AT474" s="81">
        <v>0</v>
      </c>
      <c r="AU474" s="81"/>
      <c r="AV474" s="81"/>
      <c r="AW474" s="81"/>
      <c r="AX474" s="81"/>
      <c r="AY474" s="81"/>
      <c r="AZ474" s="81"/>
      <c r="BA474" s="81"/>
      <c r="BB474" s="81"/>
    </row>
    <row r="475" spans="1:54" x14ac:dyDescent="0.35">
      <c r="A475" s="66" t="s">
        <v>366</v>
      </c>
      <c r="B475" s="66" t="s">
        <v>369</v>
      </c>
      <c r="C475" s="67"/>
      <c r="D475" s="68"/>
      <c r="E475" s="69"/>
      <c r="F475" s="70"/>
      <c r="G475" s="67"/>
      <c r="H475" s="71"/>
      <c r="I475" s="72"/>
      <c r="J475" s="72"/>
      <c r="K475" s="36"/>
      <c r="L475" s="79"/>
      <c r="M475" s="79"/>
      <c r="N475" s="74"/>
      <c r="O475" s="81" t="s">
        <v>693</v>
      </c>
      <c r="P475" s="83">
        <v>44462.464594907404</v>
      </c>
      <c r="Q475" s="81" t="s">
        <v>763</v>
      </c>
      <c r="R475" s="84" t="str">
        <f>HYPERLINK("https://nasional.tempo.co/read/1509255/risma-memastikan-bantuan-sosial-pada-warga-terdampak-covid-19-berlanjut")</f>
        <v>https://nasional.tempo.co/read/1509255/risma-memastikan-bantuan-sosial-pada-warga-terdampak-covid-19-berlanjut</v>
      </c>
      <c r="S475" s="81" t="s">
        <v>953</v>
      </c>
      <c r="T475" s="86" t="s">
        <v>982</v>
      </c>
      <c r="U475" s="81"/>
      <c r="V475" s="84" t="str">
        <f>HYPERLINK("https://pbs.twimg.com/profile_images/1367427699224944643/rYHtleLv_normal.jpg")</f>
        <v>https://pbs.twimg.com/profile_images/1367427699224944643/rYHtleLv_normal.jpg</v>
      </c>
      <c r="W475" s="83">
        <v>44462.464594907404</v>
      </c>
      <c r="X475" s="89">
        <v>44462</v>
      </c>
      <c r="Y475" s="86" t="s">
        <v>1182</v>
      </c>
      <c r="Z475" s="84" t="str">
        <f>HYPERLINK("https://twitter.com/farrel27/status/1440996619101499395")</f>
        <v>https://twitter.com/farrel27/status/1440996619101499395</v>
      </c>
      <c r="AA475" s="81"/>
      <c r="AB475" s="81"/>
      <c r="AC475" s="86" t="s">
        <v>1679</v>
      </c>
      <c r="AD475" s="81"/>
      <c r="AE475" s="81" t="b">
        <v>0</v>
      </c>
      <c r="AF475" s="81">
        <v>0</v>
      </c>
      <c r="AG475" s="86" t="s">
        <v>2084</v>
      </c>
      <c r="AH475" s="81" t="b">
        <v>0</v>
      </c>
      <c r="AI475" s="81" t="s">
        <v>2167</v>
      </c>
      <c r="AJ475" s="81"/>
      <c r="AK475" s="86" t="s">
        <v>2084</v>
      </c>
      <c r="AL475" s="81" t="b">
        <v>0</v>
      </c>
      <c r="AM475" s="81">
        <v>14</v>
      </c>
      <c r="AN475" s="86" t="s">
        <v>1683</v>
      </c>
      <c r="AO475" s="86" t="s">
        <v>2178</v>
      </c>
      <c r="AP475" s="81" t="b">
        <v>0</v>
      </c>
      <c r="AQ475" s="86" t="s">
        <v>1683</v>
      </c>
      <c r="AR475" s="81" t="s">
        <v>179</v>
      </c>
      <c r="AS475" s="81">
        <v>0</v>
      </c>
      <c r="AT475" s="81">
        <v>0</v>
      </c>
      <c r="AU475" s="81"/>
      <c r="AV475" s="81"/>
      <c r="AW475" s="81"/>
      <c r="AX475" s="81"/>
      <c r="AY475" s="81"/>
      <c r="AZ475" s="81"/>
      <c r="BA475" s="81"/>
      <c r="BB475" s="81"/>
    </row>
    <row r="476" spans="1:54" x14ac:dyDescent="0.35">
      <c r="A476" s="66" t="s">
        <v>367</v>
      </c>
      <c r="B476" s="66" t="s">
        <v>415</v>
      </c>
      <c r="C476" s="67"/>
      <c r="D476" s="68"/>
      <c r="E476" s="69"/>
      <c r="F476" s="70"/>
      <c r="G476" s="67"/>
      <c r="H476" s="71"/>
      <c r="I476" s="72"/>
      <c r="J476" s="72"/>
      <c r="K476" s="36"/>
      <c r="L476" s="79"/>
      <c r="M476" s="79"/>
      <c r="N476" s="74"/>
      <c r="O476" s="81" t="s">
        <v>693</v>
      </c>
      <c r="P476" s="83">
        <v>44462.469305555554</v>
      </c>
      <c r="Q476" s="81" t="s">
        <v>759</v>
      </c>
      <c r="R476" s="81"/>
      <c r="S476" s="81"/>
      <c r="T476" s="86" t="s">
        <v>979</v>
      </c>
      <c r="U476" s="84" t="str">
        <f>HYPERLINK("https://pbs.twimg.com/media/E_9V_ibVEAYc8c_.jpg")</f>
        <v>https://pbs.twimg.com/media/E_9V_ibVEAYc8c_.jpg</v>
      </c>
      <c r="V476" s="84" t="str">
        <f>HYPERLINK("https://pbs.twimg.com/media/E_9V_ibVEAYc8c_.jpg")</f>
        <v>https://pbs.twimg.com/media/E_9V_ibVEAYc8c_.jpg</v>
      </c>
      <c r="W476" s="83">
        <v>44462.469305555554</v>
      </c>
      <c r="X476" s="89">
        <v>44462</v>
      </c>
      <c r="Y476" s="86" t="s">
        <v>1183</v>
      </c>
      <c r="Z476" s="84" t="str">
        <f>HYPERLINK("https://twitter.com/babyericsohn/status/1440998329698029582")</f>
        <v>https://twitter.com/babyericsohn/status/1440998329698029582</v>
      </c>
      <c r="AA476" s="81"/>
      <c r="AB476" s="81"/>
      <c r="AC476" s="86" t="s">
        <v>1680</v>
      </c>
      <c r="AD476" s="81"/>
      <c r="AE476" s="81" t="b">
        <v>0</v>
      </c>
      <c r="AF476" s="81">
        <v>0</v>
      </c>
      <c r="AG476" s="86" t="s">
        <v>2084</v>
      </c>
      <c r="AH476" s="81" t="b">
        <v>0</v>
      </c>
      <c r="AI476" s="81" t="s">
        <v>2168</v>
      </c>
      <c r="AJ476" s="81"/>
      <c r="AK476" s="86" t="s">
        <v>2084</v>
      </c>
      <c r="AL476" s="81" t="b">
        <v>0</v>
      </c>
      <c r="AM476" s="81">
        <v>12</v>
      </c>
      <c r="AN476" s="86" t="s">
        <v>1740</v>
      </c>
      <c r="AO476" s="86" t="s">
        <v>2178</v>
      </c>
      <c r="AP476" s="81" t="b">
        <v>0</v>
      </c>
      <c r="AQ476" s="86" t="s">
        <v>1740</v>
      </c>
      <c r="AR476" s="81" t="s">
        <v>179</v>
      </c>
      <c r="AS476" s="81">
        <v>0</v>
      </c>
      <c r="AT476" s="81">
        <v>0</v>
      </c>
      <c r="AU476" s="81"/>
      <c r="AV476" s="81"/>
      <c r="AW476" s="81"/>
      <c r="AX476" s="81"/>
      <c r="AY476" s="81"/>
      <c r="AZ476" s="81"/>
      <c r="BA476" s="81"/>
      <c r="BB476" s="81"/>
    </row>
    <row r="477" spans="1:54" x14ac:dyDescent="0.35">
      <c r="A477" s="66" t="s">
        <v>4353</v>
      </c>
      <c r="B477" s="66" t="s">
        <v>4353</v>
      </c>
      <c r="C477" s="67"/>
      <c r="D477" s="68"/>
      <c r="E477" s="69"/>
      <c r="F477" s="70"/>
      <c r="G477" s="67"/>
      <c r="H477" s="71"/>
      <c r="I477" s="72"/>
      <c r="J477" s="72"/>
      <c r="K477" s="36"/>
      <c r="L477" s="79"/>
      <c r="M477" s="79"/>
      <c r="N477" s="74"/>
      <c r="O477" s="81" t="s">
        <v>179</v>
      </c>
      <c r="P477" s="83">
        <v>44461.543090277781</v>
      </c>
      <c r="Q477" s="81" t="s">
        <v>5375</v>
      </c>
      <c r="R477" s="84" t="str">
        <f>HYPERLINK("https://www.dn.pt/sociedade/situacoes-de-stress-pos-traumatico-nao-sao-assim-tao-raras--14064060.html")</f>
        <v>https://www.dn.pt/sociedade/situacoes-de-stress-pos-traumatico-nao-sao-assim-tao-raras--14064060.html</v>
      </c>
      <c r="S477" s="81" t="s">
        <v>5706</v>
      </c>
      <c r="T477" s="86" t="s">
        <v>5770</v>
      </c>
      <c r="U477" s="81"/>
      <c r="V477" s="84" t="str">
        <f>HYPERLINK("https://pbs.twimg.com/profile_images/1406984439922561029/P9jWHWkG_normal.jpg")</f>
        <v>https://pbs.twimg.com/profile_images/1406984439922561029/P9jWHWkG_normal.jpg</v>
      </c>
      <c r="W477" s="83">
        <v>44461.543090277781</v>
      </c>
      <c r="X477" s="89">
        <v>44461</v>
      </c>
      <c r="Y477" s="86" t="s">
        <v>5982</v>
      </c>
      <c r="Z477" s="84" t="str">
        <f>HYPERLINK("https://twitter.com/paulaponto/status/1440662676741390353")</f>
        <v>https://twitter.com/paulaponto/status/1440662676741390353</v>
      </c>
      <c r="AA477" s="81"/>
      <c r="AB477" s="81"/>
      <c r="AC477" s="86" t="s">
        <v>6885</v>
      </c>
      <c r="AD477" s="81"/>
      <c r="AE477" s="81" t="b">
        <v>0</v>
      </c>
      <c r="AF477" s="81">
        <v>6</v>
      </c>
      <c r="AG477" s="86" t="s">
        <v>2084</v>
      </c>
      <c r="AH477" s="81" t="b">
        <v>0</v>
      </c>
      <c r="AI477" s="81" t="s">
        <v>2171</v>
      </c>
      <c r="AJ477" s="81"/>
      <c r="AK477" s="86" t="s">
        <v>2084</v>
      </c>
      <c r="AL477" s="81" t="b">
        <v>0</v>
      </c>
      <c r="AM477" s="81">
        <v>2</v>
      </c>
      <c r="AN477" s="86" t="s">
        <v>2084</v>
      </c>
      <c r="AO477" s="86" t="s">
        <v>2178</v>
      </c>
      <c r="AP477" s="81" t="b">
        <v>0</v>
      </c>
      <c r="AQ477" s="86" t="s">
        <v>6885</v>
      </c>
      <c r="AR477" s="81" t="s">
        <v>179</v>
      </c>
      <c r="AS477" s="81">
        <v>0</v>
      </c>
      <c r="AT477" s="81">
        <v>0</v>
      </c>
      <c r="AU477" s="81"/>
      <c r="AV477" s="81"/>
      <c r="AW477" s="81"/>
      <c r="AX477" s="81"/>
      <c r="AY477" s="81"/>
      <c r="AZ477" s="81"/>
      <c r="BA477" s="81"/>
      <c r="BB477" s="81"/>
    </row>
    <row r="478" spans="1:54" x14ac:dyDescent="0.35">
      <c r="A478" s="66" t="s">
        <v>4354</v>
      </c>
      <c r="B478" s="66" t="s">
        <v>4353</v>
      </c>
      <c r="C478" s="67"/>
      <c r="D478" s="68"/>
      <c r="E478" s="69"/>
      <c r="F478" s="70"/>
      <c r="G478" s="67"/>
      <c r="H478" s="71"/>
      <c r="I478" s="72"/>
      <c r="J478" s="72"/>
      <c r="K478" s="36"/>
      <c r="L478" s="79"/>
      <c r="M478" s="79"/>
      <c r="N478" s="74"/>
      <c r="O478" s="81" t="s">
        <v>693</v>
      </c>
      <c r="P478" s="83">
        <v>44462.481979166667</v>
      </c>
      <c r="Q478" s="81" t="s">
        <v>5375</v>
      </c>
      <c r="R478" s="84" t="str">
        <f>HYPERLINK("https://www.dn.pt/sociedade/situacoes-de-stress-pos-traumatico-nao-sao-assim-tao-raras--14064060.html")</f>
        <v>https://www.dn.pt/sociedade/situacoes-de-stress-pos-traumatico-nao-sao-assim-tao-raras--14064060.html</v>
      </c>
      <c r="S478" s="81" t="s">
        <v>5706</v>
      </c>
      <c r="T478" s="86" t="s">
        <v>5770</v>
      </c>
      <c r="U478" s="81"/>
      <c r="V478" s="84" t="str">
        <f>HYPERLINK("https://pbs.twimg.com/profile_images/1345889943961423872/oG535Qmi_normal.jpg")</f>
        <v>https://pbs.twimg.com/profile_images/1345889943961423872/oG535Qmi_normal.jpg</v>
      </c>
      <c r="W478" s="83">
        <v>44462.481979166667</v>
      </c>
      <c r="X478" s="89">
        <v>44462</v>
      </c>
      <c r="Y478" s="86" t="s">
        <v>5983</v>
      </c>
      <c r="Z478" s="84" t="str">
        <f>HYPERLINK("https://twitter.com/isabecarve/status/1441002919797604356")</f>
        <v>https://twitter.com/isabecarve/status/1441002919797604356</v>
      </c>
      <c r="AA478" s="81"/>
      <c r="AB478" s="81"/>
      <c r="AC478" s="86" t="s">
        <v>6886</v>
      </c>
      <c r="AD478" s="81"/>
      <c r="AE478" s="81" t="b">
        <v>0</v>
      </c>
      <c r="AF478" s="81">
        <v>0</v>
      </c>
      <c r="AG478" s="86" t="s">
        <v>2084</v>
      </c>
      <c r="AH478" s="81" t="b">
        <v>0</v>
      </c>
      <c r="AI478" s="81" t="s">
        <v>2171</v>
      </c>
      <c r="AJ478" s="81"/>
      <c r="AK478" s="86" t="s">
        <v>2084</v>
      </c>
      <c r="AL478" s="81" t="b">
        <v>0</v>
      </c>
      <c r="AM478" s="81">
        <v>2</v>
      </c>
      <c r="AN478" s="86" t="s">
        <v>6885</v>
      </c>
      <c r="AO478" s="86" t="s">
        <v>2178</v>
      </c>
      <c r="AP478" s="81" t="b">
        <v>0</v>
      </c>
      <c r="AQ478" s="86" t="s">
        <v>6885</v>
      </c>
      <c r="AR478" s="81" t="s">
        <v>179</v>
      </c>
      <c r="AS478" s="81">
        <v>0</v>
      </c>
      <c r="AT478" s="81">
        <v>0</v>
      </c>
      <c r="AU478" s="81"/>
      <c r="AV478" s="81"/>
      <c r="AW478" s="81"/>
      <c r="AX478" s="81"/>
      <c r="AY478" s="81"/>
      <c r="AZ478" s="81"/>
      <c r="BA478" s="81"/>
      <c r="BB478" s="81"/>
    </row>
    <row r="479" spans="1:54" x14ac:dyDescent="0.35">
      <c r="A479" s="66" t="s">
        <v>368</v>
      </c>
      <c r="B479" s="66" t="s">
        <v>369</v>
      </c>
      <c r="C479" s="67"/>
      <c r="D479" s="68"/>
      <c r="E479" s="69"/>
      <c r="F479" s="70"/>
      <c r="G479" s="67"/>
      <c r="H479" s="71"/>
      <c r="I479" s="72"/>
      <c r="J479" s="72"/>
      <c r="K479" s="36"/>
      <c r="L479" s="79"/>
      <c r="M479" s="79"/>
      <c r="N479" s="74"/>
      <c r="O479" s="81" t="s">
        <v>693</v>
      </c>
      <c r="P479" s="83">
        <v>44462.483263888891</v>
      </c>
      <c r="Q479" s="81" t="s">
        <v>762</v>
      </c>
      <c r="R479" s="84" t="str">
        <f>HYPERLINK("https://www.suara.com/news/2021/09/22/201526/lanjutkan-perlindungan-untuk-masyarakat-pandemi-kemensos-alokasikan-rp7408-t-di-2022")</f>
        <v>https://www.suara.com/news/2021/09/22/201526/lanjutkan-perlindungan-untuk-masyarakat-pandemi-kemensos-alokasikan-rp7408-t-di-2022</v>
      </c>
      <c r="S479" s="81" t="s">
        <v>952</v>
      </c>
      <c r="T479" s="86" t="s">
        <v>982</v>
      </c>
      <c r="U479" s="81"/>
      <c r="V479" s="84" t="str">
        <f>HYPERLINK("https://pbs.twimg.com/profile_images/1401757786845839365/Tn64uPfo_normal.jpg")</f>
        <v>https://pbs.twimg.com/profile_images/1401757786845839365/Tn64uPfo_normal.jpg</v>
      </c>
      <c r="W479" s="83">
        <v>44462.483263888891</v>
      </c>
      <c r="X479" s="89">
        <v>44462</v>
      </c>
      <c r="Y479" s="86" t="s">
        <v>1076</v>
      </c>
      <c r="Z479" s="84" t="str">
        <f>HYPERLINK("https://twitter.com/putiandamdewi16/status/1441003386933899266")</f>
        <v>https://twitter.com/putiandamdewi16/status/1441003386933899266</v>
      </c>
      <c r="AA479" s="81"/>
      <c r="AB479" s="81"/>
      <c r="AC479" s="86" t="s">
        <v>1681</v>
      </c>
      <c r="AD479" s="81"/>
      <c r="AE479" s="81" t="b">
        <v>0</v>
      </c>
      <c r="AF479" s="81">
        <v>0</v>
      </c>
      <c r="AG479" s="86" t="s">
        <v>2084</v>
      </c>
      <c r="AH479" s="81" t="b">
        <v>0</v>
      </c>
      <c r="AI479" s="81" t="s">
        <v>2167</v>
      </c>
      <c r="AJ479" s="81"/>
      <c r="AK479" s="86" t="s">
        <v>2084</v>
      </c>
      <c r="AL479" s="81" t="b">
        <v>0</v>
      </c>
      <c r="AM479" s="81">
        <v>13</v>
      </c>
      <c r="AN479" s="86" t="s">
        <v>1684</v>
      </c>
      <c r="AO479" s="86" t="s">
        <v>2178</v>
      </c>
      <c r="AP479" s="81" t="b">
        <v>0</v>
      </c>
      <c r="AQ479" s="86" t="s">
        <v>1684</v>
      </c>
      <c r="AR479" s="81" t="s">
        <v>179</v>
      </c>
      <c r="AS479" s="81">
        <v>0</v>
      </c>
      <c r="AT479" s="81">
        <v>0</v>
      </c>
      <c r="AU479" s="81"/>
      <c r="AV479" s="81"/>
      <c r="AW479" s="81"/>
      <c r="AX479" s="81"/>
      <c r="AY479" s="81"/>
      <c r="AZ479" s="81"/>
      <c r="BA479" s="81"/>
      <c r="BB479" s="81"/>
    </row>
    <row r="480" spans="1:54" x14ac:dyDescent="0.35">
      <c r="A480" s="66" t="s">
        <v>368</v>
      </c>
      <c r="B480" s="66" t="s">
        <v>369</v>
      </c>
      <c r="C480" s="67"/>
      <c r="D480" s="68"/>
      <c r="E480" s="69"/>
      <c r="F480" s="70"/>
      <c r="G480" s="67"/>
      <c r="H480" s="71"/>
      <c r="I480" s="72"/>
      <c r="J480" s="72"/>
      <c r="K480" s="36"/>
      <c r="L480" s="79"/>
      <c r="M480" s="79"/>
      <c r="N480" s="74"/>
      <c r="O480" s="81" t="s">
        <v>693</v>
      </c>
      <c r="P480" s="83">
        <v>44462.483993055554</v>
      </c>
      <c r="Q480" s="81" t="s">
        <v>763</v>
      </c>
      <c r="R480" s="84" t="str">
        <f>HYPERLINK("https://nasional.tempo.co/read/1509255/risma-memastikan-bantuan-sosial-pada-warga-terdampak-covid-19-berlanjut")</f>
        <v>https://nasional.tempo.co/read/1509255/risma-memastikan-bantuan-sosial-pada-warga-terdampak-covid-19-berlanjut</v>
      </c>
      <c r="S480" s="81" t="s">
        <v>953</v>
      </c>
      <c r="T480" s="86" t="s">
        <v>982</v>
      </c>
      <c r="U480" s="81"/>
      <c r="V480" s="84" t="str">
        <f>HYPERLINK("https://pbs.twimg.com/profile_images/1401757786845839365/Tn64uPfo_normal.jpg")</f>
        <v>https://pbs.twimg.com/profile_images/1401757786845839365/Tn64uPfo_normal.jpg</v>
      </c>
      <c r="W480" s="83">
        <v>44462.483993055554</v>
      </c>
      <c r="X480" s="89">
        <v>44462</v>
      </c>
      <c r="Y480" s="86" t="s">
        <v>1184</v>
      </c>
      <c r="Z480" s="84" t="str">
        <f>HYPERLINK("https://twitter.com/putiandamdewi16/status/1441003649736445964")</f>
        <v>https://twitter.com/putiandamdewi16/status/1441003649736445964</v>
      </c>
      <c r="AA480" s="81"/>
      <c r="AB480" s="81"/>
      <c r="AC480" s="86" t="s">
        <v>1682</v>
      </c>
      <c r="AD480" s="81"/>
      <c r="AE480" s="81" t="b">
        <v>0</v>
      </c>
      <c r="AF480" s="81">
        <v>0</v>
      </c>
      <c r="AG480" s="86" t="s">
        <v>2084</v>
      </c>
      <c r="AH480" s="81" t="b">
        <v>0</v>
      </c>
      <c r="AI480" s="81" t="s">
        <v>2167</v>
      </c>
      <c r="AJ480" s="81"/>
      <c r="AK480" s="86" t="s">
        <v>2084</v>
      </c>
      <c r="AL480" s="81" t="b">
        <v>0</v>
      </c>
      <c r="AM480" s="81">
        <v>14</v>
      </c>
      <c r="AN480" s="86" t="s">
        <v>1683</v>
      </c>
      <c r="AO480" s="86" t="s">
        <v>2178</v>
      </c>
      <c r="AP480" s="81" t="b">
        <v>0</v>
      </c>
      <c r="AQ480" s="86" t="s">
        <v>1683</v>
      </c>
      <c r="AR480" s="81" t="s">
        <v>179</v>
      </c>
      <c r="AS480" s="81">
        <v>0</v>
      </c>
      <c r="AT480" s="81">
        <v>0</v>
      </c>
      <c r="AU480" s="81"/>
      <c r="AV480" s="81"/>
      <c r="AW480" s="81"/>
      <c r="AX480" s="81"/>
      <c r="AY480" s="81"/>
      <c r="AZ480" s="81"/>
      <c r="BA480" s="81"/>
      <c r="BB480" s="81"/>
    </row>
    <row r="481" spans="1:54" x14ac:dyDescent="0.35">
      <c r="A481" s="66" t="s">
        <v>369</v>
      </c>
      <c r="B481" s="66" t="s">
        <v>369</v>
      </c>
      <c r="C481" s="67"/>
      <c r="D481" s="68"/>
      <c r="E481" s="69"/>
      <c r="F481" s="70"/>
      <c r="G481" s="67"/>
      <c r="H481" s="71"/>
      <c r="I481" s="72"/>
      <c r="J481" s="72"/>
      <c r="K481" s="36"/>
      <c r="L481" s="79"/>
      <c r="M481" s="79"/>
      <c r="N481" s="74"/>
      <c r="O481" s="81" t="s">
        <v>179</v>
      </c>
      <c r="P481" s="83">
        <v>44462.42046296296</v>
      </c>
      <c r="Q481" s="81" t="s">
        <v>763</v>
      </c>
      <c r="R481" s="84" t="str">
        <f>HYPERLINK("https://nasional.tempo.co/read/1509255/risma-memastikan-bantuan-sosial-pada-warga-terdampak-covid-19-berlanjut")</f>
        <v>https://nasional.tempo.co/read/1509255/risma-memastikan-bantuan-sosial-pada-warga-terdampak-covid-19-berlanjut</v>
      </c>
      <c r="S481" s="81" t="s">
        <v>953</v>
      </c>
      <c r="T481" s="86" t="s">
        <v>982</v>
      </c>
      <c r="U481" s="81"/>
      <c r="V481" s="84" t="str">
        <f>HYPERLINK("https://pbs.twimg.com/profile_images/1340224956475437056/yo0CLy-Y_normal.png")</f>
        <v>https://pbs.twimg.com/profile_images/1340224956475437056/yo0CLy-Y_normal.png</v>
      </c>
      <c r="W481" s="83">
        <v>44462.42046296296</v>
      </c>
      <c r="X481" s="89">
        <v>44462</v>
      </c>
      <c r="Y481" s="86" t="s">
        <v>1185</v>
      </c>
      <c r="Z481" s="84" t="str">
        <f>HYPERLINK("https://twitter.com/anak_sultanjaya/status/1440980627927408644")</f>
        <v>https://twitter.com/anak_sultanjaya/status/1440980627927408644</v>
      </c>
      <c r="AA481" s="81"/>
      <c r="AB481" s="81"/>
      <c r="AC481" s="86" t="s">
        <v>1683</v>
      </c>
      <c r="AD481" s="81"/>
      <c r="AE481" s="81" t="b">
        <v>0</v>
      </c>
      <c r="AF481" s="81">
        <v>15</v>
      </c>
      <c r="AG481" s="86" t="s">
        <v>2084</v>
      </c>
      <c r="AH481" s="81" t="b">
        <v>0</v>
      </c>
      <c r="AI481" s="81" t="s">
        <v>2167</v>
      </c>
      <c r="AJ481" s="81"/>
      <c r="AK481" s="86" t="s">
        <v>2084</v>
      </c>
      <c r="AL481" s="81" t="b">
        <v>0</v>
      </c>
      <c r="AM481" s="81">
        <v>14</v>
      </c>
      <c r="AN481" s="86" t="s">
        <v>2084</v>
      </c>
      <c r="AO481" s="86" t="s">
        <v>2178</v>
      </c>
      <c r="AP481" s="81" t="b">
        <v>0</v>
      </c>
      <c r="AQ481" s="86" t="s">
        <v>1683</v>
      </c>
      <c r="AR481" s="81" t="s">
        <v>179</v>
      </c>
      <c r="AS481" s="81">
        <v>0</v>
      </c>
      <c r="AT481" s="81">
        <v>0</v>
      </c>
      <c r="AU481" s="81"/>
      <c r="AV481" s="81"/>
      <c r="AW481" s="81"/>
      <c r="AX481" s="81"/>
      <c r="AY481" s="81"/>
      <c r="AZ481" s="81"/>
      <c r="BA481" s="81"/>
      <c r="BB481" s="81"/>
    </row>
    <row r="482" spans="1:54" x14ac:dyDescent="0.35">
      <c r="A482" s="66" t="s">
        <v>369</v>
      </c>
      <c r="B482" s="66" t="s">
        <v>369</v>
      </c>
      <c r="C482" s="67"/>
      <c r="D482" s="68"/>
      <c r="E482" s="69"/>
      <c r="F482" s="70"/>
      <c r="G482" s="67"/>
      <c r="H482" s="71"/>
      <c r="I482" s="72"/>
      <c r="J482" s="72"/>
      <c r="K482" s="36"/>
      <c r="L482" s="79"/>
      <c r="M482" s="79"/>
      <c r="N482" s="74"/>
      <c r="O482" s="81" t="s">
        <v>179</v>
      </c>
      <c r="P482" s="83">
        <v>44462.42050925926</v>
      </c>
      <c r="Q482" s="81" t="s">
        <v>762</v>
      </c>
      <c r="R482" s="84" t="str">
        <f>HYPERLINK("https://www.suara.com/news/2021/09/22/201526/lanjutkan-perlindungan-untuk-masyarakat-pandemi-kemensos-alokasikan-rp7408-t-di-2022")</f>
        <v>https://www.suara.com/news/2021/09/22/201526/lanjutkan-perlindungan-untuk-masyarakat-pandemi-kemensos-alokasikan-rp7408-t-di-2022</v>
      </c>
      <c r="S482" s="81" t="s">
        <v>952</v>
      </c>
      <c r="T482" s="86" t="s">
        <v>982</v>
      </c>
      <c r="U482" s="81"/>
      <c r="V482" s="84" t="str">
        <f>HYPERLINK("https://pbs.twimg.com/profile_images/1340224956475437056/yo0CLy-Y_normal.png")</f>
        <v>https://pbs.twimg.com/profile_images/1340224956475437056/yo0CLy-Y_normal.png</v>
      </c>
      <c r="W482" s="83">
        <v>44462.42050925926</v>
      </c>
      <c r="X482" s="89">
        <v>44462</v>
      </c>
      <c r="Y482" s="86" t="s">
        <v>1186</v>
      </c>
      <c r="Z482" s="84" t="str">
        <f>HYPERLINK("https://twitter.com/anak_sultanjaya/status/1440980645354766341")</f>
        <v>https://twitter.com/anak_sultanjaya/status/1440980645354766341</v>
      </c>
      <c r="AA482" s="81"/>
      <c r="AB482" s="81"/>
      <c r="AC482" s="86" t="s">
        <v>1684</v>
      </c>
      <c r="AD482" s="81"/>
      <c r="AE482" s="81" t="b">
        <v>0</v>
      </c>
      <c r="AF482" s="81">
        <v>15</v>
      </c>
      <c r="AG482" s="86" t="s">
        <v>2084</v>
      </c>
      <c r="AH482" s="81" t="b">
        <v>0</v>
      </c>
      <c r="AI482" s="81" t="s">
        <v>2167</v>
      </c>
      <c r="AJ482" s="81"/>
      <c r="AK482" s="86" t="s">
        <v>2084</v>
      </c>
      <c r="AL482" s="81" t="b">
        <v>0</v>
      </c>
      <c r="AM482" s="81">
        <v>13</v>
      </c>
      <c r="AN482" s="86" t="s">
        <v>2084</v>
      </c>
      <c r="AO482" s="86" t="s">
        <v>2178</v>
      </c>
      <c r="AP482" s="81" t="b">
        <v>0</v>
      </c>
      <c r="AQ482" s="86" t="s">
        <v>1684</v>
      </c>
      <c r="AR482" s="81" t="s">
        <v>179</v>
      </c>
      <c r="AS482" s="81">
        <v>0</v>
      </c>
      <c r="AT482" s="81">
        <v>0</v>
      </c>
      <c r="AU482" s="81"/>
      <c r="AV482" s="81"/>
      <c r="AW482" s="81"/>
      <c r="AX482" s="81"/>
      <c r="AY482" s="81"/>
      <c r="AZ482" s="81"/>
      <c r="BA482" s="81"/>
      <c r="BB482" s="81"/>
    </row>
    <row r="483" spans="1:54" x14ac:dyDescent="0.35">
      <c r="A483" s="66" t="s">
        <v>369</v>
      </c>
      <c r="B483" s="66" t="s">
        <v>369</v>
      </c>
      <c r="C483" s="67"/>
      <c r="D483" s="68"/>
      <c r="E483" s="69"/>
      <c r="F483" s="70"/>
      <c r="G483" s="67"/>
      <c r="H483" s="71"/>
      <c r="I483" s="72"/>
      <c r="J483" s="72"/>
      <c r="K483" s="36"/>
      <c r="L483" s="79"/>
      <c r="M483" s="79"/>
      <c r="N483" s="74"/>
      <c r="O483" s="81" t="s">
        <v>693</v>
      </c>
      <c r="P483" s="83">
        <v>44462.422835648147</v>
      </c>
      <c r="Q483" s="81" t="s">
        <v>762</v>
      </c>
      <c r="R483" s="84" t="str">
        <f>HYPERLINK("https://www.suara.com/news/2021/09/22/201526/lanjutkan-perlindungan-untuk-masyarakat-pandemi-kemensos-alokasikan-rp7408-t-di-2022")</f>
        <v>https://www.suara.com/news/2021/09/22/201526/lanjutkan-perlindungan-untuk-masyarakat-pandemi-kemensos-alokasikan-rp7408-t-di-2022</v>
      </c>
      <c r="S483" s="81" t="s">
        <v>952</v>
      </c>
      <c r="T483" s="86" t="s">
        <v>982</v>
      </c>
      <c r="U483" s="81"/>
      <c r="V483" s="84" t="str">
        <f>HYPERLINK("https://pbs.twimg.com/profile_images/1340224956475437056/yo0CLy-Y_normal.png")</f>
        <v>https://pbs.twimg.com/profile_images/1340224956475437056/yo0CLy-Y_normal.png</v>
      </c>
      <c r="W483" s="83">
        <v>44462.422835648147</v>
      </c>
      <c r="X483" s="89">
        <v>44462</v>
      </c>
      <c r="Y483" s="86" t="s">
        <v>1187</v>
      </c>
      <c r="Z483" s="84" t="str">
        <f>HYPERLINK("https://twitter.com/anak_sultanjaya/status/1440981488330153988")</f>
        <v>https://twitter.com/anak_sultanjaya/status/1440981488330153988</v>
      </c>
      <c r="AA483" s="81"/>
      <c r="AB483" s="81"/>
      <c r="AC483" s="86" t="s">
        <v>1685</v>
      </c>
      <c r="AD483" s="81"/>
      <c r="AE483" s="81" t="b">
        <v>0</v>
      </c>
      <c r="AF483" s="81">
        <v>0</v>
      </c>
      <c r="AG483" s="86" t="s">
        <v>2084</v>
      </c>
      <c r="AH483" s="81" t="b">
        <v>0</v>
      </c>
      <c r="AI483" s="81" t="s">
        <v>2167</v>
      </c>
      <c r="AJ483" s="81"/>
      <c r="AK483" s="86" t="s">
        <v>2084</v>
      </c>
      <c r="AL483" s="81" t="b">
        <v>0</v>
      </c>
      <c r="AM483" s="81">
        <v>13</v>
      </c>
      <c r="AN483" s="86" t="s">
        <v>1684</v>
      </c>
      <c r="AO483" s="86" t="s">
        <v>2178</v>
      </c>
      <c r="AP483" s="81" t="b">
        <v>0</v>
      </c>
      <c r="AQ483" s="86" t="s">
        <v>1684</v>
      </c>
      <c r="AR483" s="81" t="s">
        <v>179</v>
      </c>
      <c r="AS483" s="81">
        <v>0</v>
      </c>
      <c r="AT483" s="81">
        <v>0</v>
      </c>
      <c r="AU483" s="81"/>
      <c r="AV483" s="81"/>
      <c r="AW483" s="81"/>
      <c r="AX483" s="81"/>
      <c r="AY483" s="81"/>
      <c r="AZ483" s="81"/>
      <c r="BA483" s="81"/>
      <c r="BB483" s="81"/>
    </row>
    <row r="484" spans="1:54" x14ac:dyDescent="0.35">
      <c r="A484" s="66" t="s">
        <v>369</v>
      </c>
      <c r="B484" s="66" t="s">
        <v>369</v>
      </c>
      <c r="C484" s="67"/>
      <c r="D484" s="68"/>
      <c r="E484" s="69"/>
      <c r="F484" s="70"/>
      <c r="G484" s="67"/>
      <c r="H484" s="71"/>
      <c r="I484" s="72"/>
      <c r="J484" s="72"/>
      <c r="K484" s="36"/>
      <c r="L484" s="79"/>
      <c r="M484" s="79"/>
      <c r="N484" s="74"/>
      <c r="O484" s="81" t="s">
        <v>693</v>
      </c>
      <c r="P484" s="83">
        <v>44462.422893518517</v>
      </c>
      <c r="Q484" s="81" t="s">
        <v>763</v>
      </c>
      <c r="R484" s="84" t="str">
        <f>HYPERLINK("https://nasional.tempo.co/read/1509255/risma-memastikan-bantuan-sosial-pada-warga-terdampak-covid-19-berlanjut")</f>
        <v>https://nasional.tempo.co/read/1509255/risma-memastikan-bantuan-sosial-pada-warga-terdampak-covid-19-berlanjut</v>
      </c>
      <c r="S484" s="81" t="s">
        <v>953</v>
      </c>
      <c r="T484" s="86" t="s">
        <v>982</v>
      </c>
      <c r="U484" s="81"/>
      <c r="V484" s="84" t="str">
        <f>HYPERLINK("https://pbs.twimg.com/profile_images/1340224956475437056/yo0CLy-Y_normal.png")</f>
        <v>https://pbs.twimg.com/profile_images/1340224956475437056/yo0CLy-Y_normal.png</v>
      </c>
      <c r="W484" s="83">
        <v>44462.422893518517</v>
      </c>
      <c r="X484" s="89">
        <v>44462</v>
      </c>
      <c r="Y484" s="86" t="s">
        <v>1188</v>
      </c>
      <c r="Z484" s="84" t="str">
        <f>HYPERLINK("https://twitter.com/anak_sultanjaya/status/1440981509746270209")</f>
        <v>https://twitter.com/anak_sultanjaya/status/1440981509746270209</v>
      </c>
      <c r="AA484" s="81"/>
      <c r="AB484" s="81"/>
      <c r="AC484" s="86" t="s">
        <v>1686</v>
      </c>
      <c r="AD484" s="81"/>
      <c r="AE484" s="81" t="b">
        <v>0</v>
      </c>
      <c r="AF484" s="81">
        <v>0</v>
      </c>
      <c r="AG484" s="86" t="s">
        <v>2084</v>
      </c>
      <c r="AH484" s="81" t="b">
        <v>0</v>
      </c>
      <c r="AI484" s="81" t="s">
        <v>2167</v>
      </c>
      <c r="AJ484" s="81"/>
      <c r="AK484" s="86" t="s">
        <v>2084</v>
      </c>
      <c r="AL484" s="81" t="b">
        <v>0</v>
      </c>
      <c r="AM484" s="81">
        <v>14</v>
      </c>
      <c r="AN484" s="86" t="s">
        <v>1683</v>
      </c>
      <c r="AO484" s="86" t="s">
        <v>2178</v>
      </c>
      <c r="AP484" s="81" t="b">
        <v>0</v>
      </c>
      <c r="AQ484" s="86" t="s">
        <v>1683</v>
      </c>
      <c r="AR484" s="81" t="s">
        <v>179</v>
      </c>
      <c r="AS484" s="81">
        <v>0</v>
      </c>
      <c r="AT484" s="81">
        <v>0</v>
      </c>
      <c r="AU484" s="81"/>
      <c r="AV484" s="81"/>
      <c r="AW484" s="81"/>
      <c r="AX484" s="81"/>
      <c r="AY484" s="81"/>
      <c r="AZ484" s="81"/>
      <c r="BA484" s="81"/>
      <c r="BB484" s="81"/>
    </row>
    <row r="485" spans="1:54" x14ac:dyDescent="0.35">
      <c r="A485" s="66" t="s">
        <v>370</v>
      </c>
      <c r="B485" s="66" t="s">
        <v>369</v>
      </c>
      <c r="C485" s="67"/>
      <c r="D485" s="68"/>
      <c r="E485" s="69"/>
      <c r="F485" s="70"/>
      <c r="G485" s="67"/>
      <c r="H485" s="71"/>
      <c r="I485" s="72"/>
      <c r="J485" s="72"/>
      <c r="K485" s="36"/>
      <c r="L485" s="79"/>
      <c r="M485" s="79"/>
      <c r="N485" s="74"/>
      <c r="O485" s="81" t="s">
        <v>693</v>
      </c>
      <c r="P485" s="83">
        <v>44462.491979166669</v>
      </c>
      <c r="Q485" s="81" t="s">
        <v>762</v>
      </c>
      <c r="R485" s="84" t="str">
        <f>HYPERLINK("https://www.suara.com/news/2021/09/22/201526/lanjutkan-perlindungan-untuk-masyarakat-pandemi-kemensos-alokasikan-rp7408-t-di-2022")</f>
        <v>https://www.suara.com/news/2021/09/22/201526/lanjutkan-perlindungan-untuk-masyarakat-pandemi-kemensos-alokasikan-rp7408-t-di-2022</v>
      </c>
      <c r="S485" s="81" t="s">
        <v>952</v>
      </c>
      <c r="T485" s="86" t="s">
        <v>982</v>
      </c>
      <c r="U485" s="81"/>
      <c r="V485" s="84" t="str">
        <f>HYPERLINK("https://pbs.twimg.com/profile_images/1250065840537550848/vus8douU_normal.jpg")</f>
        <v>https://pbs.twimg.com/profile_images/1250065840537550848/vus8douU_normal.jpg</v>
      </c>
      <c r="W485" s="83">
        <v>44462.491979166669</v>
      </c>
      <c r="X485" s="89">
        <v>44462</v>
      </c>
      <c r="Y485" s="86" t="s">
        <v>1189</v>
      </c>
      <c r="Z485" s="84" t="str">
        <f>HYPERLINK("https://twitter.com/ta_k3n/status/1441006543562940421")</f>
        <v>https://twitter.com/ta_k3n/status/1441006543562940421</v>
      </c>
      <c r="AA485" s="81"/>
      <c r="AB485" s="81"/>
      <c r="AC485" s="86" t="s">
        <v>1687</v>
      </c>
      <c r="AD485" s="81"/>
      <c r="AE485" s="81" t="b">
        <v>0</v>
      </c>
      <c r="AF485" s="81">
        <v>0</v>
      </c>
      <c r="AG485" s="86" t="s">
        <v>2084</v>
      </c>
      <c r="AH485" s="81" t="b">
        <v>0</v>
      </c>
      <c r="AI485" s="81" t="s">
        <v>2167</v>
      </c>
      <c r="AJ485" s="81"/>
      <c r="AK485" s="86" t="s">
        <v>2084</v>
      </c>
      <c r="AL485" s="81" t="b">
        <v>0</v>
      </c>
      <c r="AM485" s="81">
        <v>13</v>
      </c>
      <c r="AN485" s="86" t="s">
        <v>1684</v>
      </c>
      <c r="AO485" s="86" t="s">
        <v>2179</v>
      </c>
      <c r="AP485" s="81" t="b">
        <v>0</v>
      </c>
      <c r="AQ485" s="86" t="s">
        <v>1684</v>
      </c>
      <c r="AR485" s="81" t="s">
        <v>179</v>
      </c>
      <c r="AS485" s="81">
        <v>0</v>
      </c>
      <c r="AT485" s="81">
        <v>0</v>
      </c>
      <c r="AU485" s="81"/>
      <c r="AV485" s="81"/>
      <c r="AW485" s="81"/>
      <c r="AX485" s="81"/>
      <c r="AY485" s="81"/>
      <c r="AZ485" s="81"/>
      <c r="BA485" s="81"/>
      <c r="BB485" s="81"/>
    </row>
    <row r="486" spans="1:54" x14ac:dyDescent="0.35">
      <c r="A486" s="66" t="s">
        <v>370</v>
      </c>
      <c r="B486" s="66" t="s">
        <v>369</v>
      </c>
      <c r="C486" s="67"/>
      <c r="D486" s="68"/>
      <c r="E486" s="69"/>
      <c r="F486" s="70"/>
      <c r="G486" s="67"/>
      <c r="H486" s="71"/>
      <c r="I486" s="72"/>
      <c r="J486" s="72"/>
      <c r="K486" s="36"/>
      <c r="L486" s="79"/>
      <c r="M486" s="79"/>
      <c r="N486" s="74"/>
      <c r="O486" s="81" t="s">
        <v>693</v>
      </c>
      <c r="P486" s="83">
        <v>44462.492384259262</v>
      </c>
      <c r="Q486" s="81" t="s">
        <v>763</v>
      </c>
      <c r="R486" s="84" t="str">
        <f>HYPERLINK("https://nasional.tempo.co/read/1509255/risma-memastikan-bantuan-sosial-pada-warga-terdampak-covid-19-berlanjut")</f>
        <v>https://nasional.tempo.co/read/1509255/risma-memastikan-bantuan-sosial-pada-warga-terdampak-covid-19-berlanjut</v>
      </c>
      <c r="S486" s="81" t="s">
        <v>953</v>
      </c>
      <c r="T486" s="86" t="s">
        <v>982</v>
      </c>
      <c r="U486" s="81"/>
      <c r="V486" s="84" t="str">
        <f>HYPERLINK("https://pbs.twimg.com/profile_images/1250065840537550848/vus8douU_normal.jpg")</f>
        <v>https://pbs.twimg.com/profile_images/1250065840537550848/vus8douU_normal.jpg</v>
      </c>
      <c r="W486" s="83">
        <v>44462.492384259262</v>
      </c>
      <c r="X486" s="89">
        <v>44462</v>
      </c>
      <c r="Y486" s="86" t="s">
        <v>1190</v>
      </c>
      <c r="Z486" s="84" t="str">
        <f>HYPERLINK("https://twitter.com/ta_k3n/status/1441006691672150021")</f>
        <v>https://twitter.com/ta_k3n/status/1441006691672150021</v>
      </c>
      <c r="AA486" s="81"/>
      <c r="AB486" s="81"/>
      <c r="AC486" s="86" t="s">
        <v>1688</v>
      </c>
      <c r="AD486" s="81"/>
      <c r="AE486" s="81" t="b">
        <v>0</v>
      </c>
      <c r="AF486" s="81">
        <v>0</v>
      </c>
      <c r="AG486" s="86" t="s">
        <v>2084</v>
      </c>
      <c r="AH486" s="81" t="b">
        <v>0</v>
      </c>
      <c r="AI486" s="81" t="s">
        <v>2167</v>
      </c>
      <c r="AJ486" s="81"/>
      <c r="AK486" s="86" t="s">
        <v>2084</v>
      </c>
      <c r="AL486" s="81" t="b">
        <v>0</v>
      </c>
      <c r="AM486" s="81">
        <v>14</v>
      </c>
      <c r="AN486" s="86" t="s">
        <v>1683</v>
      </c>
      <c r="AO486" s="86" t="s">
        <v>2179</v>
      </c>
      <c r="AP486" s="81" t="b">
        <v>0</v>
      </c>
      <c r="AQ486" s="86" t="s">
        <v>1683</v>
      </c>
      <c r="AR486" s="81" t="s">
        <v>179</v>
      </c>
      <c r="AS486" s="81">
        <v>0</v>
      </c>
      <c r="AT486" s="81">
        <v>0</v>
      </c>
      <c r="AU486" s="81"/>
      <c r="AV486" s="81"/>
      <c r="AW486" s="81"/>
      <c r="AX486" s="81"/>
      <c r="AY486" s="81"/>
      <c r="AZ486" s="81"/>
      <c r="BA486" s="81"/>
      <c r="BB486" s="81"/>
    </row>
    <row r="487" spans="1:54" x14ac:dyDescent="0.35">
      <c r="A487" s="66" t="s">
        <v>371</v>
      </c>
      <c r="B487" s="66" t="s">
        <v>638</v>
      </c>
      <c r="C487" s="67"/>
      <c r="D487" s="68"/>
      <c r="E487" s="69"/>
      <c r="F487" s="70"/>
      <c r="G487" s="67"/>
      <c r="H487" s="71"/>
      <c r="I487" s="72"/>
      <c r="J487" s="72"/>
      <c r="K487" s="36"/>
      <c r="L487" s="79"/>
      <c r="M487" s="79"/>
      <c r="N487" s="74"/>
      <c r="O487" s="81" t="s">
        <v>696</v>
      </c>
      <c r="P487" s="83">
        <v>44462.494699074072</v>
      </c>
      <c r="Q487" s="81" t="s">
        <v>764</v>
      </c>
      <c r="R487" s="81"/>
      <c r="S487" s="81"/>
      <c r="T487" s="86" t="s">
        <v>983</v>
      </c>
      <c r="U487" s="84" t="str">
        <f>HYPERLINK("https://pbs.twimg.com/media/E_98tnQVQAUeDHE.jpg")</f>
        <v>https://pbs.twimg.com/media/E_98tnQVQAUeDHE.jpg</v>
      </c>
      <c r="V487" s="84" t="str">
        <f>HYPERLINK("https://pbs.twimg.com/media/E_98tnQVQAUeDHE.jpg")</f>
        <v>https://pbs.twimg.com/media/E_98tnQVQAUeDHE.jpg</v>
      </c>
      <c r="W487" s="83">
        <v>44462.494699074072</v>
      </c>
      <c r="X487" s="89">
        <v>44462</v>
      </c>
      <c r="Y487" s="86" t="s">
        <v>1191</v>
      </c>
      <c r="Z487" s="84" t="str">
        <f>HYPERLINK("https://twitter.com/kemenkumham_jtm/status/1441007532047101962")</f>
        <v>https://twitter.com/kemenkumham_jtm/status/1441007532047101962</v>
      </c>
      <c r="AA487" s="81"/>
      <c r="AB487" s="81"/>
      <c r="AC487" s="86" t="s">
        <v>1689</v>
      </c>
      <c r="AD487" s="86" t="s">
        <v>2030</v>
      </c>
      <c r="AE487" s="81" t="b">
        <v>0</v>
      </c>
      <c r="AF487" s="81">
        <v>1</v>
      </c>
      <c r="AG487" s="86" t="s">
        <v>2112</v>
      </c>
      <c r="AH487" s="81" t="b">
        <v>0</v>
      </c>
      <c r="AI487" s="81" t="s">
        <v>2167</v>
      </c>
      <c r="AJ487" s="81"/>
      <c r="AK487" s="86" t="s">
        <v>2084</v>
      </c>
      <c r="AL487" s="81" t="b">
        <v>0</v>
      </c>
      <c r="AM487" s="81">
        <v>0</v>
      </c>
      <c r="AN487" s="86" t="s">
        <v>2084</v>
      </c>
      <c r="AO487" s="86" t="s">
        <v>2178</v>
      </c>
      <c r="AP487" s="81" t="b">
        <v>0</v>
      </c>
      <c r="AQ487" s="86" t="s">
        <v>2030</v>
      </c>
      <c r="AR487" s="81" t="s">
        <v>179</v>
      </c>
      <c r="AS487" s="81">
        <v>0</v>
      </c>
      <c r="AT487" s="81">
        <v>0</v>
      </c>
      <c r="AU487" s="81"/>
      <c r="AV487" s="81"/>
      <c r="AW487" s="81"/>
      <c r="AX487" s="81"/>
      <c r="AY487" s="81"/>
      <c r="AZ487" s="81"/>
      <c r="BA487" s="81"/>
      <c r="BB487" s="81"/>
    </row>
    <row r="488" spans="1:54" x14ac:dyDescent="0.35">
      <c r="A488" s="66" t="s">
        <v>4355</v>
      </c>
      <c r="B488" s="66" t="s">
        <v>4482</v>
      </c>
      <c r="C488" s="67"/>
      <c r="D488" s="68"/>
      <c r="E488" s="69"/>
      <c r="F488" s="70"/>
      <c r="G488" s="67"/>
      <c r="H488" s="71"/>
      <c r="I488" s="72"/>
      <c r="J488" s="72"/>
      <c r="K488" s="36"/>
      <c r="L488" s="79"/>
      <c r="M488" s="79"/>
      <c r="N488" s="74"/>
      <c r="O488" s="81" t="s">
        <v>696</v>
      </c>
      <c r="P488" s="83">
        <v>44462.513935185183</v>
      </c>
      <c r="Q488" s="81" t="s">
        <v>5376</v>
      </c>
      <c r="R488" s="84" t="str">
        <f>HYPERLINK("https://observador.pt/especiais/a-noite-em-que-rangel-e-pinto-luz-deram-o-tiro-de-partida-para-o-pos-autarquicas/")</f>
        <v>https://observador.pt/especiais/a-noite-em-que-rangel-e-pinto-luz-deram-o-tiro-de-partida-para-o-pos-autarquicas/</v>
      </c>
      <c r="S488" s="81" t="s">
        <v>5714</v>
      </c>
      <c r="T488" s="81"/>
      <c r="U488" s="81"/>
      <c r="V488" s="84" t="str">
        <f>HYPERLINK("https://pbs.twimg.com/profile_images/1308390360125714434/yuIH3RiP_normal.jpg")</f>
        <v>https://pbs.twimg.com/profile_images/1308390360125714434/yuIH3RiP_normal.jpg</v>
      </c>
      <c r="W488" s="83">
        <v>44462.513935185183</v>
      </c>
      <c r="X488" s="89">
        <v>44462</v>
      </c>
      <c r="Y488" s="86" t="s">
        <v>5984</v>
      </c>
      <c r="Z488" s="84" t="str">
        <f>HYPERLINK("https://twitter.com/alrguerreiro/status/1441014499138588675")</f>
        <v>https://twitter.com/alrguerreiro/status/1441014499138588675</v>
      </c>
      <c r="AA488" s="81"/>
      <c r="AB488" s="81"/>
      <c r="AC488" s="86" t="s">
        <v>6887</v>
      </c>
      <c r="AD488" s="81"/>
      <c r="AE488" s="81" t="b">
        <v>0</v>
      </c>
      <c r="AF488" s="81">
        <v>0</v>
      </c>
      <c r="AG488" s="86" t="s">
        <v>2084</v>
      </c>
      <c r="AH488" s="81" t="b">
        <v>0</v>
      </c>
      <c r="AI488" s="81" t="s">
        <v>2171</v>
      </c>
      <c r="AJ488" s="81"/>
      <c r="AK488" s="86" t="s">
        <v>2084</v>
      </c>
      <c r="AL488" s="81" t="b">
        <v>0</v>
      </c>
      <c r="AM488" s="81">
        <v>0</v>
      </c>
      <c r="AN488" s="86" t="s">
        <v>2084</v>
      </c>
      <c r="AO488" s="86" t="s">
        <v>2181</v>
      </c>
      <c r="AP488" s="81" t="b">
        <v>0</v>
      </c>
      <c r="AQ488" s="86" t="s">
        <v>6887</v>
      </c>
      <c r="AR488" s="81" t="s">
        <v>179</v>
      </c>
      <c r="AS488" s="81">
        <v>0</v>
      </c>
      <c r="AT488" s="81">
        <v>0</v>
      </c>
      <c r="AU488" s="81"/>
      <c r="AV488" s="81"/>
      <c r="AW488" s="81"/>
      <c r="AX488" s="81"/>
      <c r="AY488" s="81"/>
      <c r="AZ488" s="81"/>
      <c r="BA488" s="81"/>
      <c r="BB488" s="81"/>
    </row>
    <row r="489" spans="1:54" x14ac:dyDescent="0.35">
      <c r="A489" s="66" t="s">
        <v>4356</v>
      </c>
      <c r="B489" s="66" t="s">
        <v>5043</v>
      </c>
      <c r="C489" s="67"/>
      <c r="D489" s="68"/>
      <c r="E489" s="69"/>
      <c r="F489" s="70"/>
      <c r="G489" s="67"/>
      <c r="H489" s="71"/>
      <c r="I489" s="72"/>
      <c r="J489" s="72"/>
      <c r="K489" s="36"/>
      <c r="L489" s="79"/>
      <c r="M489" s="79"/>
      <c r="N489" s="74"/>
      <c r="O489" s="81" t="s">
        <v>696</v>
      </c>
      <c r="P489" s="83">
        <v>44462.537777777776</v>
      </c>
      <c r="Q489" s="81" t="s">
        <v>5377</v>
      </c>
      <c r="R489" s="81"/>
      <c r="S489" s="81"/>
      <c r="T489" s="81"/>
      <c r="U489" s="81"/>
      <c r="V489" s="84" t="str">
        <f>HYPERLINK("https://pbs.twimg.com/profile_images/1014578100611543043/VIM57Zky_normal.jpg")</f>
        <v>https://pbs.twimg.com/profile_images/1014578100611543043/VIM57Zky_normal.jpg</v>
      </c>
      <c r="W489" s="83">
        <v>44462.537777777776</v>
      </c>
      <c r="X489" s="89">
        <v>44462</v>
      </c>
      <c r="Y489" s="86" t="s">
        <v>5985</v>
      </c>
      <c r="Z489" s="84" t="str">
        <f>HYPERLINK("https://twitter.com/thiagolamboglia/status/1441023140130349056")</f>
        <v>https://twitter.com/thiagolamboglia/status/1441023140130349056</v>
      </c>
      <c r="AA489" s="81"/>
      <c r="AB489" s="81"/>
      <c r="AC489" s="86" t="s">
        <v>6888</v>
      </c>
      <c r="AD489" s="86" t="s">
        <v>7654</v>
      </c>
      <c r="AE489" s="81" t="b">
        <v>0</v>
      </c>
      <c r="AF489" s="81">
        <v>0</v>
      </c>
      <c r="AG489" s="86" t="s">
        <v>7835</v>
      </c>
      <c r="AH489" s="81" t="b">
        <v>0</v>
      </c>
      <c r="AI489" s="81" t="s">
        <v>2171</v>
      </c>
      <c r="AJ489" s="81"/>
      <c r="AK489" s="86" t="s">
        <v>2084</v>
      </c>
      <c r="AL489" s="81" t="b">
        <v>0</v>
      </c>
      <c r="AM489" s="81">
        <v>0</v>
      </c>
      <c r="AN489" s="86" t="s">
        <v>2084</v>
      </c>
      <c r="AO489" s="86" t="s">
        <v>2178</v>
      </c>
      <c r="AP489" s="81" t="b">
        <v>0</v>
      </c>
      <c r="AQ489" s="86" t="s">
        <v>7654</v>
      </c>
      <c r="AR489" s="81" t="s">
        <v>179</v>
      </c>
      <c r="AS489" s="81">
        <v>0</v>
      </c>
      <c r="AT489" s="81">
        <v>0</v>
      </c>
      <c r="AU489" s="81"/>
      <c r="AV489" s="81"/>
      <c r="AW489" s="81"/>
      <c r="AX489" s="81"/>
      <c r="AY489" s="81"/>
      <c r="AZ489" s="81"/>
      <c r="BA489" s="81"/>
      <c r="BB489" s="81"/>
    </row>
    <row r="490" spans="1:54" x14ac:dyDescent="0.35">
      <c r="A490" s="66" t="s">
        <v>4356</v>
      </c>
      <c r="B490" s="66" t="s">
        <v>5044</v>
      </c>
      <c r="C490" s="67"/>
      <c r="D490" s="68"/>
      <c r="E490" s="69"/>
      <c r="F490" s="70"/>
      <c r="G490" s="67"/>
      <c r="H490" s="71"/>
      <c r="I490" s="72"/>
      <c r="J490" s="72"/>
      <c r="K490" s="36"/>
      <c r="L490" s="79"/>
      <c r="M490" s="79"/>
      <c r="N490" s="74"/>
      <c r="O490" s="81" t="s">
        <v>696</v>
      </c>
      <c r="P490" s="83">
        <v>44462.537777777776</v>
      </c>
      <c r="Q490" s="81" t="s">
        <v>5377</v>
      </c>
      <c r="R490" s="81"/>
      <c r="S490" s="81"/>
      <c r="T490" s="81"/>
      <c r="U490" s="81"/>
      <c r="V490" s="84" t="str">
        <f>HYPERLINK("https://pbs.twimg.com/profile_images/1014578100611543043/VIM57Zky_normal.jpg")</f>
        <v>https://pbs.twimg.com/profile_images/1014578100611543043/VIM57Zky_normal.jpg</v>
      </c>
      <c r="W490" s="83">
        <v>44462.537777777776</v>
      </c>
      <c r="X490" s="89">
        <v>44462</v>
      </c>
      <c r="Y490" s="86" t="s">
        <v>5985</v>
      </c>
      <c r="Z490" s="84" t="str">
        <f>HYPERLINK("https://twitter.com/thiagolamboglia/status/1441023140130349056")</f>
        <v>https://twitter.com/thiagolamboglia/status/1441023140130349056</v>
      </c>
      <c r="AA490" s="81"/>
      <c r="AB490" s="81"/>
      <c r="AC490" s="86" t="s">
        <v>6888</v>
      </c>
      <c r="AD490" s="86" t="s">
        <v>7654</v>
      </c>
      <c r="AE490" s="81" t="b">
        <v>0</v>
      </c>
      <c r="AF490" s="81">
        <v>0</v>
      </c>
      <c r="AG490" s="86" t="s">
        <v>7835</v>
      </c>
      <c r="AH490" s="81" t="b">
        <v>0</v>
      </c>
      <c r="AI490" s="81" t="s">
        <v>2171</v>
      </c>
      <c r="AJ490" s="81"/>
      <c r="AK490" s="86" t="s">
        <v>2084</v>
      </c>
      <c r="AL490" s="81" t="b">
        <v>0</v>
      </c>
      <c r="AM490" s="81">
        <v>0</v>
      </c>
      <c r="AN490" s="86" t="s">
        <v>2084</v>
      </c>
      <c r="AO490" s="86" t="s">
        <v>2178</v>
      </c>
      <c r="AP490" s="81" t="b">
        <v>0</v>
      </c>
      <c r="AQ490" s="86" t="s">
        <v>7654</v>
      </c>
      <c r="AR490" s="81" t="s">
        <v>179</v>
      </c>
      <c r="AS490" s="81">
        <v>0</v>
      </c>
      <c r="AT490" s="81">
        <v>0</v>
      </c>
      <c r="AU490" s="81"/>
      <c r="AV490" s="81"/>
      <c r="AW490" s="81"/>
      <c r="AX490" s="81"/>
      <c r="AY490" s="81"/>
      <c r="AZ490" s="81"/>
      <c r="BA490" s="81"/>
      <c r="BB490" s="81"/>
    </row>
    <row r="491" spans="1:54" x14ac:dyDescent="0.35">
      <c r="A491" s="66" t="s">
        <v>4356</v>
      </c>
      <c r="B491" s="66" t="s">
        <v>5045</v>
      </c>
      <c r="C491" s="67"/>
      <c r="D491" s="68"/>
      <c r="E491" s="69"/>
      <c r="F491" s="70"/>
      <c r="G491" s="67"/>
      <c r="H491" s="71"/>
      <c r="I491" s="72"/>
      <c r="J491" s="72"/>
      <c r="K491" s="36"/>
      <c r="L491" s="79"/>
      <c r="M491" s="79"/>
      <c r="N491" s="74"/>
      <c r="O491" s="81" t="s">
        <v>696</v>
      </c>
      <c r="P491" s="83">
        <v>44462.537777777776</v>
      </c>
      <c r="Q491" s="81" t="s">
        <v>5377</v>
      </c>
      <c r="R491" s="81"/>
      <c r="S491" s="81"/>
      <c r="T491" s="81"/>
      <c r="U491" s="81"/>
      <c r="V491" s="84" t="str">
        <f>HYPERLINK("https://pbs.twimg.com/profile_images/1014578100611543043/VIM57Zky_normal.jpg")</f>
        <v>https://pbs.twimg.com/profile_images/1014578100611543043/VIM57Zky_normal.jpg</v>
      </c>
      <c r="W491" s="83">
        <v>44462.537777777776</v>
      </c>
      <c r="X491" s="89">
        <v>44462</v>
      </c>
      <c r="Y491" s="86" t="s">
        <v>5985</v>
      </c>
      <c r="Z491" s="84" t="str">
        <f>HYPERLINK("https://twitter.com/thiagolamboglia/status/1441023140130349056")</f>
        <v>https://twitter.com/thiagolamboglia/status/1441023140130349056</v>
      </c>
      <c r="AA491" s="81"/>
      <c r="AB491" s="81"/>
      <c r="AC491" s="86" t="s">
        <v>6888</v>
      </c>
      <c r="AD491" s="86" t="s">
        <v>7654</v>
      </c>
      <c r="AE491" s="81" t="b">
        <v>0</v>
      </c>
      <c r="AF491" s="81">
        <v>0</v>
      </c>
      <c r="AG491" s="86" t="s">
        <v>7835</v>
      </c>
      <c r="AH491" s="81" t="b">
        <v>0</v>
      </c>
      <c r="AI491" s="81" t="s">
        <v>2171</v>
      </c>
      <c r="AJ491" s="81"/>
      <c r="AK491" s="86" t="s">
        <v>2084</v>
      </c>
      <c r="AL491" s="81" t="b">
        <v>0</v>
      </c>
      <c r="AM491" s="81">
        <v>0</v>
      </c>
      <c r="AN491" s="86" t="s">
        <v>2084</v>
      </c>
      <c r="AO491" s="86" t="s">
        <v>2178</v>
      </c>
      <c r="AP491" s="81" t="b">
        <v>0</v>
      </c>
      <c r="AQ491" s="86" t="s">
        <v>7654</v>
      </c>
      <c r="AR491" s="81" t="s">
        <v>179</v>
      </c>
      <c r="AS491" s="81">
        <v>0</v>
      </c>
      <c r="AT491" s="81">
        <v>0</v>
      </c>
      <c r="AU491" s="81"/>
      <c r="AV491" s="81"/>
      <c r="AW491" s="81"/>
      <c r="AX491" s="81"/>
      <c r="AY491" s="81"/>
      <c r="AZ491" s="81"/>
      <c r="BA491" s="81"/>
      <c r="BB491" s="81"/>
    </row>
    <row r="492" spans="1:54" x14ac:dyDescent="0.35">
      <c r="A492" s="66" t="s">
        <v>4356</v>
      </c>
      <c r="B492" s="66" t="s">
        <v>5046</v>
      </c>
      <c r="C492" s="67"/>
      <c r="D492" s="68"/>
      <c r="E492" s="69"/>
      <c r="F492" s="70"/>
      <c r="G492" s="67"/>
      <c r="H492" s="71"/>
      <c r="I492" s="72"/>
      <c r="J492" s="72"/>
      <c r="K492" s="36"/>
      <c r="L492" s="79"/>
      <c r="M492" s="79"/>
      <c r="N492" s="74"/>
      <c r="O492" s="81" t="s">
        <v>695</v>
      </c>
      <c r="P492" s="83">
        <v>44462.537777777776</v>
      </c>
      <c r="Q492" s="81" t="s">
        <v>5377</v>
      </c>
      <c r="R492" s="81"/>
      <c r="S492" s="81"/>
      <c r="T492" s="81"/>
      <c r="U492" s="81"/>
      <c r="V492" s="84" t="str">
        <f>HYPERLINK("https://pbs.twimg.com/profile_images/1014578100611543043/VIM57Zky_normal.jpg")</f>
        <v>https://pbs.twimg.com/profile_images/1014578100611543043/VIM57Zky_normal.jpg</v>
      </c>
      <c r="W492" s="83">
        <v>44462.537777777776</v>
      </c>
      <c r="X492" s="89">
        <v>44462</v>
      </c>
      <c r="Y492" s="86" t="s">
        <v>5985</v>
      </c>
      <c r="Z492" s="84" t="str">
        <f>HYPERLINK("https://twitter.com/thiagolamboglia/status/1441023140130349056")</f>
        <v>https://twitter.com/thiagolamboglia/status/1441023140130349056</v>
      </c>
      <c r="AA492" s="81"/>
      <c r="AB492" s="81"/>
      <c r="AC492" s="86" t="s">
        <v>6888</v>
      </c>
      <c r="AD492" s="86" t="s">
        <v>7654</v>
      </c>
      <c r="AE492" s="81" t="b">
        <v>0</v>
      </c>
      <c r="AF492" s="81">
        <v>0</v>
      </c>
      <c r="AG492" s="86" t="s">
        <v>7835</v>
      </c>
      <c r="AH492" s="81" t="b">
        <v>0</v>
      </c>
      <c r="AI492" s="81" t="s">
        <v>2171</v>
      </c>
      <c r="AJ492" s="81"/>
      <c r="AK492" s="86" t="s">
        <v>2084</v>
      </c>
      <c r="AL492" s="81" t="b">
        <v>0</v>
      </c>
      <c r="AM492" s="81">
        <v>0</v>
      </c>
      <c r="AN492" s="86" t="s">
        <v>2084</v>
      </c>
      <c r="AO492" s="86" t="s">
        <v>2178</v>
      </c>
      <c r="AP492" s="81" t="b">
        <v>0</v>
      </c>
      <c r="AQ492" s="86" t="s">
        <v>7654</v>
      </c>
      <c r="AR492" s="81" t="s">
        <v>179</v>
      </c>
      <c r="AS492" s="81">
        <v>0</v>
      </c>
      <c r="AT492" s="81">
        <v>0</v>
      </c>
      <c r="AU492" s="81"/>
      <c r="AV492" s="81"/>
      <c r="AW492" s="81"/>
      <c r="AX492" s="81"/>
      <c r="AY492" s="81"/>
      <c r="AZ492" s="81"/>
      <c r="BA492" s="81"/>
      <c r="BB492" s="81"/>
    </row>
    <row r="493" spans="1:54" x14ac:dyDescent="0.35">
      <c r="A493" s="66" t="s">
        <v>372</v>
      </c>
      <c r="B493" s="66" t="s">
        <v>415</v>
      </c>
      <c r="C493" s="67"/>
      <c r="D493" s="68"/>
      <c r="E493" s="69"/>
      <c r="F493" s="70"/>
      <c r="G493" s="67"/>
      <c r="H493" s="71"/>
      <c r="I493" s="72"/>
      <c r="J493" s="72"/>
      <c r="K493" s="36"/>
      <c r="L493" s="79"/>
      <c r="M493" s="79"/>
      <c r="N493" s="74"/>
      <c r="O493" s="81" t="s">
        <v>693</v>
      </c>
      <c r="P493" s="83">
        <v>44462.541273148148</v>
      </c>
      <c r="Q493" s="81" t="s">
        <v>759</v>
      </c>
      <c r="R493" s="81"/>
      <c r="S493" s="81"/>
      <c r="T493" s="86" t="s">
        <v>979</v>
      </c>
      <c r="U493" s="84" t="str">
        <f>HYPERLINK("https://pbs.twimg.com/media/E_9V_ibVEAYc8c_.jpg")</f>
        <v>https://pbs.twimg.com/media/E_9V_ibVEAYc8c_.jpg</v>
      </c>
      <c r="V493" s="84" t="str">
        <f>HYPERLINK("https://pbs.twimg.com/media/E_9V_ibVEAYc8c_.jpg")</f>
        <v>https://pbs.twimg.com/media/E_9V_ibVEAYc8c_.jpg</v>
      </c>
      <c r="W493" s="83">
        <v>44462.541273148148</v>
      </c>
      <c r="X493" s="89">
        <v>44462</v>
      </c>
      <c r="Y493" s="86" t="s">
        <v>1193</v>
      </c>
      <c r="Z493" s="84" t="str">
        <f>HYPERLINK("https://twitter.com/hoonqhwadxjj/status/1441024408940736522")</f>
        <v>https://twitter.com/hoonqhwadxjj/status/1441024408940736522</v>
      </c>
      <c r="AA493" s="81"/>
      <c r="AB493" s="81"/>
      <c r="AC493" s="86" t="s">
        <v>1690</v>
      </c>
      <c r="AD493" s="81"/>
      <c r="AE493" s="81" t="b">
        <v>0</v>
      </c>
      <c r="AF493" s="81">
        <v>0</v>
      </c>
      <c r="AG493" s="86" t="s">
        <v>2084</v>
      </c>
      <c r="AH493" s="81" t="b">
        <v>0</v>
      </c>
      <c r="AI493" s="81" t="s">
        <v>2168</v>
      </c>
      <c r="AJ493" s="81"/>
      <c r="AK493" s="86" t="s">
        <v>2084</v>
      </c>
      <c r="AL493" s="81" t="b">
        <v>0</v>
      </c>
      <c r="AM493" s="81">
        <v>12</v>
      </c>
      <c r="AN493" s="86" t="s">
        <v>1740</v>
      </c>
      <c r="AO493" s="86" t="s">
        <v>2178</v>
      </c>
      <c r="AP493" s="81" t="b">
        <v>0</v>
      </c>
      <c r="AQ493" s="86" t="s">
        <v>1740</v>
      </c>
      <c r="AR493" s="81" t="s">
        <v>179</v>
      </c>
      <c r="AS493" s="81">
        <v>0</v>
      </c>
      <c r="AT493" s="81">
        <v>0</v>
      </c>
      <c r="AU493" s="81"/>
      <c r="AV493" s="81"/>
      <c r="AW493" s="81"/>
      <c r="AX493" s="81"/>
      <c r="AY493" s="81"/>
      <c r="AZ493" s="81"/>
      <c r="BA493" s="81"/>
      <c r="BB493" s="81"/>
    </row>
    <row r="494" spans="1:54" x14ac:dyDescent="0.35">
      <c r="A494" s="66" t="s">
        <v>4357</v>
      </c>
      <c r="B494" s="66" t="s">
        <v>4357</v>
      </c>
      <c r="C494" s="67"/>
      <c r="D494" s="68"/>
      <c r="E494" s="69"/>
      <c r="F494" s="70"/>
      <c r="G494" s="67"/>
      <c r="H494" s="71"/>
      <c r="I494" s="72"/>
      <c r="J494" s="72"/>
      <c r="K494" s="36"/>
      <c r="L494" s="79"/>
      <c r="M494" s="79"/>
      <c r="N494" s="74"/>
      <c r="O494" s="81" t="s">
        <v>179</v>
      </c>
      <c r="P494" s="83">
        <v>44462.543298611112</v>
      </c>
      <c r="Q494" s="81" t="s">
        <v>5378</v>
      </c>
      <c r="R494" s="84" t="str">
        <f>HYPERLINK("https://www.facebook.com/groups/jaebolsonaro/permalink/1508032793239577/")</f>
        <v>https://www.facebook.com/groups/jaebolsonaro/permalink/1508032793239577/</v>
      </c>
      <c r="S494" s="81" t="s">
        <v>5715</v>
      </c>
      <c r="T494" s="81"/>
      <c r="U494" s="81"/>
      <c r="V494" s="84" t="str">
        <f>HYPERLINK("https://pbs.twimg.com/profile_images/1433581849675173897/ZtxTxyI9_normal.jpg")</f>
        <v>https://pbs.twimg.com/profile_images/1433581849675173897/ZtxTxyI9_normal.jpg</v>
      </c>
      <c r="W494" s="83">
        <v>44462.543298611112</v>
      </c>
      <c r="X494" s="89">
        <v>44462</v>
      </c>
      <c r="Y494" s="86" t="s">
        <v>5986</v>
      </c>
      <c r="Z494" s="84" t="str">
        <f>HYPERLINK("https://twitter.com/orlando29389818/status/1441025142562467841")</f>
        <v>https://twitter.com/orlando29389818/status/1441025142562467841</v>
      </c>
      <c r="AA494" s="81"/>
      <c r="AB494" s="81"/>
      <c r="AC494" s="86" t="s">
        <v>6889</v>
      </c>
      <c r="AD494" s="81"/>
      <c r="AE494" s="81" t="b">
        <v>0</v>
      </c>
      <c r="AF494" s="81">
        <v>0</v>
      </c>
      <c r="AG494" s="86" t="s">
        <v>2084</v>
      </c>
      <c r="AH494" s="81" t="b">
        <v>0</v>
      </c>
      <c r="AI494" s="81" t="s">
        <v>2171</v>
      </c>
      <c r="AJ494" s="81"/>
      <c r="AK494" s="86" t="s">
        <v>2084</v>
      </c>
      <c r="AL494" s="81" t="b">
        <v>0</v>
      </c>
      <c r="AM494" s="81">
        <v>0</v>
      </c>
      <c r="AN494" s="86" t="s">
        <v>2084</v>
      </c>
      <c r="AO494" s="86" t="s">
        <v>2179</v>
      </c>
      <c r="AP494" s="81" t="b">
        <v>0</v>
      </c>
      <c r="AQ494" s="86" t="s">
        <v>6889</v>
      </c>
      <c r="AR494" s="81" t="s">
        <v>179</v>
      </c>
      <c r="AS494" s="81">
        <v>0</v>
      </c>
      <c r="AT494" s="81">
        <v>0</v>
      </c>
      <c r="AU494" s="81"/>
      <c r="AV494" s="81"/>
      <c r="AW494" s="81"/>
      <c r="AX494" s="81"/>
      <c r="AY494" s="81"/>
      <c r="AZ494" s="81"/>
      <c r="BA494" s="81"/>
      <c r="BB494" s="81"/>
    </row>
    <row r="495" spans="1:54" x14ac:dyDescent="0.35">
      <c r="A495" s="66" t="s">
        <v>582</v>
      </c>
      <c r="B495" s="66" t="s">
        <v>582</v>
      </c>
      <c r="C495" s="67"/>
      <c r="D495" s="68"/>
      <c r="E495" s="69"/>
      <c r="F495" s="70"/>
      <c r="G495" s="67"/>
      <c r="H495" s="71"/>
      <c r="I495" s="72"/>
      <c r="J495" s="72"/>
      <c r="K495" s="36"/>
      <c r="L495" s="79"/>
      <c r="M495" s="79"/>
      <c r="N495" s="74"/>
      <c r="O495" s="81" t="s">
        <v>179</v>
      </c>
      <c r="P495" s="83">
        <v>44462.610254629632</v>
      </c>
      <c r="Q495" s="81" t="s">
        <v>898</v>
      </c>
      <c r="R495" s="81" t="s">
        <v>934</v>
      </c>
      <c r="S495" s="81" t="s">
        <v>966</v>
      </c>
      <c r="T495" s="81"/>
      <c r="U495" s="81"/>
      <c r="V495" s="84" t="str">
        <f>HYPERLINK("https://pbs.twimg.com/profile_images/1045532153419685888/tI5IrzoY_normal.jpg")</f>
        <v>https://pbs.twimg.com/profile_images/1045532153419685888/tI5IrzoY_normal.jpg</v>
      </c>
      <c r="W495" s="83">
        <v>44462.610254629632</v>
      </c>
      <c r="X495" s="89">
        <v>44462</v>
      </c>
      <c r="Y495" s="86" t="s">
        <v>1471</v>
      </c>
      <c r="Z495" s="84" t="str">
        <f>HYPERLINK("https://twitter.com/openkerja/status/1441049404228571143")</f>
        <v>https://twitter.com/openkerja/status/1441049404228571143</v>
      </c>
      <c r="AA495" s="81"/>
      <c r="AB495" s="81"/>
      <c r="AC495" s="86" t="s">
        <v>1967</v>
      </c>
      <c r="AD495" s="81"/>
      <c r="AE495" s="81" t="b">
        <v>0</v>
      </c>
      <c r="AF495" s="81">
        <v>0</v>
      </c>
      <c r="AG495" s="86" t="s">
        <v>2084</v>
      </c>
      <c r="AH495" s="81" t="b">
        <v>0</v>
      </c>
      <c r="AI495" s="81" t="s">
        <v>2167</v>
      </c>
      <c r="AJ495" s="81"/>
      <c r="AK495" s="86" t="s">
        <v>2084</v>
      </c>
      <c r="AL495" s="81" t="b">
        <v>0</v>
      </c>
      <c r="AM495" s="81">
        <v>0</v>
      </c>
      <c r="AN495" s="86" t="s">
        <v>2084</v>
      </c>
      <c r="AO495" s="86" t="s">
        <v>2178</v>
      </c>
      <c r="AP495" s="81" t="b">
        <v>0</v>
      </c>
      <c r="AQ495" s="86" t="s">
        <v>1967</v>
      </c>
      <c r="AR495" s="81" t="s">
        <v>179</v>
      </c>
      <c r="AS495" s="81">
        <v>0</v>
      </c>
      <c r="AT495" s="81">
        <v>0</v>
      </c>
      <c r="AU495" s="81"/>
      <c r="AV495" s="81"/>
      <c r="AW495" s="81"/>
      <c r="AX495" s="81"/>
      <c r="AY495" s="81"/>
      <c r="AZ495" s="81"/>
      <c r="BA495" s="81"/>
      <c r="BB495" s="81"/>
    </row>
    <row r="496" spans="1:54" x14ac:dyDescent="0.35">
      <c r="A496" s="66" t="s">
        <v>4358</v>
      </c>
      <c r="B496" s="66" t="s">
        <v>5047</v>
      </c>
      <c r="C496" s="67"/>
      <c r="D496" s="68"/>
      <c r="E496" s="69"/>
      <c r="F496" s="70"/>
      <c r="G496" s="67"/>
      <c r="H496" s="71"/>
      <c r="I496" s="72"/>
      <c r="J496" s="72"/>
      <c r="K496" s="36"/>
      <c r="L496" s="79"/>
      <c r="M496" s="79"/>
      <c r="N496" s="74"/>
      <c r="O496" s="81" t="s">
        <v>695</v>
      </c>
      <c r="P496" s="83">
        <v>44462.623657407406</v>
      </c>
      <c r="Q496" s="81" t="s">
        <v>5379</v>
      </c>
      <c r="R496" s="81"/>
      <c r="S496" s="81"/>
      <c r="T496" s="81"/>
      <c r="U496" s="81"/>
      <c r="V496" s="84" t="str">
        <f>HYPERLINK("https://pbs.twimg.com/profile_images/1130000854788976640/I1q8kSda_normal.jpg")</f>
        <v>https://pbs.twimg.com/profile_images/1130000854788976640/I1q8kSda_normal.jpg</v>
      </c>
      <c r="W496" s="83">
        <v>44462.623657407406</v>
      </c>
      <c r="X496" s="89">
        <v>44462</v>
      </c>
      <c r="Y496" s="86" t="s">
        <v>5987</v>
      </c>
      <c r="Z496" s="84" t="str">
        <f>HYPERLINK("https://twitter.com/radityoarifn/status/1441054263761772566")</f>
        <v>https://twitter.com/radityoarifn/status/1441054263761772566</v>
      </c>
      <c r="AA496" s="81"/>
      <c r="AB496" s="81"/>
      <c r="AC496" s="86" t="s">
        <v>6890</v>
      </c>
      <c r="AD496" s="86" t="s">
        <v>7655</v>
      </c>
      <c r="AE496" s="81" t="b">
        <v>0</v>
      </c>
      <c r="AF496" s="81">
        <v>0</v>
      </c>
      <c r="AG496" s="86" t="s">
        <v>7836</v>
      </c>
      <c r="AH496" s="81" t="b">
        <v>0</v>
      </c>
      <c r="AI496" s="81" t="s">
        <v>2167</v>
      </c>
      <c r="AJ496" s="81"/>
      <c r="AK496" s="86" t="s">
        <v>2084</v>
      </c>
      <c r="AL496" s="81" t="b">
        <v>0</v>
      </c>
      <c r="AM496" s="81">
        <v>0</v>
      </c>
      <c r="AN496" s="86" t="s">
        <v>2084</v>
      </c>
      <c r="AO496" s="86" t="s">
        <v>2181</v>
      </c>
      <c r="AP496" s="81" t="b">
        <v>0</v>
      </c>
      <c r="AQ496" s="86" t="s">
        <v>7655</v>
      </c>
      <c r="AR496" s="81" t="s">
        <v>179</v>
      </c>
      <c r="AS496" s="81">
        <v>0</v>
      </c>
      <c r="AT496" s="81">
        <v>0</v>
      </c>
      <c r="AU496" s="81"/>
      <c r="AV496" s="81"/>
      <c r="AW496" s="81"/>
      <c r="AX496" s="81"/>
      <c r="AY496" s="81"/>
      <c r="AZ496" s="81"/>
      <c r="BA496" s="81"/>
      <c r="BB496" s="81"/>
    </row>
    <row r="497" spans="1:54" x14ac:dyDescent="0.35">
      <c r="A497" s="66" t="s">
        <v>4359</v>
      </c>
      <c r="B497" s="66" t="s">
        <v>2171</v>
      </c>
      <c r="C497" s="67"/>
      <c r="D497" s="68"/>
      <c r="E497" s="69"/>
      <c r="F497" s="70"/>
      <c r="G497" s="67"/>
      <c r="H497" s="71"/>
      <c r="I497" s="72"/>
      <c r="J497" s="72"/>
      <c r="K497" s="36"/>
      <c r="L497" s="79"/>
      <c r="M497" s="79"/>
      <c r="N497" s="74"/>
      <c r="O497" s="81" t="s">
        <v>695</v>
      </c>
      <c r="P497" s="83">
        <v>44462.648587962962</v>
      </c>
      <c r="Q497" s="81" t="s">
        <v>5380</v>
      </c>
      <c r="R497" s="81"/>
      <c r="S497" s="81"/>
      <c r="T497" s="81"/>
      <c r="U497" s="81"/>
      <c r="V497" s="84" t="str">
        <f>HYPERLINK("https://pbs.twimg.com/profile_images/769361009886629889/K6H8rkN0_normal.jpg")</f>
        <v>https://pbs.twimg.com/profile_images/769361009886629889/K6H8rkN0_normal.jpg</v>
      </c>
      <c r="W497" s="83">
        <v>44462.648587962962</v>
      </c>
      <c r="X497" s="89">
        <v>44462</v>
      </c>
      <c r="Y497" s="86" t="s">
        <v>5988</v>
      </c>
      <c r="Z497" s="84" t="str">
        <f>HYPERLINK("https://twitter.com/averagepm/status/1441063297625767938")</f>
        <v>https://twitter.com/averagepm/status/1441063297625767938</v>
      </c>
      <c r="AA497" s="81"/>
      <c r="AB497" s="81"/>
      <c r="AC497" s="86" t="s">
        <v>6891</v>
      </c>
      <c r="AD497" s="86" t="s">
        <v>7656</v>
      </c>
      <c r="AE497" s="81" t="b">
        <v>0</v>
      </c>
      <c r="AF497" s="81">
        <v>0</v>
      </c>
      <c r="AG497" s="86" t="s">
        <v>7837</v>
      </c>
      <c r="AH497" s="81" t="b">
        <v>0</v>
      </c>
      <c r="AI497" s="81" t="s">
        <v>2168</v>
      </c>
      <c r="AJ497" s="81"/>
      <c r="AK497" s="86" t="s">
        <v>2084</v>
      </c>
      <c r="AL497" s="81" t="b">
        <v>0</v>
      </c>
      <c r="AM497" s="81">
        <v>0</v>
      </c>
      <c r="AN497" s="86" t="s">
        <v>2084</v>
      </c>
      <c r="AO497" s="86" t="s">
        <v>2179</v>
      </c>
      <c r="AP497" s="81" t="b">
        <v>0</v>
      </c>
      <c r="AQ497" s="86" t="s">
        <v>7656</v>
      </c>
      <c r="AR497" s="81" t="s">
        <v>179</v>
      </c>
      <c r="AS497" s="81">
        <v>0</v>
      </c>
      <c r="AT497" s="81">
        <v>0</v>
      </c>
      <c r="AU497" s="81"/>
      <c r="AV497" s="81"/>
      <c r="AW497" s="81"/>
      <c r="AX497" s="81"/>
      <c r="AY497" s="81"/>
      <c r="AZ497" s="81"/>
      <c r="BA497" s="81"/>
      <c r="BB497" s="81"/>
    </row>
    <row r="498" spans="1:54" x14ac:dyDescent="0.35">
      <c r="A498" s="66" t="s">
        <v>373</v>
      </c>
      <c r="B498" s="66" t="s">
        <v>373</v>
      </c>
      <c r="C498" s="67"/>
      <c r="D498" s="68"/>
      <c r="E498" s="69"/>
      <c r="F498" s="70"/>
      <c r="G498" s="67"/>
      <c r="H498" s="71"/>
      <c r="I498" s="72"/>
      <c r="J498" s="72"/>
      <c r="K498" s="36"/>
      <c r="L498" s="79"/>
      <c r="M498" s="79"/>
      <c r="N498" s="74"/>
      <c r="O498" s="81" t="s">
        <v>179</v>
      </c>
      <c r="P498" s="83">
        <v>44460.208599537036</v>
      </c>
      <c r="Q498" s="81" t="s">
        <v>765</v>
      </c>
      <c r="R498" s="84" t="str">
        <f>HYPERLINK("https://www.jobsid.co/")</f>
        <v>https://www.jobsid.co/</v>
      </c>
      <c r="S498" s="81" t="s">
        <v>941</v>
      </c>
      <c r="T498" s="86" t="s">
        <v>984</v>
      </c>
      <c r="U498" s="84" t="str">
        <f>HYPERLINK("https://pbs.twimg.com/media/E_yLPKwVUAI6Ms7.jpg")</f>
        <v>https://pbs.twimg.com/media/E_yLPKwVUAI6Ms7.jpg</v>
      </c>
      <c r="V498" s="84" t="str">
        <f>HYPERLINK("https://pbs.twimg.com/media/E_yLPKwVUAI6Ms7.jpg")</f>
        <v>https://pbs.twimg.com/media/E_yLPKwVUAI6Ms7.jpg</v>
      </c>
      <c r="W498" s="83">
        <v>44460.208599537036</v>
      </c>
      <c r="X498" s="89">
        <v>44460</v>
      </c>
      <c r="Y498" s="86" t="s">
        <v>1194</v>
      </c>
      <c r="Z498" s="84" t="str">
        <f>HYPERLINK("https://twitter.com/twitlowongan/status/1440179075595735040")</f>
        <v>https://twitter.com/twitlowongan/status/1440179075595735040</v>
      </c>
      <c r="AA498" s="81"/>
      <c r="AB498" s="81"/>
      <c r="AC498" s="86" t="s">
        <v>1691</v>
      </c>
      <c r="AD498" s="81"/>
      <c r="AE498" s="81" t="b">
        <v>0</v>
      </c>
      <c r="AF498" s="81">
        <v>1</v>
      </c>
      <c r="AG498" s="86" t="s">
        <v>2084</v>
      </c>
      <c r="AH498" s="81" t="b">
        <v>0</v>
      </c>
      <c r="AI498" s="81" t="s">
        <v>2167</v>
      </c>
      <c r="AJ498" s="81"/>
      <c r="AK498" s="86" t="s">
        <v>2084</v>
      </c>
      <c r="AL498" s="81" t="b">
        <v>0</v>
      </c>
      <c r="AM498" s="81">
        <v>0</v>
      </c>
      <c r="AN498" s="86" t="s">
        <v>2084</v>
      </c>
      <c r="AO498" s="86" t="s">
        <v>2191</v>
      </c>
      <c r="AP498" s="81" t="b">
        <v>0</v>
      </c>
      <c r="AQ498" s="86" t="s">
        <v>1691</v>
      </c>
      <c r="AR498" s="81" t="s">
        <v>179</v>
      </c>
      <c r="AS498" s="81">
        <v>0</v>
      </c>
      <c r="AT498" s="81">
        <v>0</v>
      </c>
      <c r="AU498" s="81"/>
      <c r="AV498" s="81"/>
      <c r="AW498" s="81"/>
      <c r="AX498" s="81"/>
      <c r="AY498" s="81"/>
      <c r="AZ498" s="81"/>
      <c r="BA498" s="81"/>
      <c r="BB498" s="81"/>
    </row>
    <row r="499" spans="1:54" x14ac:dyDescent="0.35">
      <c r="A499" s="66" t="s">
        <v>373</v>
      </c>
      <c r="B499" s="66" t="s">
        <v>373</v>
      </c>
      <c r="C499" s="67"/>
      <c r="D499" s="68"/>
      <c r="E499" s="69"/>
      <c r="F499" s="70"/>
      <c r="G499" s="67"/>
      <c r="H499" s="71"/>
      <c r="I499" s="72"/>
      <c r="J499" s="72"/>
      <c r="K499" s="36"/>
      <c r="L499" s="79"/>
      <c r="M499" s="79"/>
      <c r="N499" s="74"/>
      <c r="O499" s="81" t="s">
        <v>179</v>
      </c>
      <c r="P499" s="83">
        <v>44461.250555555554</v>
      </c>
      <c r="Q499" s="81" t="s">
        <v>766</v>
      </c>
      <c r="R499" s="84" t="str">
        <f>HYPERLINK("https://www.jobsid.co/")</f>
        <v>https://www.jobsid.co/</v>
      </c>
      <c r="S499" s="81" t="s">
        <v>941</v>
      </c>
      <c r="T499" s="86" t="s">
        <v>984</v>
      </c>
      <c r="U499" s="84" t="str">
        <f>HYPERLINK("https://pbs.twimg.com/media/E_3ip5VVkAMbpoH.jpg")</f>
        <v>https://pbs.twimg.com/media/E_3ip5VVkAMbpoH.jpg</v>
      </c>
      <c r="V499" s="84" t="str">
        <f>HYPERLINK("https://pbs.twimg.com/media/E_3ip5VVkAMbpoH.jpg")</f>
        <v>https://pbs.twimg.com/media/E_3ip5VVkAMbpoH.jpg</v>
      </c>
      <c r="W499" s="83">
        <v>44461.250555555554</v>
      </c>
      <c r="X499" s="89">
        <v>44461</v>
      </c>
      <c r="Y499" s="86" t="s">
        <v>1195</v>
      </c>
      <c r="Z499" s="84" t="str">
        <f>HYPERLINK("https://twitter.com/twitlowongan/status/1440556667309936648")</f>
        <v>https://twitter.com/twitlowongan/status/1440556667309936648</v>
      </c>
      <c r="AA499" s="81"/>
      <c r="AB499" s="81"/>
      <c r="AC499" s="86" t="s">
        <v>1692</v>
      </c>
      <c r="AD499" s="81"/>
      <c r="AE499" s="81" t="b">
        <v>0</v>
      </c>
      <c r="AF499" s="81">
        <v>0</v>
      </c>
      <c r="AG499" s="86" t="s">
        <v>2084</v>
      </c>
      <c r="AH499" s="81" t="b">
        <v>0</v>
      </c>
      <c r="AI499" s="81" t="s">
        <v>2167</v>
      </c>
      <c r="AJ499" s="81"/>
      <c r="AK499" s="86" t="s">
        <v>2084</v>
      </c>
      <c r="AL499" s="81" t="b">
        <v>0</v>
      </c>
      <c r="AM499" s="81">
        <v>0</v>
      </c>
      <c r="AN499" s="86" t="s">
        <v>2084</v>
      </c>
      <c r="AO499" s="86" t="s">
        <v>2191</v>
      </c>
      <c r="AP499" s="81" t="b">
        <v>0</v>
      </c>
      <c r="AQ499" s="86" t="s">
        <v>1692</v>
      </c>
      <c r="AR499" s="81" t="s">
        <v>179</v>
      </c>
      <c r="AS499" s="81">
        <v>0</v>
      </c>
      <c r="AT499" s="81">
        <v>0</v>
      </c>
      <c r="AU499" s="81"/>
      <c r="AV499" s="81"/>
      <c r="AW499" s="81"/>
      <c r="AX499" s="81"/>
      <c r="AY499" s="81"/>
      <c r="AZ499" s="81"/>
      <c r="BA499" s="81"/>
      <c r="BB499" s="81"/>
    </row>
    <row r="500" spans="1:54" x14ac:dyDescent="0.35">
      <c r="A500" s="66" t="s">
        <v>373</v>
      </c>
      <c r="B500" s="66" t="s">
        <v>373</v>
      </c>
      <c r="C500" s="67"/>
      <c r="D500" s="68"/>
      <c r="E500" s="69"/>
      <c r="F500" s="70"/>
      <c r="G500" s="67"/>
      <c r="H500" s="71"/>
      <c r="I500" s="72"/>
      <c r="J500" s="72"/>
      <c r="K500" s="36"/>
      <c r="L500" s="79"/>
      <c r="M500" s="79"/>
      <c r="N500" s="74"/>
      <c r="O500" s="81" t="s">
        <v>179</v>
      </c>
      <c r="P500" s="83">
        <v>44462.637766203705</v>
      </c>
      <c r="Q500" s="81" t="s">
        <v>767</v>
      </c>
      <c r="R500" s="84" t="str">
        <f>HYPERLINK("https://www.jobsid.co/")</f>
        <v>https://www.jobsid.co/</v>
      </c>
      <c r="S500" s="81" t="s">
        <v>941</v>
      </c>
      <c r="T500" s="86" t="s">
        <v>984</v>
      </c>
      <c r="U500" s="84" t="str">
        <f>HYPERLINK("https://pbs.twimg.com/media/E_-r2VEVgAYTq_P.jpg")</f>
        <v>https://pbs.twimg.com/media/E_-r2VEVgAYTq_P.jpg</v>
      </c>
      <c r="V500" s="84" t="str">
        <f>HYPERLINK("https://pbs.twimg.com/media/E_-r2VEVgAYTq_P.jpg")</f>
        <v>https://pbs.twimg.com/media/E_-r2VEVgAYTq_P.jpg</v>
      </c>
      <c r="W500" s="83">
        <v>44462.637766203705</v>
      </c>
      <c r="X500" s="89">
        <v>44462</v>
      </c>
      <c r="Y500" s="86" t="s">
        <v>1196</v>
      </c>
      <c r="Z500" s="84" t="str">
        <f>HYPERLINK("https://twitter.com/twitlowongan/status/1441059376660246528")</f>
        <v>https://twitter.com/twitlowongan/status/1441059376660246528</v>
      </c>
      <c r="AA500" s="81"/>
      <c r="AB500" s="81"/>
      <c r="AC500" s="86" t="s">
        <v>1693</v>
      </c>
      <c r="AD500" s="81"/>
      <c r="AE500" s="81" t="b">
        <v>0</v>
      </c>
      <c r="AF500" s="81">
        <v>0</v>
      </c>
      <c r="AG500" s="86" t="s">
        <v>2084</v>
      </c>
      <c r="AH500" s="81" t="b">
        <v>0</v>
      </c>
      <c r="AI500" s="81" t="s">
        <v>2167</v>
      </c>
      <c r="AJ500" s="81"/>
      <c r="AK500" s="86" t="s">
        <v>2084</v>
      </c>
      <c r="AL500" s="81" t="b">
        <v>0</v>
      </c>
      <c r="AM500" s="81">
        <v>1</v>
      </c>
      <c r="AN500" s="86" t="s">
        <v>2084</v>
      </c>
      <c r="AO500" s="86" t="s">
        <v>2181</v>
      </c>
      <c r="AP500" s="81" t="b">
        <v>0</v>
      </c>
      <c r="AQ500" s="86" t="s">
        <v>1693</v>
      </c>
      <c r="AR500" s="81" t="s">
        <v>179</v>
      </c>
      <c r="AS500" s="81">
        <v>0</v>
      </c>
      <c r="AT500" s="81">
        <v>0</v>
      </c>
      <c r="AU500" s="81"/>
      <c r="AV500" s="81"/>
      <c r="AW500" s="81"/>
      <c r="AX500" s="81"/>
      <c r="AY500" s="81"/>
      <c r="AZ500" s="81"/>
      <c r="BA500" s="81"/>
      <c r="BB500" s="81"/>
    </row>
    <row r="501" spans="1:54" x14ac:dyDescent="0.35">
      <c r="A501" s="66" t="s">
        <v>374</v>
      </c>
      <c r="B501" s="66" t="s">
        <v>373</v>
      </c>
      <c r="C501" s="67"/>
      <c r="D501" s="68"/>
      <c r="E501" s="69"/>
      <c r="F501" s="70"/>
      <c r="G501" s="67"/>
      <c r="H501" s="71"/>
      <c r="I501" s="72"/>
      <c r="J501" s="72"/>
      <c r="K501" s="36"/>
      <c r="L501" s="79"/>
      <c r="M501" s="79"/>
      <c r="N501" s="74"/>
      <c r="O501" s="81" t="s">
        <v>693</v>
      </c>
      <c r="P501" s="83">
        <v>44462.657384259262</v>
      </c>
      <c r="Q501" s="81" t="s">
        <v>767</v>
      </c>
      <c r="R501" s="84" t="str">
        <f>HYPERLINK("https://www.jobsid.co/")</f>
        <v>https://www.jobsid.co/</v>
      </c>
      <c r="S501" s="81" t="s">
        <v>941</v>
      </c>
      <c r="T501" s="86" t="s">
        <v>984</v>
      </c>
      <c r="U501" s="84" t="str">
        <f>HYPERLINK("https://pbs.twimg.com/media/E_-r2VEVgAYTq_P.jpg")</f>
        <v>https://pbs.twimg.com/media/E_-r2VEVgAYTq_P.jpg</v>
      </c>
      <c r="V501" s="84" t="str">
        <f>HYPERLINK("https://pbs.twimg.com/media/E_-r2VEVgAYTq_P.jpg")</f>
        <v>https://pbs.twimg.com/media/E_-r2VEVgAYTq_P.jpg</v>
      </c>
      <c r="W501" s="83">
        <v>44462.657384259262</v>
      </c>
      <c r="X501" s="89">
        <v>44462</v>
      </c>
      <c r="Y501" s="86" t="s">
        <v>1197</v>
      </c>
      <c r="Z501" s="84" t="str">
        <f>HYPERLINK("https://twitter.com/imanhidayat85/status/1441066483547660290")</f>
        <v>https://twitter.com/imanhidayat85/status/1441066483547660290</v>
      </c>
      <c r="AA501" s="81"/>
      <c r="AB501" s="81"/>
      <c r="AC501" s="86" t="s">
        <v>1694</v>
      </c>
      <c r="AD501" s="81"/>
      <c r="AE501" s="81" t="b">
        <v>0</v>
      </c>
      <c r="AF501" s="81">
        <v>0</v>
      </c>
      <c r="AG501" s="86" t="s">
        <v>2084</v>
      </c>
      <c r="AH501" s="81" t="b">
        <v>0</v>
      </c>
      <c r="AI501" s="81" t="s">
        <v>2167</v>
      </c>
      <c r="AJ501" s="81"/>
      <c r="AK501" s="86" t="s">
        <v>2084</v>
      </c>
      <c r="AL501" s="81" t="b">
        <v>0</v>
      </c>
      <c r="AM501" s="81">
        <v>1</v>
      </c>
      <c r="AN501" s="86" t="s">
        <v>1693</v>
      </c>
      <c r="AO501" s="86" t="s">
        <v>2178</v>
      </c>
      <c r="AP501" s="81" t="b">
        <v>0</v>
      </c>
      <c r="AQ501" s="86" t="s">
        <v>1693</v>
      </c>
      <c r="AR501" s="81" t="s">
        <v>179</v>
      </c>
      <c r="AS501" s="81">
        <v>0</v>
      </c>
      <c r="AT501" s="81">
        <v>0</v>
      </c>
      <c r="AU501" s="81"/>
      <c r="AV501" s="81"/>
      <c r="AW501" s="81"/>
      <c r="AX501" s="81"/>
      <c r="AY501" s="81"/>
      <c r="AZ501" s="81"/>
      <c r="BA501" s="81"/>
      <c r="BB501" s="81"/>
    </row>
    <row r="502" spans="1:54" x14ac:dyDescent="0.35">
      <c r="A502" s="66" t="s">
        <v>375</v>
      </c>
      <c r="B502" s="66" t="s">
        <v>596</v>
      </c>
      <c r="C502" s="67"/>
      <c r="D502" s="68"/>
      <c r="E502" s="69"/>
      <c r="F502" s="70"/>
      <c r="G502" s="67"/>
      <c r="H502" s="71"/>
      <c r="I502" s="72"/>
      <c r="J502" s="72"/>
      <c r="K502" s="36"/>
      <c r="L502" s="79"/>
      <c r="M502" s="79"/>
      <c r="N502" s="74"/>
      <c r="O502" s="81" t="s">
        <v>693</v>
      </c>
      <c r="P502" s="83">
        <v>44462.660532407404</v>
      </c>
      <c r="Q502" s="81" t="s">
        <v>701</v>
      </c>
      <c r="R502" s="84" t="str">
        <f>HYPERLINK("https://api.whatsapp.com/send?phone=6281222353823")</f>
        <v>https://api.whatsapp.com/send?phone=6281222353823</v>
      </c>
      <c r="S502" s="81" t="s">
        <v>940</v>
      </c>
      <c r="T502" s="81"/>
      <c r="U502" s="84" t="str">
        <f>HYPERLINK("https://pbs.twimg.com/media/E_P_XMQWYAUXeaR.jpg")</f>
        <v>https://pbs.twimg.com/media/E_P_XMQWYAUXeaR.jpg</v>
      </c>
      <c r="V502" s="84" t="str">
        <f>HYPERLINK("https://pbs.twimg.com/media/E_P_XMQWYAUXeaR.jpg")</f>
        <v>https://pbs.twimg.com/media/E_P_XMQWYAUXeaR.jpg</v>
      </c>
      <c r="W502" s="83">
        <v>44462.660532407404</v>
      </c>
      <c r="X502" s="89">
        <v>44462</v>
      </c>
      <c r="Y502" s="86" t="s">
        <v>1198</v>
      </c>
      <c r="Z502" s="84" t="str">
        <f>HYPERLINK("https://twitter.com/dnyrstn_/status/1441067626256474115")</f>
        <v>https://twitter.com/dnyrstn_/status/1441067626256474115</v>
      </c>
      <c r="AA502" s="81"/>
      <c r="AB502" s="81"/>
      <c r="AC502" s="86" t="s">
        <v>1695</v>
      </c>
      <c r="AD502" s="81"/>
      <c r="AE502" s="81" t="b">
        <v>0</v>
      </c>
      <c r="AF502" s="81">
        <v>0</v>
      </c>
      <c r="AG502" s="86" t="s">
        <v>2084</v>
      </c>
      <c r="AH502" s="81" t="b">
        <v>0</v>
      </c>
      <c r="AI502" s="81" t="s">
        <v>2167</v>
      </c>
      <c r="AJ502" s="81"/>
      <c r="AK502" s="86" t="s">
        <v>2084</v>
      </c>
      <c r="AL502" s="81" t="b">
        <v>0</v>
      </c>
      <c r="AM502" s="81">
        <v>51</v>
      </c>
      <c r="AN502" s="86" t="s">
        <v>2005</v>
      </c>
      <c r="AO502" s="86" t="s">
        <v>2178</v>
      </c>
      <c r="AP502" s="81" t="b">
        <v>0</v>
      </c>
      <c r="AQ502" s="86" t="s">
        <v>2005</v>
      </c>
      <c r="AR502" s="81" t="s">
        <v>179</v>
      </c>
      <c r="AS502" s="81">
        <v>0</v>
      </c>
      <c r="AT502" s="81">
        <v>0</v>
      </c>
      <c r="AU502" s="81"/>
      <c r="AV502" s="81"/>
      <c r="AW502" s="81"/>
      <c r="AX502" s="81"/>
      <c r="AY502" s="81"/>
      <c r="AZ502" s="81"/>
      <c r="BA502" s="81"/>
      <c r="BB502" s="81"/>
    </row>
    <row r="503" spans="1:54" x14ac:dyDescent="0.35">
      <c r="A503" s="66" t="s">
        <v>4360</v>
      </c>
      <c r="B503" s="66" t="s">
        <v>5048</v>
      </c>
      <c r="C503" s="67"/>
      <c r="D503" s="68"/>
      <c r="E503" s="69"/>
      <c r="F503" s="70"/>
      <c r="G503" s="67"/>
      <c r="H503" s="71"/>
      <c r="I503" s="72"/>
      <c r="J503" s="72"/>
      <c r="K503" s="36"/>
      <c r="L503" s="79"/>
      <c r="M503" s="79"/>
      <c r="N503" s="74"/>
      <c r="O503" s="81" t="s">
        <v>696</v>
      </c>
      <c r="P503" s="83">
        <v>44462.663576388892</v>
      </c>
      <c r="Q503" s="81" t="s">
        <v>5381</v>
      </c>
      <c r="R503" s="81"/>
      <c r="S503" s="81"/>
      <c r="T503" s="81"/>
      <c r="U503" s="81"/>
      <c r="V503" s="84" t="str">
        <f>HYPERLINK("https://pbs.twimg.com/profile_images/487171636076896257/kN7azLDn_normal.jpeg")</f>
        <v>https://pbs.twimg.com/profile_images/487171636076896257/kN7azLDn_normal.jpeg</v>
      </c>
      <c r="W503" s="83">
        <v>44462.663576388892</v>
      </c>
      <c r="X503" s="89">
        <v>44462</v>
      </c>
      <c r="Y503" s="86" t="s">
        <v>5989</v>
      </c>
      <c r="Z503" s="84" t="str">
        <f>HYPERLINK("https://twitter.com/pt_veiga/status/1441068730180636678")</f>
        <v>https://twitter.com/pt_veiga/status/1441068730180636678</v>
      </c>
      <c r="AA503" s="81"/>
      <c r="AB503" s="81"/>
      <c r="AC503" s="86" t="s">
        <v>6892</v>
      </c>
      <c r="AD503" s="86" t="s">
        <v>7657</v>
      </c>
      <c r="AE503" s="81" t="b">
        <v>0</v>
      </c>
      <c r="AF503" s="81">
        <v>0</v>
      </c>
      <c r="AG503" s="86" t="s">
        <v>7838</v>
      </c>
      <c r="AH503" s="81" t="b">
        <v>0</v>
      </c>
      <c r="AI503" s="81" t="s">
        <v>2171</v>
      </c>
      <c r="AJ503" s="81"/>
      <c r="AK503" s="86" t="s">
        <v>2084</v>
      </c>
      <c r="AL503" s="81" t="b">
        <v>0</v>
      </c>
      <c r="AM503" s="81">
        <v>0</v>
      </c>
      <c r="AN503" s="86" t="s">
        <v>2084</v>
      </c>
      <c r="AO503" s="86" t="s">
        <v>2178</v>
      </c>
      <c r="AP503" s="81" t="b">
        <v>0</v>
      </c>
      <c r="AQ503" s="86" t="s">
        <v>7657</v>
      </c>
      <c r="AR503" s="81" t="s">
        <v>179</v>
      </c>
      <c r="AS503" s="81">
        <v>0</v>
      </c>
      <c r="AT503" s="81">
        <v>0</v>
      </c>
      <c r="AU503" s="81"/>
      <c r="AV503" s="81"/>
      <c r="AW503" s="81"/>
      <c r="AX503" s="81"/>
      <c r="AY503" s="81"/>
      <c r="AZ503" s="81"/>
      <c r="BA503" s="81"/>
      <c r="BB503" s="81"/>
    </row>
    <row r="504" spans="1:54" x14ac:dyDescent="0.35">
      <c r="A504" s="66" t="s">
        <v>4360</v>
      </c>
      <c r="B504" s="66" t="s">
        <v>5049</v>
      </c>
      <c r="C504" s="67"/>
      <c r="D504" s="68"/>
      <c r="E504" s="69"/>
      <c r="F504" s="70"/>
      <c r="G504" s="67"/>
      <c r="H504" s="71"/>
      <c r="I504" s="72"/>
      <c r="J504" s="72"/>
      <c r="K504" s="36"/>
      <c r="L504" s="79"/>
      <c r="M504" s="79"/>
      <c r="N504" s="74"/>
      <c r="O504" s="81" t="s">
        <v>695</v>
      </c>
      <c r="P504" s="83">
        <v>44462.663576388892</v>
      </c>
      <c r="Q504" s="81" t="s">
        <v>5381</v>
      </c>
      <c r="R504" s="81"/>
      <c r="S504" s="81"/>
      <c r="T504" s="81"/>
      <c r="U504" s="81"/>
      <c r="V504" s="84" t="str">
        <f>HYPERLINK("https://pbs.twimg.com/profile_images/487171636076896257/kN7azLDn_normal.jpeg")</f>
        <v>https://pbs.twimg.com/profile_images/487171636076896257/kN7azLDn_normal.jpeg</v>
      </c>
      <c r="W504" s="83">
        <v>44462.663576388892</v>
      </c>
      <c r="X504" s="89">
        <v>44462</v>
      </c>
      <c r="Y504" s="86" t="s">
        <v>5989</v>
      </c>
      <c r="Z504" s="84" t="str">
        <f>HYPERLINK("https://twitter.com/pt_veiga/status/1441068730180636678")</f>
        <v>https://twitter.com/pt_veiga/status/1441068730180636678</v>
      </c>
      <c r="AA504" s="81"/>
      <c r="AB504" s="81"/>
      <c r="AC504" s="86" t="s">
        <v>6892</v>
      </c>
      <c r="AD504" s="86" t="s">
        <v>7657</v>
      </c>
      <c r="AE504" s="81" t="b">
        <v>0</v>
      </c>
      <c r="AF504" s="81">
        <v>0</v>
      </c>
      <c r="AG504" s="86" t="s">
        <v>7838</v>
      </c>
      <c r="AH504" s="81" t="b">
        <v>0</v>
      </c>
      <c r="AI504" s="81" t="s">
        <v>2171</v>
      </c>
      <c r="AJ504" s="81"/>
      <c r="AK504" s="86" t="s">
        <v>2084</v>
      </c>
      <c r="AL504" s="81" t="b">
        <v>0</v>
      </c>
      <c r="AM504" s="81">
        <v>0</v>
      </c>
      <c r="AN504" s="86" t="s">
        <v>2084</v>
      </c>
      <c r="AO504" s="86" t="s">
        <v>2178</v>
      </c>
      <c r="AP504" s="81" t="b">
        <v>0</v>
      </c>
      <c r="AQ504" s="86" t="s">
        <v>7657</v>
      </c>
      <c r="AR504" s="81" t="s">
        <v>179</v>
      </c>
      <c r="AS504" s="81">
        <v>0</v>
      </c>
      <c r="AT504" s="81">
        <v>0</v>
      </c>
      <c r="AU504" s="81"/>
      <c r="AV504" s="81"/>
      <c r="AW504" s="81"/>
      <c r="AX504" s="81"/>
      <c r="AY504" s="81"/>
      <c r="AZ504" s="81"/>
      <c r="BA504" s="81"/>
      <c r="BB504" s="81"/>
    </row>
    <row r="505" spans="1:54" x14ac:dyDescent="0.35">
      <c r="A505" s="66" t="s">
        <v>376</v>
      </c>
      <c r="B505" s="66" t="s">
        <v>376</v>
      </c>
      <c r="C505" s="67"/>
      <c r="D505" s="68"/>
      <c r="E505" s="69"/>
      <c r="F505" s="70"/>
      <c r="G505" s="67"/>
      <c r="H505" s="71"/>
      <c r="I505" s="72"/>
      <c r="J505" s="72"/>
      <c r="K505" s="36"/>
      <c r="L505" s="79"/>
      <c r="M505" s="79"/>
      <c r="N505" s="74"/>
      <c r="O505" s="81" t="s">
        <v>179</v>
      </c>
      <c r="P505" s="83">
        <v>44462.693796296298</v>
      </c>
      <c r="Q505" s="81" t="s">
        <v>768</v>
      </c>
      <c r="R505" s="81"/>
      <c r="S505" s="81"/>
      <c r="T505" s="81"/>
      <c r="U505" s="81"/>
      <c r="V505" s="84" t="str">
        <f>HYPERLINK("https://pbs.twimg.com/profile_images/1417059285914165253/tPOTzH3W_normal.jpg")</f>
        <v>https://pbs.twimg.com/profile_images/1417059285914165253/tPOTzH3W_normal.jpg</v>
      </c>
      <c r="W505" s="83">
        <v>44462.693796296298</v>
      </c>
      <c r="X505" s="89">
        <v>44462</v>
      </c>
      <c r="Y505" s="86" t="s">
        <v>1199</v>
      </c>
      <c r="Z505" s="84" t="str">
        <f>HYPERLINK("https://twitter.com/leezxv/status/1441079682418429956")</f>
        <v>https://twitter.com/leezxv/status/1441079682418429956</v>
      </c>
      <c r="AA505" s="81"/>
      <c r="AB505" s="81"/>
      <c r="AC505" s="86" t="s">
        <v>1696</v>
      </c>
      <c r="AD505" s="81"/>
      <c r="AE505" s="81" t="b">
        <v>0</v>
      </c>
      <c r="AF505" s="81">
        <v>5</v>
      </c>
      <c r="AG505" s="86" t="s">
        <v>2084</v>
      </c>
      <c r="AH505" s="81" t="b">
        <v>0</v>
      </c>
      <c r="AI505" s="81" t="s">
        <v>2167</v>
      </c>
      <c r="AJ505" s="81"/>
      <c r="AK505" s="86" t="s">
        <v>2084</v>
      </c>
      <c r="AL505" s="81" t="b">
        <v>0</v>
      </c>
      <c r="AM505" s="81">
        <v>0</v>
      </c>
      <c r="AN505" s="86" t="s">
        <v>2084</v>
      </c>
      <c r="AO505" s="86" t="s">
        <v>2178</v>
      </c>
      <c r="AP505" s="81" t="b">
        <v>0</v>
      </c>
      <c r="AQ505" s="86" t="s">
        <v>1696</v>
      </c>
      <c r="AR505" s="81" t="s">
        <v>179</v>
      </c>
      <c r="AS505" s="81">
        <v>0</v>
      </c>
      <c r="AT505" s="81">
        <v>0</v>
      </c>
      <c r="AU505" s="81"/>
      <c r="AV505" s="81"/>
      <c r="AW505" s="81"/>
      <c r="AX505" s="81"/>
      <c r="AY505" s="81"/>
      <c r="AZ505" s="81"/>
      <c r="BA505" s="81"/>
      <c r="BB505" s="81"/>
    </row>
    <row r="506" spans="1:54" x14ac:dyDescent="0.35">
      <c r="A506" s="66" t="s">
        <v>4361</v>
      </c>
      <c r="B506" s="66" t="s">
        <v>5050</v>
      </c>
      <c r="C506" s="67"/>
      <c r="D506" s="68"/>
      <c r="E506" s="69"/>
      <c r="F506" s="70"/>
      <c r="G506" s="67"/>
      <c r="H506" s="71"/>
      <c r="I506" s="72"/>
      <c r="J506" s="72"/>
      <c r="K506" s="36"/>
      <c r="L506" s="79"/>
      <c r="M506" s="79"/>
      <c r="N506" s="74"/>
      <c r="O506" s="81" t="s">
        <v>695</v>
      </c>
      <c r="P506" s="83">
        <v>44462.726886574077</v>
      </c>
      <c r="Q506" s="81" t="s">
        <v>5382</v>
      </c>
      <c r="R506" s="81"/>
      <c r="S506" s="81"/>
      <c r="T506" s="81"/>
      <c r="U506" s="81"/>
      <c r="V506" s="84" t="str">
        <f>HYPERLINK("https://pbs.twimg.com/profile_images/1440091198962683904/hh8cIQpr_normal.jpg")</f>
        <v>https://pbs.twimg.com/profile_images/1440091198962683904/hh8cIQpr_normal.jpg</v>
      </c>
      <c r="W506" s="83">
        <v>44462.726886574077</v>
      </c>
      <c r="X506" s="89">
        <v>44462</v>
      </c>
      <c r="Y506" s="86" t="s">
        <v>5990</v>
      </c>
      <c r="Z506" s="84" t="str">
        <f>HYPERLINK("https://twitter.com/josuel_castro/status/1441091674235572231")</f>
        <v>https://twitter.com/josuel_castro/status/1441091674235572231</v>
      </c>
      <c r="AA506" s="81"/>
      <c r="AB506" s="81"/>
      <c r="AC506" s="86" t="s">
        <v>6893</v>
      </c>
      <c r="AD506" s="86" t="s">
        <v>7658</v>
      </c>
      <c r="AE506" s="81" t="b">
        <v>0</v>
      </c>
      <c r="AF506" s="81">
        <v>0</v>
      </c>
      <c r="AG506" s="86" t="s">
        <v>7839</v>
      </c>
      <c r="AH506" s="81" t="b">
        <v>0</v>
      </c>
      <c r="AI506" s="81" t="s">
        <v>2171</v>
      </c>
      <c r="AJ506" s="81"/>
      <c r="AK506" s="86" t="s">
        <v>2084</v>
      </c>
      <c r="AL506" s="81" t="b">
        <v>0</v>
      </c>
      <c r="AM506" s="81">
        <v>0</v>
      </c>
      <c r="AN506" s="86" t="s">
        <v>2084</v>
      </c>
      <c r="AO506" s="86" t="s">
        <v>2178</v>
      </c>
      <c r="AP506" s="81" t="b">
        <v>0</v>
      </c>
      <c r="AQ506" s="86" t="s">
        <v>7658</v>
      </c>
      <c r="AR506" s="81" t="s">
        <v>179</v>
      </c>
      <c r="AS506" s="81">
        <v>0</v>
      </c>
      <c r="AT506" s="81">
        <v>0</v>
      </c>
      <c r="AU506" s="81"/>
      <c r="AV506" s="81"/>
      <c r="AW506" s="81"/>
      <c r="AX506" s="81"/>
      <c r="AY506" s="81"/>
      <c r="AZ506" s="81"/>
      <c r="BA506" s="81"/>
      <c r="BB506" s="81"/>
    </row>
    <row r="507" spans="1:54" x14ac:dyDescent="0.35">
      <c r="A507" s="66" t="s">
        <v>4362</v>
      </c>
      <c r="B507" s="66" t="s">
        <v>4362</v>
      </c>
      <c r="C507" s="67"/>
      <c r="D507" s="68"/>
      <c r="E507" s="69"/>
      <c r="F507" s="70"/>
      <c r="G507" s="67"/>
      <c r="H507" s="71"/>
      <c r="I507" s="72"/>
      <c r="J507" s="72"/>
      <c r="K507" s="36"/>
      <c r="L507" s="79"/>
      <c r="M507" s="79"/>
      <c r="N507" s="74"/>
      <c r="O507" s="81" t="s">
        <v>179</v>
      </c>
      <c r="P507" s="83">
        <v>44462.78230324074</v>
      </c>
      <c r="Q507" s="81" t="s">
        <v>5383</v>
      </c>
      <c r="R507" s="81"/>
      <c r="S507" s="81"/>
      <c r="T507" s="81"/>
      <c r="U507" s="81"/>
      <c r="V507" s="84" t="str">
        <f>HYPERLINK("https://pbs.twimg.com/profile_images/1437720985399033861/IzCe_ky8_normal.jpg")</f>
        <v>https://pbs.twimg.com/profile_images/1437720985399033861/IzCe_ky8_normal.jpg</v>
      </c>
      <c r="W507" s="83">
        <v>44462.78230324074</v>
      </c>
      <c r="X507" s="89">
        <v>44462</v>
      </c>
      <c r="Y507" s="86" t="s">
        <v>5991</v>
      </c>
      <c r="Z507" s="84" t="str">
        <f>HYPERLINK("https://twitter.com/alyashahsuhaimi/status/1441111754616967174")</f>
        <v>https://twitter.com/alyashahsuhaimi/status/1441111754616967174</v>
      </c>
      <c r="AA507" s="81"/>
      <c r="AB507" s="81"/>
      <c r="AC507" s="86" t="s">
        <v>6894</v>
      </c>
      <c r="AD507" s="81"/>
      <c r="AE507" s="81" t="b">
        <v>0</v>
      </c>
      <c r="AF507" s="81">
        <v>0</v>
      </c>
      <c r="AG507" s="86" t="s">
        <v>2084</v>
      </c>
      <c r="AH507" s="81" t="b">
        <v>0</v>
      </c>
      <c r="AI507" s="81" t="s">
        <v>2168</v>
      </c>
      <c r="AJ507" s="81"/>
      <c r="AK507" s="86" t="s">
        <v>2084</v>
      </c>
      <c r="AL507" s="81" t="b">
        <v>0</v>
      </c>
      <c r="AM507" s="81">
        <v>0</v>
      </c>
      <c r="AN507" s="86" t="s">
        <v>2084</v>
      </c>
      <c r="AO507" s="86" t="s">
        <v>2179</v>
      </c>
      <c r="AP507" s="81" t="b">
        <v>0</v>
      </c>
      <c r="AQ507" s="86" t="s">
        <v>6894</v>
      </c>
      <c r="AR507" s="81" t="s">
        <v>179</v>
      </c>
      <c r="AS507" s="81">
        <v>0</v>
      </c>
      <c r="AT507" s="81">
        <v>0</v>
      </c>
      <c r="AU507" s="81"/>
      <c r="AV507" s="81"/>
      <c r="AW507" s="81"/>
      <c r="AX507" s="81"/>
      <c r="AY507" s="81"/>
      <c r="AZ507" s="81"/>
      <c r="BA507" s="81"/>
      <c r="BB507" s="81"/>
    </row>
    <row r="508" spans="1:54" x14ac:dyDescent="0.35">
      <c r="A508" s="66" t="s">
        <v>4363</v>
      </c>
      <c r="B508" s="66" t="s">
        <v>5000</v>
      </c>
      <c r="C508" s="67"/>
      <c r="D508" s="68"/>
      <c r="E508" s="69"/>
      <c r="F508" s="70"/>
      <c r="G508" s="67"/>
      <c r="H508" s="71"/>
      <c r="I508" s="72"/>
      <c r="J508" s="72"/>
      <c r="K508" s="36"/>
      <c r="L508" s="79"/>
      <c r="M508" s="79"/>
      <c r="N508" s="74"/>
      <c r="O508" s="81" t="s">
        <v>694</v>
      </c>
      <c r="P508" s="83">
        <v>44460.559548611112</v>
      </c>
      <c r="Q508" s="81" t="s">
        <v>5305</v>
      </c>
      <c r="R508" s="81" t="s">
        <v>5676</v>
      </c>
      <c r="S508" s="81" t="s">
        <v>5699</v>
      </c>
      <c r="T508" s="81"/>
      <c r="U508" s="81"/>
      <c r="V508" s="84" t="str">
        <f>HYPERLINK("https://pbs.twimg.com/profile_images/1393251887571509251/s5-shUJ9_normal.jpg")</f>
        <v>https://pbs.twimg.com/profile_images/1393251887571509251/s5-shUJ9_normal.jpg</v>
      </c>
      <c r="W508" s="83">
        <v>44460.559548611112</v>
      </c>
      <c r="X508" s="89">
        <v>44460</v>
      </c>
      <c r="Y508" s="86" t="s">
        <v>5992</v>
      </c>
      <c r="Z508" s="84" t="str">
        <f>HYPERLINK("https://twitter.com/botufba/status/1440306254627307531")</f>
        <v>https://twitter.com/botufba/status/1440306254627307531</v>
      </c>
      <c r="AA508" s="81"/>
      <c r="AB508" s="81"/>
      <c r="AC508" s="86" t="s">
        <v>6895</v>
      </c>
      <c r="AD508" s="81"/>
      <c r="AE508" s="81" t="b">
        <v>0</v>
      </c>
      <c r="AF508" s="81">
        <v>0</v>
      </c>
      <c r="AG508" s="86" t="s">
        <v>2084</v>
      </c>
      <c r="AH508" s="81" t="b">
        <v>0</v>
      </c>
      <c r="AI508" s="81" t="s">
        <v>2171</v>
      </c>
      <c r="AJ508" s="81"/>
      <c r="AK508" s="86" t="s">
        <v>2084</v>
      </c>
      <c r="AL508" s="81" t="b">
        <v>0</v>
      </c>
      <c r="AM508" s="81">
        <v>8</v>
      </c>
      <c r="AN508" s="86" t="s">
        <v>6942</v>
      </c>
      <c r="AO508" s="86" t="s">
        <v>4363</v>
      </c>
      <c r="AP508" s="81" t="b">
        <v>0</v>
      </c>
      <c r="AQ508" s="86" t="s">
        <v>6942</v>
      </c>
      <c r="AR508" s="81" t="s">
        <v>179</v>
      </c>
      <c r="AS508" s="81">
        <v>0</v>
      </c>
      <c r="AT508" s="81">
        <v>0</v>
      </c>
      <c r="AU508" s="81"/>
      <c r="AV508" s="81"/>
      <c r="AW508" s="81"/>
      <c r="AX508" s="81"/>
      <c r="AY508" s="81"/>
      <c r="AZ508" s="81"/>
      <c r="BA508" s="81"/>
      <c r="BB508" s="81"/>
    </row>
    <row r="509" spans="1:54" x14ac:dyDescent="0.35">
      <c r="A509" s="66" t="s">
        <v>4363</v>
      </c>
      <c r="B509" s="66" t="s">
        <v>5001</v>
      </c>
      <c r="C509" s="67"/>
      <c r="D509" s="68"/>
      <c r="E509" s="69"/>
      <c r="F509" s="70"/>
      <c r="G509" s="67"/>
      <c r="H509" s="71"/>
      <c r="I509" s="72"/>
      <c r="J509" s="72"/>
      <c r="K509" s="36"/>
      <c r="L509" s="79"/>
      <c r="M509" s="79"/>
      <c r="N509" s="74"/>
      <c r="O509" s="81" t="s">
        <v>694</v>
      </c>
      <c r="P509" s="83">
        <v>44460.559548611112</v>
      </c>
      <c r="Q509" s="81" t="s">
        <v>5305</v>
      </c>
      <c r="R509" s="81" t="s">
        <v>5676</v>
      </c>
      <c r="S509" s="81" t="s">
        <v>5699</v>
      </c>
      <c r="T509" s="81"/>
      <c r="U509" s="81"/>
      <c r="V509" s="84" t="str">
        <f>HYPERLINK("https://pbs.twimg.com/profile_images/1393251887571509251/s5-shUJ9_normal.jpg")</f>
        <v>https://pbs.twimg.com/profile_images/1393251887571509251/s5-shUJ9_normal.jpg</v>
      </c>
      <c r="W509" s="83">
        <v>44460.559548611112</v>
      </c>
      <c r="X509" s="89">
        <v>44460</v>
      </c>
      <c r="Y509" s="86" t="s">
        <v>5992</v>
      </c>
      <c r="Z509" s="84" t="str">
        <f>HYPERLINK("https://twitter.com/botufba/status/1440306254627307531")</f>
        <v>https://twitter.com/botufba/status/1440306254627307531</v>
      </c>
      <c r="AA509" s="81"/>
      <c r="AB509" s="81"/>
      <c r="AC509" s="86" t="s">
        <v>6895</v>
      </c>
      <c r="AD509" s="81"/>
      <c r="AE509" s="81" t="b">
        <v>0</v>
      </c>
      <c r="AF509" s="81">
        <v>0</v>
      </c>
      <c r="AG509" s="86" t="s">
        <v>2084</v>
      </c>
      <c r="AH509" s="81" t="b">
        <v>0</v>
      </c>
      <c r="AI509" s="81" t="s">
        <v>2171</v>
      </c>
      <c r="AJ509" s="81"/>
      <c r="AK509" s="86" t="s">
        <v>2084</v>
      </c>
      <c r="AL509" s="81" t="b">
        <v>0</v>
      </c>
      <c r="AM509" s="81">
        <v>8</v>
      </c>
      <c r="AN509" s="86" t="s">
        <v>6942</v>
      </c>
      <c r="AO509" s="86" t="s">
        <v>4363</v>
      </c>
      <c r="AP509" s="81" t="b">
        <v>0</v>
      </c>
      <c r="AQ509" s="86" t="s">
        <v>6942</v>
      </c>
      <c r="AR509" s="81" t="s">
        <v>179</v>
      </c>
      <c r="AS509" s="81">
        <v>0</v>
      </c>
      <c r="AT509" s="81">
        <v>0</v>
      </c>
      <c r="AU509" s="81"/>
      <c r="AV509" s="81"/>
      <c r="AW509" s="81"/>
      <c r="AX509" s="81"/>
      <c r="AY509" s="81"/>
      <c r="AZ509" s="81"/>
      <c r="BA509" s="81"/>
      <c r="BB509" s="81"/>
    </row>
    <row r="510" spans="1:54" x14ac:dyDescent="0.35">
      <c r="A510" s="66" t="s">
        <v>4363</v>
      </c>
      <c r="B510" s="66" t="s">
        <v>4406</v>
      </c>
      <c r="C510" s="67"/>
      <c r="D510" s="68"/>
      <c r="E510" s="69"/>
      <c r="F510" s="70"/>
      <c r="G510" s="67"/>
      <c r="H510" s="71"/>
      <c r="I510" s="72"/>
      <c r="J510" s="72"/>
      <c r="K510" s="36"/>
      <c r="L510" s="79"/>
      <c r="M510" s="79"/>
      <c r="N510" s="74"/>
      <c r="O510" s="81" t="s">
        <v>694</v>
      </c>
      <c r="P510" s="83">
        <v>44460.559548611112</v>
      </c>
      <c r="Q510" s="81" t="s">
        <v>5305</v>
      </c>
      <c r="R510" s="81" t="s">
        <v>5676</v>
      </c>
      <c r="S510" s="81" t="s">
        <v>5699</v>
      </c>
      <c r="T510" s="81"/>
      <c r="U510" s="81"/>
      <c r="V510" s="84" t="str">
        <f>HYPERLINK("https://pbs.twimg.com/profile_images/1393251887571509251/s5-shUJ9_normal.jpg")</f>
        <v>https://pbs.twimg.com/profile_images/1393251887571509251/s5-shUJ9_normal.jpg</v>
      </c>
      <c r="W510" s="83">
        <v>44460.559548611112</v>
      </c>
      <c r="X510" s="89">
        <v>44460</v>
      </c>
      <c r="Y510" s="86" t="s">
        <v>5992</v>
      </c>
      <c r="Z510" s="84" t="str">
        <f>HYPERLINK("https://twitter.com/botufba/status/1440306254627307531")</f>
        <v>https://twitter.com/botufba/status/1440306254627307531</v>
      </c>
      <c r="AA510" s="81"/>
      <c r="AB510" s="81"/>
      <c r="AC510" s="86" t="s">
        <v>6895</v>
      </c>
      <c r="AD510" s="81"/>
      <c r="AE510" s="81" t="b">
        <v>0</v>
      </c>
      <c r="AF510" s="81">
        <v>0</v>
      </c>
      <c r="AG510" s="86" t="s">
        <v>2084</v>
      </c>
      <c r="AH510" s="81" t="b">
        <v>0</v>
      </c>
      <c r="AI510" s="81" t="s">
        <v>2171</v>
      </c>
      <c r="AJ510" s="81"/>
      <c r="AK510" s="86" t="s">
        <v>2084</v>
      </c>
      <c r="AL510" s="81" t="b">
        <v>0</v>
      </c>
      <c r="AM510" s="81">
        <v>8</v>
      </c>
      <c r="AN510" s="86" t="s">
        <v>6942</v>
      </c>
      <c r="AO510" s="86" t="s">
        <v>4363</v>
      </c>
      <c r="AP510" s="81" t="b">
        <v>0</v>
      </c>
      <c r="AQ510" s="86" t="s">
        <v>6942</v>
      </c>
      <c r="AR510" s="81" t="s">
        <v>179</v>
      </c>
      <c r="AS510" s="81">
        <v>0</v>
      </c>
      <c r="AT510" s="81">
        <v>0</v>
      </c>
      <c r="AU510" s="81"/>
      <c r="AV510" s="81"/>
      <c r="AW510" s="81"/>
      <c r="AX510" s="81"/>
      <c r="AY510" s="81"/>
      <c r="AZ510" s="81"/>
      <c r="BA510" s="81"/>
      <c r="BB510" s="81"/>
    </row>
    <row r="511" spans="1:54" x14ac:dyDescent="0.35">
      <c r="A511" s="66" t="s">
        <v>4363</v>
      </c>
      <c r="B511" s="66" t="s">
        <v>5002</v>
      </c>
      <c r="C511" s="67"/>
      <c r="D511" s="68"/>
      <c r="E511" s="69"/>
      <c r="F511" s="70"/>
      <c r="G511" s="67"/>
      <c r="H511" s="71"/>
      <c r="I511" s="72"/>
      <c r="J511" s="72"/>
      <c r="K511" s="36"/>
      <c r="L511" s="79"/>
      <c r="M511" s="79"/>
      <c r="N511" s="74"/>
      <c r="O511" s="81" t="s">
        <v>694</v>
      </c>
      <c r="P511" s="83">
        <v>44460.559548611112</v>
      </c>
      <c r="Q511" s="81" t="s">
        <v>5305</v>
      </c>
      <c r="R511" s="81" t="s">
        <v>5676</v>
      </c>
      <c r="S511" s="81" t="s">
        <v>5699</v>
      </c>
      <c r="T511" s="81"/>
      <c r="U511" s="81"/>
      <c r="V511" s="84" t="str">
        <f>HYPERLINK("https://pbs.twimg.com/profile_images/1393251887571509251/s5-shUJ9_normal.jpg")</f>
        <v>https://pbs.twimg.com/profile_images/1393251887571509251/s5-shUJ9_normal.jpg</v>
      </c>
      <c r="W511" s="83">
        <v>44460.559548611112</v>
      </c>
      <c r="X511" s="89">
        <v>44460</v>
      </c>
      <c r="Y511" s="86" t="s">
        <v>5992</v>
      </c>
      <c r="Z511" s="84" t="str">
        <f>HYPERLINK("https://twitter.com/botufba/status/1440306254627307531")</f>
        <v>https://twitter.com/botufba/status/1440306254627307531</v>
      </c>
      <c r="AA511" s="81"/>
      <c r="AB511" s="81"/>
      <c r="AC511" s="86" t="s">
        <v>6895</v>
      </c>
      <c r="AD511" s="81"/>
      <c r="AE511" s="81" t="b">
        <v>0</v>
      </c>
      <c r="AF511" s="81">
        <v>0</v>
      </c>
      <c r="AG511" s="86" t="s">
        <v>2084</v>
      </c>
      <c r="AH511" s="81" t="b">
        <v>0</v>
      </c>
      <c r="AI511" s="81" t="s">
        <v>2171</v>
      </c>
      <c r="AJ511" s="81"/>
      <c r="AK511" s="86" t="s">
        <v>2084</v>
      </c>
      <c r="AL511" s="81" t="b">
        <v>0</v>
      </c>
      <c r="AM511" s="81">
        <v>8</v>
      </c>
      <c r="AN511" s="86" t="s">
        <v>6942</v>
      </c>
      <c r="AO511" s="86" t="s">
        <v>4363</v>
      </c>
      <c r="AP511" s="81" t="b">
        <v>0</v>
      </c>
      <c r="AQ511" s="86" t="s">
        <v>6942</v>
      </c>
      <c r="AR511" s="81" t="s">
        <v>179</v>
      </c>
      <c r="AS511" s="81">
        <v>0</v>
      </c>
      <c r="AT511" s="81">
        <v>0</v>
      </c>
      <c r="AU511" s="81"/>
      <c r="AV511" s="81"/>
      <c r="AW511" s="81"/>
      <c r="AX511" s="81"/>
      <c r="AY511" s="81"/>
      <c r="AZ511" s="81"/>
      <c r="BA511" s="81"/>
      <c r="BB511" s="81"/>
    </row>
    <row r="512" spans="1:54" x14ac:dyDescent="0.35">
      <c r="A512" s="66" t="s">
        <v>4363</v>
      </c>
      <c r="B512" s="66" t="s">
        <v>4407</v>
      </c>
      <c r="C512" s="67"/>
      <c r="D512" s="68"/>
      <c r="E512" s="69"/>
      <c r="F512" s="70"/>
      <c r="G512" s="67"/>
      <c r="H512" s="71"/>
      <c r="I512" s="72"/>
      <c r="J512" s="72"/>
      <c r="K512" s="36"/>
      <c r="L512" s="79"/>
      <c r="M512" s="79"/>
      <c r="N512" s="74"/>
      <c r="O512" s="81" t="s">
        <v>694</v>
      </c>
      <c r="P512" s="83">
        <v>44460.559548611112</v>
      </c>
      <c r="Q512" s="81" t="s">
        <v>5305</v>
      </c>
      <c r="R512" s="81" t="s">
        <v>5676</v>
      </c>
      <c r="S512" s="81" t="s">
        <v>5699</v>
      </c>
      <c r="T512" s="81"/>
      <c r="U512" s="81"/>
      <c r="V512" s="84" t="str">
        <f>HYPERLINK("https://pbs.twimg.com/profile_images/1393251887571509251/s5-shUJ9_normal.jpg")</f>
        <v>https://pbs.twimg.com/profile_images/1393251887571509251/s5-shUJ9_normal.jpg</v>
      </c>
      <c r="W512" s="83">
        <v>44460.559548611112</v>
      </c>
      <c r="X512" s="89">
        <v>44460</v>
      </c>
      <c r="Y512" s="86" t="s">
        <v>5992</v>
      </c>
      <c r="Z512" s="84" t="str">
        <f>HYPERLINK("https://twitter.com/botufba/status/1440306254627307531")</f>
        <v>https://twitter.com/botufba/status/1440306254627307531</v>
      </c>
      <c r="AA512" s="81"/>
      <c r="AB512" s="81"/>
      <c r="AC512" s="86" t="s">
        <v>6895</v>
      </c>
      <c r="AD512" s="81"/>
      <c r="AE512" s="81" t="b">
        <v>0</v>
      </c>
      <c r="AF512" s="81">
        <v>0</v>
      </c>
      <c r="AG512" s="86" t="s">
        <v>2084</v>
      </c>
      <c r="AH512" s="81" t="b">
        <v>0</v>
      </c>
      <c r="AI512" s="81" t="s">
        <v>2171</v>
      </c>
      <c r="AJ512" s="81"/>
      <c r="AK512" s="86" t="s">
        <v>2084</v>
      </c>
      <c r="AL512" s="81" t="b">
        <v>0</v>
      </c>
      <c r="AM512" s="81">
        <v>8</v>
      </c>
      <c r="AN512" s="86" t="s">
        <v>6942</v>
      </c>
      <c r="AO512" s="86" t="s">
        <v>4363</v>
      </c>
      <c r="AP512" s="81" t="b">
        <v>0</v>
      </c>
      <c r="AQ512" s="86" t="s">
        <v>6942</v>
      </c>
      <c r="AR512" s="81" t="s">
        <v>179</v>
      </c>
      <c r="AS512" s="81">
        <v>0</v>
      </c>
      <c r="AT512" s="81">
        <v>0</v>
      </c>
      <c r="AU512" s="81"/>
      <c r="AV512" s="81"/>
      <c r="AW512" s="81"/>
      <c r="AX512" s="81"/>
      <c r="AY512" s="81"/>
      <c r="AZ512" s="81"/>
      <c r="BA512" s="81"/>
      <c r="BB512" s="81"/>
    </row>
    <row r="513" spans="1:54" x14ac:dyDescent="0.35">
      <c r="A513" s="66" t="s">
        <v>4363</v>
      </c>
      <c r="B513" s="66" t="s">
        <v>4405</v>
      </c>
      <c r="C513" s="67"/>
      <c r="D513" s="68"/>
      <c r="E513" s="69"/>
      <c r="F513" s="70"/>
      <c r="G513" s="67"/>
      <c r="H513" s="71"/>
      <c r="I513" s="72"/>
      <c r="J513" s="72"/>
      <c r="K513" s="36"/>
      <c r="L513" s="79"/>
      <c r="M513" s="79"/>
      <c r="N513" s="74"/>
      <c r="O513" s="81" t="s">
        <v>693</v>
      </c>
      <c r="P513" s="83">
        <v>44460.559548611112</v>
      </c>
      <c r="Q513" s="81" t="s">
        <v>5305</v>
      </c>
      <c r="R513" s="81" t="s">
        <v>5676</v>
      </c>
      <c r="S513" s="81" t="s">
        <v>5699</v>
      </c>
      <c r="T513" s="81"/>
      <c r="U513" s="81"/>
      <c r="V513" s="84" t="str">
        <f>HYPERLINK("https://pbs.twimg.com/profile_images/1393251887571509251/s5-shUJ9_normal.jpg")</f>
        <v>https://pbs.twimg.com/profile_images/1393251887571509251/s5-shUJ9_normal.jpg</v>
      </c>
      <c r="W513" s="83">
        <v>44460.559548611112</v>
      </c>
      <c r="X513" s="89">
        <v>44460</v>
      </c>
      <c r="Y513" s="86" t="s">
        <v>5992</v>
      </c>
      <c r="Z513" s="84" t="str">
        <f>HYPERLINK("https://twitter.com/botufba/status/1440306254627307531")</f>
        <v>https://twitter.com/botufba/status/1440306254627307531</v>
      </c>
      <c r="AA513" s="81"/>
      <c r="AB513" s="81"/>
      <c r="AC513" s="86" t="s">
        <v>6895</v>
      </c>
      <c r="AD513" s="81"/>
      <c r="AE513" s="81" t="b">
        <v>0</v>
      </c>
      <c r="AF513" s="81">
        <v>0</v>
      </c>
      <c r="AG513" s="86" t="s">
        <v>2084</v>
      </c>
      <c r="AH513" s="81" t="b">
        <v>0</v>
      </c>
      <c r="AI513" s="81" t="s">
        <v>2171</v>
      </c>
      <c r="AJ513" s="81"/>
      <c r="AK513" s="86" t="s">
        <v>2084</v>
      </c>
      <c r="AL513" s="81" t="b">
        <v>0</v>
      </c>
      <c r="AM513" s="81">
        <v>8</v>
      </c>
      <c r="AN513" s="86" t="s">
        <v>6942</v>
      </c>
      <c r="AO513" s="86" t="s">
        <v>4363</v>
      </c>
      <c r="AP513" s="81" t="b">
        <v>0</v>
      </c>
      <c r="AQ513" s="86" t="s">
        <v>6942</v>
      </c>
      <c r="AR513" s="81" t="s">
        <v>179</v>
      </c>
      <c r="AS513" s="81">
        <v>0</v>
      </c>
      <c r="AT513" s="81">
        <v>0</v>
      </c>
      <c r="AU513" s="81"/>
      <c r="AV513" s="81"/>
      <c r="AW513" s="81"/>
      <c r="AX513" s="81"/>
      <c r="AY513" s="81"/>
      <c r="AZ513" s="81"/>
      <c r="BA513" s="81"/>
      <c r="BB513" s="81"/>
    </row>
    <row r="514" spans="1:54" x14ac:dyDescent="0.35">
      <c r="A514" s="66" t="s">
        <v>4363</v>
      </c>
      <c r="B514" s="66" t="s">
        <v>4378</v>
      </c>
      <c r="C514" s="67"/>
      <c r="D514" s="68"/>
      <c r="E514" s="69"/>
      <c r="F514" s="70"/>
      <c r="G514" s="67"/>
      <c r="H514" s="71"/>
      <c r="I514" s="72"/>
      <c r="J514" s="72"/>
      <c r="K514" s="36"/>
      <c r="L514" s="79"/>
      <c r="M514" s="79"/>
      <c r="N514" s="74"/>
      <c r="O514" s="81" t="s">
        <v>693</v>
      </c>
      <c r="P514" s="83">
        <v>44462.794571759259</v>
      </c>
      <c r="Q514" s="81" t="s">
        <v>5384</v>
      </c>
      <c r="R514" s="84" t="str">
        <f>HYPERLINK("http://www.ppgneim.ffch.ufba.br/pt-br/ppgneim-2022-processo-seletivo-para-aluna-regular-do-mestrado-academico-e-doutorado-2022")</f>
        <v>http://www.ppgneim.ffch.ufba.br/pt-br/ppgneim-2022-processo-seletivo-para-aluna-regular-do-mestrado-academico-e-doutorado-2022</v>
      </c>
      <c r="S514" s="81" t="s">
        <v>5716</v>
      </c>
      <c r="T514" s="81"/>
      <c r="U514" s="81"/>
      <c r="V514" s="84" t="str">
        <f>HYPERLINK("https://pbs.twimg.com/profile_images/1393251887571509251/s5-shUJ9_normal.jpg")</f>
        <v>https://pbs.twimg.com/profile_images/1393251887571509251/s5-shUJ9_normal.jpg</v>
      </c>
      <c r="W514" s="83">
        <v>44462.794571759259</v>
      </c>
      <c r="X514" s="89">
        <v>44462</v>
      </c>
      <c r="Y514" s="86" t="s">
        <v>5993</v>
      </c>
      <c r="Z514" s="84" t="str">
        <f>HYPERLINK("https://twitter.com/botufba/status/1441116200000393220")</f>
        <v>https://twitter.com/botufba/status/1441116200000393220</v>
      </c>
      <c r="AA514" s="81"/>
      <c r="AB514" s="81"/>
      <c r="AC514" s="86" t="s">
        <v>6896</v>
      </c>
      <c r="AD514" s="81"/>
      <c r="AE514" s="81" t="b">
        <v>0</v>
      </c>
      <c r="AF514" s="81">
        <v>0</v>
      </c>
      <c r="AG514" s="86" t="s">
        <v>2084</v>
      </c>
      <c r="AH514" s="81" t="b">
        <v>0</v>
      </c>
      <c r="AI514" s="81" t="s">
        <v>2171</v>
      </c>
      <c r="AJ514" s="81"/>
      <c r="AK514" s="86" t="s">
        <v>2084</v>
      </c>
      <c r="AL514" s="81" t="b">
        <v>0</v>
      </c>
      <c r="AM514" s="81">
        <v>13</v>
      </c>
      <c r="AN514" s="86" t="s">
        <v>6912</v>
      </c>
      <c r="AO514" s="86" t="s">
        <v>4363</v>
      </c>
      <c r="AP514" s="81" t="b">
        <v>0</v>
      </c>
      <c r="AQ514" s="86" t="s">
        <v>6912</v>
      </c>
      <c r="AR514" s="81" t="s">
        <v>179</v>
      </c>
      <c r="AS514" s="81">
        <v>0</v>
      </c>
      <c r="AT514" s="81">
        <v>0</v>
      </c>
      <c r="AU514" s="81"/>
      <c r="AV514" s="81"/>
      <c r="AW514" s="81"/>
      <c r="AX514" s="81"/>
      <c r="AY514" s="81"/>
      <c r="AZ514" s="81"/>
      <c r="BA514" s="81"/>
      <c r="BB514" s="81"/>
    </row>
    <row r="515" spans="1:54" x14ac:dyDescent="0.35">
      <c r="A515" s="66" t="s">
        <v>4364</v>
      </c>
      <c r="B515" s="66" t="s">
        <v>4378</v>
      </c>
      <c r="C515" s="67"/>
      <c r="D515" s="68"/>
      <c r="E515" s="69"/>
      <c r="F515" s="70"/>
      <c r="G515" s="67"/>
      <c r="H515" s="71"/>
      <c r="I515" s="72"/>
      <c r="J515" s="72"/>
      <c r="K515" s="36"/>
      <c r="L515" s="79"/>
      <c r="M515" s="79"/>
      <c r="N515" s="74"/>
      <c r="O515" s="81" t="s">
        <v>693</v>
      </c>
      <c r="P515" s="83">
        <v>44462.795428240737</v>
      </c>
      <c r="Q515" s="81" t="s">
        <v>5384</v>
      </c>
      <c r="R515" s="84" t="str">
        <f>HYPERLINK("http://www.ppgneim.ffch.ufba.br/pt-br/ppgneim-2022-processo-seletivo-para-aluna-regular-do-mestrado-academico-e-doutorado-2022")</f>
        <v>http://www.ppgneim.ffch.ufba.br/pt-br/ppgneim-2022-processo-seletivo-para-aluna-regular-do-mestrado-academico-e-doutorado-2022</v>
      </c>
      <c r="S515" s="81" t="s">
        <v>5716</v>
      </c>
      <c r="T515" s="81"/>
      <c r="U515" s="81"/>
      <c r="V515" s="84" t="str">
        <f>HYPERLINK("https://pbs.twimg.com/profile_images/1376758297244618754/RVoYG46U_normal.jpg")</f>
        <v>https://pbs.twimg.com/profile_images/1376758297244618754/RVoYG46U_normal.jpg</v>
      </c>
      <c r="W515" s="83">
        <v>44462.795428240737</v>
      </c>
      <c r="X515" s="89">
        <v>44462</v>
      </c>
      <c r="Y515" s="86" t="s">
        <v>5994</v>
      </c>
      <c r="Z515" s="84" t="str">
        <f>HYPERLINK("https://twitter.com/lucianahn/status/1441116512849260552")</f>
        <v>https://twitter.com/lucianahn/status/1441116512849260552</v>
      </c>
      <c r="AA515" s="81"/>
      <c r="AB515" s="81"/>
      <c r="AC515" s="86" t="s">
        <v>6897</v>
      </c>
      <c r="AD515" s="81"/>
      <c r="AE515" s="81" t="b">
        <v>0</v>
      </c>
      <c r="AF515" s="81">
        <v>0</v>
      </c>
      <c r="AG515" s="86" t="s">
        <v>2084</v>
      </c>
      <c r="AH515" s="81" t="b">
        <v>0</v>
      </c>
      <c r="AI515" s="81" t="s">
        <v>2171</v>
      </c>
      <c r="AJ515" s="81"/>
      <c r="AK515" s="86" t="s">
        <v>2084</v>
      </c>
      <c r="AL515" s="81" t="b">
        <v>0</v>
      </c>
      <c r="AM515" s="81">
        <v>13</v>
      </c>
      <c r="AN515" s="86" t="s">
        <v>6912</v>
      </c>
      <c r="AO515" s="86" t="s">
        <v>2181</v>
      </c>
      <c r="AP515" s="81" t="b">
        <v>0</v>
      </c>
      <c r="AQ515" s="86" t="s">
        <v>6912</v>
      </c>
      <c r="AR515" s="81" t="s">
        <v>179</v>
      </c>
      <c r="AS515" s="81">
        <v>0</v>
      </c>
      <c r="AT515" s="81">
        <v>0</v>
      </c>
      <c r="AU515" s="81"/>
      <c r="AV515" s="81"/>
      <c r="AW515" s="81"/>
      <c r="AX515" s="81"/>
      <c r="AY515" s="81"/>
      <c r="AZ515" s="81"/>
      <c r="BA515" s="81"/>
      <c r="BB515" s="81"/>
    </row>
    <row r="516" spans="1:54" x14ac:dyDescent="0.35">
      <c r="A516" s="66" t="s">
        <v>4365</v>
      </c>
      <c r="B516" s="66" t="s">
        <v>4378</v>
      </c>
      <c r="C516" s="67"/>
      <c r="D516" s="68"/>
      <c r="E516" s="69"/>
      <c r="F516" s="70"/>
      <c r="G516" s="67"/>
      <c r="H516" s="71"/>
      <c r="I516" s="72"/>
      <c r="J516" s="72"/>
      <c r="K516" s="36"/>
      <c r="L516" s="79"/>
      <c r="M516" s="79"/>
      <c r="N516" s="74"/>
      <c r="O516" s="81" t="s">
        <v>693</v>
      </c>
      <c r="P516" s="83">
        <v>44462.797534722224</v>
      </c>
      <c r="Q516" s="81" t="s">
        <v>5384</v>
      </c>
      <c r="R516" s="84" t="str">
        <f>HYPERLINK("http://www.ppgneim.ffch.ufba.br/pt-br/ppgneim-2022-processo-seletivo-para-aluna-regular-do-mestrado-academico-e-doutorado-2022")</f>
        <v>http://www.ppgneim.ffch.ufba.br/pt-br/ppgneim-2022-processo-seletivo-para-aluna-regular-do-mestrado-academico-e-doutorado-2022</v>
      </c>
      <c r="S516" s="81" t="s">
        <v>5716</v>
      </c>
      <c r="T516" s="81"/>
      <c r="U516" s="81"/>
      <c r="V516" s="84" t="str">
        <f>HYPERLINK("https://pbs.twimg.com/profile_images/1369798286450843655/PknPErmE_normal.jpg")</f>
        <v>https://pbs.twimg.com/profile_images/1369798286450843655/PknPErmE_normal.jpg</v>
      </c>
      <c r="W516" s="83">
        <v>44462.797534722224</v>
      </c>
      <c r="X516" s="89">
        <v>44462</v>
      </c>
      <c r="Y516" s="86" t="s">
        <v>5995</v>
      </c>
      <c r="Z516" s="84" t="str">
        <f>HYPERLINK("https://twitter.com/araujombarbara/status/1441117275516387333")</f>
        <v>https://twitter.com/araujombarbara/status/1441117275516387333</v>
      </c>
      <c r="AA516" s="81"/>
      <c r="AB516" s="81"/>
      <c r="AC516" s="86" t="s">
        <v>6898</v>
      </c>
      <c r="AD516" s="81"/>
      <c r="AE516" s="81" t="b">
        <v>0</v>
      </c>
      <c r="AF516" s="81">
        <v>0</v>
      </c>
      <c r="AG516" s="86" t="s">
        <v>2084</v>
      </c>
      <c r="AH516" s="81" t="b">
        <v>0</v>
      </c>
      <c r="AI516" s="81" t="s">
        <v>2171</v>
      </c>
      <c r="AJ516" s="81"/>
      <c r="AK516" s="86" t="s">
        <v>2084</v>
      </c>
      <c r="AL516" s="81" t="b">
        <v>0</v>
      </c>
      <c r="AM516" s="81">
        <v>13</v>
      </c>
      <c r="AN516" s="86" t="s">
        <v>6912</v>
      </c>
      <c r="AO516" s="86" t="s">
        <v>2181</v>
      </c>
      <c r="AP516" s="81" t="b">
        <v>0</v>
      </c>
      <c r="AQ516" s="86" t="s">
        <v>6912</v>
      </c>
      <c r="AR516" s="81" t="s">
        <v>179</v>
      </c>
      <c r="AS516" s="81">
        <v>0</v>
      </c>
      <c r="AT516" s="81">
        <v>0</v>
      </c>
      <c r="AU516" s="81"/>
      <c r="AV516" s="81"/>
      <c r="AW516" s="81"/>
      <c r="AX516" s="81"/>
      <c r="AY516" s="81"/>
      <c r="AZ516" s="81"/>
      <c r="BA516" s="81"/>
      <c r="BB516" s="81"/>
    </row>
    <row r="517" spans="1:54" x14ac:dyDescent="0.35">
      <c r="A517" s="66" t="s">
        <v>4366</v>
      </c>
      <c r="B517" s="66" t="s">
        <v>4378</v>
      </c>
      <c r="C517" s="67"/>
      <c r="D517" s="68"/>
      <c r="E517" s="69"/>
      <c r="F517" s="70"/>
      <c r="G517" s="67"/>
      <c r="H517" s="71"/>
      <c r="I517" s="72"/>
      <c r="J517" s="72"/>
      <c r="K517" s="36"/>
      <c r="L517" s="79"/>
      <c r="M517" s="79"/>
      <c r="N517" s="74"/>
      <c r="O517" s="81" t="s">
        <v>693</v>
      </c>
      <c r="P517" s="83">
        <v>44462.800266203703</v>
      </c>
      <c r="Q517" s="81" t="s">
        <v>5384</v>
      </c>
      <c r="R517" s="84" t="str">
        <f>HYPERLINK("http://www.ppgneim.ffch.ufba.br/pt-br/ppgneim-2022-processo-seletivo-para-aluna-regular-do-mestrado-academico-e-doutorado-2022")</f>
        <v>http://www.ppgneim.ffch.ufba.br/pt-br/ppgneim-2022-processo-seletivo-para-aluna-regular-do-mestrado-academico-e-doutorado-2022</v>
      </c>
      <c r="S517" s="81" t="s">
        <v>5716</v>
      </c>
      <c r="T517" s="81"/>
      <c r="U517" s="81"/>
      <c r="V517" s="84" t="str">
        <f>HYPERLINK("https://pbs.twimg.com/profile_images/1265397299645120518/KQsRqgRM_normal.jpg")</f>
        <v>https://pbs.twimg.com/profile_images/1265397299645120518/KQsRqgRM_normal.jpg</v>
      </c>
      <c r="W517" s="83">
        <v>44462.800266203703</v>
      </c>
      <c r="X517" s="89">
        <v>44462</v>
      </c>
      <c r="Y517" s="86" t="s">
        <v>5996</v>
      </c>
      <c r="Z517" s="84" t="str">
        <f>HYPERLINK("https://twitter.com/jssclmgmn/status/1441118265388908545")</f>
        <v>https://twitter.com/jssclmgmn/status/1441118265388908545</v>
      </c>
      <c r="AA517" s="81"/>
      <c r="AB517" s="81"/>
      <c r="AC517" s="86" t="s">
        <v>6899</v>
      </c>
      <c r="AD517" s="81"/>
      <c r="AE517" s="81" t="b">
        <v>0</v>
      </c>
      <c r="AF517" s="81">
        <v>0</v>
      </c>
      <c r="AG517" s="86" t="s">
        <v>2084</v>
      </c>
      <c r="AH517" s="81" t="b">
        <v>0</v>
      </c>
      <c r="AI517" s="81" t="s">
        <v>2171</v>
      </c>
      <c r="AJ517" s="81"/>
      <c r="AK517" s="86" t="s">
        <v>2084</v>
      </c>
      <c r="AL517" s="81" t="b">
        <v>0</v>
      </c>
      <c r="AM517" s="81">
        <v>13</v>
      </c>
      <c r="AN517" s="86" t="s">
        <v>6912</v>
      </c>
      <c r="AO517" s="86" t="s">
        <v>2181</v>
      </c>
      <c r="AP517" s="81" t="b">
        <v>0</v>
      </c>
      <c r="AQ517" s="86" t="s">
        <v>6912</v>
      </c>
      <c r="AR517" s="81" t="s">
        <v>179</v>
      </c>
      <c r="AS517" s="81">
        <v>0</v>
      </c>
      <c r="AT517" s="81">
        <v>0</v>
      </c>
      <c r="AU517" s="81"/>
      <c r="AV517" s="81"/>
      <c r="AW517" s="81"/>
      <c r="AX517" s="81"/>
      <c r="AY517" s="81"/>
      <c r="AZ517" s="81"/>
      <c r="BA517" s="81"/>
      <c r="BB517" s="81"/>
    </row>
    <row r="518" spans="1:54" x14ac:dyDescent="0.35">
      <c r="A518" s="66" t="s">
        <v>4367</v>
      </c>
      <c r="B518" s="66" t="s">
        <v>4378</v>
      </c>
      <c r="C518" s="67"/>
      <c r="D518" s="68"/>
      <c r="E518" s="69"/>
      <c r="F518" s="70"/>
      <c r="G518" s="67"/>
      <c r="H518" s="71"/>
      <c r="I518" s="72"/>
      <c r="J518" s="72"/>
      <c r="K518" s="36"/>
      <c r="L518" s="79"/>
      <c r="M518" s="79"/>
      <c r="N518" s="74"/>
      <c r="O518" s="81" t="s">
        <v>693</v>
      </c>
      <c r="P518" s="83">
        <v>44462.800509259258</v>
      </c>
      <c r="Q518" s="81" t="s">
        <v>5384</v>
      </c>
      <c r="R518" s="84" t="str">
        <f>HYPERLINK("http://www.ppgneim.ffch.ufba.br/pt-br/ppgneim-2022-processo-seletivo-para-aluna-regular-do-mestrado-academico-e-doutorado-2022")</f>
        <v>http://www.ppgneim.ffch.ufba.br/pt-br/ppgneim-2022-processo-seletivo-para-aluna-regular-do-mestrado-academico-e-doutorado-2022</v>
      </c>
      <c r="S518" s="81" t="s">
        <v>5716</v>
      </c>
      <c r="T518" s="81"/>
      <c r="U518" s="81"/>
      <c r="V518" s="84" t="str">
        <f>HYPERLINK("https://pbs.twimg.com/profile_images/1052410490826018816/EMf1_KaY_normal.jpg")</f>
        <v>https://pbs.twimg.com/profile_images/1052410490826018816/EMf1_KaY_normal.jpg</v>
      </c>
      <c r="W518" s="83">
        <v>44462.800509259258</v>
      </c>
      <c r="X518" s="89">
        <v>44462</v>
      </c>
      <c r="Y518" s="86" t="s">
        <v>5997</v>
      </c>
      <c r="Z518" s="84" t="str">
        <f>HYPERLINK("https://twitter.com/lcmarinho/status/1441118351263105030")</f>
        <v>https://twitter.com/lcmarinho/status/1441118351263105030</v>
      </c>
      <c r="AA518" s="81"/>
      <c r="AB518" s="81"/>
      <c r="AC518" s="86" t="s">
        <v>6900</v>
      </c>
      <c r="AD518" s="81"/>
      <c r="AE518" s="81" t="b">
        <v>0</v>
      </c>
      <c r="AF518" s="81">
        <v>0</v>
      </c>
      <c r="AG518" s="86" t="s">
        <v>2084</v>
      </c>
      <c r="AH518" s="81" t="b">
        <v>0</v>
      </c>
      <c r="AI518" s="81" t="s">
        <v>2171</v>
      </c>
      <c r="AJ518" s="81"/>
      <c r="AK518" s="86" t="s">
        <v>2084</v>
      </c>
      <c r="AL518" s="81" t="b">
        <v>0</v>
      </c>
      <c r="AM518" s="81">
        <v>13</v>
      </c>
      <c r="AN518" s="86" t="s">
        <v>6912</v>
      </c>
      <c r="AO518" s="86" t="s">
        <v>2181</v>
      </c>
      <c r="AP518" s="81" t="b">
        <v>0</v>
      </c>
      <c r="AQ518" s="86" t="s">
        <v>6912</v>
      </c>
      <c r="AR518" s="81" t="s">
        <v>179</v>
      </c>
      <c r="AS518" s="81">
        <v>0</v>
      </c>
      <c r="AT518" s="81">
        <v>0</v>
      </c>
      <c r="AU518" s="81"/>
      <c r="AV518" s="81"/>
      <c r="AW518" s="81"/>
      <c r="AX518" s="81"/>
      <c r="AY518" s="81"/>
      <c r="AZ518" s="81"/>
      <c r="BA518" s="81"/>
      <c r="BB518" s="81"/>
    </row>
    <row r="519" spans="1:54" x14ac:dyDescent="0.35">
      <c r="A519" s="66" t="s">
        <v>4368</v>
      </c>
      <c r="B519" s="66" t="s">
        <v>4378</v>
      </c>
      <c r="C519" s="67"/>
      <c r="D519" s="68"/>
      <c r="E519" s="69"/>
      <c r="F519" s="70"/>
      <c r="G519" s="67"/>
      <c r="H519" s="71"/>
      <c r="I519" s="72"/>
      <c r="J519" s="72"/>
      <c r="K519" s="36"/>
      <c r="L519" s="79"/>
      <c r="M519" s="79"/>
      <c r="N519" s="74"/>
      <c r="O519" s="81" t="s">
        <v>693</v>
      </c>
      <c r="P519" s="83">
        <v>44462.812615740739</v>
      </c>
      <c r="Q519" s="81" t="s">
        <v>5384</v>
      </c>
      <c r="R519" s="84" t="str">
        <f>HYPERLINK("http://www.ppgneim.ffch.ufba.br/pt-br/ppgneim-2022-processo-seletivo-para-aluna-regular-do-mestrado-academico-e-doutorado-2022")</f>
        <v>http://www.ppgneim.ffch.ufba.br/pt-br/ppgneim-2022-processo-seletivo-para-aluna-regular-do-mestrado-academico-e-doutorado-2022</v>
      </c>
      <c r="S519" s="81" t="s">
        <v>5716</v>
      </c>
      <c r="T519" s="81"/>
      <c r="U519" s="81"/>
      <c r="V519" s="84" t="str">
        <f>HYPERLINK("https://pbs.twimg.com/profile_images/1215107003477110787/P9RxyOZ8_normal.jpg")</f>
        <v>https://pbs.twimg.com/profile_images/1215107003477110787/P9RxyOZ8_normal.jpg</v>
      </c>
      <c r="W519" s="83">
        <v>44462.812615740739</v>
      </c>
      <c r="X519" s="89">
        <v>44462</v>
      </c>
      <c r="Y519" s="86" t="s">
        <v>5998</v>
      </c>
      <c r="Z519" s="84" t="str">
        <f>HYPERLINK("https://twitter.com/felipedjeguaka/status/1441122741181042693")</f>
        <v>https://twitter.com/felipedjeguaka/status/1441122741181042693</v>
      </c>
      <c r="AA519" s="81"/>
      <c r="AB519" s="81"/>
      <c r="AC519" s="86" t="s">
        <v>6901</v>
      </c>
      <c r="AD519" s="81"/>
      <c r="AE519" s="81" t="b">
        <v>0</v>
      </c>
      <c r="AF519" s="81">
        <v>0</v>
      </c>
      <c r="AG519" s="86" t="s">
        <v>2084</v>
      </c>
      <c r="AH519" s="81" t="b">
        <v>0</v>
      </c>
      <c r="AI519" s="81" t="s">
        <v>2171</v>
      </c>
      <c r="AJ519" s="81"/>
      <c r="AK519" s="86" t="s">
        <v>2084</v>
      </c>
      <c r="AL519" s="81" t="b">
        <v>0</v>
      </c>
      <c r="AM519" s="81">
        <v>13</v>
      </c>
      <c r="AN519" s="86" t="s">
        <v>6912</v>
      </c>
      <c r="AO519" s="86" t="s">
        <v>2181</v>
      </c>
      <c r="AP519" s="81" t="b">
        <v>0</v>
      </c>
      <c r="AQ519" s="86" t="s">
        <v>6912</v>
      </c>
      <c r="AR519" s="81" t="s">
        <v>179</v>
      </c>
      <c r="AS519" s="81">
        <v>0</v>
      </c>
      <c r="AT519" s="81">
        <v>0</v>
      </c>
      <c r="AU519" s="81"/>
      <c r="AV519" s="81"/>
      <c r="AW519" s="81"/>
      <c r="AX519" s="81"/>
      <c r="AY519" s="81"/>
      <c r="AZ519" s="81"/>
      <c r="BA519" s="81"/>
      <c r="BB519" s="81"/>
    </row>
    <row r="520" spans="1:54" x14ac:dyDescent="0.35">
      <c r="A520" s="66" t="s">
        <v>4369</v>
      </c>
      <c r="B520" s="66" t="s">
        <v>5051</v>
      </c>
      <c r="C520" s="67"/>
      <c r="D520" s="68"/>
      <c r="E520" s="69"/>
      <c r="F520" s="70"/>
      <c r="G520" s="67"/>
      <c r="H520" s="71"/>
      <c r="I520" s="72"/>
      <c r="J520" s="72"/>
      <c r="K520" s="36"/>
      <c r="L520" s="79"/>
      <c r="M520" s="79"/>
      <c r="N520" s="74"/>
      <c r="O520" s="81" t="s">
        <v>696</v>
      </c>
      <c r="P520" s="83">
        <v>44462.828009259261</v>
      </c>
      <c r="Q520" s="81" t="s">
        <v>5385</v>
      </c>
      <c r="R520" s="81"/>
      <c r="S520" s="81"/>
      <c r="T520" s="81"/>
      <c r="U520" s="81"/>
      <c r="V520" s="84" t="str">
        <f>HYPERLINK("https://pbs.twimg.com/profile_images/1416810776845852676/bhl_a64r_normal.jpg")</f>
        <v>https://pbs.twimg.com/profile_images/1416810776845852676/bhl_a64r_normal.jpg</v>
      </c>
      <c r="W520" s="83">
        <v>44462.828009259261</v>
      </c>
      <c r="X520" s="89">
        <v>44462</v>
      </c>
      <c r="Y520" s="86" t="s">
        <v>5999</v>
      </c>
      <c r="Z520" s="84" t="str">
        <f>HYPERLINK("https://twitter.com/chokitodecarne/status/1441128319169138691")</f>
        <v>https://twitter.com/chokitodecarne/status/1441128319169138691</v>
      </c>
      <c r="AA520" s="81"/>
      <c r="AB520" s="81"/>
      <c r="AC520" s="86" t="s">
        <v>6902</v>
      </c>
      <c r="AD520" s="86" t="s">
        <v>7659</v>
      </c>
      <c r="AE520" s="81" t="b">
        <v>0</v>
      </c>
      <c r="AF520" s="81">
        <v>0</v>
      </c>
      <c r="AG520" s="86" t="s">
        <v>7840</v>
      </c>
      <c r="AH520" s="81" t="b">
        <v>0</v>
      </c>
      <c r="AI520" s="81" t="s">
        <v>2171</v>
      </c>
      <c r="AJ520" s="81"/>
      <c r="AK520" s="86" t="s">
        <v>2084</v>
      </c>
      <c r="AL520" s="81" t="b">
        <v>0</v>
      </c>
      <c r="AM520" s="81">
        <v>0</v>
      </c>
      <c r="AN520" s="86" t="s">
        <v>2084</v>
      </c>
      <c r="AO520" s="86" t="s">
        <v>2181</v>
      </c>
      <c r="AP520" s="81" t="b">
        <v>0</v>
      </c>
      <c r="AQ520" s="86" t="s">
        <v>7659</v>
      </c>
      <c r="AR520" s="81" t="s">
        <v>179</v>
      </c>
      <c r="AS520" s="81">
        <v>0</v>
      </c>
      <c r="AT520" s="81">
        <v>0</v>
      </c>
      <c r="AU520" s="81"/>
      <c r="AV520" s="81"/>
      <c r="AW520" s="81"/>
      <c r="AX520" s="81"/>
      <c r="AY520" s="81"/>
      <c r="AZ520" s="81"/>
      <c r="BA520" s="81"/>
      <c r="BB520" s="81"/>
    </row>
    <row r="521" spans="1:54" x14ac:dyDescent="0.35">
      <c r="A521" s="66" t="s">
        <v>4369</v>
      </c>
      <c r="B521" s="66" t="s">
        <v>5052</v>
      </c>
      <c r="C521" s="67"/>
      <c r="D521" s="68"/>
      <c r="E521" s="69"/>
      <c r="F521" s="70"/>
      <c r="G521" s="67"/>
      <c r="H521" s="71"/>
      <c r="I521" s="72"/>
      <c r="J521" s="72"/>
      <c r="K521" s="36"/>
      <c r="L521" s="79"/>
      <c r="M521" s="79"/>
      <c r="N521" s="74"/>
      <c r="O521" s="81" t="s">
        <v>696</v>
      </c>
      <c r="P521" s="83">
        <v>44462.828009259261</v>
      </c>
      <c r="Q521" s="81" t="s">
        <v>5385</v>
      </c>
      <c r="R521" s="81"/>
      <c r="S521" s="81"/>
      <c r="T521" s="81"/>
      <c r="U521" s="81"/>
      <c r="V521" s="84" t="str">
        <f>HYPERLINK("https://pbs.twimg.com/profile_images/1416810776845852676/bhl_a64r_normal.jpg")</f>
        <v>https://pbs.twimg.com/profile_images/1416810776845852676/bhl_a64r_normal.jpg</v>
      </c>
      <c r="W521" s="83">
        <v>44462.828009259261</v>
      </c>
      <c r="X521" s="89">
        <v>44462</v>
      </c>
      <c r="Y521" s="86" t="s">
        <v>5999</v>
      </c>
      <c r="Z521" s="84" t="str">
        <f>HYPERLINK("https://twitter.com/chokitodecarne/status/1441128319169138691")</f>
        <v>https://twitter.com/chokitodecarne/status/1441128319169138691</v>
      </c>
      <c r="AA521" s="81"/>
      <c r="AB521" s="81"/>
      <c r="AC521" s="86" t="s">
        <v>6902</v>
      </c>
      <c r="AD521" s="86" t="s">
        <v>7659</v>
      </c>
      <c r="AE521" s="81" t="b">
        <v>0</v>
      </c>
      <c r="AF521" s="81">
        <v>0</v>
      </c>
      <c r="AG521" s="86" t="s">
        <v>7840</v>
      </c>
      <c r="AH521" s="81" t="b">
        <v>0</v>
      </c>
      <c r="AI521" s="81" t="s">
        <v>2171</v>
      </c>
      <c r="AJ521" s="81"/>
      <c r="AK521" s="86" t="s">
        <v>2084</v>
      </c>
      <c r="AL521" s="81" t="b">
        <v>0</v>
      </c>
      <c r="AM521" s="81">
        <v>0</v>
      </c>
      <c r="AN521" s="86" t="s">
        <v>2084</v>
      </c>
      <c r="AO521" s="86" t="s">
        <v>2181</v>
      </c>
      <c r="AP521" s="81" t="b">
        <v>0</v>
      </c>
      <c r="AQ521" s="86" t="s">
        <v>7659</v>
      </c>
      <c r="AR521" s="81" t="s">
        <v>179</v>
      </c>
      <c r="AS521" s="81">
        <v>0</v>
      </c>
      <c r="AT521" s="81">
        <v>0</v>
      </c>
      <c r="AU521" s="81"/>
      <c r="AV521" s="81"/>
      <c r="AW521" s="81"/>
      <c r="AX521" s="81"/>
      <c r="AY521" s="81"/>
      <c r="AZ521" s="81"/>
      <c r="BA521" s="81"/>
      <c r="BB521" s="81"/>
    </row>
    <row r="522" spans="1:54" x14ac:dyDescent="0.35">
      <c r="A522" s="66" t="s">
        <v>4369</v>
      </c>
      <c r="B522" s="66" t="s">
        <v>5053</v>
      </c>
      <c r="C522" s="67"/>
      <c r="D522" s="68"/>
      <c r="E522" s="69"/>
      <c r="F522" s="70"/>
      <c r="G522" s="67"/>
      <c r="H522" s="71"/>
      <c r="I522" s="72"/>
      <c r="J522" s="72"/>
      <c r="K522" s="36"/>
      <c r="L522" s="79"/>
      <c r="M522" s="79"/>
      <c r="N522" s="74"/>
      <c r="O522" s="81" t="s">
        <v>695</v>
      </c>
      <c r="P522" s="83">
        <v>44462.828009259261</v>
      </c>
      <c r="Q522" s="81" t="s">
        <v>5385</v>
      </c>
      <c r="R522" s="81"/>
      <c r="S522" s="81"/>
      <c r="T522" s="81"/>
      <c r="U522" s="81"/>
      <c r="V522" s="84" t="str">
        <f>HYPERLINK("https://pbs.twimg.com/profile_images/1416810776845852676/bhl_a64r_normal.jpg")</f>
        <v>https://pbs.twimg.com/profile_images/1416810776845852676/bhl_a64r_normal.jpg</v>
      </c>
      <c r="W522" s="83">
        <v>44462.828009259261</v>
      </c>
      <c r="X522" s="89">
        <v>44462</v>
      </c>
      <c r="Y522" s="86" t="s">
        <v>5999</v>
      </c>
      <c r="Z522" s="84" t="str">
        <f>HYPERLINK("https://twitter.com/chokitodecarne/status/1441128319169138691")</f>
        <v>https://twitter.com/chokitodecarne/status/1441128319169138691</v>
      </c>
      <c r="AA522" s="81"/>
      <c r="AB522" s="81"/>
      <c r="AC522" s="86" t="s">
        <v>6902</v>
      </c>
      <c r="AD522" s="86" t="s">
        <v>7659</v>
      </c>
      <c r="AE522" s="81" t="b">
        <v>0</v>
      </c>
      <c r="AF522" s="81">
        <v>0</v>
      </c>
      <c r="AG522" s="86" t="s">
        <v>7840</v>
      </c>
      <c r="AH522" s="81" t="b">
        <v>0</v>
      </c>
      <c r="AI522" s="81" t="s">
        <v>2171</v>
      </c>
      <c r="AJ522" s="81"/>
      <c r="AK522" s="86" t="s">
        <v>2084</v>
      </c>
      <c r="AL522" s="81" t="b">
        <v>0</v>
      </c>
      <c r="AM522" s="81">
        <v>0</v>
      </c>
      <c r="AN522" s="86" t="s">
        <v>2084</v>
      </c>
      <c r="AO522" s="86" t="s">
        <v>2181</v>
      </c>
      <c r="AP522" s="81" t="b">
        <v>0</v>
      </c>
      <c r="AQ522" s="86" t="s">
        <v>7659</v>
      </c>
      <c r="AR522" s="81" t="s">
        <v>179</v>
      </c>
      <c r="AS522" s="81">
        <v>0</v>
      </c>
      <c r="AT522" s="81">
        <v>0</v>
      </c>
      <c r="AU522" s="81"/>
      <c r="AV522" s="81"/>
      <c r="AW522" s="81"/>
      <c r="AX522" s="81"/>
      <c r="AY522" s="81"/>
      <c r="AZ522" s="81"/>
      <c r="BA522" s="81"/>
      <c r="BB522" s="81"/>
    </row>
    <row r="523" spans="1:54" x14ac:dyDescent="0.35">
      <c r="A523" s="66" t="s">
        <v>4370</v>
      </c>
      <c r="B523" s="66" t="s">
        <v>4378</v>
      </c>
      <c r="C523" s="67"/>
      <c r="D523" s="68"/>
      <c r="E523" s="69"/>
      <c r="F523" s="70"/>
      <c r="G523" s="67"/>
      <c r="H523" s="71"/>
      <c r="I523" s="72"/>
      <c r="J523" s="72"/>
      <c r="K523" s="36"/>
      <c r="L523" s="79"/>
      <c r="M523" s="79"/>
      <c r="N523" s="74"/>
      <c r="O523" s="81" t="s">
        <v>693</v>
      </c>
      <c r="P523" s="83">
        <v>44462.844930555555</v>
      </c>
      <c r="Q523" s="81" t="s">
        <v>5384</v>
      </c>
      <c r="R523" s="84" t="str">
        <f>HYPERLINK("http://www.ppgneim.ffch.ufba.br/pt-br/ppgneim-2022-processo-seletivo-para-aluna-regular-do-mestrado-academico-e-doutorado-2022")</f>
        <v>http://www.ppgneim.ffch.ufba.br/pt-br/ppgneim-2022-processo-seletivo-para-aluna-regular-do-mestrado-academico-e-doutorado-2022</v>
      </c>
      <c r="S523" s="81" t="s">
        <v>5716</v>
      </c>
      <c r="T523" s="81"/>
      <c r="U523" s="81"/>
      <c r="V523" s="84" t="str">
        <f>HYPERLINK("https://pbs.twimg.com/profile_images/1433807998367961092/JC-PVhrW_normal.jpg")</f>
        <v>https://pbs.twimg.com/profile_images/1433807998367961092/JC-PVhrW_normal.jpg</v>
      </c>
      <c r="W523" s="83">
        <v>44462.844930555555</v>
      </c>
      <c r="X523" s="89">
        <v>44462</v>
      </c>
      <c r="Y523" s="86" t="s">
        <v>6000</v>
      </c>
      <c r="Z523" s="84" t="str">
        <f>HYPERLINK("https://twitter.com/marciarcandido/status/1441134449056313355")</f>
        <v>https://twitter.com/marciarcandido/status/1441134449056313355</v>
      </c>
      <c r="AA523" s="81"/>
      <c r="AB523" s="81"/>
      <c r="AC523" s="86" t="s">
        <v>6903</v>
      </c>
      <c r="AD523" s="81"/>
      <c r="AE523" s="81" t="b">
        <v>0</v>
      </c>
      <c r="AF523" s="81">
        <v>0</v>
      </c>
      <c r="AG523" s="86" t="s">
        <v>2084</v>
      </c>
      <c r="AH523" s="81" t="b">
        <v>0</v>
      </c>
      <c r="AI523" s="81" t="s">
        <v>2171</v>
      </c>
      <c r="AJ523" s="81"/>
      <c r="AK523" s="86" t="s">
        <v>2084</v>
      </c>
      <c r="AL523" s="81" t="b">
        <v>0</v>
      </c>
      <c r="AM523" s="81">
        <v>13</v>
      </c>
      <c r="AN523" s="86" t="s">
        <v>6912</v>
      </c>
      <c r="AO523" s="86" t="s">
        <v>2181</v>
      </c>
      <c r="AP523" s="81" t="b">
        <v>0</v>
      </c>
      <c r="AQ523" s="86" t="s">
        <v>6912</v>
      </c>
      <c r="AR523" s="81" t="s">
        <v>179</v>
      </c>
      <c r="AS523" s="81">
        <v>0</v>
      </c>
      <c r="AT523" s="81">
        <v>0</v>
      </c>
      <c r="AU523" s="81"/>
      <c r="AV523" s="81"/>
      <c r="AW523" s="81"/>
      <c r="AX523" s="81"/>
      <c r="AY523" s="81"/>
      <c r="AZ523" s="81"/>
      <c r="BA523" s="81"/>
      <c r="BB523" s="81"/>
    </row>
    <row r="524" spans="1:54" x14ac:dyDescent="0.35">
      <c r="A524" s="66" t="s">
        <v>4371</v>
      </c>
      <c r="B524" s="66" t="s">
        <v>4963</v>
      </c>
      <c r="C524" s="67"/>
      <c r="D524" s="68"/>
      <c r="E524" s="69"/>
      <c r="F524" s="70"/>
      <c r="G524" s="67"/>
      <c r="H524" s="71"/>
      <c r="I524" s="72"/>
      <c r="J524" s="72"/>
      <c r="K524" s="36"/>
      <c r="L524" s="79"/>
      <c r="M524" s="79"/>
      <c r="N524" s="74"/>
      <c r="O524" s="81" t="s">
        <v>693</v>
      </c>
      <c r="P524" s="83">
        <v>44462.854571759257</v>
      </c>
      <c r="Q524" s="81" t="s">
        <v>5386</v>
      </c>
      <c r="R524" s="81"/>
      <c r="S524" s="81"/>
      <c r="T524" s="81"/>
      <c r="U524" s="81"/>
      <c r="V524" s="84" t="str">
        <f>HYPERLINK("https://pbs.twimg.com/profile_images/1423780372328984582/e5E8Mcov_normal.jpg")</f>
        <v>https://pbs.twimg.com/profile_images/1423780372328984582/e5E8Mcov_normal.jpg</v>
      </c>
      <c r="W524" s="83">
        <v>44462.854571759257</v>
      </c>
      <c r="X524" s="89">
        <v>44462</v>
      </c>
      <c r="Y524" s="86" t="s">
        <v>6001</v>
      </c>
      <c r="Z524" s="84" t="str">
        <f>HYPERLINK("https://twitter.com/antnioc23355379/status/1441137945520472066")</f>
        <v>https://twitter.com/antnioc23355379/status/1441137945520472066</v>
      </c>
      <c r="AA524" s="81"/>
      <c r="AB524" s="81"/>
      <c r="AC524" s="86" t="s">
        <v>6904</v>
      </c>
      <c r="AD524" s="81"/>
      <c r="AE524" s="81" t="b">
        <v>0</v>
      </c>
      <c r="AF524" s="81">
        <v>0</v>
      </c>
      <c r="AG524" s="86" t="s">
        <v>2084</v>
      </c>
      <c r="AH524" s="81" t="b">
        <v>0</v>
      </c>
      <c r="AI524" s="81" t="s">
        <v>2171</v>
      </c>
      <c r="AJ524" s="81"/>
      <c r="AK524" s="86" t="s">
        <v>2084</v>
      </c>
      <c r="AL524" s="81" t="b">
        <v>0</v>
      </c>
      <c r="AM524" s="81">
        <v>2</v>
      </c>
      <c r="AN524" s="86" t="s">
        <v>7575</v>
      </c>
      <c r="AO524" s="86" t="s">
        <v>2181</v>
      </c>
      <c r="AP524" s="81" t="b">
        <v>0</v>
      </c>
      <c r="AQ524" s="86" t="s">
        <v>7575</v>
      </c>
      <c r="AR524" s="81" t="s">
        <v>179</v>
      </c>
      <c r="AS524" s="81">
        <v>0</v>
      </c>
      <c r="AT524" s="81">
        <v>0</v>
      </c>
      <c r="AU524" s="81"/>
      <c r="AV524" s="81"/>
      <c r="AW524" s="81"/>
      <c r="AX524" s="81"/>
      <c r="AY524" s="81"/>
      <c r="AZ524" s="81"/>
      <c r="BA524" s="81"/>
      <c r="BB524" s="81"/>
    </row>
    <row r="525" spans="1:54" x14ac:dyDescent="0.35">
      <c r="A525" s="66" t="s">
        <v>4371</v>
      </c>
      <c r="B525" s="66" t="s">
        <v>5054</v>
      </c>
      <c r="C525" s="67"/>
      <c r="D525" s="68"/>
      <c r="E525" s="69"/>
      <c r="F525" s="70"/>
      <c r="G525" s="67"/>
      <c r="H525" s="71"/>
      <c r="I525" s="72"/>
      <c r="J525" s="72"/>
      <c r="K525" s="36"/>
      <c r="L525" s="79"/>
      <c r="M525" s="79"/>
      <c r="N525" s="74"/>
      <c r="O525" s="81" t="s">
        <v>695</v>
      </c>
      <c r="P525" s="83">
        <v>44462.854571759257</v>
      </c>
      <c r="Q525" s="81" t="s">
        <v>5386</v>
      </c>
      <c r="R525" s="81"/>
      <c r="S525" s="81"/>
      <c r="T525" s="81"/>
      <c r="U525" s="81"/>
      <c r="V525" s="84" t="str">
        <f>HYPERLINK("https://pbs.twimg.com/profile_images/1423780372328984582/e5E8Mcov_normal.jpg")</f>
        <v>https://pbs.twimg.com/profile_images/1423780372328984582/e5E8Mcov_normal.jpg</v>
      </c>
      <c r="W525" s="83">
        <v>44462.854571759257</v>
      </c>
      <c r="X525" s="89">
        <v>44462</v>
      </c>
      <c r="Y525" s="86" t="s">
        <v>6001</v>
      </c>
      <c r="Z525" s="84" t="str">
        <f>HYPERLINK("https://twitter.com/antnioc23355379/status/1441137945520472066")</f>
        <v>https://twitter.com/antnioc23355379/status/1441137945520472066</v>
      </c>
      <c r="AA525" s="81"/>
      <c r="AB525" s="81"/>
      <c r="AC525" s="86" t="s">
        <v>6904</v>
      </c>
      <c r="AD525" s="81"/>
      <c r="AE525" s="81" t="b">
        <v>0</v>
      </c>
      <c r="AF525" s="81">
        <v>0</v>
      </c>
      <c r="AG525" s="86" t="s">
        <v>2084</v>
      </c>
      <c r="AH525" s="81" t="b">
        <v>0</v>
      </c>
      <c r="AI525" s="81" t="s">
        <v>2171</v>
      </c>
      <c r="AJ525" s="81"/>
      <c r="AK525" s="86" t="s">
        <v>2084</v>
      </c>
      <c r="AL525" s="81" t="b">
        <v>0</v>
      </c>
      <c r="AM525" s="81">
        <v>2</v>
      </c>
      <c r="AN525" s="86" t="s">
        <v>7575</v>
      </c>
      <c r="AO525" s="86" t="s">
        <v>2181</v>
      </c>
      <c r="AP525" s="81" t="b">
        <v>0</v>
      </c>
      <c r="AQ525" s="86" t="s">
        <v>7575</v>
      </c>
      <c r="AR525" s="81" t="s">
        <v>179</v>
      </c>
      <c r="AS525" s="81">
        <v>0</v>
      </c>
      <c r="AT525" s="81">
        <v>0</v>
      </c>
      <c r="AU525" s="81"/>
      <c r="AV525" s="81"/>
      <c r="AW525" s="81"/>
      <c r="AX525" s="81"/>
      <c r="AY525" s="81"/>
      <c r="AZ525" s="81"/>
      <c r="BA525" s="81"/>
      <c r="BB525" s="81"/>
    </row>
    <row r="526" spans="1:54" x14ac:dyDescent="0.35">
      <c r="A526" s="66" t="s">
        <v>4372</v>
      </c>
      <c r="B526" s="66" t="s">
        <v>4378</v>
      </c>
      <c r="C526" s="67"/>
      <c r="D526" s="68"/>
      <c r="E526" s="69"/>
      <c r="F526" s="70"/>
      <c r="G526" s="67"/>
      <c r="H526" s="71"/>
      <c r="I526" s="72"/>
      <c r="J526" s="72"/>
      <c r="K526" s="36"/>
      <c r="L526" s="79"/>
      <c r="M526" s="79"/>
      <c r="N526" s="74"/>
      <c r="O526" s="81" t="s">
        <v>693</v>
      </c>
      <c r="P526" s="83">
        <v>44462.868483796294</v>
      </c>
      <c r="Q526" s="81" t="s">
        <v>5384</v>
      </c>
      <c r="R526" s="84" t="str">
        <f>HYPERLINK("http://www.ppgneim.ffch.ufba.br/pt-br/ppgneim-2022-processo-seletivo-para-aluna-regular-do-mestrado-academico-e-doutorado-2022")</f>
        <v>http://www.ppgneim.ffch.ufba.br/pt-br/ppgneim-2022-processo-seletivo-para-aluna-regular-do-mestrado-academico-e-doutorado-2022</v>
      </c>
      <c r="S526" s="81" t="s">
        <v>5716</v>
      </c>
      <c r="T526" s="81"/>
      <c r="U526" s="81"/>
      <c r="V526" s="84" t="str">
        <f>HYPERLINK("https://pbs.twimg.com/profile_images/1436472673614376960/PFgloBWn_normal.jpg")</f>
        <v>https://pbs.twimg.com/profile_images/1436472673614376960/PFgloBWn_normal.jpg</v>
      </c>
      <c r="W526" s="83">
        <v>44462.868483796294</v>
      </c>
      <c r="X526" s="89">
        <v>44462</v>
      </c>
      <c r="Y526" s="86" t="s">
        <v>6002</v>
      </c>
      <c r="Z526" s="84" t="str">
        <f>HYPERLINK("https://twitter.com/biaml/status/1441142985668894734")</f>
        <v>https://twitter.com/biaml/status/1441142985668894734</v>
      </c>
      <c r="AA526" s="81"/>
      <c r="AB526" s="81"/>
      <c r="AC526" s="86" t="s">
        <v>6905</v>
      </c>
      <c r="AD526" s="81"/>
      <c r="AE526" s="81" t="b">
        <v>0</v>
      </c>
      <c r="AF526" s="81">
        <v>0</v>
      </c>
      <c r="AG526" s="86" t="s">
        <v>2084</v>
      </c>
      <c r="AH526" s="81" t="b">
        <v>0</v>
      </c>
      <c r="AI526" s="81" t="s">
        <v>2171</v>
      </c>
      <c r="AJ526" s="81"/>
      <c r="AK526" s="86" t="s">
        <v>2084</v>
      </c>
      <c r="AL526" s="81" t="b">
        <v>0</v>
      </c>
      <c r="AM526" s="81">
        <v>13</v>
      </c>
      <c r="AN526" s="86" t="s">
        <v>6912</v>
      </c>
      <c r="AO526" s="86" t="s">
        <v>2179</v>
      </c>
      <c r="AP526" s="81" t="b">
        <v>0</v>
      </c>
      <c r="AQ526" s="86" t="s">
        <v>6912</v>
      </c>
      <c r="AR526" s="81" t="s">
        <v>179</v>
      </c>
      <c r="AS526" s="81">
        <v>0</v>
      </c>
      <c r="AT526" s="81">
        <v>0</v>
      </c>
      <c r="AU526" s="81"/>
      <c r="AV526" s="81"/>
      <c r="AW526" s="81"/>
      <c r="AX526" s="81"/>
      <c r="AY526" s="81"/>
      <c r="AZ526" s="81"/>
      <c r="BA526" s="81"/>
      <c r="BB526" s="81"/>
    </row>
    <row r="527" spans="1:54" x14ac:dyDescent="0.35">
      <c r="A527" s="66" t="s">
        <v>4373</v>
      </c>
      <c r="B527" s="66" t="s">
        <v>5055</v>
      </c>
      <c r="C527" s="67"/>
      <c r="D527" s="68"/>
      <c r="E527" s="69"/>
      <c r="F527" s="70"/>
      <c r="G527" s="67"/>
      <c r="H527" s="71"/>
      <c r="I527" s="72"/>
      <c r="J527" s="72"/>
      <c r="K527" s="36"/>
      <c r="L527" s="79"/>
      <c r="M527" s="79"/>
      <c r="N527" s="74"/>
      <c r="O527" s="81" t="s">
        <v>695</v>
      </c>
      <c r="P527" s="83">
        <v>44462.870648148149</v>
      </c>
      <c r="Q527" s="81" t="s">
        <v>5387</v>
      </c>
      <c r="R527" s="81"/>
      <c r="S527" s="81"/>
      <c r="T527" s="81"/>
      <c r="U527" s="81"/>
      <c r="V527" s="84" t="str">
        <f>HYPERLINK("https://pbs.twimg.com/profile_images/949668581880553473/jEQEQ_Ja_normal.jpg")</f>
        <v>https://pbs.twimg.com/profile_images/949668581880553473/jEQEQ_Ja_normal.jpg</v>
      </c>
      <c r="W527" s="83">
        <v>44462.870648148149</v>
      </c>
      <c r="X527" s="89">
        <v>44462</v>
      </c>
      <c r="Y527" s="86" t="s">
        <v>6003</v>
      </c>
      <c r="Z527" s="84" t="str">
        <f>HYPERLINK("https://twitter.com/riobonitoac/status/1441143769877950466")</f>
        <v>https://twitter.com/riobonitoac/status/1441143769877950466</v>
      </c>
      <c r="AA527" s="81"/>
      <c r="AB527" s="81"/>
      <c r="AC527" s="86" t="s">
        <v>6906</v>
      </c>
      <c r="AD527" s="86" t="s">
        <v>7660</v>
      </c>
      <c r="AE527" s="81" t="b">
        <v>0</v>
      </c>
      <c r="AF527" s="81">
        <v>3</v>
      </c>
      <c r="AG527" s="86" t="s">
        <v>7841</v>
      </c>
      <c r="AH527" s="81" t="b">
        <v>0</v>
      </c>
      <c r="AI527" s="81" t="s">
        <v>2171</v>
      </c>
      <c r="AJ527" s="81"/>
      <c r="AK527" s="86" t="s">
        <v>2084</v>
      </c>
      <c r="AL527" s="81" t="b">
        <v>0</v>
      </c>
      <c r="AM527" s="81">
        <v>0</v>
      </c>
      <c r="AN527" s="86" t="s">
        <v>2084</v>
      </c>
      <c r="AO527" s="86" t="s">
        <v>2178</v>
      </c>
      <c r="AP527" s="81" t="b">
        <v>0</v>
      </c>
      <c r="AQ527" s="86" t="s">
        <v>7660</v>
      </c>
      <c r="AR527" s="81" t="s">
        <v>179</v>
      </c>
      <c r="AS527" s="81">
        <v>0</v>
      </c>
      <c r="AT527" s="81">
        <v>0</v>
      </c>
      <c r="AU527" s="81"/>
      <c r="AV527" s="81"/>
      <c r="AW527" s="81"/>
      <c r="AX527" s="81"/>
      <c r="AY527" s="81"/>
      <c r="AZ527" s="81"/>
      <c r="BA527" s="81"/>
      <c r="BB527" s="81"/>
    </row>
    <row r="528" spans="1:54" x14ac:dyDescent="0.35">
      <c r="A528" s="66" t="s">
        <v>4374</v>
      </c>
      <c r="B528" s="66" t="s">
        <v>4939</v>
      </c>
      <c r="C528" s="67"/>
      <c r="D528" s="68"/>
      <c r="E528" s="69"/>
      <c r="F528" s="70"/>
      <c r="G528" s="67"/>
      <c r="H528" s="71"/>
      <c r="I528" s="72"/>
      <c r="J528" s="72"/>
      <c r="K528" s="36"/>
      <c r="L528" s="79"/>
      <c r="M528" s="79"/>
      <c r="N528" s="74"/>
      <c r="O528" s="81" t="s">
        <v>693</v>
      </c>
      <c r="P528" s="83">
        <v>44459.843680555554</v>
      </c>
      <c r="Q528" s="81" t="s">
        <v>5282</v>
      </c>
      <c r="R528"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528" s="81" t="s">
        <v>5696</v>
      </c>
      <c r="T528" s="81"/>
      <c r="U528" s="84" t="str">
        <f>HYPERLINK("https://pbs.twimg.com/media/E_vHfERXoA8GltO.jpg")</f>
        <v>https://pbs.twimg.com/media/E_vHfERXoA8GltO.jpg</v>
      </c>
      <c r="V528" s="84" t="str">
        <f>HYPERLINK("https://pbs.twimg.com/media/E_vHfERXoA8GltO.jpg")</f>
        <v>https://pbs.twimg.com/media/E_vHfERXoA8GltO.jpg</v>
      </c>
      <c r="W528" s="83">
        <v>44459.843680555554</v>
      </c>
      <c r="X528" s="89">
        <v>44459</v>
      </c>
      <c r="Y528" s="86" t="s">
        <v>6004</v>
      </c>
      <c r="Z528" s="84" t="str">
        <f>HYPERLINK("https://twitter.com/odio_nao/status/1440046834219503618")</f>
        <v>https://twitter.com/odio_nao/status/1440046834219503618</v>
      </c>
      <c r="AA528" s="81"/>
      <c r="AB528" s="81"/>
      <c r="AC528" s="86" t="s">
        <v>6907</v>
      </c>
      <c r="AD528" s="81"/>
      <c r="AE528" s="81" t="b">
        <v>0</v>
      </c>
      <c r="AF528" s="81">
        <v>0</v>
      </c>
      <c r="AG528" s="86" t="s">
        <v>2084</v>
      </c>
      <c r="AH528" s="81" t="b">
        <v>0</v>
      </c>
      <c r="AI528" s="81" t="s">
        <v>2171</v>
      </c>
      <c r="AJ528" s="81"/>
      <c r="AK528" s="86" t="s">
        <v>2084</v>
      </c>
      <c r="AL528" s="81" t="b">
        <v>0</v>
      </c>
      <c r="AM528" s="81">
        <v>16</v>
      </c>
      <c r="AN528" s="86" t="s">
        <v>7535</v>
      </c>
      <c r="AO528" s="86" t="s">
        <v>2178</v>
      </c>
      <c r="AP528" s="81" t="b">
        <v>0</v>
      </c>
      <c r="AQ528" s="86" t="s">
        <v>7535</v>
      </c>
      <c r="AR528" s="81" t="s">
        <v>179</v>
      </c>
      <c r="AS528" s="81">
        <v>0</v>
      </c>
      <c r="AT528" s="81">
        <v>0</v>
      </c>
      <c r="AU528" s="81"/>
      <c r="AV528" s="81"/>
      <c r="AW528" s="81"/>
      <c r="AX528" s="81"/>
      <c r="AY528" s="81"/>
      <c r="AZ528" s="81"/>
      <c r="BA528" s="81"/>
      <c r="BB528" s="81"/>
    </row>
    <row r="529" spans="1:54" x14ac:dyDescent="0.35">
      <c r="A529" s="66" t="s">
        <v>4374</v>
      </c>
      <c r="B529" s="66" t="s">
        <v>4378</v>
      </c>
      <c r="C529" s="67"/>
      <c r="D529" s="68"/>
      <c r="E529" s="69"/>
      <c r="F529" s="70"/>
      <c r="G529" s="67"/>
      <c r="H529" s="71"/>
      <c r="I529" s="72"/>
      <c r="J529" s="72"/>
      <c r="K529" s="36"/>
      <c r="L529" s="79"/>
      <c r="M529" s="79"/>
      <c r="N529" s="74"/>
      <c r="O529" s="81" t="s">
        <v>693</v>
      </c>
      <c r="P529" s="83">
        <v>44462.871608796297</v>
      </c>
      <c r="Q529" s="81" t="s">
        <v>5384</v>
      </c>
      <c r="R529" s="84" t="str">
        <f>HYPERLINK("http://www.ppgneim.ffch.ufba.br/pt-br/ppgneim-2022-processo-seletivo-para-aluna-regular-do-mestrado-academico-e-doutorado-2022")</f>
        <v>http://www.ppgneim.ffch.ufba.br/pt-br/ppgneim-2022-processo-seletivo-para-aluna-regular-do-mestrado-academico-e-doutorado-2022</v>
      </c>
      <c r="S529" s="81" t="s">
        <v>5716</v>
      </c>
      <c r="T529" s="81"/>
      <c r="U529" s="81"/>
      <c r="V529" s="84" t="str">
        <f>HYPERLINK("https://pbs.twimg.com/profile_images/1058226559058829312/d4vJ76QL_normal.jpg")</f>
        <v>https://pbs.twimg.com/profile_images/1058226559058829312/d4vJ76QL_normal.jpg</v>
      </c>
      <c r="W529" s="83">
        <v>44462.871608796297</v>
      </c>
      <c r="X529" s="89">
        <v>44462</v>
      </c>
      <c r="Y529" s="86" t="s">
        <v>6005</v>
      </c>
      <c r="Z529" s="84" t="str">
        <f>HYPERLINK("https://twitter.com/odio_nao/status/1441144117199659011")</f>
        <v>https://twitter.com/odio_nao/status/1441144117199659011</v>
      </c>
      <c r="AA529" s="81"/>
      <c r="AB529" s="81"/>
      <c r="AC529" s="86" t="s">
        <v>6908</v>
      </c>
      <c r="AD529" s="81"/>
      <c r="AE529" s="81" t="b">
        <v>0</v>
      </c>
      <c r="AF529" s="81">
        <v>0</v>
      </c>
      <c r="AG529" s="86" t="s">
        <v>2084</v>
      </c>
      <c r="AH529" s="81" t="b">
        <v>0</v>
      </c>
      <c r="AI529" s="81" t="s">
        <v>2171</v>
      </c>
      <c r="AJ529" s="81"/>
      <c r="AK529" s="86" t="s">
        <v>2084</v>
      </c>
      <c r="AL529" s="81" t="b">
        <v>0</v>
      </c>
      <c r="AM529" s="81">
        <v>13</v>
      </c>
      <c r="AN529" s="86" t="s">
        <v>6912</v>
      </c>
      <c r="AO529" s="86" t="s">
        <v>2178</v>
      </c>
      <c r="AP529" s="81" t="b">
        <v>0</v>
      </c>
      <c r="AQ529" s="86" t="s">
        <v>6912</v>
      </c>
      <c r="AR529" s="81" t="s">
        <v>179</v>
      </c>
      <c r="AS529" s="81">
        <v>0</v>
      </c>
      <c r="AT529" s="81">
        <v>0</v>
      </c>
      <c r="AU529" s="81"/>
      <c r="AV529" s="81"/>
      <c r="AW529" s="81"/>
      <c r="AX529" s="81"/>
      <c r="AY529" s="81"/>
      <c r="AZ529" s="81"/>
      <c r="BA529" s="81"/>
      <c r="BB529" s="81"/>
    </row>
    <row r="530" spans="1:54" x14ac:dyDescent="0.35">
      <c r="A530" s="66" t="s">
        <v>4375</v>
      </c>
      <c r="B530" s="66" t="s">
        <v>4375</v>
      </c>
      <c r="C530" s="67"/>
      <c r="D530" s="68"/>
      <c r="E530" s="69"/>
      <c r="F530" s="70"/>
      <c r="G530" s="67"/>
      <c r="H530" s="71"/>
      <c r="I530" s="72"/>
      <c r="J530" s="72"/>
      <c r="K530" s="36"/>
      <c r="L530" s="79"/>
      <c r="M530" s="79"/>
      <c r="N530" s="74"/>
      <c r="O530" s="81" t="s">
        <v>179</v>
      </c>
      <c r="P530" s="83">
        <v>44462.894467592596</v>
      </c>
      <c r="Q530" s="81" t="s">
        <v>5388</v>
      </c>
      <c r="R530" s="84" t="str">
        <f>HYPERLINK("https://curiouscat.qa/Celineqv/post/1241542477")</f>
        <v>https://curiouscat.qa/Celineqv/post/1241542477</v>
      </c>
      <c r="S530" s="81" t="s">
        <v>950</v>
      </c>
      <c r="T530" s="81"/>
      <c r="U530" s="81"/>
      <c r="V530" s="84" t="str">
        <f>HYPERLINK("https://pbs.twimg.com/profile_images/1440276047908335617/ozl6cPCw_normal.jpg")</f>
        <v>https://pbs.twimg.com/profile_images/1440276047908335617/ozl6cPCw_normal.jpg</v>
      </c>
      <c r="W530" s="83">
        <v>44462.894467592596</v>
      </c>
      <c r="X530" s="89">
        <v>44462</v>
      </c>
      <c r="Y530" s="86" t="s">
        <v>6006</v>
      </c>
      <c r="Z530" s="84" t="str">
        <f>HYPERLINK("https://twitter.com/celinequadra/status/1441152401004797952")</f>
        <v>https://twitter.com/celinequadra/status/1441152401004797952</v>
      </c>
      <c r="AA530" s="81"/>
      <c r="AB530" s="81"/>
      <c r="AC530" s="86" t="s">
        <v>6909</v>
      </c>
      <c r="AD530" s="81"/>
      <c r="AE530" s="81" t="b">
        <v>0</v>
      </c>
      <c r="AF530" s="81">
        <v>0</v>
      </c>
      <c r="AG530" s="86" t="s">
        <v>2084</v>
      </c>
      <c r="AH530" s="81" t="b">
        <v>0</v>
      </c>
      <c r="AI530" s="81" t="s">
        <v>2171</v>
      </c>
      <c r="AJ530" s="81"/>
      <c r="AK530" s="86" t="s">
        <v>2084</v>
      </c>
      <c r="AL530" s="81" t="b">
        <v>0</v>
      </c>
      <c r="AM530" s="81">
        <v>0</v>
      </c>
      <c r="AN530" s="86" t="s">
        <v>2084</v>
      </c>
      <c r="AO530" s="86" t="s">
        <v>2179</v>
      </c>
      <c r="AP530" s="81" t="b">
        <v>0</v>
      </c>
      <c r="AQ530" s="86" t="s">
        <v>6909</v>
      </c>
      <c r="AR530" s="81" t="s">
        <v>179</v>
      </c>
      <c r="AS530" s="81">
        <v>0</v>
      </c>
      <c r="AT530" s="81">
        <v>0</v>
      </c>
      <c r="AU530" s="81"/>
      <c r="AV530" s="81"/>
      <c r="AW530" s="81"/>
      <c r="AX530" s="81"/>
      <c r="AY530" s="81"/>
      <c r="AZ530" s="81"/>
      <c r="BA530" s="81"/>
      <c r="BB530" s="81"/>
    </row>
    <row r="531" spans="1:54" x14ac:dyDescent="0.35">
      <c r="A531" s="66" t="s">
        <v>4376</v>
      </c>
      <c r="B531" s="66" t="s">
        <v>4378</v>
      </c>
      <c r="C531" s="67"/>
      <c r="D531" s="68"/>
      <c r="E531" s="69"/>
      <c r="F531" s="70"/>
      <c r="G531" s="67"/>
      <c r="H531" s="71"/>
      <c r="I531" s="72"/>
      <c r="J531" s="72"/>
      <c r="K531" s="36"/>
      <c r="L531" s="79"/>
      <c r="M531" s="79"/>
      <c r="N531" s="74"/>
      <c r="O531" s="81" t="s">
        <v>693</v>
      </c>
      <c r="P531" s="83">
        <v>44462.894768518519</v>
      </c>
      <c r="Q531" s="81" t="s">
        <v>5384</v>
      </c>
      <c r="R531" s="84" t="str">
        <f>HYPERLINK("http://www.ppgneim.ffch.ufba.br/pt-br/ppgneim-2022-processo-seletivo-para-aluna-regular-do-mestrado-academico-e-doutorado-2022")</f>
        <v>http://www.ppgneim.ffch.ufba.br/pt-br/ppgneim-2022-processo-seletivo-para-aluna-regular-do-mestrado-academico-e-doutorado-2022</v>
      </c>
      <c r="S531" s="81" t="s">
        <v>5716</v>
      </c>
      <c r="T531" s="81"/>
      <c r="U531" s="81"/>
      <c r="V531" s="84" t="str">
        <f>HYPERLINK("https://pbs.twimg.com/profile_images/1418598893340798989/S6_pu0cU_normal.jpg")</f>
        <v>https://pbs.twimg.com/profile_images/1418598893340798989/S6_pu0cU_normal.jpg</v>
      </c>
      <c r="W531" s="83">
        <v>44462.894768518519</v>
      </c>
      <c r="X531" s="89">
        <v>44462</v>
      </c>
      <c r="Y531" s="86" t="s">
        <v>6007</v>
      </c>
      <c r="Z531" s="84" t="str">
        <f>HYPERLINK("https://twitter.com/renatofrancisq2/status/1441152512019496968")</f>
        <v>https://twitter.com/renatofrancisq2/status/1441152512019496968</v>
      </c>
      <c r="AA531" s="81"/>
      <c r="AB531" s="81"/>
      <c r="AC531" s="86" t="s">
        <v>6910</v>
      </c>
      <c r="AD531" s="81"/>
      <c r="AE531" s="81" t="b">
        <v>0</v>
      </c>
      <c r="AF531" s="81">
        <v>0</v>
      </c>
      <c r="AG531" s="86" t="s">
        <v>2084</v>
      </c>
      <c r="AH531" s="81" t="b">
        <v>0</v>
      </c>
      <c r="AI531" s="81" t="s">
        <v>2171</v>
      </c>
      <c r="AJ531" s="81"/>
      <c r="AK531" s="86" t="s">
        <v>2084</v>
      </c>
      <c r="AL531" s="81" t="b">
        <v>0</v>
      </c>
      <c r="AM531" s="81">
        <v>13</v>
      </c>
      <c r="AN531" s="86" t="s">
        <v>6912</v>
      </c>
      <c r="AO531" s="86" t="s">
        <v>2178</v>
      </c>
      <c r="AP531" s="81" t="b">
        <v>0</v>
      </c>
      <c r="AQ531" s="86" t="s">
        <v>6912</v>
      </c>
      <c r="AR531" s="81" t="s">
        <v>179</v>
      </c>
      <c r="AS531" s="81">
        <v>0</v>
      </c>
      <c r="AT531" s="81">
        <v>0</v>
      </c>
      <c r="AU531" s="81"/>
      <c r="AV531" s="81"/>
      <c r="AW531" s="81"/>
      <c r="AX531" s="81"/>
      <c r="AY531" s="81"/>
      <c r="AZ531" s="81"/>
      <c r="BA531" s="81"/>
      <c r="BB531" s="81"/>
    </row>
    <row r="532" spans="1:54" x14ac:dyDescent="0.35">
      <c r="A532" s="66" t="s">
        <v>4377</v>
      </c>
      <c r="B532" s="66" t="s">
        <v>5056</v>
      </c>
      <c r="C532" s="67"/>
      <c r="D532" s="68"/>
      <c r="E532" s="69"/>
      <c r="F532" s="70"/>
      <c r="G532" s="67"/>
      <c r="H532" s="71"/>
      <c r="I532" s="72"/>
      <c r="J532" s="72"/>
      <c r="K532" s="36"/>
      <c r="L532" s="79"/>
      <c r="M532" s="79"/>
      <c r="N532" s="74"/>
      <c r="O532" s="81" t="s">
        <v>696</v>
      </c>
      <c r="P532" s="83">
        <v>44462.90457175926</v>
      </c>
      <c r="Q532" s="81" t="s">
        <v>5389</v>
      </c>
      <c r="R532" s="81"/>
      <c r="S532" s="81"/>
      <c r="T532" s="86" t="s">
        <v>5771</v>
      </c>
      <c r="U532" s="81"/>
      <c r="V532" s="84" t="str">
        <f>HYPERLINK("https://pbs.twimg.com/profile_images/1440108547912749058/hvHbMFgL_normal.jpg")</f>
        <v>https://pbs.twimg.com/profile_images/1440108547912749058/hvHbMFgL_normal.jpg</v>
      </c>
      <c r="W532" s="83">
        <v>44462.90457175926</v>
      </c>
      <c r="X532" s="89">
        <v>44462</v>
      </c>
      <c r="Y532" s="86" t="s">
        <v>6008</v>
      </c>
      <c r="Z532" s="84" t="str">
        <f>HYPERLINK("https://twitter.com/anabell84264132/status/1441156063995342849")</f>
        <v>https://twitter.com/anabell84264132/status/1441156063995342849</v>
      </c>
      <c r="AA532" s="81"/>
      <c r="AB532" s="81"/>
      <c r="AC532" s="86" t="s">
        <v>6911</v>
      </c>
      <c r="AD532" s="86" t="s">
        <v>7661</v>
      </c>
      <c r="AE532" s="81" t="b">
        <v>0</v>
      </c>
      <c r="AF532" s="81">
        <v>0</v>
      </c>
      <c r="AG532" s="86" t="s">
        <v>7842</v>
      </c>
      <c r="AH532" s="81" t="b">
        <v>0</v>
      </c>
      <c r="AI532" s="81" t="s">
        <v>2171</v>
      </c>
      <c r="AJ532" s="81"/>
      <c r="AK532" s="86" t="s">
        <v>2084</v>
      </c>
      <c r="AL532" s="81" t="b">
        <v>0</v>
      </c>
      <c r="AM532" s="81">
        <v>0</v>
      </c>
      <c r="AN532" s="86" t="s">
        <v>2084</v>
      </c>
      <c r="AO532" s="86" t="s">
        <v>2178</v>
      </c>
      <c r="AP532" s="81" t="b">
        <v>0</v>
      </c>
      <c r="AQ532" s="86" t="s">
        <v>7661</v>
      </c>
      <c r="AR532" s="81" t="s">
        <v>179</v>
      </c>
      <c r="AS532" s="81">
        <v>0</v>
      </c>
      <c r="AT532" s="81">
        <v>0</v>
      </c>
      <c r="AU532" s="81"/>
      <c r="AV532" s="81"/>
      <c r="AW532" s="81"/>
      <c r="AX532" s="81"/>
      <c r="AY532" s="81"/>
      <c r="AZ532" s="81"/>
      <c r="BA532" s="81"/>
      <c r="BB532" s="81"/>
    </row>
    <row r="533" spans="1:54" x14ac:dyDescent="0.35">
      <c r="A533" s="66" t="s">
        <v>4377</v>
      </c>
      <c r="B533" s="66" t="s">
        <v>4984</v>
      </c>
      <c r="C533" s="67"/>
      <c r="D533" s="68"/>
      <c r="E533" s="69"/>
      <c r="F533" s="70"/>
      <c r="G533" s="67"/>
      <c r="H533" s="71"/>
      <c r="I533" s="72"/>
      <c r="J533" s="72"/>
      <c r="K533" s="36"/>
      <c r="L533" s="79"/>
      <c r="M533" s="79"/>
      <c r="N533" s="74"/>
      <c r="O533" s="81" t="s">
        <v>696</v>
      </c>
      <c r="P533" s="83">
        <v>44462.90457175926</v>
      </c>
      <c r="Q533" s="81" t="s">
        <v>5389</v>
      </c>
      <c r="R533" s="81"/>
      <c r="S533" s="81"/>
      <c r="T533" s="86" t="s">
        <v>5771</v>
      </c>
      <c r="U533" s="81"/>
      <c r="V533" s="84" t="str">
        <f>HYPERLINK("https://pbs.twimg.com/profile_images/1440108547912749058/hvHbMFgL_normal.jpg")</f>
        <v>https://pbs.twimg.com/profile_images/1440108547912749058/hvHbMFgL_normal.jpg</v>
      </c>
      <c r="W533" s="83">
        <v>44462.90457175926</v>
      </c>
      <c r="X533" s="89">
        <v>44462</v>
      </c>
      <c r="Y533" s="86" t="s">
        <v>6008</v>
      </c>
      <c r="Z533" s="84" t="str">
        <f>HYPERLINK("https://twitter.com/anabell84264132/status/1441156063995342849")</f>
        <v>https://twitter.com/anabell84264132/status/1441156063995342849</v>
      </c>
      <c r="AA533" s="81"/>
      <c r="AB533" s="81"/>
      <c r="AC533" s="86" t="s">
        <v>6911</v>
      </c>
      <c r="AD533" s="86" t="s">
        <v>7661</v>
      </c>
      <c r="AE533" s="81" t="b">
        <v>0</v>
      </c>
      <c r="AF533" s="81">
        <v>0</v>
      </c>
      <c r="AG533" s="86" t="s">
        <v>7842</v>
      </c>
      <c r="AH533" s="81" t="b">
        <v>0</v>
      </c>
      <c r="AI533" s="81" t="s">
        <v>2171</v>
      </c>
      <c r="AJ533" s="81"/>
      <c r="AK533" s="86" t="s">
        <v>2084</v>
      </c>
      <c r="AL533" s="81" t="b">
        <v>0</v>
      </c>
      <c r="AM533" s="81">
        <v>0</v>
      </c>
      <c r="AN533" s="86" t="s">
        <v>2084</v>
      </c>
      <c r="AO533" s="86" t="s">
        <v>2178</v>
      </c>
      <c r="AP533" s="81" t="b">
        <v>0</v>
      </c>
      <c r="AQ533" s="86" t="s">
        <v>7661</v>
      </c>
      <c r="AR533" s="81" t="s">
        <v>179</v>
      </c>
      <c r="AS533" s="81">
        <v>0</v>
      </c>
      <c r="AT533" s="81">
        <v>0</v>
      </c>
      <c r="AU533" s="81"/>
      <c r="AV533" s="81"/>
      <c r="AW533" s="81"/>
      <c r="AX533" s="81"/>
      <c r="AY533" s="81"/>
      <c r="AZ533" s="81"/>
      <c r="BA533" s="81"/>
      <c r="BB533" s="81"/>
    </row>
    <row r="534" spans="1:54" x14ac:dyDescent="0.35">
      <c r="A534" s="66" t="s">
        <v>4377</v>
      </c>
      <c r="B534" s="66" t="s">
        <v>5057</v>
      </c>
      <c r="C534" s="67"/>
      <c r="D534" s="68"/>
      <c r="E534" s="69"/>
      <c r="F534" s="70"/>
      <c r="G534" s="67"/>
      <c r="H534" s="71"/>
      <c r="I534" s="72"/>
      <c r="J534" s="72"/>
      <c r="K534" s="36"/>
      <c r="L534" s="79"/>
      <c r="M534" s="79"/>
      <c r="N534" s="74"/>
      <c r="O534" s="81" t="s">
        <v>695</v>
      </c>
      <c r="P534" s="83">
        <v>44462.90457175926</v>
      </c>
      <c r="Q534" s="81" t="s">
        <v>5389</v>
      </c>
      <c r="R534" s="81"/>
      <c r="S534" s="81"/>
      <c r="T534" s="86" t="s">
        <v>5771</v>
      </c>
      <c r="U534" s="81"/>
      <c r="V534" s="84" t="str">
        <f>HYPERLINK("https://pbs.twimg.com/profile_images/1440108547912749058/hvHbMFgL_normal.jpg")</f>
        <v>https://pbs.twimg.com/profile_images/1440108547912749058/hvHbMFgL_normal.jpg</v>
      </c>
      <c r="W534" s="83">
        <v>44462.90457175926</v>
      </c>
      <c r="X534" s="89">
        <v>44462</v>
      </c>
      <c r="Y534" s="86" t="s">
        <v>6008</v>
      </c>
      <c r="Z534" s="84" t="str">
        <f>HYPERLINK("https://twitter.com/anabell84264132/status/1441156063995342849")</f>
        <v>https://twitter.com/anabell84264132/status/1441156063995342849</v>
      </c>
      <c r="AA534" s="81"/>
      <c r="AB534" s="81"/>
      <c r="AC534" s="86" t="s">
        <v>6911</v>
      </c>
      <c r="AD534" s="86" t="s">
        <v>7661</v>
      </c>
      <c r="AE534" s="81" t="b">
        <v>0</v>
      </c>
      <c r="AF534" s="81">
        <v>0</v>
      </c>
      <c r="AG534" s="86" t="s">
        <v>7842</v>
      </c>
      <c r="AH534" s="81" t="b">
        <v>0</v>
      </c>
      <c r="AI534" s="81" t="s">
        <v>2171</v>
      </c>
      <c r="AJ534" s="81"/>
      <c r="AK534" s="86" t="s">
        <v>2084</v>
      </c>
      <c r="AL534" s="81" t="b">
        <v>0</v>
      </c>
      <c r="AM534" s="81">
        <v>0</v>
      </c>
      <c r="AN534" s="86" t="s">
        <v>2084</v>
      </c>
      <c r="AO534" s="86" t="s">
        <v>2178</v>
      </c>
      <c r="AP534" s="81" t="b">
        <v>0</v>
      </c>
      <c r="AQ534" s="86" t="s">
        <v>7661</v>
      </c>
      <c r="AR534" s="81" t="s">
        <v>179</v>
      </c>
      <c r="AS534" s="81">
        <v>0</v>
      </c>
      <c r="AT534" s="81">
        <v>0</v>
      </c>
      <c r="AU534" s="81"/>
      <c r="AV534" s="81"/>
      <c r="AW534" s="81"/>
      <c r="AX534" s="81"/>
      <c r="AY534" s="81"/>
      <c r="AZ534" s="81"/>
      <c r="BA534" s="81"/>
      <c r="BB534" s="81"/>
    </row>
    <row r="535" spans="1:54" x14ac:dyDescent="0.35">
      <c r="A535" s="66" t="s">
        <v>4378</v>
      </c>
      <c r="B535" s="66" t="s">
        <v>4378</v>
      </c>
      <c r="C535" s="67"/>
      <c r="D535" s="68"/>
      <c r="E535" s="69"/>
      <c r="F535" s="70"/>
      <c r="G535" s="67"/>
      <c r="H535" s="71"/>
      <c r="I535" s="72"/>
      <c r="J535" s="72"/>
      <c r="K535" s="36"/>
      <c r="L535" s="79"/>
      <c r="M535" s="79"/>
      <c r="N535" s="74"/>
      <c r="O535" s="81" t="s">
        <v>179</v>
      </c>
      <c r="P535" s="83">
        <v>44462.794502314813</v>
      </c>
      <c r="Q535" s="81" t="s">
        <v>5384</v>
      </c>
      <c r="R535" s="84" t="str">
        <f>HYPERLINK("http://www.ppgneim.ffch.ufba.br/pt-br/ppgneim-2022-processo-seletivo-para-aluna-regular-do-mestrado-academico-e-doutorado-2022")</f>
        <v>http://www.ppgneim.ffch.ufba.br/pt-br/ppgneim-2022-processo-seletivo-para-aluna-regular-do-mestrado-academico-e-doutorado-2022</v>
      </c>
      <c r="S535" s="81" t="s">
        <v>5716</v>
      </c>
      <c r="T535" s="81"/>
      <c r="U535" s="81"/>
      <c r="V535" s="84" t="str">
        <f>HYPERLINK("https://pbs.twimg.com/profile_images/1257666507028529155/2wDkfjJo_normal.jpg")</f>
        <v>https://pbs.twimg.com/profile_images/1257666507028529155/2wDkfjJo_normal.jpg</v>
      </c>
      <c r="W535" s="83">
        <v>44462.794502314813</v>
      </c>
      <c r="X535" s="89">
        <v>44462</v>
      </c>
      <c r="Y535" s="86" t="s">
        <v>6009</v>
      </c>
      <c r="Z535" s="84" t="str">
        <f>HYPERLINK("https://twitter.com/mairakubik/status/1441116174360580105")</f>
        <v>https://twitter.com/mairakubik/status/1441116174360580105</v>
      </c>
      <c r="AA535" s="81"/>
      <c r="AB535" s="81"/>
      <c r="AC535" s="86" t="s">
        <v>6912</v>
      </c>
      <c r="AD535" s="81"/>
      <c r="AE535" s="81" t="b">
        <v>0</v>
      </c>
      <c r="AF535" s="81">
        <v>32</v>
      </c>
      <c r="AG535" s="86" t="s">
        <v>2084</v>
      </c>
      <c r="AH535" s="81" t="b">
        <v>0</v>
      </c>
      <c r="AI535" s="81" t="s">
        <v>2171</v>
      </c>
      <c r="AJ535" s="81"/>
      <c r="AK535" s="86" t="s">
        <v>2084</v>
      </c>
      <c r="AL535" s="81" t="b">
        <v>0</v>
      </c>
      <c r="AM535" s="81">
        <v>13</v>
      </c>
      <c r="AN535" s="86" t="s">
        <v>2084</v>
      </c>
      <c r="AO535" s="86" t="s">
        <v>2179</v>
      </c>
      <c r="AP535" s="81" t="b">
        <v>0</v>
      </c>
      <c r="AQ535" s="86" t="s">
        <v>6912</v>
      </c>
      <c r="AR535" s="81" t="s">
        <v>179</v>
      </c>
      <c r="AS535" s="81">
        <v>0</v>
      </c>
      <c r="AT535" s="81">
        <v>0</v>
      </c>
      <c r="AU535" s="81"/>
      <c r="AV535" s="81"/>
      <c r="AW535" s="81"/>
      <c r="AX535" s="81"/>
      <c r="AY535" s="81"/>
      <c r="AZ535" s="81"/>
      <c r="BA535" s="81"/>
      <c r="BB535" s="81"/>
    </row>
    <row r="536" spans="1:54" x14ac:dyDescent="0.35">
      <c r="A536" s="66" t="s">
        <v>4379</v>
      </c>
      <c r="B536" s="66" t="s">
        <v>4378</v>
      </c>
      <c r="C536" s="67"/>
      <c r="D536" s="68"/>
      <c r="E536" s="69"/>
      <c r="F536" s="70"/>
      <c r="G536" s="67"/>
      <c r="H536" s="71"/>
      <c r="I536" s="72"/>
      <c r="J536" s="72"/>
      <c r="K536" s="36"/>
      <c r="L536" s="79"/>
      <c r="M536" s="79"/>
      <c r="N536" s="74"/>
      <c r="O536" s="81" t="s">
        <v>693</v>
      </c>
      <c r="P536" s="83">
        <v>44462.90625</v>
      </c>
      <c r="Q536" s="81" t="s">
        <v>5384</v>
      </c>
      <c r="R536" s="84" t="str">
        <f>HYPERLINK("http://www.ppgneim.ffch.ufba.br/pt-br/ppgneim-2022-processo-seletivo-para-aluna-regular-do-mestrado-academico-e-doutorado-2022")</f>
        <v>http://www.ppgneim.ffch.ufba.br/pt-br/ppgneim-2022-processo-seletivo-para-aluna-regular-do-mestrado-academico-e-doutorado-2022</v>
      </c>
      <c r="S536" s="81" t="s">
        <v>5716</v>
      </c>
      <c r="T536" s="81"/>
      <c r="U536" s="81"/>
      <c r="V536" s="84" t="str">
        <f>HYPERLINK("https://pbs.twimg.com/profile_images/1248668728155426817/vRq0q8ag_normal.jpg")</f>
        <v>https://pbs.twimg.com/profile_images/1248668728155426817/vRq0q8ag_normal.jpg</v>
      </c>
      <c r="W536" s="83">
        <v>44462.90625</v>
      </c>
      <c r="X536" s="89">
        <v>44462</v>
      </c>
      <c r="Y536" s="86" t="s">
        <v>6010</v>
      </c>
      <c r="Z536" s="84" t="str">
        <f>HYPERLINK("https://twitter.com/fabioperiandro/status/1441156671191990274")</f>
        <v>https://twitter.com/fabioperiandro/status/1441156671191990274</v>
      </c>
      <c r="AA536" s="81"/>
      <c r="AB536" s="81"/>
      <c r="AC536" s="86" t="s">
        <v>6913</v>
      </c>
      <c r="AD536" s="81"/>
      <c r="AE536" s="81" t="b">
        <v>0</v>
      </c>
      <c r="AF536" s="81">
        <v>0</v>
      </c>
      <c r="AG536" s="86" t="s">
        <v>2084</v>
      </c>
      <c r="AH536" s="81" t="b">
        <v>0</v>
      </c>
      <c r="AI536" s="81" t="s">
        <v>2171</v>
      </c>
      <c r="AJ536" s="81"/>
      <c r="AK536" s="86" t="s">
        <v>2084</v>
      </c>
      <c r="AL536" s="81" t="b">
        <v>0</v>
      </c>
      <c r="AM536" s="81">
        <v>13</v>
      </c>
      <c r="AN536" s="86" t="s">
        <v>6912</v>
      </c>
      <c r="AO536" s="86" t="s">
        <v>2179</v>
      </c>
      <c r="AP536" s="81" t="b">
        <v>0</v>
      </c>
      <c r="AQ536" s="86" t="s">
        <v>6912</v>
      </c>
      <c r="AR536" s="81" t="s">
        <v>179</v>
      </c>
      <c r="AS536" s="81">
        <v>0</v>
      </c>
      <c r="AT536" s="81">
        <v>0</v>
      </c>
      <c r="AU536" s="81"/>
      <c r="AV536" s="81"/>
      <c r="AW536" s="81"/>
      <c r="AX536" s="81"/>
      <c r="AY536" s="81"/>
      <c r="AZ536" s="81"/>
      <c r="BA536" s="81"/>
      <c r="BB536" s="81"/>
    </row>
    <row r="537" spans="1:54" x14ac:dyDescent="0.35">
      <c r="A537" s="66" t="s">
        <v>4380</v>
      </c>
      <c r="B537" s="66" t="s">
        <v>4380</v>
      </c>
      <c r="C537" s="67"/>
      <c r="D537" s="68"/>
      <c r="E537" s="69"/>
      <c r="F537" s="70"/>
      <c r="G537" s="67"/>
      <c r="H537" s="71"/>
      <c r="I537" s="72"/>
      <c r="J537" s="72"/>
      <c r="K537" s="36"/>
      <c r="L537" s="79"/>
      <c r="M537" s="79"/>
      <c r="N537" s="74"/>
      <c r="O537" s="81" t="s">
        <v>179</v>
      </c>
      <c r="P537" s="83">
        <v>44462.909050925926</v>
      </c>
      <c r="Q537" s="81" t="s">
        <v>5390</v>
      </c>
      <c r="R537" s="84" t="str">
        <f>HYPERLINK("https://www.genesys.com/pt-br/genesys-cloud?utm_campaign=LATAM+PT&amp;utm_source=twitter&amp;utm_medium=social&amp;utm_content=1632421287")</f>
        <v>https://www.genesys.com/pt-br/genesys-cloud?utm_campaign=LATAM+PT&amp;utm_source=twitter&amp;utm_medium=social&amp;utm_content=1632421287</v>
      </c>
      <c r="S537" s="81" t="s">
        <v>5717</v>
      </c>
      <c r="T537" s="86" t="s">
        <v>5772</v>
      </c>
      <c r="U537" s="84" t="str">
        <f>HYPERLINK("https://pbs.twimg.com/media/FAAFRoZVIAIVwTh.png")</f>
        <v>https://pbs.twimg.com/media/FAAFRoZVIAIVwTh.png</v>
      </c>
      <c r="V537" s="84" t="str">
        <f>HYPERLINK("https://pbs.twimg.com/media/FAAFRoZVIAIVwTh.png")</f>
        <v>https://pbs.twimg.com/media/FAAFRoZVIAIVwTh.png</v>
      </c>
      <c r="W537" s="83">
        <v>44462.909050925926</v>
      </c>
      <c r="X537" s="89">
        <v>44462</v>
      </c>
      <c r="Y537" s="86" t="s">
        <v>6011</v>
      </c>
      <c r="Z537" s="84" t="str">
        <f>HYPERLINK("https://twitter.com/genesys_brasil/status/1441157685244678149")</f>
        <v>https://twitter.com/genesys_brasil/status/1441157685244678149</v>
      </c>
      <c r="AA537" s="81"/>
      <c r="AB537" s="81"/>
      <c r="AC537" s="86" t="s">
        <v>6914</v>
      </c>
      <c r="AD537" s="81"/>
      <c r="AE537" s="81" t="b">
        <v>0</v>
      </c>
      <c r="AF537" s="81">
        <v>1</v>
      </c>
      <c r="AG537" s="86" t="s">
        <v>2084</v>
      </c>
      <c r="AH537" s="81" t="b">
        <v>0</v>
      </c>
      <c r="AI537" s="81" t="s">
        <v>2171</v>
      </c>
      <c r="AJ537" s="81"/>
      <c r="AK537" s="86" t="s">
        <v>2084</v>
      </c>
      <c r="AL537" s="81" t="b">
        <v>0</v>
      </c>
      <c r="AM537" s="81">
        <v>0</v>
      </c>
      <c r="AN537" s="86" t="s">
        <v>2084</v>
      </c>
      <c r="AO537" s="86" t="s">
        <v>7982</v>
      </c>
      <c r="AP537" s="81" t="b">
        <v>0</v>
      </c>
      <c r="AQ537" s="86" t="s">
        <v>6914</v>
      </c>
      <c r="AR537" s="81" t="s">
        <v>179</v>
      </c>
      <c r="AS537" s="81">
        <v>0</v>
      </c>
      <c r="AT537" s="81">
        <v>0</v>
      </c>
      <c r="AU537" s="81"/>
      <c r="AV537" s="81"/>
      <c r="AW537" s="81"/>
      <c r="AX537" s="81"/>
      <c r="AY537" s="81"/>
      <c r="AZ537" s="81"/>
      <c r="BA537" s="81"/>
      <c r="BB537" s="81"/>
    </row>
    <row r="538" spans="1:54" x14ac:dyDescent="0.35">
      <c r="A538" s="66" t="s">
        <v>4381</v>
      </c>
      <c r="B538" s="66" t="s">
        <v>4381</v>
      </c>
      <c r="C538" s="67"/>
      <c r="D538" s="68"/>
      <c r="E538" s="69"/>
      <c r="F538" s="70"/>
      <c r="G538" s="67"/>
      <c r="H538" s="71"/>
      <c r="I538" s="72"/>
      <c r="J538" s="72"/>
      <c r="K538" s="36"/>
      <c r="L538" s="79"/>
      <c r="M538" s="79"/>
      <c r="N538" s="74"/>
      <c r="O538" s="81" t="s">
        <v>179</v>
      </c>
      <c r="P538" s="83">
        <v>44462.925983796296</v>
      </c>
      <c r="Q538" s="81" t="s">
        <v>5391</v>
      </c>
      <c r="R538" s="81"/>
      <c r="S538" s="81"/>
      <c r="T538" s="81"/>
      <c r="U538" s="84" t="str">
        <f>HYPERLINK("https://pbs.twimg.com/media/FAAJqQnUcAkrV7v.jpg")</f>
        <v>https://pbs.twimg.com/media/FAAJqQnUcAkrV7v.jpg</v>
      </c>
      <c r="V538" s="84" t="str">
        <f>HYPERLINK("https://pbs.twimg.com/media/FAAJqQnUcAkrV7v.jpg")</f>
        <v>https://pbs.twimg.com/media/FAAJqQnUcAkrV7v.jpg</v>
      </c>
      <c r="W538" s="83">
        <v>44462.925983796296</v>
      </c>
      <c r="X538" s="89">
        <v>44462</v>
      </c>
      <c r="Y538" s="86" t="s">
        <v>6012</v>
      </c>
      <c r="Z538" s="84" t="str">
        <f>HYPERLINK("https://twitter.com/krysbrasil/status/1441163820668489728")</f>
        <v>https://twitter.com/krysbrasil/status/1441163820668489728</v>
      </c>
      <c r="AA538" s="81"/>
      <c r="AB538" s="81"/>
      <c r="AC538" s="86" t="s">
        <v>6915</v>
      </c>
      <c r="AD538" s="86" t="s">
        <v>7662</v>
      </c>
      <c r="AE538" s="81" t="b">
        <v>0</v>
      </c>
      <c r="AF538" s="81">
        <v>0</v>
      </c>
      <c r="AG538" s="86" t="s">
        <v>7843</v>
      </c>
      <c r="AH538" s="81" t="b">
        <v>0</v>
      </c>
      <c r="AI538" s="81" t="s">
        <v>2171</v>
      </c>
      <c r="AJ538" s="81"/>
      <c r="AK538" s="86" t="s">
        <v>2084</v>
      </c>
      <c r="AL538" s="81" t="b">
        <v>0</v>
      </c>
      <c r="AM538" s="81">
        <v>0</v>
      </c>
      <c r="AN538" s="86" t="s">
        <v>2084</v>
      </c>
      <c r="AO538" s="86" t="s">
        <v>2181</v>
      </c>
      <c r="AP538" s="81" t="b">
        <v>0</v>
      </c>
      <c r="AQ538" s="86" t="s">
        <v>7662</v>
      </c>
      <c r="AR538" s="81" t="s">
        <v>179</v>
      </c>
      <c r="AS538" s="81">
        <v>0</v>
      </c>
      <c r="AT538" s="81">
        <v>0</v>
      </c>
      <c r="AU538" s="81"/>
      <c r="AV538" s="81"/>
      <c r="AW538" s="81"/>
      <c r="AX538" s="81"/>
      <c r="AY538" s="81"/>
      <c r="AZ538" s="81"/>
      <c r="BA538" s="81"/>
      <c r="BB538" s="81"/>
    </row>
    <row r="539" spans="1:54" x14ac:dyDescent="0.35">
      <c r="A539" s="66" t="s">
        <v>4381</v>
      </c>
      <c r="B539" s="66" t="s">
        <v>4381</v>
      </c>
      <c r="C539" s="67"/>
      <c r="D539" s="68"/>
      <c r="E539" s="69"/>
      <c r="F539" s="70"/>
      <c r="G539" s="67"/>
      <c r="H539" s="71"/>
      <c r="I539" s="72"/>
      <c r="J539" s="72"/>
      <c r="K539" s="36"/>
      <c r="L539" s="79"/>
      <c r="M539" s="79"/>
      <c r="N539" s="74"/>
      <c r="O539" s="81" t="s">
        <v>179</v>
      </c>
      <c r="P539" s="83">
        <v>44462.929768518516</v>
      </c>
      <c r="Q539" s="81" t="s">
        <v>5392</v>
      </c>
      <c r="R539" s="81"/>
      <c r="S539" s="81"/>
      <c r="T539" s="81"/>
      <c r="U539" s="84" t="str">
        <f>HYPERLINK("https://pbs.twimg.com/media/FAAL0q2VcAoz0Nc.png")</f>
        <v>https://pbs.twimg.com/media/FAAL0q2VcAoz0Nc.png</v>
      </c>
      <c r="V539" s="84" t="str">
        <f>HYPERLINK("https://pbs.twimg.com/media/FAAL0q2VcAoz0Nc.png")</f>
        <v>https://pbs.twimg.com/media/FAAL0q2VcAoz0Nc.png</v>
      </c>
      <c r="W539" s="83">
        <v>44462.929768518516</v>
      </c>
      <c r="X539" s="89">
        <v>44462</v>
      </c>
      <c r="Y539" s="86" t="s">
        <v>6013</v>
      </c>
      <c r="Z539" s="84" t="str">
        <f>HYPERLINK("https://twitter.com/krysbrasil/status/1441165193564737536")</f>
        <v>https://twitter.com/krysbrasil/status/1441165193564737536</v>
      </c>
      <c r="AA539" s="81"/>
      <c r="AB539" s="81"/>
      <c r="AC539" s="86" t="s">
        <v>6916</v>
      </c>
      <c r="AD539" s="86" t="s">
        <v>7663</v>
      </c>
      <c r="AE539" s="81" t="b">
        <v>0</v>
      </c>
      <c r="AF539" s="81">
        <v>0</v>
      </c>
      <c r="AG539" s="86" t="s">
        <v>7843</v>
      </c>
      <c r="AH539" s="81" t="b">
        <v>0</v>
      </c>
      <c r="AI539" s="81" t="s">
        <v>2171</v>
      </c>
      <c r="AJ539" s="81"/>
      <c r="AK539" s="86" t="s">
        <v>2084</v>
      </c>
      <c r="AL539" s="81" t="b">
        <v>0</v>
      </c>
      <c r="AM539" s="81">
        <v>0</v>
      </c>
      <c r="AN539" s="86" t="s">
        <v>2084</v>
      </c>
      <c r="AO539" s="86" t="s">
        <v>2181</v>
      </c>
      <c r="AP539" s="81" t="b">
        <v>0</v>
      </c>
      <c r="AQ539" s="86" t="s">
        <v>7663</v>
      </c>
      <c r="AR539" s="81" t="s">
        <v>179</v>
      </c>
      <c r="AS539" s="81">
        <v>0</v>
      </c>
      <c r="AT539" s="81">
        <v>0</v>
      </c>
      <c r="AU539" s="81"/>
      <c r="AV539" s="81"/>
      <c r="AW539" s="81"/>
      <c r="AX539" s="81"/>
      <c r="AY539" s="81"/>
      <c r="AZ539" s="81"/>
      <c r="BA539" s="81"/>
      <c r="BB539" s="81"/>
    </row>
    <row r="540" spans="1:54" x14ac:dyDescent="0.35">
      <c r="A540" s="66" t="s">
        <v>4382</v>
      </c>
      <c r="B540" s="66" t="s">
        <v>5058</v>
      </c>
      <c r="C540" s="67"/>
      <c r="D540" s="68"/>
      <c r="E540" s="69"/>
      <c r="F540" s="70"/>
      <c r="G540" s="67"/>
      <c r="H540" s="71"/>
      <c r="I540" s="72"/>
      <c r="J540" s="72"/>
      <c r="K540" s="36"/>
      <c r="L540" s="79"/>
      <c r="M540" s="79"/>
      <c r="N540" s="74"/>
      <c r="O540" s="81" t="s">
        <v>696</v>
      </c>
      <c r="P540" s="83">
        <v>44462.935787037037</v>
      </c>
      <c r="Q540" s="81" t="s">
        <v>5393</v>
      </c>
      <c r="R540" s="84" t="str">
        <f>HYPERLINK("https://www.gov.br/anvisa/pt-br/assuntos/noticias-anvisa/2021/anvisa-alerta-sobre-risco-de-miocardite-e-pericardite-pos-vacinacao")</f>
        <v>https://www.gov.br/anvisa/pt-br/assuntos/noticias-anvisa/2021/anvisa-alerta-sobre-risco-de-miocardite-e-pericardite-pos-vacinacao</v>
      </c>
      <c r="S540" s="81" t="s">
        <v>5686</v>
      </c>
      <c r="T540" s="81"/>
      <c r="U540" s="81"/>
      <c r="V540" s="84" t="str">
        <f>HYPERLINK("https://pbs.twimg.com/profile_images/1379846698168692736/sGR1U13X_normal.jpg")</f>
        <v>https://pbs.twimg.com/profile_images/1379846698168692736/sGR1U13X_normal.jpg</v>
      </c>
      <c r="W540" s="83">
        <v>44462.935787037037</v>
      </c>
      <c r="X540" s="89">
        <v>44462</v>
      </c>
      <c r="Y540" s="86" t="s">
        <v>6014</v>
      </c>
      <c r="Z540" s="84" t="str">
        <f>HYPERLINK("https://twitter.com/naoesquerda/status/1441167374569279495")</f>
        <v>https://twitter.com/naoesquerda/status/1441167374569279495</v>
      </c>
      <c r="AA540" s="81"/>
      <c r="AB540" s="81"/>
      <c r="AC540" s="86" t="s">
        <v>6917</v>
      </c>
      <c r="AD540" s="86" t="s">
        <v>7664</v>
      </c>
      <c r="AE540" s="81" t="b">
        <v>0</v>
      </c>
      <c r="AF540" s="81">
        <v>0</v>
      </c>
      <c r="AG540" s="86" t="s">
        <v>7844</v>
      </c>
      <c r="AH540" s="81" t="b">
        <v>0</v>
      </c>
      <c r="AI540" s="81" t="s">
        <v>2173</v>
      </c>
      <c r="AJ540" s="81"/>
      <c r="AK540" s="86" t="s">
        <v>2084</v>
      </c>
      <c r="AL540" s="81" t="b">
        <v>0</v>
      </c>
      <c r="AM540" s="81">
        <v>0</v>
      </c>
      <c r="AN540" s="86" t="s">
        <v>2084</v>
      </c>
      <c r="AO540" s="86" t="s">
        <v>2178</v>
      </c>
      <c r="AP540" s="81" t="b">
        <v>0</v>
      </c>
      <c r="AQ540" s="86" t="s">
        <v>7664</v>
      </c>
      <c r="AR540" s="81" t="s">
        <v>179</v>
      </c>
      <c r="AS540" s="81">
        <v>0</v>
      </c>
      <c r="AT540" s="81">
        <v>0</v>
      </c>
      <c r="AU540" s="81"/>
      <c r="AV540" s="81"/>
      <c r="AW540" s="81"/>
      <c r="AX540" s="81"/>
      <c r="AY540" s="81"/>
      <c r="AZ540" s="81"/>
      <c r="BA540" s="81"/>
      <c r="BB540" s="81"/>
    </row>
    <row r="541" spans="1:54" x14ac:dyDescent="0.35">
      <c r="A541" s="66" t="s">
        <v>4382</v>
      </c>
      <c r="B541" s="66" t="s">
        <v>5059</v>
      </c>
      <c r="C541" s="67"/>
      <c r="D541" s="68"/>
      <c r="E541" s="69"/>
      <c r="F541" s="70"/>
      <c r="G541" s="67"/>
      <c r="H541" s="71"/>
      <c r="I541" s="72"/>
      <c r="J541" s="72"/>
      <c r="K541" s="36"/>
      <c r="L541" s="79"/>
      <c r="M541" s="79"/>
      <c r="N541" s="74"/>
      <c r="O541" s="81" t="s">
        <v>696</v>
      </c>
      <c r="P541" s="83">
        <v>44462.935787037037</v>
      </c>
      <c r="Q541" s="81" t="s">
        <v>5393</v>
      </c>
      <c r="R541" s="84" t="str">
        <f>HYPERLINK("https://www.gov.br/anvisa/pt-br/assuntos/noticias-anvisa/2021/anvisa-alerta-sobre-risco-de-miocardite-e-pericardite-pos-vacinacao")</f>
        <v>https://www.gov.br/anvisa/pt-br/assuntos/noticias-anvisa/2021/anvisa-alerta-sobre-risco-de-miocardite-e-pericardite-pos-vacinacao</v>
      </c>
      <c r="S541" s="81" t="s">
        <v>5686</v>
      </c>
      <c r="T541" s="81"/>
      <c r="U541" s="81"/>
      <c r="V541" s="84" t="str">
        <f>HYPERLINK("https://pbs.twimg.com/profile_images/1379846698168692736/sGR1U13X_normal.jpg")</f>
        <v>https://pbs.twimg.com/profile_images/1379846698168692736/sGR1U13X_normal.jpg</v>
      </c>
      <c r="W541" s="83">
        <v>44462.935787037037</v>
      </c>
      <c r="X541" s="89">
        <v>44462</v>
      </c>
      <c r="Y541" s="86" t="s">
        <v>6014</v>
      </c>
      <c r="Z541" s="84" t="str">
        <f>HYPERLINK("https://twitter.com/naoesquerda/status/1441167374569279495")</f>
        <v>https://twitter.com/naoesquerda/status/1441167374569279495</v>
      </c>
      <c r="AA541" s="81"/>
      <c r="AB541" s="81"/>
      <c r="AC541" s="86" t="s">
        <v>6917</v>
      </c>
      <c r="AD541" s="86" t="s">
        <v>7664</v>
      </c>
      <c r="AE541" s="81" t="b">
        <v>0</v>
      </c>
      <c r="AF541" s="81">
        <v>0</v>
      </c>
      <c r="AG541" s="86" t="s">
        <v>7844</v>
      </c>
      <c r="AH541" s="81" t="b">
        <v>0</v>
      </c>
      <c r="AI541" s="81" t="s">
        <v>2173</v>
      </c>
      <c r="AJ541" s="81"/>
      <c r="AK541" s="86" t="s">
        <v>2084</v>
      </c>
      <c r="AL541" s="81" t="b">
        <v>0</v>
      </c>
      <c r="AM541" s="81">
        <v>0</v>
      </c>
      <c r="AN541" s="86" t="s">
        <v>2084</v>
      </c>
      <c r="AO541" s="86" t="s">
        <v>2178</v>
      </c>
      <c r="AP541" s="81" t="b">
        <v>0</v>
      </c>
      <c r="AQ541" s="86" t="s">
        <v>7664</v>
      </c>
      <c r="AR541" s="81" t="s">
        <v>179</v>
      </c>
      <c r="AS541" s="81">
        <v>0</v>
      </c>
      <c r="AT541" s="81">
        <v>0</v>
      </c>
      <c r="AU541" s="81"/>
      <c r="AV541" s="81"/>
      <c r="AW541" s="81"/>
      <c r="AX541" s="81"/>
      <c r="AY541" s="81"/>
      <c r="AZ541" s="81"/>
      <c r="BA541" s="81"/>
      <c r="BB541" s="81"/>
    </row>
    <row r="542" spans="1:54" x14ac:dyDescent="0.35">
      <c r="A542" s="66" t="s">
        <v>4382</v>
      </c>
      <c r="B542" s="66" t="s">
        <v>5060</v>
      </c>
      <c r="C542" s="67"/>
      <c r="D542" s="68"/>
      <c r="E542" s="69"/>
      <c r="F542" s="70"/>
      <c r="G542" s="67"/>
      <c r="H542" s="71"/>
      <c r="I542" s="72"/>
      <c r="J542" s="72"/>
      <c r="K542" s="36"/>
      <c r="L542" s="79"/>
      <c r="M542" s="79"/>
      <c r="N542" s="74"/>
      <c r="O542" s="81" t="s">
        <v>695</v>
      </c>
      <c r="P542" s="83">
        <v>44462.935787037037</v>
      </c>
      <c r="Q542" s="81" t="s">
        <v>5393</v>
      </c>
      <c r="R542" s="84" t="str">
        <f>HYPERLINK("https://www.gov.br/anvisa/pt-br/assuntos/noticias-anvisa/2021/anvisa-alerta-sobre-risco-de-miocardite-e-pericardite-pos-vacinacao")</f>
        <v>https://www.gov.br/anvisa/pt-br/assuntos/noticias-anvisa/2021/anvisa-alerta-sobre-risco-de-miocardite-e-pericardite-pos-vacinacao</v>
      </c>
      <c r="S542" s="81" t="s">
        <v>5686</v>
      </c>
      <c r="T542" s="81"/>
      <c r="U542" s="81"/>
      <c r="V542" s="84" t="str">
        <f>HYPERLINK("https://pbs.twimg.com/profile_images/1379846698168692736/sGR1U13X_normal.jpg")</f>
        <v>https://pbs.twimg.com/profile_images/1379846698168692736/sGR1U13X_normal.jpg</v>
      </c>
      <c r="W542" s="83">
        <v>44462.935787037037</v>
      </c>
      <c r="X542" s="89">
        <v>44462</v>
      </c>
      <c r="Y542" s="86" t="s">
        <v>6014</v>
      </c>
      <c r="Z542" s="84" t="str">
        <f>HYPERLINK("https://twitter.com/naoesquerda/status/1441167374569279495")</f>
        <v>https://twitter.com/naoesquerda/status/1441167374569279495</v>
      </c>
      <c r="AA542" s="81"/>
      <c r="AB542" s="81"/>
      <c r="AC542" s="86" t="s">
        <v>6917</v>
      </c>
      <c r="AD542" s="86" t="s">
        <v>7664</v>
      </c>
      <c r="AE542" s="81" t="b">
        <v>0</v>
      </c>
      <c r="AF542" s="81">
        <v>0</v>
      </c>
      <c r="AG542" s="86" t="s">
        <v>7844</v>
      </c>
      <c r="AH542" s="81" t="b">
        <v>0</v>
      </c>
      <c r="AI542" s="81" t="s">
        <v>2173</v>
      </c>
      <c r="AJ542" s="81"/>
      <c r="AK542" s="86" t="s">
        <v>2084</v>
      </c>
      <c r="AL542" s="81" t="b">
        <v>0</v>
      </c>
      <c r="AM542" s="81">
        <v>0</v>
      </c>
      <c r="AN542" s="86" t="s">
        <v>2084</v>
      </c>
      <c r="AO542" s="86" t="s">
        <v>2178</v>
      </c>
      <c r="AP542" s="81" t="b">
        <v>0</v>
      </c>
      <c r="AQ542" s="86" t="s">
        <v>7664</v>
      </c>
      <c r="AR542" s="81" t="s">
        <v>179</v>
      </c>
      <c r="AS542" s="81">
        <v>0</v>
      </c>
      <c r="AT542" s="81">
        <v>0</v>
      </c>
      <c r="AU542" s="81"/>
      <c r="AV542" s="81"/>
      <c r="AW542" s="81"/>
      <c r="AX542" s="81"/>
      <c r="AY542" s="81"/>
      <c r="AZ542" s="81"/>
      <c r="BA542" s="81"/>
      <c r="BB542" s="81"/>
    </row>
    <row r="543" spans="1:54" x14ac:dyDescent="0.35">
      <c r="A543" s="66" t="s">
        <v>4383</v>
      </c>
      <c r="B543" s="66" t="s">
        <v>5061</v>
      </c>
      <c r="C543" s="67"/>
      <c r="D543" s="68"/>
      <c r="E543" s="69"/>
      <c r="F543" s="70"/>
      <c r="G543" s="67"/>
      <c r="H543" s="71"/>
      <c r="I543" s="72"/>
      <c r="J543" s="72"/>
      <c r="K543" s="36"/>
      <c r="L543" s="79"/>
      <c r="M543" s="79"/>
      <c r="N543" s="74"/>
      <c r="O543" s="81" t="s">
        <v>695</v>
      </c>
      <c r="P543" s="83">
        <v>44462.963900462964</v>
      </c>
      <c r="Q543" s="81" t="s">
        <v>5394</v>
      </c>
      <c r="R543" s="81"/>
      <c r="S543" s="81"/>
      <c r="T543" s="81"/>
      <c r="U543" s="81"/>
      <c r="V543" s="84" t="str">
        <f>HYPERLINK("https://pbs.twimg.com/profile_images/1398886608330317824/-l-IJcvi_normal.jpg")</f>
        <v>https://pbs.twimg.com/profile_images/1398886608330317824/-l-IJcvi_normal.jpg</v>
      </c>
      <c r="W543" s="83">
        <v>44462.963900462964</v>
      </c>
      <c r="X543" s="89">
        <v>44462</v>
      </c>
      <c r="Y543" s="86" t="s">
        <v>6015</v>
      </c>
      <c r="Z543" s="84" t="str">
        <f>HYPERLINK("https://twitter.com/ompian/status/1441177561954881542")</f>
        <v>https://twitter.com/ompian/status/1441177561954881542</v>
      </c>
      <c r="AA543" s="81"/>
      <c r="AB543" s="81"/>
      <c r="AC543" s="86" t="s">
        <v>6918</v>
      </c>
      <c r="AD543" s="86" t="s">
        <v>7665</v>
      </c>
      <c r="AE543" s="81" t="b">
        <v>0</v>
      </c>
      <c r="AF543" s="81">
        <v>0</v>
      </c>
      <c r="AG543" s="86" t="s">
        <v>7845</v>
      </c>
      <c r="AH543" s="81" t="b">
        <v>0</v>
      </c>
      <c r="AI543" s="81" t="s">
        <v>2167</v>
      </c>
      <c r="AJ543" s="81"/>
      <c r="AK543" s="86" t="s">
        <v>2084</v>
      </c>
      <c r="AL543" s="81" t="b">
        <v>0</v>
      </c>
      <c r="AM543" s="81">
        <v>0</v>
      </c>
      <c r="AN543" s="86" t="s">
        <v>2084</v>
      </c>
      <c r="AO543" s="86" t="s">
        <v>2179</v>
      </c>
      <c r="AP543" s="81" t="b">
        <v>0</v>
      </c>
      <c r="AQ543" s="86" t="s">
        <v>7665</v>
      </c>
      <c r="AR543" s="81" t="s">
        <v>179</v>
      </c>
      <c r="AS543" s="81">
        <v>0</v>
      </c>
      <c r="AT543" s="81">
        <v>0</v>
      </c>
      <c r="AU543" s="81"/>
      <c r="AV543" s="81"/>
      <c r="AW543" s="81"/>
      <c r="AX543" s="81"/>
      <c r="AY543" s="81"/>
      <c r="AZ543" s="81"/>
      <c r="BA543" s="81"/>
      <c r="BB543" s="81"/>
    </row>
    <row r="544" spans="1:54" x14ac:dyDescent="0.35">
      <c r="A544" s="66" t="s">
        <v>4384</v>
      </c>
      <c r="B544" s="66" t="s">
        <v>4384</v>
      </c>
      <c r="C544" s="67"/>
      <c r="D544" s="68"/>
      <c r="E544" s="69"/>
      <c r="F544" s="70"/>
      <c r="G544" s="67"/>
      <c r="H544" s="71"/>
      <c r="I544" s="72"/>
      <c r="J544" s="72"/>
      <c r="K544" s="36"/>
      <c r="L544" s="79"/>
      <c r="M544" s="79"/>
      <c r="N544" s="74"/>
      <c r="O544" s="81" t="s">
        <v>179</v>
      </c>
      <c r="P544" s="83">
        <v>44462.982141203705</v>
      </c>
      <c r="Q544" s="81" t="s">
        <v>5395</v>
      </c>
      <c r="R544" s="84" t="str">
        <f>HYPERLINK("https://twitter.com/licajost/status/1440905090462846976")</f>
        <v>https://twitter.com/licajost/status/1440905090462846976</v>
      </c>
      <c r="S544" s="81" t="s">
        <v>936</v>
      </c>
      <c r="T544" s="81"/>
      <c r="U544" s="84" t="str">
        <f>HYPERLINK("https://pbs.twimg.com/media/FAAdWvuVgAEmXzO.jpg")</f>
        <v>https://pbs.twimg.com/media/FAAdWvuVgAEmXzO.jpg</v>
      </c>
      <c r="V544" s="84" t="str">
        <f>HYPERLINK("https://pbs.twimg.com/media/FAAdWvuVgAEmXzO.jpg")</f>
        <v>https://pbs.twimg.com/media/FAAdWvuVgAEmXzO.jpg</v>
      </c>
      <c r="W544" s="83">
        <v>44462.982141203705</v>
      </c>
      <c r="X544" s="89">
        <v>44462</v>
      </c>
      <c r="Y544" s="86" t="s">
        <v>6016</v>
      </c>
      <c r="Z544" s="84" t="str">
        <f>HYPERLINK("https://twitter.com/gomesgiuliaa/status/1441184174958776325")</f>
        <v>https://twitter.com/gomesgiuliaa/status/1441184174958776325</v>
      </c>
      <c r="AA544" s="81"/>
      <c r="AB544" s="81"/>
      <c r="AC544" s="86" t="s">
        <v>6919</v>
      </c>
      <c r="AD544" s="81"/>
      <c r="AE544" s="81" t="b">
        <v>0</v>
      </c>
      <c r="AF544" s="81">
        <v>6</v>
      </c>
      <c r="AG544" s="86" t="s">
        <v>2084</v>
      </c>
      <c r="AH544" s="81" t="b">
        <v>1</v>
      </c>
      <c r="AI544" s="81" t="s">
        <v>2171</v>
      </c>
      <c r="AJ544" s="81"/>
      <c r="AK544" s="86" t="s">
        <v>7964</v>
      </c>
      <c r="AL544" s="81" t="b">
        <v>0</v>
      </c>
      <c r="AM544" s="81">
        <v>0</v>
      </c>
      <c r="AN544" s="86" t="s">
        <v>2084</v>
      </c>
      <c r="AO544" s="86" t="s">
        <v>2179</v>
      </c>
      <c r="AP544" s="81" t="b">
        <v>0</v>
      </c>
      <c r="AQ544" s="86" t="s">
        <v>6919</v>
      </c>
      <c r="AR544" s="81" t="s">
        <v>179</v>
      </c>
      <c r="AS544" s="81">
        <v>0</v>
      </c>
      <c r="AT544" s="81">
        <v>0</v>
      </c>
      <c r="AU544" s="81"/>
      <c r="AV544" s="81"/>
      <c r="AW544" s="81"/>
      <c r="AX544" s="81"/>
      <c r="AY544" s="81"/>
      <c r="AZ544" s="81"/>
      <c r="BA544" s="81"/>
      <c r="BB544" s="81"/>
    </row>
    <row r="545" spans="1:54" x14ac:dyDescent="0.35">
      <c r="A545" s="66" t="s">
        <v>4385</v>
      </c>
      <c r="B545" s="66" t="s">
        <v>5062</v>
      </c>
      <c r="C545" s="67"/>
      <c r="D545" s="68"/>
      <c r="E545" s="69"/>
      <c r="F545" s="70"/>
      <c r="G545" s="67"/>
      <c r="H545" s="71"/>
      <c r="I545" s="72"/>
      <c r="J545" s="72"/>
      <c r="K545" s="36"/>
      <c r="L545" s="79"/>
      <c r="M545" s="79"/>
      <c r="N545" s="74"/>
      <c r="O545" s="81" t="s">
        <v>695</v>
      </c>
      <c r="P545" s="83">
        <v>44462.988310185188</v>
      </c>
      <c r="Q545" s="81" t="s">
        <v>5396</v>
      </c>
      <c r="R545" s="81"/>
      <c r="S545" s="81"/>
      <c r="T545" s="81"/>
      <c r="U545" s="81"/>
      <c r="V545" s="84" t="str">
        <f>HYPERLINK("https://pbs.twimg.com/profile_images/1403120495810187264/obVI8IdD_normal.jpg")</f>
        <v>https://pbs.twimg.com/profile_images/1403120495810187264/obVI8IdD_normal.jpg</v>
      </c>
      <c r="W545" s="83">
        <v>44462.988310185188</v>
      </c>
      <c r="X545" s="89">
        <v>44462</v>
      </c>
      <c r="Y545" s="86" t="s">
        <v>6017</v>
      </c>
      <c r="Z545" s="84" t="str">
        <f>HYPERLINK("https://twitter.com/pulguinhalhp/status/1441186410195656706")</f>
        <v>https://twitter.com/pulguinhalhp/status/1441186410195656706</v>
      </c>
      <c r="AA545" s="81"/>
      <c r="AB545" s="81"/>
      <c r="AC545" s="86" t="s">
        <v>6920</v>
      </c>
      <c r="AD545" s="86" t="s">
        <v>7666</v>
      </c>
      <c r="AE545" s="81" t="b">
        <v>0</v>
      </c>
      <c r="AF545" s="81">
        <v>0</v>
      </c>
      <c r="AG545" s="86" t="s">
        <v>7846</v>
      </c>
      <c r="AH545" s="81" t="b">
        <v>0</v>
      </c>
      <c r="AI545" s="81" t="s">
        <v>2171</v>
      </c>
      <c r="AJ545" s="81"/>
      <c r="AK545" s="86" t="s">
        <v>2084</v>
      </c>
      <c r="AL545" s="81" t="b">
        <v>0</v>
      </c>
      <c r="AM545" s="81">
        <v>0</v>
      </c>
      <c r="AN545" s="86" t="s">
        <v>2084</v>
      </c>
      <c r="AO545" s="86" t="s">
        <v>2178</v>
      </c>
      <c r="AP545" s="81" t="b">
        <v>0</v>
      </c>
      <c r="AQ545" s="86" t="s">
        <v>7666</v>
      </c>
      <c r="AR545" s="81" t="s">
        <v>179</v>
      </c>
      <c r="AS545" s="81">
        <v>0</v>
      </c>
      <c r="AT545" s="81">
        <v>0</v>
      </c>
      <c r="AU545" s="81"/>
      <c r="AV545" s="81"/>
      <c r="AW545" s="81"/>
      <c r="AX545" s="81"/>
      <c r="AY545" s="81"/>
      <c r="AZ545" s="81"/>
      <c r="BA545" s="81"/>
      <c r="BB545" s="81"/>
    </row>
    <row r="546" spans="1:54" x14ac:dyDescent="0.35">
      <c r="A546" s="66" t="s">
        <v>4386</v>
      </c>
      <c r="B546" s="66" t="s">
        <v>4386</v>
      </c>
      <c r="C546" s="67"/>
      <c r="D546" s="68"/>
      <c r="E546" s="69"/>
      <c r="F546" s="70"/>
      <c r="G546" s="67"/>
      <c r="H546" s="71"/>
      <c r="I546" s="72"/>
      <c r="J546" s="72"/>
      <c r="K546" s="36"/>
      <c r="L546" s="79"/>
      <c r="M546" s="79"/>
      <c r="N546" s="74"/>
      <c r="O546" s="81" t="s">
        <v>179</v>
      </c>
      <c r="P546" s="83">
        <v>44462.607453703706</v>
      </c>
      <c r="Q546" s="81" t="s">
        <v>5397</v>
      </c>
      <c r="R546" s="81"/>
      <c r="S546" s="81"/>
      <c r="T546" s="81"/>
      <c r="U546" s="81"/>
      <c r="V546" s="84" t="str">
        <f>HYPERLINK("https://pbs.twimg.com/profile_images/1434276357777895430/hHgsGmwK_normal.jpg")</f>
        <v>https://pbs.twimg.com/profile_images/1434276357777895430/hHgsGmwK_normal.jpg</v>
      </c>
      <c r="W546" s="83">
        <v>44462.607453703706</v>
      </c>
      <c r="X546" s="89">
        <v>44462</v>
      </c>
      <c r="Y546" s="86" t="s">
        <v>6018</v>
      </c>
      <c r="Z546" s="84" t="str">
        <f>HYPERLINK("https://twitter.com/victoraciarlini/status/1441048391207751680")</f>
        <v>https://twitter.com/victoraciarlini/status/1441048391207751680</v>
      </c>
      <c r="AA546" s="81"/>
      <c r="AB546" s="81"/>
      <c r="AC546" s="86" t="s">
        <v>6921</v>
      </c>
      <c r="AD546" s="81"/>
      <c r="AE546" s="81" t="b">
        <v>0</v>
      </c>
      <c r="AF546" s="81">
        <v>0</v>
      </c>
      <c r="AG546" s="86" t="s">
        <v>2084</v>
      </c>
      <c r="AH546" s="81" t="b">
        <v>0</v>
      </c>
      <c r="AI546" s="81" t="s">
        <v>2171</v>
      </c>
      <c r="AJ546" s="81"/>
      <c r="AK546" s="86" t="s">
        <v>2084</v>
      </c>
      <c r="AL546" s="81" t="b">
        <v>0</v>
      </c>
      <c r="AM546" s="81">
        <v>1</v>
      </c>
      <c r="AN546" s="86" t="s">
        <v>2084</v>
      </c>
      <c r="AO546" s="86" t="s">
        <v>2181</v>
      </c>
      <c r="AP546" s="81" t="b">
        <v>0</v>
      </c>
      <c r="AQ546" s="86" t="s">
        <v>6921</v>
      </c>
      <c r="AR546" s="81" t="s">
        <v>179</v>
      </c>
      <c r="AS546" s="81">
        <v>0</v>
      </c>
      <c r="AT546" s="81">
        <v>0</v>
      </c>
      <c r="AU546" s="81"/>
      <c r="AV546" s="81"/>
      <c r="AW546" s="81"/>
      <c r="AX546" s="81"/>
      <c r="AY546" s="81"/>
      <c r="AZ546" s="81"/>
      <c r="BA546" s="81"/>
      <c r="BB546" s="81"/>
    </row>
    <row r="547" spans="1:54" x14ac:dyDescent="0.35">
      <c r="A547" s="66" t="s">
        <v>4386</v>
      </c>
      <c r="B547" s="66" t="s">
        <v>4386</v>
      </c>
      <c r="C547" s="67"/>
      <c r="D547" s="68"/>
      <c r="E547" s="69"/>
      <c r="F547" s="70"/>
      <c r="G547" s="67"/>
      <c r="H547" s="71"/>
      <c r="I547" s="72"/>
      <c r="J547" s="72"/>
      <c r="K547" s="36"/>
      <c r="L547" s="79"/>
      <c r="M547" s="79"/>
      <c r="N547" s="74"/>
      <c r="O547" s="81" t="s">
        <v>693</v>
      </c>
      <c r="P547" s="83">
        <v>44463.025462962964</v>
      </c>
      <c r="Q547" s="81" t="s">
        <v>5397</v>
      </c>
      <c r="R547" s="81"/>
      <c r="S547" s="81"/>
      <c r="T547" s="81"/>
      <c r="U547" s="81"/>
      <c r="V547" s="84" t="str">
        <f>HYPERLINK("https://pbs.twimg.com/profile_images/1434276357777895430/hHgsGmwK_normal.jpg")</f>
        <v>https://pbs.twimg.com/profile_images/1434276357777895430/hHgsGmwK_normal.jpg</v>
      </c>
      <c r="W547" s="83">
        <v>44463.025462962964</v>
      </c>
      <c r="X547" s="89">
        <v>44463</v>
      </c>
      <c r="Y547" s="86" t="s">
        <v>6019</v>
      </c>
      <c r="Z547" s="84" t="str">
        <f>HYPERLINK("https://twitter.com/victoraciarlini/status/1441199873479434244")</f>
        <v>https://twitter.com/victoraciarlini/status/1441199873479434244</v>
      </c>
      <c r="AA547" s="81"/>
      <c r="AB547" s="81"/>
      <c r="AC547" s="86" t="s">
        <v>6922</v>
      </c>
      <c r="AD547" s="81"/>
      <c r="AE547" s="81" t="b">
        <v>0</v>
      </c>
      <c r="AF547" s="81">
        <v>0</v>
      </c>
      <c r="AG547" s="86" t="s">
        <v>2084</v>
      </c>
      <c r="AH547" s="81" t="b">
        <v>0</v>
      </c>
      <c r="AI547" s="81" t="s">
        <v>2171</v>
      </c>
      <c r="AJ547" s="81"/>
      <c r="AK547" s="86" t="s">
        <v>2084</v>
      </c>
      <c r="AL547" s="81" t="b">
        <v>0</v>
      </c>
      <c r="AM547" s="81">
        <v>1</v>
      </c>
      <c r="AN547" s="86" t="s">
        <v>6921</v>
      </c>
      <c r="AO547" s="86" t="s">
        <v>2181</v>
      </c>
      <c r="AP547" s="81" t="b">
        <v>0</v>
      </c>
      <c r="AQ547" s="86" t="s">
        <v>6921</v>
      </c>
      <c r="AR547" s="81" t="s">
        <v>179</v>
      </c>
      <c r="AS547" s="81">
        <v>0</v>
      </c>
      <c r="AT547" s="81">
        <v>0</v>
      </c>
      <c r="AU547" s="81"/>
      <c r="AV547" s="81"/>
      <c r="AW547" s="81"/>
      <c r="AX547" s="81"/>
      <c r="AY547" s="81"/>
      <c r="AZ547" s="81"/>
      <c r="BA547" s="81"/>
      <c r="BB547" s="81"/>
    </row>
    <row r="548" spans="1:54" x14ac:dyDescent="0.35">
      <c r="A548" s="66" t="s">
        <v>4387</v>
      </c>
      <c r="B548" s="66" t="s">
        <v>4387</v>
      </c>
      <c r="C548" s="67"/>
      <c r="D548" s="68"/>
      <c r="E548" s="69"/>
      <c r="F548" s="70"/>
      <c r="G548" s="67"/>
      <c r="H548" s="71"/>
      <c r="I548" s="72"/>
      <c r="J548" s="72"/>
      <c r="K548" s="36"/>
      <c r="L548" s="79"/>
      <c r="M548" s="79"/>
      <c r="N548" s="74"/>
      <c r="O548" s="81" t="s">
        <v>179</v>
      </c>
      <c r="P548" s="83">
        <v>44463.038263888891</v>
      </c>
      <c r="Q548" s="81" t="s">
        <v>5398</v>
      </c>
      <c r="R548" s="84" t="str">
        <f>HYPERLINK("http://ind.puc-rio.br/ensino/pos-graduacao-academica/inicio/")</f>
        <v>http://ind.puc-rio.br/ensino/pos-graduacao-academica/inicio/</v>
      </c>
      <c r="S548" s="81" t="s">
        <v>5718</v>
      </c>
      <c r="T548" s="86" t="s">
        <v>5773</v>
      </c>
      <c r="U548" s="84" t="str">
        <f>HYPERLINK("https://pbs.twimg.com/media/FAAuJkgVUAsix8K.jpg")</f>
        <v>https://pbs.twimg.com/media/FAAuJkgVUAsix8K.jpg</v>
      </c>
      <c r="V548" s="84" t="str">
        <f>HYPERLINK("https://pbs.twimg.com/media/FAAuJkgVUAsix8K.jpg")</f>
        <v>https://pbs.twimg.com/media/FAAuJkgVUAsix8K.jpg</v>
      </c>
      <c r="W548" s="83">
        <v>44463.038263888891</v>
      </c>
      <c r="X548" s="89">
        <v>44463</v>
      </c>
      <c r="Y548" s="86" t="s">
        <v>6020</v>
      </c>
      <c r="Z548" s="84" t="str">
        <f>HYPERLINK("https://twitter.com/deipucrio/status/1441204513621172225")</f>
        <v>https://twitter.com/deipucrio/status/1441204513621172225</v>
      </c>
      <c r="AA548" s="81"/>
      <c r="AB548" s="81"/>
      <c r="AC548" s="86" t="s">
        <v>6923</v>
      </c>
      <c r="AD548" s="81"/>
      <c r="AE548" s="81" t="b">
        <v>0</v>
      </c>
      <c r="AF548" s="81">
        <v>2</v>
      </c>
      <c r="AG548" s="86" t="s">
        <v>2084</v>
      </c>
      <c r="AH548" s="81" t="b">
        <v>0</v>
      </c>
      <c r="AI548" s="81" t="s">
        <v>2171</v>
      </c>
      <c r="AJ548" s="81"/>
      <c r="AK548" s="86" t="s">
        <v>2084</v>
      </c>
      <c r="AL548" s="81" t="b">
        <v>0</v>
      </c>
      <c r="AM548" s="81">
        <v>0</v>
      </c>
      <c r="AN548" s="86" t="s">
        <v>2084</v>
      </c>
      <c r="AO548" s="86" t="s">
        <v>2181</v>
      </c>
      <c r="AP548" s="81" t="b">
        <v>0</v>
      </c>
      <c r="AQ548" s="86" t="s">
        <v>6923</v>
      </c>
      <c r="AR548" s="81" t="s">
        <v>179</v>
      </c>
      <c r="AS548" s="81">
        <v>0</v>
      </c>
      <c r="AT548" s="81">
        <v>0</v>
      </c>
      <c r="AU548" s="81"/>
      <c r="AV548" s="81"/>
      <c r="AW548" s="81"/>
      <c r="AX548" s="81"/>
      <c r="AY548" s="81"/>
      <c r="AZ548" s="81"/>
      <c r="BA548" s="81"/>
      <c r="BB548" s="81"/>
    </row>
    <row r="549" spans="1:54" x14ac:dyDescent="0.35">
      <c r="A549" s="66" t="s">
        <v>4388</v>
      </c>
      <c r="B549" s="66" t="s">
        <v>5063</v>
      </c>
      <c r="C549" s="67"/>
      <c r="D549" s="68"/>
      <c r="E549" s="69"/>
      <c r="F549" s="70"/>
      <c r="G549" s="67"/>
      <c r="H549" s="71"/>
      <c r="I549" s="72"/>
      <c r="J549" s="72"/>
      <c r="K549" s="36"/>
      <c r="L549" s="79"/>
      <c r="M549" s="79"/>
      <c r="N549" s="74"/>
      <c r="O549" s="81" t="s">
        <v>696</v>
      </c>
      <c r="P549" s="83">
        <v>44463.038773148146</v>
      </c>
      <c r="Q549" s="81" t="s">
        <v>5399</v>
      </c>
      <c r="R549" s="81"/>
      <c r="S549" s="81"/>
      <c r="T549" s="81"/>
      <c r="U549" s="81"/>
      <c r="V549" s="84" t="str">
        <f>HYPERLINK("https://pbs.twimg.com/profile_images/1429394522245668866/HHjStj8k_normal.jpg")</f>
        <v>https://pbs.twimg.com/profile_images/1429394522245668866/HHjStj8k_normal.jpg</v>
      </c>
      <c r="W549" s="83">
        <v>44463.038773148146</v>
      </c>
      <c r="X549" s="89">
        <v>44463</v>
      </c>
      <c r="Y549" s="86" t="s">
        <v>6021</v>
      </c>
      <c r="Z549" s="84" t="str">
        <f>HYPERLINK("https://twitter.com/roccosi96495550/status/1441204696903864325")</f>
        <v>https://twitter.com/roccosi96495550/status/1441204696903864325</v>
      </c>
      <c r="AA549" s="81"/>
      <c r="AB549" s="81"/>
      <c r="AC549" s="86" t="s">
        <v>6924</v>
      </c>
      <c r="AD549" s="86" t="s">
        <v>7667</v>
      </c>
      <c r="AE549" s="81" t="b">
        <v>0</v>
      </c>
      <c r="AF549" s="81">
        <v>0</v>
      </c>
      <c r="AG549" s="86" t="s">
        <v>7847</v>
      </c>
      <c r="AH549" s="81" t="b">
        <v>0</v>
      </c>
      <c r="AI549" s="81" t="s">
        <v>2171</v>
      </c>
      <c r="AJ549" s="81"/>
      <c r="AK549" s="86" t="s">
        <v>2084</v>
      </c>
      <c r="AL549" s="81" t="b">
        <v>0</v>
      </c>
      <c r="AM549" s="81">
        <v>0</v>
      </c>
      <c r="AN549" s="86" t="s">
        <v>2084</v>
      </c>
      <c r="AO549" s="86" t="s">
        <v>2178</v>
      </c>
      <c r="AP549" s="81" t="b">
        <v>0</v>
      </c>
      <c r="AQ549" s="86" t="s">
        <v>7667</v>
      </c>
      <c r="AR549" s="81" t="s">
        <v>179</v>
      </c>
      <c r="AS549" s="81">
        <v>0</v>
      </c>
      <c r="AT549" s="81">
        <v>0</v>
      </c>
      <c r="AU549" s="81"/>
      <c r="AV549" s="81"/>
      <c r="AW549" s="81"/>
      <c r="AX549" s="81"/>
      <c r="AY549" s="81"/>
      <c r="AZ549" s="81"/>
      <c r="BA549" s="81"/>
      <c r="BB549" s="81"/>
    </row>
    <row r="550" spans="1:54" x14ac:dyDescent="0.35">
      <c r="A550" s="66" t="s">
        <v>4388</v>
      </c>
      <c r="B550" s="66" t="s">
        <v>5064</v>
      </c>
      <c r="C550" s="67"/>
      <c r="D550" s="68"/>
      <c r="E550" s="69"/>
      <c r="F550" s="70"/>
      <c r="G550" s="67"/>
      <c r="H550" s="71"/>
      <c r="I550" s="72"/>
      <c r="J550" s="72"/>
      <c r="K550" s="36"/>
      <c r="L550" s="79"/>
      <c r="M550" s="79"/>
      <c r="N550" s="74"/>
      <c r="O550" s="81" t="s">
        <v>695</v>
      </c>
      <c r="P550" s="83">
        <v>44463.038773148146</v>
      </c>
      <c r="Q550" s="81" t="s">
        <v>5399</v>
      </c>
      <c r="R550" s="81"/>
      <c r="S550" s="81"/>
      <c r="T550" s="81"/>
      <c r="U550" s="81"/>
      <c r="V550" s="84" t="str">
        <f>HYPERLINK("https://pbs.twimg.com/profile_images/1429394522245668866/HHjStj8k_normal.jpg")</f>
        <v>https://pbs.twimg.com/profile_images/1429394522245668866/HHjStj8k_normal.jpg</v>
      </c>
      <c r="W550" s="83">
        <v>44463.038773148146</v>
      </c>
      <c r="X550" s="89">
        <v>44463</v>
      </c>
      <c r="Y550" s="86" t="s">
        <v>6021</v>
      </c>
      <c r="Z550" s="84" t="str">
        <f>HYPERLINK("https://twitter.com/roccosi96495550/status/1441204696903864325")</f>
        <v>https://twitter.com/roccosi96495550/status/1441204696903864325</v>
      </c>
      <c r="AA550" s="81"/>
      <c r="AB550" s="81"/>
      <c r="AC550" s="86" t="s">
        <v>6924</v>
      </c>
      <c r="AD550" s="86" t="s">
        <v>7667</v>
      </c>
      <c r="AE550" s="81" t="b">
        <v>0</v>
      </c>
      <c r="AF550" s="81">
        <v>0</v>
      </c>
      <c r="AG550" s="86" t="s">
        <v>7847</v>
      </c>
      <c r="AH550" s="81" t="b">
        <v>0</v>
      </c>
      <c r="AI550" s="81" t="s">
        <v>2171</v>
      </c>
      <c r="AJ550" s="81"/>
      <c r="AK550" s="86" t="s">
        <v>2084</v>
      </c>
      <c r="AL550" s="81" t="b">
        <v>0</v>
      </c>
      <c r="AM550" s="81">
        <v>0</v>
      </c>
      <c r="AN550" s="86" t="s">
        <v>2084</v>
      </c>
      <c r="AO550" s="86" t="s">
        <v>2178</v>
      </c>
      <c r="AP550" s="81" t="b">
        <v>0</v>
      </c>
      <c r="AQ550" s="86" t="s">
        <v>7667</v>
      </c>
      <c r="AR550" s="81" t="s">
        <v>179</v>
      </c>
      <c r="AS550" s="81">
        <v>0</v>
      </c>
      <c r="AT550" s="81">
        <v>0</v>
      </c>
      <c r="AU550" s="81"/>
      <c r="AV550" s="81"/>
      <c r="AW550" s="81"/>
      <c r="AX550" s="81"/>
      <c r="AY550" s="81"/>
      <c r="AZ550" s="81"/>
      <c r="BA550" s="81"/>
      <c r="BB550" s="81"/>
    </row>
    <row r="551" spans="1:54" x14ac:dyDescent="0.35">
      <c r="A551" s="66" t="s">
        <v>4388</v>
      </c>
      <c r="B551" s="66" t="s">
        <v>5065</v>
      </c>
      <c r="C551" s="67"/>
      <c r="D551" s="68"/>
      <c r="E551" s="69"/>
      <c r="F551" s="70"/>
      <c r="G551" s="67"/>
      <c r="H551" s="71"/>
      <c r="I551" s="72"/>
      <c r="J551" s="72"/>
      <c r="K551" s="36"/>
      <c r="L551" s="79"/>
      <c r="M551" s="79"/>
      <c r="N551" s="74"/>
      <c r="O551" s="81" t="s">
        <v>696</v>
      </c>
      <c r="P551" s="83">
        <v>44463.038773148146</v>
      </c>
      <c r="Q551" s="81" t="s">
        <v>5399</v>
      </c>
      <c r="R551" s="81"/>
      <c r="S551" s="81"/>
      <c r="T551" s="81"/>
      <c r="U551" s="81"/>
      <c r="V551" s="84" t="str">
        <f>HYPERLINK("https://pbs.twimg.com/profile_images/1429394522245668866/HHjStj8k_normal.jpg")</f>
        <v>https://pbs.twimg.com/profile_images/1429394522245668866/HHjStj8k_normal.jpg</v>
      </c>
      <c r="W551" s="83">
        <v>44463.038773148146</v>
      </c>
      <c r="X551" s="89">
        <v>44463</v>
      </c>
      <c r="Y551" s="86" t="s">
        <v>6021</v>
      </c>
      <c r="Z551" s="84" t="str">
        <f>HYPERLINK("https://twitter.com/roccosi96495550/status/1441204696903864325")</f>
        <v>https://twitter.com/roccosi96495550/status/1441204696903864325</v>
      </c>
      <c r="AA551" s="81"/>
      <c r="AB551" s="81"/>
      <c r="AC551" s="86" t="s">
        <v>6924</v>
      </c>
      <c r="AD551" s="86" t="s">
        <v>7667</v>
      </c>
      <c r="AE551" s="81" t="b">
        <v>0</v>
      </c>
      <c r="AF551" s="81">
        <v>0</v>
      </c>
      <c r="AG551" s="86" t="s">
        <v>7847</v>
      </c>
      <c r="AH551" s="81" t="b">
        <v>0</v>
      </c>
      <c r="AI551" s="81" t="s">
        <v>2171</v>
      </c>
      <c r="AJ551" s="81"/>
      <c r="AK551" s="86" t="s">
        <v>2084</v>
      </c>
      <c r="AL551" s="81" t="b">
        <v>0</v>
      </c>
      <c r="AM551" s="81">
        <v>0</v>
      </c>
      <c r="AN551" s="86" t="s">
        <v>2084</v>
      </c>
      <c r="AO551" s="86" t="s">
        <v>2178</v>
      </c>
      <c r="AP551" s="81" t="b">
        <v>0</v>
      </c>
      <c r="AQ551" s="86" t="s">
        <v>7667</v>
      </c>
      <c r="AR551" s="81" t="s">
        <v>179</v>
      </c>
      <c r="AS551" s="81">
        <v>0</v>
      </c>
      <c r="AT551" s="81">
        <v>0</v>
      </c>
      <c r="AU551" s="81"/>
      <c r="AV551" s="81"/>
      <c r="AW551" s="81"/>
      <c r="AX551" s="81"/>
      <c r="AY551" s="81"/>
      <c r="AZ551" s="81"/>
      <c r="BA551" s="81"/>
      <c r="BB551" s="81"/>
    </row>
    <row r="552" spans="1:54" x14ac:dyDescent="0.35">
      <c r="A552" s="66" t="s">
        <v>377</v>
      </c>
      <c r="B552" s="66" t="s">
        <v>640</v>
      </c>
      <c r="C552" s="67"/>
      <c r="D552" s="68"/>
      <c r="E552" s="69"/>
      <c r="F552" s="70"/>
      <c r="G552" s="67"/>
      <c r="H552" s="71"/>
      <c r="I552" s="72"/>
      <c r="J552" s="72"/>
      <c r="K552" s="36"/>
      <c r="L552" s="79"/>
      <c r="M552" s="79"/>
      <c r="N552" s="74"/>
      <c r="O552" s="81" t="s">
        <v>695</v>
      </c>
      <c r="P552" s="83">
        <v>44463.040381944447</v>
      </c>
      <c r="Q552" s="81" t="s">
        <v>769</v>
      </c>
      <c r="R552" s="81"/>
      <c r="S552" s="81"/>
      <c r="T552" s="81"/>
      <c r="U552" s="81"/>
      <c r="V552" s="84" t="str">
        <f>HYPERLINK("https://pbs.twimg.com/profile_images/1426958855834009607/EF41PtQ1_normal.jpg")</f>
        <v>https://pbs.twimg.com/profile_images/1426958855834009607/EF41PtQ1_normal.jpg</v>
      </c>
      <c r="W552" s="83">
        <v>44463.040381944447</v>
      </c>
      <c r="X552" s="89">
        <v>44463</v>
      </c>
      <c r="Y552" s="86" t="s">
        <v>1200</v>
      </c>
      <c r="Z552" s="84" t="str">
        <f>HYPERLINK("https://twitter.com/bukansamsmith/status/1441205279320723456")</f>
        <v>https://twitter.com/bukansamsmith/status/1441205279320723456</v>
      </c>
      <c r="AA552" s="81"/>
      <c r="AB552" s="81"/>
      <c r="AC552" s="86" t="s">
        <v>1697</v>
      </c>
      <c r="AD552" s="86" t="s">
        <v>2031</v>
      </c>
      <c r="AE552" s="81" t="b">
        <v>0</v>
      </c>
      <c r="AF552" s="81">
        <v>0</v>
      </c>
      <c r="AG552" s="86" t="s">
        <v>2114</v>
      </c>
      <c r="AH552" s="81" t="b">
        <v>0</v>
      </c>
      <c r="AI552" s="81" t="s">
        <v>2167</v>
      </c>
      <c r="AJ552" s="81"/>
      <c r="AK552" s="86" t="s">
        <v>2084</v>
      </c>
      <c r="AL552" s="81" t="b">
        <v>0</v>
      </c>
      <c r="AM552" s="81">
        <v>0</v>
      </c>
      <c r="AN552" s="86" t="s">
        <v>2084</v>
      </c>
      <c r="AO552" s="86" t="s">
        <v>2178</v>
      </c>
      <c r="AP552" s="81" t="b">
        <v>0</v>
      </c>
      <c r="AQ552" s="86" t="s">
        <v>2031</v>
      </c>
      <c r="AR552" s="81" t="s">
        <v>179</v>
      </c>
      <c r="AS552" s="81">
        <v>0</v>
      </c>
      <c r="AT552" s="81">
        <v>0</v>
      </c>
      <c r="AU552" s="81"/>
      <c r="AV552" s="81"/>
      <c r="AW552" s="81"/>
      <c r="AX552" s="81"/>
      <c r="AY552" s="81"/>
      <c r="AZ552" s="81"/>
      <c r="BA552" s="81"/>
      <c r="BB552" s="81"/>
    </row>
    <row r="553" spans="1:54" x14ac:dyDescent="0.35">
      <c r="A553" s="66" t="s">
        <v>4389</v>
      </c>
      <c r="B553" s="66" t="s">
        <v>4389</v>
      </c>
      <c r="C553" s="67"/>
      <c r="D553" s="68"/>
      <c r="E553" s="69"/>
      <c r="F553" s="70"/>
      <c r="G553" s="67"/>
      <c r="H553" s="71"/>
      <c r="I553" s="72"/>
      <c r="J553" s="72"/>
      <c r="K553" s="36"/>
      <c r="L553" s="79"/>
      <c r="M553" s="79"/>
      <c r="N553" s="74"/>
      <c r="O553" s="81" t="s">
        <v>179</v>
      </c>
      <c r="P553" s="83">
        <v>44463.052604166667</v>
      </c>
      <c r="Q553" s="81" t="s">
        <v>5400</v>
      </c>
      <c r="R553" s="84" t="str">
        <f>HYPERLINK("https://www.dw.com/pt-br/por-que-a-alemanha-n%C3%A3o-esquece-o-seu-passado/a-45592808")</f>
        <v>https://www.dw.com/pt-br/por-que-a-alemanha-n%C3%A3o-esquece-o-seu-passado/a-45592808</v>
      </c>
      <c r="S553" s="81" t="s">
        <v>5719</v>
      </c>
      <c r="T553" s="81"/>
      <c r="U553" s="81"/>
      <c r="V553" s="84" t="str">
        <f>HYPERLINK("https://pbs.twimg.com/profile_images/1277858528783413249/zWBafpZ6_normal.jpg")</f>
        <v>https://pbs.twimg.com/profile_images/1277858528783413249/zWBafpZ6_normal.jpg</v>
      </c>
      <c r="W553" s="83">
        <v>44463.052604166667</v>
      </c>
      <c r="X553" s="89">
        <v>44463</v>
      </c>
      <c r="Y553" s="86" t="s">
        <v>6022</v>
      </c>
      <c r="Z553" s="84" t="str">
        <f>HYPERLINK("https://twitter.com/zlupiza/status/1441209707071479808")</f>
        <v>https://twitter.com/zlupiza/status/1441209707071479808</v>
      </c>
      <c r="AA553" s="81"/>
      <c r="AB553" s="81"/>
      <c r="AC553" s="86" t="s">
        <v>6925</v>
      </c>
      <c r="AD553" s="86" t="s">
        <v>7668</v>
      </c>
      <c r="AE553" s="81" t="b">
        <v>0</v>
      </c>
      <c r="AF553" s="81">
        <v>1</v>
      </c>
      <c r="AG553" s="86" t="s">
        <v>7848</v>
      </c>
      <c r="AH553" s="81" t="b">
        <v>0</v>
      </c>
      <c r="AI553" s="81" t="s">
        <v>2171</v>
      </c>
      <c r="AJ553" s="81"/>
      <c r="AK553" s="86" t="s">
        <v>2084</v>
      </c>
      <c r="AL553" s="81" t="b">
        <v>0</v>
      </c>
      <c r="AM553" s="81">
        <v>0</v>
      </c>
      <c r="AN553" s="86" t="s">
        <v>2084</v>
      </c>
      <c r="AO553" s="86" t="s">
        <v>2178</v>
      </c>
      <c r="AP553" s="81" t="b">
        <v>0</v>
      </c>
      <c r="AQ553" s="86" t="s">
        <v>7668</v>
      </c>
      <c r="AR553" s="81" t="s">
        <v>179</v>
      </c>
      <c r="AS553" s="81">
        <v>0</v>
      </c>
      <c r="AT553" s="81">
        <v>0</v>
      </c>
      <c r="AU553" s="81"/>
      <c r="AV553" s="81"/>
      <c r="AW553" s="81"/>
      <c r="AX553" s="81"/>
      <c r="AY553" s="81"/>
      <c r="AZ553" s="81"/>
      <c r="BA553" s="81"/>
      <c r="BB553" s="81"/>
    </row>
    <row r="554" spans="1:54" x14ac:dyDescent="0.35">
      <c r="A554" s="66" t="s">
        <v>378</v>
      </c>
      <c r="B554" s="66" t="s">
        <v>415</v>
      </c>
      <c r="C554" s="67"/>
      <c r="D554" s="68"/>
      <c r="E554" s="69"/>
      <c r="F554" s="70"/>
      <c r="G554" s="67"/>
      <c r="H554" s="71"/>
      <c r="I554" s="72"/>
      <c r="J554" s="72"/>
      <c r="K554" s="36"/>
      <c r="L554" s="79"/>
      <c r="M554" s="79"/>
      <c r="N554" s="74"/>
      <c r="O554" s="81" t="s">
        <v>693</v>
      </c>
      <c r="P554" s="83">
        <v>44463.081087962964</v>
      </c>
      <c r="Q554" s="81" t="s">
        <v>759</v>
      </c>
      <c r="R554" s="81"/>
      <c r="S554" s="81"/>
      <c r="T554" s="86" t="s">
        <v>979</v>
      </c>
      <c r="U554" s="84" t="str">
        <f>HYPERLINK("https://pbs.twimg.com/media/E_9V_ibVEAYc8c_.jpg")</f>
        <v>https://pbs.twimg.com/media/E_9V_ibVEAYc8c_.jpg</v>
      </c>
      <c r="V554" s="84" t="str">
        <f>HYPERLINK("https://pbs.twimg.com/media/E_9V_ibVEAYc8c_.jpg")</f>
        <v>https://pbs.twimg.com/media/E_9V_ibVEAYc8c_.jpg</v>
      </c>
      <c r="W554" s="83">
        <v>44463.081087962964</v>
      </c>
      <c r="X554" s="89">
        <v>44463</v>
      </c>
      <c r="Y554" s="86" t="s">
        <v>1202</v>
      </c>
      <c r="Z554" s="84" t="str">
        <f>HYPERLINK("https://twitter.com/pasartheboyz/status/1441220032344645636")</f>
        <v>https://twitter.com/pasartheboyz/status/1441220032344645636</v>
      </c>
      <c r="AA554" s="81"/>
      <c r="AB554" s="81"/>
      <c r="AC554" s="86" t="s">
        <v>1698</v>
      </c>
      <c r="AD554" s="81"/>
      <c r="AE554" s="81" t="b">
        <v>0</v>
      </c>
      <c r="AF554" s="81">
        <v>0</v>
      </c>
      <c r="AG554" s="86" t="s">
        <v>2084</v>
      </c>
      <c r="AH554" s="81" t="b">
        <v>0</v>
      </c>
      <c r="AI554" s="81" t="s">
        <v>2168</v>
      </c>
      <c r="AJ554" s="81"/>
      <c r="AK554" s="86" t="s">
        <v>2084</v>
      </c>
      <c r="AL554" s="81" t="b">
        <v>0</v>
      </c>
      <c r="AM554" s="81">
        <v>12</v>
      </c>
      <c r="AN554" s="86" t="s">
        <v>1740</v>
      </c>
      <c r="AO554" s="86" t="s">
        <v>2179</v>
      </c>
      <c r="AP554" s="81" t="b">
        <v>0</v>
      </c>
      <c r="AQ554" s="86" t="s">
        <v>1740</v>
      </c>
      <c r="AR554" s="81" t="s">
        <v>179</v>
      </c>
      <c r="AS554" s="81">
        <v>0</v>
      </c>
      <c r="AT554" s="81">
        <v>0</v>
      </c>
      <c r="AU554" s="81"/>
      <c r="AV554" s="81"/>
      <c r="AW554" s="81"/>
      <c r="AX554" s="81"/>
      <c r="AY554" s="81"/>
      <c r="AZ554" s="81"/>
      <c r="BA554" s="81"/>
      <c r="BB554" s="81"/>
    </row>
    <row r="555" spans="1:54" x14ac:dyDescent="0.35">
      <c r="A555" s="66" t="s">
        <v>379</v>
      </c>
      <c r="B555" s="66" t="s">
        <v>379</v>
      </c>
      <c r="C555" s="67"/>
      <c r="D555" s="68"/>
      <c r="E555" s="69"/>
      <c r="F555" s="70"/>
      <c r="G555" s="67"/>
      <c r="H555" s="71"/>
      <c r="I555" s="72"/>
      <c r="J555" s="72"/>
      <c r="K555" s="36"/>
      <c r="L555" s="79"/>
      <c r="M555" s="79"/>
      <c r="N555" s="74"/>
      <c r="O555" s="81" t="s">
        <v>179</v>
      </c>
      <c r="P555" s="83">
        <v>44463.085787037038</v>
      </c>
      <c r="Q555" s="81" t="s">
        <v>770</v>
      </c>
      <c r="R555" s="84" t="str">
        <f>HYPERLINK("https://www.gudangloker.com/2021/06/lowongan-kerja-pt-pos-logistik.html#.YU0x6e8YerY.twitter")</f>
        <v>https://www.gudangloker.com/2021/06/lowongan-kerja-pt-pos-logistik.html#.YU0x6e8YerY.twitter</v>
      </c>
      <c r="S555" s="81" t="s">
        <v>954</v>
      </c>
      <c r="T555" s="81"/>
      <c r="U555" s="81"/>
      <c r="V555" s="84" t="str">
        <f>HYPERLINK("https://pbs.twimg.com/profile_images/1321548073516986369/LR76zNyN_normal.png")</f>
        <v>https://pbs.twimg.com/profile_images/1321548073516986369/LR76zNyN_normal.png</v>
      </c>
      <c r="W555" s="83">
        <v>44463.085787037038</v>
      </c>
      <c r="X555" s="89">
        <v>44463</v>
      </c>
      <c r="Y555" s="86" t="s">
        <v>1203</v>
      </c>
      <c r="Z555" s="84" t="str">
        <f>HYPERLINK("https://twitter.com/gudangloker_com/status/1441221732195471365")</f>
        <v>https://twitter.com/gudangloker_com/status/1441221732195471365</v>
      </c>
      <c r="AA555" s="81"/>
      <c r="AB555" s="81"/>
      <c r="AC555" s="86" t="s">
        <v>1699</v>
      </c>
      <c r="AD555" s="81"/>
      <c r="AE555" s="81" t="b">
        <v>0</v>
      </c>
      <c r="AF555" s="81">
        <v>1</v>
      </c>
      <c r="AG555" s="86" t="s">
        <v>2084</v>
      </c>
      <c r="AH555" s="81" t="b">
        <v>0</v>
      </c>
      <c r="AI555" s="81" t="s">
        <v>2167</v>
      </c>
      <c r="AJ555" s="81"/>
      <c r="AK555" s="86" t="s">
        <v>2084</v>
      </c>
      <c r="AL555" s="81" t="b">
        <v>0</v>
      </c>
      <c r="AM555" s="81">
        <v>0</v>
      </c>
      <c r="AN555" s="86" t="s">
        <v>2084</v>
      </c>
      <c r="AO555" s="86" t="s">
        <v>2181</v>
      </c>
      <c r="AP555" s="81" t="b">
        <v>0</v>
      </c>
      <c r="AQ555" s="86" t="s">
        <v>1699</v>
      </c>
      <c r="AR555" s="81" t="s">
        <v>179</v>
      </c>
      <c r="AS555" s="81">
        <v>0</v>
      </c>
      <c r="AT555" s="81">
        <v>0</v>
      </c>
      <c r="AU555" s="81"/>
      <c r="AV555" s="81"/>
      <c r="AW555" s="81"/>
      <c r="AX555" s="81"/>
      <c r="AY555" s="81"/>
      <c r="AZ555" s="81"/>
      <c r="BA555" s="81"/>
      <c r="BB555" s="81"/>
    </row>
    <row r="556" spans="1:54" x14ac:dyDescent="0.35">
      <c r="A556" s="66" t="s">
        <v>4390</v>
      </c>
      <c r="B556" s="66" t="s">
        <v>5066</v>
      </c>
      <c r="C556" s="67"/>
      <c r="D556" s="68"/>
      <c r="E556" s="69"/>
      <c r="F556" s="70"/>
      <c r="G556" s="67"/>
      <c r="H556" s="71"/>
      <c r="I556" s="72"/>
      <c r="J556" s="72"/>
      <c r="K556" s="36"/>
      <c r="L556" s="79"/>
      <c r="M556" s="79"/>
      <c r="N556" s="74"/>
      <c r="O556" s="81" t="s">
        <v>696</v>
      </c>
      <c r="P556" s="83">
        <v>44463.093912037039</v>
      </c>
      <c r="Q556" s="81" t="s">
        <v>5401</v>
      </c>
      <c r="R556" s="81"/>
      <c r="S556" s="81"/>
      <c r="T556" s="81"/>
      <c r="U556" s="81"/>
      <c r="V556" s="84" t="str">
        <f>HYPERLINK("https://pbs.twimg.com/profile_images/1274519714472091650/b5jfIc4v_normal.jpg")</f>
        <v>https://pbs.twimg.com/profile_images/1274519714472091650/b5jfIc4v_normal.jpg</v>
      </c>
      <c r="W556" s="83">
        <v>44463.093912037039</v>
      </c>
      <c r="X556" s="89">
        <v>44463</v>
      </c>
      <c r="Y556" s="86" t="s">
        <v>6023</v>
      </c>
      <c r="Z556" s="84" t="str">
        <f>HYPERLINK("https://twitter.com/francorubim/status/1441224679381823492")</f>
        <v>https://twitter.com/francorubim/status/1441224679381823492</v>
      </c>
      <c r="AA556" s="81"/>
      <c r="AB556" s="81"/>
      <c r="AC556" s="86" t="s">
        <v>6926</v>
      </c>
      <c r="AD556" s="86" t="s">
        <v>7669</v>
      </c>
      <c r="AE556" s="81" t="b">
        <v>0</v>
      </c>
      <c r="AF556" s="81">
        <v>0</v>
      </c>
      <c r="AG556" s="86" t="s">
        <v>7849</v>
      </c>
      <c r="AH556" s="81" t="b">
        <v>0</v>
      </c>
      <c r="AI556" s="81" t="s">
        <v>2171</v>
      </c>
      <c r="AJ556" s="81"/>
      <c r="AK556" s="86" t="s">
        <v>2084</v>
      </c>
      <c r="AL556" s="81" t="b">
        <v>0</v>
      </c>
      <c r="AM556" s="81">
        <v>0</v>
      </c>
      <c r="AN556" s="86" t="s">
        <v>2084</v>
      </c>
      <c r="AO556" s="86" t="s">
        <v>2181</v>
      </c>
      <c r="AP556" s="81" t="b">
        <v>0</v>
      </c>
      <c r="AQ556" s="86" t="s">
        <v>7669</v>
      </c>
      <c r="AR556" s="81" t="s">
        <v>179</v>
      </c>
      <c r="AS556" s="81">
        <v>0</v>
      </c>
      <c r="AT556" s="81">
        <v>0</v>
      </c>
      <c r="AU556" s="81"/>
      <c r="AV556" s="81"/>
      <c r="AW556" s="81"/>
      <c r="AX556" s="81"/>
      <c r="AY556" s="81"/>
      <c r="AZ556" s="81"/>
      <c r="BA556" s="81"/>
      <c r="BB556" s="81"/>
    </row>
    <row r="557" spans="1:54" x14ac:dyDescent="0.35">
      <c r="A557" s="66" t="s">
        <v>4390</v>
      </c>
      <c r="B557" s="66" t="s">
        <v>5067</v>
      </c>
      <c r="C557" s="67"/>
      <c r="D557" s="68"/>
      <c r="E557" s="69"/>
      <c r="F557" s="70"/>
      <c r="G557" s="67"/>
      <c r="H557" s="71"/>
      <c r="I557" s="72"/>
      <c r="J557" s="72"/>
      <c r="K557" s="36"/>
      <c r="L557" s="79"/>
      <c r="M557" s="79"/>
      <c r="N557" s="74"/>
      <c r="O557" s="81" t="s">
        <v>695</v>
      </c>
      <c r="P557" s="83">
        <v>44463.093912037039</v>
      </c>
      <c r="Q557" s="81" t="s">
        <v>5401</v>
      </c>
      <c r="R557" s="81"/>
      <c r="S557" s="81"/>
      <c r="T557" s="81"/>
      <c r="U557" s="81"/>
      <c r="V557" s="84" t="str">
        <f>HYPERLINK("https://pbs.twimg.com/profile_images/1274519714472091650/b5jfIc4v_normal.jpg")</f>
        <v>https://pbs.twimg.com/profile_images/1274519714472091650/b5jfIc4v_normal.jpg</v>
      </c>
      <c r="W557" s="83">
        <v>44463.093912037039</v>
      </c>
      <c r="X557" s="89">
        <v>44463</v>
      </c>
      <c r="Y557" s="86" t="s">
        <v>6023</v>
      </c>
      <c r="Z557" s="84" t="str">
        <f>HYPERLINK("https://twitter.com/francorubim/status/1441224679381823492")</f>
        <v>https://twitter.com/francorubim/status/1441224679381823492</v>
      </c>
      <c r="AA557" s="81"/>
      <c r="AB557" s="81"/>
      <c r="AC557" s="86" t="s">
        <v>6926</v>
      </c>
      <c r="AD557" s="86" t="s">
        <v>7669</v>
      </c>
      <c r="AE557" s="81" t="b">
        <v>0</v>
      </c>
      <c r="AF557" s="81">
        <v>0</v>
      </c>
      <c r="AG557" s="86" t="s">
        <v>7849</v>
      </c>
      <c r="AH557" s="81" t="b">
        <v>0</v>
      </c>
      <c r="AI557" s="81" t="s">
        <v>2171</v>
      </c>
      <c r="AJ557" s="81"/>
      <c r="AK557" s="86" t="s">
        <v>2084</v>
      </c>
      <c r="AL557" s="81" t="b">
        <v>0</v>
      </c>
      <c r="AM557" s="81">
        <v>0</v>
      </c>
      <c r="AN557" s="86" t="s">
        <v>2084</v>
      </c>
      <c r="AO557" s="86" t="s">
        <v>2181</v>
      </c>
      <c r="AP557" s="81" t="b">
        <v>0</v>
      </c>
      <c r="AQ557" s="86" t="s">
        <v>7669</v>
      </c>
      <c r="AR557" s="81" t="s">
        <v>179</v>
      </c>
      <c r="AS557" s="81">
        <v>0</v>
      </c>
      <c r="AT557" s="81">
        <v>0</v>
      </c>
      <c r="AU557" s="81"/>
      <c r="AV557" s="81"/>
      <c r="AW557" s="81"/>
      <c r="AX557" s="81"/>
      <c r="AY557" s="81"/>
      <c r="AZ557" s="81"/>
      <c r="BA557" s="81"/>
      <c r="BB557" s="81"/>
    </row>
    <row r="558" spans="1:54" x14ac:dyDescent="0.35">
      <c r="A558" s="66" t="s">
        <v>4391</v>
      </c>
      <c r="B558" s="66" t="s">
        <v>5068</v>
      </c>
      <c r="C558" s="67"/>
      <c r="D558" s="68"/>
      <c r="E558" s="69"/>
      <c r="F558" s="70"/>
      <c r="G558" s="67"/>
      <c r="H558" s="71"/>
      <c r="I558" s="72"/>
      <c r="J558" s="72"/>
      <c r="K558" s="36"/>
      <c r="L558" s="79"/>
      <c r="M558" s="79"/>
      <c r="N558" s="74"/>
      <c r="O558" s="81" t="s">
        <v>695</v>
      </c>
      <c r="P558" s="83">
        <v>44463.127951388888</v>
      </c>
      <c r="Q558" s="81" t="s">
        <v>5402</v>
      </c>
      <c r="R558" s="81"/>
      <c r="S558" s="81"/>
      <c r="T558" s="81"/>
      <c r="U558" s="81"/>
      <c r="V558" s="84" t="str">
        <f>HYPERLINK("https://pbs.twimg.com/profile_images/1322556511499988993/s7PM1TjK_normal.jpg")</f>
        <v>https://pbs.twimg.com/profile_images/1322556511499988993/s7PM1TjK_normal.jpg</v>
      </c>
      <c r="W558" s="83">
        <v>44463.127951388888</v>
      </c>
      <c r="X558" s="89">
        <v>44463</v>
      </c>
      <c r="Y558" s="86" t="s">
        <v>6024</v>
      </c>
      <c r="Z558" s="84" t="str">
        <f>HYPERLINK("https://twitter.com/g_l/status/1441237013995286529")</f>
        <v>https://twitter.com/g_l/status/1441237013995286529</v>
      </c>
      <c r="AA558" s="81"/>
      <c r="AB558" s="81"/>
      <c r="AC558" s="86" t="s">
        <v>6927</v>
      </c>
      <c r="AD558" s="86" t="s">
        <v>7670</v>
      </c>
      <c r="AE558" s="81" t="b">
        <v>0</v>
      </c>
      <c r="AF558" s="81">
        <v>2</v>
      </c>
      <c r="AG558" s="86" t="s">
        <v>7850</v>
      </c>
      <c r="AH558" s="81" t="b">
        <v>0</v>
      </c>
      <c r="AI558" s="81" t="s">
        <v>2171</v>
      </c>
      <c r="AJ558" s="81"/>
      <c r="AK558" s="86" t="s">
        <v>2084</v>
      </c>
      <c r="AL558" s="81" t="b">
        <v>0</v>
      </c>
      <c r="AM558" s="81">
        <v>0</v>
      </c>
      <c r="AN558" s="86" t="s">
        <v>2084</v>
      </c>
      <c r="AO558" s="86" t="s">
        <v>2185</v>
      </c>
      <c r="AP558" s="81" t="b">
        <v>0</v>
      </c>
      <c r="AQ558" s="86" t="s">
        <v>7670</v>
      </c>
      <c r="AR558" s="81" t="s">
        <v>179</v>
      </c>
      <c r="AS558" s="81">
        <v>0</v>
      </c>
      <c r="AT558" s="81">
        <v>0</v>
      </c>
      <c r="AU558" s="81"/>
      <c r="AV558" s="81"/>
      <c r="AW558" s="81"/>
      <c r="AX558" s="81"/>
      <c r="AY558" s="81"/>
      <c r="AZ558" s="81"/>
      <c r="BA558" s="81"/>
      <c r="BB558" s="81"/>
    </row>
    <row r="559" spans="1:54" x14ac:dyDescent="0.35">
      <c r="A559" s="66" t="s">
        <v>4392</v>
      </c>
      <c r="B559" s="66" t="s">
        <v>4392</v>
      </c>
      <c r="C559" s="67"/>
      <c r="D559" s="68"/>
      <c r="E559" s="69"/>
      <c r="F559" s="70"/>
      <c r="G559" s="67"/>
      <c r="H559" s="71"/>
      <c r="I559" s="72"/>
      <c r="J559" s="72"/>
      <c r="K559" s="36"/>
      <c r="L559" s="79"/>
      <c r="M559" s="79"/>
      <c r="N559" s="74"/>
      <c r="O559" s="81" t="s">
        <v>179</v>
      </c>
      <c r="P559" s="83">
        <v>44463.132928240739</v>
      </c>
      <c r="Q559" s="81" t="s">
        <v>5403</v>
      </c>
      <c r="R559" s="84" t="str">
        <f>HYPERLINK("https://www.tsf.pt/mundo/morreu-mohammed-hussein-tantawi-primeiro-governante-do-egito-pos-mubarak-14142777.html")</f>
        <v>https://www.tsf.pt/mundo/morreu-mohammed-hussein-tantawi-primeiro-governante-do-egito-pos-mubarak-14142777.html</v>
      </c>
      <c r="S559" s="81" t="s">
        <v>5720</v>
      </c>
      <c r="T559" s="81"/>
      <c r="U559" s="81"/>
      <c r="V559" s="84" t="str">
        <f>HYPERLINK("https://pbs.twimg.com/profile_images/1373082121171054592/fIel1HVH_normal.jpg")</f>
        <v>https://pbs.twimg.com/profile_images/1373082121171054592/fIel1HVH_normal.jpg</v>
      </c>
      <c r="W559" s="83">
        <v>44463.132928240739</v>
      </c>
      <c r="X559" s="89">
        <v>44463</v>
      </c>
      <c r="Y559" s="86" t="s">
        <v>6025</v>
      </c>
      <c r="Z559" s="84" t="str">
        <f>HYPERLINK("https://twitter.com/ocafricano/status/1441238818254770180")</f>
        <v>https://twitter.com/ocafricano/status/1441238818254770180</v>
      </c>
      <c r="AA559" s="81"/>
      <c r="AB559" s="81"/>
      <c r="AC559" s="86" t="s">
        <v>6928</v>
      </c>
      <c r="AD559" s="81"/>
      <c r="AE559" s="81" t="b">
        <v>0</v>
      </c>
      <c r="AF559" s="81">
        <v>0</v>
      </c>
      <c r="AG559" s="86" t="s">
        <v>2084</v>
      </c>
      <c r="AH559" s="81" t="b">
        <v>0</v>
      </c>
      <c r="AI559" s="81" t="s">
        <v>2171</v>
      </c>
      <c r="AJ559" s="81"/>
      <c r="AK559" s="86" t="s">
        <v>2084</v>
      </c>
      <c r="AL559" s="81" t="b">
        <v>0</v>
      </c>
      <c r="AM559" s="81">
        <v>0</v>
      </c>
      <c r="AN559" s="86" t="s">
        <v>2084</v>
      </c>
      <c r="AO559" s="86" t="s">
        <v>2179</v>
      </c>
      <c r="AP559" s="81" t="b">
        <v>0</v>
      </c>
      <c r="AQ559" s="86" t="s">
        <v>6928</v>
      </c>
      <c r="AR559" s="81" t="s">
        <v>179</v>
      </c>
      <c r="AS559" s="81">
        <v>0</v>
      </c>
      <c r="AT559" s="81">
        <v>0</v>
      </c>
      <c r="AU559" s="81"/>
      <c r="AV559" s="81"/>
      <c r="AW559" s="81"/>
      <c r="AX559" s="81"/>
      <c r="AY559" s="81"/>
      <c r="AZ559" s="81"/>
      <c r="BA559" s="81"/>
      <c r="BB559" s="81"/>
    </row>
    <row r="560" spans="1:54" x14ac:dyDescent="0.35">
      <c r="A560" s="66" t="s">
        <v>380</v>
      </c>
      <c r="B560" s="66" t="s">
        <v>380</v>
      </c>
      <c r="C560" s="67"/>
      <c r="D560" s="68"/>
      <c r="E560" s="69"/>
      <c r="F560" s="70"/>
      <c r="G560" s="67"/>
      <c r="H560" s="71"/>
      <c r="I560" s="72"/>
      <c r="J560" s="72"/>
      <c r="K560" s="36"/>
      <c r="L560" s="79"/>
      <c r="M560" s="79"/>
      <c r="N560" s="74"/>
      <c r="O560" s="81" t="s">
        <v>179</v>
      </c>
      <c r="P560" s="83">
        <v>44463.138888888891</v>
      </c>
      <c r="Q560" s="81" t="s">
        <v>771</v>
      </c>
      <c r="R560" s="84" t="str">
        <f>HYPERLINK("https://akurat.co/anak-usaha-pos-indonesia-buka-lowongan-kerja-tutup-tiga-hari-lagi-lho")</f>
        <v>https://akurat.co/anak-usaha-pos-indonesia-buka-lowongan-kerja-tutup-tiga-hari-lagi-lho</v>
      </c>
      <c r="S560" s="81" t="s">
        <v>955</v>
      </c>
      <c r="T560" s="81"/>
      <c r="U560" s="81"/>
      <c r="V560" s="84" t="str">
        <f>HYPERLINK("https://pbs.twimg.com/profile_images/1144132838951809026/UsSe9lTl_normal.png")</f>
        <v>https://pbs.twimg.com/profile_images/1144132838951809026/UsSe9lTl_normal.png</v>
      </c>
      <c r="W560" s="83">
        <v>44463.138888888891</v>
      </c>
      <c r="X560" s="89">
        <v>44463</v>
      </c>
      <c r="Y560" s="86" t="s">
        <v>1204</v>
      </c>
      <c r="Z560" s="84" t="str">
        <f>HYPERLINK("https://twitter.com/akuratco/status/1441240975926509569")</f>
        <v>https://twitter.com/akuratco/status/1441240975926509569</v>
      </c>
      <c r="AA560" s="81"/>
      <c r="AB560" s="81"/>
      <c r="AC560" s="86" t="s">
        <v>1700</v>
      </c>
      <c r="AD560" s="81"/>
      <c r="AE560" s="81" t="b">
        <v>0</v>
      </c>
      <c r="AF560" s="81">
        <v>0</v>
      </c>
      <c r="AG560" s="86" t="s">
        <v>2084</v>
      </c>
      <c r="AH560" s="81" t="b">
        <v>0</v>
      </c>
      <c r="AI560" s="81" t="s">
        <v>2167</v>
      </c>
      <c r="AJ560" s="81"/>
      <c r="AK560" s="86" t="s">
        <v>2084</v>
      </c>
      <c r="AL560" s="81" t="b">
        <v>0</v>
      </c>
      <c r="AM560" s="81">
        <v>0</v>
      </c>
      <c r="AN560" s="86" t="s">
        <v>2084</v>
      </c>
      <c r="AO560" s="86" t="s">
        <v>2181</v>
      </c>
      <c r="AP560" s="81" t="b">
        <v>0</v>
      </c>
      <c r="AQ560" s="86" t="s">
        <v>1700</v>
      </c>
      <c r="AR560" s="81" t="s">
        <v>179</v>
      </c>
      <c r="AS560" s="81">
        <v>0</v>
      </c>
      <c r="AT560" s="81">
        <v>0</v>
      </c>
      <c r="AU560" s="81"/>
      <c r="AV560" s="81"/>
      <c r="AW560" s="81"/>
      <c r="AX560" s="81"/>
      <c r="AY560" s="81"/>
      <c r="AZ560" s="81"/>
      <c r="BA560" s="81"/>
      <c r="BB560" s="81"/>
    </row>
    <row r="561" spans="1:54" x14ac:dyDescent="0.35">
      <c r="A561" s="66" t="s">
        <v>4393</v>
      </c>
      <c r="B561" s="66" t="s">
        <v>5069</v>
      </c>
      <c r="C561" s="67"/>
      <c r="D561" s="68"/>
      <c r="E561" s="69"/>
      <c r="F561" s="70"/>
      <c r="G561" s="67"/>
      <c r="H561" s="71"/>
      <c r="I561" s="72"/>
      <c r="J561" s="72"/>
      <c r="K561" s="36"/>
      <c r="L561" s="79"/>
      <c r="M561" s="79"/>
      <c r="N561" s="74"/>
      <c r="O561" s="81" t="s">
        <v>695</v>
      </c>
      <c r="P561" s="83">
        <v>44463.156180555554</v>
      </c>
      <c r="Q561" s="81" t="s">
        <v>5404</v>
      </c>
      <c r="R561" s="81"/>
      <c r="S561" s="81"/>
      <c r="T561" s="81"/>
      <c r="U561" s="81"/>
      <c r="V561" s="84" t="str">
        <f>HYPERLINK("https://pbs.twimg.com/profile_images/1437188855044714498/3VUifLdc_normal.jpg")</f>
        <v>https://pbs.twimg.com/profile_images/1437188855044714498/3VUifLdc_normal.jpg</v>
      </c>
      <c r="W561" s="83">
        <v>44463.156180555554</v>
      </c>
      <c r="X561" s="89">
        <v>44463</v>
      </c>
      <c r="Y561" s="86" t="s">
        <v>6026</v>
      </c>
      <c r="Z561" s="84" t="str">
        <f>HYPERLINK("https://twitter.com/_mardega/status/1441247241528696840")</f>
        <v>https://twitter.com/_mardega/status/1441247241528696840</v>
      </c>
      <c r="AA561" s="81"/>
      <c r="AB561" s="81"/>
      <c r="AC561" s="86" t="s">
        <v>6929</v>
      </c>
      <c r="AD561" s="86" t="s">
        <v>7671</v>
      </c>
      <c r="AE561" s="81" t="b">
        <v>0</v>
      </c>
      <c r="AF561" s="81">
        <v>1</v>
      </c>
      <c r="AG561" s="86" t="s">
        <v>7851</v>
      </c>
      <c r="AH561" s="81" t="b">
        <v>0</v>
      </c>
      <c r="AI561" s="81" t="s">
        <v>2171</v>
      </c>
      <c r="AJ561" s="81"/>
      <c r="AK561" s="86" t="s">
        <v>2084</v>
      </c>
      <c r="AL561" s="81" t="b">
        <v>0</v>
      </c>
      <c r="AM561" s="81">
        <v>0</v>
      </c>
      <c r="AN561" s="86" t="s">
        <v>2084</v>
      </c>
      <c r="AO561" s="86" t="s">
        <v>2179</v>
      </c>
      <c r="AP561" s="81" t="b">
        <v>0</v>
      </c>
      <c r="AQ561" s="86" t="s">
        <v>7671</v>
      </c>
      <c r="AR561" s="81" t="s">
        <v>179</v>
      </c>
      <c r="AS561" s="81">
        <v>0</v>
      </c>
      <c r="AT561" s="81">
        <v>0</v>
      </c>
      <c r="AU561" s="81"/>
      <c r="AV561" s="81"/>
      <c r="AW561" s="81"/>
      <c r="AX561" s="81"/>
      <c r="AY561" s="81"/>
      <c r="AZ561" s="81"/>
      <c r="BA561" s="81"/>
      <c r="BB561" s="81"/>
    </row>
    <row r="562" spans="1:54" x14ac:dyDescent="0.35">
      <c r="A562" s="66" t="s">
        <v>381</v>
      </c>
      <c r="B562" s="66" t="s">
        <v>381</v>
      </c>
      <c r="C562" s="67"/>
      <c r="D562" s="68"/>
      <c r="E562" s="69"/>
      <c r="F562" s="70"/>
      <c r="G562" s="67"/>
      <c r="H562" s="71"/>
      <c r="I562" s="72"/>
      <c r="J562" s="72"/>
      <c r="K562" s="36"/>
      <c r="L562" s="79"/>
      <c r="M562" s="79"/>
      <c r="N562" s="74"/>
      <c r="O562" s="81" t="s">
        <v>179</v>
      </c>
      <c r="P562" s="83">
        <v>44463.160937499997</v>
      </c>
      <c r="Q562" s="81" t="s">
        <v>772</v>
      </c>
      <c r="R562" s="81"/>
      <c r="S562" s="81"/>
      <c r="T562" s="81"/>
      <c r="U562" s="81"/>
      <c r="V562" s="84" t="str">
        <f>HYPERLINK("https://pbs.twimg.com/profile_images/1433080538311528453/mEI8ycFo_normal.jpg")</f>
        <v>https://pbs.twimg.com/profile_images/1433080538311528453/mEI8ycFo_normal.jpg</v>
      </c>
      <c r="W562" s="83">
        <v>44463.160937499997</v>
      </c>
      <c r="X562" s="89">
        <v>44463</v>
      </c>
      <c r="Y562" s="86" t="s">
        <v>1205</v>
      </c>
      <c r="Z562" s="84" t="str">
        <f>HYPERLINK("https://twitter.com/smootieskies/status/1441248966910234634")</f>
        <v>https://twitter.com/smootieskies/status/1441248966910234634</v>
      </c>
      <c r="AA562" s="81"/>
      <c r="AB562" s="81"/>
      <c r="AC562" s="86" t="s">
        <v>1701</v>
      </c>
      <c r="AD562" s="81"/>
      <c r="AE562" s="81" t="b">
        <v>0</v>
      </c>
      <c r="AF562" s="81">
        <v>0</v>
      </c>
      <c r="AG562" s="86" t="s">
        <v>2084</v>
      </c>
      <c r="AH562" s="81" t="b">
        <v>0</v>
      </c>
      <c r="AI562" s="81" t="s">
        <v>2167</v>
      </c>
      <c r="AJ562" s="81"/>
      <c r="AK562" s="86" t="s">
        <v>2084</v>
      </c>
      <c r="AL562" s="81" t="b">
        <v>0</v>
      </c>
      <c r="AM562" s="81">
        <v>0</v>
      </c>
      <c r="AN562" s="86" t="s">
        <v>2084</v>
      </c>
      <c r="AO562" s="86" t="s">
        <v>2179</v>
      </c>
      <c r="AP562" s="81" t="b">
        <v>0</v>
      </c>
      <c r="AQ562" s="86" t="s">
        <v>1701</v>
      </c>
      <c r="AR562" s="81" t="s">
        <v>179</v>
      </c>
      <c r="AS562" s="81">
        <v>0</v>
      </c>
      <c r="AT562" s="81">
        <v>0</v>
      </c>
      <c r="AU562" s="81"/>
      <c r="AV562" s="81"/>
      <c r="AW562" s="81"/>
      <c r="AX562" s="81"/>
      <c r="AY562" s="81"/>
      <c r="AZ562" s="81"/>
      <c r="BA562" s="81"/>
      <c r="BB562" s="81"/>
    </row>
    <row r="563" spans="1:54" x14ac:dyDescent="0.35">
      <c r="A563" s="66" t="s">
        <v>4394</v>
      </c>
      <c r="B563" s="66" t="s">
        <v>4394</v>
      </c>
      <c r="C563" s="67"/>
      <c r="D563" s="68"/>
      <c r="E563" s="69"/>
      <c r="F563" s="70"/>
      <c r="G563" s="67"/>
      <c r="H563" s="71"/>
      <c r="I563" s="72"/>
      <c r="J563" s="72"/>
      <c r="K563" s="36"/>
      <c r="L563" s="79"/>
      <c r="M563" s="79"/>
      <c r="N563" s="74"/>
      <c r="O563" s="81" t="s">
        <v>179</v>
      </c>
      <c r="P563" s="83">
        <v>44463.164189814815</v>
      </c>
      <c r="Q563" s="81" t="s">
        <v>5405</v>
      </c>
      <c r="R563" s="81"/>
      <c r="S563" s="81"/>
      <c r="T563" s="81"/>
      <c r="U563" s="81"/>
      <c r="V563" s="84" t="str">
        <f>HYPERLINK("https://pbs.twimg.com/profile_images/1427354602710646787/7cdn8dhg_normal.jpg")</f>
        <v>https://pbs.twimg.com/profile_images/1427354602710646787/7cdn8dhg_normal.jpg</v>
      </c>
      <c r="W563" s="83">
        <v>44463.164189814815</v>
      </c>
      <c r="X563" s="89">
        <v>44463</v>
      </c>
      <c r="Y563" s="86" t="s">
        <v>6027</v>
      </c>
      <c r="Z563" s="84" t="str">
        <f>HYPERLINK("https://twitter.com/gayhobbit/status/1441250147095121928")</f>
        <v>https://twitter.com/gayhobbit/status/1441250147095121928</v>
      </c>
      <c r="AA563" s="81"/>
      <c r="AB563" s="81"/>
      <c r="AC563" s="86" t="s">
        <v>6930</v>
      </c>
      <c r="AD563" s="86" t="s">
        <v>7672</v>
      </c>
      <c r="AE563" s="81" t="b">
        <v>0</v>
      </c>
      <c r="AF563" s="81">
        <v>1</v>
      </c>
      <c r="AG563" s="86" t="s">
        <v>7852</v>
      </c>
      <c r="AH563" s="81" t="b">
        <v>0</v>
      </c>
      <c r="AI563" s="81" t="s">
        <v>2168</v>
      </c>
      <c r="AJ563" s="81"/>
      <c r="AK563" s="86" t="s">
        <v>2084</v>
      </c>
      <c r="AL563" s="81" t="b">
        <v>0</v>
      </c>
      <c r="AM563" s="81">
        <v>0</v>
      </c>
      <c r="AN563" s="86" t="s">
        <v>2084</v>
      </c>
      <c r="AO563" s="86" t="s">
        <v>2178</v>
      </c>
      <c r="AP563" s="81" t="b">
        <v>0</v>
      </c>
      <c r="AQ563" s="86" t="s">
        <v>7672</v>
      </c>
      <c r="AR563" s="81" t="s">
        <v>179</v>
      </c>
      <c r="AS563" s="81">
        <v>0</v>
      </c>
      <c r="AT563" s="81">
        <v>0</v>
      </c>
      <c r="AU563" s="81"/>
      <c r="AV563" s="81"/>
      <c r="AW563" s="81"/>
      <c r="AX563" s="81"/>
      <c r="AY563" s="81"/>
      <c r="AZ563" s="81"/>
      <c r="BA563" s="81"/>
      <c r="BB563" s="81"/>
    </row>
    <row r="564" spans="1:54" x14ac:dyDescent="0.35">
      <c r="A564" s="66" t="s">
        <v>382</v>
      </c>
      <c r="B564" s="66" t="s">
        <v>382</v>
      </c>
      <c r="C564" s="67"/>
      <c r="D564" s="68"/>
      <c r="E564" s="69"/>
      <c r="F564" s="70"/>
      <c r="G564" s="67"/>
      <c r="H564" s="71"/>
      <c r="I564" s="72"/>
      <c r="J564" s="72"/>
      <c r="K564" s="36"/>
      <c r="L564" s="79"/>
      <c r="M564" s="79"/>
      <c r="N564" s="74"/>
      <c r="O564" s="81" t="s">
        <v>179</v>
      </c>
      <c r="P564" s="83">
        <v>44463.178935185184</v>
      </c>
      <c r="Q564" s="81" t="s">
        <v>773</v>
      </c>
      <c r="R564" s="84" t="str">
        <f>HYPERLINK("https://www.rekrutmen.net/2021/09/lowongan-kerja-semua-jurusan-pt-pos.html?utm_source=dlvr.it&amp;utm_medium=twitter")</f>
        <v>https://www.rekrutmen.net/2021/09/lowongan-kerja-semua-jurusan-pt-pos.html?utm_source=dlvr.it&amp;utm_medium=twitter</v>
      </c>
      <c r="S564" s="81" t="s">
        <v>956</v>
      </c>
      <c r="T564" s="81"/>
      <c r="U564" s="81"/>
      <c r="V564" s="84" t="str">
        <f>HYPERLINK("https://pbs.twimg.com/profile_images/521783012321529857/jxYnIjmW_normal.jpeg")</f>
        <v>https://pbs.twimg.com/profile_images/521783012321529857/jxYnIjmW_normal.jpeg</v>
      </c>
      <c r="W564" s="83">
        <v>44463.178935185184</v>
      </c>
      <c r="X564" s="89">
        <v>44463</v>
      </c>
      <c r="Y564" s="86" t="s">
        <v>1206</v>
      </c>
      <c r="Z564" s="84" t="str">
        <f>HYPERLINK("https://twitter.com/mitraloker/status/1441255490940325894")</f>
        <v>https://twitter.com/mitraloker/status/1441255490940325894</v>
      </c>
      <c r="AA564" s="81"/>
      <c r="AB564" s="81"/>
      <c r="AC564" s="86" t="s">
        <v>1702</v>
      </c>
      <c r="AD564" s="81"/>
      <c r="AE564" s="81" t="b">
        <v>0</v>
      </c>
      <c r="AF564" s="81">
        <v>0</v>
      </c>
      <c r="AG564" s="86" t="s">
        <v>2084</v>
      </c>
      <c r="AH564" s="81" t="b">
        <v>0</v>
      </c>
      <c r="AI564" s="81" t="s">
        <v>2167</v>
      </c>
      <c r="AJ564" s="81"/>
      <c r="AK564" s="86" t="s">
        <v>2084</v>
      </c>
      <c r="AL564" s="81" t="b">
        <v>0</v>
      </c>
      <c r="AM564" s="81">
        <v>0</v>
      </c>
      <c r="AN564" s="86" t="s">
        <v>2084</v>
      </c>
      <c r="AO564" s="86" t="s">
        <v>2188</v>
      </c>
      <c r="AP564" s="81" t="b">
        <v>0</v>
      </c>
      <c r="AQ564" s="86" t="s">
        <v>1702</v>
      </c>
      <c r="AR564" s="81" t="s">
        <v>179</v>
      </c>
      <c r="AS564" s="81">
        <v>0</v>
      </c>
      <c r="AT564" s="81">
        <v>0</v>
      </c>
      <c r="AU564" s="81"/>
      <c r="AV564" s="81"/>
      <c r="AW564" s="81"/>
      <c r="AX564" s="81"/>
      <c r="AY564" s="81"/>
      <c r="AZ564" s="81"/>
      <c r="BA564" s="81"/>
      <c r="BB564" s="81"/>
    </row>
    <row r="565" spans="1:54" x14ac:dyDescent="0.35">
      <c r="A565" s="66" t="s">
        <v>383</v>
      </c>
      <c r="B565" s="66" t="s">
        <v>383</v>
      </c>
      <c r="C565" s="67"/>
      <c r="D565" s="68"/>
      <c r="E565" s="69"/>
      <c r="F565" s="70"/>
      <c r="G565" s="67"/>
      <c r="H565" s="71"/>
      <c r="I565" s="72"/>
      <c r="J565" s="72"/>
      <c r="K565" s="36"/>
      <c r="L565" s="79"/>
      <c r="M565" s="79"/>
      <c r="N565" s="74"/>
      <c r="O565" s="81" t="s">
        <v>179</v>
      </c>
      <c r="P565" s="83">
        <v>44463.179618055554</v>
      </c>
      <c r="Q565" s="81" t="s">
        <v>774</v>
      </c>
      <c r="R565" s="81"/>
      <c r="S565" s="81"/>
      <c r="T565" s="81"/>
      <c r="U565" s="81"/>
      <c r="V565" s="84" t="str">
        <f>HYPERLINK("https://pbs.twimg.com/profile_images/1406551823230541826/qNMPRivD_normal.jpg")</f>
        <v>https://pbs.twimg.com/profile_images/1406551823230541826/qNMPRivD_normal.jpg</v>
      </c>
      <c r="W565" s="83">
        <v>44463.179618055554</v>
      </c>
      <c r="X565" s="89">
        <v>44463</v>
      </c>
      <c r="Y565" s="86" t="s">
        <v>1207</v>
      </c>
      <c r="Z565" s="84" t="str">
        <f>HYPERLINK("https://twitter.com/_44ngel_/status/1441255738580504585")</f>
        <v>https://twitter.com/_44ngel_/status/1441255738580504585</v>
      </c>
      <c r="AA565" s="81"/>
      <c r="AB565" s="81"/>
      <c r="AC565" s="86" t="s">
        <v>1703</v>
      </c>
      <c r="AD565" s="81"/>
      <c r="AE565" s="81" t="b">
        <v>0</v>
      </c>
      <c r="AF565" s="81">
        <v>0</v>
      </c>
      <c r="AG565" s="86" t="s">
        <v>2084</v>
      </c>
      <c r="AH565" s="81" t="b">
        <v>0</v>
      </c>
      <c r="AI565" s="81" t="s">
        <v>2167</v>
      </c>
      <c r="AJ565" s="81"/>
      <c r="AK565" s="86" t="s">
        <v>2084</v>
      </c>
      <c r="AL565" s="81" t="b">
        <v>0</v>
      </c>
      <c r="AM565" s="81">
        <v>0</v>
      </c>
      <c r="AN565" s="86" t="s">
        <v>2084</v>
      </c>
      <c r="AO565" s="86" t="s">
        <v>2179</v>
      </c>
      <c r="AP565" s="81" t="b">
        <v>0</v>
      </c>
      <c r="AQ565" s="86" t="s">
        <v>1703</v>
      </c>
      <c r="AR565" s="81" t="s">
        <v>179</v>
      </c>
      <c r="AS565" s="81">
        <v>0</v>
      </c>
      <c r="AT565" s="81">
        <v>0</v>
      </c>
      <c r="AU565" s="81"/>
      <c r="AV565" s="81"/>
      <c r="AW565" s="81"/>
      <c r="AX565" s="81"/>
      <c r="AY565" s="81"/>
      <c r="AZ565" s="81"/>
      <c r="BA565" s="81"/>
      <c r="BB565" s="81"/>
    </row>
    <row r="566" spans="1:54" x14ac:dyDescent="0.35">
      <c r="A566" s="66" t="s">
        <v>384</v>
      </c>
      <c r="B566" s="66" t="s">
        <v>384</v>
      </c>
      <c r="C566" s="67"/>
      <c r="D566" s="68"/>
      <c r="E566" s="69"/>
      <c r="F566" s="70"/>
      <c r="G566" s="67"/>
      <c r="H566" s="71"/>
      <c r="I566" s="72"/>
      <c r="J566" s="72"/>
      <c r="K566" s="36"/>
      <c r="L566" s="79"/>
      <c r="M566" s="79"/>
      <c r="N566" s="74"/>
      <c r="O566" s="81" t="s">
        <v>179</v>
      </c>
      <c r="P566" s="83">
        <v>44463.180694444447</v>
      </c>
      <c r="Q566" s="81" t="s">
        <v>775</v>
      </c>
      <c r="R566" s="84" t="str">
        <f>HYPERLINK("https://www.rekrutmen.net/2021/09/lowongan-kerja-semua-jurusan-pt-pos.html?utm_source=dlvr.it&amp;utm_medium=twitter")</f>
        <v>https://www.rekrutmen.net/2021/09/lowongan-kerja-semua-jurusan-pt-pos.html?utm_source=dlvr.it&amp;utm_medium=twitter</v>
      </c>
      <c r="S566" s="81" t="s">
        <v>956</v>
      </c>
      <c r="T566" s="81"/>
      <c r="U566" s="81"/>
      <c r="V566" s="84" t="str">
        <f>HYPERLINK("https://pbs.twimg.com/profile_images/461691104329359360/Y5j2ASJP_normal.jpeg")</f>
        <v>https://pbs.twimg.com/profile_images/461691104329359360/Y5j2ASJP_normal.jpeg</v>
      </c>
      <c r="W566" s="83">
        <v>44463.180694444447</v>
      </c>
      <c r="X566" s="89">
        <v>44463</v>
      </c>
      <c r="Y566" s="86" t="s">
        <v>1208</v>
      </c>
      <c r="Z566" s="84" t="str">
        <f>HYPERLINK("https://twitter.com/indojobinfo/status/1441256124645183498")</f>
        <v>https://twitter.com/indojobinfo/status/1441256124645183498</v>
      </c>
      <c r="AA566" s="81"/>
      <c r="AB566" s="81"/>
      <c r="AC566" s="86" t="s">
        <v>1704</v>
      </c>
      <c r="AD566" s="81"/>
      <c r="AE566" s="81" t="b">
        <v>0</v>
      </c>
      <c r="AF566" s="81">
        <v>0</v>
      </c>
      <c r="AG566" s="86" t="s">
        <v>2084</v>
      </c>
      <c r="AH566" s="81" t="b">
        <v>0</v>
      </c>
      <c r="AI566" s="81" t="s">
        <v>2167</v>
      </c>
      <c r="AJ566" s="81"/>
      <c r="AK566" s="86" t="s">
        <v>2084</v>
      </c>
      <c r="AL566" s="81" t="b">
        <v>0</v>
      </c>
      <c r="AM566" s="81">
        <v>0</v>
      </c>
      <c r="AN566" s="86" t="s">
        <v>2084</v>
      </c>
      <c r="AO566" s="86" t="s">
        <v>2188</v>
      </c>
      <c r="AP566" s="81" t="b">
        <v>0</v>
      </c>
      <c r="AQ566" s="86" t="s">
        <v>1704</v>
      </c>
      <c r="AR566" s="81" t="s">
        <v>179</v>
      </c>
      <c r="AS566" s="81">
        <v>0</v>
      </c>
      <c r="AT566" s="81">
        <v>0</v>
      </c>
      <c r="AU566" s="81"/>
      <c r="AV566" s="81"/>
      <c r="AW566" s="81"/>
      <c r="AX566" s="81"/>
      <c r="AY566" s="81"/>
      <c r="AZ566" s="81"/>
      <c r="BA566" s="81"/>
      <c r="BB566" s="81"/>
    </row>
    <row r="567" spans="1:54" x14ac:dyDescent="0.35">
      <c r="A567" s="66" t="s">
        <v>385</v>
      </c>
      <c r="B567" s="66" t="s">
        <v>385</v>
      </c>
      <c r="C567" s="67"/>
      <c r="D567" s="68"/>
      <c r="E567" s="69"/>
      <c r="F567" s="70"/>
      <c r="G567" s="67"/>
      <c r="H567" s="71"/>
      <c r="I567" s="72"/>
      <c r="J567" s="72"/>
      <c r="K567" s="36"/>
      <c r="L567" s="79"/>
      <c r="M567" s="79"/>
      <c r="N567" s="74"/>
      <c r="O567" s="81" t="s">
        <v>179</v>
      </c>
      <c r="P567" s="83">
        <v>44463.188414351855</v>
      </c>
      <c r="Q567" s="81" t="s">
        <v>776</v>
      </c>
      <c r="R567" s="81"/>
      <c r="S567" s="81"/>
      <c r="T567" s="81"/>
      <c r="U567" s="81"/>
      <c r="V567" s="84" t="str">
        <f>HYPERLINK("https://pbs.twimg.com/profile_images/1354267278695485440/XudgKeDn_normal.jpg")</f>
        <v>https://pbs.twimg.com/profile_images/1354267278695485440/XudgKeDn_normal.jpg</v>
      </c>
      <c r="W567" s="83">
        <v>44463.188414351855</v>
      </c>
      <c r="X567" s="89">
        <v>44463</v>
      </c>
      <c r="Y567" s="86" t="s">
        <v>1209</v>
      </c>
      <c r="Z567" s="84" t="str">
        <f>HYPERLINK("https://twitter.com/dyodks/status/1441258922384388106")</f>
        <v>https://twitter.com/dyodks/status/1441258922384388106</v>
      </c>
      <c r="AA567" s="81"/>
      <c r="AB567" s="81"/>
      <c r="AC567" s="86" t="s">
        <v>1705</v>
      </c>
      <c r="AD567" s="81"/>
      <c r="AE567" s="81" t="b">
        <v>0</v>
      </c>
      <c r="AF567" s="81">
        <v>0</v>
      </c>
      <c r="AG567" s="86" t="s">
        <v>2084</v>
      </c>
      <c r="AH567" s="81" t="b">
        <v>0</v>
      </c>
      <c r="AI567" s="81" t="s">
        <v>2167</v>
      </c>
      <c r="AJ567" s="81"/>
      <c r="AK567" s="86" t="s">
        <v>2084</v>
      </c>
      <c r="AL567" s="81" t="b">
        <v>0</v>
      </c>
      <c r="AM567" s="81">
        <v>0</v>
      </c>
      <c r="AN567" s="86" t="s">
        <v>2084</v>
      </c>
      <c r="AO567" s="86" t="s">
        <v>2179</v>
      </c>
      <c r="AP567" s="81" t="b">
        <v>0</v>
      </c>
      <c r="AQ567" s="86" t="s">
        <v>1705</v>
      </c>
      <c r="AR567" s="81" t="s">
        <v>179</v>
      </c>
      <c r="AS567" s="81">
        <v>0</v>
      </c>
      <c r="AT567" s="81">
        <v>0</v>
      </c>
      <c r="AU567" s="81"/>
      <c r="AV567" s="81"/>
      <c r="AW567" s="81"/>
      <c r="AX567" s="81"/>
      <c r="AY567" s="81"/>
      <c r="AZ567" s="81"/>
      <c r="BA567" s="81"/>
      <c r="BB567" s="81"/>
    </row>
    <row r="568" spans="1:54" x14ac:dyDescent="0.35">
      <c r="A568" s="66" t="s">
        <v>386</v>
      </c>
      <c r="B568" s="66" t="s">
        <v>641</v>
      </c>
      <c r="C568" s="67"/>
      <c r="D568" s="68"/>
      <c r="E568" s="69"/>
      <c r="F568" s="70"/>
      <c r="G568" s="67"/>
      <c r="H568" s="71"/>
      <c r="I568" s="72"/>
      <c r="J568" s="72"/>
      <c r="K568" s="36"/>
      <c r="L568" s="79"/>
      <c r="M568" s="79"/>
      <c r="N568" s="74"/>
      <c r="O568" s="81" t="s">
        <v>695</v>
      </c>
      <c r="P568" s="83">
        <v>44463.205995370372</v>
      </c>
      <c r="Q568" s="81" t="s">
        <v>777</v>
      </c>
      <c r="R568" s="81"/>
      <c r="S568" s="81"/>
      <c r="T568" s="81"/>
      <c r="U568" s="81"/>
      <c r="V568" s="84" t="str">
        <f>HYPERLINK("https://pbs.twimg.com/profile_images/1407642938197168132/Ri8ZozSZ_normal.jpg")</f>
        <v>https://pbs.twimg.com/profile_images/1407642938197168132/Ri8ZozSZ_normal.jpg</v>
      </c>
      <c r="W568" s="83">
        <v>44463.205995370372</v>
      </c>
      <c r="X568" s="89">
        <v>44463</v>
      </c>
      <c r="Y568" s="86" t="s">
        <v>1210</v>
      </c>
      <c r="Z568" s="84" t="str">
        <f>HYPERLINK("https://twitter.com/dochil97/status/1441265296820486144")</f>
        <v>https://twitter.com/dochil97/status/1441265296820486144</v>
      </c>
      <c r="AA568" s="81"/>
      <c r="AB568" s="81"/>
      <c r="AC568" s="86" t="s">
        <v>1706</v>
      </c>
      <c r="AD568" s="86" t="s">
        <v>2032</v>
      </c>
      <c r="AE568" s="81" t="b">
        <v>0</v>
      </c>
      <c r="AF568" s="81">
        <v>0</v>
      </c>
      <c r="AG568" s="86" t="s">
        <v>2116</v>
      </c>
      <c r="AH568" s="81" t="b">
        <v>0</v>
      </c>
      <c r="AI568" s="81" t="s">
        <v>2167</v>
      </c>
      <c r="AJ568" s="81"/>
      <c r="AK568" s="86" t="s">
        <v>2084</v>
      </c>
      <c r="AL568" s="81" t="b">
        <v>0</v>
      </c>
      <c r="AM568" s="81">
        <v>0</v>
      </c>
      <c r="AN568" s="86" t="s">
        <v>2084</v>
      </c>
      <c r="AO568" s="86" t="s">
        <v>2178</v>
      </c>
      <c r="AP568" s="81" t="b">
        <v>0</v>
      </c>
      <c r="AQ568" s="86" t="s">
        <v>2032</v>
      </c>
      <c r="AR568" s="81" t="s">
        <v>179</v>
      </c>
      <c r="AS568" s="81">
        <v>0</v>
      </c>
      <c r="AT568" s="81">
        <v>0</v>
      </c>
      <c r="AU568" s="81"/>
      <c r="AV568" s="81"/>
      <c r="AW568" s="81"/>
      <c r="AX568" s="81"/>
      <c r="AY568" s="81"/>
      <c r="AZ568" s="81"/>
      <c r="BA568" s="81"/>
      <c r="BB568" s="81"/>
    </row>
    <row r="569" spans="1:54" x14ac:dyDescent="0.35">
      <c r="A569" s="66" t="s">
        <v>4395</v>
      </c>
      <c r="B569" s="66" t="s">
        <v>4395</v>
      </c>
      <c r="C569" s="67"/>
      <c r="D569" s="68"/>
      <c r="E569" s="69"/>
      <c r="F569" s="70"/>
      <c r="G569" s="67"/>
      <c r="H569" s="71"/>
      <c r="I569" s="72"/>
      <c r="J569" s="72"/>
      <c r="K569" s="36"/>
      <c r="L569" s="79"/>
      <c r="M569" s="79"/>
      <c r="N569" s="74"/>
      <c r="O569" s="81" t="s">
        <v>179</v>
      </c>
      <c r="P569" s="83">
        <v>44463.210868055554</v>
      </c>
      <c r="Q569" s="81" t="s">
        <v>5406</v>
      </c>
      <c r="R569" s="84" t="str">
        <f>HYPERLINK("https://ionline.sapo.pt/artigo/747188/coimbra-plantacao-de-canabis-descoberta-apos-inc-ndio-em-habitacao-?seccao=Portugal_i")</f>
        <v>https://ionline.sapo.pt/artigo/747188/coimbra-plantacao-de-canabis-descoberta-apos-inc-ndio-em-habitacao-?seccao=Portugal_i</v>
      </c>
      <c r="S569" s="81" t="s">
        <v>5689</v>
      </c>
      <c r="T569" s="81"/>
      <c r="U569" s="81"/>
      <c r="V569" s="84" t="str">
        <f>HYPERLINK("https://pbs.twimg.com/profile_images/1084646613/DSC00016_normal.JPG")</f>
        <v>https://pbs.twimg.com/profile_images/1084646613/DSC00016_normal.JPG</v>
      </c>
      <c r="W569" s="83">
        <v>44463.210868055554</v>
      </c>
      <c r="X569" s="89">
        <v>44463</v>
      </c>
      <c r="Y569" s="86" t="s">
        <v>6028</v>
      </c>
      <c r="Z569" s="84" t="str">
        <f>HYPERLINK("https://twitter.com/shamomyam/status/1441267060005289984")</f>
        <v>https://twitter.com/shamomyam/status/1441267060005289984</v>
      </c>
      <c r="AA569" s="81"/>
      <c r="AB569" s="81"/>
      <c r="AC569" s="86" t="s">
        <v>6931</v>
      </c>
      <c r="AD569" s="81"/>
      <c r="AE569" s="81" t="b">
        <v>0</v>
      </c>
      <c r="AF569" s="81">
        <v>0</v>
      </c>
      <c r="AG569" s="86" t="s">
        <v>2084</v>
      </c>
      <c r="AH569" s="81" t="b">
        <v>0</v>
      </c>
      <c r="AI569" s="81" t="s">
        <v>2171</v>
      </c>
      <c r="AJ569" s="81"/>
      <c r="AK569" s="86" t="s">
        <v>2084</v>
      </c>
      <c r="AL569" s="81" t="b">
        <v>0</v>
      </c>
      <c r="AM569" s="81">
        <v>0</v>
      </c>
      <c r="AN569" s="86" t="s">
        <v>2084</v>
      </c>
      <c r="AO569" s="86" t="s">
        <v>2178</v>
      </c>
      <c r="AP569" s="81" t="b">
        <v>0</v>
      </c>
      <c r="AQ569" s="86" t="s">
        <v>6931</v>
      </c>
      <c r="AR569" s="81" t="s">
        <v>179</v>
      </c>
      <c r="AS569" s="81">
        <v>0</v>
      </c>
      <c r="AT569" s="81">
        <v>0</v>
      </c>
      <c r="AU569" s="81"/>
      <c r="AV569" s="81"/>
      <c r="AW569" s="81"/>
      <c r="AX569" s="81"/>
      <c r="AY569" s="81"/>
      <c r="AZ569" s="81"/>
      <c r="BA569" s="81"/>
      <c r="BB569" s="81"/>
    </row>
    <row r="570" spans="1:54" x14ac:dyDescent="0.35">
      <c r="A570" s="66" t="s">
        <v>4396</v>
      </c>
      <c r="B570" s="66" t="s">
        <v>4396</v>
      </c>
      <c r="C570" s="67"/>
      <c r="D570" s="68"/>
      <c r="E570" s="69"/>
      <c r="F570" s="70"/>
      <c r="G570" s="67"/>
      <c r="H570" s="71"/>
      <c r="I570" s="72"/>
      <c r="J570" s="72"/>
      <c r="K570" s="36"/>
      <c r="L570" s="79"/>
      <c r="M570" s="79"/>
      <c r="N570" s="74"/>
      <c r="O570" s="81" t="s">
        <v>179</v>
      </c>
      <c r="P570" s="83">
        <v>44463.211215277777</v>
      </c>
      <c r="Q570" s="81" t="s">
        <v>5407</v>
      </c>
      <c r="R570" s="81"/>
      <c r="S570" s="81"/>
      <c r="T570" s="81"/>
      <c r="U570" s="84" t="str">
        <f>HYPERLINK("https://pbs.twimg.com/media/FABo2b3VEAgQXL4.jpg")</f>
        <v>https://pbs.twimg.com/media/FABo2b3VEAgQXL4.jpg</v>
      </c>
      <c r="V570" s="84" t="str">
        <f>HYPERLINK("https://pbs.twimg.com/media/FABo2b3VEAgQXL4.jpg")</f>
        <v>https://pbs.twimg.com/media/FABo2b3VEAgQXL4.jpg</v>
      </c>
      <c r="W570" s="83">
        <v>44463.211215277777</v>
      </c>
      <c r="X570" s="89">
        <v>44463</v>
      </c>
      <c r="Y570" s="86" t="s">
        <v>6029</v>
      </c>
      <c r="Z570" s="84" t="str">
        <f>HYPERLINK("https://twitter.com/humas_sipirok/status/1441267187461677058")</f>
        <v>https://twitter.com/humas_sipirok/status/1441267187461677058</v>
      </c>
      <c r="AA570" s="81"/>
      <c r="AB570" s="81"/>
      <c r="AC570" s="86" t="s">
        <v>6932</v>
      </c>
      <c r="AD570" s="81"/>
      <c r="AE570" s="81" t="b">
        <v>0</v>
      </c>
      <c r="AF570" s="81">
        <v>0</v>
      </c>
      <c r="AG570" s="86" t="s">
        <v>2084</v>
      </c>
      <c r="AH570" s="81" t="b">
        <v>0</v>
      </c>
      <c r="AI570" s="81" t="s">
        <v>2167</v>
      </c>
      <c r="AJ570" s="81"/>
      <c r="AK570" s="86" t="s">
        <v>2084</v>
      </c>
      <c r="AL570" s="81" t="b">
        <v>0</v>
      </c>
      <c r="AM570" s="81">
        <v>0</v>
      </c>
      <c r="AN570" s="86" t="s">
        <v>2084</v>
      </c>
      <c r="AO570" s="86" t="s">
        <v>2178</v>
      </c>
      <c r="AP570" s="81" t="b">
        <v>0</v>
      </c>
      <c r="AQ570" s="86" t="s">
        <v>6932</v>
      </c>
      <c r="AR570" s="81" t="s">
        <v>179</v>
      </c>
      <c r="AS570" s="81">
        <v>0</v>
      </c>
      <c r="AT570" s="81">
        <v>0</v>
      </c>
      <c r="AU570" s="81"/>
      <c r="AV570" s="81"/>
      <c r="AW570" s="81"/>
      <c r="AX570" s="81"/>
      <c r="AY570" s="81"/>
      <c r="AZ570" s="81"/>
      <c r="BA570" s="81"/>
      <c r="BB570" s="81"/>
    </row>
    <row r="571" spans="1:54" x14ac:dyDescent="0.35">
      <c r="A571" s="66" t="s">
        <v>387</v>
      </c>
      <c r="B571" s="66" t="s">
        <v>387</v>
      </c>
      <c r="C571" s="67"/>
      <c r="D571" s="68"/>
      <c r="E571" s="69"/>
      <c r="F571" s="70"/>
      <c r="G571" s="67"/>
      <c r="H571" s="71"/>
      <c r="I571" s="72"/>
      <c r="J571" s="72"/>
      <c r="K571" s="36"/>
      <c r="L571" s="79"/>
      <c r="M571" s="79"/>
      <c r="N571" s="74"/>
      <c r="O571" s="81" t="s">
        <v>179</v>
      </c>
      <c r="P571" s="83">
        <v>44463.246701388889</v>
      </c>
      <c r="Q571" s="81" t="s">
        <v>778</v>
      </c>
      <c r="R571" s="81"/>
      <c r="S571" s="81"/>
      <c r="T571" s="81"/>
      <c r="U571" s="81"/>
      <c r="V571" s="84" t="str">
        <f>HYPERLINK("https://pbs.twimg.com/profile_images/1443428218447433733/JO4zyWqz_normal.jpg")</f>
        <v>https://pbs.twimg.com/profile_images/1443428218447433733/JO4zyWqz_normal.jpg</v>
      </c>
      <c r="W571" s="83">
        <v>44463.246701388889</v>
      </c>
      <c r="X571" s="89">
        <v>44463</v>
      </c>
      <c r="Y571" s="86" t="s">
        <v>1211</v>
      </c>
      <c r="Z571" s="84" t="str">
        <f>HYPERLINK("https://twitter.com/jieyalahh/status/1441280045943689218")</f>
        <v>https://twitter.com/jieyalahh/status/1441280045943689218</v>
      </c>
      <c r="AA571" s="81"/>
      <c r="AB571" s="81"/>
      <c r="AC571" s="86" t="s">
        <v>1707</v>
      </c>
      <c r="AD571" s="81"/>
      <c r="AE571" s="81" t="b">
        <v>0</v>
      </c>
      <c r="AF571" s="81">
        <v>0</v>
      </c>
      <c r="AG571" s="86" t="s">
        <v>2084</v>
      </c>
      <c r="AH571" s="81" t="b">
        <v>0</v>
      </c>
      <c r="AI571" s="81" t="s">
        <v>2167</v>
      </c>
      <c r="AJ571" s="81"/>
      <c r="AK571" s="86" t="s">
        <v>2084</v>
      </c>
      <c r="AL571" s="81" t="b">
        <v>0</v>
      </c>
      <c r="AM571" s="81">
        <v>0</v>
      </c>
      <c r="AN571" s="86" t="s">
        <v>2084</v>
      </c>
      <c r="AO571" s="86" t="s">
        <v>2178</v>
      </c>
      <c r="AP571" s="81" t="b">
        <v>0</v>
      </c>
      <c r="AQ571" s="86" t="s">
        <v>1707</v>
      </c>
      <c r="AR571" s="81" t="s">
        <v>179</v>
      </c>
      <c r="AS571" s="81">
        <v>0</v>
      </c>
      <c r="AT571" s="81">
        <v>0</v>
      </c>
      <c r="AU571" s="81"/>
      <c r="AV571" s="81"/>
      <c r="AW571" s="81"/>
      <c r="AX571" s="81"/>
      <c r="AY571" s="81"/>
      <c r="AZ571" s="81"/>
      <c r="BA571" s="81"/>
      <c r="BB571" s="81"/>
    </row>
    <row r="572" spans="1:54" x14ac:dyDescent="0.35">
      <c r="A572" s="66" t="s">
        <v>388</v>
      </c>
      <c r="B572" s="66" t="s">
        <v>388</v>
      </c>
      <c r="C572" s="67"/>
      <c r="D572" s="68"/>
      <c r="E572" s="69"/>
      <c r="F572" s="70"/>
      <c r="G572" s="67"/>
      <c r="H572" s="71"/>
      <c r="I572" s="72"/>
      <c r="J572" s="72"/>
      <c r="K572" s="36"/>
      <c r="L572" s="79"/>
      <c r="M572" s="79"/>
      <c r="N572" s="74"/>
      <c r="O572" s="81" t="s">
        <v>179</v>
      </c>
      <c r="P572" s="83">
        <v>44463.283009259256</v>
      </c>
      <c r="Q572" s="81" t="s">
        <v>779</v>
      </c>
      <c r="R572" s="84" t="str">
        <f>HYPERLINK("https://infosemarangraya.pikiran-rakyat.com/ekonomi/pr-1602661666/info-loker-bumn-pt-pos-logistik-indonesia-buka-lowongan-untuk-lulusan-min-d3-terbaru-september-2021")</f>
        <v>https://infosemarangraya.pikiran-rakyat.com/ekonomi/pr-1602661666/info-loker-bumn-pt-pos-logistik-indonesia-buka-lowongan-untuk-lulusan-min-d3-terbaru-september-2021</v>
      </c>
      <c r="S572" s="81" t="s">
        <v>947</v>
      </c>
      <c r="T572" s="86" t="s">
        <v>985</v>
      </c>
      <c r="U572" s="81"/>
      <c r="V572" s="84" t="str">
        <f>HYPERLINK("https://pbs.twimg.com/profile_images/1434473050137792514/CApaT34-_normal.jpg")</f>
        <v>https://pbs.twimg.com/profile_images/1434473050137792514/CApaT34-_normal.jpg</v>
      </c>
      <c r="W572" s="83">
        <v>44463.283009259256</v>
      </c>
      <c r="X572" s="89">
        <v>44463</v>
      </c>
      <c r="Y572" s="86" t="s">
        <v>1212</v>
      </c>
      <c r="Z572" s="84" t="str">
        <f>HYPERLINK("https://twitter.com/isrdotcom/status/1441293203794128901")</f>
        <v>https://twitter.com/isrdotcom/status/1441293203794128901</v>
      </c>
      <c r="AA572" s="81"/>
      <c r="AB572" s="81"/>
      <c r="AC572" s="86" t="s">
        <v>1708</v>
      </c>
      <c r="AD572" s="81"/>
      <c r="AE572" s="81" t="b">
        <v>0</v>
      </c>
      <c r="AF572" s="81">
        <v>1</v>
      </c>
      <c r="AG572" s="86" t="s">
        <v>2084</v>
      </c>
      <c r="AH572" s="81" t="b">
        <v>0</v>
      </c>
      <c r="AI572" s="81" t="s">
        <v>2167</v>
      </c>
      <c r="AJ572" s="81"/>
      <c r="AK572" s="86" t="s">
        <v>2084</v>
      </c>
      <c r="AL572" s="81" t="b">
        <v>0</v>
      </c>
      <c r="AM572" s="81">
        <v>0</v>
      </c>
      <c r="AN572" s="86" t="s">
        <v>2084</v>
      </c>
      <c r="AO572" s="86" t="s">
        <v>2178</v>
      </c>
      <c r="AP572" s="81" t="b">
        <v>0</v>
      </c>
      <c r="AQ572" s="86" t="s">
        <v>1708</v>
      </c>
      <c r="AR572" s="81" t="s">
        <v>179</v>
      </c>
      <c r="AS572" s="81">
        <v>0</v>
      </c>
      <c r="AT572" s="81">
        <v>0</v>
      </c>
      <c r="AU572" s="81"/>
      <c r="AV572" s="81"/>
      <c r="AW572" s="81"/>
      <c r="AX572" s="81"/>
      <c r="AY572" s="81"/>
      <c r="AZ572" s="81"/>
      <c r="BA572" s="81"/>
      <c r="BB572" s="81"/>
    </row>
    <row r="573" spans="1:54" x14ac:dyDescent="0.35">
      <c r="A573" s="66" t="s">
        <v>389</v>
      </c>
      <c r="B573" s="66" t="s">
        <v>635</v>
      </c>
      <c r="C573" s="67"/>
      <c r="D573" s="68"/>
      <c r="E573" s="69"/>
      <c r="F573" s="70"/>
      <c r="G573" s="67"/>
      <c r="H573" s="71"/>
      <c r="I573" s="72"/>
      <c r="J573" s="72"/>
      <c r="K573" s="36"/>
      <c r="L573" s="79"/>
      <c r="M573" s="79"/>
      <c r="N573" s="74"/>
      <c r="O573" s="81" t="s">
        <v>695</v>
      </c>
      <c r="P573" s="83">
        <v>44463.287719907406</v>
      </c>
      <c r="Q573" s="81" t="s">
        <v>780</v>
      </c>
      <c r="R573" s="81"/>
      <c r="S573" s="81"/>
      <c r="T573" s="81"/>
      <c r="U573" s="81"/>
      <c r="V573" s="84" t="str">
        <f>HYPERLINK("https://pbs.twimg.com/profile_images/1440316386513850370/n2SpEeqH_normal.jpg")</f>
        <v>https://pbs.twimg.com/profile_images/1440316386513850370/n2SpEeqH_normal.jpg</v>
      </c>
      <c r="W573" s="83">
        <v>44463.287719907406</v>
      </c>
      <c r="X573" s="89">
        <v>44463</v>
      </c>
      <c r="Y573" s="86" t="s">
        <v>1213</v>
      </c>
      <c r="Z573" s="84" t="str">
        <f>HYPERLINK("https://twitter.com/sherlynzlee/status/1441294911718887426")</f>
        <v>https://twitter.com/sherlynzlee/status/1441294911718887426</v>
      </c>
      <c r="AA573" s="81"/>
      <c r="AB573" s="81"/>
      <c r="AC573" s="86" t="s">
        <v>1709</v>
      </c>
      <c r="AD573" s="86" t="s">
        <v>2033</v>
      </c>
      <c r="AE573" s="81" t="b">
        <v>0</v>
      </c>
      <c r="AF573" s="81">
        <v>0</v>
      </c>
      <c r="AG573" s="86" t="s">
        <v>2111</v>
      </c>
      <c r="AH573" s="81" t="b">
        <v>0</v>
      </c>
      <c r="AI573" s="81" t="s">
        <v>2167</v>
      </c>
      <c r="AJ573" s="81"/>
      <c r="AK573" s="86" t="s">
        <v>2084</v>
      </c>
      <c r="AL573" s="81" t="b">
        <v>0</v>
      </c>
      <c r="AM573" s="81">
        <v>0</v>
      </c>
      <c r="AN573" s="86" t="s">
        <v>2084</v>
      </c>
      <c r="AO573" s="86" t="s">
        <v>2178</v>
      </c>
      <c r="AP573" s="81" t="b">
        <v>0</v>
      </c>
      <c r="AQ573" s="86" t="s">
        <v>2033</v>
      </c>
      <c r="AR573" s="81" t="s">
        <v>179</v>
      </c>
      <c r="AS573" s="81">
        <v>0</v>
      </c>
      <c r="AT573" s="81">
        <v>0</v>
      </c>
      <c r="AU573" s="81"/>
      <c r="AV573" s="81"/>
      <c r="AW573" s="81"/>
      <c r="AX573" s="81"/>
      <c r="AY573" s="81"/>
      <c r="AZ573" s="81"/>
      <c r="BA573" s="81"/>
      <c r="BB573" s="81"/>
    </row>
    <row r="574" spans="1:54" x14ac:dyDescent="0.35">
      <c r="A574" s="66" t="s">
        <v>390</v>
      </c>
      <c r="B574" s="66" t="s">
        <v>635</v>
      </c>
      <c r="C574" s="67"/>
      <c r="D574" s="68"/>
      <c r="E574" s="69"/>
      <c r="F574" s="70"/>
      <c r="G574" s="67"/>
      <c r="H574" s="71"/>
      <c r="I574" s="72"/>
      <c r="J574" s="72"/>
      <c r="K574" s="36"/>
      <c r="L574" s="79"/>
      <c r="M574" s="79"/>
      <c r="N574" s="74"/>
      <c r="O574" s="81" t="s">
        <v>695</v>
      </c>
      <c r="P574" s="83">
        <v>44463.290567129632</v>
      </c>
      <c r="Q574" s="81" t="s">
        <v>781</v>
      </c>
      <c r="R574" s="81"/>
      <c r="S574" s="81"/>
      <c r="T574" s="81"/>
      <c r="U574" s="81"/>
      <c r="V574" s="84" t="str">
        <f>HYPERLINK("https://pbs.twimg.com/profile_images/1442483374593961984/iO-bL88c_normal.jpg")</f>
        <v>https://pbs.twimg.com/profile_images/1442483374593961984/iO-bL88c_normal.jpg</v>
      </c>
      <c r="W574" s="83">
        <v>44463.290567129632</v>
      </c>
      <c r="X574" s="89">
        <v>44463</v>
      </c>
      <c r="Y574" s="86" t="s">
        <v>1214</v>
      </c>
      <c r="Z574" s="84" t="str">
        <f>HYPERLINK("https://twitter.com/temandeeptalk/status/1441295944717246468")</f>
        <v>https://twitter.com/temandeeptalk/status/1441295944717246468</v>
      </c>
      <c r="AA574" s="81"/>
      <c r="AB574" s="81"/>
      <c r="AC574" s="86" t="s">
        <v>1710</v>
      </c>
      <c r="AD574" s="86" t="s">
        <v>2033</v>
      </c>
      <c r="AE574" s="81" t="b">
        <v>0</v>
      </c>
      <c r="AF574" s="81">
        <v>0</v>
      </c>
      <c r="AG574" s="86" t="s">
        <v>2111</v>
      </c>
      <c r="AH574" s="81" t="b">
        <v>0</v>
      </c>
      <c r="AI574" s="81" t="s">
        <v>2167</v>
      </c>
      <c r="AJ574" s="81"/>
      <c r="AK574" s="86" t="s">
        <v>2084</v>
      </c>
      <c r="AL574" s="81" t="b">
        <v>0</v>
      </c>
      <c r="AM574" s="81">
        <v>0</v>
      </c>
      <c r="AN574" s="86" t="s">
        <v>2084</v>
      </c>
      <c r="AO574" s="86" t="s">
        <v>2178</v>
      </c>
      <c r="AP574" s="81" t="b">
        <v>0</v>
      </c>
      <c r="AQ574" s="86" t="s">
        <v>2033</v>
      </c>
      <c r="AR574" s="81" t="s">
        <v>179</v>
      </c>
      <c r="AS574" s="81">
        <v>0</v>
      </c>
      <c r="AT574" s="81">
        <v>0</v>
      </c>
      <c r="AU574" s="81"/>
      <c r="AV574" s="81"/>
      <c r="AW574" s="81"/>
      <c r="AX574" s="81"/>
      <c r="AY574" s="81"/>
      <c r="AZ574" s="81"/>
      <c r="BA574" s="81"/>
      <c r="BB574" s="81"/>
    </row>
    <row r="575" spans="1:54" x14ac:dyDescent="0.35">
      <c r="A575" s="66" t="s">
        <v>12499</v>
      </c>
      <c r="B575" s="66" t="s">
        <v>642</v>
      </c>
      <c r="C575" s="67"/>
      <c r="D575" s="68"/>
      <c r="E575" s="69"/>
      <c r="F575" s="70"/>
      <c r="G575" s="67"/>
      <c r="H575" s="71"/>
      <c r="I575" s="72"/>
      <c r="J575" s="72"/>
      <c r="K575" s="36"/>
      <c r="L575" s="79"/>
      <c r="M575" s="79"/>
      <c r="N575" s="74"/>
      <c r="O575" s="81" t="s">
        <v>695</v>
      </c>
      <c r="P575" s="83">
        <v>44463.29619212963</v>
      </c>
      <c r="Q575" s="81" t="s">
        <v>782</v>
      </c>
      <c r="R575" s="81"/>
      <c r="S575" s="81"/>
      <c r="T575" s="81"/>
      <c r="U575" s="81"/>
      <c r="V575" s="84" t="str">
        <f>HYPERLINK("https://pbs.twimg.com/profile_images/1436400795201593345/60s4ORzQ_normal.jpg")</f>
        <v>https://pbs.twimg.com/profile_images/1436400795201593345/60s4ORzQ_normal.jpg</v>
      </c>
      <c r="W575" s="83">
        <v>44463.29619212963</v>
      </c>
      <c r="X575" s="89">
        <v>44463</v>
      </c>
      <c r="Y575" s="86" t="s">
        <v>1215</v>
      </c>
      <c r="Z575" s="84" t="str">
        <f>HYPERLINK("https://twitter.com/wintershakitty/status/1441297980204613638")</f>
        <v>https://twitter.com/wintershakitty/status/1441297980204613638</v>
      </c>
      <c r="AA575" s="81"/>
      <c r="AB575" s="81"/>
      <c r="AC575" s="86" t="s">
        <v>1711</v>
      </c>
      <c r="AD575" s="86" t="s">
        <v>2034</v>
      </c>
      <c r="AE575" s="81" t="b">
        <v>0</v>
      </c>
      <c r="AF575" s="81">
        <v>0</v>
      </c>
      <c r="AG575" s="86" t="s">
        <v>2117</v>
      </c>
      <c r="AH575" s="81" t="b">
        <v>0</v>
      </c>
      <c r="AI575" s="81" t="s">
        <v>2167</v>
      </c>
      <c r="AJ575" s="81"/>
      <c r="AK575" s="86" t="s">
        <v>2084</v>
      </c>
      <c r="AL575" s="81" t="b">
        <v>0</v>
      </c>
      <c r="AM575" s="81">
        <v>0</v>
      </c>
      <c r="AN575" s="86" t="s">
        <v>2084</v>
      </c>
      <c r="AO575" s="86" t="s">
        <v>2179</v>
      </c>
      <c r="AP575" s="81" t="b">
        <v>0</v>
      </c>
      <c r="AQ575" s="86" t="s">
        <v>2034</v>
      </c>
      <c r="AR575" s="81" t="s">
        <v>179</v>
      </c>
      <c r="AS575" s="81">
        <v>0</v>
      </c>
      <c r="AT575" s="81">
        <v>0</v>
      </c>
      <c r="AU575" s="81"/>
      <c r="AV575" s="81"/>
      <c r="AW575" s="81"/>
      <c r="AX575" s="81"/>
      <c r="AY575" s="81"/>
      <c r="AZ575" s="81"/>
      <c r="BA575" s="81"/>
      <c r="BB575" s="81"/>
    </row>
    <row r="576" spans="1:54" x14ac:dyDescent="0.35">
      <c r="A576" s="66" t="s">
        <v>391</v>
      </c>
      <c r="B576" s="66" t="s">
        <v>391</v>
      </c>
      <c r="C576" s="67"/>
      <c r="D576" s="68"/>
      <c r="E576" s="69"/>
      <c r="F576" s="70"/>
      <c r="G576" s="67"/>
      <c r="H576" s="71"/>
      <c r="I576" s="72"/>
      <c r="J576" s="72"/>
      <c r="K576" s="36"/>
      <c r="L576" s="79"/>
      <c r="M576" s="79"/>
      <c r="N576" s="74"/>
      <c r="O576" s="81" t="s">
        <v>179</v>
      </c>
      <c r="P576" s="83">
        <v>44463.297465277778</v>
      </c>
      <c r="Q576" s="81" t="s">
        <v>783</v>
      </c>
      <c r="R576" s="81"/>
      <c r="S576" s="81"/>
      <c r="T576" s="81"/>
      <c r="U576" s="81"/>
      <c r="V576" s="84" t="str">
        <f>HYPERLINK("https://pbs.twimg.com/profile_images/1336640123828543491/7YNLJsz__normal.jpg")</f>
        <v>https://pbs.twimg.com/profile_images/1336640123828543491/7YNLJsz__normal.jpg</v>
      </c>
      <c r="W576" s="83">
        <v>44463.297465277778</v>
      </c>
      <c r="X576" s="89">
        <v>44463</v>
      </c>
      <c r="Y576" s="86" t="s">
        <v>1216</v>
      </c>
      <c r="Z576" s="84" t="str">
        <f>HYPERLINK("https://twitter.com/tsyahana/status/1441298442249072646")</f>
        <v>https://twitter.com/tsyahana/status/1441298442249072646</v>
      </c>
      <c r="AA576" s="81"/>
      <c r="AB576" s="81"/>
      <c r="AC576" s="86" t="s">
        <v>1712</v>
      </c>
      <c r="AD576" s="81"/>
      <c r="AE576" s="81" t="b">
        <v>0</v>
      </c>
      <c r="AF576" s="81">
        <v>0</v>
      </c>
      <c r="AG576" s="86" t="s">
        <v>2084</v>
      </c>
      <c r="AH576" s="81" t="b">
        <v>0</v>
      </c>
      <c r="AI576" s="81" t="s">
        <v>2167</v>
      </c>
      <c r="AJ576" s="81"/>
      <c r="AK576" s="86" t="s">
        <v>2084</v>
      </c>
      <c r="AL576" s="81" t="b">
        <v>0</v>
      </c>
      <c r="AM576" s="81">
        <v>0</v>
      </c>
      <c r="AN576" s="86" t="s">
        <v>2084</v>
      </c>
      <c r="AO576" s="86" t="s">
        <v>2181</v>
      </c>
      <c r="AP576" s="81" t="b">
        <v>0</v>
      </c>
      <c r="AQ576" s="86" t="s">
        <v>1712</v>
      </c>
      <c r="AR576" s="81" t="s">
        <v>179</v>
      </c>
      <c r="AS576" s="81">
        <v>0</v>
      </c>
      <c r="AT576" s="81">
        <v>0</v>
      </c>
      <c r="AU576" s="81"/>
      <c r="AV576" s="81"/>
      <c r="AW576" s="81"/>
      <c r="AX576" s="81"/>
      <c r="AY576" s="81"/>
      <c r="AZ576" s="81"/>
      <c r="BA576" s="81"/>
      <c r="BB576" s="81"/>
    </row>
    <row r="577" spans="1:54" x14ac:dyDescent="0.35">
      <c r="A577" s="66" t="s">
        <v>394</v>
      </c>
      <c r="B577" s="66" t="s">
        <v>394</v>
      </c>
      <c r="C577" s="67"/>
      <c r="D577" s="68"/>
      <c r="E577" s="69"/>
      <c r="F577" s="70"/>
      <c r="G577" s="67"/>
      <c r="H577" s="71"/>
      <c r="I577" s="72"/>
      <c r="J577" s="72"/>
      <c r="K577" s="36"/>
      <c r="L577" s="79"/>
      <c r="M577" s="79"/>
      <c r="N577" s="74"/>
      <c r="O577" s="81" t="s">
        <v>179</v>
      </c>
      <c r="P577" s="83">
        <v>44460.304224537038</v>
      </c>
      <c r="Q577" s="81" t="s">
        <v>785</v>
      </c>
      <c r="R577" s="84" t="str">
        <f>HYPERLINK("https://bursakerjadepnaker.com/lowongan-kerja-bumn-pt-pos-indonesia.html")</f>
        <v>https://bursakerjadepnaker.com/lowongan-kerja-bumn-pt-pos-indonesia.html</v>
      </c>
      <c r="S577" s="81" t="s">
        <v>957</v>
      </c>
      <c r="T577" s="81"/>
      <c r="U577" s="84" t="str">
        <f>HYPERLINK("https://pbs.twimg.com/media/E_yqwYBVUAQ2uZH.png")</f>
        <v>https://pbs.twimg.com/media/E_yqwYBVUAQ2uZH.png</v>
      </c>
      <c r="V577" s="84" t="str">
        <f>HYPERLINK("https://pbs.twimg.com/media/E_yqwYBVUAQ2uZH.png")</f>
        <v>https://pbs.twimg.com/media/E_yqwYBVUAQ2uZH.png</v>
      </c>
      <c r="W577" s="83">
        <v>44460.304224537038</v>
      </c>
      <c r="X577" s="89">
        <v>44460</v>
      </c>
      <c r="Y577" s="86" t="s">
        <v>1221</v>
      </c>
      <c r="Z577" s="84" t="str">
        <f>HYPERLINK("https://twitter.com/mybigbozz/status/1440213730441105416")</f>
        <v>https://twitter.com/mybigbozz/status/1440213730441105416</v>
      </c>
      <c r="AA577" s="81"/>
      <c r="AB577" s="81"/>
      <c r="AC577" s="86" t="s">
        <v>1717</v>
      </c>
      <c r="AD577" s="81"/>
      <c r="AE577" s="81" t="b">
        <v>0</v>
      </c>
      <c r="AF577" s="81">
        <v>0</v>
      </c>
      <c r="AG577" s="86" t="s">
        <v>2084</v>
      </c>
      <c r="AH577" s="81" t="b">
        <v>0</v>
      </c>
      <c r="AI577" s="81" t="s">
        <v>2167</v>
      </c>
      <c r="AJ577" s="81"/>
      <c r="AK577" s="86" t="s">
        <v>2084</v>
      </c>
      <c r="AL577" s="81" t="b">
        <v>0</v>
      </c>
      <c r="AM577" s="81">
        <v>0</v>
      </c>
      <c r="AN577" s="86" t="s">
        <v>2084</v>
      </c>
      <c r="AO577" s="86" t="s">
        <v>2183</v>
      </c>
      <c r="AP577" s="81" t="b">
        <v>0</v>
      </c>
      <c r="AQ577" s="86" t="s">
        <v>1717</v>
      </c>
      <c r="AR577" s="81" t="s">
        <v>179</v>
      </c>
      <c r="AS577" s="81">
        <v>0</v>
      </c>
      <c r="AT577" s="81">
        <v>0</v>
      </c>
      <c r="AU577" s="81"/>
      <c r="AV577" s="81"/>
      <c r="AW577" s="81"/>
      <c r="AX577" s="81"/>
      <c r="AY577" s="81"/>
      <c r="AZ577" s="81"/>
      <c r="BA577" s="81"/>
      <c r="BB577" s="81"/>
    </row>
    <row r="578" spans="1:54" x14ac:dyDescent="0.35">
      <c r="A578" s="66" t="s">
        <v>394</v>
      </c>
      <c r="B578" s="66" t="s">
        <v>394</v>
      </c>
      <c r="C578" s="67"/>
      <c r="D578" s="68"/>
      <c r="E578" s="69"/>
      <c r="F578" s="70"/>
      <c r="G578" s="67"/>
      <c r="H578" s="71"/>
      <c r="I578" s="72"/>
      <c r="J578" s="72"/>
      <c r="K578" s="36"/>
      <c r="L578" s="79"/>
      <c r="M578" s="79"/>
      <c r="N578" s="74"/>
      <c r="O578" s="81" t="s">
        <v>179</v>
      </c>
      <c r="P578" s="83">
        <v>44463.304259259261</v>
      </c>
      <c r="Q578" s="81" t="s">
        <v>786</v>
      </c>
      <c r="R578" s="84" t="str">
        <f>HYPERLINK("https://bursakerjadepnaker.com/lowongan-kerja-pt-pos-logistik-indonesia.html")</f>
        <v>https://bursakerjadepnaker.com/lowongan-kerja-pt-pos-logistik-indonesia.html</v>
      </c>
      <c r="S578" s="81" t="s">
        <v>957</v>
      </c>
      <c r="T578" s="81"/>
      <c r="U578" s="84" t="str">
        <f>HYPERLINK("https://pbs.twimg.com/media/FACHiDxVkAMrvaz.png")</f>
        <v>https://pbs.twimg.com/media/FACHiDxVkAMrvaz.png</v>
      </c>
      <c r="V578" s="84" t="str">
        <f>HYPERLINK("https://pbs.twimg.com/media/FACHiDxVkAMrvaz.png")</f>
        <v>https://pbs.twimg.com/media/FACHiDxVkAMrvaz.png</v>
      </c>
      <c r="W578" s="83">
        <v>44463.304259259261</v>
      </c>
      <c r="X578" s="89">
        <v>44463</v>
      </c>
      <c r="Y578" s="86" t="s">
        <v>1222</v>
      </c>
      <c r="Z578" s="84" t="str">
        <f>HYPERLINK("https://twitter.com/mybigbozz/status/1441300903256985613")</f>
        <v>https://twitter.com/mybigbozz/status/1441300903256985613</v>
      </c>
      <c r="AA578" s="81"/>
      <c r="AB578" s="81"/>
      <c r="AC578" s="86" t="s">
        <v>1718</v>
      </c>
      <c r="AD578" s="81"/>
      <c r="AE578" s="81" t="b">
        <v>0</v>
      </c>
      <c r="AF578" s="81">
        <v>0</v>
      </c>
      <c r="AG578" s="86" t="s">
        <v>2084</v>
      </c>
      <c r="AH578" s="81" t="b">
        <v>0</v>
      </c>
      <c r="AI578" s="81" t="s">
        <v>2167</v>
      </c>
      <c r="AJ578" s="81"/>
      <c r="AK578" s="86" t="s">
        <v>2084</v>
      </c>
      <c r="AL578" s="81" t="b">
        <v>0</v>
      </c>
      <c r="AM578" s="81">
        <v>0</v>
      </c>
      <c r="AN578" s="86" t="s">
        <v>2084</v>
      </c>
      <c r="AO578" s="86" t="s">
        <v>2183</v>
      </c>
      <c r="AP578" s="81" t="b">
        <v>0</v>
      </c>
      <c r="AQ578" s="86" t="s">
        <v>1718</v>
      </c>
      <c r="AR578" s="81" t="s">
        <v>179</v>
      </c>
      <c r="AS578" s="81">
        <v>0</v>
      </c>
      <c r="AT578" s="81">
        <v>0</v>
      </c>
      <c r="AU578" s="81"/>
      <c r="AV578" s="81"/>
      <c r="AW578" s="81"/>
      <c r="AX578" s="81"/>
      <c r="AY578" s="81"/>
      <c r="AZ578" s="81"/>
      <c r="BA578" s="81"/>
      <c r="BB578" s="81"/>
    </row>
    <row r="579" spans="1:54" x14ac:dyDescent="0.35">
      <c r="A579" s="66" t="s">
        <v>394</v>
      </c>
      <c r="B579" s="66" t="s">
        <v>394</v>
      </c>
      <c r="C579" s="67"/>
      <c r="D579" s="68"/>
      <c r="E579" s="69"/>
      <c r="F579" s="70"/>
      <c r="G579" s="67"/>
      <c r="H579" s="71"/>
      <c r="I579" s="72"/>
      <c r="J579" s="72"/>
      <c r="K579" s="36"/>
      <c r="L579" s="79"/>
      <c r="M579" s="79"/>
      <c r="N579" s="74"/>
      <c r="O579" s="81" t="s">
        <v>179</v>
      </c>
      <c r="P579" s="83">
        <v>44463.304305555554</v>
      </c>
      <c r="Q579" s="81" t="s">
        <v>5408</v>
      </c>
      <c r="R579" s="84" t="str">
        <f>HYPERLINK("https://bursakerjadepnaker.com/lowongan-kerja-pt-bank-mandiri-taspen-pos.html")</f>
        <v>https://bursakerjadepnaker.com/lowongan-kerja-pt-bank-mandiri-taspen-pos.html</v>
      </c>
      <c r="S579" s="81" t="s">
        <v>957</v>
      </c>
      <c r="T579" s="81"/>
      <c r="U579" s="84" t="str">
        <f>HYPERLINK("https://pbs.twimg.com/media/FACHjUSUUAIQutM.png")</f>
        <v>https://pbs.twimg.com/media/FACHjUSUUAIQutM.png</v>
      </c>
      <c r="V579" s="84" t="str">
        <f>HYPERLINK("https://pbs.twimg.com/media/FACHjUSUUAIQutM.png")</f>
        <v>https://pbs.twimg.com/media/FACHjUSUUAIQutM.png</v>
      </c>
      <c r="W579" s="83">
        <v>44463.304305555554</v>
      </c>
      <c r="X579" s="89">
        <v>44463</v>
      </c>
      <c r="Y579" s="86" t="s">
        <v>6030</v>
      </c>
      <c r="Z579" s="84" t="str">
        <f>HYPERLINK("https://twitter.com/mybigbozz/status/1441300923645669376")</f>
        <v>https://twitter.com/mybigbozz/status/1441300923645669376</v>
      </c>
      <c r="AA579" s="81"/>
      <c r="AB579" s="81"/>
      <c r="AC579" s="86" t="s">
        <v>6933</v>
      </c>
      <c r="AD579" s="81"/>
      <c r="AE579" s="81" t="b">
        <v>0</v>
      </c>
      <c r="AF579" s="81">
        <v>0</v>
      </c>
      <c r="AG579" s="86" t="s">
        <v>2084</v>
      </c>
      <c r="AH579" s="81" t="b">
        <v>0</v>
      </c>
      <c r="AI579" s="81" t="s">
        <v>2167</v>
      </c>
      <c r="AJ579" s="81"/>
      <c r="AK579" s="86" t="s">
        <v>2084</v>
      </c>
      <c r="AL579" s="81" t="b">
        <v>0</v>
      </c>
      <c r="AM579" s="81">
        <v>0</v>
      </c>
      <c r="AN579" s="86" t="s">
        <v>2084</v>
      </c>
      <c r="AO579" s="86" t="s">
        <v>2183</v>
      </c>
      <c r="AP579" s="81" t="b">
        <v>0</v>
      </c>
      <c r="AQ579" s="86" t="s">
        <v>6933</v>
      </c>
      <c r="AR579" s="81" t="s">
        <v>179</v>
      </c>
      <c r="AS579" s="81">
        <v>0</v>
      </c>
      <c r="AT579" s="81">
        <v>0</v>
      </c>
      <c r="AU579" s="81"/>
      <c r="AV579" s="81"/>
      <c r="AW579" s="81"/>
      <c r="AX579" s="81"/>
      <c r="AY579" s="81"/>
      <c r="AZ579" s="81"/>
      <c r="BA579" s="81"/>
      <c r="BB579" s="81"/>
    </row>
    <row r="580" spans="1:54" x14ac:dyDescent="0.35">
      <c r="A580" s="66" t="s">
        <v>395</v>
      </c>
      <c r="B580" s="66" t="s">
        <v>643</v>
      </c>
      <c r="C580" s="67"/>
      <c r="D580" s="68"/>
      <c r="E580" s="69"/>
      <c r="F580" s="70"/>
      <c r="G580" s="67"/>
      <c r="H580" s="71"/>
      <c r="I580" s="72"/>
      <c r="J580" s="72"/>
      <c r="K580" s="36"/>
      <c r="L580" s="79"/>
      <c r="M580" s="79"/>
      <c r="N580" s="74"/>
      <c r="O580" s="81" t="s">
        <v>695</v>
      </c>
      <c r="P580" s="83">
        <v>44463.305555555555</v>
      </c>
      <c r="Q580" s="81" t="s">
        <v>787</v>
      </c>
      <c r="R580" s="81"/>
      <c r="S580" s="81"/>
      <c r="T580" s="81"/>
      <c r="U580" s="81"/>
      <c r="V580" s="84" t="str">
        <f>HYPERLINK("https://pbs.twimg.com/profile_images/1271048734558883841/QbyPPeXW_normal.jpg")</f>
        <v>https://pbs.twimg.com/profile_images/1271048734558883841/QbyPPeXW_normal.jpg</v>
      </c>
      <c r="W580" s="83">
        <v>44463.305555555555</v>
      </c>
      <c r="X580" s="89">
        <v>44463</v>
      </c>
      <c r="Y580" s="86" t="s">
        <v>1223</v>
      </c>
      <c r="Z580" s="84" t="str">
        <f>HYPERLINK("https://twitter.com/cikguainan/status/1441301373006462976")</f>
        <v>https://twitter.com/cikguainan/status/1441301373006462976</v>
      </c>
      <c r="AA580" s="81"/>
      <c r="AB580" s="81"/>
      <c r="AC580" s="86" t="s">
        <v>1719</v>
      </c>
      <c r="AD580" s="86" t="s">
        <v>2035</v>
      </c>
      <c r="AE580" s="81" t="b">
        <v>0</v>
      </c>
      <c r="AF580" s="81">
        <v>3</v>
      </c>
      <c r="AG580" s="86" t="s">
        <v>2118</v>
      </c>
      <c r="AH580" s="81" t="b">
        <v>0</v>
      </c>
      <c r="AI580" s="81" t="s">
        <v>2167</v>
      </c>
      <c r="AJ580" s="81"/>
      <c r="AK580" s="86" t="s">
        <v>2084</v>
      </c>
      <c r="AL580" s="81" t="b">
        <v>0</v>
      </c>
      <c r="AM580" s="81">
        <v>0</v>
      </c>
      <c r="AN580" s="86" t="s">
        <v>2084</v>
      </c>
      <c r="AO580" s="86" t="s">
        <v>2178</v>
      </c>
      <c r="AP580" s="81" t="b">
        <v>0</v>
      </c>
      <c r="AQ580" s="86" t="s">
        <v>2035</v>
      </c>
      <c r="AR580" s="81" t="s">
        <v>179</v>
      </c>
      <c r="AS580" s="81">
        <v>0</v>
      </c>
      <c r="AT580" s="81">
        <v>0</v>
      </c>
      <c r="AU580" s="81"/>
      <c r="AV580" s="81"/>
      <c r="AW580" s="81"/>
      <c r="AX580" s="81"/>
      <c r="AY580" s="81"/>
      <c r="AZ580" s="81"/>
      <c r="BA580" s="81"/>
      <c r="BB580" s="81"/>
    </row>
    <row r="581" spans="1:54" x14ac:dyDescent="0.35">
      <c r="A581" s="66" t="s">
        <v>4397</v>
      </c>
      <c r="B581" s="66" t="s">
        <v>4870</v>
      </c>
      <c r="C581" s="67"/>
      <c r="D581" s="68"/>
      <c r="E581" s="69"/>
      <c r="F581" s="70"/>
      <c r="G581" s="67"/>
      <c r="H581" s="71"/>
      <c r="I581" s="72"/>
      <c r="J581" s="72"/>
      <c r="K581" s="36"/>
      <c r="L581" s="79"/>
      <c r="M581" s="79"/>
      <c r="N581" s="74"/>
      <c r="O581" s="81" t="s">
        <v>693</v>
      </c>
      <c r="P581" s="83">
        <v>44463.30678240741</v>
      </c>
      <c r="Q581" s="81" t="s">
        <v>5409</v>
      </c>
      <c r="R581" s="84" t="str">
        <f>HYPERLINK("https://expresso.pt/eleicoes/autarquicas-2021/2021-09-24-Costa-pos-as-fichas-do-futuro-na-campanha-d1363c42")</f>
        <v>https://expresso.pt/eleicoes/autarquicas-2021/2021-09-24-Costa-pos-as-fichas-do-futuro-na-campanha-d1363c42</v>
      </c>
      <c r="S581" s="81" t="s">
        <v>5721</v>
      </c>
      <c r="T581" s="81"/>
      <c r="U581" s="81"/>
      <c r="V581" s="84" t="str">
        <f>HYPERLINK("https://pbs.twimg.com/profile_images/687625485459828736/gZBe_kDo_normal.jpg")</f>
        <v>https://pbs.twimg.com/profile_images/687625485459828736/gZBe_kDo_normal.jpg</v>
      </c>
      <c r="W581" s="83">
        <v>44463.30678240741</v>
      </c>
      <c r="X581" s="89">
        <v>44463</v>
      </c>
      <c r="Y581" s="86" t="s">
        <v>6031</v>
      </c>
      <c r="Z581" s="84" t="str">
        <f>HYPERLINK("https://twitter.com/miguelhilargiak/status/1441301818626088970")</f>
        <v>https://twitter.com/miguelhilargiak/status/1441301818626088970</v>
      </c>
      <c r="AA581" s="81"/>
      <c r="AB581" s="81"/>
      <c r="AC581" s="86" t="s">
        <v>6934</v>
      </c>
      <c r="AD581" s="81"/>
      <c r="AE581" s="81" t="b">
        <v>0</v>
      </c>
      <c r="AF581" s="81">
        <v>0</v>
      </c>
      <c r="AG581" s="86" t="s">
        <v>2084</v>
      </c>
      <c r="AH581" s="81" t="b">
        <v>0</v>
      </c>
      <c r="AI581" s="81" t="s">
        <v>2171</v>
      </c>
      <c r="AJ581" s="81"/>
      <c r="AK581" s="86" t="s">
        <v>2084</v>
      </c>
      <c r="AL581" s="81" t="b">
        <v>0</v>
      </c>
      <c r="AM581" s="81">
        <v>1</v>
      </c>
      <c r="AN581" s="86" t="s">
        <v>7443</v>
      </c>
      <c r="AO581" s="86" t="s">
        <v>2178</v>
      </c>
      <c r="AP581" s="81" t="b">
        <v>0</v>
      </c>
      <c r="AQ581" s="86" t="s">
        <v>7443</v>
      </c>
      <c r="AR581" s="81" t="s">
        <v>179</v>
      </c>
      <c r="AS581" s="81">
        <v>0</v>
      </c>
      <c r="AT581" s="81">
        <v>0</v>
      </c>
      <c r="AU581" s="81"/>
      <c r="AV581" s="81"/>
      <c r="AW581" s="81"/>
      <c r="AX581" s="81"/>
      <c r="AY581" s="81"/>
      <c r="AZ581" s="81"/>
      <c r="BA581" s="81"/>
      <c r="BB581" s="81"/>
    </row>
    <row r="582" spans="1:54" x14ac:dyDescent="0.35">
      <c r="A582" s="66" t="s">
        <v>397</v>
      </c>
      <c r="B582" s="66" t="s">
        <v>397</v>
      </c>
      <c r="C582" s="67"/>
      <c r="D582" s="68"/>
      <c r="E582" s="69"/>
      <c r="F582" s="70"/>
      <c r="G582" s="67"/>
      <c r="H582" s="71"/>
      <c r="I582" s="72"/>
      <c r="J582" s="72"/>
      <c r="K582" s="36"/>
      <c r="L582" s="79"/>
      <c r="M582" s="79"/>
      <c r="N582" s="74"/>
      <c r="O582" s="81" t="s">
        <v>179</v>
      </c>
      <c r="P582" s="83">
        <v>44463.31653935185</v>
      </c>
      <c r="Q582" s="81" t="s">
        <v>788</v>
      </c>
      <c r="R582" s="84" t="str">
        <f>HYPERLINK("https://www.openkerja.id/2020/09/lowongan-kerja-pt-pos-logistik-indonesia.html")</f>
        <v>https://www.openkerja.id/2020/09/lowongan-kerja-pt-pos-logistik-indonesia.html</v>
      </c>
      <c r="S582" s="81" t="s">
        <v>958</v>
      </c>
      <c r="T582" s="81"/>
      <c r="U582" s="81"/>
      <c r="V582" s="84" t="str">
        <f>HYPERLINK("https://pbs.twimg.com/profile_images/1145695805237420033/Nal12BDa_normal.png")</f>
        <v>https://pbs.twimg.com/profile_images/1145695805237420033/Nal12BDa_normal.png</v>
      </c>
      <c r="W582" s="83">
        <v>44463.31653935185</v>
      </c>
      <c r="X582" s="89">
        <v>44463</v>
      </c>
      <c r="Y582" s="86" t="s">
        <v>1226</v>
      </c>
      <c r="Z582" s="84" t="str">
        <f>HYPERLINK("https://twitter.com/kharismaselaras/status/1441305355414171658")</f>
        <v>https://twitter.com/kharismaselaras/status/1441305355414171658</v>
      </c>
      <c r="AA582" s="81"/>
      <c r="AB582" s="81"/>
      <c r="AC582" s="86" t="s">
        <v>1722</v>
      </c>
      <c r="AD582" s="81"/>
      <c r="AE582" s="81" t="b">
        <v>0</v>
      </c>
      <c r="AF582" s="81">
        <v>0</v>
      </c>
      <c r="AG582" s="86" t="s">
        <v>2084</v>
      </c>
      <c r="AH582" s="81" t="b">
        <v>0</v>
      </c>
      <c r="AI582" s="81" t="s">
        <v>2167</v>
      </c>
      <c r="AJ582" s="81"/>
      <c r="AK582" s="86" t="s">
        <v>2084</v>
      </c>
      <c r="AL582" s="81" t="b">
        <v>0</v>
      </c>
      <c r="AM582" s="81">
        <v>0</v>
      </c>
      <c r="AN582" s="86" t="s">
        <v>2084</v>
      </c>
      <c r="AO582" s="86" t="s">
        <v>2183</v>
      </c>
      <c r="AP582" s="81" t="b">
        <v>0</v>
      </c>
      <c r="AQ582" s="86" t="s">
        <v>1722</v>
      </c>
      <c r="AR582" s="81" t="s">
        <v>179</v>
      </c>
      <c r="AS582" s="81">
        <v>0</v>
      </c>
      <c r="AT582" s="81">
        <v>0</v>
      </c>
      <c r="AU582" s="81"/>
      <c r="AV582" s="81"/>
      <c r="AW582" s="81"/>
      <c r="AX582" s="81"/>
      <c r="AY582" s="81"/>
      <c r="AZ582" s="81"/>
      <c r="BA582" s="81"/>
      <c r="BB582" s="81"/>
    </row>
    <row r="583" spans="1:54" x14ac:dyDescent="0.35">
      <c r="A583" s="66" t="s">
        <v>4398</v>
      </c>
      <c r="B583" s="66" t="s">
        <v>4398</v>
      </c>
      <c r="C583" s="67"/>
      <c r="D583" s="68"/>
      <c r="E583" s="69"/>
      <c r="F583" s="70"/>
      <c r="G583" s="67"/>
      <c r="H583" s="71"/>
      <c r="I583" s="72"/>
      <c r="J583" s="72"/>
      <c r="K583" s="36"/>
      <c r="L583" s="79"/>
      <c r="M583" s="79"/>
      <c r="N583" s="74"/>
      <c r="O583" s="81" t="s">
        <v>179</v>
      </c>
      <c r="P583" s="83">
        <v>44463.335949074077</v>
      </c>
      <c r="Q583" s="81" t="s">
        <v>5410</v>
      </c>
      <c r="R583" s="81"/>
      <c r="S583" s="81"/>
      <c r="T583" s="81"/>
      <c r="U583" s="81"/>
      <c r="V583" s="84" t="str">
        <f>HYPERLINK("https://pbs.twimg.com/profile_images/1435218263177236483/CgOFbzLz_normal.jpg")</f>
        <v>https://pbs.twimg.com/profile_images/1435218263177236483/CgOFbzLz_normal.jpg</v>
      </c>
      <c r="W583" s="83">
        <v>44463.335949074077</v>
      </c>
      <c r="X583" s="89">
        <v>44463</v>
      </c>
      <c r="Y583" s="86" t="s">
        <v>6032</v>
      </c>
      <c r="Z583" s="84" t="str">
        <f>HYPERLINK("https://twitter.com/jjyumilkyu/status/1441312389970862084")</f>
        <v>https://twitter.com/jjyumilkyu/status/1441312389970862084</v>
      </c>
      <c r="AA583" s="81"/>
      <c r="AB583" s="81"/>
      <c r="AC583" s="86" t="s">
        <v>6935</v>
      </c>
      <c r="AD583" s="81"/>
      <c r="AE583" s="81" t="b">
        <v>0</v>
      </c>
      <c r="AF583" s="81">
        <v>0</v>
      </c>
      <c r="AG583" s="86" t="s">
        <v>2084</v>
      </c>
      <c r="AH583" s="81" t="b">
        <v>0</v>
      </c>
      <c r="AI583" s="81" t="s">
        <v>2167</v>
      </c>
      <c r="AJ583" s="81"/>
      <c r="AK583" s="86" t="s">
        <v>2084</v>
      </c>
      <c r="AL583" s="81" t="b">
        <v>0</v>
      </c>
      <c r="AM583" s="81">
        <v>0</v>
      </c>
      <c r="AN583" s="86" t="s">
        <v>2084</v>
      </c>
      <c r="AO583" s="86" t="s">
        <v>2178</v>
      </c>
      <c r="AP583" s="81" t="b">
        <v>0</v>
      </c>
      <c r="AQ583" s="86" t="s">
        <v>6935</v>
      </c>
      <c r="AR583" s="81" t="s">
        <v>179</v>
      </c>
      <c r="AS583" s="81">
        <v>0</v>
      </c>
      <c r="AT583" s="81">
        <v>0</v>
      </c>
      <c r="AU583" s="81"/>
      <c r="AV583" s="81"/>
      <c r="AW583" s="81"/>
      <c r="AX583" s="81"/>
      <c r="AY583" s="81"/>
      <c r="AZ583" s="81"/>
      <c r="BA583" s="81"/>
      <c r="BB583" s="81"/>
    </row>
    <row r="584" spans="1:54" x14ac:dyDescent="0.35">
      <c r="A584" s="66" t="s">
        <v>4399</v>
      </c>
      <c r="B584" s="66" t="s">
        <v>4399</v>
      </c>
      <c r="C584" s="67"/>
      <c r="D584" s="68"/>
      <c r="E584" s="69"/>
      <c r="F584" s="70"/>
      <c r="G584" s="67"/>
      <c r="H584" s="71"/>
      <c r="I584" s="72"/>
      <c r="J584" s="72"/>
      <c r="K584" s="36"/>
      <c r="L584" s="79"/>
      <c r="M584" s="79"/>
      <c r="N584" s="74"/>
      <c r="O584" s="81" t="s">
        <v>179</v>
      </c>
      <c r="P584" s="83">
        <v>44463.394814814812</v>
      </c>
      <c r="Q584" s="81" t="s">
        <v>5411</v>
      </c>
      <c r="R584" s="84" t="str">
        <f>HYPERLINK("https://www.trbn.com.br/materia/I45880/pos-2022-progressista-nega-que-lula-lhe-ofereceu-ministerio")</f>
        <v>https://www.trbn.com.br/materia/I45880/pos-2022-progressista-nega-que-lula-lhe-ofereceu-ministerio</v>
      </c>
      <c r="S584" s="81" t="s">
        <v>5722</v>
      </c>
      <c r="T584" s="81"/>
      <c r="U584" s="81"/>
      <c r="V584" s="84" t="str">
        <f>HYPERLINK("https://pbs.twimg.com/profile_images/1418580275144101888/oxOyY2DK_normal.jpg")</f>
        <v>https://pbs.twimg.com/profile_images/1418580275144101888/oxOyY2DK_normal.jpg</v>
      </c>
      <c r="W584" s="83">
        <v>44463.394814814812</v>
      </c>
      <c r="X584" s="89">
        <v>44463</v>
      </c>
      <c r="Y584" s="86" t="s">
        <v>6033</v>
      </c>
      <c r="Z584" s="84" t="str">
        <f>HYPERLINK("https://twitter.com/rodansilva/status/1441333719365611529")</f>
        <v>https://twitter.com/rodansilva/status/1441333719365611529</v>
      </c>
      <c r="AA584" s="81"/>
      <c r="AB584" s="81"/>
      <c r="AC584" s="86" t="s">
        <v>6936</v>
      </c>
      <c r="AD584" s="81"/>
      <c r="AE584" s="81" t="b">
        <v>0</v>
      </c>
      <c r="AF584" s="81">
        <v>1</v>
      </c>
      <c r="AG584" s="86" t="s">
        <v>2084</v>
      </c>
      <c r="AH584" s="81" t="b">
        <v>0</v>
      </c>
      <c r="AI584" s="81" t="s">
        <v>2171</v>
      </c>
      <c r="AJ584" s="81"/>
      <c r="AK584" s="86" t="s">
        <v>2084</v>
      </c>
      <c r="AL584" s="81" t="b">
        <v>0</v>
      </c>
      <c r="AM584" s="81">
        <v>0</v>
      </c>
      <c r="AN584" s="86" t="s">
        <v>2084</v>
      </c>
      <c r="AO584" s="86" t="s">
        <v>2179</v>
      </c>
      <c r="AP584" s="81" t="b">
        <v>0</v>
      </c>
      <c r="AQ584" s="86" t="s">
        <v>6936</v>
      </c>
      <c r="AR584" s="81" t="s">
        <v>179</v>
      </c>
      <c r="AS584" s="81">
        <v>0</v>
      </c>
      <c r="AT584" s="81">
        <v>0</v>
      </c>
      <c r="AU584" s="81"/>
      <c r="AV584" s="81"/>
      <c r="AW584" s="81"/>
      <c r="AX584" s="81"/>
      <c r="AY584" s="81"/>
      <c r="AZ584" s="81"/>
      <c r="BA584" s="81"/>
      <c r="BB584" s="81"/>
    </row>
    <row r="585" spans="1:54" x14ac:dyDescent="0.35">
      <c r="A585" s="66" t="s">
        <v>400</v>
      </c>
      <c r="B585" s="66" t="s">
        <v>645</v>
      </c>
      <c r="C585" s="67"/>
      <c r="D585" s="68"/>
      <c r="E585" s="69"/>
      <c r="F585" s="70"/>
      <c r="G585" s="67"/>
      <c r="H585" s="71"/>
      <c r="I585" s="72"/>
      <c r="J585" s="72"/>
      <c r="K585" s="36"/>
      <c r="L585" s="79"/>
      <c r="M585" s="79"/>
      <c r="N585" s="74"/>
      <c r="O585" s="81" t="s">
        <v>695</v>
      </c>
      <c r="P585" s="83">
        <v>44463.416979166665</v>
      </c>
      <c r="Q585" s="81" t="s">
        <v>790</v>
      </c>
      <c r="R585" s="81"/>
      <c r="S585" s="81"/>
      <c r="T585" s="81"/>
      <c r="U585" s="81"/>
      <c r="V585" s="84" t="str">
        <f>HYPERLINK("https://pbs.twimg.com/profile_images/1434556476190642183/_FNctcWC_normal.jpg")</f>
        <v>https://pbs.twimg.com/profile_images/1434556476190642183/_FNctcWC_normal.jpg</v>
      </c>
      <c r="W585" s="83">
        <v>44463.416979166665</v>
      </c>
      <c r="X585" s="89">
        <v>44463</v>
      </c>
      <c r="Y585" s="86" t="s">
        <v>1229</v>
      </c>
      <c r="Z585" s="84" t="str">
        <f>HYPERLINK("https://twitter.com/haiqal_mahtiar/status/1441341752380588037")</f>
        <v>https://twitter.com/haiqal_mahtiar/status/1441341752380588037</v>
      </c>
      <c r="AA585" s="81"/>
      <c r="AB585" s="81"/>
      <c r="AC585" s="86" t="s">
        <v>1725</v>
      </c>
      <c r="AD585" s="86" t="s">
        <v>2036</v>
      </c>
      <c r="AE585" s="81" t="b">
        <v>0</v>
      </c>
      <c r="AF585" s="81">
        <v>0</v>
      </c>
      <c r="AG585" s="86" t="s">
        <v>2120</v>
      </c>
      <c r="AH585" s="81" t="b">
        <v>0</v>
      </c>
      <c r="AI585" s="81" t="s">
        <v>2170</v>
      </c>
      <c r="AJ585" s="81"/>
      <c r="AK585" s="86" t="s">
        <v>2084</v>
      </c>
      <c r="AL585" s="81" t="b">
        <v>0</v>
      </c>
      <c r="AM585" s="81">
        <v>0</v>
      </c>
      <c r="AN585" s="86" t="s">
        <v>2084</v>
      </c>
      <c r="AO585" s="86" t="s">
        <v>2178</v>
      </c>
      <c r="AP585" s="81" t="b">
        <v>0</v>
      </c>
      <c r="AQ585" s="86" t="s">
        <v>2036</v>
      </c>
      <c r="AR585" s="81" t="s">
        <v>179</v>
      </c>
      <c r="AS585" s="81">
        <v>0</v>
      </c>
      <c r="AT585" s="81">
        <v>0</v>
      </c>
      <c r="AU585" s="81"/>
      <c r="AV585" s="81"/>
      <c r="AW585" s="81"/>
      <c r="AX585" s="81"/>
      <c r="AY585" s="81"/>
      <c r="AZ585" s="81"/>
      <c r="BA585" s="81"/>
      <c r="BB585" s="81"/>
    </row>
    <row r="586" spans="1:54" x14ac:dyDescent="0.35">
      <c r="A586" s="66" t="s">
        <v>401</v>
      </c>
      <c r="B586" s="66" t="s">
        <v>401</v>
      </c>
      <c r="C586" s="67"/>
      <c r="D586" s="68"/>
      <c r="E586" s="69"/>
      <c r="F586" s="70"/>
      <c r="G586" s="67"/>
      <c r="H586" s="71"/>
      <c r="I586" s="72"/>
      <c r="J586" s="72"/>
      <c r="K586" s="36"/>
      <c r="L586" s="79"/>
      <c r="M586" s="79"/>
      <c r="N586" s="74"/>
      <c r="O586" s="81" t="s">
        <v>179</v>
      </c>
      <c r="P586" s="83">
        <v>44463.42292824074</v>
      </c>
      <c r="Q586" s="81" t="s">
        <v>791</v>
      </c>
      <c r="R586" s="81"/>
      <c r="S586" s="81"/>
      <c r="T586" s="81"/>
      <c r="U586" s="81"/>
      <c r="V586" s="84" t="str">
        <f>HYPERLINK("https://pbs.twimg.com/profile_images/1432384830486941696/VjHBj8OX_normal.jpg")</f>
        <v>https://pbs.twimg.com/profile_images/1432384830486941696/VjHBj8OX_normal.jpg</v>
      </c>
      <c r="W586" s="83">
        <v>44463.42292824074</v>
      </c>
      <c r="X586" s="89">
        <v>44463</v>
      </c>
      <c r="Y586" s="86" t="s">
        <v>1230</v>
      </c>
      <c r="Z586" s="84" t="str">
        <f>HYPERLINK("https://twitter.com/pingpongshh/status/1441343909376892929")</f>
        <v>https://twitter.com/pingpongshh/status/1441343909376892929</v>
      </c>
      <c r="AA586" s="81"/>
      <c r="AB586" s="81"/>
      <c r="AC586" s="86" t="s">
        <v>1726</v>
      </c>
      <c r="AD586" s="81"/>
      <c r="AE586" s="81" t="b">
        <v>0</v>
      </c>
      <c r="AF586" s="81">
        <v>0</v>
      </c>
      <c r="AG586" s="86" t="s">
        <v>2084</v>
      </c>
      <c r="AH586" s="81" t="b">
        <v>0</v>
      </c>
      <c r="AI586" s="81" t="s">
        <v>2167</v>
      </c>
      <c r="AJ586" s="81"/>
      <c r="AK586" s="86" t="s">
        <v>2084</v>
      </c>
      <c r="AL586" s="81" t="b">
        <v>0</v>
      </c>
      <c r="AM586" s="81">
        <v>0</v>
      </c>
      <c r="AN586" s="86" t="s">
        <v>2084</v>
      </c>
      <c r="AO586" s="86" t="s">
        <v>2179</v>
      </c>
      <c r="AP586" s="81" t="b">
        <v>0</v>
      </c>
      <c r="AQ586" s="86" t="s">
        <v>1726</v>
      </c>
      <c r="AR586" s="81" t="s">
        <v>179</v>
      </c>
      <c r="AS586" s="81">
        <v>0</v>
      </c>
      <c r="AT586" s="81">
        <v>0</v>
      </c>
      <c r="AU586" s="81"/>
      <c r="AV586" s="81"/>
      <c r="AW586" s="81"/>
      <c r="AX586" s="81"/>
      <c r="AY586" s="81"/>
      <c r="AZ586" s="81"/>
      <c r="BA586" s="81"/>
      <c r="BB586" s="81"/>
    </row>
    <row r="587" spans="1:54" x14ac:dyDescent="0.35">
      <c r="A587" s="66" t="s">
        <v>4400</v>
      </c>
      <c r="B587" s="66" t="s">
        <v>4870</v>
      </c>
      <c r="C587" s="67"/>
      <c r="D587" s="68"/>
      <c r="E587" s="69"/>
      <c r="F587" s="70"/>
      <c r="G587" s="67"/>
      <c r="H587" s="71"/>
      <c r="I587" s="72"/>
      <c r="J587" s="72"/>
      <c r="K587" s="36"/>
      <c r="L587" s="79"/>
      <c r="M587" s="79"/>
      <c r="N587" s="74"/>
      <c r="O587" s="81" t="s">
        <v>693</v>
      </c>
      <c r="P587" s="83">
        <v>44463.428935185184</v>
      </c>
      <c r="Q587" s="81" t="s">
        <v>5412</v>
      </c>
      <c r="R587" s="84" t="str">
        <f>HYPERLINK("https://expresso.pt/sociedade/2021-09-24-Sete-tendencias-no-pos-pandemia-restaurantes-vao-ser-mais-digitais-e-focados-nos-detalhes-comida-para-fora-e-esplanadas-vieram-para-ficar-df338160")</f>
        <v>https://expresso.pt/sociedade/2021-09-24-Sete-tendencias-no-pos-pandemia-restaurantes-vao-ser-mais-digitais-e-focados-nos-detalhes-comida-para-fora-e-esplanadas-vieram-para-ficar-df338160</v>
      </c>
      <c r="S587" s="81" t="s">
        <v>5721</v>
      </c>
      <c r="T587" s="81"/>
      <c r="U587" s="81"/>
      <c r="V587" s="84" t="str">
        <f>HYPERLINK("https://pbs.twimg.com/profile_images/1417881300552269825/rB30qcxc_normal.jpg")</f>
        <v>https://pbs.twimg.com/profile_images/1417881300552269825/rB30qcxc_normal.jpg</v>
      </c>
      <c r="W587" s="83">
        <v>44463.428935185184</v>
      </c>
      <c r="X587" s="89">
        <v>44463</v>
      </c>
      <c r="Y587" s="86" t="s">
        <v>6034</v>
      </c>
      <c r="Z587" s="84" t="str">
        <f>HYPERLINK("https://twitter.com/prince_x007/status/1441346085344055297")</f>
        <v>https://twitter.com/prince_x007/status/1441346085344055297</v>
      </c>
      <c r="AA587" s="81"/>
      <c r="AB587" s="81"/>
      <c r="AC587" s="86" t="s">
        <v>6937</v>
      </c>
      <c r="AD587" s="81"/>
      <c r="AE587" s="81" t="b">
        <v>0</v>
      </c>
      <c r="AF587" s="81">
        <v>0</v>
      </c>
      <c r="AG587" s="86" t="s">
        <v>2084</v>
      </c>
      <c r="AH587" s="81" t="b">
        <v>0</v>
      </c>
      <c r="AI587" s="81" t="s">
        <v>2171</v>
      </c>
      <c r="AJ587" s="81"/>
      <c r="AK587" s="86" t="s">
        <v>2084</v>
      </c>
      <c r="AL587" s="81" t="b">
        <v>0</v>
      </c>
      <c r="AM587" s="81">
        <v>1</v>
      </c>
      <c r="AN587" s="86" t="s">
        <v>7444</v>
      </c>
      <c r="AO587" s="86" t="s">
        <v>2178</v>
      </c>
      <c r="AP587" s="81" t="b">
        <v>0</v>
      </c>
      <c r="AQ587" s="86" t="s">
        <v>7444</v>
      </c>
      <c r="AR587" s="81" t="s">
        <v>179</v>
      </c>
      <c r="AS587" s="81">
        <v>0</v>
      </c>
      <c r="AT587" s="81">
        <v>0</v>
      </c>
      <c r="AU587" s="81"/>
      <c r="AV587" s="81"/>
      <c r="AW587" s="81"/>
      <c r="AX587" s="81"/>
      <c r="AY587" s="81"/>
      <c r="AZ587" s="81"/>
      <c r="BA587" s="81"/>
      <c r="BB587" s="81"/>
    </row>
    <row r="588" spans="1:54" x14ac:dyDescent="0.35">
      <c r="A588" s="66" t="s">
        <v>4401</v>
      </c>
      <c r="B588" s="66" t="s">
        <v>4401</v>
      </c>
      <c r="C588" s="67"/>
      <c r="D588" s="68"/>
      <c r="E588" s="69"/>
      <c r="F588" s="70"/>
      <c r="G588" s="67"/>
      <c r="H588" s="71"/>
      <c r="I588" s="72"/>
      <c r="J588" s="72"/>
      <c r="K588" s="36"/>
      <c r="L588" s="79"/>
      <c r="M588" s="79"/>
      <c r="N588" s="74"/>
      <c r="O588" s="81" t="s">
        <v>179</v>
      </c>
      <c r="P588" s="83">
        <v>44463.444976851853</v>
      </c>
      <c r="Q588" s="81" t="s">
        <v>5413</v>
      </c>
      <c r="R588" s="81"/>
      <c r="S588" s="81"/>
      <c r="T588" s="81"/>
      <c r="U588" s="81"/>
      <c r="V588" s="84" t="str">
        <f>HYPERLINK("https://pbs.twimg.com/profile_images/1434236277465964548/cia_B37l_normal.jpg")</f>
        <v>https://pbs.twimg.com/profile_images/1434236277465964548/cia_B37l_normal.jpg</v>
      </c>
      <c r="W588" s="83">
        <v>44463.444976851853</v>
      </c>
      <c r="X588" s="89">
        <v>44463</v>
      </c>
      <c r="Y588" s="86" t="s">
        <v>6035</v>
      </c>
      <c r="Z588" s="84" t="str">
        <f>HYPERLINK("https://twitter.com/rosannatrades/status/1441351898708135950")</f>
        <v>https://twitter.com/rosannatrades/status/1441351898708135950</v>
      </c>
      <c r="AA588" s="81"/>
      <c r="AB588" s="81"/>
      <c r="AC588" s="86" t="s">
        <v>6938</v>
      </c>
      <c r="AD588" s="81"/>
      <c r="AE588" s="81" t="b">
        <v>0</v>
      </c>
      <c r="AF588" s="81">
        <v>3</v>
      </c>
      <c r="AG588" s="86" t="s">
        <v>2084</v>
      </c>
      <c r="AH588" s="81" t="b">
        <v>0</v>
      </c>
      <c r="AI588" s="81" t="s">
        <v>2168</v>
      </c>
      <c r="AJ588" s="81"/>
      <c r="AK588" s="86" t="s">
        <v>2084</v>
      </c>
      <c r="AL588" s="81" t="b">
        <v>0</v>
      </c>
      <c r="AM588" s="81">
        <v>0</v>
      </c>
      <c r="AN588" s="86" t="s">
        <v>2084</v>
      </c>
      <c r="AO588" s="86" t="s">
        <v>2178</v>
      </c>
      <c r="AP588" s="81" t="b">
        <v>0</v>
      </c>
      <c r="AQ588" s="86" t="s">
        <v>6938</v>
      </c>
      <c r="AR588" s="81" t="s">
        <v>179</v>
      </c>
      <c r="AS588" s="81">
        <v>0</v>
      </c>
      <c r="AT588" s="81">
        <v>0</v>
      </c>
      <c r="AU588" s="81"/>
      <c r="AV588" s="81"/>
      <c r="AW588" s="81"/>
      <c r="AX588" s="81"/>
      <c r="AY588" s="81"/>
      <c r="AZ588" s="81"/>
      <c r="BA588" s="81"/>
      <c r="BB588" s="81"/>
    </row>
    <row r="589" spans="1:54" x14ac:dyDescent="0.35">
      <c r="A589" s="66" t="s">
        <v>402</v>
      </c>
      <c r="B589" s="66" t="s">
        <v>402</v>
      </c>
      <c r="C589" s="67"/>
      <c r="D589" s="68"/>
      <c r="E589" s="69"/>
      <c r="F589" s="70"/>
      <c r="G589" s="67"/>
      <c r="H589" s="71"/>
      <c r="I589" s="72"/>
      <c r="J589" s="72"/>
      <c r="K589" s="36"/>
      <c r="L589" s="79"/>
      <c r="M589" s="79"/>
      <c r="N589" s="74"/>
      <c r="O589" s="81" t="s">
        <v>179</v>
      </c>
      <c r="P589" s="83">
        <v>44463.472060185188</v>
      </c>
      <c r="Q589" s="81" t="s">
        <v>792</v>
      </c>
      <c r="R589" s="81"/>
      <c r="S589" s="81"/>
      <c r="T589" s="81"/>
      <c r="U589" s="81"/>
      <c r="V589" s="84" t="str">
        <f>HYPERLINK("https://pbs.twimg.com/profile_images/1430850932766429189/8OqrK0Mr_normal.jpg")</f>
        <v>https://pbs.twimg.com/profile_images/1430850932766429189/8OqrK0Mr_normal.jpg</v>
      </c>
      <c r="W589" s="83">
        <v>44463.472060185188</v>
      </c>
      <c r="X589" s="89">
        <v>44463</v>
      </c>
      <c r="Y589" s="86" t="s">
        <v>1231</v>
      </c>
      <c r="Z589" s="84" t="str">
        <f>HYPERLINK("https://twitter.com/ajisaazeez/status/1441361713018724352")</f>
        <v>https://twitter.com/ajisaazeez/status/1441361713018724352</v>
      </c>
      <c r="AA589" s="81"/>
      <c r="AB589" s="81"/>
      <c r="AC589" s="86" t="s">
        <v>1727</v>
      </c>
      <c r="AD589" s="81"/>
      <c r="AE589" s="81" t="b">
        <v>0</v>
      </c>
      <c r="AF589" s="81">
        <v>0</v>
      </c>
      <c r="AG589" s="86" t="s">
        <v>2084</v>
      </c>
      <c r="AH589" s="81" t="b">
        <v>0</v>
      </c>
      <c r="AI589" s="81" t="s">
        <v>2167</v>
      </c>
      <c r="AJ589" s="81"/>
      <c r="AK589" s="86" t="s">
        <v>2084</v>
      </c>
      <c r="AL589" s="81" t="b">
        <v>0</v>
      </c>
      <c r="AM589" s="81">
        <v>0</v>
      </c>
      <c r="AN589" s="86" t="s">
        <v>2084</v>
      </c>
      <c r="AO589" s="86" t="s">
        <v>2179</v>
      </c>
      <c r="AP589" s="81" t="b">
        <v>0</v>
      </c>
      <c r="AQ589" s="86" t="s">
        <v>1727</v>
      </c>
      <c r="AR589" s="81" t="s">
        <v>179</v>
      </c>
      <c r="AS589" s="81">
        <v>0</v>
      </c>
      <c r="AT589" s="81">
        <v>0</v>
      </c>
      <c r="AU589" s="81"/>
      <c r="AV589" s="81"/>
      <c r="AW589" s="81"/>
      <c r="AX589" s="81"/>
      <c r="AY589" s="81"/>
      <c r="AZ589" s="81"/>
      <c r="BA589" s="81"/>
      <c r="BB589" s="81"/>
    </row>
    <row r="590" spans="1:54" x14ac:dyDescent="0.35">
      <c r="A590" s="66" t="s">
        <v>4402</v>
      </c>
      <c r="B590" s="66" t="s">
        <v>4402</v>
      </c>
      <c r="C590" s="67"/>
      <c r="D590" s="68"/>
      <c r="E590" s="69"/>
      <c r="F590" s="70"/>
      <c r="G590" s="67"/>
      <c r="H590" s="71"/>
      <c r="I590" s="72"/>
      <c r="J590" s="72"/>
      <c r="K590" s="36"/>
      <c r="L590" s="79"/>
      <c r="M590" s="79"/>
      <c r="N590" s="74"/>
      <c r="O590" s="81" t="s">
        <v>179</v>
      </c>
      <c r="P590" s="83">
        <v>44463.476747685185</v>
      </c>
      <c r="Q590" s="81" t="s">
        <v>5414</v>
      </c>
      <c r="R590" s="81" t="s">
        <v>5678</v>
      </c>
      <c r="S590" s="81" t="s">
        <v>5723</v>
      </c>
      <c r="T590" s="81"/>
      <c r="U590" s="81"/>
      <c r="V590" s="84" t="str">
        <f>HYPERLINK("https://pbs.twimg.com/profile_images/1370379305692368896/ej16P0YH_normal.jpg")</f>
        <v>https://pbs.twimg.com/profile_images/1370379305692368896/ej16P0YH_normal.jpg</v>
      </c>
      <c r="W590" s="83">
        <v>44463.476747685185</v>
      </c>
      <c r="X590" s="89">
        <v>44463</v>
      </c>
      <c r="Y590" s="86" t="s">
        <v>6036</v>
      </c>
      <c r="Z590" s="84" t="str">
        <f>HYPERLINK("https://twitter.com/cocasares/status/1441363413477720066")</f>
        <v>https://twitter.com/cocasares/status/1441363413477720066</v>
      </c>
      <c r="AA590" s="81"/>
      <c r="AB590" s="81"/>
      <c r="AC590" s="86" t="s">
        <v>6939</v>
      </c>
      <c r="AD590" s="81"/>
      <c r="AE590" s="81" t="b">
        <v>0</v>
      </c>
      <c r="AF590" s="81">
        <v>0</v>
      </c>
      <c r="AG590" s="86" t="s">
        <v>2084</v>
      </c>
      <c r="AH590" s="81" t="b">
        <v>1</v>
      </c>
      <c r="AI590" s="81" t="s">
        <v>2171</v>
      </c>
      <c r="AJ590" s="81"/>
      <c r="AK590" s="86" t="s">
        <v>7965</v>
      </c>
      <c r="AL590" s="81" t="b">
        <v>0</v>
      </c>
      <c r="AM590" s="81">
        <v>0</v>
      </c>
      <c r="AN590" s="86" t="s">
        <v>2084</v>
      </c>
      <c r="AO590" s="86" t="s">
        <v>2178</v>
      </c>
      <c r="AP590" s="81" t="b">
        <v>0</v>
      </c>
      <c r="AQ590" s="86" t="s">
        <v>6939</v>
      </c>
      <c r="AR590" s="81" t="s">
        <v>179</v>
      </c>
      <c r="AS590" s="81">
        <v>0</v>
      </c>
      <c r="AT590" s="81">
        <v>0</v>
      </c>
      <c r="AU590" s="81"/>
      <c r="AV590" s="81"/>
      <c r="AW590" s="81"/>
      <c r="AX590" s="81"/>
      <c r="AY590" s="81"/>
      <c r="AZ590" s="81"/>
      <c r="BA590" s="81"/>
      <c r="BB590" s="81"/>
    </row>
    <row r="591" spans="1:54" x14ac:dyDescent="0.35">
      <c r="A591" s="66" t="s">
        <v>4403</v>
      </c>
      <c r="B591" s="66" t="s">
        <v>4403</v>
      </c>
      <c r="C591" s="67"/>
      <c r="D591" s="68"/>
      <c r="E591" s="69"/>
      <c r="F591" s="70"/>
      <c r="G591" s="67"/>
      <c r="H591" s="71"/>
      <c r="I591" s="72"/>
      <c r="J591" s="72"/>
      <c r="K591" s="36"/>
      <c r="L591" s="79"/>
      <c r="M591" s="79"/>
      <c r="N591" s="74"/>
      <c r="O591" s="81" t="s">
        <v>179</v>
      </c>
      <c r="P591" s="83">
        <v>44463.478449074071</v>
      </c>
      <c r="Q591" s="81" t="s">
        <v>5415</v>
      </c>
      <c r="R591" s="84" t="str">
        <f>HYPERLINK("https://tiny.cc/5cajuz")</f>
        <v>https://tiny.cc/5cajuz</v>
      </c>
      <c r="S591" s="81" t="s">
        <v>5688</v>
      </c>
      <c r="T591" s="81"/>
      <c r="U591" s="81"/>
      <c r="V591" s="84" t="str">
        <f>HYPERLINK("https://pbs.twimg.com/profile_images/1255545312976031745/1El06_mm_normal.jpg")</f>
        <v>https://pbs.twimg.com/profile_images/1255545312976031745/1El06_mm_normal.jpg</v>
      </c>
      <c r="W591" s="83">
        <v>44463.478449074071</v>
      </c>
      <c r="X591" s="89">
        <v>44463</v>
      </c>
      <c r="Y591" s="86" t="s">
        <v>6037</v>
      </c>
      <c r="Z591" s="84" t="str">
        <f>HYPERLINK("https://twitter.com/abphe2/status/1441364029067313159")</f>
        <v>https://twitter.com/abphe2/status/1441364029067313159</v>
      </c>
      <c r="AA591" s="81"/>
      <c r="AB591" s="81"/>
      <c r="AC591" s="86" t="s">
        <v>6940</v>
      </c>
      <c r="AD591" s="81"/>
      <c r="AE591" s="81" t="b">
        <v>0</v>
      </c>
      <c r="AF591" s="81">
        <v>1</v>
      </c>
      <c r="AG591" s="86" t="s">
        <v>2084</v>
      </c>
      <c r="AH591" s="81" t="b">
        <v>0</v>
      </c>
      <c r="AI591" s="81" t="s">
        <v>2171</v>
      </c>
      <c r="AJ591" s="81"/>
      <c r="AK591" s="86" t="s">
        <v>2084</v>
      </c>
      <c r="AL591" s="81" t="b">
        <v>0</v>
      </c>
      <c r="AM591" s="81">
        <v>1</v>
      </c>
      <c r="AN591" s="86" t="s">
        <v>2084</v>
      </c>
      <c r="AO591" s="86" t="s">
        <v>2178</v>
      </c>
      <c r="AP591" s="81" t="b">
        <v>0</v>
      </c>
      <c r="AQ591" s="86" t="s">
        <v>6940</v>
      </c>
      <c r="AR591" s="81" t="s">
        <v>179</v>
      </c>
      <c r="AS591" s="81">
        <v>0</v>
      </c>
      <c r="AT591" s="81">
        <v>0</v>
      </c>
      <c r="AU591" s="81"/>
      <c r="AV591" s="81"/>
      <c r="AW591" s="81"/>
      <c r="AX591" s="81"/>
      <c r="AY591" s="81"/>
      <c r="AZ591" s="81"/>
      <c r="BA591" s="81"/>
      <c r="BB591" s="81"/>
    </row>
    <row r="592" spans="1:54" x14ac:dyDescent="0.35">
      <c r="A592" s="66" t="s">
        <v>4404</v>
      </c>
      <c r="B592" s="66" t="s">
        <v>4403</v>
      </c>
      <c r="C592" s="67"/>
      <c r="D592" s="68"/>
      <c r="E592" s="69"/>
      <c r="F592" s="70"/>
      <c r="G592" s="67"/>
      <c r="H592" s="71"/>
      <c r="I592" s="72"/>
      <c r="J592" s="72"/>
      <c r="K592" s="36"/>
      <c r="L592" s="79"/>
      <c r="M592" s="79"/>
      <c r="N592" s="74"/>
      <c r="O592" s="81" t="s">
        <v>693</v>
      </c>
      <c r="P592" s="83">
        <v>44463.480173611111</v>
      </c>
      <c r="Q592" s="81" t="s">
        <v>5415</v>
      </c>
      <c r="R592" s="84" t="str">
        <f>HYPERLINK("https://tiny.cc/5cajuz")</f>
        <v>https://tiny.cc/5cajuz</v>
      </c>
      <c r="S592" s="81" t="s">
        <v>5688</v>
      </c>
      <c r="T592" s="81"/>
      <c r="U592" s="81"/>
      <c r="V592" s="84" t="str">
        <f>HYPERLINK("https://pbs.twimg.com/profile_images/1383198952200241152/mOmANwVV_normal.jpg")</f>
        <v>https://pbs.twimg.com/profile_images/1383198952200241152/mOmANwVV_normal.jpg</v>
      </c>
      <c r="W592" s="83">
        <v>44463.480173611111</v>
      </c>
      <c r="X592" s="89">
        <v>44463</v>
      </c>
      <c r="Y592" s="86" t="s">
        <v>6038</v>
      </c>
      <c r="Z592" s="84" t="str">
        <f>HYPERLINK("https://twitter.com/gnrdias/status/1441364654299783169")</f>
        <v>https://twitter.com/gnrdias/status/1441364654299783169</v>
      </c>
      <c r="AA592" s="81"/>
      <c r="AB592" s="81"/>
      <c r="AC592" s="86" t="s">
        <v>6941</v>
      </c>
      <c r="AD592" s="81"/>
      <c r="AE592" s="81" t="b">
        <v>0</v>
      </c>
      <c r="AF592" s="81">
        <v>0</v>
      </c>
      <c r="AG592" s="86" t="s">
        <v>2084</v>
      </c>
      <c r="AH592" s="81" t="b">
        <v>0</v>
      </c>
      <c r="AI592" s="81" t="s">
        <v>2171</v>
      </c>
      <c r="AJ592" s="81"/>
      <c r="AK592" s="86" t="s">
        <v>2084</v>
      </c>
      <c r="AL592" s="81" t="b">
        <v>0</v>
      </c>
      <c r="AM592" s="81">
        <v>1</v>
      </c>
      <c r="AN592" s="86" t="s">
        <v>6940</v>
      </c>
      <c r="AO592" s="86" t="s">
        <v>2178</v>
      </c>
      <c r="AP592" s="81" t="b">
        <v>0</v>
      </c>
      <c r="AQ592" s="86" t="s">
        <v>6940</v>
      </c>
      <c r="AR592" s="81" t="s">
        <v>179</v>
      </c>
      <c r="AS592" s="81">
        <v>0</v>
      </c>
      <c r="AT592" s="81">
        <v>0</v>
      </c>
      <c r="AU592" s="81"/>
      <c r="AV592" s="81"/>
      <c r="AW592" s="81"/>
      <c r="AX592" s="81"/>
      <c r="AY592" s="81"/>
      <c r="AZ592" s="81"/>
      <c r="BA592" s="81"/>
      <c r="BB592" s="81"/>
    </row>
    <row r="593" spans="1:54" x14ac:dyDescent="0.35">
      <c r="A593" s="66" t="s">
        <v>4405</v>
      </c>
      <c r="B593" s="66" t="s">
        <v>5000</v>
      </c>
      <c r="C593" s="67"/>
      <c r="D593" s="68"/>
      <c r="E593" s="69"/>
      <c r="F593" s="70"/>
      <c r="G593" s="67"/>
      <c r="H593" s="71"/>
      <c r="I593" s="72"/>
      <c r="J593" s="72"/>
      <c r="K593" s="36"/>
      <c r="L593" s="79"/>
      <c r="M593" s="79"/>
      <c r="N593" s="74"/>
      <c r="O593" s="81" t="s">
        <v>696</v>
      </c>
      <c r="P593" s="83">
        <v>44460.559479166666</v>
      </c>
      <c r="Q593" s="81" t="s">
        <v>5305</v>
      </c>
      <c r="R593" s="81" t="s">
        <v>5676</v>
      </c>
      <c r="S593" s="81" t="s">
        <v>5699</v>
      </c>
      <c r="T593" s="81"/>
      <c r="U593" s="81"/>
      <c r="V593" s="84" t="str">
        <f>HYPERLINK("https://pbs.twimg.com/profile_images/1440311028055621636/DFStjEE5_normal.jpg")</f>
        <v>https://pbs.twimg.com/profile_images/1440311028055621636/DFStjEE5_normal.jpg</v>
      </c>
      <c r="W593" s="83">
        <v>44460.559479166666</v>
      </c>
      <c r="X593" s="89">
        <v>44460</v>
      </c>
      <c r="Y593" s="86" t="s">
        <v>6039</v>
      </c>
      <c r="Z593" s="84" t="str">
        <f>HYPERLINK("https://twitter.com/r_nagamine/status/1440306229943758851")</f>
        <v>https://twitter.com/r_nagamine/status/1440306229943758851</v>
      </c>
      <c r="AA593" s="81"/>
      <c r="AB593" s="81"/>
      <c r="AC593" s="86" t="s">
        <v>6942</v>
      </c>
      <c r="AD593" s="81"/>
      <c r="AE593" s="81" t="b">
        <v>0</v>
      </c>
      <c r="AF593" s="81">
        <v>25</v>
      </c>
      <c r="AG593" s="86" t="s">
        <v>2084</v>
      </c>
      <c r="AH593" s="81" t="b">
        <v>0</v>
      </c>
      <c r="AI593" s="81" t="s">
        <v>2171</v>
      </c>
      <c r="AJ593" s="81"/>
      <c r="AK593" s="86" t="s">
        <v>2084</v>
      </c>
      <c r="AL593" s="81" t="b">
        <v>0</v>
      </c>
      <c r="AM593" s="81">
        <v>8</v>
      </c>
      <c r="AN593" s="86" t="s">
        <v>2084</v>
      </c>
      <c r="AO593" s="86" t="s">
        <v>2178</v>
      </c>
      <c r="AP593" s="81" t="b">
        <v>0</v>
      </c>
      <c r="AQ593" s="86" t="s">
        <v>6942</v>
      </c>
      <c r="AR593" s="81" t="s">
        <v>179</v>
      </c>
      <c r="AS593" s="81">
        <v>0</v>
      </c>
      <c r="AT593" s="81">
        <v>0</v>
      </c>
      <c r="AU593" s="81"/>
      <c r="AV593" s="81"/>
      <c r="AW593" s="81"/>
      <c r="AX593" s="81"/>
      <c r="AY593" s="81"/>
      <c r="AZ593" s="81"/>
      <c r="BA593" s="81"/>
      <c r="BB593" s="81"/>
    </row>
    <row r="594" spans="1:54" x14ac:dyDescent="0.35">
      <c r="A594" s="66" t="s">
        <v>4406</v>
      </c>
      <c r="B594" s="66" t="s">
        <v>5000</v>
      </c>
      <c r="C594" s="67"/>
      <c r="D594" s="68"/>
      <c r="E594" s="69"/>
      <c r="F594" s="70"/>
      <c r="G594" s="67"/>
      <c r="H594" s="71"/>
      <c r="I594" s="72"/>
      <c r="J594" s="72"/>
      <c r="K594" s="36"/>
      <c r="L594" s="79"/>
      <c r="M594" s="79"/>
      <c r="N594" s="74"/>
      <c r="O594" s="81" t="s">
        <v>694</v>
      </c>
      <c r="P594" s="83">
        <v>44460.566574074073</v>
      </c>
      <c r="Q594" s="81" t="s">
        <v>5305</v>
      </c>
      <c r="R594" s="81" t="s">
        <v>5676</v>
      </c>
      <c r="S594" s="81" t="s">
        <v>5699</v>
      </c>
      <c r="T594" s="81"/>
      <c r="U594" s="81"/>
      <c r="V594" s="84" t="str">
        <f>HYPERLINK("https://pbs.twimg.com/profile_images/1303856989072752640/51sHQdPt_normal.jpg")</f>
        <v>https://pbs.twimg.com/profile_images/1303856989072752640/51sHQdPt_normal.jpg</v>
      </c>
      <c r="W594" s="83">
        <v>44460.566574074073</v>
      </c>
      <c r="X594" s="89">
        <v>44460</v>
      </c>
      <c r="Y594" s="86" t="s">
        <v>6040</v>
      </c>
      <c r="Z594" s="84" t="str">
        <f>HYPERLINK("https://twitter.com/pedrosalt/status/1440308799818977287")</f>
        <v>https://twitter.com/pedrosalt/status/1440308799818977287</v>
      </c>
      <c r="AA594" s="81"/>
      <c r="AB594" s="81"/>
      <c r="AC594" s="86" t="s">
        <v>6943</v>
      </c>
      <c r="AD594" s="81"/>
      <c r="AE594" s="81" t="b">
        <v>0</v>
      </c>
      <c r="AF594" s="81">
        <v>0</v>
      </c>
      <c r="AG594" s="86" t="s">
        <v>2084</v>
      </c>
      <c r="AH594" s="81" t="b">
        <v>0</v>
      </c>
      <c r="AI594" s="81" t="s">
        <v>2171</v>
      </c>
      <c r="AJ594" s="81"/>
      <c r="AK594" s="86" t="s">
        <v>2084</v>
      </c>
      <c r="AL594" s="81" t="b">
        <v>0</v>
      </c>
      <c r="AM594" s="81">
        <v>8</v>
      </c>
      <c r="AN594" s="86" t="s">
        <v>6942</v>
      </c>
      <c r="AO594" s="86" t="s">
        <v>2181</v>
      </c>
      <c r="AP594" s="81" t="b">
        <v>0</v>
      </c>
      <c r="AQ594" s="86" t="s">
        <v>6942</v>
      </c>
      <c r="AR594" s="81" t="s">
        <v>179</v>
      </c>
      <c r="AS594" s="81">
        <v>0</v>
      </c>
      <c r="AT594" s="81">
        <v>0</v>
      </c>
      <c r="AU594" s="81"/>
      <c r="AV594" s="81"/>
      <c r="AW594" s="81"/>
      <c r="AX594" s="81"/>
      <c r="AY594" s="81"/>
      <c r="AZ594" s="81"/>
      <c r="BA594" s="81"/>
      <c r="BB594" s="81"/>
    </row>
    <row r="595" spans="1:54" x14ac:dyDescent="0.35">
      <c r="A595" s="66" t="s">
        <v>4407</v>
      </c>
      <c r="B595" s="66" t="s">
        <v>5000</v>
      </c>
      <c r="C595" s="67"/>
      <c r="D595" s="68"/>
      <c r="E595" s="69"/>
      <c r="F595" s="70"/>
      <c r="G595" s="67"/>
      <c r="H595" s="71"/>
      <c r="I595" s="72"/>
      <c r="J595" s="72"/>
      <c r="K595" s="36"/>
      <c r="L595" s="79"/>
      <c r="M595" s="79"/>
      <c r="N595" s="74"/>
      <c r="O595" s="81" t="s">
        <v>694</v>
      </c>
      <c r="P595" s="83">
        <v>44460.579872685186</v>
      </c>
      <c r="Q595" s="81" t="s">
        <v>5305</v>
      </c>
      <c r="R595" s="81" t="s">
        <v>5676</v>
      </c>
      <c r="S595" s="81" t="s">
        <v>5699</v>
      </c>
      <c r="T595" s="81"/>
      <c r="U595" s="81"/>
      <c r="V595" s="84" t="str">
        <f>HYPERLINK("https://pbs.twimg.com/profile_images/1403384138133127168/SXLvYC7n_normal.jpg")</f>
        <v>https://pbs.twimg.com/profile_images/1403384138133127168/SXLvYC7n_normal.jpg</v>
      </c>
      <c r="W595" s="83">
        <v>44460.579872685186</v>
      </c>
      <c r="X595" s="89">
        <v>44460</v>
      </c>
      <c r="Y595" s="86" t="s">
        <v>6041</v>
      </c>
      <c r="Z595" s="84" t="str">
        <f>HYPERLINK("https://twitter.com/danieltperes/status/1440313622169751561")</f>
        <v>https://twitter.com/danieltperes/status/1440313622169751561</v>
      </c>
      <c r="AA595" s="81"/>
      <c r="AB595" s="81"/>
      <c r="AC595" s="86" t="s">
        <v>6944</v>
      </c>
      <c r="AD595" s="81"/>
      <c r="AE595" s="81" t="b">
        <v>0</v>
      </c>
      <c r="AF595" s="81">
        <v>0</v>
      </c>
      <c r="AG595" s="86" t="s">
        <v>2084</v>
      </c>
      <c r="AH595" s="81" t="b">
        <v>0</v>
      </c>
      <c r="AI595" s="81" t="s">
        <v>2171</v>
      </c>
      <c r="AJ595" s="81"/>
      <c r="AK595" s="86" t="s">
        <v>2084</v>
      </c>
      <c r="AL595" s="81" t="b">
        <v>0</v>
      </c>
      <c r="AM595" s="81">
        <v>8</v>
      </c>
      <c r="AN595" s="86" t="s">
        <v>6942</v>
      </c>
      <c r="AO595" s="86" t="s">
        <v>2181</v>
      </c>
      <c r="AP595" s="81" t="b">
        <v>0</v>
      </c>
      <c r="AQ595" s="86" t="s">
        <v>6942</v>
      </c>
      <c r="AR595" s="81" t="s">
        <v>179</v>
      </c>
      <c r="AS595" s="81">
        <v>0</v>
      </c>
      <c r="AT595" s="81">
        <v>0</v>
      </c>
      <c r="AU595" s="81"/>
      <c r="AV595" s="81"/>
      <c r="AW595" s="81"/>
      <c r="AX595" s="81"/>
      <c r="AY595" s="81"/>
      <c r="AZ595" s="81"/>
      <c r="BA595" s="81"/>
      <c r="BB595" s="81"/>
    </row>
    <row r="596" spans="1:54" x14ac:dyDescent="0.35">
      <c r="A596" s="66" t="s">
        <v>4405</v>
      </c>
      <c r="B596" s="66" t="s">
        <v>5001</v>
      </c>
      <c r="C596" s="67"/>
      <c r="D596" s="68"/>
      <c r="E596" s="69"/>
      <c r="F596" s="70"/>
      <c r="G596" s="67"/>
      <c r="H596" s="71"/>
      <c r="I596" s="72"/>
      <c r="J596" s="72"/>
      <c r="K596" s="36"/>
      <c r="L596" s="79"/>
      <c r="M596" s="79"/>
      <c r="N596" s="74"/>
      <c r="O596" s="81" t="s">
        <v>696</v>
      </c>
      <c r="P596" s="83">
        <v>44460.559479166666</v>
      </c>
      <c r="Q596" s="81" t="s">
        <v>5305</v>
      </c>
      <c r="R596" s="81" t="s">
        <v>5676</v>
      </c>
      <c r="S596" s="81" t="s">
        <v>5699</v>
      </c>
      <c r="T596" s="81"/>
      <c r="U596" s="81"/>
      <c r="V596" s="84" t="str">
        <f>HYPERLINK("https://pbs.twimg.com/profile_images/1440311028055621636/DFStjEE5_normal.jpg")</f>
        <v>https://pbs.twimg.com/profile_images/1440311028055621636/DFStjEE5_normal.jpg</v>
      </c>
      <c r="W596" s="83">
        <v>44460.559479166666</v>
      </c>
      <c r="X596" s="89">
        <v>44460</v>
      </c>
      <c r="Y596" s="86" t="s">
        <v>6039</v>
      </c>
      <c r="Z596" s="84" t="str">
        <f>HYPERLINK("https://twitter.com/r_nagamine/status/1440306229943758851")</f>
        <v>https://twitter.com/r_nagamine/status/1440306229943758851</v>
      </c>
      <c r="AA596" s="81"/>
      <c r="AB596" s="81"/>
      <c r="AC596" s="86" t="s">
        <v>6942</v>
      </c>
      <c r="AD596" s="81"/>
      <c r="AE596" s="81" t="b">
        <v>0</v>
      </c>
      <c r="AF596" s="81">
        <v>25</v>
      </c>
      <c r="AG596" s="86" t="s">
        <v>2084</v>
      </c>
      <c r="AH596" s="81" t="b">
        <v>0</v>
      </c>
      <c r="AI596" s="81" t="s">
        <v>2171</v>
      </c>
      <c r="AJ596" s="81"/>
      <c r="AK596" s="86" t="s">
        <v>2084</v>
      </c>
      <c r="AL596" s="81" t="b">
        <v>0</v>
      </c>
      <c r="AM596" s="81">
        <v>8</v>
      </c>
      <c r="AN596" s="86" t="s">
        <v>2084</v>
      </c>
      <c r="AO596" s="86" t="s">
        <v>2178</v>
      </c>
      <c r="AP596" s="81" t="b">
        <v>0</v>
      </c>
      <c r="AQ596" s="86" t="s">
        <v>6942</v>
      </c>
      <c r="AR596" s="81" t="s">
        <v>179</v>
      </c>
      <c r="AS596" s="81">
        <v>0</v>
      </c>
      <c r="AT596" s="81">
        <v>0</v>
      </c>
      <c r="AU596" s="81"/>
      <c r="AV596" s="81"/>
      <c r="AW596" s="81"/>
      <c r="AX596" s="81"/>
      <c r="AY596" s="81"/>
      <c r="AZ596" s="81"/>
      <c r="BA596" s="81"/>
      <c r="BB596" s="81"/>
    </row>
    <row r="597" spans="1:54" x14ac:dyDescent="0.35">
      <c r="A597" s="66" t="s">
        <v>4406</v>
      </c>
      <c r="B597" s="66" t="s">
        <v>5001</v>
      </c>
      <c r="C597" s="67"/>
      <c r="D597" s="68"/>
      <c r="E597" s="69"/>
      <c r="F597" s="70"/>
      <c r="G597" s="67"/>
      <c r="H597" s="71"/>
      <c r="I597" s="72"/>
      <c r="J597" s="72"/>
      <c r="K597" s="36"/>
      <c r="L597" s="79"/>
      <c r="M597" s="79"/>
      <c r="N597" s="74"/>
      <c r="O597" s="81" t="s">
        <v>694</v>
      </c>
      <c r="P597" s="83">
        <v>44460.566574074073</v>
      </c>
      <c r="Q597" s="81" t="s">
        <v>5305</v>
      </c>
      <c r="R597" s="81" t="s">
        <v>5676</v>
      </c>
      <c r="S597" s="81" t="s">
        <v>5699</v>
      </c>
      <c r="T597" s="81"/>
      <c r="U597" s="81"/>
      <c r="V597" s="84" t="str">
        <f>HYPERLINK("https://pbs.twimg.com/profile_images/1303856989072752640/51sHQdPt_normal.jpg")</f>
        <v>https://pbs.twimg.com/profile_images/1303856989072752640/51sHQdPt_normal.jpg</v>
      </c>
      <c r="W597" s="83">
        <v>44460.566574074073</v>
      </c>
      <c r="X597" s="89">
        <v>44460</v>
      </c>
      <c r="Y597" s="86" t="s">
        <v>6040</v>
      </c>
      <c r="Z597" s="84" t="str">
        <f>HYPERLINK("https://twitter.com/pedrosalt/status/1440308799818977287")</f>
        <v>https://twitter.com/pedrosalt/status/1440308799818977287</v>
      </c>
      <c r="AA597" s="81"/>
      <c r="AB597" s="81"/>
      <c r="AC597" s="86" t="s">
        <v>6943</v>
      </c>
      <c r="AD597" s="81"/>
      <c r="AE597" s="81" t="b">
        <v>0</v>
      </c>
      <c r="AF597" s="81">
        <v>0</v>
      </c>
      <c r="AG597" s="86" t="s">
        <v>2084</v>
      </c>
      <c r="AH597" s="81" t="b">
        <v>0</v>
      </c>
      <c r="AI597" s="81" t="s">
        <v>2171</v>
      </c>
      <c r="AJ597" s="81"/>
      <c r="AK597" s="86" t="s">
        <v>2084</v>
      </c>
      <c r="AL597" s="81" t="b">
        <v>0</v>
      </c>
      <c r="AM597" s="81">
        <v>8</v>
      </c>
      <c r="AN597" s="86" t="s">
        <v>6942</v>
      </c>
      <c r="AO597" s="86" t="s">
        <v>2181</v>
      </c>
      <c r="AP597" s="81" t="b">
        <v>0</v>
      </c>
      <c r="AQ597" s="86" t="s">
        <v>6942</v>
      </c>
      <c r="AR597" s="81" t="s">
        <v>179</v>
      </c>
      <c r="AS597" s="81">
        <v>0</v>
      </c>
      <c r="AT597" s="81">
        <v>0</v>
      </c>
      <c r="AU597" s="81"/>
      <c r="AV597" s="81"/>
      <c r="AW597" s="81"/>
      <c r="AX597" s="81"/>
      <c r="AY597" s="81"/>
      <c r="AZ597" s="81"/>
      <c r="BA597" s="81"/>
      <c r="BB597" s="81"/>
    </row>
    <row r="598" spans="1:54" x14ac:dyDescent="0.35">
      <c r="A598" s="66" t="s">
        <v>4407</v>
      </c>
      <c r="B598" s="66" t="s">
        <v>5001</v>
      </c>
      <c r="C598" s="67"/>
      <c r="D598" s="68"/>
      <c r="E598" s="69"/>
      <c r="F598" s="70"/>
      <c r="G598" s="67"/>
      <c r="H598" s="71"/>
      <c r="I598" s="72"/>
      <c r="J598" s="72"/>
      <c r="K598" s="36"/>
      <c r="L598" s="79"/>
      <c r="M598" s="79"/>
      <c r="N598" s="74"/>
      <c r="O598" s="81" t="s">
        <v>694</v>
      </c>
      <c r="P598" s="83">
        <v>44460.579872685186</v>
      </c>
      <c r="Q598" s="81" t="s">
        <v>5305</v>
      </c>
      <c r="R598" s="81" t="s">
        <v>5676</v>
      </c>
      <c r="S598" s="81" t="s">
        <v>5699</v>
      </c>
      <c r="T598" s="81"/>
      <c r="U598" s="81"/>
      <c r="V598" s="84" t="str">
        <f>HYPERLINK("https://pbs.twimg.com/profile_images/1403384138133127168/SXLvYC7n_normal.jpg")</f>
        <v>https://pbs.twimg.com/profile_images/1403384138133127168/SXLvYC7n_normal.jpg</v>
      </c>
      <c r="W598" s="83">
        <v>44460.579872685186</v>
      </c>
      <c r="X598" s="89">
        <v>44460</v>
      </c>
      <c r="Y598" s="86" t="s">
        <v>6041</v>
      </c>
      <c r="Z598" s="84" t="str">
        <f>HYPERLINK("https://twitter.com/danieltperes/status/1440313622169751561")</f>
        <v>https://twitter.com/danieltperes/status/1440313622169751561</v>
      </c>
      <c r="AA598" s="81"/>
      <c r="AB598" s="81"/>
      <c r="AC598" s="86" t="s">
        <v>6944</v>
      </c>
      <c r="AD598" s="81"/>
      <c r="AE598" s="81" t="b">
        <v>0</v>
      </c>
      <c r="AF598" s="81">
        <v>0</v>
      </c>
      <c r="AG598" s="86" t="s">
        <v>2084</v>
      </c>
      <c r="AH598" s="81" t="b">
        <v>0</v>
      </c>
      <c r="AI598" s="81" t="s">
        <v>2171</v>
      </c>
      <c r="AJ598" s="81"/>
      <c r="AK598" s="86" t="s">
        <v>2084</v>
      </c>
      <c r="AL598" s="81" t="b">
        <v>0</v>
      </c>
      <c r="AM598" s="81">
        <v>8</v>
      </c>
      <c r="AN598" s="86" t="s">
        <v>6942</v>
      </c>
      <c r="AO598" s="86" t="s">
        <v>2181</v>
      </c>
      <c r="AP598" s="81" t="b">
        <v>0</v>
      </c>
      <c r="AQ598" s="86" t="s">
        <v>6942</v>
      </c>
      <c r="AR598" s="81" t="s">
        <v>179</v>
      </c>
      <c r="AS598" s="81">
        <v>0</v>
      </c>
      <c r="AT598" s="81">
        <v>0</v>
      </c>
      <c r="AU598" s="81"/>
      <c r="AV598" s="81"/>
      <c r="AW598" s="81"/>
      <c r="AX598" s="81"/>
      <c r="AY598" s="81"/>
      <c r="AZ598" s="81"/>
      <c r="BA598" s="81"/>
      <c r="BB598" s="81"/>
    </row>
    <row r="599" spans="1:54" x14ac:dyDescent="0.35">
      <c r="A599" s="66" t="s">
        <v>4405</v>
      </c>
      <c r="B599" s="66" t="s">
        <v>4406</v>
      </c>
      <c r="C599" s="67"/>
      <c r="D599" s="68"/>
      <c r="E599" s="69"/>
      <c r="F599" s="70"/>
      <c r="G599" s="67"/>
      <c r="H599" s="71"/>
      <c r="I599" s="72"/>
      <c r="J599" s="72"/>
      <c r="K599" s="36"/>
      <c r="L599" s="79"/>
      <c r="M599" s="79"/>
      <c r="N599" s="74"/>
      <c r="O599" s="81" t="s">
        <v>696</v>
      </c>
      <c r="P599" s="83">
        <v>44460.559479166666</v>
      </c>
      <c r="Q599" s="81" t="s">
        <v>5305</v>
      </c>
      <c r="R599" s="81" t="s">
        <v>5676</v>
      </c>
      <c r="S599" s="81" t="s">
        <v>5699</v>
      </c>
      <c r="T599" s="81"/>
      <c r="U599" s="81"/>
      <c r="V599" s="84" t="str">
        <f>HYPERLINK("https://pbs.twimg.com/profile_images/1440311028055621636/DFStjEE5_normal.jpg")</f>
        <v>https://pbs.twimg.com/profile_images/1440311028055621636/DFStjEE5_normal.jpg</v>
      </c>
      <c r="W599" s="83">
        <v>44460.559479166666</v>
      </c>
      <c r="X599" s="89">
        <v>44460</v>
      </c>
      <c r="Y599" s="86" t="s">
        <v>6039</v>
      </c>
      <c r="Z599" s="84" t="str">
        <f>HYPERLINK("https://twitter.com/r_nagamine/status/1440306229943758851")</f>
        <v>https://twitter.com/r_nagamine/status/1440306229943758851</v>
      </c>
      <c r="AA599" s="81"/>
      <c r="AB599" s="81"/>
      <c r="AC599" s="86" t="s">
        <v>6942</v>
      </c>
      <c r="AD599" s="81"/>
      <c r="AE599" s="81" t="b">
        <v>0</v>
      </c>
      <c r="AF599" s="81">
        <v>25</v>
      </c>
      <c r="AG599" s="86" t="s">
        <v>2084</v>
      </c>
      <c r="AH599" s="81" t="b">
        <v>0</v>
      </c>
      <c r="AI599" s="81" t="s">
        <v>2171</v>
      </c>
      <c r="AJ599" s="81"/>
      <c r="AK599" s="86" t="s">
        <v>2084</v>
      </c>
      <c r="AL599" s="81" t="b">
        <v>0</v>
      </c>
      <c r="AM599" s="81">
        <v>8</v>
      </c>
      <c r="AN599" s="86" t="s">
        <v>2084</v>
      </c>
      <c r="AO599" s="86" t="s">
        <v>2178</v>
      </c>
      <c r="AP599" s="81" t="b">
        <v>0</v>
      </c>
      <c r="AQ599" s="86" t="s">
        <v>6942</v>
      </c>
      <c r="AR599" s="81" t="s">
        <v>179</v>
      </c>
      <c r="AS599" s="81">
        <v>0</v>
      </c>
      <c r="AT599" s="81">
        <v>0</v>
      </c>
      <c r="AU599" s="81"/>
      <c r="AV599" s="81"/>
      <c r="AW599" s="81"/>
      <c r="AX599" s="81"/>
      <c r="AY599" s="81"/>
      <c r="AZ599" s="81"/>
      <c r="BA599" s="81"/>
      <c r="BB599" s="81"/>
    </row>
    <row r="600" spans="1:54" x14ac:dyDescent="0.35">
      <c r="A600" s="66" t="s">
        <v>4406</v>
      </c>
      <c r="B600" s="66" t="s">
        <v>5002</v>
      </c>
      <c r="C600" s="67"/>
      <c r="D600" s="68"/>
      <c r="E600" s="69"/>
      <c r="F600" s="70"/>
      <c r="G600" s="67"/>
      <c r="H600" s="71"/>
      <c r="I600" s="72"/>
      <c r="J600" s="72"/>
      <c r="K600" s="36"/>
      <c r="L600" s="79"/>
      <c r="M600" s="79"/>
      <c r="N600" s="74"/>
      <c r="O600" s="81" t="s">
        <v>694</v>
      </c>
      <c r="P600" s="83">
        <v>44460.566574074073</v>
      </c>
      <c r="Q600" s="81" t="s">
        <v>5305</v>
      </c>
      <c r="R600" s="81" t="s">
        <v>5676</v>
      </c>
      <c r="S600" s="81" t="s">
        <v>5699</v>
      </c>
      <c r="T600" s="81"/>
      <c r="U600" s="81"/>
      <c r="V600" s="84" t="str">
        <f>HYPERLINK("https://pbs.twimg.com/profile_images/1303856989072752640/51sHQdPt_normal.jpg")</f>
        <v>https://pbs.twimg.com/profile_images/1303856989072752640/51sHQdPt_normal.jpg</v>
      </c>
      <c r="W600" s="83">
        <v>44460.566574074073</v>
      </c>
      <c r="X600" s="89">
        <v>44460</v>
      </c>
      <c r="Y600" s="86" t="s">
        <v>6040</v>
      </c>
      <c r="Z600" s="84" t="str">
        <f>HYPERLINK("https://twitter.com/pedrosalt/status/1440308799818977287")</f>
        <v>https://twitter.com/pedrosalt/status/1440308799818977287</v>
      </c>
      <c r="AA600" s="81"/>
      <c r="AB600" s="81"/>
      <c r="AC600" s="86" t="s">
        <v>6943</v>
      </c>
      <c r="AD600" s="81"/>
      <c r="AE600" s="81" t="b">
        <v>0</v>
      </c>
      <c r="AF600" s="81">
        <v>0</v>
      </c>
      <c r="AG600" s="86" t="s">
        <v>2084</v>
      </c>
      <c r="AH600" s="81" t="b">
        <v>0</v>
      </c>
      <c r="AI600" s="81" t="s">
        <v>2171</v>
      </c>
      <c r="AJ600" s="81"/>
      <c r="AK600" s="86" t="s">
        <v>2084</v>
      </c>
      <c r="AL600" s="81" t="b">
        <v>0</v>
      </c>
      <c r="AM600" s="81">
        <v>8</v>
      </c>
      <c r="AN600" s="86" t="s">
        <v>6942</v>
      </c>
      <c r="AO600" s="86" t="s">
        <v>2181</v>
      </c>
      <c r="AP600" s="81" t="b">
        <v>0</v>
      </c>
      <c r="AQ600" s="86" t="s">
        <v>6942</v>
      </c>
      <c r="AR600" s="81" t="s">
        <v>179</v>
      </c>
      <c r="AS600" s="81">
        <v>0</v>
      </c>
      <c r="AT600" s="81">
        <v>0</v>
      </c>
      <c r="AU600" s="81"/>
      <c r="AV600" s="81"/>
      <c r="AW600" s="81"/>
      <c r="AX600" s="81"/>
      <c r="AY600" s="81"/>
      <c r="AZ600" s="81"/>
      <c r="BA600" s="81"/>
      <c r="BB600" s="81"/>
    </row>
    <row r="601" spans="1:54" x14ac:dyDescent="0.35">
      <c r="A601" s="66" t="s">
        <v>4406</v>
      </c>
      <c r="B601" s="66" t="s">
        <v>4407</v>
      </c>
      <c r="C601" s="67"/>
      <c r="D601" s="68"/>
      <c r="E601" s="69"/>
      <c r="F601" s="70"/>
      <c r="G601" s="67"/>
      <c r="H601" s="71"/>
      <c r="I601" s="72"/>
      <c r="J601" s="72"/>
      <c r="K601" s="36"/>
      <c r="L601" s="79"/>
      <c r="M601" s="79"/>
      <c r="N601" s="74"/>
      <c r="O601" s="81" t="s">
        <v>694</v>
      </c>
      <c r="P601" s="83">
        <v>44460.566574074073</v>
      </c>
      <c r="Q601" s="81" t="s">
        <v>5305</v>
      </c>
      <c r="R601" s="81" t="s">
        <v>5676</v>
      </c>
      <c r="S601" s="81" t="s">
        <v>5699</v>
      </c>
      <c r="T601" s="81"/>
      <c r="U601" s="81"/>
      <c r="V601" s="84" t="str">
        <f>HYPERLINK("https://pbs.twimg.com/profile_images/1303856989072752640/51sHQdPt_normal.jpg")</f>
        <v>https://pbs.twimg.com/profile_images/1303856989072752640/51sHQdPt_normal.jpg</v>
      </c>
      <c r="W601" s="83">
        <v>44460.566574074073</v>
      </c>
      <c r="X601" s="89">
        <v>44460</v>
      </c>
      <c r="Y601" s="86" t="s">
        <v>6040</v>
      </c>
      <c r="Z601" s="84" t="str">
        <f>HYPERLINK("https://twitter.com/pedrosalt/status/1440308799818977287")</f>
        <v>https://twitter.com/pedrosalt/status/1440308799818977287</v>
      </c>
      <c r="AA601" s="81"/>
      <c r="AB601" s="81"/>
      <c r="AC601" s="86" t="s">
        <v>6943</v>
      </c>
      <c r="AD601" s="81"/>
      <c r="AE601" s="81" t="b">
        <v>0</v>
      </c>
      <c r="AF601" s="81">
        <v>0</v>
      </c>
      <c r="AG601" s="86" t="s">
        <v>2084</v>
      </c>
      <c r="AH601" s="81" t="b">
        <v>0</v>
      </c>
      <c r="AI601" s="81" t="s">
        <v>2171</v>
      </c>
      <c r="AJ601" s="81"/>
      <c r="AK601" s="86" t="s">
        <v>2084</v>
      </c>
      <c r="AL601" s="81" t="b">
        <v>0</v>
      </c>
      <c r="AM601" s="81">
        <v>8</v>
      </c>
      <c r="AN601" s="86" t="s">
        <v>6942</v>
      </c>
      <c r="AO601" s="86" t="s">
        <v>2181</v>
      </c>
      <c r="AP601" s="81" t="b">
        <v>0</v>
      </c>
      <c r="AQ601" s="86" t="s">
        <v>6942</v>
      </c>
      <c r="AR601" s="81" t="s">
        <v>179</v>
      </c>
      <c r="AS601" s="81">
        <v>0</v>
      </c>
      <c r="AT601" s="81">
        <v>0</v>
      </c>
      <c r="AU601" s="81"/>
      <c r="AV601" s="81"/>
      <c r="AW601" s="81"/>
      <c r="AX601" s="81"/>
      <c r="AY601" s="81"/>
      <c r="AZ601" s="81"/>
      <c r="BA601" s="81"/>
      <c r="BB601" s="81"/>
    </row>
    <row r="602" spans="1:54" x14ac:dyDescent="0.35">
      <c r="A602" s="66" t="s">
        <v>4406</v>
      </c>
      <c r="B602" s="66" t="s">
        <v>4405</v>
      </c>
      <c r="C602" s="67"/>
      <c r="D602" s="68"/>
      <c r="E602" s="69"/>
      <c r="F602" s="70"/>
      <c r="G602" s="67"/>
      <c r="H602" s="71"/>
      <c r="I602" s="72"/>
      <c r="J602" s="72"/>
      <c r="K602" s="36"/>
      <c r="L602" s="79"/>
      <c r="M602" s="79"/>
      <c r="N602" s="74"/>
      <c r="O602" s="81" t="s">
        <v>693</v>
      </c>
      <c r="P602" s="83">
        <v>44460.566574074073</v>
      </c>
      <c r="Q602" s="81" t="s">
        <v>5305</v>
      </c>
      <c r="R602" s="81" t="s">
        <v>5676</v>
      </c>
      <c r="S602" s="81" t="s">
        <v>5699</v>
      </c>
      <c r="T602" s="81"/>
      <c r="U602" s="81"/>
      <c r="V602" s="84" t="str">
        <f>HYPERLINK("https://pbs.twimg.com/profile_images/1303856989072752640/51sHQdPt_normal.jpg")</f>
        <v>https://pbs.twimg.com/profile_images/1303856989072752640/51sHQdPt_normal.jpg</v>
      </c>
      <c r="W602" s="83">
        <v>44460.566574074073</v>
      </c>
      <c r="X602" s="89">
        <v>44460</v>
      </c>
      <c r="Y602" s="86" t="s">
        <v>6040</v>
      </c>
      <c r="Z602" s="84" t="str">
        <f>HYPERLINK("https://twitter.com/pedrosalt/status/1440308799818977287")</f>
        <v>https://twitter.com/pedrosalt/status/1440308799818977287</v>
      </c>
      <c r="AA602" s="81"/>
      <c r="AB602" s="81"/>
      <c r="AC602" s="86" t="s">
        <v>6943</v>
      </c>
      <c r="AD602" s="81"/>
      <c r="AE602" s="81" t="b">
        <v>0</v>
      </c>
      <c r="AF602" s="81">
        <v>0</v>
      </c>
      <c r="AG602" s="86" t="s">
        <v>2084</v>
      </c>
      <c r="AH602" s="81" t="b">
        <v>0</v>
      </c>
      <c r="AI602" s="81" t="s">
        <v>2171</v>
      </c>
      <c r="AJ602" s="81"/>
      <c r="AK602" s="86" t="s">
        <v>2084</v>
      </c>
      <c r="AL602" s="81" t="b">
        <v>0</v>
      </c>
      <c r="AM602" s="81">
        <v>8</v>
      </c>
      <c r="AN602" s="86" t="s">
        <v>6942</v>
      </c>
      <c r="AO602" s="86" t="s">
        <v>2181</v>
      </c>
      <c r="AP602" s="81" t="b">
        <v>0</v>
      </c>
      <c r="AQ602" s="86" t="s">
        <v>6942</v>
      </c>
      <c r="AR602" s="81" t="s">
        <v>179</v>
      </c>
      <c r="AS602" s="81">
        <v>0</v>
      </c>
      <c r="AT602" s="81">
        <v>0</v>
      </c>
      <c r="AU602" s="81"/>
      <c r="AV602" s="81"/>
      <c r="AW602" s="81"/>
      <c r="AX602" s="81"/>
      <c r="AY602" s="81"/>
      <c r="AZ602" s="81"/>
      <c r="BA602" s="81"/>
      <c r="BB602" s="81"/>
    </row>
    <row r="603" spans="1:54" x14ac:dyDescent="0.35">
      <c r="A603" s="66" t="s">
        <v>4407</v>
      </c>
      <c r="B603" s="66" t="s">
        <v>4406</v>
      </c>
      <c r="C603" s="67"/>
      <c r="D603" s="68"/>
      <c r="E603" s="69"/>
      <c r="F603" s="70"/>
      <c r="G603" s="67"/>
      <c r="H603" s="71"/>
      <c r="I603" s="72"/>
      <c r="J603" s="72"/>
      <c r="K603" s="36"/>
      <c r="L603" s="79"/>
      <c r="M603" s="79"/>
      <c r="N603" s="74"/>
      <c r="O603" s="81" t="s">
        <v>694</v>
      </c>
      <c r="P603" s="83">
        <v>44460.579872685186</v>
      </c>
      <c r="Q603" s="81" t="s">
        <v>5305</v>
      </c>
      <c r="R603" s="81" t="s">
        <v>5676</v>
      </c>
      <c r="S603" s="81" t="s">
        <v>5699</v>
      </c>
      <c r="T603" s="81"/>
      <c r="U603" s="81"/>
      <c r="V603" s="84" t="str">
        <f>HYPERLINK("https://pbs.twimg.com/profile_images/1403384138133127168/SXLvYC7n_normal.jpg")</f>
        <v>https://pbs.twimg.com/profile_images/1403384138133127168/SXLvYC7n_normal.jpg</v>
      </c>
      <c r="W603" s="83">
        <v>44460.579872685186</v>
      </c>
      <c r="X603" s="89">
        <v>44460</v>
      </c>
      <c r="Y603" s="86" t="s">
        <v>6041</v>
      </c>
      <c r="Z603" s="84" t="str">
        <f>HYPERLINK("https://twitter.com/danieltperes/status/1440313622169751561")</f>
        <v>https://twitter.com/danieltperes/status/1440313622169751561</v>
      </c>
      <c r="AA603" s="81"/>
      <c r="AB603" s="81"/>
      <c r="AC603" s="86" t="s">
        <v>6944</v>
      </c>
      <c r="AD603" s="81"/>
      <c r="AE603" s="81" t="b">
        <v>0</v>
      </c>
      <c r="AF603" s="81">
        <v>0</v>
      </c>
      <c r="AG603" s="86" t="s">
        <v>2084</v>
      </c>
      <c r="AH603" s="81" t="b">
        <v>0</v>
      </c>
      <c r="AI603" s="81" t="s">
        <v>2171</v>
      </c>
      <c r="AJ603" s="81"/>
      <c r="AK603" s="86" t="s">
        <v>2084</v>
      </c>
      <c r="AL603" s="81" t="b">
        <v>0</v>
      </c>
      <c r="AM603" s="81">
        <v>8</v>
      </c>
      <c r="AN603" s="86" t="s">
        <v>6942</v>
      </c>
      <c r="AO603" s="86" t="s">
        <v>2181</v>
      </c>
      <c r="AP603" s="81" t="b">
        <v>0</v>
      </c>
      <c r="AQ603" s="86" t="s">
        <v>6942</v>
      </c>
      <c r="AR603" s="81" t="s">
        <v>179</v>
      </c>
      <c r="AS603" s="81">
        <v>0</v>
      </c>
      <c r="AT603" s="81">
        <v>0</v>
      </c>
      <c r="AU603" s="81"/>
      <c r="AV603" s="81"/>
      <c r="AW603" s="81"/>
      <c r="AX603" s="81"/>
      <c r="AY603" s="81"/>
      <c r="AZ603" s="81"/>
      <c r="BA603" s="81"/>
      <c r="BB603" s="81"/>
    </row>
    <row r="604" spans="1:54" x14ac:dyDescent="0.35">
      <c r="A604" s="66" t="s">
        <v>4405</v>
      </c>
      <c r="B604" s="66" t="s">
        <v>5002</v>
      </c>
      <c r="C604" s="67"/>
      <c r="D604" s="68"/>
      <c r="E604" s="69"/>
      <c r="F604" s="70"/>
      <c r="G604" s="67"/>
      <c r="H604" s="71"/>
      <c r="I604" s="72"/>
      <c r="J604" s="72"/>
      <c r="K604" s="36"/>
      <c r="L604" s="79"/>
      <c r="M604" s="79"/>
      <c r="N604" s="74"/>
      <c r="O604" s="81" t="s">
        <v>696</v>
      </c>
      <c r="P604" s="83">
        <v>44460.559479166666</v>
      </c>
      <c r="Q604" s="81" t="s">
        <v>5305</v>
      </c>
      <c r="R604" s="81" t="s">
        <v>5676</v>
      </c>
      <c r="S604" s="81" t="s">
        <v>5699</v>
      </c>
      <c r="T604" s="81"/>
      <c r="U604" s="81"/>
      <c r="V604" s="84" t="str">
        <f>HYPERLINK("https://pbs.twimg.com/profile_images/1440311028055621636/DFStjEE5_normal.jpg")</f>
        <v>https://pbs.twimg.com/profile_images/1440311028055621636/DFStjEE5_normal.jpg</v>
      </c>
      <c r="W604" s="83">
        <v>44460.559479166666</v>
      </c>
      <c r="X604" s="89">
        <v>44460</v>
      </c>
      <c r="Y604" s="86" t="s">
        <v>6039</v>
      </c>
      <c r="Z604" s="84" t="str">
        <f>HYPERLINK("https://twitter.com/r_nagamine/status/1440306229943758851")</f>
        <v>https://twitter.com/r_nagamine/status/1440306229943758851</v>
      </c>
      <c r="AA604" s="81"/>
      <c r="AB604" s="81"/>
      <c r="AC604" s="86" t="s">
        <v>6942</v>
      </c>
      <c r="AD604" s="81"/>
      <c r="AE604" s="81" t="b">
        <v>0</v>
      </c>
      <c r="AF604" s="81">
        <v>25</v>
      </c>
      <c r="AG604" s="86" t="s">
        <v>2084</v>
      </c>
      <c r="AH604" s="81" t="b">
        <v>0</v>
      </c>
      <c r="AI604" s="81" t="s">
        <v>2171</v>
      </c>
      <c r="AJ604" s="81"/>
      <c r="AK604" s="86" t="s">
        <v>2084</v>
      </c>
      <c r="AL604" s="81" t="b">
        <v>0</v>
      </c>
      <c r="AM604" s="81">
        <v>8</v>
      </c>
      <c r="AN604" s="86" t="s">
        <v>2084</v>
      </c>
      <c r="AO604" s="86" t="s">
        <v>2178</v>
      </c>
      <c r="AP604" s="81" t="b">
        <v>0</v>
      </c>
      <c r="AQ604" s="86" t="s">
        <v>6942</v>
      </c>
      <c r="AR604" s="81" t="s">
        <v>179</v>
      </c>
      <c r="AS604" s="81">
        <v>0</v>
      </c>
      <c r="AT604" s="81">
        <v>0</v>
      </c>
      <c r="AU604" s="81"/>
      <c r="AV604" s="81"/>
      <c r="AW604" s="81"/>
      <c r="AX604" s="81"/>
      <c r="AY604" s="81"/>
      <c r="AZ604" s="81"/>
      <c r="BA604" s="81"/>
      <c r="BB604" s="81"/>
    </row>
    <row r="605" spans="1:54" x14ac:dyDescent="0.35">
      <c r="A605" s="66" t="s">
        <v>4407</v>
      </c>
      <c r="B605" s="66" t="s">
        <v>5002</v>
      </c>
      <c r="C605" s="67"/>
      <c r="D605" s="68"/>
      <c r="E605" s="69"/>
      <c r="F605" s="70"/>
      <c r="G605" s="67"/>
      <c r="H605" s="71"/>
      <c r="I605" s="72"/>
      <c r="J605" s="72"/>
      <c r="K605" s="36"/>
      <c r="L605" s="79"/>
      <c r="M605" s="79"/>
      <c r="N605" s="74"/>
      <c r="O605" s="81" t="s">
        <v>694</v>
      </c>
      <c r="P605" s="83">
        <v>44460.579872685186</v>
      </c>
      <c r="Q605" s="81" t="s">
        <v>5305</v>
      </c>
      <c r="R605" s="81" t="s">
        <v>5676</v>
      </c>
      <c r="S605" s="81" t="s">
        <v>5699</v>
      </c>
      <c r="T605" s="81"/>
      <c r="U605" s="81"/>
      <c r="V605" s="84" t="str">
        <f>HYPERLINK("https://pbs.twimg.com/profile_images/1403384138133127168/SXLvYC7n_normal.jpg")</f>
        <v>https://pbs.twimg.com/profile_images/1403384138133127168/SXLvYC7n_normal.jpg</v>
      </c>
      <c r="W605" s="83">
        <v>44460.579872685186</v>
      </c>
      <c r="X605" s="89">
        <v>44460</v>
      </c>
      <c r="Y605" s="86" t="s">
        <v>6041</v>
      </c>
      <c r="Z605" s="84" t="str">
        <f>HYPERLINK("https://twitter.com/danieltperes/status/1440313622169751561")</f>
        <v>https://twitter.com/danieltperes/status/1440313622169751561</v>
      </c>
      <c r="AA605" s="81"/>
      <c r="AB605" s="81"/>
      <c r="AC605" s="86" t="s">
        <v>6944</v>
      </c>
      <c r="AD605" s="81"/>
      <c r="AE605" s="81" t="b">
        <v>0</v>
      </c>
      <c r="AF605" s="81">
        <v>0</v>
      </c>
      <c r="AG605" s="86" t="s">
        <v>2084</v>
      </c>
      <c r="AH605" s="81" t="b">
        <v>0</v>
      </c>
      <c r="AI605" s="81" t="s">
        <v>2171</v>
      </c>
      <c r="AJ605" s="81"/>
      <c r="AK605" s="86" t="s">
        <v>2084</v>
      </c>
      <c r="AL605" s="81" t="b">
        <v>0</v>
      </c>
      <c r="AM605" s="81">
        <v>8</v>
      </c>
      <c r="AN605" s="86" t="s">
        <v>6942</v>
      </c>
      <c r="AO605" s="86" t="s">
        <v>2181</v>
      </c>
      <c r="AP605" s="81" t="b">
        <v>0</v>
      </c>
      <c r="AQ605" s="86" t="s">
        <v>6942</v>
      </c>
      <c r="AR605" s="81" t="s">
        <v>179</v>
      </c>
      <c r="AS605" s="81">
        <v>0</v>
      </c>
      <c r="AT605" s="81">
        <v>0</v>
      </c>
      <c r="AU605" s="81"/>
      <c r="AV605" s="81"/>
      <c r="AW605" s="81"/>
      <c r="AX605" s="81"/>
      <c r="AY605" s="81"/>
      <c r="AZ605" s="81"/>
      <c r="BA605" s="81"/>
      <c r="BB605" s="81"/>
    </row>
    <row r="606" spans="1:54" x14ac:dyDescent="0.35">
      <c r="A606" s="66" t="s">
        <v>4405</v>
      </c>
      <c r="B606" s="66" t="s">
        <v>4407</v>
      </c>
      <c r="C606" s="67"/>
      <c r="D606" s="68"/>
      <c r="E606" s="69"/>
      <c r="F606" s="70"/>
      <c r="G606" s="67"/>
      <c r="H606" s="71"/>
      <c r="I606" s="72"/>
      <c r="J606" s="72"/>
      <c r="K606" s="36"/>
      <c r="L606" s="79"/>
      <c r="M606" s="79"/>
      <c r="N606" s="74"/>
      <c r="O606" s="81" t="s">
        <v>696</v>
      </c>
      <c r="P606" s="83">
        <v>44460.559479166666</v>
      </c>
      <c r="Q606" s="81" t="s">
        <v>5305</v>
      </c>
      <c r="R606" s="81" t="s">
        <v>5676</v>
      </c>
      <c r="S606" s="81" t="s">
        <v>5699</v>
      </c>
      <c r="T606" s="81"/>
      <c r="U606" s="81"/>
      <c r="V606" s="84" t="str">
        <f>HYPERLINK("https://pbs.twimg.com/profile_images/1440311028055621636/DFStjEE5_normal.jpg")</f>
        <v>https://pbs.twimg.com/profile_images/1440311028055621636/DFStjEE5_normal.jpg</v>
      </c>
      <c r="W606" s="83">
        <v>44460.559479166666</v>
      </c>
      <c r="X606" s="89">
        <v>44460</v>
      </c>
      <c r="Y606" s="86" t="s">
        <v>6039</v>
      </c>
      <c r="Z606" s="84" t="str">
        <f>HYPERLINK("https://twitter.com/r_nagamine/status/1440306229943758851")</f>
        <v>https://twitter.com/r_nagamine/status/1440306229943758851</v>
      </c>
      <c r="AA606" s="81"/>
      <c r="AB606" s="81"/>
      <c r="AC606" s="86" t="s">
        <v>6942</v>
      </c>
      <c r="AD606" s="81"/>
      <c r="AE606" s="81" t="b">
        <v>0</v>
      </c>
      <c r="AF606" s="81">
        <v>25</v>
      </c>
      <c r="AG606" s="86" t="s">
        <v>2084</v>
      </c>
      <c r="AH606" s="81" t="b">
        <v>0</v>
      </c>
      <c r="AI606" s="81" t="s">
        <v>2171</v>
      </c>
      <c r="AJ606" s="81"/>
      <c r="AK606" s="86" t="s">
        <v>2084</v>
      </c>
      <c r="AL606" s="81" t="b">
        <v>0</v>
      </c>
      <c r="AM606" s="81">
        <v>8</v>
      </c>
      <c r="AN606" s="86" t="s">
        <v>2084</v>
      </c>
      <c r="AO606" s="86" t="s">
        <v>2178</v>
      </c>
      <c r="AP606" s="81" t="b">
        <v>0</v>
      </c>
      <c r="AQ606" s="86" t="s">
        <v>6942</v>
      </c>
      <c r="AR606" s="81" t="s">
        <v>179</v>
      </c>
      <c r="AS606" s="81">
        <v>0</v>
      </c>
      <c r="AT606" s="81">
        <v>0</v>
      </c>
      <c r="AU606" s="81"/>
      <c r="AV606" s="81"/>
      <c r="AW606" s="81"/>
      <c r="AX606" s="81"/>
      <c r="AY606" s="81"/>
      <c r="AZ606" s="81"/>
      <c r="BA606" s="81"/>
      <c r="BB606" s="81"/>
    </row>
    <row r="607" spans="1:54" x14ac:dyDescent="0.35">
      <c r="A607" s="66" t="s">
        <v>4407</v>
      </c>
      <c r="B607" s="66" t="s">
        <v>4405</v>
      </c>
      <c r="C607" s="67"/>
      <c r="D607" s="68"/>
      <c r="E607" s="69"/>
      <c r="F607" s="70"/>
      <c r="G607" s="67"/>
      <c r="H607" s="71"/>
      <c r="I607" s="72"/>
      <c r="J607" s="72"/>
      <c r="K607" s="36"/>
      <c r="L607" s="79"/>
      <c r="M607" s="79"/>
      <c r="N607" s="74"/>
      <c r="O607" s="81" t="s">
        <v>693</v>
      </c>
      <c r="P607" s="83">
        <v>44460.579872685186</v>
      </c>
      <c r="Q607" s="81" t="s">
        <v>5305</v>
      </c>
      <c r="R607" s="81" t="s">
        <v>5676</v>
      </c>
      <c r="S607" s="81" t="s">
        <v>5699</v>
      </c>
      <c r="T607" s="81"/>
      <c r="U607" s="81"/>
      <c r="V607" s="84" t="str">
        <f>HYPERLINK("https://pbs.twimg.com/profile_images/1403384138133127168/SXLvYC7n_normal.jpg")</f>
        <v>https://pbs.twimg.com/profile_images/1403384138133127168/SXLvYC7n_normal.jpg</v>
      </c>
      <c r="W607" s="83">
        <v>44460.579872685186</v>
      </c>
      <c r="X607" s="89">
        <v>44460</v>
      </c>
      <c r="Y607" s="86" t="s">
        <v>6041</v>
      </c>
      <c r="Z607" s="84" t="str">
        <f>HYPERLINK("https://twitter.com/danieltperes/status/1440313622169751561")</f>
        <v>https://twitter.com/danieltperes/status/1440313622169751561</v>
      </c>
      <c r="AA607" s="81"/>
      <c r="AB607" s="81"/>
      <c r="AC607" s="86" t="s">
        <v>6944</v>
      </c>
      <c r="AD607" s="81"/>
      <c r="AE607" s="81" t="b">
        <v>0</v>
      </c>
      <c r="AF607" s="81">
        <v>0</v>
      </c>
      <c r="AG607" s="86" t="s">
        <v>2084</v>
      </c>
      <c r="AH607" s="81" t="b">
        <v>0</v>
      </c>
      <c r="AI607" s="81" t="s">
        <v>2171</v>
      </c>
      <c r="AJ607" s="81"/>
      <c r="AK607" s="86" t="s">
        <v>2084</v>
      </c>
      <c r="AL607" s="81" t="b">
        <v>0</v>
      </c>
      <c r="AM607" s="81">
        <v>8</v>
      </c>
      <c r="AN607" s="86" t="s">
        <v>6942</v>
      </c>
      <c r="AO607" s="86" t="s">
        <v>2181</v>
      </c>
      <c r="AP607" s="81" t="b">
        <v>0</v>
      </c>
      <c r="AQ607" s="86" t="s">
        <v>6942</v>
      </c>
      <c r="AR607" s="81" t="s">
        <v>179</v>
      </c>
      <c r="AS607" s="81">
        <v>0</v>
      </c>
      <c r="AT607" s="81">
        <v>0</v>
      </c>
      <c r="AU607" s="81"/>
      <c r="AV607" s="81"/>
      <c r="AW607" s="81"/>
      <c r="AX607" s="81"/>
      <c r="AY607" s="81"/>
      <c r="AZ607" s="81"/>
      <c r="BA607" s="81"/>
      <c r="BB607" s="81"/>
    </row>
    <row r="608" spans="1:54" x14ac:dyDescent="0.35">
      <c r="A608" s="66" t="s">
        <v>403</v>
      </c>
      <c r="B608" s="66" t="s">
        <v>403</v>
      </c>
      <c r="C608" s="67"/>
      <c r="D608" s="68"/>
      <c r="E608" s="69"/>
      <c r="F608" s="70"/>
      <c r="G608" s="67"/>
      <c r="H608" s="71"/>
      <c r="I608" s="72"/>
      <c r="J608" s="72"/>
      <c r="K608" s="36"/>
      <c r="L608" s="79"/>
      <c r="M608" s="79"/>
      <c r="N608" s="74"/>
      <c r="O608" s="81" t="s">
        <v>179</v>
      </c>
      <c r="P608" s="83">
        <v>44463.488379629627</v>
      </c>
      <c r="Q608" s="81" t="s">
        <v>793</v>
      </c>
      <c r="R608" s="81"/>
      <c r="S608" s="81"/>
      <c r="T608" s="81"/>
      <c r="U608" s="84" t="str">
        <f>HYPERLINK("https://pbs.twimg.com/tweet_video_thumb/FADENtbVUAMUp3I.jpg")</f>
        <v>https://pbs.twimg.com/tweet_video_thumb/FADENtbVUAMUp3I.jpg</v>
      </c>
      <c r="V608" s="84" t="str">
        <f>HYPERLINK("https://pbs.twimg.com/tweet_video_thumb/FADENtbVUAMUp3I.jpg")</f>
        <v>https://pbs.twimg.com/tweet_video_thumb/FADENtbVUAMUp3I.jpg</v>
      </c>
      <c r="W608" s="83">
        <v>44463.488379629627</v>
      </c>
      <c r="X608" s="89">
        <v>44463</v>
      </c>
      <c r="Y608" s="86" t="s">
        <v>1232</v>
      </c>
      <c r="Z608" s="84" t="str">
        <f>HYPERLINK("https://twitter.com/ireneizbaee/status/1441367628434403330")</f>
        <v>https://twitter.com/ireneizbaee/status/1441367628434403330</v>
      </c>
      <c r="AA608" s="81"/>
      <c r="AB608" s="81"/>
      <c r="AC608" s="86" t="s">
        <v>1728</v>
      </c>
      <c r="AD608" s="81"/>
      <c r="AE608" s="81" t="b">
        <v>0</v>
      </c>
      <c r="AF608" s="81">
        <v>0</v>
      </c>
      <c r="AG608" s="86" t="s">
        <v>2084</v>
      </c>
      <c r="AH608" s="81" t="b">
        <v>0</v>
      </c>
      <c r="AI608" s="81" t="s">
        <v>2167</v>
      </c>
      <c r="AJ608" s="81"/>
      <c r="AK608" s="86" t="s">
        <v>2084</v>
      </c>
      <c r="AL608" s="81" t="b">
        <v>0</v>
      </c>
      <c r="AM608" s="81">
        <v>0</v>
      </c>
      <c r="AN608" s="86" t="s">
        <v>2084</v>
      </c>
      <c r="AO608" s="86" t="s">
        <v>2179</v>
      </c>
      <c r="AP608" s="81" t="b">
        <v>0</v>
      </c>
      <c r="AQ608" s="86" t="s">
        <v>1728</v>
      </c>
      <c r="AR608" s="81" t="s">
        <v>179</v>
      </c>
      <c r="AS608" s="81">
        <v>0</v>
      </c>
      <c r="AT608" s="81">
        <v>0</v>
      </c>
      <c r="AU608" s="81"/>
      <c r="AV608" s="81"/>
      <c r="AW608" s="81"/>
      <c r="AX608" s="81"/>
      <c r="AY608" s="81"/>
      <c r="AZ608" s="81"/>
      <c r="BA608" s="81"/>
      <c r="BB608" s="81"/>
    </row>
    <row r="609" spans="1:54" x14ac:dyDescent="0.35">
      <c r="A609" s="66" t="s">
        <v>4408</v>
      </c>
      <c r="B609" s="66" t="s">
        <v>5070</v>
      </c>
      <c r="C609" s="67"/>
      <c r="D609" s="68"/>
      <c r="E609" s="69"/>
      <c r="F609" s="70"/>
      <c r="G609" s="67"/>
      <c r="H609" s="71"/>
      <c r="I609" s="72"/>
      <c r="J609" s="72"/>
      <c r="K609" s="36"/>
      <c r="L609" s="79"/>
      <c r="M609" s="79"/>
      <c r="N609" s="74"/>
      <c r="O609" s="81" t="s">
        <v>695</v>
      </c>
      <c r="P609" s="83">
        <v>44463.023020833331</v>
      </c>
      <c r="Q609" s="81" t="s">
        <v>5416</v>
      </c>
      <c r="R609" s="81"/>
      <c r="S609" s="81"/>
      <c r="T609" s="81"/>
      <c r="U609" s="81"/>
      <c r="V609" s="84" t="str">
        <f>HYPERLINK("https://pbs.twimg.com/profile_images/1422008955916664833/AiIm552u_normal.jpg")</f>
        <v>https://pbs.twimg.com/profile_images/1422008955916664833/AiIm552u_normal.jpg</v>
      </c>
      <c r="W609" s="83">
        <v>44463.023020833331</v>
      </c>
      <c r="X609" s="89">
        <v>44463</v>
      </c>
      <c r="Y609" s="86" t="s">
        <v>6042</v>
      </c>
      <c r="Z609" s="84" t="str">
        <f>HYPERLINK("https://twitter.com/jaimequebara/status/1441198987768434690")</f>
        <v>https://twitter.com/jaimequebara/status/1441198987768434690</v>
      </c>
      <c r="AA609" s="81"/>
      <c r="AB609" s="81"/>
      <c r="AC609" s="86" t="s">
        <v>6945</v>
      </c>
      <c r="AD609" s="86" t="s">
        <v>7673</v>
      </c>
      <c r="AE609" s="81" t="b">
        <v>0</v>
      </c>
      <c r="AF609" s="81">
        <v>0</v>
      </c>
      <c r="AG609" s="86" t="s">
        <v>7853</v>
      </c>
      <c r="AH609" s="81" t="b">
        <v>0</v>
      </c>
      <c r="AI609" s="81" t="s">
        <v>2171</v>
      </c>
      <c r="AJ609" s="81"/>
      <c r="AK609" s="86" t="s">
        <v>2084</v>
      </c>
      <c r="AL609" s="81" t="b">
        <v>0</v>
      </c>
      <c r="AM609" s="81">
        <v>0</v>
      </c>
      <c r="AN609" s="86" t="s">
        <v>2084</v>
      </c>
      <c r="AO609" s="86" t="s">
        <v>2178</v>
      </c>
      <c r="AP609" s="81" t="b">
        <v>0</v>
      </c>
      <c r="AQ609" s="86" t="s">
        <v>7673</v>
      </c>
      <c r="AR609" s="81" t="s">
        <v>179</v>
      </c>
      <c r="AS609" s="81">
        <v>0</v>
      </c>
      <c r="AT609" s="81">
        <v>0</v>
      </c>
      <c r="AU609" s="81"/>
      <c r="AV609" s="81"/>
      <c r="AW609" s="81"/>
      <c r="AX609" s="81"/>
      <c r="AY609" s="81"/>
      <c r="AZ609" s="81"/>
      <c r="BA609" s="81"/>
      <c r="BB609" s="81"/>
    </row>
    <row r="610" spans="1:54" x14ac:dyDescent="0.35">
      <c r="A610" s="66" t="s">
        <v>4408</v>
      </c>
      <c r="B610" s="66" t="s">
        <v>5071</v>
      </c>
      <c r="C610" s="67"/>
      <c r="D610" s="68"/>
      <c r="E610" s="69"/>
      <c r="F610" s="70"/>
      <c r="G610" s="67"/>
      <c r="H610" s="71"/>
      <c r="I610" s="72"/>
      <c r="J610" s="72"/>
      <c r="K610" s="36"/>
      <c r="L610" s="79"/>
      <c r="M610" s="79"/>
      <c r="N610" s="74"/>
      <c r="O610" s="81" t="s">
        <v>696</v>
      </c>
      <c r="P610" s="83">
        <v>44463.023020833331</v>
      </c>
      <c r="Q610" s="81" t="s">
        <v>5416</v>
      </c>
      <c r="R610" s="81"/>
      <c r="S610" s="81"/>
      <c r="T610" s="81"/>
      <c r="U610" s="81"/>
      <c r="V610" s="84" t="str">
        <f>HYPERLINK("https://pbs.twimg.com/profile_images/1422008955916664833/AiIm552u_normal.jpg")</f>
        <v>https://pbs.twimg.com/profile_images/1422008955916664833/AiIm552u_normal.jpg</v>
      </c>
      <c r="W610" s="83">
        <v>44463.023020833331</v>
      </c>
      <c r="X610" s="89">
        <v>44463</v>
      </c>
      <c r="Y610" s="86" t="s">
        <v>6042</v>
      </c>
      <c r="Z610" s="84" t="str">
        <f>HYPERLINK("https://twitter.com/jaimequebara/status/1441198987768434690")</f>
        <v>https://twitter.com/jaimequebara/status/1441198987768434690</v>
      </c>
      <c r="AA610" s="81"/>
      <c r="AB610" s="81"/>
      <c r="AC610" s="86" t="s">
        <v>6945</v>
      </c>
      <c r="AD610" s="86" t="s">
        <v>7673</v>
      </c>
      <c r="AE610" s="81" t="b">
        <v>0</v>
      </c>
      <c r="AF610" s="81">
        <v>0</v>
      </c>
      <c r="AG610" s="86" t="s">
        <v>7853</v>
      </c>
      <c r="AH610" s="81" t="b">
        <v>0</v>
      </c>
      <c r="AI610" s="81" t="s">
        <v>2171</v>
      </c>
      <c r="AJ610" s="81"/>
      <c r="AK610" s="86" t="s">
        <v>2084</v>
      </c>
      <c r="AL610" s="81" t="b">
        <v>0</v>
      </c>
      <c r="AM610" s="81">
        <v>0</v>
      </c>
      <c r="AN610" s="86" t="s">
        <v>2084</v>
      </c>
      <c r="AO610" s="86" t="s">
        <v>2178</v>
      </c>
      <c r="AP610" s="81" t="b">
        <v>0</v>
      </c>
      <c r="AQ610" s="86" t="s">
        <v>7673</v>
      </c>
      <c r="AR610" s="81" t="s">
        <v>179</v>
      </c>
      <c r="AS610" s="81">
        <v>0</v>
      </c>
      <c r="AT610" s="81">
        <v>0</v>
      </c>
      <c r="AU610" s="81"/>
      <c r="AV610" s="81"/>
      <c r="AW610" s="81"/>
      <c r="AX610" s="81"/>
      <c r="AY610" s="81"/>
      <c r="AZ610" s="81"/>
      <c r="BA610" s="81"/>
      <c r="BB610" s="81"/>
    </row>
    <row r="611" spans="1:54" x14ac:dyDescent="0.35">
      <c r="A611" s="66" t="s">
        <v>4408</v>
      </c>
      <c r="B611" s="66" t="s">
        <v>5071</v>
      </c>
      <c r="C611" s="67"/>
      <c r="D611" s="68"/>
      <c r="E611" s="69"/>
      <c r="F611" s="70"/>
      <c r="G611" s="67"/>
      <c r="H611" s="71"/>
      <c r="I611" s="72"/>
      <c r="J611" s="72"/>
      <c r="K611" s="36"/>
      <c r="L611" s="79"/>
      <c r="M611" s="79"/>
      <c r="N611" s="74"/>
      <c r="O611" s="81" t="s">
        <v>696</v>
      </c>
      <c r="P611" s="83">
        <v>44463.497037037036</v>
      </c>
      <c r="Q611" s="81" t="s">
        <v>5417</v>
      </c>
      <c r="R611" s="81"/>
      <c r="S611" s="81"/>
      <c r="T611" s="81"/>
      <c r="U611" s="81"/>
      <c r="V611" s="84" t="str">
        <f>HYPERLINK("https://pbs.twimg.com/profile_images/1422008955916664833/AiIm552u_normal.jpg")</f>
        <v>https://pbs.twimg.com/profile_images/1422008955916664833/AiIm552u_normal.jpg</v>
      </c>
      <c r="W611" s="83">
        <v>44463.497037037036</v>
      </c>
      <c r="X611" s="89">
        <v>44463</v>
      </c>
      <c r="Y611" s="86" t="s">
        <v>6043</v>
      </c>
      <c r="Z611" s="84" t="str">
        <f>HYPERLINK("https://twitter.com/jaimequebara/status/1441370764746412032")</f>
        <v>https://twitter.com/jaimequebara/status/1441370764746412032</v>
      </c>
      <c r="AA611" s="81"/>
      <c r="AB611" s="81"/>
      <c r="AC611" s="86" t="s">
        <v>6946</v>
      </c>
      <c r="AD611" s="86" t="s">
        <v>7674</v>
      </c>
      <c r="AE611" s="81" t="b">
        <v>0</v>
      </c>
      <c r="AF611" s="81">
        <v>0</v>
      </c>
      <c r="AG611" s="86" t="s">
        <v>7854</v>
      </c>
      <c r="AH611" s="81" t="b">
        <v>0</v>
      </c>
      <c r="AI611" s="81" t="s">
        <v>2171</v>
      </c>
      <c r="AJ611" s="81"/>
      <c r="AK611" s="86" t="s">
        <v>2084</v>
      </c>
      <c r="AL611" s="81" t="b">
        <v>0</v>
      </c>
      <c r="AM611" s="81">
        <v>0</v>
      </c>
      <c r="AN611" s="86" t="s">
        <v>2084</v>
      </c>
      <c r="AO611" s="86" t="s">
        <v>2178</v>
      </c>
      <c r="AP611" s="81" t="b">
        <v>0</v>
      </c>
      <c r="AQ611" s="86" t="s">
        <v>7674</v>
      </c>
      <c r="AR611" s="81" t="s">
        <v>179</v>
      </c>
      <c r="AS611" s="81">
        <v>0</v>
      </c>
      <c r="AT611" s="81">
        <v>0</v>
      </c>
      <c r="AU611" s="81"/>
      <c r="AV611" s="81"/>
      <c r="AW611" s="81"/>
      <c r="AX611" s="81"/>
      <c r="AY611" s="81"/>
      <c r="AZ611" s="81"/>
      <c r="BA611" s="81"/>
      <c r="BB611" s="81"/>
    </row>
    <row r="612" spans="1:54" x14ac:dyDescent="0.35">
      <c r="A612" s="66" t="s">
        <v>4408</v>
      </c>
      <c r="B612" s="66" t="s">
        <v>5072</v>
      </c>
      <c r="C612" s="67"/>
      <c r="D612" s="68"/>
      <c r="E612" s="69"/>
      <c r="F612" s="70"/>
      <c r="G612" s="67"/>
      <c r="H612" s="71"/>
      <c r="I612" s="72"/>
      <c r="J612" s="72"/>
      <c r="K612" s="36"/>
      <c r="L612" s="79"/>
      <c r="M612" s="79"/>
      <c r="N612" s="74"/>
      <c r="O612" s="81" t="s">
        <v>696</v>
      </c>
      <c r="P612" s="83">
        <v>44463.023020833331</v>
      </c>
      <c r="Q612" s="81" t="s">
        <v>5416</v>
      </c>
      <c r="R612" s="81"/>
      <c r="S612" s="81"/>
      <c r="T612" s="81"/>
      <c r="U612" s="81"/>
      <c r="V612" s="84" t="str">
        <f>HYPERLINK("https://pbs.twimg.com/profile_images/1422008955916664833/AiIm552u_normal.jpg")</f>
        <v>https://pbs.twimg.com/profile_images/1422008955916664833/AiIm552u_normal.jpg</v>
      </c>
      <c r="W612" s="83">
        <v>44463.023020833331</v>
      </c>
      <c r="X612" s="89">
        <v>44463</v>
      </c>
      <c r="Y612" s="86" t="s">
        <v>6042</v>
      </c>
      <c r="Z612" s="84" t="str">
        <f>HYPERLINK("https://twitter.com/jaimequebara/status/1441198987768434690")</f>
        <v>https://twitter.com/jaimequebara/status/1441198987768434690</v>
      </c>
      <c r="AA612" s="81"/>
      <c r="AB612" s="81"/>
      <c r="AC612" s="86" t="s">
        <v>6945</v>
      </c>
      <c r="AD612" s="86" t="s">
        <v>7673</v>
      </c>
      <c r="AE612" s="81" t="b">
        <v>0</v>
      </c>
      <c r="AF612" s="81">
        <v>0</v>
      </c>
      <c r="AG612" s="86" t="s">
        <v>7853</v>
      </c>
      <c r="AH612" s="81" t="b">
        <v>0</v>
      </c>
      <c r="AI612" s="81" t="s">
        <v>2171</v>
      </c>
      <c r="AJ612" s="81"/>
      <c r="AK612" s="86" t="s">
        <v>2084</v>
      </c>
      <c r="AL612" s="81" t="b">
        <v>0</v>
      </c>
      <c r="AM612" s="81">
        <v>0</v>
      </c>
      <c r="AN612" s="86" t="s">
        <v>2084</v>
      </c>
      <c r="AO612" s="86" t="s">
        <v>2178</v>
      </c>
      <c r="AP612" s="81" t="b">
        <v>0</v>
      </c>
      <c r="AQ612" s="86" t="s">
        <v>7673</v>
      </c>
      <c r="AR612" s="81" t="s">
        <v>179</v>
      </c>
      <c r="AS612" s="81">
        <v>0</v>
      </c>
      <c r="AT612" s="81">
        <v>0</v>
      </c>
      <c r="AU612" s="81"/>
      <c r="AV612" s="81"/>
      <c r="AW612" s="81"/>
      <c r="AX612" s="81"/>
      <c r="AY612" s="81"/>
      <c r="AZ612" s="81"/>
      <c r="BA612" s="81"/>
      <c r="BB612" s="81"/>
    </row>
    <row r="613" spans="1:54" x14ac:dyDescent="0.35">
      <c r="A613" s="66" t="s">
        <v>4408</v>
      </c>
      <c r="B613" s="66" t="s">
        <v>5072</v>
      </c>
      <c r="C613" s="67"/>
      <c r="D613" s="68"/>
      <c r="E613" s="69"/>
      <c r="F613" s="70"/>
      <c r="G613" s="67"/>
      <c r="H613" s="71"/>
      <c r="I613" s="72"/>
      <c r="J613" s="72"/>
      <c r="K613" s="36"/>
      <c r="L613" s="79"/>
      <c r="M613" s="79"/>
      <c r="N613" s="74"/>
      <c r="O613" s="81" t="s">
        <v>696</v>
      </c>
      <c r="P613" s="83">
        <v>44463.497037037036</v>
      </c>
      <c r="Q613" s="81" t="s">
        <v>5417</v>
      </c>
      <c r="R613" s="81"/>
      <c r="S613" s="81"/>
      <c r="T613" s="81"/>
      <c r="U613" s="81"/>
      <c r="V613" s="84" t="str">
        <f>HYPERLINK("https://pbs.twimg.com/profile_images/1422008955916664833/AiIm552u_normal.jpg")</f>
        <v>https://pbs.twimg.com/profile_images/1422008955916664833/AiIm552u_normal.jpg</v>
      </c>
      <c r="W613" s="83">
        <v>44463.497037037036</v>
      </c>
      <c r="X613" s="89">
        <v>44463</v>
      </c>
      <c r="Y613" s="86" t="s">
        <v>6043</v>
      </c>
      <c r="Z613" s="84" t="str">
        <f>HYPERLINK("https://twitter.com/jaimequebara/status/1441370764746412032")</f>
        <v>https://twitter.com/jaimequebara/status/1441370764746412032</v>
      </c>
      <c r="AA613" s="81"/>
      <c r="AB613" s="81"/>
      <c r="AC613" s="86" t="s">
        <v>6946</v>
      </c>
      <c r="AD613" s="86" t="s">
        <v>7674</v>
      </c>
      <c r="AE613" s="81" t="b">
        <v>0</v>
      </c>
      <c r="AF613" s="81">
        <v>0</v>
      </c>
      <c r="AG613" s="86" t="s">
        <v>7854</v>
      </c>
      <c r="AH613" s="81" t="b">
        <v>0</v>
      </c>
      <c r="AI613" s="81" t="s">
        <v>2171</v>
      </c>
      <c r="AJ613" s="81"/>
      <c r="AK613" s="86" t="s">
        <v>2084</v>
      </c>
      <c r="AL613" s="81" t="b">
        <v>0</v>
      </c>
      <c r="AM613" s="81">
        <v>0</v>
      </c>
      <c r="AN613" s="86" t="s">
        <v>2084</v>
      </c>
      <c r="AO613" s="86" t="s">
        <v>2178</v>
      </c>
      <c r="AP613" s="81" t="b">
        <v>0</v>
      </c>
      <c r="AQ613" s="86" t="s">
        <v>7674</v>
      </c>
      <c r="AR613" s="81" t="s">
        <v>179</v>
      </c>
      <c r="AS613" s="81">
        <v>0</v>
      </c>
      <c r="AT613" s="81">
        <v>0</v>
      </c>
      <c r="AU613" s="81"/>
      <c r="AV613" s="81"/>
      <c r="AW613" s="81"/>
      <c r="AX613" s="81"/>
      <c r="AY613" s="81"/>
      <c r="AZ613" s="81"/>
      <c r="BA613" s="81"/>
      <c r="BB613" s="81"/>
    </row>
    <row r="614" spans="1:54" x14ac:dyDescent="0.35">
      <c r="A614" s="66" t="s">
        <v>4408</v>
      </c>
      <c r="B614" s="66" t="s">
        <v>5073</v>
      </c>
      <c r="C614" s="67"/>
      <c r="D614" s="68"/>
      <c r="E614" s="69"/>
      <c r="F614" s="70"/>
      <c r="G614" s="67"/>
      <c r="H614" s="71"/>
      <c r="I614" s="72"/>
      <c r="J614" s="72"/>
      <c r="K614" s="36"/>
      <c r="L614" s="79"/>
      <c r="M614" s="79"/>
      <c r="N614" s="74"/>
      <c r="O614" s="81" t="s">
        <v>696</v>
      </c>
      <c r="P614" s="83">
        <v>44463.497037037036</v>
      </c>
      <c r="Q614" s="81" t="s">
        <v>5417</v>
      </c>
      <c r="R614" s="81"/>
      <c r="S614" s="81"/>
      <c r="T614" s="81"/>
      <c r="U614" s="81"/>
      <c r="V614" s="84" t="str">
        <f>HYPERLINK("https://pbs.twimg.com/profile_images/1422008955916664833/AiIm552u_normal.jpg")</f>
        <v>https://pbs.twimg.com/profile_images/1422008955916664833/AiIm552u_normal.jpg</v>
      </c>
      <c r="W614" s="83">
        <v>44463.497037037036</v>
      </c>
      <c r="X614" s="89">
        <v>44463</v>
      </c>
      <c r="Y614" s="86" t="s">
        <v>6043</v>
      </c>
      <c r="Z614" s="84" t="str">
        <f>HYPERLINK("https://twitter.com/jaimequebara/status/1441370764746412032")</f>
        <v>https://twitter.com/jaimequebara/status/1441370764746412032</v>
      </c>
      <c r="AA614" s="81"/>
      <c r="AB614" s="81"/>
      <c r="AC614" s="86" t="s">
        <v>6946</v>
      </c>
      <c r="AD614" s="86" t="s">
        <v>7674</v>
      </c>
      <c r="AE614" s="81" t="b">
        <v>0</v>
      </c>
      <c r="AF614" s="81">
        <v>0</v>
      </c>
      <c r="AG614" s="86" t="s">
        <v>7854</v>
      </c>
      <c r="AH614" s="81" t="b">
        <v>0</v>
      </c>
      <c r="AI614" s="81" t="s">
        <v>2171</v>
      </c>
      <c r="AJ614" s="81"/>
      <c r="AK614" s="86" t="s">
        <v>2084</v>
      </c>
      <c r="AL614" s="81" t="b">
        <v>0</v>
      </c>
      <c r="AM614" s="81">
        <v>0</v>
      </c>
      <c r="AN614" s="86" t="s">
        <v>2084</v>
      </c>
      <c r="AO614" s="86" t="s">
        <v>2178</v>
      </c>
      <c r="AP614" s="81" t="b">
        <v>0</v>
      </c>
      <c r="AQ614" s="86" t="s">
        <v>7674</v>
      </c>
      <c r="AR614" s="81" t="s">
        <v>179</v>
      </c>
      <c r="AS614" s="81">
        <v>0</v>
      </c>
      <c r="AT614" s="81">
        <v>0</v>
      </c>
      <c r="AU614" s="81"/>
      <c r="AV614" s="81"/>
      <c r="AW614" s="81"/>
      <c r="AX614" s="81"/>
      <c r="AY614" s="81"/>
      <c r="AZ614" s="81"/>
      <c r="BA614" s="81"/>
      <c r="BB614" s="81"/>
    </row>
    <row r="615" spans="1:54" x14ac:dyDescent="0.35">
      <c r="A615" s="66" t="s">
        <v>4408</v>
      </c>
      <c r="B615" s="66" t="s">
        <v>5074</v>
      </c>
      <c r="C615" s="67"/>
      <c r="D615" s="68"/>
      <c r="E615" s="69"/>
      <c r="F615" s="70"/>
      <c r="G615" s="67"/>
      <c r="H615" s="71"/>
      <c r="I615" s="72"/>
      <c r="J615" s="72"/>
      <c r="K615" s="36"/>
      <c r="L615" s="79"/>
      <c r="M615" s="79"/>
      <c r="N615" s="74"/>
      <c r="O615" s="81" t="s">
        <v>695</v>
      </c>
      <c r="P615" s="83">
        <v>44463.497037037036</v>
      </c>
      <c r="Q615" s="81" t="s">
        <v>5417</v>
      </c>
      <c r="R615" s="81"/>
      <c r="S615" s="81"/>
      <c r="T615" s="81"/>
      <c r="U615" s="81"/>
      <c r="V615" s="84" t="str">
        <f>HYPERLINK("https://pbs.twimg.com/profile_images/1422008955916664833/AiIm552u_normal.jpg")</f>
        <v>https://pbs.twimg.com/profile_images/1422008955916664833/AiIm552u_normal.jpg</v>
      </c>
      <c r="W615" s="83">
        <v>44463.497037037036</v>
      </c>
      <c r="X615" s="89">
        <v>44463</v>
      </c>
      <c r="Y615" s="86" t="s">
        <v>6043</v>
      </c>
      <c r="Z615" s="84" t="str">
        <f>HYPERLINK("https://twitter.com/jaimequebara/status/1441370764746412032")</f>
        <v>https://twitter.com/jaimequebara/status/1441370764746412032</v>
      </c>
      <c r="AA615" s="81"/>
      <c r="AB615" s="81"/>
      <c r="AC615" s="86" t="s">
        <v>6946</v>
      </c>
      <c r="AD615" s="86" t="s">
        <v>7674</v>
      </c>
      <c r="AE615" s="81" t="b">
        <v>0</v>
      </c>
      <c r="AF615" s="81">
        <v>0</v>
      </c>
      <c r="AG615" s="86" t="s">
        <v>7854</v>
      </c>
      <c r="AH615" s="81" t="b">
        <v>0</v>
      </c>
      <c r="AI615" s="81" t="s">
        <v>2171</v>
      </c>
      <c r="AJ615" s="81"/>
      <c r="AK615" s="86" t="s">
        <v>2084</v>
      </c>
      <c r="AL615" s="81" t="b">
        <v>0</v>
      </c>
      <c r="AM615" s="81">
        <v>0</v>
      </c>
      <c r="AN615" s="86" t="s">
        <v>2084</v>
      </c>
      <c r="AO615" s="86" t="s">
        <v>2178</v>
      </c>
      <c r="AP615" s="81" t="b">
        <v>0</v>
      </c>
      <c r="AQ615" s="86" t="s">
        <v>7674</v>
      </c>
      <c r="AR615" s="81" t="s">
        <v>179</v>
      </c>
      <c r="AS615" s="81">
        <v>0</v>
      </c>
      <c r="AT615" s="81">
        <v>0</v>
      </c>
      <c r="AU615" s="81"/>
      <c r="AV615" s="81"/>
      <c r="AW615" s="81"/>
      <c r="AX615" s="81"/>
      <c r="AY615" s="81"/>
      <c r="AZ615" s="81"/>
      <c r="BA615" s="81"/>
      <c r="BB615" s="81"/>
    </row>
    <row r="616" spans="1:54" x14ac:dyDescent="0.35">
      <c r="A616" s="66" t="s">
        <v>4407</v>
      </c>
      <c r="B616" s="66" t="s">
        <v>4407</v>
      </c>
      <c r="C616" s="67"/>
      <c r="D616" s="68"/>
      <c r="E616" s="69"/>
      <c r="F616" s="70"/>
      <c r="G616" s="67"/>
      <c r="H616" s="71"/>
      <c r="I616" s="72"/>
      <c r="J616" s="72"/>
      <c r="K616" s="36"/>
      <c r="L616" s="79"/>
      <c r="M616" s="79"/>
      <c r="N616" s="74"/>
      <c r="O616" s="81" t="s">
        <v>179</v>
      </c>
      <c r="P616" s="83">
        <v>44463.483368055553</v>
      </c>
      <c r="Q616" s="81" t="s">
        <v>5418</v>
      </c>
      <c r="R616" s="84" t="str">
        <f>HYPERLINK("https://www1.folha.uol.com.br/poder/2021/09/ciro-e-doria-focam-antipetismo-para-ir-ao-2o-turno-mas-seus-eleitores-preferem-lula-a-bolsonaro.shtml")</f>
        <v>https://www1.folha.uol.com.br/poder/2021/09/ciro-e-doria-focam-antipetismo-para-ir-ao-2o-turno-mas-seus-eleitores-preferem-lula-a-bolsonaro.shtml</v>
      </c>
      <c r="S616" s="81" t="s">
        <v>5722</v>
      </c>
      <c r="T616" s="81"/>
      <c r="U616" s="81"/>
      <c r="V616" s="84" t="str">
        <f>HYPERLINK("https://pbs.twimg.com/profile_images/1403384138133127168/SXLvYC7n_normal.jpg")</f>
        <v>https://pbs.twimg.com/profile_images/1403384138133127168/SXLvYC7n_normal.jpg</v>
      </c>
      <c r="W616" s="83">
        <v>44463.483368055553</v>
      </c>
      <c r="X616" s="89">
        <v>44463</v>
      </c>
      <c r="Y616" s="86" t="s">
        <v>6044</v>
      </c>
      <c r="Z616" s="84" t="str">
        <f>HYPERLINK("https://twitter.com/danieltperes/status/1441365810862198787")</f>
        <v>https://twitter.com/danieltperes/status/1441365810862198787</v>
      </c>
      <c r="AA616" s="81"/>
      <c r="AB616" s="81"/>
      <c r="AC616" s="86" t="s">
        <v>6947</v>
      </c>
      <c r="AD616" s="81"/>
      <c r="AE616" s="81" t="b">
        <v>0</v>
      </c>
      <c r="AF616" s="81">
        <v>9</v>
      </c>
      <c r="AG616" s="86" t="s">
        <v>2084</v>
      </c>
      <c r="AH616" s="81" t="b">
        <v>0</v>
      </c>
      <c r="AI616" s="81" t="s">
        <v>2171</v>
      </c>
      <c r="AJ616" s="81"/>
      <c r="AK616" s="86" t="s">
        <v>2084</v>
      </c>
      <c r="AL616" s="81" t="b">
        <v>0</v>
      </c>
      <c r="AM616" s="81">
        <v>1</v>
      </c>
      <c r="AN616" s="86" t="s">
        <v>2084</v>
      </c>
      <c r="AO616" s="86" t="s">
        <v>2181</v>
      </c>
      <c r="AP616" s="81" t="b">
        <v>0</v>
      </c>
      <c r="AQ616" s="86" t="s">
        <v>6947</v>
      </c>
      <c r="AR616" s="81" t="s">
        <v>179</v>
      </c>
      <c r="AS616" s="81">
        <v>0</v>
      </c>
      <c r="AT616" s="81">
        <v>0</v>
      </c>
      <c r="AU616" s="81"/>
      <c r="AV616" s="81"/>
      <c r="AW616" s="81"/>
      <c r="AX616" s="81"/>
      <c r="AY616" s="81"/>
      <c r="AZ616" s="81"/>
      <c r="BA616" s="81"/>
      <c r="BB616" s="81"/>
    </row>
    <row r="617" spans="1:54" x14ac:dyDescent="0.35">
      <c r="A617" s="66" t="s">
        <v>4409</v>
      </c>
      <c r="B617" s="66" t="s">
        <v>4407</v>
      </c>
      <c r="C617" s="67"/>
      <c r="D617" s="68"/>
      <c r="E617" s="69"/>
      <c r="F617" s="70"/>
      <c r="G617" s="67"/>
      <c r="H617" s="71"/>
      <c r="I617" s="72"/>
      <c r="J617" s="72"/>
      <c r="K617" s="36"/>
      <c r="L617" s="79"/>
      <c r="M617" s="79"/>
      <c r="N617" s="74"/>
      <c r="O617" s="81" t="s">
        <v>693</v>
      </c>
      <c r="P617" s="83">
        <v>44463.499675925923</v>
      </c>
      <c r="Q617" s="81" t="s">
        <v>5418</v>
      </c>
      <c r="R617" s="84" t="str">
        <f>HYPERLINK("https://www1.folha.uol.com.br/poder/2021/09/ciro-e-doria-focam-antipetismo-para-ir-ao-2o-turno-mas-seus-eleitores-preferem-lula-a-bolsonaro.shtml")</f>
        <v>https://www1.folha.uol.com.br/poder/2021/09/ciro-e-doria-focam-antipetismo-para-ir-ao-2o-turno-mas-seus-eleitores-preferem-lula-a-bolsonaro.shtml</v>
      </c>
      <c r="S617" s="81" t="s">
        <v>5722</v>
      </c>
      <c r="T617" s="81"/>
      <c r="U617" s="81"/>
      <c r="V617" s="84" t="str">
        <f>HYPERLINK("https://abs.twimg.com/sticky/default_profile_images/default_profile_normal.png")</f>
        <v>https://abs.twimg.com/sticky/default_profile_images/default_profile_normal.png</v>
      </c>
      <c r="W617" s="83">
        <v>44463.499675925923</v>
      </c>
      <c r="X617" s="89">
        <v>44463</v>
      </c>
      <c r="Y617" s="86" t="s">
        <v>6045</v>
      </c>
      <c r="Z617" s="84" t="str">
        <f>HYPERLINK("https://twitter.com/rodrigo89789957/status/1441371722440134656")</f>
        <v>https://twitter.com/rodrigo89789957/status/1441371722440134656</v>
      </c>
      <c r="AA617" s="81"/>
      <c r="AB617" s="81"/>
      <c r="AC617" s="86" t="s">
        <v>6948</v>
      </c>
      <c r="AD617" s="81"/>
      <c r="AE617" s="81" t="b">
        <v>0</v>
      </c>
      <c r="AF617" s="81">
        <v>0</v>
      </c>
      <c r="AG617" s="86" t="s">
        <v>2084</v>
      </c>
      <c r="AH617" s="81" t="b">
        <v>0</v>
      </c>
      <c r="AI617" s="81" t="s">
        <v>2171</v>
      </c>
      <c r="AJ617" s="81"/>
      <c r="AK617" s="86" t="s">
        <v>2084</v>
      </c>
      <c r="AL617" s="81" t="b">
        <v>0</v>
      </c>
      <c r="AM617" s="81">
        <v>1</v>
      </c>
      <c r="AN617" s="86" t="s">
        <v>6947</v>
      </c>
      <c r="AO617" s="86" t="s">
        <v>2181</v>
      </c>
      <c r="AP617" s="81" t="b">
        <v>0</v>
      </c>
      <c r="AQ617" s="86" t="s">
        <v>6947</v>
      </c>
      <c r="AR617" s="81" t="s">
        <v>179</v>
      </c>
      <c r="AS617" s="81">
        <v>0</v>
      </c>
      <c r="AT617" s="81">
        <v>0</v>
      </c>
      <c r="AU617" s="81"/>
      <c r="AV617" s="81"/>
      <c r="AW617" s="81"/>
      <c r="AX617" s="81"/>
      <c r="AY617" s="81"/>
      <c r="AZ617" s="81"/>
      <c r="BA617" s="81"/>
      <c r="BB617" s="81"/>
    </row>
    <row r="618" spans="1:54" x14ac:dyDescent="0.35">
      <c r="A618" s="66" t="s">
        <v>4410</v>
      </c>
      <c r="B618" s="66" t="s">
        <v>4410</v>
      </c>
      <c r="C618" s="67"/>
      <c r="D618" s="68"/>
      <c r="E618" s="69"/>
      <c r="F618" s="70"/>
      <c r="G618" s="67"/>
      <c r="H618" s="71"/>
      <c r="I618" s="72"/>
      <c r="J618" s="72"/>
      <c r="K618" s="36"/>
      <c r="L618" s="79"/>
      <c r="M618" s="79"/>
      <c r="N618" s="74"/>
      <c r="O618" s="81" t="s">
        <v>179</v>
      </c>
      <c r="P618" s="83">
        <v>44463.501377314817</v>
      </c>
      <c r="Q618" s="81" t="s">
        <v>5419</v>
      </c>
      <c r="R618" s="84" t="str">
        <f>HYPERLINK("https://teatrodobairroalto.pt/espetaculo/pos-xavier-de-sousa-20210923/")</f>
        <v>https://teatrodobairroalto.pt/espetaculo/pos-xavier-de-sousa-20210923/</v>
      </c>
      <c r="S618" s="81" t="s">
        <v>5724</v>
      </c>
      <c r="T618" s="86" t="s">
        <v>5774</v>
      </c>
      <c r="U618" s="84" t="str">
        <f>HYPERLINK("https://pbs.twimg.com/media/FADIZV1UYAMcUr-.jpg")</f>
        <v>https://pbs.twimg.com/media/FADIZV1UYAMcUr-.jpg</v>
      </c>
      <c r="V618" s="84" t="str">
        <f>HYPERLINK("https://pbs.twimg.com/media/FADIZV1UYAMcUr-.jpg")</f>
        <v>https://pbs.twimg.com/media/FADIZV1UYAMcUr-.jpg</v>
      </c>
      <c r="W618" s="83">
        <v>44463.501377314817</v>
      </c>
      <c r="X618" s="89">
        <v>44463</v>
      </c>
      <c r="Y618" s="86" t="s">
        <v>6046</v>
      </c>
      <c r="Z618" s="84" t="str">
        <f>HYPERLINK("https://twitter.com/tba_lisboa/status/1441372338000261125")</f>
        <v>https://twitter.com/tba_lisboa/status/1441372338000261125</v>
      </c>
      <c r="AA618" s="81"/>
      <c r="AB618" s="81"/>
      <c r="AC618" s="86" t="s">
        <v>6949</v>
      </c>
      <c r="AD618" s="81"/>
      <c r="AE618" s="81" t="b">
        <v>0</v>
      </c>
      <c r="AF618" s="81">
        <v>1</v>
      </c>
      <c r="AG618" s="86" t="s">
        <v>2084</v>
      </c>
      <c r="AH618" s="81" t="b">
        <v>0</v>
      </c>
      <c r="AI618" s="81" t="s">
        <v>2171</v>
      </c>
      <c r="AJ618" s="81"/>
      <c r="AK618" s="86" t="s">
        <v>2084</v>
      </c>
      <c r="AL618" s="81" t="b">
        <v>0</v>
      </c>
      <c r="AM618" s="81">
        <v>0</v>
      </c>
      <c r="AN618" s="86" t="s">
        <v>2084</v>
      </c>
      <c r="AO618" s="86" t="s">
        <v>2181</v>
      </c>
      <c r="AP618" s="81" t="b">
        <v>0</v>
      </c>
      <c r="AQ618" s="86" t="s">
        <v>6949</v>
      </c>
      <c r="AR618" s="81" t="s">
        <v>179</v>
      </c>
      <c r="AS618" s="81">
        <v>0</v>
      </c>
      <c r="AT618" s="81">
        <v>0</v>
      </c>
      <c r="AU618" s="81"/>
      <c r="AV618" s="81"/>
      <c r="AW618" s="81"/>
      <c r="AX618" s="81"/>
      <c r="AY618" s="81"/>
      <c r="AZ618" s="81"/>
      <c r="BA618" s="81"/>
      <c r="BB618" s="81"/>
    </row>
    <row r="619" spans="1:54" x14ac:dyDescent="0.35">
      <c r="A619" s="66" t="s">
        <v>404</v>
      </c>
      <c r="B619" s="66" t="s">
        <v>415</v>
      </c>
      <c r="C619" s="67"/>
      <c r="D619" s="68"/>
      <c r="E619" s="69"/>
      <c r="F619" s="70"/>
      <c r="G619" s="67"/>
      <c r="H619" s="71"/>
      <c r="I619" s="72"/>
      <c r="J619" s="72"/>
      <c r="K619" s="36"/>
      <c r="L619" s="79"/>
      <c r="M619" s="79"/>
      <c r="N619" s="74"/>
      <c r="O619" s="81" t="s">
        <v>693</v>
      </c>
      <c r="P619" s="83">
        <v>44463.50577546296</v>
      </c>
      <c r="Q619" s="81" t="s">
        <v>784</v>
      </c>
      <c r="R619" s="81"/>
      <c r="S619" s="81"/>
      <c r="T619" s="86" t="s">
        <v>979</v>
      </c>
      <c r="U619" s="84" t="str">
        <f>HYPERLINK("https://pbs.twimg.com/media/FACFXSrVUAEcVQU.jpg")</f>
        <v>https://pbs.twimg.com/media/FACFXSrVUAEcVQU.jpg</v>
      </c>
      <c r="V619" s="84" t="str">
        <f>HYPERLINK("https://pbs.twimg.com/media/FACFXSrVUAEcVQU.jpg")</f>
        <v>https://pbs.twimg.com/media/FACFXSrVUAEcVQU.jpg</v>
      </c>
      <c r="W619" s="83">
        <v>44463.50577546296</v>
      </c>
      <c r="X619" s="89">
        <v>44463</v>
      </c>
      <c r="Y619" s="86" t="s">
        <v>1233</v>
      </c>
      <c r="Z619" s="84" t="str">
        <f>HYPERLINK("https://twitter.com/nraisyah_12/status/1441373932209074179")</f>
        <v>https://twitter.com/nraisyah_12/status/1441373932209074179</v>
      </c>
      <c r="AA619" s="81"/>
      <c r="AB619" s="81"/>
      <c r="AC619" s="86" t="s">
        <v>1729</v>
      </c>
      <c r="AD619" s="81"/>
      <c r="AE619" s="81" t="b">
        <v>0</v>
      </c>
      <c r="AF619" s="81">
        <v>0</v>
      </c>
      <c r="AG619" s="86" t="s">
        <v>2084</v>
      </c>
      <c r="AH619" s="81" t="b">
        <v>0</v>
      </c>
      <c r="AI619" s="81" t="s">
        <v>2168</v>
      </c>
      <c r="AJ619" s="81"/>
      <c r="AK619" s="86" t="s">
        <v>2084</v>
      </c>
      <c r="AL619" s="81" t="b">
        <v>0</v>
      </c>
      <c r="AM619" s="81">
        <v>8</v>
      </c>
      <c r="AN619" s="86" t="s">
        <v>1741</v>
      </c>
      <c r="AO619" s="86" t="s">
        <v>2178</v>
      </c>
      <c r="AP619" s="81" t="b">
        <v>0</v>
      </c>
      <c r="AQ619" s="86" t="s">
        <v>1741</v>
      </c>
      <c r="AR619" s="81" t="s">
        <v>179</v>
      </c>
      <c r="AS619" s="81">
        <v>0</v>
      </c>
      <c r="AT619" s="81">
        <v>0</v>
      </c>
      <c r="AU619" s="81"/>
      <c r="AV619" s="81"/>
      <c r="AW619" s="81"/>
      <c r="AX619" s="81"/>
      <c r="AY619" s="81"/>
      <c r="AZ619" s="81"/>
      <c r="BA619" s="81"/>
      <c r="BB619" s="81"/>
    </row>
    <row r="620" spans="1:54" x14ac:dyDescent="0.35">
      <c r="A620" s="66" t="s">
        <v>405</v>
      </c>
      <c r="B620" s="66" t="s">
        <v>461</v>
      </c>
      <c r="C620" s="67"/>
      <c r="D620" s="68"/>
      <c r="E620" s="69"/>
      <c r="F620" s="70"/>
      <c r="G620" s="67"/>
      <c r="H620" s="71"/>
      <c r="I620" s="72"/>
      <c r="J620" s="72"/>
      <c r="K620" s="36"/>
      <c r="L620" s="79"/>
      <c r="M620" s="79"/>
      <c r="N620" s="74"/>
      <c r="O620" s="81" t="s">
        <v>693</v>
      </c>
      <c r="P620" s="83">
        <v>44463.517546296294</v>
      </c>
      <c r="Q620" s="81" t="s">
        <v>794</v>
      </c>
      <c r="R620" s="81"/>
      <c r="S620" s="81"/>
      <c r="T620" s="86" t="s">
        <v>972</v>
      </c>
      <c r="U620" s="84" t="str">
        <f>HYPERLINK("https://pbs.twimg.com/media/FADMBqAUUAAn8ca.jpg")</f>
        <v>https://pbs.twimg.com/media/FADMBqAUUAAn8ca.jpg</v>
      </c>
      <c r="V620" s="84" t="str">
        <f>HYPERLINK("https://pbs.twimg.com/media/FADMBqAUUAAn8ca.jpg")</f>
        <v>https://pbs.twimg.com/media/FADMBqAUUAAn8ca.jpg</v>
      </c>
      <c r="W620" s="83">
        <v>44463.517546296294</v>
      </c>
      <c r="X620" s="89">
        <v>44463</v>
      </c>
      <c r="Y620" s="86" t="s">
        <v>1234</v>
      </c>
      <c r="Z620" s="84" t="str">
        <f>HYPERLINK("https://twitter.com/soorisaa/status/1441378198634188813")</f>
        <v>https://twitter.com/soorisaa/status/1441378198634188813</v>
      </c>
      <c r="AA620" s="81"/>
      <c r="AB620" s="81"/>
      <c r="AC620" s="86" t="s">
        <v>1730</v>
      </c>
      <c r="AD620" s="81"/>
      <c r="AE620" s="81" t="b">
        <v>0</v>
      </c>
      <c r="AF620" s="81">
        <v>0</v>
      </c>
      <c r="AG620" s="86" t="s">
        <v>2084</v>
      </c>
      <c r="AH620" s="81" t="b">
        <v>0</v>
      </c>
      <c r="AI620" s="81" t="s">
        <v>2168</v>
      </c>
      <c r="AJ620" s="81"/>
      <c r="AK620" s="86" t="s">
        <v>2084</v>
      </c>
      <c r="AL620" s="81" t="b">
        <v>0</v>
      </c>
      <c r="AM620" s="81">
        <v>9</v>
      </c>
      <c r="AN620" s="86" t="s">
        <v>1806</v>
      </c>
      <c r="AO620" s="86" t="s">
        <v>2178</v>
      </c>
      <c r="AP620" s="81" t="b">
        <v>0</v>
      </c>
      <c r="AQ620" s="86" t="s">
        <v>1806</v>
      </c>
      <c r="AR620" s="81" t="s">
        <v>179</v>
      </c>
      <c r="AS620" s="81">
        <v>0</v>
      </c>
      <c r="AT620" s="81">
        <v>0</v>
      </c>
      <c r="AU620" s="81"/>
      <c r="AV620" s="81"/>
      <c r="AW620" s="81"/>
      <c r="AX620" s="81"/>
      <c r="AY620" s="81"/>
      <c r="AZ620" s="81"/>
      <c r="BA620" s="81"/>
      <c r="BB620" s="81"/>
    </row>
    <row r="621" spans="1:54" x14ac:dyDescent="0.35">
      <c r="A621" s="66" t="s">
        <v>406</v>
      </c>
      <c r="B621" s="66" t="s">
        <v>461</v>
      </c>
      <c r="C621" s="67"/>
      <c r="D621" s="68"/>
      <c r="E621" s="69"/>
      <c r="F621" s="70"/>
      <c r="G621" s="67"/>
      <c r="H621" s="71"/>
      <c r="I621" s="72"/>
      <c r="J621" s="72"/>
      <c r="K621" s="36"/>
      <c r="L621" s="79"/>
      <c r="M621" s="79"/>
      <c r="N621" s="74"/>
      <c r="O621" s="81" t="s">
        <v>693</v>
      </c>
      <c r="P621" s="83">
        <v>44463.517997685187</v>
      </c>
      <c r="Q621" s="81" t="s">
        <v>794</v>
      </c>
      <c r="R621" s="81"/>
      <c r="S621" s="81"/>
      <c r="T621" s="86" t="s">
        <v>972</v>
      </c>
      <c r="U621" s="84" t="str">
        <f>HYPERLINK("https://pbs.twimg.com/media/FADMBqAUUAAn8ca.jpg")</f>
        <v>https://pbs.twimg.com/media/FADMBqAUUAAn8ca.jpg</v>
      </c>
      <c r="V621" s="84" t="str">
        <f>HYPERLINK("https://pbs.twimg.com/media/FADMBqAUUAAn8ca.jpg")</f>
        <v>https://pbs.twimg.com/media/FADMBqAUUAAn8ca.jpg</v>
      </c>
      <c r="W621" s="83">
        <v>44463.517997685187</v>
      </c>
      <c r="X621" s="89">
        <v>44463</v>
      </c>
      <c r="Y621" s="86" t="s">
        <v>1235</v>
      </c>
      <c r="Z621" s="84" t="str">
        <f>HYPERLINK("https://twitter.com/lcvely_wn/status/1441378362899918857")</f>
        <v>https://twitter.com/lcvely_wn/status/1441378362899918857</v>
      </c>
      <c r="AA621" s="81"/>
      <c r="AB621" s="81"/>
      <c r="AC621" s="86" t="s">
        <v>1731</v>
      </c>
      <c r="AD621" s="81"/>
      <c r="AE621" s="81" t="b">
        <v>0</v>
      </c>
      <c r="AF621" s="81">
        <v>0</v>
      </c>
      <c r="AG621" s="86" t="s">
        <v>2084</v>
      </c>
      <c r="AH621" s="81" t="b">
        <v>0</v>
      </c>
      <c r="AI621" s="81" t="s">
        <v>2168</v>
      </c>
      <c r="AJ621" s="81"/>
      <c r="AK621" s="86" t="s">
        <v>2084</v>
      </c>
      <c r="AL621" s="81" t="b">
        <v>0</v>
      </c>
      <c r="AM621" s="81">
        <v>9</v>
      </c>
      <c r="AN621" s="86" t="s">
        <v>1806</v>
      </c>
      <c r="AO621" s="86" t="s">
        <v>2178</v>
      </c>
      <c r="AP621" s="81" t="b">
        <v>0</v>
      </c>
      <c r="AQ621" s="86" t="s">
        <v>1806</v>
      </c>
      <c r="AR621" s="81" t="s">
        <v>179</v>
      </c>
      <c r="AS621" s="81">
        <v>0</v>
      </c>
      <c r="AT621" s="81">
        <v>0</v>
      </c>
      <c r="AU621" s="81"/>
      <c r="AV621" s="81"/>
      <c r="AW621" s="81"/>
      <c r="AX621" s="81"/>
      <c r="AY621" s="81"/>
      <c r="AZ621" s="81"/>
      <c r="BA621" s="81"/>
      <c r="BB621" s="81"/>
    </row>
    <row r="622" spans="1:54" x14ac:dyDescent="0.35">
      <c r="A622" s="66" t="s">
        <v>407</v>
      </c>
      <c r="B622" s="66" t="s">
        <v>407</v>
      </c>
      <c r="C622" s="67"/>
      <c r="D622" s="68"/>
      <c r="E622" s="69"/>
      <c r="F622" s="70"/>
      <c r="G622" s="67"/>
      <c r="H622" s="71"/>
      <c r="I622" s="72"/>
      <c r="J622" s="72"/>
      <c r="K622" s="36"/>
      <c r="L622" s="79"/>
      <c r="M622" s="79"/>
      <c r="N622" s="74"/>
      <c r="O622" s="81" t="s">
        <v>179</v>
      </c>
      <c r="P622" s="83">
        <v>44463.551493055558</v>
      </c>
      <c r="Q622" s="81" t="s">
        <v>795</v>
      </c>
      <c r="R622" s="81"/>
      <c r="S622" s="81"/>
      <c r="T622" s="81"/>
      <c r="U622" s="81"/>
      <c r="V622" s="84" t="str">
        <f>HYPERLINK("https://pbs.twimg.com/profile_images/1443264203872038915/XgOKajDS_normal.jpg")</f>
        <v>https://pbs.twimg.com/profile_images/1443264203872038915/XgOKajDS_normal.jpg</v>
      </c>
      <c r="W622" s="83">
        <v>44463.551493055558</v>
      </c>
      <c r="X622" s="89">
        <v>44463</v>
      </c>
      <c r="Y622" s="86" t="s">
        <v>1236</v>
      </c>
      <c r="Z622" s="84" t="str">
        <f>HYPERLINK("https://twitter.com/shadatuzn/status/1441390498879471621")</f>
        <v>https://twitter.com/shadatuzn/status/1441390498879471621</v>
      </c>
      <c r="AA622" s="81"/>
      <c r="AB622" s="81"/>
      <c r="AC622" s="86" t="s">
        <v>1732</v>
      </c>
      <c r="AD622" s="81"/>
      <c r="AE622" s="81" t="b">
        <v>0</v>
      </c>
      <c r="AF622" s="81">
        <v>0</v>
      </c>
      <c r="AG622" s="86" t="s">
        <v>2084</v>
      </c>
      <c r="AH622" s="81" t="b">
        <v>0</v>
      </c>
      <c r="AI622" s="81" t="s">
        <v>2167</v>
      </c>
      <c r="AJ622" s="81"/>
      <c r="AK622" s="86" t="s">
        <v>2084</v>
      </c>
      <c r="AL622" s="81" t="b">
        <v>0</v>
      </c>
      <c r="AM622" s="81">
        <v>0</v>
      </c>
      <c r="AN622" s="86" t="s">
        <v>2084</v>
      </c>
      <c r="AO622" s="86" t="s">
        <v>2178</v>
      </c>
      <c r="AP622" s="81" t="b">
        <v>0</v>
      </c>
      <c r="AQ622" s="86" t="s">
        <v>1732</v>
      </c>
      <c r="AR622" s="81" t="s">
        <v>179</v>
      </c>
      <c r="AS622" s="81">
        <v>0</v>
      </c>
      <c r="AT622" s="81">
        <v>0</v>
      </c>
      <c r="AU622" s="81"/>
      <c r="AV622" s="81"/>
      <c r="AW622" s="81"/>
      <c r="AX622" s="81"/>
      <c r="AY622" s="81"/>
      <c r="AZ622" s="81"/>
      <c r="BA622" s="81"/>
      <c r="BB622" s="81"/>
    </row>
    <row r="623" spans="1:54" x14ac:dyDescent="0.35">
      <c r="A623" s="66" t="s">
        <v>408</v>
      </c>
      <c r="B623" s="66" t="s">
        <v>461</v>
      </c>
      <c r="C623" s="67"/>
      <c r="D623" s="68"/>
      <c r="E623" s="69"/>
      <c r="F623" s="70"/>
      <c r="G623" s="67"/>
      <c r="H623" s="71"/>
      <c r="I623" s="72"/>
      <c r="J623" s="72"/>
      <c r="K623" s="36"/>
      <c r="L623" s="79"/>
      <c r="M623" s="79"/>
      <c r="N623" s="74"/>
      <c r="O623" s="81" t="s">
        <v>693</v>
      </c>
      <c r="P623" s="83">
        <v>44463.571145833332</v>
      </c>
      <c r="Q623" s="81" t="s">
        <v>794</v>
      </c>
      <c r="R623" s="81"/>
      <c r="S623" s="81"/>
      <c r="T623" s="86" t="s">
        <v>972</v>
      </c>
      <c r="U623" s="84" t="str">
        <f>HYPERLINK("https://pbs.twimg.com/media/FADMBqAUUAAn8ca.jpg")</f>
        <v>https://pbs.twimg.com/media/FADMBqAUUAAn8ca.jpg</v>
      </c>
      <c r="V623" s="84" t="str">
        <f>HYPERLINK("https://pbs.twimg.com/media/FADMBqAUUAAn8ca.jpg")</f>
        <v>https://pbs.twimg.com/media/FADMBqAUUAAn8ca.jpg</v>
      </c>
      <c r="W623" s="83">
        <v>44463.571145833332</v>
      </c>
      <c r="X623" s="89">
        <v>44463</v>
      </c>
      <c r="Y623" s="86" t="s">
        <v>1237</v>
      </c>
      <c r="Z623" s="84" t="str">
        <f>HYPERLINK("https://twitter.com/jeonginfoxyy/status/1441397622158204946")</f>
        <v>https://twitter.com/jeonginfoxyy/status/1441397622158204946</v>
      </c>
      <c r="AA623" s="81"/>
      <c r="AB623" s="81"/>
      <c r="AC623" s="86" t="s">
        <v>1733</v>
      </c>
      <c r="AD623" s="81"/>
      <c r="AE623" s="81" t="b">
        <v>0</v>
      </c>
      <c r="AF623" s="81">
        <v>0</v>
      </c>
      <c r="AG623" s="86" t="s">
        <v>2084</v>
      </c>
      <c r="AH623" s="81" t="b">
        <v>0</v>
      </c>
      <c r="AI623" s="81" t="s">
        <v>2168</v>
      </c>
      <c r="AJ623" s="81"/>
      <c r="AK623" s="86" t="s">
        <v>2084</v>
      </c>
      <c r="AL623" s="81" t="b">
        <v>0</v>
      </c>
      <c r="AM623" s="81">
        <v>9</v>
      </c>
      <c r="AN623" s="86" t="s">
        <v>1806</v>
      </c>
      <c r="AO623" s="86" t="s">
        <v>2179</v>
      </c>
      <c r="AP623" s="81" t="b">
        <v>0</v>
      </c>
      <c r="AQ623" s="86" t="s">
        <v>1806</v>
      </c>
      <c r="AR623" s="81" t="s">
        <v>179</v>
      </c>
      <c r="AS623" s="81">
        <v>0</v>
      </c>
      <c r="AT623" s="81">
        <v>0</v>
      </c>
      <c r="AU623" s="81"/>
      <c r="AV623" s="81"/>
      <c r="AW623" s="81"/>
      <c r="AX623" s="81"/>
      <c r="AY623" s="81"/>
      <c r="AZ623" s="81"/>
      <c r="BA623" s="81"/>
      <c r="BB623" s="81"/>
    </row>
    <row r="624" spans="1:54" x14ac:dyDescent="0.35">
      <c r="A624" s="66" t="s">
        <v>409</v>
      </c>
      <c r="B624" s="66" t="s">
        <v>461</v>
      </c>
      <c r="C624" s="67"/>
      <c r="D624" s="68"/>
      <c r="E624" s="69"/>
      <c r="F624" s="70"/>
      <c r="G624" s="67"/>
      <c r="H624" s="71"/>
      <c r="I624" s="72"/>
      <c r="J624" s="72"/>
      <c r="K624" s="36"/>
      <c r="L624" s="79"/>
      <c r="M624" s="79"/>
      <c r="N624" s="74"/>
      <c r="O624" s="81" t="s">
        <v>693</v>
      </c>
      <c r="P624" s="83">
        <v>44463.571342592593</v>
      </c>
      <c r="Q624" s="81" t="s">
        <v>794</v>
      </c>
      <c r="R624" s="81"/>
      <c r="S624" s="81"/>
      <c r="T624" s="86" t="s">
        <v>972</v>
      </c>
      <c r="U624" s="84" t="str">
        <f>HYPERLINK("https://pbs.twimg.com/media/FADMBqAUUAAn8ca.jpg")</f>
        <v>https://pbs.twimg.com/media/FADMBqAUUAAn8ca.jpg</v>
      </c>
      <c r="V624" s="84" t="str">
        <f>HYPERLINK("https://pbs.twimg.com/media/FADMBqAUUAAn8ca.jpg")</f>
        <v>https://pbs.twimg.com/media/FADMBqAUUAAn8ca.jpg</v>
      </c>
      <c r="W624" s="83">
        <v>44463.571342592593</v>
      </c>
      <c r="X624" s="89">
        <v>44463</v>
      </c>
      <c r="Y624" s="86" t="s">
        <v>1238</v>
      </c>
      <c r="Z624" s="84" t="str">
        <f>HYPERLINK("https://twitter.com/teutoong21/status/1441397691037016067")</f>
        <v>https://twitter.com/teutoong21/status/1441397691037016067</v>
      </c>
      <c r="AA624" s="81"/>
      <c r="AB624" s="81"/>
      <c r="AC624" s="86" t="s">
        <v>1734</v>
      </c>
      <c r="AD624" s="81"/>
      <c r="AE624" s="81" t="b">
        <v>0</v>
      </c>
      <c r="AF624" s="81">
        <v>0</v>
      </c>
      <c r="AG624" s="86" t="s">
        <v>2084</v>
      </c>
      <c r="AH624" s="81" t="b">
        <v>0</v>
      </c>
      <c r="AI624" s="81" t="s">
        <v>2168</v>
      </c>
      <c r="AJ624" s="81"/>
      <c r="AK624" s="86" t="s">
        <v>2084</v>
      </c>
      <c r="AL624" s="81" t="b">
        <v>0</v>
      </c>
      <c r="AM624" s="81">
        <v>9</v>
      </c>
      <c r="AN624" s="86" t="s">
        <v>1806</v>
      </c>
      <c r="AO624" s="86" t="s">
        <v>2178</v>
      </c>
      <c r="AP624" s="81" t="b">
        <v>0</v>
      </c>
      <c r="AQ624" s="86" t="s">
        <v>1806</v>
      </c>
      <c r="AR624" s="81" t="s">
        <v>179</v>
      </c>
      <c r="AS624" s="81">
        <v>0</v>
      </c>
      <c r="AT624" s="81">
        <v>0</v>
      </c>
      <c r="AU624" s="81"/>
      <c r="AV624" s="81"/>
      <c r="AW624" s="81"/>
      <c r="AX624" s="81"/>
      <c r="AY624" s="81"/>
      <c r="AZ624" s="81"/>
      <c r="BA624" s="81"/>
      <c r="BB624" s="81"/>
    </row>
    <row r="625" spans="1:54" x14ac:dyDescent="0.35">
      <c r="A625" s="66" t="s">
        <v>4411</v>
      </c>
      <c r="B625" s="66" t="s">
        <v>4411</v>
      </c>
      <c r="C625" s="67"/>
      <c r="D625" s="68"/>
      <c r="E625" s="69"/>
      <c r="F625" s="70"/>
      <c r="G625" s="67"/>
      <c r="H625" s="71"/>
      <c r="I625" s="72"/>
      <c r="J625" s="72"/>
      <c r="K625" s="36"/>
      <c r="L625" s="79"/>
      <c r="M625" s="79"/>
      <c r="N625" s="74"/>
      <c r="O625" s="81" t="s">
        <v>179</v>
      </c>
      <c r="P625" s="83">
        <v>44463.588449074072</v>
      </c>
      <c r="Q625" s="81" t="s">
        <v>5420</v>
      </c>
      <c r="R625" s="81"/>
      <c r="S625" s="81"/>
      <c r="T625" s="81"/>
      <c r="U625" s="81"/>
      <c r="V625" s="84" t="str">
        <f>HYPERLINK("https://pbs.twimg.com/profile_images/1439012553070370824/gps5Dmmw_normal.jpg")</f>
        <v>https://pbs.twimg.com/profile_images/1439012553070370824/gps5Dmmw_normal.jpg</v>
      </c>
      <c r="W625" s="83">
        <v>44463.588449074072</v>
      </c>
      <c r="X625" s="89">
        <v>44463</v>
      </c>
      <c r="Y625" s="86" t="s">
        <v>6047</v>
      </c>
      <c r="Z625" s="84" t="str">
        <f>HYPERLINK("https://twitter.com/hxbitualnorris/status/1441403893620035590")</f>
        <v>https://twitter.com/hxbitualnorris/status/1441403893620035590</v>
      </c>
      <c r="AA625" s="81"/>
      <c r="AB625" s="81"/>
      <c r="AC625" s="86" t="s">
        <v>6950</v>
      </c>
      <c r="AD625" s="81"/>
      <c r="AE625" s="81" t="b">
        <v>0</v>
      </c>
      <c r="AF625" s="81">
        <v>0</v>
      </c>
      <c r="AG625" s="86" t="s">
        <v>2084</v>
      </c>
      <c r="AH625" s="81" t="b">
        <v>0</v>
      </c>
      <c r="AI625" s="81" t="s">
        <v>2171</v>
      </c>
      <c r="AJ625" s="81"/>
      <c r="AK625" s="86" t="s">
        <v>2084</v>
      </c>
      <c r="AL625" s="81" t="b">
        <v>0</v>
      </c>
      <c r="AM625" s="81">
        <v>0</v>
      </c>
      <c r="AN625" s="86" t="s">
        <v>2084</v>
      </c>
      <c r="AO625" s="86" t="s">
        <v>2179</v>
      </c>
      <c r="AP625" s="81" t="b">
        <v>0</v>
      </c>
      <c r="AQ625" s="86" t="s">
        <v>6950</v>
      </c>
      <c r="AR625" s="81" t="s">
        <v>179</v>
      </c>
      <c r="AS625" s="81">
        <v>0</v>
      </c>
      <c r="AT625" s="81">
        <v>0</v>
      </c>
      <c r="AU625" s="81"/>
      <c r="AV625" s="81"/>
      <c r="AW625" s="81"/>
      <c r="AX625" s="81"/>
      <c r="AY625" s="81"/>
      <c r="AZ625" s="81"/>
      <c r="BA625" s="81"/>
      <c r="BB625" s="81"/>
    </row>
    <row r="626" spans="1:54" x14ac:dyDescent="0.35">
      <c r="A626" s="66" t="s">
        <v>4412</v>
      </c>
      <c r="B626" s="66" t="s">
        <v>4427</v>
      </c>
      <c r="C626" s="67"/>
      <c r="D626" s="68"/>
      <c r="E626" s="69"/>
      <c r="F626" s="70"/>
      <c r="G626" s="67"/>
      <c r="H626" s="71"/>
      <c r="I626" s="72"/>
      <c r="J626" s="72"/>
      <c r="K626" s="36"/>
      <c r="L626" s="79"/>
      <c r="M626" s="79"/>
      <c r="N626" s="74"/>
      <c r="O626" s="81" t="s">
        <v>693</v>
      </c>
      <c r="P626" s="83">
        <v>44463.595057870371</v>
      </c>
      <c r="Q626" s="81" t="s">
        <v>5421</v>
      </c>
      <c r="R626" s="81"/>
      <c r="S626" s="81"/>
      <c r="T626" s="86" t="s">
        <v>4412</v>
      </c>
      <c r="U626" s="84" t="str">
        <f>HYPERLINK("https://pbs.twimg.com/media/FACaZCoVUAU3zQe.jpg")</f>
        <v>https://pbs.twimg.com/media/FACaZCoVUAU3zQe.jpg</v>
      </c>
      <c r="V626" s="84" t="str">
        <f>HYPERLINK("https://pbs.twimg.com/media/FACaZCoVUAU3zQe.jpg")</f>
        <v>https://pbs.twimg.com/media/FACaZCoVUAU3zQe.jpg</v>
      </c>
      <c r="W626" s="83">
        <v>44463.595057870371</v>
      </c>
      <c r="X626" s="89">
        <v>44463</v>
      </c>
      <c r="Y626" s="86" t="s">
        <v>6048</v>
      </c>
      <c r="Z626" s="84" t="str">
        <f>HYPERLINK("https://twitter.com/pasarateez/status/1441406288311689217")</f>
        <v>https://twitter.com/pasarateez/status/1441406288311689217</v>
      </c>
      <c r="AA626" s="81"/>
      <c r="AB626" s="81"/>
      <c r="AC626" s="86" t="s">
        <v>6951</v>
      </c>
      <c r="AD626" s="81"/>
      <c r="AE626" s="81" t="b">
        <v>0</v>
      </c>
      <c r="AF626" s="81">
        <v>0</v>
      </c>
      <c r="AG626" s="86" t="s">
        <v>2084</v>
      </c>
      <c r="AH626" s="81" t="b">
        <v>0</v>
      </c>
      <c r="AI626" s="81" t="s">
        <v>2168</v>
      </c>
      <c r="AJ626" s="81"/>
      <c r="AK626" s="86" t="s">
        <v>2084</v>
      </c>
      <c r="AL626" s="81" t="b">
        <v>0</v>
      </c>
      <c r="AM626" s="81">
        <v>6</v>
      </c>
      <c r="AN626" s="86" t="s">
        <v>6968</v>
      </c>
      <c r="AO626" s="86" t="s">
        <v>2179</v>
      </c>
      <c r="AP626" s="81" t="b">
        <v>0</v>
      </c>
      <c r="AQ626" s="86" t="s">
        <v>6968</v>
      </c>
      <c r="AR626" s="81" t="s">
        <v>179</v>
      </c>
      <c r="AS626" s="81">
        <v>0</v>
      </c>
      <c r="AT626" s="81">
        <v>0</v>
      </c>
      <c r="AU626" s="81"/>
      <c r="AV626" s="81"/>
      <c r="AW626" s="81"/>
      <c r="AX626" s="81"/>
      <c r="AY626" s="81"/>
      <c r="AZ626" s="81"/>
      <c r="BA626" s="81"/>
      <c r="BB626" s="81"/>
    </row>
    <row r="627" spans="1:54" x14ac:dyDescent="0.35">
      <c r="A627" s="66" t="s">
        <v>4413</v>
      </c>
      <c r="B627" s="66" t="s">
        <v>4427</v>
      </c>
      <c r="C627" s="67"/>
      <c r="D627" s="68"/>
      <c r="E627" s="69"/>
      <c r="F627" s="70"/>
      <c r="G627" s="67"/>
      <c r="H627" s="71"/>
      <c r="I627" s="72"/>
      <c r="J627" s="72"/>
      <c r="K627" s="36"/>
      <c r="L627" s="79"/>
      <c r="M627" s="79"/>
      <c r="N627" s="74"/>
      <c r="O627" s="81" t="s">
        <v>693</v>
      </c>
      <c r="P627" s="83">
        <v>44463.595405092594</v>
      </c>
      <c r="Q627" s="81" t="s">
        <v>5421</v>
      </c>
      <c r="R627" s="81"/>
      <c r="S627" s="81"/>
      <c r="T627" s="86" t="s">
        <v>4412</v>
      </c>
      <c r="U627" s="84" t="str">
        <f>HYPERLINK("https://pbs.twimg.com/media/FACaZCoVUAU3zQe.jpg")</f>
        <v>https://pbs.twimg.com/media/FACaZCoVUAU3zQe.jpg</v>
      </c>
      <c r="V627" s="84" t="str">
        <f>HYPERLINK("https://pbs.twimg.com/media/FACaZCoVUAU3zQe.jpg")</f>
        <v>https://pbs.twimg.com/media/FACaZCoVUAU3zQe.jpg</v>
      </c>
      <c r="W627" s="83">
        <v>44463.595405092594</v>
      </c>
      <c r="X627" s="89">
        <v>44463</v>
      </c>
      <c r="Y627" s="86" t="s">
        <v>6049</v>
      </c>
      <c r="Z627" s="84" t="str">
        <f>HYPERLINK("https://twitter.com/sxyzx08/status/1441406411368329220")</f>
        <v>https://twitter.com/sxyzx08/status/1441406411368329220</v>
      </c>
      <c r="AA627" s="81"/>
      <c r="AB627" s="81"/>
      <c r="AC627" s="86" t="s">
        <v>6952</v>
      </c>
      <c r="AD627" s="81"/>
      <c r="AE627" s="81" t="b">
        <v>0</v>
      </c>
      <c r="AF627" s="81">
        <v>0</v>
      </c>
      <c r="AG627" s="86" t="s">
        <v>2084</v>
      </c>
      <c r="AH627" s="81" t="b">
        <v>0</v>
      </c>
      <c r="AI627" s="81" t="s">
        <v>2168</v>
      </c>
      <c r="AJ627" s="81"/>
      <c r="AK627" s="86" t="s">
        <v>2084</v>
      </c>
      <c r="AL627" s="81" t="b">
        <v>0</v>
      </c>
      <c r="AM627" s="81">
        <v>6</v>
      </c>
      <c r="AN627" s="86" t="s">
        <v>6968</v>
      </c>
      <c r="AO627" s="86" t="s">
        <v>2179</v>
      </c>
      <c r="AP627" s="81" t="b">
        <v>0</v>
      </c>
      <c r="AQ627" s="86" t="s">
        <v>6968</v>
      </c>
      <c r="AR627" s="81" t="s">
        <v>179</v>
      </c>
      <c r="AS627" s="81">
        <v>0</v>
      </c>
      <c r="AT627" s="81">
        <v>0</v>
      </c>
      <c r="AU627" s="81"/>
      <c r="AV627" s="81"/>
      <c r="AW627" s="81"/>
      <c r="AX627" s="81"/>
      <c r="AY627" s="81"/>
      <c r="AZ627" s="81"/>
      <c r="BA627" s="81"/>
      <c r="BB627" s="81"/>
    </row>
    <row r="628" spans="1:54" x14ac:dyDescent="0.35">
      <c r="A628" s="66" t="s">
        <v>329</v>
      </c>
      <c r="B628" s="66" t="s">
        <v>344</v>
      </c>
      <c r="C628" s="67"/>
      <c r="D628" s="68"/>
      <c r="E628" s="69"/>
      <c r="F628" s="70"/>
      <c r="G628" s="67"/>
      <c r="H628" s="71"/>
      <c r="I628" s="72"/>
      <c r="J628" s="72"/>
      <c r="K628" s="36"/>
      <c r="L628" s="79"/>
      <c r="M628" s="79"/>
      <c r="N628" s="74"/>
      <c r="O628" s="81" t="s">
        <v>693</v>
      </c>
      <c r="P628" s="83">
        <v>44461.516689814816</v>
      </c>
      <c r="Q628" s="81" t="s">
        <v>743</v>
      </c>
      <c r="R628" s="81"/>
      <c r="S628" s="81"/>
      <c r="T628" s="86" t="s">
        <v>977</v>
      </c>
      <c r="U628" s="84" t="str">
        <f>HYPERLINK("https://pbs.twimg.com/media/E_4G1w0UcAYtmKg.jpg")</f>
        <v>https://pbs.twimg.com/media/E_4G1w0UcAYtmKg.jpg</v>
      </c>
      <c r="V628" s="84" t="str">
        <f>HYPERLINK("https://pbs.twimg.com/media/E_4G1w0UcAYtmKg.jpg")</f>
        <v>https://pbs.twimg.com/media/E_4G1w0UcAYtmKg.jpg</v>
      </c>
      <c r="W628" s="83">
        <v>44461.516689814816</v>
      </c>
      <c r="X628" s="89">
        <v>44461</v>
      </c>
      <c r="Y628" s="86" t="s">
        <v>1133</v>
      </c>
      <c r="Z628" s="84" t="str">
        <f>HYPERLINK("https://twitter.com/lem0n4de_sh0p/status/1440653112016982019")</f>
        <v>https://twitter.com/lem0n4de_sh0p/status/1440653112016982019</v>
      </c>
      <c r="AA628" s="81"/>
      <c r="AB628" s="81"/>
      <c r="AC628" s="86" t="s">
        <v>1631</v>
      </c>
      <c r="AD628" s="81"/>
      <c r="AE628" s="81" t="b">
        <v>0</v>
      </c>
      <c r="AF628" s="81">
        <v>0</v>
      </c>
      <c r="AG628" s="86" t="s">
        <v>2084</v>
      </c>
      <c r="AH628" s="81" t="b">
        <v>0</v>
      </c>
      <c r="AI628" s="81" t="s">
        <v>2168</v>
      </c>
      <c r="AJ628" s="81"/>
      <c r="AK628" s="86" t="s">
        <v>2084</v>
      </c>
      <c r="AL628" s="81" t="b">
        <v>0</v>
      </c>
      <c r="AM628" s="81">
        <v>12</v>
      </c>
      <c r="AN628" s="86" t="s">
        <v>1646</v>
      </c>
      <c r="AO628" s="86" t="s">
        <v>2179</v>
      </c>
      <c r="AP628" s="81" t="b">
        <v>0</v>
      </c>
      <c r="AQ628" s="86" t="s">
        <v>1646</v>
      </c>
      <c r="AR628" s="81" t="s">
        <v>179</v>
      </c>
      <c r="AS628" s="81">
        <v>0</v>
      </c>
      <c r="AT628" s="81">
        <v>0</v>
      </c>
      <c r="AU628" s="81"/>
      <c r="AV628" s="81"/>
      <c r="AW628" s="81"/>
      <c r="AX628" s="81"/>
      <c r="AY628" s="81"/>
      <c r="AZ628" s="81"/>
      <c r="BA628" s="81"/>
      <c r="BB628" s="81"/>
    </row>
    <row r="629" spans="1:54" x14ac:dyDescent="0.35">
      <c r="A629" s="66" t="s">
        <v>329</v>
      </c>
      <c r="B629" s="66" t="s">
        <v>4427</v>
      </c>
      <c r="C629" s="67"/>
      <c r="D629" s="68"/>
      <c r="E629" s="69"/>
      <c r="F629" s="70"/>
      <c r="G629" s="67"/>
      <c r="H629" s="71"/>
      <c r="I629" s="72"/>
      <c r="J629" s="72"/>
      <c r="K629" s="36"/>
      <c r="L629" s="79"/>
      <c r="M629" s="79"/>
      <c r="N629" s="74"/>
      <c r="O629" s="81" t="s">
        <v>693</v>
      </c>
      <c r="P629" s="83">
        <v>44463.595520833333</v>
      </c>
      <c r="Q629" s="81" t="s">
        <v>5421</v>
      </c>
      <c r="R629" s="81"/>
      <c r="S629" s="81"/>
      <c r="T629" s="86" t="s">
        <v>4412</v>
      </c>
      <c r="U629" s="84" t="str">
        <f>HYPERLINK("https://pbs.twimg.com/media/FACaZCoVUAU3zQe.jpg")</f>
        <v>https://pbs.twimg.com/media/FACaZCoVUAU3zQe.jpg</v>
      </c>
      <c r="V629" s="84" t="str">
        <f>HYPERLINK("https://pbs.twimg.com/media/FACaZCoVUAU3zQe.jpg")</f>
        <v>https://pbs.twimg.com/media/FACaZCoVUAU3zQe.jpg</v>
      </c>
      <c r="W629" s="83">
        <v>44463.595520833333</v>
      </c>
      <c r="X629" s="89">
        <v>44463</v>
      </c>
      <c r="Y629" s="86" t="s">
        <v>6050</v>
      </c>
      <c r="Z629" s="84" t="str">
        <f>HYPERLINK("https://twitter.com/lem0n4de_sh0p/status/1441406456163491852")</f>
        <v>https://twitter.com/lem0n4de_sh0p/status/1441406456163491852</v>
      </c>
      <c r="AA629" s="81"/>
      <c r="AB629" s="81"/>
      <c r="AC629" s="86" t="s">
        <v>6953</v>
      </c>
      <c r="AD629" s="81"/>
      <c r="AE629" s="81" t="b">
        <v>0</v>
      </c>
      <c r="AF629" s="81">
        <v>0</v>
      </c>
      <c r="AG629" s="86" t="s">
        <v>2084</v>
      </c>
      <c r="AH629" s="81" t="b">
        <v>0</v>
      </c>
      <c r="AI629" s="81" t="s">
        <v>2168</v>
      </c>
      <c r="AJ629" s="81"/>
      <c r="AK629" s="86" t="s">
        <v>2084</v>
      </c>
      <c r="AL629" s="81" t="b">
        <v>0</v>
      </c>
      <c r="AM629" s="81">
        <v>6</v>
      </c>
      <c r="AN629" s="86" t="s">
        <v>6968</v>
      </c>
      <c r="AO629" s="86" t="s">
        <v>2179</v>
      </c>
      <c r="AP629" s="81" t="b">
        <v>0</v>
      </c>
      <c r="AQ629" s="86" t="s">
        <v>6968</v>
      </c>
      <c r="AR629" s="81" t="s">
        <v>179</v>
      </c>
      <c r="AS629" s="81">
        <v>0</v>
      </c>
      <c r="AT629" s="81">
        <v>0</v>
      </c>
      <c r="AU629" s="81"/>
      <c r="AV629" s="81"/>
      <c r="AW629" s="81"/>
      <c r="AX629" s="81"/>
      <c r="AY629" s="81"/>
      <c r="AZ629" s="81"/>
      <c r="BA629" s="81"/>
      <c r="BB629" s="81"/>
    </row>
    <row r="630" spans="1:54" x14ac:dyDescent="0.35">
      <c r="A630" s="66" t="s">
        <v>410</v>
      </c>
      <c r="B630" s="66" t="s">
        <v>461</v>
      </c>
      <c r="C630" s="67"/>
      <c r="D630" s="68"/>
      <c r="E630" s="69"/>
      <c r="F630" s="70"/>
      <c r="G630" s="67"/>
      <c r="H630" s="71"/>
      <c r="I630" s="72"/>
      <c r="J630" s="72"/>
      <c r="K630" s="36"/>
      <c r="L630" s="79"/>
      <c r="M630" s="79"/>
      <c r="N630" s="74"/>
      <c r="O630" s="81" t="s">
        <v>693</v>
      </c>
      <c r="P630" s="83">
        <v>44463.599618055552</v>
      </c>
      <c r="Q630" s="81" t="s">
        <v>794</v>
      </c>
      <c r="R630" s="81"/>
      <c r="S630" s="81"/>
      <c r="T630" s="86" t="s">
        <v>972</v>
      </c>
      <c r="U630" s="84" t="str">
        <f>HYPERLINK("https://pbs.twimg.com/media/FADMBqAUUAAn8ca.jpg")</f>
        <v>https://pbs.twimg.com/media/FADMBqAUUAAn8ca.jpg</v>
      </c>
      <c r="V630" s="84" t="str">
        <f>HYPERLINK("https://pbs.twimg.com/media/FADMBqAUUAAn8ca.jpg")</f>
        <v>https://pbs.twimg.com/media/FADMBqAUUAAn8ca.jpg</v>
      </c>
      <c r="W630" s="83">
        <v>44463.599618055552</v>
      </c>
      <c r="X630" s="89">
        <v>44463</v>
      </c>
      <c r="Y630" s="86" t="s">
        <v>1239</v>
      </c>
      <c r="Z630" s="84" t="str">
        <f>HYPERLINK("https://twitter.com/iyenstars/status/1441407938480902152")</f>
        <v>https://twitter.com/iyenstars/status/1441407938480902152</v>
      </c>
      <c r="AA630" s="81"/>
      <c r="AB630" s="81"/>
      <c r="AC630" s="86" t="s">
        <v>1735</v>
      </c>
      <c r="AD630" s="81"/>
      <c r="AE630" s="81" t="b">
        <v>0</v>
      </c>
      <c r="AF630" s="81">
        <v>0</v>
      </c>
      <c r="AG630" s="86" t="s">
        <v>2084</v>
      </c>
      <c r="AH630" s="81" t="b">
        <v>0</v>
      </c>
      <c r="AI630" s="81" t="s">
        <v>2168</v>
      </c>
      <c r="AJ630" s="81"/>
      <c r="AK630" s="86" t="s">
        <v>2084</v>
      </c>
      <c r="AL630" s="81" t="b">
        <v>0</v>
      </c>
      <c r="AM630" s="81">
        <v>9</v>
      </c>
      <c r="AN630" s="86" t="s">
        <v>1806</v>
      </c>
      <c r="AO630" s="86" t="s">
        <v>2178</v>
      </c>
      <c r="AP630" s="81" t="b">
        <v>0</v>
      </c>
      <c r="AQ630" s="86" t="s">
        <v>1806</v>
      </c>
      <c r="AR630" s="81" t="s">
        <v>179</v>
      </c>
      <c r="AS630" s="81">
        <v>0</v>
      </c>
      <c r="AT630" s="81">
        <v>0</v>
      </c>
      <c r="AU630" s="81"/>
      <c r="AV630" s="81"/>
      <c r="AW630" s="81"/>
      <c r="AX630" s="81"/>
      <c r="AY630" s="81"/>
      <c r="AZ630" s="81"/>
      <c r="BA630" s="81"/>
      <c r="BB630" s="81"/>
    </row>
    <row r="631" spans="1:54" x14ac:dyDescent="0.35">
      <c r="A631" s="66" t="s">
        <v>4414</v>
      </c>
      <c r="B631" s="66" t="s">
        <v>5075</v>
      </c>
      <c r="C631" s="67"/>
      <c r="D631" s="68"/>
      <c r="E631" s="69"/>
      <c r="F631" s="70"/>
      <c r="G631" s="67"/>
      <c r="H631" s="71"/>
      <c r="I631" s="72"/>
      <c r="J631" s="72"/>
      <c r="K631" s="36"/>
      <c r="L631" s="79"/>
      <c r="M631" s="79"/>
      <c r="N631" s="74"/>
      <c r="O631" s="81" t="s">
        <v>696</v>
      </c>
      <c r="P631" s="83">
        <v>44463.613217592596</v>
      </c>
      <c r="Q631" s="81" t="s">
        <v>5422</v>
      </c>
      <c r="R631" s="84" t="str">
        <f>HYPERLINK("https://www.vaticannews.va/pt/papa/news/2020-02/querida-amazonia-exortacao-papa-francisco-pos-sinodal.html")</f>
        <v>https://www.vaticannews.va/pt/papa/news/2020-02/querida-amazonia-exortacao-papa-francisco-pos-sinodal.html</v>
      </c>
      <c r="S631" s="81" t="s">
        <v>5725</v>
      </c>
      <c r="T631" s="81"/>
      <c r="U631" s="81"/>
      <c r="V631" s="84" t="str">
        <f>HYPERLINK("https://pbs.twimg.com/profile_images/1223085844673761280/y-IeOUhY_normal.jpg")</f>
        <v>https://pbs.twimg.com/profile_images/1223085844673761280/y-IeOUhY_normal.jpg</v>
      </c>
      <c r="W631" s="83">
        <v>44463.613217592596</v>
      </c>
      <c r="X631" s="89">
        <v>44463</v>
      </c>
      <c r="Y631" s="86" t="s">
        <v>6051</v>
      </c>
      <c r="Z631" s="84" t="str">
        <f>HYPERLINK("https://twitter.com/voliaalmeida/status/1441412867203297287")</f>
        <v>https://twitter.com/voliaalmeida/status/1441412867203297287</v>
      </c>
      <c r="AA631" s="81"/>
      <c r="AB631" s="81"/>
      <c r="AC631" s="86" t="s">
        <v>6954</v>
      </c>
      <c r="AD631" s="86" t="s">
        <v>7675</v>
      </c>
      <c r="AE631" s="81" t="b">
        <v>0</v>
      </c>
      <c r="AF631" s="81">
        <v>0</v>
      </c>
      <c r="AG631" s="86" t="s">
        <v>7855</v>
      </c>
      <c r="AH631" s="81" t="b">
        <v>0</v>
      </c>
      <c r="AI631" s="81" t="s">
        <v>2171</v>
      </c>
      <c r="AJ631" s="81"/>
      <c r="AK631" s="86" t="s">
        <v>2084</v>
      </c>
      <c r="AL631" s="81" t="b">
        <v>0</v>
      </c>
      <c r="AM631" s="81">
        <v>0</v>
      </c>
      <c r="AN631" s="86" t="s">
        <v>2084</v>
      </c>
      <c r="AO631" s="86" t="s">
        <v>2179</v>
      </c>
      <c r="AP631" s="81" t="b">
        <v>0</v>
      </c>
      <c r="AQ631" s="86" t="s">
        <v>7675</v>
      </c>
      <c r="AR631" s="81" t="s">
        <v>179</v>
      </c>
      <c r="AS631" s="81">
        <v>0</v>
      </c>
      <c r="AT631" s="81">
        <v>0</v>
      </c>
      <c r="AU631" s="81"/>
      <c r="AV631" s="81"/>
      <c r="AW631" s="81"/>
      <c r="AX631" s="81"/>
      <c r="AY631" s="81"/>
      <c r="AZ631" s="81"/>
      <c r="BA631" s="81"/>
      <c r="BB631" s="81"/>
    </row>
    <row r="632" spans="1:54" x14ac:dyDescent="0.35">
      <c r="A632" s="66" t="s">
        <v>4414</v>
      </c>
      <c r="B632" s="66" t="s">
        <v>5076</v>
      </c>
      <c r="C632" s="67"/>
      <c r="D632" s="68"/>
      <c r="E632" s="69"/>
      <c r="F632" s="70"/>
      <c r="G632" s="67"/>
      <c r="H632" s="71"/>
      <c r="I632" s="72"/>
      <c r="J632" s="72"/>
      <c r="K632" s="36"/>
      <c r="L632" s="79"/>
      <c r="M632" s="79"/>
      <c r="N632" s="74"/>
      <c r="O632" s="81" t="s">
        <v>696</v>
      </c>
      <c r="P632" s="83">
        <v>44463.613217592596</v>
      </c>
      <c r="Q632" s="81" t="s">
        <v>5422</v>
      </c>
      <c r="R632" s="84" t="str">
        <f>HYPERLINK("https://www.vaticannews.va/pt/papa/news/2020-02/querida-amazonia-exortacao-papa-francisco-pos-sinodal.html")</f>
        <v>https://www.vaticannews.va/pt/papa/news/2020-02/querida-amazonia-exortacao-papa-francisco-pos-sinodal.html</v>
      </c>
      <c r="S632" s="81" t="s">
        <v>5725</v>
      </c>
      <c r="T632" s="81"/>
      <c r="U632" s="81"/>
      <c r="V632" s="84" t="str">
        <f>HYPERLINK("https://pbs.twimg.com/profile_images/1223085844673761280/y-IeOUhY_normal.jpg")</f>
        <v>https://pbs.twimg.com/profile_images/1223085844673761280/y-IeOUhY_normal.jpg</v>
      </c>
      <c r="W632" s="83">
        <v>44463.613217592596</v>
      </c>
      <c r="X632" s="89">
        <v>44463</v>
      </c>
      <c r="Y632" s="86" t="s">
        <v>6051</v>
      </c>
      <c r="Z632" s="84" t="str">
        <f>HYPERLINK("https://twitter.com/voliaalmeida/status/1441412867203297287")</f>
        <v>https://twitter.com/voliaalmeida/status/1441412867203297287</v>
      </c>
      <c r="AA632" s="81"/>
      <c r="AB632" s="81"/>
      <c r="AC632" s="86" t="s">
        <v>6954</v>
      </c>
      <c r="AD632" s="86" t="s">
        <v>7675</v>
      </c>
      <c r="AE632" s="81" t="b">
        <v>0</v>
      </c>
      <c r="AF632" s="81">
        <v>0</v>
      </c>
      <c r="AG632" s="86" t="s">
        <v>7855</v>
      </c>
      <c r="AH632" s="81" t="b">
        <v>0</v>
      </c>
      <c r="AI632" s="81" t="s">
        <v>2171</v>
      </c>
      <c r="AJ632" s="81"/>
      <c r="AK632" s="86" t="s">
        <v>2084</v>
      </c>
      <c r="AL632" s="81" t="b">
        <v>0</v>
      </c>
      <c r="AM632" s="81">
        <v>0</v>
      </c>
      <c r="AN632" s="86" t="s">
        <v>2084</v>
      </c>
      <c r="AO632" s="86" t="s">
        <v>2179</v>
      </c>
      <c r="AP632" s="81" t="b">
        <v>0</v>
      </c>
      <c r="AQ632" s="86" t="s">
        <v>7675</v>
      </c>
      <c r="AR632" s="81" t="s">
        <v>179</v>
      </c>
      <c r="AS632" s="81">
        <v>0</v>
      </c>
      <c r="AT632" s="81">
        <v>0</v>
      </c>
      <c r="AU632" s="81"/>
      <c r="AV632" s="81"/>
      <c r="AW632" s="81"/>
      <c r="AX632" s="81"/>
      <c r="AY632" s="81"/>
      <c r="AZ632" s="81"/>
      <c r="BA632" s="81"/>
      <c r="BB632" s="81"/>
    </row>
    <row r="633" spans="1:54" x14ac:dyDescent="0.35">
      <c r="A633" s="66" t="s">
        <v>4414</v>
      </c>
      <c r="B633" s="66" t="s">
        <v>5077</v>
      </c>
      <c r="C633" s="67"/>
      <c r="D633" s="68"/>
      <c r="E633" s="69"/>
      <c r="F633" s="70"/>
      <c r="G633" s="67"/>
      <c r="H633" s="71"/>
      <c r="I633" s="72"/>
      <c r="J633" s="72"/>
      <c r="K633" s="36"/>
      <c r="L633" s="79"/>
      <c r="M633" s="79"/>
      <c r="N633" s="74"/>
      <c r="O633" s="81" t="s">
        <v>695</v>
      </c>
      <c r="P633" s="83">
        <v>44463.613217592596</v>
      </c>
      <c r="Q633" s="81" t="s">
        <v>5422</v>
      </c>
      <c r="R633" s="84" t="str">
        <f>HYPERLINK("https://www.vaticannews.va/pt/papa/news/2020-02/querida-amazonia-exortacao-papa-francisco-pos-sinodal.html")</f>
        <v>https://www.vaticannews.va/pt/papa/news/2020-02/querida-amazonia-exortacao-papa-francisco-pos-sinodal.html</v>
      </c>
      <c r="S633" s="81" t="s">
        <v>5725</v>
      </c>
      <c r="T633" s="81"/>
      <c r="U633" s="81"/>
      <c r="V633" s="84" t="str">
        <f>HYPERLINK("https://pbs.twimg.com/profile_images/1223085844673761280/y-IeOUhY_normal.jpg")</f>
        <v>https://pbs.twimg.com/profile_images/1223085844673761280/y-IeOUhY_normal.jpg</v>
      </c>
      <c r="W633" s="83">
        <v>44463.613217592596</v>
      </c>
      <c r="X633" s="89">
        <v>44463</v>
      </c>
      <c r="Y633" s="86" t="s">
        <v>6051</v>
      </c>
      <c r="Z633" s="84" t="str">
        <f>HYPERLINK("https://twitter.com/voliaalmeida/status/1441412867203297287")</f>
        <v>https://twitter.com/voliaalmeida/status/1441412867203297287</v>
      </c>
      <c r="AA633" s="81"/>
      <c r="AB633" s="81"/>
      <c r="AC633" s="86" t="s">
        <v>6954</v>
      </c>
      <c r="AD633" s="86" t="s">
        <v>7675</v>
      </c>
      <c r="AE633" s="81" t="b">
        <v>0</v>
      </c>
      <c r="AF633" s="81">
        <v>0</v>
      </c>
      <c r="AG633" s="86" t="s">
        <v>7855</v>
      </c>
      <c r="AH633" s="81" t="b">
        <v>0</v>
      </c>
      <c r="AI633" s="81" t="s">
        <v>2171</v>
      </c>
      <c r="AJ633" s="81"/>
      <c r="AK633" s="86" t="s">
        <v>2084</v>
      </c>
      <c r="AL633" s="81" t="b">
        <v>0</v>
      </c>
      <c r="AM633" s="81">
        <v>0</v>
      </c>
      <c r="AN633" s="86" t="s">
        <v>2084</v>
      </c>
      <c r="AO633" s="86" t="s">
        <v>2179</v>
      </c>
      <c r="AP633" s="81" t="b">
        <v>0</v>
      </c>
      <c r="AQ633" s="86" t="s">
        <v>7675</v>
      </c>
      <c r="AR633" s="81" t="s">
        <v>179</v>
      </c>
      <c r="AS633" s="81">
        <v>0</v>
      </c>
      <c r="AT633" s="81">
        <v>0</v>
      </c>
      <c r="AU633" s="81"/>
      <c r="AV633" s="81"/>
      <c r="AW633" s="81"/>
      <c r="AX633" s="81"/>
      <c r="AY633" s="81"/>
      <c r="AZ633" s="81"/>
      <c r="BA633" s="81"/>
      <c r="BB633" s="81"/>
    </row>
    <row r="634" spans="1:54" x14ac:dyDescent="0.35">
      <c r="A634" s="66" t="s">
        <v>411</v>
      </c>
      <c r="B634" s="66" t="s">
        <v>415</v>
      </c>
      <c r="C634" s="67"/>
      <c r="D634" s="68"/>
      <c r="E634" s="69"/>
      <c r="F634" s="70"/>
      <c r="G634" s="67"/>
      <c r="H634" s="71"/>
      <c r="I634" s="72"/>
      <c r="J634" s="72"/>
      <c r="K634" s="36"/>
      <c r="L634" s="79"/>
      <c r="M634" s="79"/>
      <c r="N634" s="74"/>
      <c r="O634" s="81" t="s">
        <v>693</v>
      </c>
      <c r="P634" s="83">
        <v>44463.617604166669</v>
      </c>
      <c r="Q634" s="81" t="s">
        <v>796</v>
      </c>
      <c r="R634" s="81"/>
      <c r="S634" s="81"/>
      <c r="T634" s="86" t="s">
        <v>414</v>
      </c>
      <c r="U634" s="84" t="str">
        <f>HYPERLINK("https://pbs.twimg.com/media/FADr0CKUUAkUzTj.jpg")</f>
        <v>https://pbs.twimg.com/media/FADr0CKUUAkUzTj.jpg</v>
      </c>
      <c r="V634" s="84" t="str">
        <f>HYPERLINK("https://pbs.twimg.com/media/FADr0CKUUAkUzTj.jpg")</f>
        <v>https://pbs.twimg.com/media/FADr0CKUUAkUzTj.jpg</v>
      </c>
      <c r="W634" s="83">
        <v>44463.617604166669</v>
      </c>
      <c r="X634" s="89">
        <v>44463</v>
      </c>
      <c r="Y634" s="86" t="s">
        <v>1240</v>
      </c>
      <c r="Z634" s="84" t="str">
        <f>HYPERLINK("https://twitter.com/cthe0luvr/status/1441414457331093517")</f>
        <v>https://twitter.com/cthe0luvr/status/1441414457331093517</v>
      </c>
      <c r="AA634" s="81"/>
      <c r="AB634" s="81"/>
      <c r="AC634" s="86" t="s">
        <v>1736</v>
      </c>
      <c r="AD634" s="81"/>
      <c r="AE634" s="81" t="b">
        <v>0</v>
      </c>
      <c r="AF634" s="81">
        <v>0</v>
      </c>
      <c r="AG634" s="86" t="s">
        <v>2084</v>
      </c>
      <c r="AH634" s="81" t="b">
        <v>0</v>
      </c>
      <c r="AI634" s="81" t="s">
        <v>2168</v>
      </c>
      <c r="AJ634" s="81"/>
      <c r="AK634" s="86" t="s">
        <v>2084</v>
      </c>
      <c r="AL634" s="81" t="b">
        <v>0</v>
      </c>
      <c r="AM634" s="81">
        <v>2</v>
      </c>
      <c r="AN634" s="86" t="s">
        <v>1743</v>
      </c>
      <c r="AO634" s="86" t="s">
        <v>2178</v>
      </c>
      <c r="AP634" s="81" t="b">
        <v>0</v>
      </c>
      <c r="AQ634" s="86" t="s">
        <v>1743</v>
      </c>
      <c r="AR634" s="81" t="s">
        <v>179</v>
      </c>
      <c r="AS634" s="81">
        <v>0</v>
      </c>
      <c r="AT634" s="81">
        <v>0</v>
      </c>
      <c r="AU634" s="81"/>
      <c r="AV634" s="81"/>
      <c r="AW634" s="81"/>
      <c r="AX634" s="81"/>
      <c r="AY634" s="81"/>
      <c r="AZ634" s="81"/>
      <c r="BA634" s="81"/>
      <c r="BB634" s="81"/>
    </row>
    <row r="635" spans="1:54" x14ac:dyDescent="0.35">
      <c r="A635" s="66" t="s">
        <v>412</v>
      </c>
      <c r="B635" s="66" t="s">
        <v>412</v>
      </c>
      <c r="C635" s="67"/>
      <c r="D635" s="68"/>
      <c r="E635" s="69"/>
      <c r="F635" s="70"/>
      <c r="G635" s="67"/>
      <c r="H635" s="71"/>
      <c r="I635" s="72"/>
      <c r="J635" s="72"/>
      <c r="K635" s="36"/>
      <c r="L635" s="79"/>
      <c r="M635" s="79"/>
      <c r="N635" s="74"/>
      <c r="O635" s="81" t="s">
        <v>179</v>
      </c>
      <c r="P635" s="83">
        <v>44463.615405092591</v>
      </c>
      <c r="Q635" s="81" t="s">
        <v>797</v>
      </c>
      <c r="R635" s="81"/>
      <c r="S635" s="81"/>
      <c r="T635" s="81"/>
      <c r="U635" s="81"/>
      <c r="V635" s="84" t="str">
        <f>HYPERLINK("https://pbs.twimg.com/profile_images/1439437047396282374/mcFO4rGG_normal.jpg")</f>
        <v>https://pbs.twimg.com/profile_images/1439437047396282374/mcFO4rGG_normal.jpg</v>
      </c>
      <c r="W635" s="83">
        <v>44463.615405092591</v>
      </c>
      <c r="X635" s="89">
        <v>44463</v>
      </c>
      <c r="Y635" s="86" t="s">
        <v>1241</v>
      </c>
      <c r="Z635" s="84" t="str">
        <f>HYPERLINK("https://twitter.com/briankhis/status/1441413661726162945")</f>
        <v>https://twitter.com/briankhis/status/1441413661726162945</v>
      </c>
      <c r="AA635" s="81"/>
      <c r="AB635" s="81"/>
      <c r="AC635" s="86" t="s">
        <v>1737</v>
      </c>
      <c r="AD635" s="81"/>
      <c r="AE635" s="81" t="b">
        <v>0</v>
      </c>
      <c r="AF635" s="81">
        <v>0</v>
      </c>
      <c r="AG635" s="86" t="s">
        <v>2084</v>
      </c>
      <c r="AH635" s="81" t="b">
        <v>0</v>
      </c>
      <c r="AI635" s="81" t="s">
        <v>2167</v>
      </c>
      <c r="AJ635" s="81"/>
      <c r="AK635" s="86" t="s">
        <v>2084</v>
      </c>
      <c r="AL635" s="81" t="b">
        <v>0</v>
      </c>
      <c r="AM635" s="81">
        <v>0</v>
      </c>
      <c r="AN635" s="86" t="s">
        <v>2084</v>
      </c>
      <c r="AO635" s="86" t="s">
        <v>2178</v>
      </c>
      <c r="AP635" s="81" t="b">
        <v>0</v>
      </c>
      <c r="AQ635" s="86" t="s">
        <v>1737</v>
      </c>
      <c r="AR635" s="81" t="s">
        <v>179</v>
      </c>
      <c r="AS635" s="81">
        <v>0</v>
      </c>
      <c r="AT635" s="81">
        <v>0</v>
      </c>
      <c r="AU635" s="81"/>
      <c r="AV635" s="81"/>
      <c r="AW635" s="81"/>
      <c r="AX635" s="81"/>
      <c r="AY635" s="81"/>
      <c r="AZ635" s="81"/>
      <c r="BA635" s="81"/>
      <c r="BB635" s="81"/>
    </row>
    <row r="636" spans="1:54" x14ac:dyDescent="0.35">
      <c r="A636" s="66" t="s">
        <v>413</v>
      </c>
      <c r="B636" s="66" t="s">
        <v>412</v>
      </c>
      <c r="C636" s="67"/>
      <c r="D636" s="68"/>
      <c r="E636" s="69"/>
      <c r="F636" s="70"/>
      <c r="G636" s="67"/>
      <c r="H636" s="71"/>
      <c r="I636" s="72"/>
      <c r="J636" s="72"/>
      <c r="K636" s="36"/>
      <c r="L636" s="79"/>
      <c r="M636" s="79"/>
      <c r="N636" s="74"/>
      <c r="O636" s="81" t="s">
        <v>695</v>
      </c>
      <c r="P636" s="83">
        <v>44463.618055555555</v>
      </c>
      <c r="Q636" s="81" t="s">
        <v>798</v>
      </c>
      <c r="R636" s="81"/>
      <c r="S636" s="81"/>
      <c r="T636" s="81"/>
      <c r="U636" s="81"/>
      <c r="V636" s="84" t="str">
        <f>HYPERLINK("https://pbs.twimg.com/profile_images/1436728340748980228/BbUga0Sv_normal.jpg")</f>
        <v>https://pbs.twimg.com/profile_images/1436728340748980228/BbUga0Sv_normal.jpg</v>
      </c>
      <c r="W636" s="83">
        <v>44463.618055555555</v>
      </c>
      <c r="X636" s="89">
        <v>44463</v>
      </c>
      <c r="Y636" s="86" t="s">
        <v>1242</v>
      </c>
      <c r="Z636" s="84" t="str">
        <f>HYPERLINK("https://twitter.com/ainthesame/status/1441414622536298512")</f>
        <v>https://twitter.com/ainthesame/status/1441414622536298512</v>
      </c>
      <c r="AA636" s="81"/>
      <c r="AB636" s="81"/>
      <c r="AC636" s="86" t="s">
        <v>1738</v>
      </c>
      <c r="AD636" s="86" t="s">
        <v>2037</v>
      </c>
      <c r="AE636" s="81" t="b">
        <v>0</v>
      </c>
      <c r="AF636" s="81">
        <v>0</v>
      </c>
      <c r="AG636" s="86" t="s">
        <v>2121</v>
      </c>
      <c r="AH636" s="81" t="b">
        <v>0</v>
      </c>
      <c r="AI636" s="81" t="s">
        <v>2167</v>
      </c>
      <c r="AJ636" s="81"/>
      <c r="AK636" s="86" t="s">
        <v>2084</v>
      </c>
      <c r="AL636" s="81" t="b">
        <v>0</v>
      </c>
      <c r="AM636" s="81">
        <v>0</v>
      </c>
      <c r="AN636" s="86" t="s">
        <v>2084</v>
      </c>
      <c r="AO636" s="86" t="s">
        <v>2178</v>
      </c>
      <c r="AP636" s="81" t="b">
        <v>0</v>
      </c>
      <c r="AQ636" s="86" t="s">
        <v>2037</v>
      </c>
      <c r="AR636" s="81" t="s">
        <v>179</v>
      </c>
      <c r="AS636" s="81">
        <v>0</v>
      </c>
      <c r="AT636" s="81">
        <v>0</v>
      </c>
      <c r="AU636" s="81"/>
      <c r="AV636" s="81"/>
      <c r="AW636" s="81"/>
      <c r="AX636" s="81"/>
      <c r="AY636" s="81"/>
      <c r="AZ636" s="81"/>
      <c r="BA636" s="81"/>
      <c r="BB636" s="81"/>
    </row>
    <row r="637" spans="1:54" x14ac:dyDescent="0.35">
      <c r="A637" s="66" t="s">
        <v>4415</v>
      </c>
      <c r="B637" s="66" t="s">
        <v>4427</v>
      </c>
      <c r="C637" s="67"/>
      <c r="D637" s="68"/>
      <c r="E637" s="69"/>
      <c r="F637" s="70"/>
      <c r="G637" s="67"/>
      <c r="H637" s="71"/>
      <c r="I637" s="72"/>
      <c r="J637" s="72"/>
      <c r="K637" s="36"/>
      <c r="L637" s="79"/>
      <c r="M637" s="79"/>
      <c r="N637" s="74"/>
      <c r="O637" s="81" t="s">
        <v>693</v>
      </c>
      <c r="P637" s="83">
        <v>44463.621770833335</v>
      </c>
      <c r="Q637" s="81" t="s">
        <v>5421</v>
      </c>
      <c r="R637" s="81"/>
      <c r="S637" s="81"/>
      <c r="T637" s="86" t="s">
        <v>4412</v>
      </c>
      <c r="U637" s="84" t="str">
        <f>HYPERLINK("https://pbs.twimg.com/media/FACaZCoVUAU3zQe.jpg")</f>
        <v>https://pbs.twimg.com/media/FACaZCoVUAU3zQe.jpg</v>
      </c>
      <c r="V637" s="84" t="str">
        <f>HYPERLINK("https://pbs.twimg.com/media/FACaZCoVUAU3zQe.jpg")</f>
        <v>https://pbs.twimg.com/media/FACaZCoVUAU3zQe.jpg</v>
      </c>
      <c r="W637" s="83">
        <v>44463.621770833335</v>
      </c>
      <c r="X637" s="89">
        <v>44463</v>
      </c>
      <c r="Y637" s="86" t="s">
        <v>6052</v>
      </c>
      <c r="Z637" s="84" t="str">
        <f>HYPERLINK("https://twitter.com/ateezmall_my/status/1441415968995962880")</f>
        <v>https://twitter.com/ateezmall_my/status/1441415968995962880</v>
      </c>
      <c r="AA637" s="81"/>
      <c r="AB637" s="81"/>
      <c r="AC637" s="86" t="s">
        <v>6955</v>
      </c>
      <c r="AD637" s="81"/>
      <c r="AE637" s="81" t="b">
        <v>0</v>
      </c>
      <c r="AF637" s="81">
        <v>0</v>
      </c>
      <c r="AG637" s="86" t="s">
        <v>2084</v>
      </c>
      <c r="AH637" s="81" t="b">
        <v>0</v>
      </c>
      <c r="AI637" s="81" t="s">
        <v>2168</v>
      </c>
      <c r="AJ637" s="81"/>
      <c r="AK637" s="86" t="s">
        <v>2084</v>
      </c>
      <c r="AL637" s="81" t="b">
        <v>0</v>
      </c>
      <c r="AM637" s="81">
        <v>6</v>
      </c>
      <c r="AN637" s="86" t="s">
        <v>6968</v>
      </c>
      <c r="AO637" s="86" t="s">
        <v>2178</v>
      </c>
      <c r="AP637" s="81" t="b">
        <v>0</v>
      </c>
      <c r="AQ637" s="86" t="s">
        <v>6968</v>
      </c>
      <c r="AR637" s="81" t="s">
        <v>179</v>
      </c>
      <c r="AS637" s="81">
        <v>0</v>
      </c>
      <c r="AT637" s="81">
        <v>0</v>
      </c>
      <c r="AU637" s="81"/>
      <c r="AV637" s="81"/>
      <c r="AW637" s="81"/>
      <c r="AX637" s="81"/>
      <c r="AY637" s="81"/>
      <c r="AZ637" s="81"/>
      <c r="BA637" s="81"/>
      <c r="BB637" s="81"/>
    </row>
    <row r="638" spans="1:54" x14ac:dyDescent="0.35">
      <c r="A638" s="66" t="s">
        <v>4416</v>
      </c>
      <c r="B638" s="66" t="s">
        <v>4427</v>
      </c>
      <c r="C638" s="67"/>
      <c r="D638" s="68"/>
      <c r="E638" s="69"/>
      <c r="F638" s="70"/>
      <c r="G638" s="67"/>
      <c r="H638" s="71"/>
      <c r="I638" s="72"/>
      <c r="J638" s="72"/>
      <c r="K638" s="36"/>
      <c r="L638" s="79"/>
      <c r="M638" s="79"/>
      <c r="N638" s="74"/>
      <c r="O638" s="81" t="s">
        <v>693</v>
      </c>
      <c r="P638" s="83">
        <v>44463.622870370367</v>
      </c>
      <c r="Q638" s="81" t="s">
        <v>5421</v>
      </c>
      <c r="R638" s="81"/>
      <c r="S638" s="81"/>
      <c r="T638" s="86" t="s">
        <v>4412</v>
      </c>
      <c r="U638" s="84" t="str">
        <f>HYPERLINK("https://pbs.twimg.com/media/FACaZCoVUAU3zQe.jpg")</f>
        <v>https://pbs.twimg.com/media/FACaZCoVUAU3zQe.jpg</v>
      </c>
      <c r="V638" s="84" t="str">
        <f>HYPERLINK("https://pbs.twimg.com/media/FACaZCoVUAU3zQe.jpg")</f>
        <v>https://pbs.twimg.com/media/FACaZCoVUAU3zQe.jpg</v>
      </c>
      <c r="W638" s="83">
        <v>44463.622870370367</v>
      </c>
      <c r="X638" s="89">
        <v>44463</v>
      </c>
      <c r="Y638" s="86" t="s">
        <v>6053</v>
      </c>
      <c r="Z638" s="84" t="str">
        <f>HYPERLINK("https://twitter.com/ateezselling_my/status/1441416364246265869")</f>
        <v>https://twitter.com/ateezselling_my/status/1441416364246265869</v>
      </c>
      <c r="AA638" s="81"/>
      <c r="AB638" s="81"/>
      <c r="AC638" s="86" t="s">
        <v>6956</v>
      </c>
      <c r="AD638" s="81"/>
      <c r="AE638" s="81" t="b">
        <v>0</v>
      </c>
      <c r="AF638" s="81">
        <v>0</v>
      </c>
      <c r="AG638" s="86" t="s">
        <v>2084</v>
      </c>
      <c r="AH638" s="81" t="b">
        <v>0</v>
      </c>
      <c r="AI638" s="81" t="s">
        <v>2168</v>
      </c>
      <c r="AJ638" s="81"/>
      <c r="AK638" s="86" t="s">
        <v>2084</v>
      </c>
      <c r="AL638" s="81" t="b">
        <v>0</v>
      </c>
      <c r="AM638" s="81">
        <v>6</v>
      </c>
      <c r="AN638" s="86" t="s">
        <v>6968</v>
      </c>
      <c r="AO638" s="86" t="s">
        <v>2178</v>
      </c>
      <c r="AP638" s="81" t="b">
        <v>0</v>
      </c>
      <c r="AQ638" s="86" t="s">
        <v>6968</v>
      </c>
      <c r="AR638" s="81" t="s">
        <v>179</v>
      </c>
      <c r="AS638" s="81">
        <v>0</v>
      </c>
      <c r="AT638" s="81">
        <v>0</v>
      </c>
      <c r="AU638" s="81"/>
      <c r="AV638" s="81"/>
      <c r="AW638" s="81"/>
      <c r="AX638" s="81"/>
      <c r="AY638" s="81"/>
      <c r="AZ638" s="81"/>
      <c r="BA638" s="81"/>
      <c r="BB638" s="81"/>
    </row>
    <row r="639" spans="1:54" x14ac:dyDescent="0.35">
      <c r="A639" s="66" t="s">
        <v>4417</v>
      </c>
      <c r="B639" s="66" t="s">
        <v>5035</v>
      </c>
      <c r="C639" s="67"/>
      <c r="D639" s="68"/>
      <c r="E639" s="69"/>
      <c r="F639" s="70"/>
      <c r="G639" s="67"/>
      <c r="H639" s="71"/>
      <c r="I639" s="72"/>
      <c r="J639" s="72"/>
      <c r="K639" s="36"/>
      <c r="L639" s="79"/>
      <c r="M639" s="79"/>
      <c r="N639" s="74"/>
      <c r="O639" s="81" t="s">
        <v>694</v>
      </c>
      <c r="P639" s="83">
        <v>44463.62572916667</v>
      </c>
      <c r="Q639" s="81" t="s">
        <v>5423</v>
      </c>
      <c r="R639" s="81"/>
      <c r="S639" s="81"/>
      <c r="T639" s="81"/>
      <c r="U639" s="81"/>
      <c r="V639" s="84" t="str">
        <f>HYPERLINK("https://pbs.twimg.com/profile_images/378800000214509608/4338c4399f3922c4855c9c376c3467df_normal.jpeg")</f>
        <v>https://pbs.twimg.com/profile_images/378800000214509608/4338c4399f3922c4855c9c376c3467df_normal.jpeg</v>
      </c>
      <c r="W639" s="83">
        <v>44463.62572916667</v>
      </c>
      <c r="X639" s="89">
        <v>44463</v>
      </c>
      <c r="Y639" s="86" t="s">
        <v>6054</v>
      </c>
      <c r="Z639" s="84" t="str">
        <f>HYPERLINK("https://twitter.com/santosdomansa/status/1441417401493512194")</f>
        <v>https://twitter.com/santosdomansa/status/1441417401493512194</v>
      </c>
      <c r="AA639" s="81"/>
      <c r="AB639" s="81"/>
      <c r="AC639" s="86" t="s">
        <v>6957</v>
      </c>
      <c r="AD639" s="81"/>
      <c r="AE639" s="81" t="b">
        <v>0</v>
      </c>
      <c r="AF639" s="81">
        <v>0</v>
      </c>
      <c r="AG639" s="86" t="s">
        <v>2084</v>
      </c>
      <c r="AH639" s="81" t="b">
        <v>0</v>
      </c>
      <c r="AI639" s="81" t="s">
        <v>2171</v>
      </c>
      <c r="AJ639" s="81"/>
      <c r="AK639" s="86" t="s">
        <v>2084</v>
      </c>
      <c r="AL639" s="81" t="b">
        <v>0</v>
      </c>
      <c r="AM639" s="81">
        <v>2</v>
      </c>
      <c r="AN639" s="86" t="s">
        <v>7051</v>
      </c>
      <c r="AO639" s="86" t="s">
        <v>2181</v>
      </c>
      <c r="AP639" s="81" t="b">
        <v>0</v>
      </c>
      <c r="AQ639" s="86" t="s">
        <v>7051</v>
      </c>
      <c r="AR639" s="81" t="s">
        <v>179</v>
      </c>
      <c r="AS639" s="81">
        <v>0</v>
      </c>
      <c r="AT639" s="81">
        <v>0</v>
      </c>
      <c r="AU639" s="81"/>
      <c r="AV639" s="81"/>
      <c r="AW639" s="81"/>
      <c r="AX639" s="81"/>
      <c r="AY639" s="81"/>
      <c r="AZ639" s="81"/>
      <c r="BA639" s="81"/>
      <c r="BB639" s="81"/>
    </row>
    <row r="640" spans="1:54" x14ac:dyDescent="0.35">
      <c r="A640" s="66" t="s">
        <v>4417</v>
      </c>
      <c r="B640" s="66" t="s">
        <v>4499</v>
      </c>
      <c r="C640" s="67"/>
      <c r="D640" s="68"/>
      <c r="E640" s="69"/>
      <c r="F640" s="70"/>
      <c r="G640" s="67"/>
      <c r="H640" s="71"/>
      <c r="I640" s="72"/>
      <c r="J640" s="72"/>
      <c r="K640" s="36"/>
      <c r="L640" s="79"/>
      <c r="M640" s="79"/>
      <c r="N640" s="74"/>
      <c r="O640" s="81" t="s">
        <v>693</v>
      </c>
      <c r="P640" s="83">
        <v>44463.62572916667</v>
      </c>
      <c r="Q640" s="81" t="s">
        <v>5423</v>
      </c>
      <c r="R640" s="81"/>
      <c r="S640" s="81"/>
      <c r="T640" s="81"/>
      <c r="U640" s="81"/>
      <c r="V640" s="84" t="str">
        <f>HYPERLINK("https://pbs.twimg.com/profile_images/378800000214509608/4338c4399f3922c4855c9c376c3467df_normal.jpeg")</f>
        <v>https://pbs.twimg.com/profile_images/378800000214509608/4338c4399f3922c4855c9c376c3467df_normal.jpeg</v>
      </c>
      <c r="W640" s="83">
        <v>44463.62572916667</v>
      </c>
      <c r="X640" s="89">
        <v>44463</v>
      </c>
      <c r="Y640" s="86" t="s">
        <v>6054</v>
      </c>
      <c r="Z640" s="84" t="str">
        <f>HYPERLINK("https://twitter.com/santosdomansa/status/1441417401493512194")</f>
        <v>https://twitter.com/santosdomansa/status/1441417401493512194</v>
      </c>
      <c r="AA640" s="81"/>
      <c r="AB640" s="81"/>
      <c r="AC640" s="86" t="s">
        <v>6957</v>
      </c>
      <c r="AD640" s="81"/>
      <c r="AE640" s="81" t="b">
        <v>0</v>
      </c>
      <c r="AF640" s="81">
        <v>0</v>
      </c>
      <c r="AG640" s="86" t="s">
        <v>2084</v>
      </c>
      <c r="AH640" s="81" t="b">
        <v>0</v>
      </c>
      <c r="AI640" s="81" t="s">
        <v>2171</v>
      </c>
      <c r="AJ640" s="81"/>
      <c r="AK640" s="86" t="s">
        <v>2084</v>
      </c>
      <c r="AL640" s="81" t="b">
        <v>0</v>
      </c>
      <c r="AM640" s="81">
        <v>2</v>
      </c>
      <c r="AN640" s="86" t="s">
        <v>7051</v>
      </c>
      <c r="AO640" s="86" t="s">
        <v>2181</v>
      </c>
      <c r="AP640" s="81" t="b">
        <v>0</v>
      </c>
      <c r="AQ640" s="86" t="s">
        <v>7051</v>
      </c>
      <c r="AR640" s="81" t="s">
        <v>179</v>
      </c>
      <c r="AS640" s="81">
        <v>0</v>
      </c>
      <c r="AT640" s="81">
        <v>0</v>
      </c>
      <c r="AU640" s="81"/>
      <c r="AV640" s="81"/>
      <c r="AW640" s="81"/>
      <c r="AX640" s="81"/>
      <c r="AY640" s="81"/>
      <c r="AZ640" s="81"/>
      <c r="BA640" s="81"/>
      <c r="BB640" s="81"/>
    </row>
    <row r="641" spans="1:54" x14ac:dyDescent="0.35">
      <c r="A641" s="66" t="s">
        <v>4417</v>
      </c>
      <c r="B641" s="66" t="s">
        <v>5078</v>
      </c>
      <c r="C641" s="67"/>
      <c r="D641" s="68"/>
      <c r="E641" s="69"/>
      <c r="F641" s="70"/>
      <c r="G641" s="67"/>
      <c r="H641" s="71"/>
      <c r="I641" s="72"/>
      <c r="J641" s="72"/>
      <c r="K641" s="36"/>
      <c r="L641" s="79"/>
      <c r="M641" s="79"/>
      <c r="N641" s="74"/>
      <c r="O641" s="81" t="s">
        <v>695</v>
      </c>
      <c r="P641" s="83">
        <v>44463.62572916667</v>
      </c>
      <c r="Q641" s="81" t="s">
        <v>5423</v>
      </c>
      <c r="R641" s="81"/>
      <c r="S641" s="81"/>
      <c r="T641" s="81"/>
      <c r="U641" s="81"/>
      <c r="V641" s="84" t="str">
        <f>HYPERLINK("https://pbs.twimg.com/profile_images/378800000214509608/4338c4399f3922c4855c9c376c3467df_normal.jpeg")</f>
        <v>https://pbs.twimg.com/profile_images/378800000214509608/4338c4399f3922c4855c9c376c3467df_normal.jpeg</v>
      </c>
      <c r="W641" s="83">
        <v>44463.62572916667</v>
      </c>
      <c r="X641" s="89">
        <v>44463</v>
      </c>
      <c r="Y641" s="86" t="s">
        <v>6054</v>
      </c>
      <c r="Z641" s="84" t="str">
        <f>HYPERLINK("https://twitter.com/santosdomansa/status/1441417401493512194")</f>
        <v>https://twitter.com/santosdomansa/status/1441417401493512194</v>
      </c>
      <c r="AA641" s="81"/>
      <c r="AB641" s="81"/>
      <c r="AC641" s="86" t="s">
        <v>6957</v>
      </c>
      <c r="AD641" s="81"/>
      <c r="AE641" s="81" t="b">
        <v>0</v>
      </c>
      <c r="AF641" s="81">
        <v>0</v>
      </c>
      <c r="AG641" s="86" t="s">
        <v>2084</v>
      </c>
      <c r="AH641" s="81" t="b">
        <v>0</v>
      </c>
      <c r="AI641" s="81" t="s">
        <v>2171</v>
      </c>
      <c r="AJ641" s="81"/>
      <c r="AK641" s="86" t="s">
        <v>2084</v>
      </c>
      <c r="AL641" s="81" t="b">
        <v>0</v>
      </c>
      <c r="AM641" s="81">
        <v>2</v>
      </c>
      <c r="AN641" s="86" t="s">
        <v>7051</v>
      </c>
      <c r="AO641" s="86" t="s">
        <v>2181</v>
      </c>
      <c r="AP641" s="81" t="b">
        <v>0</v>
      </c>
      <c r="AQ641" s="86" t="s">
        <v>7051</v>
      </c>
      <c r="AR641" s="81" t="s">
        <v>179</v>
      </c>
      <c r="AS641" s="81">
        <v>0</v>
      </c>
      <c r="AT641" s="81">
        <v>0</v>
      </c>
      <c r="AU641" s="81"/>
      <c r="AV641" s="81"/>
      <c r="AW641" s="81"/>
      <c r="AX641" s="81"/>
      <c r="AY641" s="81"/>
      <c r="AZ641" s="81"/>
      <c r="BA641" s="81"/>
      <c r="BB641" s="81"/>
    </row>
    <row r="642" spans="1:54" x14ac:dyDescent="0.35">
      <c r="A642" s="66" t="s">
        <v>4418</v>
      </c>
      <c r="B642" s="66" t="s">
        <v>4418</v>
      </c>
      <c r="C642" s="67"/>
      <c r="D642" s="68"/>
      <c r="E642" s="69"/>
      <c r="F642" s="70"/>
      <c r="G642" s="67"/>
      <c r="H642" s="71"/>
      <c r="I642" s="72"/>
      <c r="J642" s="72"/>
      <c r="K642" s="36"/>
      <c r="L642" s="79"/>
      <c r="M642" s="79"/>
      <c r="N642" s="74"/>
      <c r="O642" s="81" t="s">
        <v>179</v>
      </c>
      <c r="P642" s="83">
        <v>44463.632071759261</v>
      </c>
      <c r="Q642" s="81" t="s">
        <v>5424</v>
      </c>
      <c r="R642" s="84" t="str">
        <f>HYPERLINK("https://posdigital.pucpr.br/cursos/direito-4-0-direito-digital-protecao-de-dados-e-ciberseguranca?hsLang=pt-br&amp;__hstc=259654795.eda18b332eccc1d8ea784d4441a26d7e.1620414177546.1630771682486.1632496031713.21&amp;__hssc=259654795.3.1632496031713&amp;__hsfp=888697222")</f>
        <v>https://posdigital.pucpr.br/cursos/direito-4-0-direito-digital-protecao-de-dados-e-ciberseguranca?hsLang=pt-br&amp;__hstc=259654795.eda18b332eccc1d8ea784d4441a26d7e.1620414177546.1630771682486.1632496031713.21&amp;__hssc=259654795.3.1632496031713&amp;__hsfp=888697222</v>
      </c>
      <c r="S642" s="81" t="s">
        <v>5726</v>
      </c>
      <c r="T642" s="86" t="s">
        <v>5775</v>
      </c>
      <c r="U642" s="84" t="str">
        <f>HYPERLINK("https://pbs.twimg.com/media/FADzZEsXEAAe9sW.jpg")</f>
        <v>https://pbs.twimg.com/media/FADzZEsXEAAe9sW.jpg</v>
      </c>
      <c r="V642" s="84" t="str">
        <f>HYPERLINK("https://pbs.twimg.com/media/FADzZEsXEAAe9sW.jpg")</f>
        <v>https://pbs.twimg.com/media/FADzZEsXEAAe9sW.jpg</v>
      </c>
      <c r="W642" s="83">
        <v>44463.632071759261</v>
      </c>
      <c r="X642" s="89">
        <v>44463</v>
      </c>
      <c r="Y642" s="86" t="s">
        <v>6055</v>
      </c>
      <c r="Z642" s="84" t="str">
        <f>HYPERLINK("https://twitter.com/yuridiogenes/status/1441419698508156929")</f>
        <v>https://twitter.com/yuridiogenes/status/1441419698508156929</v>
      </c>
      <c r="AA642" s="81"/>
      <c r="AB642" s="81"/>
      <c r="AC642" s="86" t="s">
        <v>6958</v>
      </c>
      <c r="AD642" s="81"/>
      <c r="AE642" s="81" t="b">
        <v>0</v>
      </c>
      <c r="AF642" s="81">
        <v>1</v>
      </c>
      <c r="AG642" s="86" t="s">
        <v>2084</v>
      </c>
      <c r="AH642" s="81" t="b">
        <v>0</v>
      </c>
      <c r="AI642" s="81" t="s">
        <v>2171</v>
      </c>
      <c r="AJ642" s="81"/>
      <c r="AK642" s="86" t="s">
        <v>2084</v>
      </c>
      <c r="AL642" s="81" t="b">
        <v>0</v>
      </c>
      <c r="AM642" s="81">
        <v>0</v>
      </c>
      <c r="AN642" s="86" t="s">
        <v>2084</v>
      </c>
      <c r="AO642" s="86" t="s">
        <v>2181</v>
      </c>
      <c r="AP642" s="81" t="b">
        <v>0</v>
      </c>
      <c r="AQ642" s="86" t="s">
        <v>6958</v>
      </c>
      <c r="AR642" s="81" t="s">
        <v>179</v>
      </c>
      <c r="AS642" s="81">
        <v>0</v>
      </c>
      <c r="AT642" s="81">
        <v>0</v>
      </c>
      <c r="AU642" s="81"/>
      <c r="AV642" s="81"/>
      <c r="AW642" s="81"/>
      <c r="AX642" s="81"/>
      <c r="AY642" s="81"/>
      <c r="AZ642" s="81"/>
      <c r="BA642" s="81"/>
      <c r="BB642" s="81"/>
    </row>
    <row r="643" spans="1:54" x14ac:dyDescent="0.35">
      <c r="A643" s="66" t="s">
        <v>414</v>
      </c>
      <c r="B643" s="66" t="s">
        <v>415</v>
      </c>
      <c r="C643" s="67"/>
      <c r="D643" s="68"/>
      <c r="E643" s="69"/>
      <c r="F643" s="70"/>
      <c r="G643" s="67"/>
      <c r="H643" s="71"/>
      <c r="I643" s="72"/>
      <c r="J643" s="72"/>
      <c r="K643" s="36"/>
      <c r="L643" s="79"/>
      <c r="M643" s="79"/>
      <c r="N643" s="74"/>
      <c r="O643" s="81" t="s">
        <v>693</v>
      </c>
      <c r="P643" s="83">
        <v>44463.644629629627</v>
      </c>
      <c r="Q643" s="81" t="s">
        <v>796</v>
      </c>
      <c r="R643" s="81"/>
      <c r="S643" s="81"/>
      <c r="T643" s="86" t="s">
        <v>414</v>
      </c>
      <c r="U643" s="84" t="str">
        <f>HYPERLINK("https://pbs.twimg.com/media/FADr0CKUUAkUzTj.jpg")</f>
        <v>https://pbs.twimg.com/media/FADr0CKUUAkUzTj.jpg</v>
      </c>
      <c r="V643" s="84" t="str">
        <f>HYPERLINK("https://pbs.twimg.com/media/FADr0CKUUAkUzTj.jpg")</f>
        <v>https://pbs.twimg.com/media/FADr0CKUUAkUzTj.jpg</v>
      </c>
      <c r="W643" s="83">
        <v>44463.644629629627</v>
      </c>
      <c r="X643" s="89">
        <v>44463</v>
      </c>
      <c r="Y643" s="86" t="s">
        <v>1243</v>
      </c>
      <c r="Z643" s="84" t="str">
        <f>HYPERLINK("https://twitter.com/pasarpiwon/status/1441424251475546116")</f>
        <v>https://twitter.com/pasarpiwon/status/1441424251475546116</v>
      </c>
      <c r="AA643" s="81"/>
      <c r="AB643" s="81"/>
      <c r="AC643" s="86" t="s">
        <v>1739</v>
      </c>
      <c r="AD643" s="81"/>
      <c r="AE643" s="81" t="b">
        <v>0</v>
      </c>
      <c r="AF643" s="81">
        <v>0</v>
      </c>
      <c r="AG643" s="86" t="s">
        <v>2084</v>
      </c>
      <c r="AH643" s="81" t="b">
        <v>0</v>
      </c>
      <c r="AI643" s="81" t="s">
        <v>2168</v>
      </c>
      <c r="AJ643" s="81"/>
      <c r="AK643" s="86" t="s">
        <v>2084</v>
      </c>
      <c r="AL643" s="81" t="b">
        <v>0</v>
      </c>
      <c r="AM643" s="81">
        <v>2</v>
      </c>
      <c r="AN643" s="86" t="s">
        <v>1743</v>
      </c>
      <c r="AO643" s="86" t="s">
        <v>2179</v>
      </c>
      <c r="AP643" s="81" t="b">
        <v>0</v>
      </c>
      <c r="AQ643" s="86" t="s">
        <v>1743</v>
      </c>
      <c r="AR643" s="81" t="s">
        <v>179</v>
      </c>
      <c r="AS643" s="81">
        <v>0</v>
      </c>
      <c r="AT643" s="81">
        <v>0</v>
      </c>
      <c r="AU643" s="81"/>
      <c r="AV643" s="81"/>
      <c r="AW643" s="81"/>
      <c r="AX643" s="81"/>
      <c r="AY643" s="81"/>
      <c r="AZ643" s="81"/>
      <c r="BA643" s="81"/>
      <c r="BB643" s="81"/>
    </row>
    <row r="644" spans="1:54" x14ac:dyDescent="0.35">
      <c r="A644" s="66" t="s">
        <v>416</v>
      </c>
      <c r="B644" s="66" t="s">
        <v>415</v>
      </c>
      <c r="C644" s="67"/>
      <c r="D644" s="68"/>
      <c r="E644" s="69"/>
      <c r="F644" s="70"/>
      <c r="G644" s="67"/>
      <c r="H644" s="71"/>
      <c r="I644" s="72"/>
      <c r="J644" s="72"/>
      <c r="K644" s="36"/>
      <c r="L644" s="79"/>
      <c r="M644" s="79"/>
      <c r="N644" s="74"/>
      <c r="O644" s="81" t="s">
        <v>693</v>
      </c>
      <c r="P644" s="83">
        <v>44463.646574074075</v>
      </c>
      <c r="Q644" s="81" t="s">
        <v>784</v>
      </c>
      <c r="R644" s="81"/>
      <c r="S644" s="81"/>
      <c r="T644" s="86" t="s">
        <v>979</v>
      </c>
      <c r="U644" s="84" t="str">
        <f>HYPERLINK("https://pbs.twimg.com/media/FACFXSrVUAEcVQU.jpg")</f>
        <v>https://pbs.twimg.com/media/FACFXSrVUAEcVQU.jpg</v>
      </c>
      <c r="V644" s="84" t="str">
        <f>HYPERLINK("https://pbs.twimg.com/media/FACFXSrVUAEcVQU.jpg")</f>
        <v>https://pbs.twimg.com/media/FACFXSrVUAEcVQU.jpg</v>
      </c>
      <c r="W644" s="83">
        <v>44463.646574074075</v>
      </c>
      <c r="X644" s="89">
        <v>44463</v>
      </c>
      <c r="Y644" s="86" t="s">
        <v>1248</v>
      </c>
      <c r="Z644" s="84" t="str">
        <f>HYPERLINK("https://twitter.com/jeromechanhee/status/1441424954927370245")</f>
        <v>https://twitter.com/jeromechanhee/status/1441424954927370245</v>
      </c>
      <c r="AA644" s="81"/>
      <c r="AB644" s="81"/>
      <c r="AC644" s="86" t="s">
        <v>1744</v>
      </c>
      <c r="AD644" s="81"/>
      <c r="AE644" s="81" t="b">
        <v>0</v>
      </c>
      <c r="AF644" s="81">
        <v>0</v>
      </c>
      <c r="AG644" s="86" t="s">
        <v>2084</v>
      </c>
      <c r="AH644" s="81" t="b">
        <v>0</v>
      </c>
      <c r="AI644" s="81" t="s">
        <v>2168</v>
      </c>
      <c r="AJ644" s="81"/>
      <c r="AK644" s="86" t="s">
        <v>2084</v>
      </c>
      <c r="AL644" s="81" t="b">
        <v>0</v>
      </c>
      <c r="AM644" s="81">
        <v>8</v>
      </c>
      <c r="AN644" s="86" t="s">
        <v>1741</v>
      </c>
      <c r="AO644" s="86" t="s">
        <v>2181</v>
      </c>
      <c r="AP644" s="81" t="b">
        <v>0</v>
      </c>
      <c r="AQ644" s="86" t="s">
        <v>1741</v>
      </c>
      <c r="AR644" s="81" t="s">
        <v>179</v>
      </c>
      <c r="AS644" s="81">
        <v>0</v>
      </c>
      <c r="AT644" s="81">
        <v>0</v>
      </c>
      <c r="AU644" s="81"/>
      <c r="AV644" s="81"/>
      <c r="AW644" s="81"/>
      <c r="AX644" s="81"/>
      <c r="AY644" s="81"/>
      <c r="AZ644" s="81"/>
      <c r="BA644" s="81"/>
      <c r="BB644" s="81"/>
    </row>
    <row r="645" spans="1:54" x14ac:dyDescent="0.35">
      <c r="A645" s="66" t="s">
        <v>4419</v>
      </c>
      <c r="B645" s="66" t="s">
        <v>5079</v>
      </c>
      <c r="C645" s="67"/>
      <c r="D645" s="68"/>
      <c r="E645" s="69"/>
      <c r="F645" s="70"/>
      <c r="G645" s="67"/>
      <c r="H645" s="71"/>
      <c r="I645" s="72"/>
      <c r="J645" s="72"/>
      <c r="K645" s="36"/>
      <c r="L645" s="79"/>
      <c r="M645" s="79"/>
      <c r="N645" s="74"/>
      <c r="O645" s="81" t="s">
        <v>695</v>
      </c>
      <c r="P645" s="83">
        <v>44463.647685185184</v>
      </c>
      <c r="Q645" s="81" t="s">
        <v>5425</v>
      </c>
      <c r="R645" s="81"/>
      <c r="S645" s="81"/>
      <c r="T645" s="81"/>
      <c r="U645" s="81"/>
      <c r="V645" s="84" t="str">
        <f>HYPERLINK("https://pbs.twimg.com/profile_images/1340698261737377793/7Xr3_kBA_normal.jpg")</f>
        <v>https://pbs.twimg.com/profile_images/1340698261737377793/7Xr3_kBA_normal.jpg</v>
      </c>
      <c r="W645" s="83">
        <v>44463.647685185184</v>
      </c>
      <c r="X645" s="89">
        <v>44463</v>
      </c>
      <c r="Y645" s="86" t="s">
        <v>6056</v>
      </c>
      <c r="Z645" s="84" t="str">
        <f>HYPERLINK("https://twitter.com/adadriano/status/1441425357245194245")</f>
        <v>https://twitter.com/adadriano/status/1441425357245194245</v>
      </c>
      <c r="AA645" s="81"/>
      <c r="AB645" s="81"/>
      <c r="AC645" s="86" t="s">
        <v>6959</v>
      </c>
      <c r="AD645" s="86" t="s">
        <v>7676</v>
      </c>
      <c r="AE645" s="81" t="b">
        <v>0</v>
      </c>
      <c r="AF645" s="81">
        <v>0</v>
      </c>
      <c r="AG645" s="86" t="s">
        <v>7856</v>
      </c>
      <c r="AH645" s="81" t="b">
        <v>0</v>
      </c>
      <c r="AI645" s="81" t="s">
        <v>2171</v>
      </c>
      <c r="AJ645" s="81"/>
      <c r="AK645" s="86" t="s">
        <v>2084</v>
      </c>
      <c r="AL645" s="81" t="b">
        <v>0</v>
      </c>
      <c r="AM645" s="81">
        <v>0</v>
      </c>
      <c r="AN645" s="86" t="s">
        <v>2084</v>
      </c>
      <c r="AO645" s="86" t="s">
        <v>2181</v>
      </c>
      <c r="AP645" s="81" t="b">
        <v>0</v>
      </c>
      <c r="AQ645" s="86" t="s">
        <v>7676</v>
      </c>
      <c r="AR645" s="81" t="s">
        <v>179</v>
      </c>
      <c r="AS645" s="81">
        <v>0</v>
      </c>
      <c r="AT645" s="81">
        <v>0</v>
      </c>
      <c r="AU645" s="81"/>
      <c r="AV645" s="81"/>
      <c r="AW645" s="81"/>
      <c r="AX645" s="81"/>
      <c r="AY645" s="81"/>
      <c r="AZ645" s="81"/>
      <c r="BA645" s="81"/>
      <c r="BB645" s="81"/>
    </row>
    <row r="646" spans="1:54" x14ac:dyDescent="0.35">
      <c r="A646" s="66" t="s">
        <v>4420</v>
      </c>
      <c r="B646" s="66" t="s">
        <v>4420</v>
      </c>
      <c r="C646" s="67"/>
      <c r="D646" s="68"/>
      <c r="E646" s="69"/>
      <c r="F646" s="70"/>
      <c r="G646" s="67"/>
      <c r="H646" s="71"/>
      <c r="I646" s="72"/>
      <c r="J646" s="72"/>
      <c r="K646" s="36"/>
      <c r="L646" s="79"/>
      <c r="M646" s="79"/>
      <c r="N646" s="74"/>
      <c r="O646" s="81" t="s">
        <v>179</v>
      </c>
      <c r="P646" s="83">
        <v>44463.662326388891</v>
      </c>
      <c r="Q646" s="81" t="s">
        <v>5426</v>
      </c>
      <c r="R646" s="84" t="str">
        <f>HYPERLINK("https://execed.iscte-iul.pt/pos-graduacao-em-gestao-e-marketing-do-desporto?utm_campaign=P%C3%B3s-Gradua%C3%A7%C3%B5es&amp;utm_content=181023343&amp;utm_medium=social&amp;utm_source=twitter&amp;hss_channel=tw-2677148557")</f>
        <v>https://execed.iscte-iul.pt/pos-graduacao-em-gestao-e-marketing-do-desporto?utm_campaign=P%C3%B3s-Gradua%C3%A7%C3%B5es&amp;utm_content=181023343&amp;utm_medium=social&amp;utm_source=twitter&amp;hss_channel=tw-2677148557</v>
      </c>
      <c r="S646" s="81" t="s">
        <v>5727</v>
      </c>
      <c r="T646" s="81"/>
      <c r="U646" s="84" t="str">
        <f>HYPERLINK("https://pbs.twimg.com/media/FAD9i7DVUAg3V1b.jpg")</f>
        <v>https://pbs.twimg.com/media/FAD9i7DVUAg3V1b.jpg</v>
      </c>
      <c r="V646" s="84" t="str">
        <f>HYPERLINK("https://pbs.twimg.com/media/FAD9i7DVUAg3V1b.jpg")</f>
        <v>https://pbs.twimg.com/media/FAD9i7DVUAg3V1b.jpg</v>
      </c>
      <c r="W646" s="83">
        <v>44463.662326388891</v>
      </c>
      <c r="X646" s="89">
        <v>44463</v>
      </c>
      <c r="Y646" s="86" t="s">
        <v>6057</v>
      </c>
      <c r="Z646" s="84" t="str">
        <f>HYPERLINK("https://twitter.com/iscte_execed/status/1441430664620871680")</f>
        <v>https://twitter.com/iscte_execed/status/1441430664620871680</v>
      </c>
      <c r="AA646" s="81"/>
      <c r="AB646" s="81"/>
      <c r="AC646" s="86" t="s">
        <v>6960</v>
      </c>
      <c r="AD646" s="81"/>
      <c r="AE646" s="81" t="b">
        <v>0</v>
      </c>
      <c r="AF646" s="81">
        <v>0</v>
      </c>
      <c r="AG646" s="86" t="s">
        <v>2084</v>
      </c>
      <c r="AH646" s="81" t="b">
        <v>0</v>
      </c>
      <c r="AI646" s="81" t="s">
        <v>2171</v>
      </c>
      <c r="AJ646" s="81"/>
      <c r="AK646" s="86" t="s">
        <v>2084</v>
      </c>
      <c r="AL646" s="81" t="b">
        <v>0</v>
      </c>
      <c r="AM646" s="81">
        <v>1</v>
      </c>
      <c r="AN646" s="86" t="s">
        <v>2084</v>
      </c>
      <c r="AO646" s="86" t="s">
        <v>7983</v>
      </c>
      <c r="AP646" s="81" t="b">
        <v>0</v>
      </c>
      <c r="AQ646" s="86" t="s">
        <v>6960</v>
      </c>
      <c r="AR646" s="81" t="s">
        <v>179</v>
      </c>
      <c r="AS646" s="81">
        <v>0</v>
      </c>
      <c r="AT646" s="81">
        <v>0</v>
      </c>
      <c r="AU646" s="81"/>
      <c r="AV646" s="81"/>
      <c r="AW646" s="81"/>
      <c r="AX646" s="81"/>
      <c r="AY646" s="81"/>
      <c r="AZ646" s="81"/>
      <c r="BA646" s="81"/>
      <c r="BB646" s="81"/>
    </row>
    <row r="647" spans="1:54" x14ac:dyDescent="0.35">
      <c r="A647" s="66" t="s">
        <v>4421</v>
      </c>
      <c r="B647" s="66" t="s">
        <v>4420</v>
      </c>
      <c r="C647" s="67"/>
      <c r="D647" s="68"/>
      <c r="E647" s="69"/>
      <c r="F647" s="70"/>
      <c r="G647" s="67"/>
      <c r="H647" s="71"/>
      <c r="I647" s="72"/>
      <c r="J647" s="72"/>
      <c r="K647" s="36"/>
      <c r="L647" s="79"/>
      <c r="M647" s="79"/>
      <c r="N647" s="74"/>
      <c r="O647" s="81" t="s">
        <v>693</v>
      </c>
      <c r="P647" s="83">
        <v>44463.662395833337</v>
      </c>
      <c r="Q647" s="81" t="s">
        <v>5426</v>
      </c>
      <c r="R647" s="84" t="str">
        <f>HYPERLINK("https://execed.iscte-iul.pt/pos-graduacao-em-gestao-e-marketing-do-desporto?utm_campaign=P%C3%B3s-Gradua%C3%A7%C3%B5es&amp;utm_content=181023343&amp;utm_medium=social&amp;utm_source=twitter&amp;hss_channel=tw-2677148557")</f>
        <v>https://execed.iscte-iul.pt/pos-graduacao-em-gestao-e-marketing-do-desporto?utm_campaign=P%C3%B3s-Gradua%C3%A7%C3%B5es&amp;utm_content=181023343&amp;utm_medium=social&amp;utm_source=twitter&amp;hss_channel=tw-2677148557</v>
      </c>
      <c r="S647" s="81" t="s">
        <v>5727</v>
      </c>
      <c r="T647" s="81"/>
      <c r="U647" s="84" t="str">
        <f>HYPERLINK("https://pbs.twimg.com/media/FAD9i7DVUAg3V1b.jpg")</f>
        <v>https://pbs.twimg.com/media/FAD9i7DVUAg3V1b.jpg</v>
      </c>
      <c r="V647" s="84" t="str">
        <f>HYPERLINK("https://pbs.twimg.com/media/FAD9i7DVUAg3V1b.jpg")</f>
        <v>https://pbs.twimg.com/media/FAD9i7DVUAg3V1b.jpg</v>
      </c>
      <c r="W647" s="83">
        <v>44463.662395833337</v>
      </c>
      <c r="X647" s="89">
        <v>44463</v>
      </c>
      <c r="Y647" s="86" t="s">
        <v>6058</v>
      </c>
      <c r="Z647" s="84" t="str">
        <f>HYPERLINK("https://twitter.com/internacionalzp/status/1441430688444653568")</f>
        <v>https://twitter.com/internacionalzp/status/1441430688444653568</v>
      </c>
      <c r="AA647" s="81"/>
      <c r="AB647" s="81"/>
      <c r="AC647" s="86" t="s">
        <v>6961</v>
      </c>
      <c r="AD647" s="81"/>
      <c r="AE647" s="81" t="b">
        <v>0</v>
      </c>
      <c r="AF647" s="81">
        <v>0</v>
      </c>
      <c r="AG647" s="86" t="s">
        <v>2084</v>
      </c>
      <c r="AH647" s="81" t="b">
        <v>0</v>
      </c>
      <c r="AI647" s="81" t="s">
        <v>2171</v>
      </c>
      <c r="AJ647" s="81"/>
      <c r="AK647" s="86" t="s">
        <v>2084</v>
      </c>
      <c r="AL647" s="81" t="b">
        <v>0</v>
      </c>
      <c r="AM647" s="81">
        <v>1</v>
      </c>
      <c r="AN647" s="86" t="s">
        <v>6960</v>
      </c>
      <c r="AO647" s="86" t="s">
        <v>7984</v>
      </c>
      <c r="AP647" s="81" t="b">
        <v>0</v>
      </c>
      <c r="AQ647" s="86" t="s">
        <v>6960</v>
      </c>
      <c r="AR647" s="81" t="s">
        <v>179</v>
      </c>
      <c r="AS647" s="81">
        <v>0</v>
      </c>
      <c r="AT647" s="81">
        <v>0</v>
      </c>
      <c r="AU647" s="81"/>
      <c r="AV647" s="81"/>
      <c r="AW647" s="81"/>
      <c r="AX647" s="81"/>
      <c r="AY647" s="81"/>
      <c r="AZ647" s="81"/>
      <c r="BA647" s="81"/>
      <c r="BB647" s="81"/>
    </row>
    <row r="648" spans="1:54" x14ac:dyDescent="0.35">
      <c r="A648" s="66" t="s">
        <v>417</v>
      </c>
      <c r="B648" s="66" t="s">
        <v>417</v>
      </c>
      <c r="C648" s="67"/>
      <c r="D648" s="68"/>
      <c r="E648" s="69"/>
      <c r="F648" s="70"/>
      <c r="G648" s="67"/>
      <c r="H648" s="71"/>
      <c r="I648" s="72"/>
      <c r="J648" s="72"/>
      <c r="K648" s="36"/>
      <c r="L648" s="79"/>
      <c r="M648" s="79"/>
      <c r="N648" s="74"/>
      <c r="O648" s="81" t="s">
        <v>179</v>
      </c>
      <c r="P648" s="83">
        <v>44451.332986111112</v>
      </c>
      <c r="Q648" s="81" t="s">
        <v>799</v>
      </c>
      <c r="R648" s="84" t="str">
        <f>HYPERLINK("https://www.instagram.com/titipbagus")</f>
        <v>https://www.instagram.com/titipbagus</v>
      </c>
      <c r="S648" s="81" t="s">
        <v>960</v>
      </c>
      <c r="T648" s="81"/>
      <c r="U648" s="84" t="str">
        <f>HYPERLINK("https://pbs.twimg.com/media/E_Ed7TgVUAAwwq8.png")</f>
        <v>https://pbs.twimg.com/media/E_Ed7TgVUAAwwq8.png</v>
      </c>
      <c r="V648" s="84" t="str">
        <f>HYPERLINK("https://pbs.twimg.com/media/E_Ed7TgVUAAwwq8.png")</f>
        <v>https://pbs.twimg.com/media/E_Ed7TgVUAAwwq8.png</v>
      </c>
      <c r="W648" s="83">
        <v>44451.332986111112</v>
      </c>
      <c r="X648" s="89">
        <v>44451</v>
      </c>
      <c r="Y648" s="86" t="s">
        <v>1249</v>
      </c>
      <c r="Z648" s="84" t="str">
        <f>HYPERLINK("https://twitter.com/kusumastianto/status/1436962662772985857")</f>
        <v>https://twitter.com/kusumastianto/status/1436962662772985857</v>
      </c>
      <c r="AA648" s="81"/>
      <c r="AB648" s="81"/>
      <c r="AC648" s="86" t="s">
        <v>1745</v>
      </c>
      <c r="AD648" s="81"/>
      <c r="AE648" s="81" t="b">
        <v>0</v>
      </c>
      <c r="AF648" s="81">
        <v>0</v>
      </c>
      <c r="AG648" s="86" t="s">
        <v>2084</v>
      </c>
      <c r="AH648" s="81" t="b">
        <v>0</v>
      </c>
      <c r="AI648" s="81" t="s">
        <v>2167</v>
      </c>
      <c r="AJ648" s="81"/>
      <c r="AK648" s="86" t="s">
        <v>2084</v>
      </c>
      <c r="AL648" s="81" t="b">
        <v>0</v>
      </c>
      <c r="AM648" s="81">
        <v>1</v>
      </c>
      <c r="AN648" s="86" t="s">
        <v>2084</v>
      </c>
      <c r="AO648" s="86" t="s">
        <v>2178</v>
      </c>
      <c r="AP648" s="81" t="b">
        <v>0</v>
      </c>
      <c r="AQ648" s="86" t="s">
        <v>1745</v>
      </c>
      <c r="AR648" s="81" t="s">
        <v>693</v>
      </c>
      <c r="AS648" s="81">
        <v>0</v>
      </c>
      <c r="AT648" s="81">
        <v>0</v>
      </c>
      <c r="AU648" s="81"/>
      <c r="AV648" s="81"/>
      <c r="AW648" s="81"/>
      <c r="AX648" s="81"/>
      <c r="AY648" s="81"/>
      <c r="AZ648" s="81"/>
      <c r="BA648" s="81"/>
      <c r="BB648" s="81"/>
    </row>
    <row r="649" spans="1:54" x14ac:dyDescent="0.35">
      <c r="A649" s="66" t="s">
        <v>418</v>
      </c>
      <c r="B649" s="66" t="s">
        <v>417</v>
      </c>
      <c r="C649" s="67"/>
      <c r="D649" s="68"/>
      <c r="E649" s="69"/>
      <c r="F649" s="70"/>
      <c r="G649" s="67"/>
      <c r="H649" s="71"/>
      <c r="I649" s="72"/>
      <c r="J649" s="72"/>
      <c r="K649" s="36"/>
      <c r="L649" s="79"/>
      <c r="M649" s="79"/>
      <c r="N649" s="74"/>
      <c r="O649" s="81" t="s">
        <v>693</v>
      </c>
      <c r="P649" s="83">
        <v>44463.672835648147</v>
      </c>
      <c r="Q649" s="81" t="s">
        <v>799</v>
      </c>
      <c r="R649" s="84" t="str">
        <f>HYPERLINK("https://www.instagram.com/titipbagus")</f>
        <v>https://www.instagram.com/titipbagus</v>
      </c>
      <c r="S649" s="81" t="s">
        <v>960</v>
      </c>
      <c r="T649" s="81"/>
      <c r="U649" s="84" t="str">
        <f>HYPERLINK("https://pbs.twimg.com/media/E_Ed7TgVUAAwwq8.png")</f>
        <v>https://pbs.twimg.com/media/E_Ed7TgVUAAwwq8.png</v>
      </c>
      <c r="V649" s="84" t="str">
        <f>HYPERLINK("https://pbs.twimg.com/media/E_Ed7TgVUAAwwq8.png")</f>
        <v>https://pbs.twimg.com/media/E_Ed7TgVUAAwwq8.png</v>
      </c>
      <c r="W649" s="83">
        <v>44463.672835648147</v>
      </c>
      <c r="X649" s="89">
        <v>44463</v>
      </c>
      <c r="Y649" s="86" t="s">
        <v>1250</v>
      </c>
      <c r="Z649" s="84" t="str">
        <f>HYPERLINK("https://twitter.com/bluebir56633512/status/1441434471425708034")</f>
        <v>https://twitter.com/bluebir56633512/status/1441434471425708034</v>
      </c>
      <c r="AA649" s="81"/>
      <c r="AB649" s="81"/>
      <c r="AC649" s="86" t="s">
        <v>1746</v>
      </c>
      <c r="AD649" s="81"/>
      <c r="AE649" s="81" t="b">
        <v>0</v>
      </c>
      <c r="AF649" s="81">
        <v>0</v>
      </c>
      <c r="AG649" s="86" t="s">
        <v>2084</v>
      </c>
      <c r="AH649" s="81" t="b">
        <v>0</v>
      </c>
      <c r="AI649" s="81" t="s">
        <v>2167</v>
      </c>
      <c r="AJ649" s="81"/>
      <c r="AK649" s="86" t="s">
        <v>2084</v>
      </c>
      <c r="AL649" s="81" t="b">
        <v>0</v>
      </c>
      <c r="AM649" s="81">
        <v>1</v>
      </c>
      <c r="AN649" s="86" t="s">
        <v>1745</v>
      </c>
      <c r="AO649" s="86" t="s">
        <v>2178</v>
      </c>
      <c r="AP649" s="81" t="b">
        <v>0</v>
      </c>
      <c r="AQ649" s="86" t="s">
        <v>1745</v>
      </c>
      <c r="AR649" s="81" t="s">
        <v>179</v>
      </c>
      <c r="AS649" s="81">
        <v>0</v>
      </c>
      <c r="AT649" s="81">
        <v>0</v>
      </c>
      <c r="AU649" s="81"/>
      <c r="AV649" s="81"/>
      <c r="AW649" s="81"/>
      <c r="AX649" s="81"/>
      <c r="AY649" s="81"/>
      <c r="AZ649" s="81"/>
      <c r="BA649" s="81"/>
      <c r="BB649" s="81"/>
    </row>
    <row r="650" spans="1:54" x14ac:dyDescent="0.35">
      <c r="A650" s="66" t="s">
        <v>4422</v>
      </c>
      <c r="B650" s="66" t="s">
        <v>5080</v>
      </c>
      <c r="C650" s="67"/>
      <c r="D650" s="68"/>
      <c r="E650" s="69"/>
      <c r="F650" s="70"/>
      <c r="G650" s="67"/>
      <c r="H650" s="71"/>
      <c r="I650" s="72"/>
      <c r="J650" s="72"/>
      <c r="K650" s="36"/>
      <c r="L650" s="79"/>
      <c r="M650" s="79"/>
      <c r="N650" s="74"/>
      <c r="O650" s="81" t="s">
        <v>696</v>
      </c>
      <c r="P650" s="83">
        <v>44463.639733796299</v>
      </c>
      <c r="Q650" s="81" t="s">
        <v>5427</v>
      </c>
      <c r="R650" s="81"/>
      <c r="S650" s="81"/>
      <c r="T650" s="81"/>
      <c r="U650" s="81"/>
      <c r="V650" s="84" t="str">
        <f>HYPERLINK("https://pbs.twimg.com/profile_images/1120709007759560704/skfX14PC_normal.jpg")</f>
        <v>https://pbs.twimg.com/profile_images/1120709007759560704/skfX14PC_normal.jpg</v>
      </c>
      <c r="W650" s="83">
        <v>44463.639733796299</v>
      </c>
      <c r="X650" s="89">
        <v>44463</v>
      </c>
      <c r="Y650" s="86" t="s">
        <v>6059</v>
      </c>
      <c r="Z650" s="84" t="str">
        <f>HYPERLINK("https://twitter.com/henriquefavp/status/1441422475296919555")</f>
        <v>https://twitter.com/henriquefavp/status/1441422475296919555</v>
      </c>
      <c r="AA650" s="81"/>
      <c r="AB650" s="81"/>
      <c r="AC650" s="86" t="s">
        <v>6962</v>
      </c>
      <c r="AD650" s="86" t="s">
        <v>7677</v>
      </c>
      <c r="AE650" s="81" t="b">
        <v>0</v>
      </c>
      <c r="AF650" s="81">
        <v>1</v>
      </c>
      <c r="AG650" s="86" t="s">
        <v>7857</v>
      </c>
      <c r="AH650" s="81" t="b">
        <v>0</v>
      </c>
      <c r="AI650" s="81" t="s">
        <v>2171</v>
      </c>
      <c r="AJ650" s="81"/>
      <c r="AK650" s="86" t="s">
        <v>2084</v>
      </c>
      <c r="AL650" s="81" t="b">
        <v>0</v>
      </c>
      <c r="AM650" s="81">
        <v>1</v>
      </c>
      <c r="AN650" s="86" t="s">
        <v>2084</v>
      </c>
      <c r="AO650" s="86" t="s">
        <v>2178</v>
      </c>
      <c r="AP650" s="81" t="b">
        <v>0</v>
      </c>
      <c r="AQ650" s="86" t="s">
        <v>7677</v>
      </c>
      <c r="AR650" s="81" t="s">
        <v>179</v>
      </c>
      <c r="AS650" s="81">
        <v>0</v>
      </c>
      <c r="AT650" s="81">
        <v>0</v>
      </c>
      <c r="AU650" s="81"/>
      <c r="AV650" s="81"/>
      <c r="AW650" s="81"/>
      <c r="AX650" s="81"/>
      <c r="AY650" s="81"/>
      <c r="AZ650" s="81"/>
      <c r="BA650" s="81"/>
      <c r="BB650" s="81"/>
    </row>
    <row r="651" spans="1:54" x14ac:dyDescent="0.35">
      <c r="A651" s="66" t="s">
        <v>4422</v>
      </c>
      <c r="B651" s="66" t="s">
        <v>5080</v>
      </c>
      <c r="C651" s="67"/>
      <c r="D651" s="68"/>
      <c r="E651" s="69"/>
      <c r="F651" s="70"/>
      <c r="G651" s="67"/>
      <c r="H651" s="71"/>
      <c r="I651" s="72"/>
      <c r="J651" s="72"/>
      <c r="K651" s="36"/>
      <c r="L651" s="79"/>
      <c r="M651" s="79"/>
      <c r="N651" s="74"/>
      <c r="O651" s="81" t="s">
        <v>696</v>
      </c>
      <c r="P651" s="83">
        <v>44463.649965277778</v>
      </c>
      <c r="Q651" s="81" t="s">
        <v>5428</v>
      </c>
      <c r="R651" s="81"/>
      <c r="S651" s="81"/>
      <c r="T651" s="81"/>
      <c r="U651" s="81"/>
      <c r="V651" s="84" t="str">
        <f>HYPERLINK("https://pbs.twimg.com/profile_images/1120709007759560704/skfX14PC_normal.jpg")</f>
        <v>https://pbs.twimg.com/profile_images/1120709007759560704/skfX14PC_normal.jpg</v>
      </c>
      <c r="W651" s="83">
        <v>44463.649965277778</v>
      </c>
      <c r="X651" s="89">
        <v>44463</v>
      </c>
      <c r="Y651" s="86" t="s">
        <v>6060</v>
      </c>
      <c r="Z651" s="84" t="str">
        <f>HYPERLINK("https://twitter.com/henriquefavp/status/1441426184965799947")</f>
        <v>https://twitter.com/henriquefavp/status/1441426184965799947</v>
      </c>
      <c r="AA651" s="81"/>
      <c r="AB651" s="81"/>
      <c r="AC651" s="86" t="s">
        <v>6963</v>
      </c>
      <c r="AD651" s="86" t="s">
        <v>7678</v>
      </c>
      <c r="AE651" s="81" t="b">
        <v>0</v>
      </c>
      <c r="AF651" s="81">
        <v>0</v>
      </c>
      <c r="AG651" s="86" t="s">
        <v>7857</v>
      </c>
      <c r="AH651" s="81" t="b">
        <v>0</v>
      </c>
      <c r="AI651" s="81" t="s">
        <v>2171</v>
      </c>
      <c r="AJ651" s="81"/>
      <c r="AK651" s="86" t="s">
        <v>2084</v>
      </c>
      <c r="AL651" s="81" t="b">
        <v>0</v>
      </c>
      <c r="AM651" s="81">
        <v>0</v>
      </c>
      <c r="AN651" s="86" t="s">
        <v>2084</v>
      </c>
      <c r="AO651" s="86" t="s">
        <v>2178</v>
      </c>
      <c r="AP651" s="81" t="b">
        <v>0</v>
      </c>
      <c r="AQ651" s="86" t="s">
        <v>7678</v>
      </c>
      <c r="AR651" s="81" t="s">
        <v>179</v>
      </c>
      <c r="AS651" s="81">
        <v>0</v>
      </c>
      <c r="AT651" s="81">
        <v>0</v>
      </c>
      <c r="AU651" s="81"/>
      <c r="AV651" s="81"/>
      <c r="AW651" s="81"/>
      <c r="AX651" s="81"/>
      <c r="AY651" s="81"/>
      <c r="AZ651" s="81"/>
      <c r="BA651" s="81"/>
      <c r="BB651" s="81"/>
    </row>
    <row r="652" spans="1:54" x14ac:dyDescent="0.35">
      <c r="A652" s="66" t="s">
        <v>4423</v>
      </c>
      <c r="B652" s="66" t="s">
        <v>5080</v>
      </c>
      <c r="C652" s="67"/>
      <c r="D652" s="68"/>
      <c r="E652" s="69"/>
      <c r="F652" s="70"/>
      <c r="G652" s="67"/>
      <c r="H652" s="71"/>
      <c r="I652" s="72"/>
      <c r="J652" s="72"/>
      <c r="K652" s="36"/>
      <c r="L652" s="79"/>
      <c r="M652" s="79"/>
      <c r="N652" s="74"/>
      <c r="O652" s="81" t="s">
        <v>694</v>
      </c>
      <c r="P652" s="83">
        <v>44463.689050925925</v>
      </c>
      <c r="Q652" s="81" t="s">
        <v>5427</v>
      </c>
      <c r="R652" s="81"/>
      <c r="S652" s="81"/>
      <c r="T652" s="81"/>
      <c r="U652" s="81"/>
      <c r="V652" s="84" t="str">
        <f>HYPERLINK("https://pbs.twimg.com/profile_images/1195461941763989504/i_gc6L21_normal.jpg")</f>
        <v>https://pbs.twimg.com/profile_images/1195461941763989504/i_gc6L21_normal.jpg</v>
      </c>
      <c r="W652" s="83">
        <v>44463.689050925925</v>
      </c>
      <c r="X652" s="89">
        <v>44463</v>
      </c>
      <c r="Y652" s="86" t="s">
        <v>6061</v>
      </c>
      <c r="Z652" s="84" t="str">
        <f>HYPERLINK("https://twitter.com/ivansb2009/status/1441440347792490501")</f>
        <v>https://twitter.com/ivansb2009/status/1441440347792490501</v>
      </c>
      <c r="AA652" s="81"/>
      <c r="AB652" s="81"/>
      <c r="AC652" s="86" t="s">
        <v>6964</v>
      </c>
      <c r="AD652" s="81"/>
      <c r="AE652" s="81" t="b">
        <v>0</v>
      </c>
      <c r="AF652" s="81">
        <v>0</v>
      </c>
      <c r="AG652" s="86" t="s">
        <v>2084</v>
      </c>
      <c r="AH652" s="81" t="b">
        <v>0</v>
      </c>
      <c r="AI652" s="81" t="s">
        <v>2171</v>
      </c>
      <c r="AJ652" s="81"/>
      <c r="AK652" s="86" t="s">
        <v>2084</v>
      </c>
      <c r="AL652" s="81" t="b">
        <v>0</v>
      </c>
      <c r="AM652" s="81">
        <v>1</v>
      </c>
      <c r="AN652" s="86" t="s">
        <v>6962</v>
      </c>
      <c r="AO652" s="86" t="s">
        <v>2178</v>
      </c>
      <c r="AP652" s="81" t="b">
        <v>0</v>
      </c>
      <c r="AQ652" s="86" t="s">
        <v>6962</v>
      </c>
      <c r="AR652" s="81" t="s">
        <v>179</v>
      </c>
      <c r="AS652" s="81">
        <v>0</v>
      </c>
      <c r="AT652" s="81">
        <v>0</v>
      </c>
      <c r="AU652" s="81"/>
      <c r="AV652" s="81"/>
      <c r="AW652" s="81"/>
      <c r="AX652" s="81"/>
      <c r="AY652" s="81"/>
      <c r="AZ652" s="81"/>
      <c r="BA652" s="81"/>
      <c r="BB652" s="81"/>
    </row>
    <row r="653" spans="1:54" x14ac:dyDescent="0.35">
      <c r="A653" s="66" t="s">
        <v>4422</v>
      </c>
      <c r="B653" s="66" t="s">
        <v>5081</v>
      </c>
      <c r="C653" s="67"/>
      <c r="D653" s="68"/>
      <c r="E653" s="69"/>
      <c r="F653" s="70"/>
      <c r="G653" s="67"/>
      <c r="H653" s="71"/>
      <c r="I653" s="72"/>
      <c r="J653" s="72"/>
      <c r="K653" s="36"/>
      <c r="L653" s="79"/>
      <c r="M653" s="79"/>
      <c r="N653" s="74"/>
      <c r="O653" s="81" t="s">
        <v>695</v>
      </c>
      <c r="P653" s="83">
        <v>44463.639733796299</v>
      </c>
      <c r="Q653" s="81" t="s">
        <v>5427</v>
      </c>
      <c r="R653" s="81"/>
      <c r="S653" s="81"/>
      <c r="T653" s="81"/>
      <c r="U653" s="81"/>
      <c r="V653" s="84" t="str">
        <f>HYPERLINK("https://pbs.twimg.com/profile_images/1120709007759560704/skfX14PC_normal.jpg")</f>
        <v>https://pbs.twimg.com/profile_images/1120709007759560704/skfX14PC_normal.jpg</v>
      </c>
      <c r="W653" s="83">
        <v>44463.639733796299</v>
      </c>
      <c r="X653" s="89">
        <v>44463</v>
      </c>
      <c r="Y653" s="86" t="s">
        <v>6059</v>
      </c>
      <c r="Z653" s="84" t="str">
        <f>HYPERLINK("https://twitter.com/henriquefavp/status/1441422475296919555")</f>
        <v>https://twitter.com/henriquefavp/status/1441422475296919555</v>
      </c>
      <c r="AA653" s="81"/>
      <c r="AB653" s="81"/>
      <c r="AC653" s="86" t="s">
        <v>6962</v>
      </c>
      <c r="AD653" s="86" t="s">
        <v>7677</v>
      </c>
      <c r="AE653" s="81" t="b">
        <v>0</v>
      </c>
      <c r="AF653" s="81">
        <v>1</v>
      </c>
      <c r="AG653" s="86" t="s">
        <v>7857</v>
      </c>
      <c r="AH653" s="81" t="b">
        <v>0</v>
      </c>
      <c r="AI653" s="81" t="s">
        <v>2171</v>
      </c>
      <c r="AJ653" s="81"/>
      <c r="AK653" s="86" t="s">
        <v>2084</v>
      </c>
      <c r="AL653" s="81" t="b">
        <v>0</v>
      </c>
      <c r="AM653" s="81">
        <v>1</v>
      </c>
      <c r="AN653" s="86" t="s">
        <v>2084</v>
      </c>
      <c r="AO653" s="86" t="s">
        <v>2178</v>
      </c>
      <c r="AP653" s="81" t="b">
        <v>0</v>
      </c>
      <c r="AQ653" s="86" t="s">
        <v>7677</v>
      </c>
      <c r="AR653" s="81" t="s">
        <v>179</v>
      </c>
      <c r="AS653" s="81">
        <v>0</v>
      </c>
      <c r="AT653" s="81">
        <v>0</v>
      </c>
      <c r="AU653" s="81"/>
      <c r="AV653" s="81"/>
      <c r="AW653" s="81"/>
      <c r="AX653" s="81"/>
      <c r="AY653" s="81"/>
      <c r="AZ653" s="81"/>
      <c r="BA653" s="81"/>
      <c r="BB653" s="81"/>
    </row>
    <row r="654" spans="1:54" x14ac:dyDescent="0.35">
      <c r="A654" s="66" t="s">
        <v>4422</v>
      </c>
      <c r="B654" s="66" t="s">
        <v>5081</v>
      </c>
      <c r="C654" s="67"/>
      <c r="D654" s="68"/>
      <c r="E654" s="69"/>
      <c r="F654" s="70"/>
      <c r="G654" s="67"/>
      <c r="H654" s="71"/>
      <c r="I654" s="72"/>
      <c r="J654" s="72"/>
      <c r="K654" s="36"/>
      <c r="L654" s="79"/>
      <c r="M654" s="79"/>
      <c r="N654" s="74"/>
      <c r="O654" s="81" t="s">
        <v>695</v>
      </c>
      <c r="P654" s="83">
        <v>44463.649965277778</v>
      </c>
      <c r="Q654" s="81" t="s">
        <v>5428</v>
      </c>
      <c r="R654" s="81"/>
      <c r="S654" s="81"/>
      <c r="T654" s="81"/>
      <c r="U654" s="81"/>
      <c r="V654" s="84" t="str">
        <f>HYPERLINK("https://pbs.twimg.com/profile_images/1120709007759560704/skfX14PC_normal.jpg")</f>
        <v>https://pbs.twimg.com/profile_images/1120709007759560704/skfX14PC_normal.jpg</v>
      </c>
      <c r="W654" s="83">
        <v>44463.649965277778</v>
      </c>
      <c r="X654" s="89">
        <v>44463</v>
      </c>
      <c r="Y654" s="86" t="s">
        <v>6060</v>
      </c>
      <c r="Z654" s="84" t="str">
        <f>HYPERLINK("https://twitter.com/henriquefavp/status/1441426184965799947")</f>
        <v>https://twitter.com/henriquefavp/status/1441426184965799947</v>
      </c>
      <c r="AA654" s="81"/>
      <c r="AB654" s="81"/>
      <c r="AC654" s="86" t="s">
        <v>6963</v>
      </c>
      <c r="AD654" s="86" t="s">
        <v>7678</v>
      </c>
      <c r="AE654" s="81" t="b">
        <v>0</v>
      </c>
      <c r="AF654" s="81">
        <v>0</v>
      </c>
      <c r="AG654" s="86" t="s">
        <v>7857</v>
      </c>
      <c r="AH654" s="81" t="b">
        <v>0</v>
      </c>
      <c r="AI654" s="81" t="s">
        <v>2171</v>
      </c>
      <c r="AJ654" s="81"/>
      <c r="AK654" s="86" t="s">
        <v>2084</v>
      </c>
      <c r="AL654" s="81" t="b">
        <v>0</v>
      </c>
      <c r="AM654" s="81">
        <v>0</v>
      </c>
      <c r="AN654" s="86" t="s">
        <v>2084</v>
      </c>
      <c r="AO654" s="86" t="s">
        <v>2178</v>
      </c>
      <c r="AP654" s="81" t="b">
        <v>0</v>
      </c>
      <c r="AQ654" s="86" t="s">
        <v>7678</v>
      </c>
      <c r="AR654" s="81" t="s">
        <v>179</v>
      </c>
      <c r="AS654" s="81">
        <v>0</v>
      </c>
      <c r="AT654" s="81">
        <v>0</v>
      </c>
      <c r="AU654" s="81"/>
      <c r="AV654" s="81"/>
      <c r="AW654" s="81"/>
      <c r="AX654" s="81"/>
      <c r="AY654" s="81"/>
      <c r="AZ654" s="81"/>
      <c r="BA654" s="81"/>
      <c r="BB654" s="81"/>
    </row>
    <row r="655" spans="1:54" x14ac:dyDescent="0.35">
      <c r="A655" s="66" t="s">
        <v>4423</v>
      </c>
      <c r="B655" s="66" t="s">
        <v>4422</v>
      </c>
      <c r="C655" s="67"/>
      <c r="D655" s="68"/>
      <c r="E655" s="69"/>
      <c r="F655" s="70"/>
      <c r="G655" s="67"/>
      <c r="H655" s="71"/>
      <c r="I655" s="72"/>
      <c r="J655" s="72"/>
      <c r="K655" s="36"/>
      <c r="L655" s="79"/>
      <c r="M655" s="79"/>
      <c r="N655" s="74"/>
      <c r="O655" s="81" t="s">
        <v>693</v>
      </c>
      <c r="P655" s="83">
        <v>44463.689050925925</v>
      </c>
      <c r="Q655" s="81" t="s">
        <v>5427</v>
      </c>
      <c r="R655" s="81"/>
      <c r="S655" s="81"/>
      <c r="T655" s="81"/>
      <c r="U655" s="81"/>
      <c r="V655" s="84" t="str">
        <f>HYPERLINK("https://pbs.twimg.com/profile_images/1195461941763989504/i_gc6L21_normal.jpg")</f>
        <v>https://pbs.twimg.com/profile_images/1195461941763989504/i_gc6L21_normal.jpg</v>
      </c>
      <c r="W655" s="83">
        <v>44463.689050925925</v>
      </c>
      <c r="X655" s="89">
        <v>44463</v>
      </c>
      <c r="Y655" s="86" t="s">
        <v>6061</v>
      </c>
      <c r="Z655" s="84" t="str">
        <f>HYPERLINK("https://twitter.com/ivansb2009/status/1441440347792490501")</f>
        <v>https://twitter.com/ivansb2009/status/1441440347792490501</v>
      </c>
      <c r="AA655" s="81"/>
      <c r="AB655" s="81"/>
      <c r="AC655" s="86" t="s">
        <v>6964</v>
      </c>
      <c r="AD655" s="81"/>
      <c r="AE655" s="81" t="b">
        <v>0</v>
      </c>
      <c r="AF655" s="81">
        <v>0</v>
      </c>
      <c r="AG655" s="86" t="s">
        <v>2084</v>
      </c>
      <c r="AH655" s="81" t="b">
        <v>0</v>
      </c>
      <c r="AI655" s="81" t="s">
        <v>2171</v>
      </c>
      <c r="AJ655" s="81"/>
      <c r="AK655" s="86" t="s">
        <v>2084</v>
      </c>
      <c r="AL655" s="81" t="b">
        <v>0</v>
      </c>
      <c r="AM655" s="81">
        <v>1</v>
      </c>
      <c r="AN655" s="86" t="s">
        <v>6962</v>
      </c>
      <c r="AO655" s="86" t="s">
        <v>2178</v>
      </c>
      <c r="AP655" s="81" t="b">
        <v>0</v>
      </c>
      <c r="AQ655" s="86" t="s">
        <v>6962</v>
      </c>
      <c r="AR655" s="81" t="s">
        <v>179</v>
      </c>
      <c r="AS655" s="81">
        <v>0</v>
      </c>
      <c r="AT655" s="81">
        <v>0</v>
      </c>
      <c r="AU655" s="81"/>
      <c r="AV655" s="81"/>
      <c r="AW655" s="81"/>
      <c r="AX655" s="81"/>
      <c r="AY655" s="81"/>
      <c r="AZ655" s="81"/>
      <c r="BA655" s="81"/>
      <c r="BB655" s="81"/>
    </row>
    <row r="656" spans="1:54" x14ac:dyDescent="0.35">
      <c r="A656" s="66" t="s">
        <v>4423</v>
      </c>
      <c r="B656" s="66" t="s">
        <v>5081</v>
      </c>
      <c r="C656" s="67"/>
      <c r="D656" s="68"/>
      <c r="E656" s="69"/>
      <c r="F656" s="70"/>
      <c r="G656" s="67"/>
      <c r="H656" s="71"/>
      <c r="I656" s="72"/>
      <c r="J656" s="72"/>
      <c r="K656" s="36"/>
      <c r="L656" s="79"/>
      <c r="M656" s="79"/>
      <c r="N656" s="74"/>
      <c r="O656" s="81" t="s">
        <v>695</v>
      </c>
      <c r="P656" s="83">
        <v>44463.689050925925</v>
      </c>
      <c r="Q656" s="81" t="s">
        <v>5427</v>
      </c>
      <c r="R656" s="81"/>
      <c r="S656" s="81"/>
      <c r="T656" s="81"/>
      <c r="U656" s="81"/>
      <c r="V656" s="84" t="str">
        <f>HYPERLINK("https://pbs.twimg.com/profile_images/1195461941763989504/i_gc6L21_normal.jpg")</f>
        <v>https://pbs.twimg.com/profile_images/1195461941763989504/i_gc6L21_normal.jpg</v>
      </c>
      <c r="W656" s="83">
        <v>44463.689050925925</v>
      </c>
      <c r="X656" s="89">
        <v>44463</v>
      </c>
      <c r="Y656" s="86" t="s">
        <v>6061</v>
      </c>
      <c r="Z656" s="84" t="str">
        <f>HYPERLINK("https://twitter.com/ivansb2009/status/1441440347792490501")</f>
        <v>https://twitter.com/ivansb2009/status/1441440347792490501</v>
      </c>
      <c r="AA656" s="81"/>
      <c r="AB656" s="81"/>
      <c r="AC656" s="86" t="s">
        <v>6964</v>
      </c>
      <c r="AD656" s="81"/>
      <c r="AE656" s="81" t="b">
        <v>0</v>
      </c>
      <c r="AF656" s="81">
        <v>0</v>
      </c>
      <c r="AG656" s="86" t="s">
        <v>2084</v>
      </c>
      <c r="AH656" s="81" t="b">
        <v>0</v>
      </c>
      <c r="AI656" s="81" t="s">
        <v>2171</v>
      </c>
      <c r="AJ656" s="81"/>
      <c r="AK656" s="86" t="s">
        <v>2084</v>
      </c>
      <c r="AL656" s="81" t="b">
        <v>0</v>
      </c>
      <c r="AM656" s="81">
        <v>1</v>
      </c>
      <c r="AN656" s="86" t="s">
        <v>6962</v>
      </c>
      <c r="AO656" s="86" t="s">
        <v>2178</v>
      </c>
      <c r="AP656" s="81" t="b">
        <v>0</v>
      </c>
      <c r="AQ656" s="86" t="s">
        <v>6962</v>
      </c>
      <c r="AR656" s="81" t="s">
        <v>179</v>
      </c>
      <c r="AS656" s="81">
        <v>0</v>
      </c>
      <c r="AT656" s="81">
        <v>0</v>
      </c>
      <c r="AU656" s="81"/>
      <c r="AV656" s="81"/>
      <c r="AW656" s="81"/>
      <c r="AX656" s="81"/>
      <c r="AY656" s="81"/>
      <c r="AZ656" s="81"/>
      <c r="BA656" s="81"/>
      <c r="BB656" s="81"/>
    </row>
    <row r="657" spans="1:54" x14ac:dyDescent="0.35">
      <c r="A657" s="66" t="s">
        <v>419</v>
      </c>
      <c r="B657" s="66" t="s">
        <v>461</v>
      </c>
      <c r="C657" s="67"/>
      <c r="D657" s="68"/>
      <c r="E657" s="69"/>
      <c r="F657" s="70"/>
      <c r="G657" s="67"/>
      <c r="H657" s="71"/>
      <c r="I657" s="72"/>
      <c r="J657" s="72"/>
      <c r="K657" s="36"/>
      <c r="L657" s="79"/>
      <c r="M657" s="79"/>
      <c r="N657" s="74"/>
      <c r="O657" s="81" t="s">
        <v>693</v>
      </c>
      <c r="P657" s="83">
        <v>44463.704328703701</v>
      </c>
      <c r="Q657" s="81" t="s">
        <v>794</v>
      </c>
      <c r="R657" s="81"/>
      <c r="S657" s="81"/>
      <c r="T657" s="86" t="s">
        <v>972</v>
      </c>
      <c r="U657" s="84" t="str">
        <f>HYPERLINK("https://pbs.twimg.com/media/FADMBqAUUAAn8ca.jpg")</f>
        <v>https://pbs.twimg.com/media/FADMBqAUUAAn8ca.jpg</v>
      </c>
      <c r="V657" s="84" t="str">
        <f>HYPERLINK("https://pbs.twimg.com/media/FADMBqAUUAAn8ca.jpg")</f>
        <v>https://pbs.twimg.com/media/FADMBqAUUAAn8ca.jpg</v>
      </c>
      <c r="W657" s="83">
        <v>44463.704328703701</v>
      </c>
      <c r="X657" s="89">
        <v>44463</v>
      </c>
      <c r="Y657" s="86" t="s">
        <v>1251</v>
      </c>
      <c r="Z657" s="84" t="str">
        <f>HYPERLINK("https://twitter.com/egghannie/status/1441445887276818435")</f>
        <v>https://twitter.com/egghannie/status/1441445887276818435</v>
      </c>
      <c r="AA657" s="81"/>
      <c r="AB657" s="81"/>
      <c r="AC657" s="86" t="s">
        <v>1747</v>
      </c>
      <c r="AD657" s="81"/>
      <c r="AE657" s="81" t="b">
        <v>0</v>
      </c>
      <c r="AF657" s="81">
        <v>0</v>
      </c>
      <c r="AG657" s="86" t="s">
        <v>2084</v>
      </c>
      <c r="AH657" s="81" t="b">
        <v>0</v>
      </c>
      <c r="AI657" s="81" t="s">
        <v>2168</v>
      </c>
      <c r="AJ657" s="81"/>
      <c r="AK657" s="86" t="s">
        <v>2084</v>
      </c>
      <c r="AL657" s="81" t="b">
        <v>0</v>
      </c>
      <c r="AM657" s="81">
        <v>9</v>
      </c>
      <c r="AN657" s="86" t="s">
        <v>1806</v>
      </c>
      <c r="AO657" s="86" t="s">
        <v>2178</v>
      </c>
      <c r="AP657" s="81" t="b">
        <v>0</v>
      </c>
      <c r="AQ657" s="86" t="s">
        <v>1806</v>
      </c>
      <c r="AR657" s="81" t="s">
        <v>179</v>
      </c>
      <c r="AS657" s="81">
        <v>0</v>
      </c>
      <c r="AT657" s="81">
        <v>0</v>
      </c>
      <c r="AU657" s="81"/>
      <c r="AV657" s="81"/>
      <c r="AW657" s="81"/>
      <c r="AX657" s="81"/>
      <c r="AY657" s="81"/>
      <c r="AZ657" s="81"/>
      <c r="BA657" s="81"/>
      <c r="BB657" s="81"/>
    </row>
    <row r="658" spans="1:54" x14ac:dyDescent="0.35">
      <c r="A658" s="66" t="s">
        <v>420</v>
      </c>
      <c r="B658" s="66" t="s">
        <v>420</v>
      </c>
      <c r="C658" s="67"/>
      <c r="D658" s="68"/>
      <c r="E658" s="69"/>
      <c r="F658" s="70"/>
      <c r="G658" s="67"/>
      <c r="H658" s="71"/>
      <c r="I658" s="72"/>
      <c r="J658" s="72"/>
      <c r="K658" s="36"/>
      <c r="L658" s="79"/>
      <c r="M658" s="79"/>
      <c r="N658" s="74"/>
      <c r="O658" s="81" t="s">
        <v>179</v>
      </c>
      <c r="P658" s="83">
        <v>44457.794976851852</v>
      </c>
      <c r="Q658" s="81" t="s">
        <v>698</v>
      </c>
      <c r="R658" s="81"/>
      <c r="S658" s="81"/>
      <c r="T658" s="81"/>
      <c r="U658" s="84" t="str">
        <f>HYPERLINK("https://pbs.twimg.com/media/E_lvuyPVEAEa3Kn.jpg")</f>
        <v>https://pbs.twimg.com/media/E_lvuyPVEAEa3Kn.jpg</v>
      </c>
      <c r="V658" s="84" t="str">
        <f>HYPERLINK("https://pbs.twimg.com/media/E_lvuyPVEAEa3Kn.jpg")</f>
        <v>https://pbs.twimg.com/media/E_lvuyPVEAEa3Kn.jpg</v>
      </c>
      <c r="W658" s="83">
        <v>44457.794976851852</v>
      </c>
      <c r="X658" s="89">
        <v>44457</v>
      </c>
      <c r="Y658" s="86" t="s">
        <v>1252</v>
      </c>
      <c r="Z658" s="84" t="str">
        <f>HYPERLINK("https://twitter.com/shafigh/status/1439304408454496257")</f>
        <v>https://twitter.com/shafigh/status/1439304408454496257</v>
      </c>
      <c r="AA658" s="81"/>
      <c r="AB658" s="81"/>
      <c r="AC658" s="86" t="s">
        <v>1748</v>
      </c>
      <c r="AD658" s="81"/>
      <c r="AE658" s="81" t="b">
        <v>0</v>
      </c>
      <c r="AF658" s="81">
        <v>4</v>
      </c>
      <c r="AG658" s="86" t="s">
        <v>2084</v>
      </c>
      <c r="AH658" s="81" t="b">
        <v>0</v>
      </c>
      <c r="AI658" s="81" t="s">
        <v>2167</v>
      </c>
      <c r="AJ658" s="81"/>
      <c r="AK658" s="86" t="s">
        <v>2084</v>
      </c>
      <c r="AL658" s="81" t="b">
        <v>0</v>
      </c>
      <c r="AM658" s="81">
        <v>2</v>
      </c>
      <c r="AN658" s="86" t="s">
        <v>2084</v>
      </c>
      <c r="AO658" s="86" t="s">
        <v>2178</v>
      </c>
      <c r="AP658" s="81" t="b">
        <v>0</v>
      </c>
      <c r="AQ658" s="86" t="s">
        <v>1748</v>
      </c>
      <c r="AR658" s="81" t="s">
        <v>693</v>
      </c>
      <c r="AS658" s="81">
        <v>0</v>
      </c>
      <c r="AT658" s="81">
        <v>0</v>
      </c>
      <c r="AU658" s="81"/>
      <c r="AV658" s="81"/>
      <c r="AW658" s="81"/>
      <c r="AX658" s="81"/>
      <c r="AY658" s="81"/>
      <c r="AZ658" s="81"/>
      <c r="BA658" s="81"/>
      <c r="BB658" s="81"/>
    </row>
    <row r="659" spans="1:54" x14ac:dyDescent="0.35">
      <c r="A659" s="66" t="s">
        <v>421</v>
      </c>
      <c r="B659" s="66" t="s">
        <v>420</v>
      </c>
      <c r="C659" s="67"/>
      <c r="D659" s="68"/>
      <c r="E659" s="69"/>
      <c r="F659" s="70"/>
      <c r="G659" s="67"/>
      <c r="H659" s="71"/>
      <c r="I659" s="72"/>
      <c r="J659" s="72"/>
      <c r="K659" s="36"/>
      <c r="L659" s="79"/>
      <c r="M659" s="79"/>
      <c r="N659" s="74"/>
      <c r="O659" s="81" t="s">
        <v>693</v>
      </c>
      <c r="P659" s="83">
        <v>44463.715219907404</v>
      </c>
      <c r="Q659" s="81" t="s">
        <v>698</v>
      </c>
      <c r="R659" s="81"/>
      <c r="S659" s="81"/>
      <c r="T659" s="81"/>
      <c r="U659" s="84" t="str">
        <f>HYPERLINK("https://pbs.twimg.com/media/E_lvuyPVEAEa3Kn.jpg")</f>
        <v>https://pbs.twimg.com/media/E_lvuyPVEAEa3Kn.jpg</v>
      </c>
      <c r="V659" s="84" t="str">
        <f>HYPERLINK("https://pbs.twimg.com/media/E_lvuyPVEAEa3Kn.jpg")</f>
        <v>https://pbs.twimg.com/media/E_lvuyPVEAEa3Kn.jpg</v>
      </c>
      <c r="W659" s="83">
        <v>44463.715219907404</v>
      </c>
      <c r="X659" s="89">
        <v>44463</v>
      </c>
      <c r="Y659" s="86" t="s">
        <v>1253</v>
      </c>
      <c r="Z659" s="84" t="str">
        <f>HYPERLINK("https://twitter.com/spartanwisata/status/1441449832711741444")</f>
        <v>https://twitter.com/spartanwisata/status/1441449832711741444</v>
      </c>
      <c r="AA659" s="81"/>
      <c r="AB659" s="81"/>
      <c r="AC659" s="86" t="s">
        <v>1749</v>
      </c>
      <c r="AD659" s="81"/>
      <c r="AE659" s="81" t="b">
        <v>0</v>
      </c>
      <c r="AF659" s="81">
        <v>0</v>
      </c>
      <c r="AG659" s="86" t="s">
        <v>2084</v>
      </c>
      <c r="AH659" s="81" t="b">
        <v>0</v>
      </c>
      <c r="AI659" s="81" t="s">
        <v>2167</v>
      </c>
      <c r="AJ659" s="81"/>
      <c r="AK659" s="86" t="s">
        <v>2084</v>
      </c>
      <c r="AL659" s="81" t="b">
        <v>0</v>
      </c>
      <c r="AM659" s="81">
        <v>2</v>
      </c>
      <c r="AN659" s="86" t="s">
        <v>1748</v>
      </c>
      <c r="AO659" s="86" t="s">
        <v>2178</v>
      </c>
      <c r="AP659" s="81" t="b">
        <v>0</v>
      </c>
      <c r="AQ659" s="86" t="s">
        <v>1748</v>
      </c>
      <c r="AR659" s="81" t="s">
        <v>179</v>
      </c>
      <c r="AS659" s="81">
        <v>0</v>
      </c>
      <c r="AT659" s="81">
        <v>0</v>
      </c>
      <c r="AU659" s="81"/>
      <c r="AV659" s="81"/>
      <c r="AW659" s="81"/>
      <c r="AX659" s="81"/>
      <c r="AY659" s="81"/>
      <c r="AZ659" s="81"/>
      <c r="BA659" s="81"/>
      <c r="BB659" s="81"/>
    </row>
    <row r="660" spans="1:54" x14ac:dyDescent="0.35">
      <c r="A660" s="66" t="s">
        <v>4424</v>
      </c>
      <c r="B660" s="66" t="s">
        <v>4424</v>
      </c>
      <c r="C660" s="67"/>
      <c r="D660" s="68"/>
      <c r="E660" s="69"/>
      <c r="F660" s="70"/>
      <c r="G660" s="67"/>
      <c r="H660" s="71"/>
      <c r="I660" s="72"/>
      <c r="J660" s="72"/>
      <c r="K660" s="36"/>
      <c r="L660" s="79"/>
      <c r="M660" s="79"/>
      <c r="N660" s="74"/>
      <c r="O660" s="81" t="s">
        <v>179</v>
      </c>
      <c r="P660" s="83">
        <v>44463.717442129629</v>
      </c>
      <c r="Q660" s="81" t="s">
        <v>5429</v>
      </c>
      <c r="R660" s="84" t="str">
        <f>HYPERLINK("https://www.nexojornal.com.br/expresso/2016/05/18/Quais-erros-o-PT-assume-quais-joga-para-Dilma-e-quais-atribui-a-advers%C3%A1rios")</f>
        <v>https://www.nexojornal.com.br/expresso/2016/05/18/Quais-erros-o-PT-assume-quais-joga-para-Dilma-e-quais-atribui-a-advers%C3%A1rios</v>
      </c>
      <c r="S660" s="81" t="s">
        <v>5722</v>
      </c>
      <c r="T660" s="81"/>
      <c r="U660" s="81"/>
      <c r="V660" s="84" t="str">
        <f>HYPERLINK("https://pbs.twimg.com/profile_images/1400859404887629824/Rj9-mQ62_normal.jpg")</f>
        <v>https://pbs.twimg.com/profile_images/1400859404887629824/Rj9-mQ62_normal.jpg</v>
      </c>
      <c r="W660" s="83">
        <v>44463.717442129629</v>
      </c>
      <c r="X660" s="89">
        <v>44463</v>
      </c>
      <c r="Y660" s="86" t="s">
        <v>6062</v>
      </c>
      <c r="Z660" s="84" t="str">
        <f>HYPERLINK("https://twitter.com/caioaugstor/status/1441450638836215810")</f>
        <v>https://twitter.com/caioaugstor/status/1441450638836215810</v>
      </c>
      <c r="AA660" s="81"/>
      <c r="AB660" s="81"/>
      <c r="AC660" s="86" t="s">
        <v>6965</v>
      </c>
      <c r="AD660" s="86" t="s">
        <v>7679</v>
      </c>
      <c r="AE660" s="81" t="b">
        <v>0</v>
      </c>
      <c r="AF660" s="81">
        <v>4</v>
      </c>
      <c r="AG660" s="86" t="s">
        <v>7858</v>
      </c>
      <c r="AH660" s="81" t="b">
        <v>0</v>
      </c>
      <c r="AI660" s="81" t="s">
        <v>2171</v>
      </c>
      <c r="AJ660" s="81"/>
      <c r="AK660" s="86" t="s">
        <v>2084</v>
      </c>
      <c r="AL660" s="81" t="b">
        <v>0</v>
      </c>
      <c r="AM660" s="81">
        <v>0</v>
      </c>
      <c r="AN660" s="86" t="s">
        <v>2084</v>
      </c>
      <c r="AO660" s="86" t="s">
        <v>2181</v>
      </c>
      <c r="AP660" s="81" t="b">
        <v>0</v>
      </c>
      <c r="AQ660" s="86" t="s">
        <v>7679</v>
      </c>
      <c r="AR660" s="81" t="s">
        <v>179</v>
      </c>
      <c r="AS660" s="81">
        <v>0</v>
      </c>
      <c r="AT660" s="81">
        <v>0</v>
      </c>
      <c r="AU660" s="81"/>
      <c r="AV660" s="81"/>
      <c r="AW660" s="81"/>
      <c r="AX660" s="81"/>
      <c r="AY660" s="81"/>
      <c r="AZ660" s="81"/>
      <c r="BA660" s="81"/>
      <c r="BB660" s="81"/>
    </row>
    <row r="661" spans="1:54" x14ac:dyDescent="0.35">
      <c r="A661" s="66" t="s">
        <v>4425</v>
      </c>
      <c r="B661" s="66" t="s">
        <v>4425</v>
      </c>
      <c r="C661" s="67"/>
      <c r="D661" s="68"/>
      <c r="E661" s="69"/>
      <c r="F661" s="70"/>
      <c r="G661" s="67"/>
      <c r="H661" s="71"/>
      <c r="I661" s="72"/>
      <c r="J661" s="72"/>
      <c r="K661" s="36"/>
      <c r="L661" s="79"/>
      <c r="M661" s="79"/>
      <c r="N661" s="74"/>
      <c r="O661" s="81" t="s">
        <v>179</v>
      </c>
      <c r="P661" s="83">
        <v>44463.720150462963</v>
      </c>
      <c r="Q661" s="81" t="s">
        <v>5430</v>
      </c>
      <c r="R661" s="84" t="str">
        <f>HYPERLINK("https://onovo.pt/politica/ines-de-medeiros-cdu-foi-oposicao-va-e-inutil-DF3362140")</f>
        <v>https://onovo.pt/politica/ines-de-medeiros-cdu-foi-oposicao-va-e-inutil-DF3362140</v>
      </c>
      <c r="S661" s="81" t="s">
        <v>5728</v>
      </c>
      <c r="T661" s="81"/>
      <c r="U661" s="84" t="str">
        <f>HYPERLINK("https://pbs.twimg.com/media/FAEQmguVkAAolSx.jpg")</f>
        <v>https://pbs.twimg.com/media/FAEQmguVkAAolSx.jpg</v>
      </c>
      <c r="V661" s="84" t="str">
        <f>HYPERLINK("https://pbs.twimg.com/media/FAEQmguVkAAolSx.jpg")</f>
        <v>https://pbs.twimg.com/media/FAEQmguVkAAolSx.jpg</v>
      </c>
      <c r="W661" s="83">
        <v>44463.720150462963</v>
      </c>
      <c r="X661" s="89">
        <v>44463</v>
      </c>
      <c r="Y661" s="86" t="s">
        <v>6063</v>
      </c>
      <c r="Z661" s="84" t="str">
        <f>HYPERLINK("https://twitter.com/novosemanario/status/1441451617950187521")</f>
        <v>https://twitter.com/novosemanario/status/1441451617950187521</v>
      </c>
      <c r="AA661" s="81"/>
      <c r="AB661" s="81"/>
      <c r="AC661" s="86" t="s">
        <v>6966</v>
      </c>
      <c r="AD661" s="81"/>
      <c r="AE661" s="81" t="b">
        <v>0</v>
      </c>
      <c r="AF661" s="81">
        <v>1</v>
      </c>
      <c r="AG661" s="86" t="s">
        <v>2084</v>
      </c>
      <c r="AH661" s="81" t="b">
        <v>0</v>
      </c>
      <c r="AI661" s="81" t="s">
        <v>2171</v>
      </c>
      <c r="AJ661" s="81"/>
      <c r="AK661" s="86" t="s">
        <v>2084</v>
      </c>
      <c r="AL661" s="81" t="b">
        <v>0</v>
      </c>
      <c r="AM661" s="81">
        <v>0</v>
      </c>
      <c r="AN661" s="86" t="s">
        <v>2084</v>
      </c>
      <c r="AO661" s="86" t="s">
        <v>2179</v>
      </c>
      <c r="AP661" s="81" t="b">
        <v>0</v>
      </c>
      <c r="AQ661" s="86" t="s">
        <v>6966</v>
      </c>
      <c r="AR661" s="81" t="s">
        <v>179</v>
      </c>
      <c r="AS661" s="81">
        <v>0</v>
      </c>
      <c r="AT661" s="81">
        <v>0</v>
      </c>
      <c r="AU661" s="81"/>
      <c r="AV661" s="81"/>
      <c r="AW661" s="81"/>
      <c r="AX661" s="81"/>
      <c r="AY661" s="81"/>
      <c r="AZ661" s="81"/>
      <c r="BA661" s="81"/>
      <c r="BB661" s="81"/>
    </row>
    <row r="662" spans="1:54" x14ac:dyDescent="0.35">
      <c r="A662" s="66" t="s">
        <v>422</v>
      </c>
      <c r="B662" s="66" t="s">
        <v>646</v>
      </c>
      <c r="C662" s="67"/>
      <c r="D662" s="68"/>
      <c r="E662" s="69"/>
      <c r="F662" s="70"/>
      <c r="G662" s="67"/>
      <c r="H662" s="71"/>
      <c r="I662" s="72"/>
      <c r="J662" s="72"/>
      <c r="K662" s="36"/>
      <c r="L662" s="79"/>
      <c r="M662" s="79"/>
      <c r="N662" s="74"/>
      <c r="O662" s="81" t="s">
        <v>694</v>
      </c>
      <c r="P662" s="83">
        <v>44463.753541666665</v>
      </c>
      <c r="Q662" s="81" t="s">
        <v>800</v>
      </c>
      <c r="R662" s="81"/>
      <c r="S662" s="81"/>
      <c r="T662" s="86" t="s">
        <v>649</v>
      </c>
      <c r="U662" s="84" t="str">
        <f>HYPERLINK("https://pbs.twimg.com/media/FAEbG8nUcA0oIOp.jpg")</f>
        <v>https://pbs.twimg.com/media/FAEbG8nUcA0oIOp.jpg</v>
      </c>
      <c r="V662" s="84" t="str">
        <f>HYPERLINK("https://pbs.twimg.com/media/FAEbG8nUcA0oIOp.jpg")</f>
        <v>https://pbs.twimg.com/media/FAEbG8nUcA0oIOp.jpg</v>
      </c>
      <c r="W662" s="83">
        <v>44463.753541666665</v>
      </c>
      <c r="X662" s="89">
        <v>44463</v>
      </c>
      <c r="Y662" s="86" t="s">
        <v>1254</v>
      </c>
      <c r="Z662" s="84" t="str">
        <f>HYPERLINK("https://twitter.com/sohyunjae/status/1441463719179919365")</f>
        <v>https://twitter.com/sohyunjae/status/1441463719179919365</v>
      </c>
      <c r="AA662" s="81"/>
      <c r="AB662" s="81"/>
      <c r="AC662" s="86" t="s">
        <v>1750</v>
      </c>
      <c r="AD662" s="81"/>
      <c r="AE662" s="81" t="b">
        <v>0</v>
      </c>
      <c r="AF662" s="81">
        <v>0</v>
      </c>
      <c r="AG662" s="86" t="s">
        <v>2084</v>
      </c>
      <c r="AH662" s="81" t="b">
        <v>0</v>
      </c>
      <c r="AI662" s="81" t="s">
        <v>2168</v>
      </c>
      <c r="AJ662" s="81"/>
      <c r="AK662" s="86" t="s">
        <v>2084</v>
      </c>
      <c r="AL662" s="81" t="b">
        <v>0</v>
      </c>
      <c r="AM662" s="81">
        <v>6</v>
      </c>
      <c r="AN662" s="86" t="s">
        <v>1850</v>
      </c>
      <c r="AO662" s="86" t="s">
        <v>2179</v>
      </c>
      <c r="AP662" s="81" t="b">
        <v>0</v>
      </c>
      <c r="AQ662" s="86" t="s">
        <v>1850</v>
      </c>
      <c r="AR662" s="81" t="s">
        <v>179</v>
      </c>
      <c r="AS662" s="81">
        <v>0</v>
      </c>
      <c r="AT662" s="81">
        <v>0</v>
      </c>
      <c r="AU662" s="81"/>
      <c r="AV662" s="81"/>
      <c r="AW662" s="81"/>
      <c r="AX662" s="81"/>
      <c r="AY662" s="81"/>
      <c r="AZ662" s="81"/>
      <c r="BA662" s="81"/>
      <c r="BB662" s="81"/>
    </row>
    <row r="663" spans="1:54" x14ac:dyDescent="0.35">
      <c r="A663" s="66" t="s">
        <v>422</v>
      </c>
      <c r="B663" s="66" t="s">
        <v>647</v>
      </c>
      <c r="C663" s="67"/>
      <c r="D663" s="68"/>
      <c r="E663" s="69"/>
      <c r="F663" s="70"/>
      <c r="G663" s="67"/>
      <c r="H663" s="71"/>
      <c r="I663" s="72"/>
      <c r="J663" s="72"/>
      <c r="K663" s="36"/>
      <c r="L663" s="79"/>
      <c r="M663" s="79"/>
      <c r="N663" s="74"/>
      <c r="O663" s="81" t="s">
        <v>694</v>
      </c>
      <c r="P663" s="83">
        <v>44463.753541666665</v>
      </c>
      <c r="Q663" s="81" t="s">
        <v>800</v>
      </c>
      <c r="R663" s="81"/>
      <c r="S663" s="81"/>
      <c r="T663" s="86" t="s">
        <v>649</v>
      </c>
      <c r="U663" s="84" t="str">
        <f>HYPERLINK("https://pbs.twimg.com/media/FAEbG8nUcA0oIOp.jpg")</f>
        <v>https://pbs.twimg.com/media/FAEbG8nUcA0oIOp.jpg</v>
      </c>
      <c r="V663" s="84" t="str">
        <f>HYPERLINK("https://pbs.twimg.com/media/FAEbG8nUcA0oIOp.jpg")</f>
        <v>https://pbs.twimg.com/media/FAEbG8nUcA0oIOp.jpg</v>
      </c>
      <c r="W663" s="83">
        <v>44463.753541666665</v>
      </c>
      <c r="X663" s="89">
        <v>44463</v>
      </c>
      <c r="Y663" s="86" t="s">
        <v>1254</v>
      </c>
      <c r="Z663" s="84" t="str">
        <f>HYPERLINK("https://twitter.com/sohyunjae/status/1441463719179919365")</f>
        <v>https://twitter.com/sohyunjae/status/1441463719179919365</v>
      </c>
      <c r="AA663" s="81"/>
      <c r="AB663" s="81"/>
      <c r="AC663" s="86" t="s">
        <v>1750</v>
      </c>
      <c r="AD663" s="81"/>
      <c r="AE663" s="81" t="b">
        <v>0</v>
      </c>
      <c r="AF663" s="81">
        <v>0</v>
      </c>
      <c r="AG663" s="86" t="s">
        <v>2084</v>
      </c>
      <c r="AH663" s="81" t="b">
        <v>0</v>
      </c>
      <c r="AI663" s="81" t="s">
        <v>2168</v>
      </c>
      <c r="AJ663" s="81"/>
      <c r="AK663" s="86" t="s">
        <v>2084</v>
      </c>
      <c r="AL663" s="81" t="b">
        <v>0</v>
      </c>
      <c r="AM663" s="81">
        <v>6</v>
      </c>
      <c r="AN663" s="86" t="s">
        <v>1850</v>
      </c>
      <c r="AO663" s="86" t="s">
        <v>2179</v>
      </c>
      <c r="AP663" s="81" t="b">
        <v>0</v>
      </c>
      <c r="AQ663" s="86" t="s">
        <v>1850</v>
      </c>
      <c r="AR663" s="81" t="s">
        <v>179</v>
      </c>
      <c r="AS663" s="81">
        <v>0</v>
      </c>
      <c r="AT663" s="81">
        <v>0</v>
      </c>
      <c r="AU663" s="81"/>
      <c r="AV663" s="81"/>
      <c r="AW663" s="81"/>
      <c r="AX663" s="81"/>
      <c r="AY663" s="81"/>
      <c r="AZ663" s="81"/>
      <c r="BA663" s="81"/>
      <c r="BB663" s="81"/>
    </row>
    <row r="664" spans="1:54" x14ac:dyDescent="0.35">
      <c r="A664" s="66" t="s">
        <v>422</v>
      </c>
      <c r="B664" s="66" t="s">
        <v>648</v>
      </c>
      <c r="C664" s="67"/>
      <c r="D664" s="68"/>
      <c r="E664" s="69"/>
      <c r="F664" s="70"/>
      <c r="G664" s="67"/>
      <c r="H664" s="71"/>
      <c r="I664" s="72"/>
      <c r="J664" s="72"/>
      <c r="K664" s="36"/>
      <c r="L664" s="79"/>
      <c r="M664" s="79"/>
      <c r="N664" s="74"/>
      <c r="O664" s="81" t="s">
        <v>694</v>
      </c>
      <c r="P664" s="83">
        <v>44463.753541666665</v>
      </c>
      <c r="Q664" s="81" t="s">
        <v>800</v>
      </c>
      <c r="R664" s="81"/>
      <c r="S664" s="81"/>
      <c r="T664" s="86" t="s">
        <v>649</v>
      </c>
      <c r="U664" s="84" t="str">
        <f>HYPERLINK("https://pbs.twimg.com/media/FAEbG8nUcA0oIOp.jpg")</f>
        <v>https://pbs.twimg.com/media/FAEbG8nUcA0oIOp.jpg</v>
      </c>
      <c r="V664" s="84" t="str">
        <f>HYPERLINK("https://pbs.twimg.com/media/FAEbG8nUcA0oIOp.jpg")</f>
        <v>https://pbs.twimg.com/media/FAEbG8nUcA0oIOp.jpg</v>
      </c>
      <c r="W664" s="83">
        <v>44463.753541666665</v>
      </c>
      <c r="X664" s="89">
        <v>44463</v>
      </c>
      <c r="Y664" s="86" t="s">
        <v>1254</v>
      </c>
      <c r="Z664" s="84" t="str">
        <f>HYPERLINK("https://twitter.com/sohyunjae/status/1441463719179919365")</f>
        <v>https://twitter.com/sohyunjae/status/1441463719179919365</v>
      </c>
      <c r="AA664" s="81"/>
      <c r="AB664" s="81"/>
      <c r="AC664" s="86" t="s">
        <v>1750</v>
      </c>
      <c r="AD664" s="81"/>
      <c r="AE664" s="81" t="b">
        <v>0</v>
      </c>
      <c r="AF664" s="81">
        <v>0</v>
      </c>
      <c r="AG664" s="86" t="s">
        <v>2084</v>
      </c>
      <c r="AH664" s="81" t="b">
        <v>0</v>
      </c>
      <c r="AI664" s="81" t="s">
        <v>2168</v>
      </c>
      <c r="AJ664" s="81"/>
      <c r="AK664" s="86" t="s">
        <v>2084</v>
      </c>
      <c r="AL664" s="81" t="b">
        <v>0</v>
      </c>
      <c r="AM664" s="81">
        <v>6</v>
      </c>
      <c r="AN664" s="86" t="s">
        <v>1850</v>
      </c>
      <c r="AO664" s="86" t="s">
        <v>2179</v>
      </c>
      <c r="AP664" s="81" t="b">
        <v>0</v>
      </c>
      <c r="AQ664" s="86" t="s">
        <v>1850</v>
      </c>
      <c r="AR664" s="81" t="s">
        <v>179</v>
      </c>
      <c r="AS664" s="81">
        <v>0</v>
      </c>
      <c r="AT664" s="81">
        <v>0</v>
      </c>
      <c r="AU664" s="81"/>
      <c r="AV664" s="81"/>
      <c r="AW664" s="81"/>
      <c r="AX664" s="81"/>
      <c r="AY664" s="81"/>
      <c r="AZ664" s="81"/>
      <c r="BA664" s="81"/>
      <c r="BB664" s="81"/>
    </row>
    <row r="665" spans="1:54" x14ac:dyDescent="0.35">
      <c r="A665" s="66" t="s">
        <v>422</v>
      </c>
      <c r="B665" s="66" t="s">
        <v>649</v>
      </c>
      <c r="C665" s="67"/>
      <c r="D665" s="68"/>
      <c r="E665" s="69"/>
      <c r="F665" s="70"/>
      <c r="G665" s="67"/>
      <c r="H665" s="71"/>
      <c r="I665" s="72"/>
      <c r="J665" s="72"/>
      <c r="K665" s="36"/>
      <c r="L665" s="79"/>
      <c r="M665" s="79"/>
      <c r="N665" s="74"/>
      <c r="O665" s="81" t="s">
        <v>694</v>
      </c>
      <c r="P665" s="83">
        <v>44463.753541666665</v>
      </c>
      <c r="Q665" s="81" t="s">
        <v>800</v>
      </c>
      <c r="R665" s="81"/>
      <c r="S665" s="81"/>
      <c r="T665" s="86" t="s">
        <v>649</v>
      </c>
      <c r="U665" s="84" t="str">
        <f>HYPERLINK("https://pbs.twimg.com/media/FAEbG8nUcA0oIOp.jpg")</f>
        <v>https://pbs.twimg.com/media/FAEbG8nUcA0oIOp.jpg</v>
      </c>
      <c r="V665" s="84" t="str">
        <f>HYPERLINK("https://pbs.twimg.com/media/FAEbG8nUcA0oIOp.jpg")</f>
        <v>https://pbs.twimg.com/media/FAEbG8nUcA0oIOp.jpg</v>
      </c>
      <c r="W665" s="83">
        <v>44463.753541666665</v>
      </c>
      <c r="X665" s="89">
        <v>44463</v>
      </c>
      <c r="Y665" s="86" t="s">
        <v>1254</v>
      </c>
      <c r="Z665" s="84" t="str">
        <f>HYPERLINK("https://twitter.com/sohyunjae/status/1441463719179919365")</f>
        <v>https://twitter.com/sohyunjae/status/1441463719179919365</v>
      </c>
      <c r="AA665" s="81"/>
      <c r="AB665" s="81"/>
      <c r="AC665" s="86" t="s">
        <v>1750</v>
      </c>
      <c r="AD665" s="81"/>
      <c r="AE665" s="81" t="b">
        <v>0</v>
      </c>
      <c r="AF665" s="81">
        <v>0</v>
      </c>
      <c r="AG665" s="86" t="s">
        <v>2084</v>
      </c>
      <c r="AH665" s="81" t="b">
        <v>0</v>
      </c>
      <c r="AI665" s="81" t="s">
        <v>2168</v>
      </c>
      <c r="AJ665" s="81"/>
      <c r="AK665" s="86" t="s">
        <v>2084</v>
      </c>
      <c r="AL665" s="81" t="b">
        <v>0</v>
      </c>
      <c r="AM665" s="81">
        <v>6</v>
      </c>
      <c r="AN665" s="86" t="s">
        <v>1850</v>
      </c>
      <c r="AO665" s="86" t="s">
        <v>2179</v>
      </c>
      <c r="AP665" s="81" t="b">
        <v>0</v>
      </c>
      <c r="AQ665" s="86" t="s">
        <v>1850</v>
      </c>
      <c r="AR665" s="81" t="s">
        <v>179</v>
      </c>
      <c r="AS665" s="81">
        <v>0</v>
      </c>
      <c r="AT665" s="81">
        <v>0</v>
      </c>
      <c r="AU665" s="81"/>
      <c r="AV665" s="81"/>
      <c r="AW665" s="81"/>
      <c r="AX665" s="81"/>
      <c r="AY665" s="81"/>
      <c r="AZ665" s="81"/>
      <c r="BA665" s="81"/>
      <c r="BB665" s="81"/>
    </row>
    <row r="666" spans="1:54" x14ac:dyDescent="0.35">
      <c r="A666" s="66" t="s">
        <v>422</v>
      </c>
      <c r="B666" s="66" t="s">
        <v>496</v>
      </c>
      <c r="C666" s="67"/>
      <c r="D666" s="68"/>
      <c r="E666" s="69"/>
      <c r="F666" s="70"/>
      <c r="G666" s="67"/>
      <c r="H666" s="71"/>
      <c r="I666" s="72"/>
      <c r="J666" s="72"/>
      <c r="K666" s="36"/>
      <c r="L666" s="79"/>
      <c r="M666" s="79"/>
      <c r="N666" s="74"/>
      <c r="O666" s="81" t="s">
        <v>693</v>
      </c>
      <c r="P666" s="83">
        <v>44463.753541666665</v>
      </c>
      <c r="Q666" s="81" t="s">
        <v>800</v>
      </c>
      <c r="R666" s="81"/>
      <c r="S666" s="81"/>
      <c r="T666" s="86" t="s">
        <v>649</v>
      </c>
      <c r="U666" s="84" t="str">
        <f>HYPERLINK("https://pbs.twimg.com/media/FAEbG8nUcA0oIOp.jpg")</f>
        <v>https://pbs.twimg.com/media/FAEbG8nUcA0oIOp.jpg</v>
      </c>
      <c r="V666" s="84" t="str">
        <f>HYPERLINK("https://pbs.twimg.com/media/FAEbG8nUcA0oIOp.jpg")</f>
        <v>https://pbs.twimg.com/media/FAEbG8nUcA0oIOp.jpg</v>
      </c>
      <c r="W666" s="83">
        <v>44463.753541666665</v>
      </c>
      <c r="X666" s="89">
        <v>44463</v>
      </c>
      <c r="Y666" s="86" t="s">
        <v>1254</v>
      </c>
      <c r="Z666" s="84" t="str">
        <f>HYPERLINK("https://twitter.com/sohyunjae/status/1441463719179919365")</f>
        <v>https://twitter.com/sohyunjae/status/1441463719179919365</v>
      </c>
      <c r="AA666" s="81"/>
      <c r="AB666" s="81"/>
      <c r="AC666" s="86" t="s">
        <v>1750</v>
      </c>
      <c r="AD666" s="81"/>
      <c r="AE666" s="81" t="b">
        <v>0</v>
      </c>
      <c r="AF666" s="81">
        <v>0</v>
      </c>
      <c r="AG666" s="86" t="s">
        <v>2084</v>
      </c>
      <c r="AH666" s="81" t="b">
        <v>0</v>
      </c>
      <c r="AI666" s="81" t="s">
        <v>2168</v>
      </c>
      <c r="AJ666" s="81"/>
      <c r="AK666" s="86" t="s">
        <v>2084</v>
      </c>
      <c r="AL666" s="81" t="b">
        <v>0</v>
      </c>
      <c r="AM666" s="81">
        <v>6</v>
      </c>
      <c r="AN666" s="86" t="s">
        <v>1850</v>
      </c>
      <c r="AO666" s="86" t="s">
        <v>2179</v>
      </c>
      <c r="AP666" s="81" t="b">
        <v>0</v>
      </c>
      <c r="AQ666" s="86" t="s">
        <v>1850</v>
      </c>
      <c r="AR666" s="81" t="s">
        <v>179</v>
      </c>
      <c r="AS666" s="81">
        <v>0</v>
      </c>
      <c r="AT666" s="81">
        <v>0</v>
      </c>
      <c r="AU666" s="81"/>
      <c r="AV666" s="81"/>
      <c r="AW666" s="81"/>
      <c r="AX666" s="81"/>
      <c r="AY666" s="81"/>
      <c r="AZ666" s="81"/>
      <c r="BA666" s="81"/>
      <c r="BB666" s="81"/>
    </row>
    <row r="667" spans="1:54" x14ac:dyDescent="0.35">
      <c r="A667" s="66" t="s">
        <v>422</v>
      </c>
      <c r="B667" s="66" t="s">
        <v>646</v>
      </c>
      <c r="C667" s="67"/>
      <c r="D667" s="68"/>
      <c r="E667" s="69"/>
      <c r="F667" s="70"/>
      <c r="G667" s="67"/>
      <c r="H667" s="71"/>
      <c r="I667" s="72"/>
      <c r="J667" s="72"/>
      <c r="K667" s="36"/>
      <c r="L667" s="79"/>
      <c r="M667" s="79"/>
      <c r="N667" s="74"/>
      <c r="O667" s="81" t="s">
        <v>694</v>
      </c>
      <c r="P667" s="83">
        <v>44463.753576388888</v>
      </c>
      <c r="Q667" s="81" t="s">
        <v>801</v>
      </c>
      <c r="R667" s="81"/>
      <c r="S667" s="81"/>
      <c r="T667" s="86" t="s">
        <v>649</v>
      </c>
      <c r="U667" s="84" t="str">
        <f>HYPERLINK("https://pbs.twimg.com/media/FAEbDOhVUAIE92y.jpg")</f>
        <v>https://pbs.twimg.com/media/FAEbDOhVUAIE92y.jpg</v>
      </c>
      <c r="V667" s="84" t="str">
        <f>HYPERLINK("https://pbs.twimg.com/media/FAEbDOhVUAIE92y.jpg")</f>
        <v>https://pbs.twimg.com/media/FAEbDOhVUAIE92y.jpg</v>
      </c>
      <c r="W667" s="83">
        <v>44463.753576388888</v>
      </c>
      <c r="X667" s="89">
        <v>44463</v>
      </c>
      <c r="Y667" s="86" t="s">
        <v>1255</v>
      </c>
      <c r="Z667" s="84" t="str">
        <f>HYPERLINK("https://twitter.com/sohyunjae/status/1441463731431436295")</f>
        <v>https://twitter.com/sohyunjae/status/1441463731431436295</v>
      </c>
      <c r="AA667" s="81"/>
      <c r="AB667" s="81"/>
      <c r="AC667" s="86" t="s">
        <v>1751</v>
      </c>
      <c r="AD667" s="81"/>
      <c r="AE667" s="81" t="b">
        <v>0</v>
      </c>
      <c r="AF667" s="81">
        <v>0</v>
      </c>
      <c r="AG667" s="86" t="s">
        <v>2084</v>
      </c>
      <c r="AH667" s="81" t="b">
        <v>0</v>
      </c>
      <c r="AI667" s="81" t="s">
        <v>2168</v>
      </c>
      <c r="AJ667" s="81"/>
      <c r="AK667" s="86" t="s">
        <v>2084</v>
      </c>
      <c r="AL667" s="81" t="b">
        <v>0</v>
      </c>
      <c r="AM667" s="81">
        <v>6</v>
      </c>
      <c r="AN667" s="86" t="s">
        <v>1849</v>
      </c>
      <c r="AO667" s="86" t="s">
        <v>2179</v>
      </c>
      <c r="AP667" s="81" t="b">
        <v>0</v>
      </c>
      <c r="AQ667" s="86" t="s">
        <v>1849</v>
      </c>
      <c r="AR667" s="81" t="s">
        <v>179</v>
      </c>
      <c r="AS667" s="81">
        <v>0</v>
      </c>
      <c r="AT667" s="81">
        <v>0</v>
      </c>
      <c r="AU667" s="81"/>
      <c r="AV667" s="81"/>
      <c r="AW667" s="81"/>
      <c r="AX667" s="81"/>
      <c r="AY667" s="81"/>
      <c r="AZ667" s="81"/>
      <c r="BA667" s="81"/>
      <c r="BB667" s="81"/>
    </row>
    <row r="668" spans="1:54" x14ac:dyDescent="0.35">
      <c r="A668" s="66" t="s">
        <v>422</v>
      </c>
      <c r="B668" s="66" t="s">
        <v>647</v>
      </c>
      <c r="C668" s="67"/>
      <c r="D668" s="68"/>
      <c r="E668" s="69"/>
      <c r="F668" s="70"/>
      <c r="G668" s="67"/>
      <c r="H668" s="71"/>
      <c r="I668" s="72"/>
      <c r="J668" s="72"/>
      <c r="K668" s="36"/>
      <c r="L668" s="79"/>
      <c r="M668" s="79"/>
      <c r="N668" s="74"/>
      <c r="O668" s="81" t="s">
        <v>694</v>
      </c>
      <c r="P668" s="83">
        <v>44463.753576388888</v>
      </c>
      <c r="Q668" s="81" t="s">
        <v>801</v>
      </c>
      <c r="R668" s="81"/>
      <c r="S668" s="81"/>
      <c r="T668" s="86" t="s">
        <v>649</v>
      </c>
      <c r="U668" s="84" t="str">
        <f>HYPERLINK("https://pbs.twimg.com/media/FAEbDOhVUAIE92y.jpg")</f>
        <v>https://pbs.twimg.com/media/FAEbDOhVUAIE92y.jpg</v>
      </c>
      <c r="V668" s="84" t="str">
        <f>HYPERLINK("https://pbs.twimg.com/media/FAEbDOhVUAIE92y.jpg")</f>
        <v>https://pbs.twimg.com/media/FAEbDOhVUAIE92y.jpg</v>
      </c>
      <c r="W668" s="83">
        <v>44463.753576388888</v>
      </c>
      <c r="X668" s="89">
        <v>44463</v>
      </c>
      <c r="Y668" s="86" t="s">
        <v>1255</v>
      </c>
      <c r="Z668" s="84" t="str">
        <f>HYPERLINK("https://twitter.com/sohyunjae/status/1441463731431436295")</f>
        <v>https://twitter.com/sohyunjae/status/1441463731431436295</v>
      </c>
      <c r="AA668" s="81"/>
      <c r="AB668" s="81"/>
      <c r="AC668" s="86" t="s">
        <v>1751</v>
      </c>
      <c r="AD668" s="81"/>
      <c r="AE668" s="81" t="b">
        <v>0</v>
      </c>
      <c r="AF668" s="81">
        <v>0</v>
      </c>
      <c r="AG668" s="86" t="s">
        <v>2084</v>
      </c>
      <c r="AH668" s="81" t="b">
        <v>0</v>
      </c>
      <c r="AI668" s="81" t="s">
        <v>2168</v>
      </c>
      <c r="AJ668" s="81"/>
      <c r="AK668" s="86" t="s">
        <v>2084</v>
      </c>
      <c r="AL668" s="81" t="b">
        <v>0</v>
      </c>
      <c r="AM668" s="81">
        <v>6</v>
      </c>
      <c r="AN668" s="86" t="s">
        <v>1849</v>
      </c>
      <c r="AO668" s="86" t="s">
        <v>2179</v>
      </c>
      <c r="AP668" s="81" t="b">
        <v>0</v>
      </c>
      <c r="AQ668" s="86" t="s">
        <v>1849</v>
      </c>
      <c r="AR668" s="81" t="s">
        <v>179</v>
      </c>
      <c r="AS668" s="81">
        <v>0</v>
      </c>
      <c r="AT668" s="81">
        <v>0</v>
      </c>
      <c r="AU668" s="81"/>
      <c r="AV668" s="81"/>
      <c r="AW668" s="81"/>
      <c r="AX668" s="81"/>
      <c r="AY668" s="81"/>
      <c r="AZ668" s="81"/>
      <c r="BA668" s="81"/>
      <c r="BB668" s="81"/>
    </row>
    <row r="669" spans="1:54" x14ac:dyDescent="0.35">
      <c r="A669" s="66" t="s">
        <v>422</v>
      </c>
      <c r="B669" s="66" t="s">
        <v>648</v>
      </c>
      <c r="C669" s="67"/>
      <c r="D669" s="68"/>
      <c r="E669" s="69"/>
      <c r="F669" s="70"/>
      <c r="G669" s="67"/>
      <c r="H669" s="71"/>
      <c r="I669" s="72"/>
      <c r="J669" s="72"/>
      <c r="K669" s="36"/>
      <c r="L669" s="79"/>
      <c r="M669" s="79"/>
      <c r="N669" s="74"/>
      <c r="O669" s="81" t="s">
        <v>694</v>
      </c>
      <c r="P669" s="83">
        <v>44463.753576388888</v>
      </c>
      <c r="Q669" s="81" t="s">
        <v>801</v>
      </c>
      <c r="R669" s="81"/>
      <c r="S669" s="81"/>
      <c r="T669" s="86" t="s">
        <v>649</v>
      </c>
      <c r="U669" s="84" t="str">
        <f>HYPERLINK("https://pbs.twimg.com/media/FAEbDOhVUAIE92y.jpg")</f>
        <v>https://pbs.twimg.com/media/FAEbDOhVUAIE92y.jpg</v>
      </c>
      <c r="V669" s="84" t="str">
        <f>HYPERLINK("https://pbs.twimg.com/media/FAEbDOhVUAIE92y.jpg")</f>
        <v>https://pbs.twimg.com/media/FAEbDOhVUAIE92y.jpg</v>
      </c>
      <c r="W669" s="83">
        <v>44463.753576388888</v>
      </c>
      <c r="X669" s="89">
        <v>44463</v>
      </c>
      <c r="Y669" s="86" t="s">
        <v>1255</v>
      </c>
      <c r="Z669" s="84" t="str">
        <f>HYPERLINK("https://twitter.com/sohyunjae/status/1441463731431436295")</f>
        <v>https://twitter.com/sohyunjae/status/1441463731431436295</v>
      </c>
      <c r="AA669" s="81"/>
      <c r="AB669" s="81"/>
      <c r="AC669" s="86" t="s">
        <v>1751</v>
      </c>
      <c r="AD669" s="81"/>
      <c r="AE669" s="81" t="b">
        <v>0</v>
      </c>
      <c r="AF669" s="81">
        <v>0</v>
      </c>
      <c r="AG669" s="86" t="s">
        <v>2084</v>
      </c>
      <c r="AH669" s="81" t="b">
        <v>0</v>
      </c>
      <c r="AI669" s="81" t="s">
        <v>2168</v>
      </c>
      <c r="AJ669" s="81"/>
      <c r="AK669" s="86" t="s">
        <v>2084</v>
      </c>
      <c r="AL669" s="81" t="b">
        <v>0</v>
      </c>
      <c r="AM669" s="81">
        <v>6</v>
      </c>
      <c r="AN669" s="86" t="s">
        <v>1849</v>
      </c>
      <c r="AO669" s="86" t="s">
        <v>2179</v>
      </c>
      <c r="AP669" s="81" t="b">
        <v>0</v>
      </c>
      <c r="AQ669" s="86" t="s">
        <v>1849</v>
      </c>
      <c r="AR669" s="81" t="s">
        <v>179</v>
      </c>
      <c r="AS669" s="81">
        <v>0</v>
      </c>
      <c r="AT669" s="81">
        <v>0</v>
      </c>
      <c r="AU669" s="81"/>
      <c r="AV669" s="81"/>
      <c r="AW669" s="81"/>
      <c r="AX669" s="81"/>
      <c r="AY669" s="81"/>
      <c r="AZ669" s="81"/>
      <c r="BA669" s="81"/>
      <c r="BB669" s="81"/>
    </row>
    <row r="670" spans="1:54" x14ac:dyDescent="0.35">
      <c r="A670" s="66" t="s">
        <v>422</v>
      </c>
      <c r="B670" s="66" t="s">
        <v>649</v>
      </c>
      <c r="C670" s="67"/>
      <c r="D670" s="68"/>
      <c r="E670" s="69"/>
      <c r="F670" s="70"/>
      <c r="G670" s="67"/>
      <c r="H670" s="71"/>
      <c r="I670" s="72"/>
      <c r="J670" s="72"/>
      <c r="K670" s="36"/>
      <c r="L670" s="79"/>
      <c r="M670" s="79"/>
      <c r="N670" s="74"/>
      <c r="O670" s="81" t="s">
        <v>694</v>
      </c>
      <c r="P670" s="83">
        <v>44463.753576388888</v>
      </c>
      <c r="Q670" s="81" t="s">
        <v>801</v>
      </c>
      <c r="R670" s="81"/>
      <c r="S670" s="81"/>
      <c r="T670" s="86" t="s">
        <v>649</v>
      </c>
      <c r="U670" s="84" t="str">
        <f>HYPERLINK("https://pbs.twimg.com/media/FAEbDOhVUAIE92y.jpg")</f>
        <v>https://pbs.twimg.com/media/FAEbDOhVUAIE92y.jpg</v>
      </c>
      <c r="V670" s="84" t="str">
        <f>HYPERLINK("https://pbs.twimg.com/media/FAEbDOhVUAIE92y.jpg")</f>
        <v>https://pbs.twimg.com/media/FAEbDOhVUAIE92y.jpg</v>
      </c>
      <c r="W670" s="83">
        <v>44463.753576388888</v>
      </c>
      <c r="X670" s="89">
        <v>44463</v>
      </c>
      <c r="Y670" s="86" t="s">
        <v>1255</v>
      </c>
      <c r="Z670" s="84" t="str">
        <f>HYPERLINK("https://twitter.com/sohyunjae/status/1441463731431436295")</f>
        <v>https://twitter.com/sohyunjae/status/1441463731431436295</v>
      </c>
      <c r="AA670" s="81"/>
      <c r="AB670" s="81"/>
      <c r="AC670" s="86" t="s">
        <v>1751</v>
      </c>
      <c r="AD670" s="81"/>
      <c r="AE670" s="81" t="b">
        <v>0</v>
      </c>
      <c r="AF670" s="81">
        <v>0</v>
      </c>
      <c r="AG670" s="86" t="s">
        <v>2084</v>
      </c>
      <c r="AH670" s="81" t="b">
        <v>0</v>
      </c>
      <c r="AI670" s="81" t="s">
        <v>2168</v>
      </c>
      <c r="AJ670" s="81"/>
      <c r="AK670" s="86" t="s">
        <v>2084</v>
      </c>
      <c r="AL670" s="81" t="b">
        <v>0</v>
      </c>
      <c r="AM670" s="81">
        <v>6</v>
      </c>
      <c r="AN670" s="86" t="s">
        <v>1849</v>
      </c>
      <c r="AO670" s="86" t="s">
        <v>2179</v>
      </c>
      <c r="AP670" s="81" t="b">
        <v>0</v>
      </c>
      <c r="AQ670" s="86" t="s">
        <v>1849</v>
      </c>
      <c r="AR670" s="81" t="s">
        <v>179</v>
      </c>
      <c r="AS670" s="81">
        <v>0</v>
      </c>
      <c r="AT670" s="81">
        <v>0</v>
      </c>
      <c r="AU670" s="81"/>
      <c r="AV670" s="81"/>
      <c r="AW670" s="81"/>
      <c r="AX670" s="81"/>
      <c r="AY670" s="81"/>
      <c r="AZ670" s="81"/>
      <c r="BA670" s="81"/>
      <c r="BB670" s="81"/>
    </row>
    <row r="671" spans="1:54" x14ac:dyDescent="0.35">
      <c r="A671" s="66" t="s">
        <v>422</v>
      </c>
      <c r="B671" s="66" t="s">
        <v>496</v>
      </c>
      <c r="C671" s="67"/>
      <c r="D671" s="68"/>
      <c r="E671" s="69"/>
      <c r="F671" s="70"/>
      <c r="G671" s="67"/>
      <c r="H671" s="71"/>
      <c r="I671" s="72"/>
      <c r="J671" s="72"/>
      <c r="K671" s="36"/>
      <c r="L671" s="79"/>
      <c r="M671" s="79"/>
      <c r="N671" s="74"/>
      <c r="O671" s="81" t="s">
        <v>693</v>
      </c>
      <c r="P671" s="83">
        <v>44463.753576388888</v>
      </c>
      <c r="Q671" s="81" t="s">
        <v>801</v>
      </c>
      <c r="R671" s="81"/>
      <c r="S671" s="81"/>
      <c r="T671" s="86" t="s">
        <v>649</v>
      </c>
      <c r="U671" s="84" t="str">
        <f>HYPERLINK("https://pbs.twimg.com/media/FAEbDOhVUAIE92y.jpg")</f>
        <v>https://pbs.twimg.com/media/FAEbDOhVUAIE92y.jpg</v>
      </c>
      <c r="V671" s="84" t="str">
        <f>HYPERLINK("https://pbs.twimg.com/media/FAEbDOhVUAIE92y.jpg")</f>
        <v>https://pbs.twimg.com/media/FAEbDOhVUAIE92y.jpg</v>
      </c>
      <c r="W671" s="83">
        <v>44463.753576388888</v>
      </c>
      <c r="X671" s="89">
        <v>44463</v>
      </c>
      <c r="Y671" s="86" t="s">
        <v>1255</v>
      </c>
      <c r="Z671" s="84" t="str">
        <f>HYPERLINK("https://twitter.com/sohyunjae/status/1441463731431436295")</f>
        <v>https://twitter.com/sohyunjae/status/1441463731431436295</v>
      </c>
      <c r="AA671" s="81"/>
      <c r="AB671" s="81"/>
      <c r="AC671" s="86" t="s">
        <v>1751</v>
      </c>
      <c r="AD671" s="81"/>
      <c r="AE671" s="81" t="b">
        <v>0</v>
      </c>
      <c r="AF671" s="81">
        <v>0</v>
      </c>
      <c r="AG671" s="86" t="s">
        <v>2084</v>
      </c>
      <c r="AH671" s="81" t="b">
        <v>0</v>
      </c>
      <c r="AI671" s="81" t="s">
        <v>2168</v>
      </c>
      <c r="AJ671" s="81"/>
      <c r="AK671" s="86" t="s">
        <v>2084</v>
      </c>
      <c r="AL671" s="81" t="b">
        <v>0</v>
      </c>
      <c r="AM671" s="81">
        <v>6</v>
      </c>
      <c r="AN671" s="86" t="s">
        <v>1849</v>
      </c>
      <c r="AO671" s="86" t="s">
        <v>2179</v>
      </c>
      <c r="AP671" s="81" t="b">
        <v>0</v>
      </c>
      <c r="AQ671" s="86" t="s">
        <v>1849</v>
      </c>
      <c r="AR671" s="81" t="s">
        <v>179</v>
      </c>
      <c r="AS671" s="81">
        <v>0</v>
      </c>
      <c r="AT671" s="81">
        <v>0</v>
      </c>
      <c r="AU671" s="81"/>
      <c r="AV671" s="81"/>
      <c r="AW671" s="81"/>
      <c r="AX671" s="81"/>
      <c r="AY671" s="81"/>
      <c r="AZ671" s="81"/>
      <c r="BA671" s="81"/>
      <c r="BB671" s="81"/>
    </row>
    <row r="672" spans="1:54" x14ac:dyDescent="0.35">
      <c r="A672" s="66" t="s">
        <v>422</v>
      </c>
      <c r="B672" s="66" t="s">
        <v>646</v>
      </c>
      <c r="C672" s="67"/>
      <c r="D672" s="68"/>
      <c r="E672" s="69"/>
      <c r="F672" s="70"/>
      <c r="G672" s="67"/>
      <c r="H672" s="71"/>
      <c r="I672" s="72"/>
      <c r="J672" s="72"/>
      <c r="K672" s="36"/>
      <c r="L672" s="79"/>
      <c r="M672" s="79"/>
      <c r="N672" s="74"/>
      <c r="O672" s="81" t="s">
        <v>694</v>
      </c>
      <c r="P672" s="83">
        <v>44463.753622685188</v>
      </c>
      <c r="Q672" s="81" t="s">
        <v>802</v>
      </c>
      <c r="R672" s="81"/>
      <c r="S672" s="81"/>
      <c r="T672" s="86" t="s">
        <v>649</v>
      </c>
      <c r="U672" s="84" t="str">
        <f>HYPERLINK("https://pbs.twimg.com/media/FAEa_mFUYAcoKUu.jpg")</f>
        <v>https://pbs.twimg.com/media/FAEa_mFUYAcoKUu.jpg</v>
      </c>
      <c r="V672" s="84" t="str">
        <f>HYPERLINK("https://pbs.twimg.com/media/FAEa_mFUYAcoKUu.jpg")</f>
        <v>https://pbs.twimg.com/media/FAEa_mFUYAcoKUu.jpg</v>
      </c>
      <c r="W672" s="83">
        <v>44463.753622685188</v>
      </c>
      <c r="X672" s="89">
        <v>44463</v>
      </c>
      <c r="Y672" s="86" t="s">
        <v>1256</v>
      </c>
      <c r="Z672" s="84" t="str">
        <f>HYPERLINK("https://twitter.com/sohyunjae/status/1441463748288385024")</f>
        <v>https://twitter.com/sohyunjae/status/1441463748288385024</v>
      </c>
      <c r="AA672" s="81"/>
      <c r="AB672" s="81"/>
      <c r="AC672" s="86" t="s">
        <v>1752</v>
      </c>
      <c r="AD672" s="81"/>
      <c r="AE672" s="81" t="b">
        <v>0</v>
      </c>
      <c r="AF672" s="81">
        <v>0</v>
      </c>
      <c r="AG672" s="86" t="s">
        <v>2084</v>
      </c>
      <c r="AH672" s="81" t="b">
        <v>0</v>
      </c>
      <c r="AI672" s="81" t="s">
        <v>2168</v>
      </c>
      <c r="AJ672" s="81"/>
      <c r="AK672" s="86" t="s">
        <v>2084</v>
      </c>
      <c r="AL672" s="81" t="b">
        <v>0</v>
      </c>
      <c r="AM672" s="81">
        <v>24</v>
      </c>
      <c r="AN672" s="86" t="s">
        <v>1848</v>
      </c>
      <c r="AO672" s="86" t="s">
        <v>2179</v>
      </c>
      <c r="AP672" s="81" t="b">
        <v>0</v>
      </c>
      <c r="AQ672" s="86" t="s">
        <v>1848</v>
      </c>
      <c r="AR672" s="81" t="s">
        <v>179</v>
      </c>
      <c r="AS672" s="81">
        <v>0</v>
      </c>
      <c r="AT672" s="81">
        <v>0</v>
      </c>
      <c r="AU672" s="81"/>
      <c r="AV672" s="81"/>
      <c r="AW672" s="81"/>
      <c r="AX672" s="81"/>
      <c r="AY672" s="81"/>
      <c r="AZ672" s="81"/>
      <c r="BA672" s="81"/>
      <c r="BB672" s="81"/>
    </row>
    <row r="673" spans="1:54" x14ac:dyDescent="0.35">
      <c r="A673" s="66" t="s">
        <v>422</v>
      </c>
      <c r="B673" s="66" t="s">
        <v>647</v>
      </c>
      <c r="C673" s="67"/>
      <c r="D673" s="68"/>
      <c r="E673" s="69"/>
      <c r="F673" s="70"/>
      <c r="G673" s="67"/>
      <c r="H673" s="71"/>
      <c r="I673" s="72"/>
      <c r="J673" s="72"/>
      <c r="K673" s="36"/>
      <c r="L673" s="79"/>
      <c r="M673" s="79"/>
      <c r="N673" s="74"/>
      <c r="O673" s="81" t="s">
        <v>694</v>
      </c>
      <c r="P673" s="83">
        <v>44463.753622685188</v>
      </c>
      <c r="Q673" s="81" t="s">
        <v>802</v>
      </c>
      <c r="R673" s="81"/>
      <c r="S673" s="81"/>
      <c r="T673" s="86" t="s">
        <v>649</v>
      </c>
      <c r="U673" s="84" t="str">
        <f>HYPERLINK("https://pbs.twimg.com/media/FAEa_mFUYAcoKUu.jpg")</f>
        <v>https://pbs.twimg.com/media/FAEa_mFUYAcoKUu.jpg</v>
      </c>
      <c r="V673" s="84" t="str">
        <f>HYPERLINK("https://pbs.twimg.com/media/FAEa_mFUYAcoKUu.jpg")</f>
        <v>https://pbs.twimg.com/media/FAEa_mFUYAcoKUu.jpg</v>
      </c>
      <c r="W673" s="83">
        <v>44463.753622685188</v>
      </c>
      <c r="X673" s="89">
        <v>44463</v>
      </c>
      <c r="Y673" s="86" t="s">
        <v>1256</v>
      </c>
      <c r="Z673" s="84" t="str">
        <f>HYPERLINK("https://twitter.com/sohyunjae/status/1441463748288385024")</f>
        <v>https://twitter.com/sohyunjae/status/1441463748288385024</v>
      </c>
      <c r="AA673" s="81"/>
      <c r="AB673" s="81"/>
      <c r="AC673" s="86" t="s">
        <v>1752</v>
      </c>
      <c r="AD673" s="81"/>
      <c r="AE673" s="81" t="b">
        <v>0</v>
      </c>
      <c r="AF673" s="81">
        <v>0</v>
      </c>
      <c r="AG673" s="86" t="s">
        <v>2084</v>
      </c>
      <c r="AH673" s="81" t="b">
        <v>0</v>
      </c>
      <c r="AI673" s="81" t="s">
        <v>2168</v>
      </c>
      <c r="AJ673" s="81"/>
      <c r="AK673" s="86" t="s">
        <v>2084</v>
      </c>
      <c r="AL673" s="81" t="b">
        <v>0</v>
      </c>
      <c r="AM673" s="81">
        <v>24</v>
      </c>
      <c r="AN673" s="86" t="s">
        <v>1848</v>
      </c>
      <c r="AO673" s="86" t="s">
        <v>2179</v>
      </c>
      <c r="AP673" s="81" t="b">
        <v>0</v>
      </c>
      <c r="AQ673" s="86" t="s">
        <v>1848</v>
      </c>
      <c r="AR673" s="81" t="s">
        <v>179</v>
      </c>
      <c r="AS673" s="81">
        <v>0</v>
      </c>
      <c r="AT673" s="81">
        <v>0</v>
      </c>
      <c r="AU673" s="81"/>
      <c r="AV673" s="81"/>
      <c r="AW673" s="81"/>
      <c r="AX673" s="81"/>
      <c r="AY673" s="81"/>
      <c r="AZ673" s="81"/>
      <c r="BA673" s="81"/>
      <c r="BB673" s="81"/>
    </row>
    <row r="674" spans="1:54" x14ac:dyDescent="0.35">
      <c r="A674" s="66" t="s">
        <v>422</v>
      </c>
      <c r="B674" s="66" t="s">
        <v>648</v>
      </c>
      <c r="C674" s="67"/>
      <c r="D674" s="68"/>
      <c r="E674" s="69"/>
      <c r="F674" s="70"/>
      <c r="G674" s="67"/>
      <c r="H674" s="71"/>
      <c r="I674" s="72"/>
      <c r="J674" s="72"/>
      <c r="K674" s="36"/>
      <c r="L674" s="79"/>
      <c r="M674" s="79"/>
      <c r="N674" s="74"/>
      <c r="O674" s="81" t="s">
        <v>694</v>
      </c>
      <c r="P674" s="83">
        <v>44463.753622685188</v>
      </c>
      <c r="Q674" s="81" t="s">
        <v>802</v>
      </c>
      <c r="R674" s="81"/>
      <c r="S674" s="81"/>
      <c r="T674" s="86" t="s">
        <v>649</v>
      </c>
      <c r="U674" s="84" t="str">
        <f>HYPERLINK("https://pbs.twimg.com/media/FAEa_mFUYAcoKUu.jpg")</f>
        <v>https://pbs.twimg.com/media/FAEa_mFUYAcoKUu.jpg</v>
      </c>
      <c r="V674" s="84" t="str">
        <f>HYPERLINK("https://pbs.twimg.com/media/FAEa_mFUYAcoKUu.jpg")</f>
        <v>https://pbs.twimg.com/media/FAEa_mFUYAcoKUu.jpg</v>
      </c>
      <c r="W674" s="83">
        <v>44463.753622685188</v>
      </c>
      <c r="X674" s="89">
        <v>44463</v>
      </c>
      <c r="Y674" s="86" t="s">
        <v>1256</v>
      </c>
      <c r="Z674" s="84" t="str">
        <f>HYPERLINK("https://twitter.com/sohyunjae/status/1441463748288385024")</f>
        <v>https://twitter.com/sohyunjae/status/1441463748288385024</v>
      </c>
      <c r="AA674" s="81"/>
      <c r="AB674" s="81"/>
      <c r="AC674" s="86" t="s">
        <v>1752</v>
      </c>
      <c r="AD674" s="81"/>
      <c r="AE674" s="81" t="b">
        <v>0</v>
      </c>
      <c r="AF674" s="81">
        <v>0</v>
      </c>
      <c r="AG674" s="86" t="s">
        <v>2084</v>
      </c>
      <c r="AH674" s="81" t="b">
        <v>0</v>
      </c>
      <c r="AI674" s="81" t="s">
        <v>2168</v>
      </c>
      <c r="AJ674" s="81"/>
      <c r="AK674" s="86" t="s">
        <v>2084</v>
      </c>
      <c r="AL674" s="81" t="b">
        <v>0</v>
      </c>
      <c r="AM674" s="81">
        <v>24</v>
      </c>
      <c r="AN674" s="86" t="s">
        <v>1848</v>
      </c>
      <c r="AO674" s="86" t="s">
        <v>2179</v>
      </c>
      <c r="AP674" s="81" t="b">
        <v>0</v>
      </c>
      <c r="AQ674" s="86" t="s">
        <v>1848</v>
      </c>
      <c r="AR674" s="81" t="s">
        <v>179</v>
      </c>
      <c r="AS674" s="81">
        <v>0</v>
      </c>
      <c r="AT674" s="81">
        <v>0</v>
      </c>
      <c r="AU674" s="81"/>
      <c r="AV674" s="81"/>
      <c r="AW674" s="81"/>
      <c r="AX674" s="81"/>
      <c r="AY674" s="81"/>
      <c r="AZ674" s="81"/>
      <c r="BA674" s="81"/>
      <c r="BB674" s="81"/>
    </row>
    <row r="675" spans="1:54" x14ac:dyDescent="0.35">
      <c r="A675" s="66" t="s">
        <v>422</v>
      </c>
      <c r="B675" s="66" t="s">
        <v>649</v>
      </c>
      <c r="C675" s="67"/>
      <c r="D675" s="68"/>
      <c r="E675" s="69"/>
      <c r="F675" s="70"/>
      <c r="G675" s="67"/>
      <c r="H675" s="71"/>
      <c r="I675" s="72"/>
      <c r="J675" s="72"/>
      <c r="K675" s="36"/>
      <c r="L675" s="79"/>
      <c r="M675" s="79"/>
      <c r="N675" s="74"/>
      <c r="O675" s="81" t="s">
        <v>694</v>
      </c>
      <c r="P675" s="83">
        <v>44463.753622685188</v>
      </c>
      <c r="Q675" s="81" t="s">
        <v>802</v>
      </c>
      <c r="R675" s="81"/>
      <c r="S675" s="81"/>
      <c r="T675" s="86" t="s">
        <v>649</v>
      </c>
      <c r="U675" s="84" t="str">
        <f>HYPERLINK("https://pbs.twimg.com/media/FAEa_mFUYAcoKUu.jpg")</f>
        <v>https://pbs.twimg.com/media/FAEa_mFUYAcoKUu.jpg</v>
      </c>
      <c r="V675" s="84" t="str">
        <f>HYPERLINK("https://pbs.twimg.com/media/FAEa_mFUYAcoKUu.jpg")</f>
        <v>https://pbs.twimg.com/media/FAEa_mFUYAcoKUu.jpg</v>
      </c>
      <c r="W675" s="83">
        <v>44463.753622685188</v>
      </c>
      <c r="X675" s="89">
        <v>44463</v>
      </c>
      <c r="Y675" s="86" t="s">
        <v>1256</v>
      </c>
      <c r="Z675" s="84" t="str">
        <f>HYPERLINK("https://twitter.com/sohyunjae/status/1441463748288385024")</f>
        <v>https://twitter.com/sohyunjae/status/1441463748288385024</v>
      </c>
      <c r="AA675" s="81"/>
      <c r="AB675" s="81"/>
      <c r="AC675" s="86" t="s">
        <v>1752</v>
      </c>
      <c r="AD675" s="81"/>
      <c r="AE675" s="81" t="b">
        <v>0</v>
      </c>
      <c r="AF675" s="81">
        <v>0</v>
      </c>
      <c r="AG675" s="86" t="s">
        <v>2084</v>
      </c>
      <c r="AH675" s="81" t="b">
        <v>0</v>
      </c>
      <c r="AI675" s="81" t="s">
        <v>2168</v>
      </c>
      <c r="AJ675" s="81"/>
      <c r="AK675" s="86" t="s">
        <v>2084</v>
      </c>
      <c r="AL675" s="81" t="b">
        <v>0</v>
      </c>
      <c r="AM675" s="81">
        <v>24</v>
      </c>
      <c r="AN675" s="86" t="s">
        <v>1848</v>
      </c>
      <c r="AO675" s="86" t="s">
        <v>2179</v>
      </c>
      <c r="AP675" s="81" t="b">
        <v>0</v>
      </c>
      <c r="AQ675" s="86" t="s">
        <v>1848</v>
      </c>
      <c r="AR675" s="81" t="s">
        <v>179</v>
      </c>
      <c r="AS675" s="81">
        <v>0</v>
      </c>
      <c r="AT675" s="81">
        <v>0</v>
      </c>
      <c r="AU675" s="81"/>
      <c r="AV675" s="81"/>
      <c r="AW675" s="81"/>
      <c r="AX675" s="81"/>
      <c r="AY675" s="81"/>
      <c r="AZ675" s="81"/>
      <c r="BA675" s="81"/>
      <c r="BB675" s="81"/>
    </row>
    <row r="676" spans="1:54" x14ac:dyDescent="0.35">
      <c r="A676" s="66" t="s">
        <v>422</v>
      </c>
      <c r="B676" s="66" t="s">
        <v>496</v>
      </c>
      <c r="C676" s="67"/>
      <c r="D676" s="68"/>
      <c r="E676" s="69"/>
      <c r="F676" s="70"/>
      <c r="G676" s="67"/>
      <c r="H676" s="71"/>
      <c r="I676" s="72"/>
      <c r="J676" s="72"/>
      <c r="K676" s="36"/>
      <c r="L676" s="79"/>
      <c r="M676" s="79"/>
      <c r="N676" s="74"/>
      <c r="O676" s="81" t="s">
        <v>693</v>
      </c>
      <c r="P676" s="83">
        <v>44463.753622685188</v>
      </c>
      <c r="Q676" s="81" t="s">
        <v>802</v>
      </c>
      <c r="R676" s="81"/>
      <c r="S676" s="81"/>
      <c r="T676" s="86" t="s">
        <v>649</v>
      </c>
      <c r="U676" s="84" t="str">
        <f>HYPERLINK("https://pbs.twimg.com/media/FAEa_mFUYAcoKUu.jpg")</f>
        <v>https://pbs.twimg.com/media/FAEa_mFUYAcoKUu.jpg</v>
      </c>
      <c r="V676" s="84" t="str">
        <f>HYPERLINK("https://pbs.twimg.com/media/FAEa_mFUYAcoKUu.jpg")</f>
        <v>https://pbs.twimg.com/media/FAEa_mFUYAcoKUu.jpg</v>
      </c>
      <c r="W676" s="83">
        <v>44463.753622685188</v>
      </c>
      <c r="X676" s="89">
        <v>44463</v>
      </c>
      <c r="Y676" s="86" t="s">
        <v>1256</v>
      </c>
      <c r="Z676" s="84" t="str">
        <f>HYPERLINK("https://twitter.com/sohyunjae/status/1441463748288385024")</f>
        <v>https://twitter.com/sohyunjae/status/1441463748288385024</v>
      </c>
      <c r="AA676" s="81"/>
      <c r="AB676" s="81"/>
      <c r="AC676" s="86" t="s">
        <v>1752</v>
      </c>
      <c r="AD676" s="81"/>
      <c r="AE676" s="81" t="b">
        <v>0</v>
      </c>
      <c r="AF676" s="81">
        <v>0</v>
      </c>
      <c r="AG676" s="86" t="s">
        <v>2084</v>
      </c>
      <c r="AH676" s="81" t="b">
        <v>0</v>
      </c>
      <c r="AI676" s="81" t="s">
        <v>2168</v>
      </c>
      <c r="AJ676" s="81"/>
      <c r="AK676" s="86" t="s">
        <v>2084</v>
      </c>
      <c r="AL676" s="81" t="b">
        <v>0</v>
      </c>
      <c r="AM676" s="81">
        <v>24</v>
      </c>
      <c r="AN676" s="86" t="s">
        <v>1848</v>
      </c>
      <c r="AO676" s="86" t="s">
        <v>2179</v>
      </c>
      <c r="AP676" s="81" t="b">
        <v>0</v>
      </c>
      <c r="AQ676" s="86" t="s">
        <v>1848</v>
      </c>
      <c r="AR676" s="81" t="s">
        <v>179</v>
      </c>
      <c r="AS676" s="81">
        <v>0</v>
      </c>
      <c r="AT676" s="81">
        <v>0</v>
      </c>
      <c r="AU676" s="81"/>
      <c r="AV676" s="81"/>
      <c r="AW676" s="81"/>
      <c r="AX676" s="81"/>
      <c r="AY676" s="81"/>
      <c r="AZ676" s="81"/>
      <c r="BA676" s="81"/>
      <c r="BB676" s="81"/>
    </row>
    <row r="677" spans="1:54" x14ac:dyDescent="0.35">
      <c r="A677" s="66" t="s">
        <v>422</v>
      </c>
      <c r="B677" s="66" t="s">
        <v>646</v>
      </c>
      <c r="C677" s="67"/>
      <c r="D677" s="68"/>
      <c r="E677" s="69"/>
      <c r="F677" s="70"/>
      <c r="G677" s="67"/>
      <c r="H677" s="71"/>
      <c r="I677" s="72"/>
      <c r="J677" s="72"/>
      <c r="K677" s="36"/>
      <c r="L677" s="79"/>
      <c r="M677" s="79"/>
      <c r="N677" s="74"/>
      <c r="O677" s="81" t="s">
        <v>694</v>
      </c>
      <c r="P677" s="83">
        <v>44463.753645833334</v>
      </c>
      <c r="Q677" s="81" t="s">
        <v>803</v>
      </c>
      <c r="R677" s="81"/>
      <c r="S677" s="81"/>
      <c r="T677" s="86" t="s">
        <v>649</v>
      </c>
      <c r="U677" s="84" t="str">
        <f>HYPERLINK("https://pbs.twimg.com/media/FAEa7dXVkAcjbKg.jpg")</f>
        <v>https://pbs.twimg.com/media/FAEa7dXVkAcjbKg.jpg</v>
      </c>
      <c r="V677" s="84" t="str">
        <f>HYPERLINK("https://pbs.twimg.com/media/FAEa7dXVkAcjbKg.jpg")</f>
        <v>https://pbs.twimg.com/media/FAEa7dXVkAcjbKg.jpg</v>
      </c>
      <c r="W677" s="83">
        <v>44463.753645833334</v>
      </c>
      <c r="X677" s="89">
        <v>44463</v>
      </c>
      <c r="Y677" s="86" t="s">
        <v>1257</v>
      </c>
      <c r="Z677" s="84" t="str">
        <f>HYPERLINK("https://twitter.com/sohyunjae/status/1441463756463038468")</f>
        <v>https://twitter.com/sohyunjae/status/1441463756463038468</v>
      </c>
      <c r="AA677" s="81"/>
      <c r="AB677" s="81"/>
      <c r="AC677" s="86" t="s">
        <v>1753</v>
      </c>
      <c r="AD677" s="81"/>
      <c r="AE677" s="81" t="b">
        <v>0</v>
      </c>
      <c r="AF677" s="81">
        <v>0</v>
      </c>
      <c r="AG677" s="86" t="s">
        <v>2084</v>
      </c>
      <c r="AH677" s="81" t="b">
        <v>0</v>
      </c>
      <c r="AI677" s="81" t="s">
        <v>2168</v>
      </c>
      <c r="AJ677" s="81"/>
      <c r="AK677" s="86" t="s">
        <v>2084</v>
      </c>
      <c r="AL677" s="81" t="b">
        <v>0</v>
      </c>
      <c r="AM677" s="81">
        <v>21</v>
      </c>
      <c r="AN677" s="86" t="s">
        <v>1847</v>
      </c>
      <c r="AO677" s="86" t="s">
        <v>2179</v>
      </c>
      <c r="AP677" s="81" t="b">
        <v>0</v>
      </c>
      <c r="AQ677" s="86" t="s">
        <v>1847</v>
      </c>
      <c r="AR677" s="81" t="s">
        <v>179</v>
      </c>
      <c r="AS677" s="81">
        <v>0</v>
      </c>
      <c r="AT677" s="81">
        <v>0</v>
      </c>
      <c r="AU677" s="81"/>
      <c r="AV677" s="81"/>
      <c r="AW677" s="81"/>
      <c r="AX677" s="81"/>
      <c r="AY677" s="81"/>
      <c r="AZ677" s="81"/>
      <c r="BA677" s="81"/>
      <c r="BB677" s="81"/>
    </row>
    <row r="678" spans="1:54" x14ac:dyDescent="0.35">
      <c r="A678" s="66" t="s">
        <v>422</v>
      </c>
      <c r="B678" s="66" t="s">
        <v>647</v>
      </c>
      <c r="C678" s="67"/>
      <c r="D678" s="68"/>
      <c r="E678" s="69"/>
      <c r="F678" s="70"/>
      <c r="G678" s="67"/>
      <c r="H678" s="71"/>
      <c r="I678" s="72"/>
      <c r="J678" s="72"/>
      <c r="K678" s="36"/>
      <c r="L678" s="79"/>
      <c r="M678" s="79"/>
      <c r="N678" s="74"/>
      <c r="O678" s="81" t="s">
        <v>694</v>
      </c>
      <c r="P678" s="83">
        <v>44463.753645833334</v>
      </c>
      <c r="Q678" s="81" t="s">
        <v>803</v>
      </c>
      <c r="R678" s="81"/>
      <c r="S678" s="81"/>
      <c r="T678" s="86" t="s">
        <v>649</v>
      </c>
      <c r="U678" s="84" t="str">
        <f>HYPERLINK("https://pbs.twimg.com/media/FAEa7dXVkAcjbKg.jpg")</f>
        <v>https://pbs.twimg.com/media/FAEa7dXVkAcjbKg.jpg</v>
      </c>
      <c r="V678" s="84" t="str">
        <f>HYPERLINK("https://pbs.twimg.com/media/FAEa7dXVkAcjbKg.jpg")</f>
        <v>https://pbs.twimg.com/media/FAEa7dXVkAcjbKg.jpg</v>
      </c>
      <c r="W678" s="83">
        <v>44463.753645833334</v>
      </c>
      <c r="X678" s="89">
        <v>44463</v>
      </c>
      <c r="Y678" s="86" t="s">
        <v>1257</v>
      </c>
      <c r="Z678" s="84" t="str">
        <f>HYPERLINK("https://twitter.com/sohyunjae/status/1441463756463038468")</f>
        <v>https://twitter.com/sohyunjae/status/1441463756463038468</v>
      </c>
      <c r="AA678" s="81"/>
      <c r="AB678" s="81"/>
      <c r="AC678" s="86" t="s">
        <v>1753</v>
      </c>
      <c r="AD678" s="81"/>
      <c r="AE678" s="81" t="b">
        <v>0</v>
      </c>
      <c r="AF678" s="81">
        <v>0</v>
      </c>
      <c r="AG678" s="86" t="s">
        <v>2084</v>
      </c>
      <c r="AH678" s="81" t="b">
        <v>0</v>
      </c>
      <c r="AI678" s="81" t="s">
        <v>2168</v>
      </c>
      <c r="AJ678" s="81"/>
      <c r="AK678" s="86" t="s">
        <v>2084</v>
      </c>
      <c r="AL678" s="81" t="b">
        <v>0</v>
      </c>
      <c r="AM678" s="81">
        <v>21</v>
      </c>
      <c r="AN678" s="86" t="s">
        <v>1847</v>
      </c>
      <c r="AO678" s="86" t="s">
        <v>2179</v>
      </c>
      <c r="AP678" s="81" t="b">
        <v>0</v>
      </c>
      <c r="AQ678" s="86" t="s">
        <v>1847</v>
      </c>
      <c r="AR678" s="81" t="s">
        <v>179</v>
      </c>
      <c r="AS678" s="81">
        <v>0</v>
      </c>
      <c r="AT678" s="81">
        <v>0</v>
      </c>
      <c r="AU678" s="81"/>
      <c r="AV678" s="81"/>
      <c r="AW678" s="81"/>
      <c r="AX678" s="81"/>
      <c r="AY678" s="81"/>
      <c r="AZ678" s="81"/>
      <c r="BA678" s="81"/>
      <c r="BB678" s="81"/>
    </row>
    <row r="679" spans="1:54" x14ac:dyDescent="0.35">
      <c r="A679" s="66" t="s">
        <v>422</v>
      </c>
      <c r="B679" s="66" t="s">
        <v>648</v>
      </c>
      <c r="C679" s="67"/>
      <c r="D679" s="68"/>
      <c r="E679" s="69"/>
      <c r="F679" s="70"/>
      <c r="G679" s="67"/>
      <c r="H679" s="71"/>
      <c r="I679" s="72"/>
      <c r="J679" s="72"/>
      <c r="K679" s="36"/>
      <c r="L679" s="79"/>
      <c r="M679" s="79"/>
      <c r="N679" s="74"/>
      <c r="O679" s="81" t="s">
        <v>694</v>
      </c>
      <c r="P679" s="83">
        <v>44463.753645833334</v>
      </c>
      <c r="Q679" s="81" t="s">
        <v>803</v>
      </c>
      <c r="R679" s="81"/>
      <c r="S679" s="81"/>
      <c r="T679" s="86" t="s">
        <v>649</v>
      </c>
      <c r="U679" s="84" t="str">
        <f>HYPERLINK("https://pbs.twimg.com/media/FAEa7dXVkAcjbKg.jpg")</f>
        <v>https://pbs.twimg.com/media/FAEa7dXVkAcjbKg.jpg</v>
      </c>
      <c r="V679" s="84" t="str">
        <f>HYPERLINK("https://pbs.twimg.com/media/FAEa7dXVkAcjbKg.jpg")</f>
        <v>https://pbs.twimg.com/media/FAEa7dXVkAcjbKg.jpg</v>
      </c>
      <c r="W679" s="83">
        <v>44463.753645833334</v>
      </c>
      <c r="X679" s="89">
        <v>44463</v>
      </c>
      <c r="Y679" s="86" t="s">
        <v>1257</v>
      </c>
      <c r="Z679" s="84" t="str">
        <f>HYPERLINK("https://twitter.com/sohyunjae/status/1441463756463038468")</f>
        <v>https://twitter.com/sohyunjae/status/1441463756463038468</v>
      </c>
      <c r="AA679" s="81"/>
      <c r="AB679" s="81"/>
      <c r="AC679" s="86" t="s">
        <v>1753</v>
      </c>
      <c r="AD679" s="81"/>
      <c r="AE679" s="81" t="b">
        <v>0</v>
      </c>
      <c r="AF679" s="81">
        <v>0</v>
      </c>
      <c r="AG679" s="86" t="s">
        <v>2084</v>
      </c>
      <c r="AH679" s="81" t="b">
        <v>0</v>
      </c>
      <c r="AI679" s="81" t="s">
        <v>2168</v>
      </c>
      <c r="AJ679" s="81"/>
      <c r="AK679" s="86" t="s">
        <v>2084</v>
      </c>
      <c r="AL679" s="81" t="b">
        <v>0</v>
      </c>
      <c r="AM679" s="81">
        <v>21</v>
      </c>
      <c r="AN679" s="86" t="s">
        <v>1847</v>
      </c>
      <c r="AO679" s="86" t="s">
        <v>2179</v>
      </c>
      <c r="AP679" s="81" t="b">
        <v>0</v>
      </c>
      <c r="AQ679" s="86" t="s">
        <v>1847</v>
      </c>
      <c r="AR679" s="81" t="s">
        <v>179</v>
      </c>
      <c r="AS679" s="81">
        <v>0</v>
      </c>
      <c r="AT679" s="81">
        <v>0</v>
      </c>
      <c r="AU679" s="81"/>
      <c r="AV679" s="81"/>
      <c r="AW679" s="81"/>
      <c r="AX679" s="81"/>
      <c r="AY679" s="81"/>
      <c r="AZ679" s="81"/>
      <c r="BA679" s="81"/>
      <c r="BB679" s="81"/>
    </row>
    <row r="680" spans="1:54" x14ac:dyDescent="0.35">
      <c r="A680" s="66" t="s">
        <v>422</v>
      </c>
      <c r="B680" s="66" t="s">
        <v>649</v>
      </c>
      <c r="C680" s="67"/>
      <c r="D680" s="68"/>
      <c r="E680" s="69"/>
      <c r="F680" s="70"/>
      <c r="G680" s="67"/>
      <c r="H680" s="71"/>
      <c r="I680" s="72"/>
      <c r="J680" s="72"/>
      <c r="K680" s="36"/>
      <c r="L680" s="79"/>
      <c r="M680" s="79"/>
      <c r="N680" s="74"/>
      <c r="O680" s="81" t="s">
        <v>694</v>
      </c>
      <c r="P680" s="83">
        <v>44463.753645833334</v>
      </c>
      <c r="Q680" s="81" t="s">
        <v>803</v>
      </c>
      <c r="R680" s="81"/>
      <c r="S680" s="81"/>
      <c r="T680" s="86" t="s">
        <v>649</v>
      </c>
      <c r="U680" s="84" t="str">
        <f>HYPERLINK("https://pbs.twimg.com/media/FAEa7dXVkAcjbKg.jpg")</f>
        <v>https://pbs.twimg.com/media/FAEa7dXVkAcjbKg.jpg</v>
      </c>
      <c r="V680" s="84" t="str">
        <f>HYPERLINK("https://pbs.twimg.com/media/FAEa7dXVkAcjbKg.jpg")</f>
        <v>https://pbs.twimg.com/media/FAEa7dXVkAcjbKg.jpg</v>
      </c>
      <c r="W680" s="83">
        <v>44463.753645833334</v>
      </c>
      <c r="X680" s="89">
        <v>44463</v>
      </c>
      <c r="Y680" s="86" t="s">
        <v>1257</v>
      </c>
      <c r="Z680" s="84" t="str">
        <f>HYPERLINK("https://twitter.com/sohyunjae/status/1441463756463038468")</f>
        <v>https://twitter.com/sohyunjae/status/1441463756463038468</v>
      </c>
      <c r="AA680" s="81"/>
      <c r="AB680" s="81"/>
      <c r="AC680" s="86" t="s">
        <v>1753</v>
      </c>
      <c r="AD680" s="81"/>
      <c r="AE680" s="81" t="b">
        <v>0</v>
      </c>
      <c r="AF680" s="81">
        <v>0</v>
      </c>
      <c r="AG680" s="86" t="s">
        <v>2084</v>
      </c>
      <c r="AH680" s="81" t="b">
        <v>0</v>
      </c>
      <c r="AI680" s="81" t="s">
        <v>2168</v>
      </c>
      <c r="AJ680" s="81"/>
      <c r="AK680" s="86" t="s">
        <v>2084</v>
      </c>
      <c r="AL680" s="81" t="b">
        <v>0</v>
      </c>
      <c r="AM680" s="81">
        <v>21</v>
      </c>
      <c r="AN680" s="86" t="s">
        <v>1847</v>
      </c>
      <c r="AO680" s="86" t="s">
        <v>2179</v>
      </c>
      <c r="AP680" s="81" t="b">
        <v>0</v>
      </c>
      <c r="AQ680" s="86" t="s">
        <v>1847</v>
      </c>
      <c r="AR680" s="81" t="s">
        <v>179</v>
      </c>
      <c r="AS680" s="81">
        <v>0</v>
      </c>
      <c r="AT680" s="81">
        <v>0</v>
      </c>
      <c r="AU680" s="81"/>
      <c r="AV680" s="81"/>
      <c r="AW680" s="81"/>
      <c r="AX680" s="81"/>
      <c r="AY680" s="81"/>
      <c r="AZ680" s="81"/>
      <c r="BA680" s="81"/>
      <c r="BB680" s="81"/>
    </row>
    <row r="681" spans="1:54" x14ac:dyDescent="0.35">
      <c r="A681" s="66" t="s">
        <v>422</v>
      </c>
      <c r="B681" s="66" t="s">
        <v>496</v>
      </c>
      <c r="C681" s="67"/>
      <c r="D681" s="68"/>
      <c r="E681" s="69"/>
      <c r="F681" s="70"/>
      <c r="G681" s="67"/>
      <c r="H681" s="71"/>
      <c r="I681" s="72"/>
      <c r="J681" s="72"/>
      <c r="K681" s="36"/>
      <c r="L681" s="79"/>
      <c r="M681" s="79"/>
      <c r="N681" s="74"/>
      <c r="O681" s="81" t="s">
        <v>693</v>
      </c>
      <c r="P681" s="83">
        <v>44463.753645833334</v>
      </c>
      <c r="Q681" s="81" t="s">
        <v>803</v>
      </c>
      <c r="R681" s="81"/>
      <c r="S681" s="81"/>
      <c r="T681" s="86" t="s">
        <v>649</v>
      </c>
      <c r="U681" s="84" t="str">
        <f>HYPERLINK("https://pbs.twimg.com/media/FAEa7dXVkAcjbKg.jpg")</f>
        <v>https://pbs.twimg.com/media/FAEa7dXVkAcjbKg.jpg</v>
      </c>
      <c r="V681" s="84" t="str">
        <f>HYPERLINK("https://pbs.twimg.com/media/FAEa7dXVkAcjbKg.jpg")</f>
        <v>https://pbs.twimg.com/media/FAEa7dXVkAcjbKg.jpg</v>
      </c>
      <c r="W681" s="83">
        <v>44463.753645833334</v>
      </c>
      <c r="X681" s="89">
        <v>44463</v>
      </c>
      <c r="Y681" s="86" t="s">
        <v>1257</v>
      </c>
      <c r="Z681" s="84" t="str">
        <f>HYPERLINK("https://twitter.com/sohyunjae/status/1441463756463038468")</f>
        <v>https://twitter.com/sohyunjae/status/1441463756463038468</v>
      </c>
      <c r="AA681" s="81"/>
      <c r="AB681" s="81"/>
      <c r="AC681" s="86" t="s">
        <v>1753</v>
      </c>
      <c r="AD681" s="81"/>
      <c r="AE681" s="81" t="b">
        <v>0</v>
      </c>
      <c r="AF681" s="81">
        <v>0</v>
      </c>
      <c r="AG681" s="86" t="s">
        <v>2084</v>
      </c>
      <c r="AH681" s="81" t="b">
        <v>0</v>
      </c>
      <c r="AI681" s="81" t="s">
        <v>2168</v>
      </c>
      <c r="AJ681" s="81"/>
      <c r="AK681" s="86" t="s">
        <v>2084</v>
      </c>
      <c r="AL681" s="81" t="b">
        <v>0</v>
      </c>
      <c r="AM681" s="81">
        <v>21</v>
      </c>
      <c r="AN681" s="86" t="s">
        <v>1847</v>
      </c>
      <c r="AO681" s="86" t="s">
        <v>2179</v>
      </c>
      <c r="AP681" s="81" t="b">
        <v>0</v>
      </c>
      <c r="AQ681" s="86" t="s">
        <v>1847</v>
      </c>
      <c r="AR681" s="81" t="s">
        <v>179</v>
      </c>
      <c r="AS681" s="81">
        <v>0</v>
      </c>
      <c r="AT681" s="81">
        <v>0</v>
      </c>
      <c r="AU681" s="81"/>
      <c r="AV681" s="81"/>
      <c r="AW681" s="81"/>
      <c r="AX681" s="81"/>
      <c r="AY681" s="81"/>
      <c r="AZ681" s="81"/>
      <c r="BA681" s="81"/>
      <c r="BB681" s="81"/>
    </row>
    <row r="682" spans="1:54" x14ac:dyDescent="0.35">
      <c r="A682" s="66" t="s">
        <v>422</v>
      </c>
      <c r="B682" s="66" t="s">
        <v>646</v>
      </c>
      <c r="C682" s="67"/>
      <c r="D682" s="68"/>
      <c r="E682" s="69"/>
      <c r="F682" s="70"/>
      <c r="G682" s="67"/>
      <c r="H682" s="71"/>
      <c r="I682" s="72"/>
      <c r="J682" s="72"/>
      <c r="K682" s="36"/>
      <c r="L682" s="79"/>
      <c r="M682" s="79"/>
      <c r="N682" s="74"/>
      <c r="O682" s="81" t="s">
        <v>694</v>
      </c>
      <c r="P682" s="83">
        <v>44463.753680555557</v>
      </c>
      <c r="Q682" s="81" t="s">
        <v>804</v>
      </c>
      <c r="R682" s="81"/>
      <c r="S682" s="81"/>
      <c r="T682" s="86" t="s">
        <v>649</v>
      </c>
      <c r="U682" s="84" t="str">
        <f>HYPERLINK("https://pbs.twimg.com/media/FAEaAdPVgAgaH2z.jpg")</f>
        <v>https://pbs.twimg.com/media/FAEaAdPVgAgaH2z.jpg</v>
      </c>
      <c r="V682" s="84" t="str">
        <f>HYPERLINK("https://pbs.twimg.com/media/FAEaAdPVgAgaH2z.jpg")</f>
        <v>https://pbs.twimg.com/media/FAEaAdPVgAgaH2z.jpg</v>
      </c>
      <c r="W682" s="83">
        <v>44463.753680555557</v>
      </c>
      <c r="X682" s="89">
        <v>44463</v>
      </c>
      <c r="Y682" s="86" t="s">
        <v>1258</v>
      </c>
      <c r="Z682" s="84" t="str">
        <f>HYPERLINK("https://twitter.com/sohyunjae/status/1441463768282664962")</f>
        <v>https://twitter.com/sohyunjae/status/1441463768282664962</v>
      </c>
      <c r="AA682" s="81"/>
      <c r="AB682" s="81"/>
      <c r="AC682" s="86" t="s">
        <v>1754</v>
      </c>
      <c r="AD682" s="81"/>
      <c r="AE682" s="81" t="b">
        <v>0</v>
      </c>
      <c r="AF682" s="81">
        <v>0</v>
      </c>
      <c r="AG682" s="86" t="s">
        <v>2084</v>
      </c>
      <c r="AH682" s="81" t="b">
        <v>0</v>
      </c>
      <c r="AI682" s="81" t="s">
        <v>2168</v>
      </c>
      <c r="AJ682" s="81"/>
      <c r="AK682" s="86" t="s">
        <v>2084</v>
      </c>
      <c r="AL682" s="81" t="b">
        <v>0</v>
      </c>
      <c r="AM682" s="81">
        <v>22</v>
      </c>
      <c r="AN682" s="86" t="s">
        <v>1846</v>
      </c>
      <c r="AO682" s="86" t="s">
        <v>2179</v>
      </c>
      <c r="AP682" s="81" t="b">
        <v>0</v>
      </c>
      <c r="AQ682" s="86" t="s">
        <v>1846</v>
      </c>
      <c r="AR682" s="81" t="s">
        <v>179</v>
      </c>
      <c r="AS682" s="81">
        <v>0</v>
      </c>
      <c r="AT682" s="81">
        <v>0</v>
      </c>
      <c r="AU682" s="81"/>
      <c r="AV682" s="81"/>
      <c r="AW682" s="81"/>
      <c r="AX682" s="81"/>
      <c r="AY682" s="81"/>
      <c r="AZ682" s="81"/>
      <c r="BA682" s="81"/>
      <c r="BB682" s="81"/>
    </row>
    <row r="683" spans="1:54" x14ac:dyDescent="0.35">
      <c r="A683" s="66" t="s">
        <v>422</v>
      </c>
      <c r="B683" s="66" t="s">
        <v>647</v>
      </c>
      <c r="C683" s="67"/>
      <c r="D683" s="68"/>
      <c r="E683" s="69"/>
      <c r="F683" s="70"/>
      <c r="G683" s="67"/>
      <c r="H683" s="71"/>
      <c r="I683" s="72"/>
      <c r="J683" s="72"/>
      <c r="K683" s="36"/>
      <c r="L683" s="79"/>
      <c r="M683" s="79"/>
      <c r="N683" s="74"/>
      <c r="O683" s="81" t="s">
        <v>694</v>
      </c>
      <c r="P683" s="83">
        <v>44463.753680555557</v>
      </c>
      <c r="Q683" s="81" t="s">
        <v>804</v>
      </c>
      <c r="R683" s="81"/>
      <c r="S683" s="81"/>
      <c r="T683" s="86" t="s">
        <v>649</v>
      </c>
      <c r="U683" s="84" t="str">
        <f>HYPERLINK("https://pbs.twimg.com/media/FAEaAdPVgAgaH2z.jpg")</f>
        <v>https://pbs.twimg.com/media/FAEaAdPVgAgaH2z.jpg</v>
      </c>
      <c r="V683" s="84" t="str">
        <f>HYPERLINK("https://pbs.twimg.com/media/FAEaAdPVgAgaH2z.jpg")</f>
        <v>https://pbs.twimg.com/media/FAEaAdPVgAgaH2z.jpg</v>
      </c>
      <c r="W683" s="83">
        <v>44463.753680555557</v>
      </c>
      <c r="X683" s="89">
        <v>44463</v>
      </c>
      <c r="Y683" s="86" t="s">
        <v>1258</v>
      </c>
      <c r="Z683" s="84" t="str">
        <f>HYPERLINK("https://twitter.com/sohyunjae/status/1441463768282664962")</f>
        <v>https://twitter.com/sohyunjae/status/1441463768282664962</v>
      </c>
      <c r="AA683" s="81"/>
      <c r="AB683" s="81"/>
      <c r="AC683" s="86" t="s">
        <v>1754</v>
      </c>
      <c r="AD683" s="81"/>
      <c r="AE683" s="81" t="b">
        <v>0</v>
      </c>
      <c r="AF683" s="81">
        <v>0</v>
      </c>
      <c r="AG683" s="86" t="s">
        <v>2084</v>
      </c>
      <c r="AH683" s="81" t="b">
        <v>0</v>
      </c>
      <c r="AI683" s="81" t="s">
        <v>2168</v>
      </c>
      <c r="AJ683" s="81"/>
      <c r="AK683" s="86" t="s">
        <v>2084</v>
      </c>
      <c r="AL683" s="81" t="b">
        <v>0</v>
      </c>
      <c r="AM683" s="81">
        <v>22</v>
      </c>
      <c r="AN683" s="86" t="s">
        <v>1846</v>
      </c>
      <c r="AO683" s="86" t="s">
        <v>2179</v>
      </c>
      <c r="AP683" s="81" t="b">
        <v>0</v>
      </c>
      <c r="AQ683" s="86" t="s">
        <v>1846</v>
      </c>
      <c r="AR683" s="81" t="s">
        <v>179</v>
      </c>
      <c r="AS683" s="81">
        <v>0</v>
      </c>
      <c r="AT683" s="81">
        <v>0</v>
      </c>
      <c r="AU683" s="81"/>
      <c r="AV683" s="81"/>
      <c r="AW683" s="81"/>
      <c r="AX683" s="81"/>
      <c r="AY683" s="81"/>
      <c r="AZ683" s="81"/>
      <c r="BA683" s="81"/>
      <c r="BB683" s="81"/>
    </row>
    <row r="684" spans="1:54" x14ac:dyDescent="0.35">
      <c r="A684" s="66" t="s">
        <v>422</v>
      </c>
      <c r="B684" s="66" t="s">
        <v>648</v>
      </c>
      <c r="C684" s="67"/>
      <c r="D684" s="68"/>
      <c r="E684" s="69"/>
      <c r="F684" s="70"/>
      <c r="G684" s="67"/>
      <c r="H684" s="71"/>
      <c r="I684" s="72"/>
      <c r="J684" s="72"/>
      <c r="K684" s="36"/>
      <c r="L684" s="79"/>
      <c r="M684" s="79"/>
      <c r="N684" s="74"/>
      <c r="O684" s="81" t="s">
        <v>694</v>
      </c>
      <c r="P684" s="83">
        <v>44463.753680555557</v>
      </c>
      <c r="Q684" s="81" t="s">
        <v>804</v>
      </c>
      <c r="R684" s="81"/>
      <c r="S684" s="81"/>
      <c r="T684" s="86" t="s">
        <v>649</v>
      </c>
      <c r="U684" s="84" t="str">
        <f>HYPERLINK("https://pbs.twimg.com/media/FAEaAdPVgAgaH2z.jpg")</f>
        <v>https://pbs.twimg.com/media/FAEaAdPVgAgaH2z.jpg</v>
      </c>
      <c r="V684" s="84" t="str">
        <f>HYPERLINK("https://pbs.twimg.com/media/FAEaAdPVgAgaH2z.jpg")</f>
        <v>https://pbs.twimg.com/media/FAEaAdPVgAgaH2z.jpg</v>
      </c>
      <c r="W684" s="83">
        <v>44463.753680555557</v>
      </c>
      <c r="X684" s="89">
        <v>44463</v>
      </c>
      <c r="Y684" s="86" t="s">
        <v>1258</v>
      </c>
      <c r="Z684" s="84" t="str">
        <f>HYPERLINK("https://twitter.com/sohyunjae/status/1441463768282664962")</f>
        <v>https://twitter.com/sohyunjae/status/1441463768282664962</v>
      </c>
      <c r="AA684" s="81"/>
      <c r="AB684" s="81"/>
      <c r="AC684" s="86" t="s">
        <v>1754</v>
      </c>
      <c r="AD684" s="81"/>
      <c r="AE684" s="81" t="b">
        <v>0</v>
      </c>
      <c r="AF684" s="81">
        <v>0</v>
      </c>
      <c r="AG684" s="86" t="s">
        <v>2084</v>
      </c>
      <c r="AH684" s="81" t="b">
        <v>0</v>
      </c>
      <c r="AI684" s="81" t="s">
        <v>2168</v>
      </c>
      <c r="AJ684" s="81"/>
      <c r="AK684" s="86" t="s">
        <v>2084</v>
      </c>
      <c r="AL684" s="81" t="b">
        <v>0</v>
      </c>
      <c r="AM684" s="81">
        <v>22</v>
      </c>
      <c r="AN684" s="86" t="s">
        <v>1846</v>
      </c>
      <c r="AO684" s="86" t="s">
        <v>2179</v>
      </c>
      <c r="AP684" s="81" t="b">
        <v>0</v>
      </c>
      <c r="AQ684" s="86" t="s">
        <v>1846</v>
      </c>
      <c r="AR684" s="81" t="s">
        <v>179</v>
      </c>
      <c r="AS684" s="81">
        <v>0</v>
      </c>
      <c r="AT684" s="81">
        <v>0</v>
      </c>
      <c r="AU684" s="81"/>
      <c r="AV684" s="81"/>
      <c r="AW684" s="81"/>
      <c r="AX684" s="81"/>
      <c r="AY684" s="81"/>
      <c r="AZ684" s="81"/>
      <c r="BA684" s="81"/>
      <c r="BB684" s="81"/>
    </row>
    <row r="685" spans="1:54" x14ac:dyDescent="0.35">
      <c r="A685" s="66" t="s">
        <v>422</v>
      </c>
      <c r="B685" s="66" t="s">
        <v>649</v>
      </c>
      <c r="C685" s="67"/>
      <c r="D685" s="68"/>
      <c r="E685" s="69"/>
      <c r="F685" s="70"/>
      <c r="G685" s="67"/>
      <c r="H685" s="71"/>
      <c r="I685" s="72"/>
      <c r="J685" s="72"/>
      <c r="K685" s="36"/>
      <c r="L685" s="79"/>
      <c r="M685" s="79"/>
      <c r="N685" s="74"/>
      <c r="O685" s="81" t="s">
        <v>694</v>
      </c>
      <c r="P685" s="83">
        <v>44463.753680555557</v>
      </c>
      <c r="Q685" s="81" t="s">
        <v>804</v>
      </c>
      <c r="R685" s="81"/>
      <c r="S685" s="81"/>
      <c r="T685" s="86" t="s">
        <v>649</v>
      </c>
      <c r="U685" s="84" t="str">
        <f>HYPERLINK("https://pbs.twimg.com/media/FAEaAdPVgAgaH2z.jpg")</f>
        <v>https://pbs.twimg.com/media/FAEaAdPVgAgaH2z.jpg</v>
      </c>
      <c r="V685" s="84" t="str">
        <f>HYPERLINK("https://pbs.twimg.com/media/FAEaAdPVgAgaH2z.jpg")</f>
        <v>https://pbs.twimg.com/media/FAEaAdPVgAgaH2z.jpg</v>
      </c>
      <c r="W685" s="83">
        <v>44463.753680555557</v>
      </c>
      <c r="X685" s="89">
        <v>44463</v>
      </c>
      <c r="Y685" s="86" t="s">
        <v>1258</v>
      </c>
      <c r="Z685" s="84" t="str">
        <f>HYPERLINK("https://twitter.com/sohyunjae/status/1441463768282664962")</f>
        <v>https://twitter.com/sohyunjae/status/1441463768282664962</v>
      </c>
      <c r="AA685" s="81"/>
      <c r="AB685" s="81"/>
      <c r="AC685" s="86" t="s">
        <v>1754</v>
      </c>
      <c r="AD685" s="81"/>
      <c r="AE685" s="81" t="b">
        <v>0</v>
      </c>
      <c r="AF685" s="81">
        <v>0</v>
      </c>
      <c r="AG685" s="86" t="s">
        <v>2084</v>
      </c>
      <c r="AH685" s="81" t="b">
        <v>0</v>
      </c>
      <c r="AI685" s="81" t="s">
        <v>2168</v>
      </c>
      <c r="AJ685" s="81"/>
      <c r="AK685" s="86" t="s">
        <v>2084</v>
      </c>
      <c r="AL685" s="81" t="b">
        <v>0</v>
      </c>
      <c r="AM685" s="81">
        <v>22</v>
      </c>
      <c r="AN685" s="86" t="s">
        <v>1846</v>
      </c>
      <c r="AO685" s="86" t="s">
        <v>2179</v>
      </c>
      <c r="AP685" s="81" t="b">
        <v>0</v>
      </c>
      <c r="AQ685" s="86" t="s">
        <v>1846</v>
      </c>
      <c r="AR685" s="81" t="s">
        <v>179</v>
      </c>
      <c r="AS685" s="81">
        <v>0</v>
      </c>
      <c r="AT685" s="81">
        <v>0</v>
      </c>
      <c r="AU685" s="81"/>
      <c r="AV685" s="81"/>
      <c r="AW685" s="81"/>
      <c r="AX685" s="81"/>
      <c r="AY685" s="81"/>
      <c r="AZ685" s="81"/>
      <c r="BA685" s="81"/>
      <c r="BB685" s="81"/>
    </row>
    <row r="686" spans="1:54" x14ac:dyDescent="0.35">
      <c r="A686" s="66" t="s">
        <v>422</v>
      </c>
      <c r="B686" s="66" t="s">
        <v>496</v>
      </c>
      <c r="C686" s="67"/>
      <c r="D686" s="68"/>
      <c r="E686" s="69"/>
      <c r="F686" s="70"/>
      <c r="G686" s="67"/>
      <c r="H686" s="71"/>
      <c r="I686" s="72"/>
      <c r="J686" s="72"/>
      <c r="K686" s="36"/>
      <c r="L686" s="79"/>
      <c r="M686" s="79"/>
      <c r="N686" s="74"/>
      <c r="O686" s="81" t="s">
        <v>693</v>
      </c>
      <c r="P686" s="83">
        <v>44463.753680555557</v>
      </c>
      <c r="Q686" s="81" t="s">
        <v>804</v>
      </c>
      <c r="R686" s="81"/>
      <c r="S686" s="81"/>
      <c r="T686" s="86" t="s">
        <v>649</v>
      </c>
      <c r="U686" s="84" t="str">
        <f>HYPERLINK("https://pbs.twimg.com/media/FAEaAdPVgAgaH2z.jpg")</f>
        <v>https://pbs.twimg.com/media/FAEaAdPVgAgaH2z.jpg</v>
      </c>
      <c r="V686" s="84" t="str">
        <f>HYPERLINK("https://pbs.twimg.com/media/FAEaAdPVgAgaH2z.jpg")</f>
        <v>https://pbs.twimg.com/media/FAEaAdPVgAgaH2z.jpg</v>
      </c>
      <c r="W686" s="83">
        <v>44463.753680555557</v>
      </c>
      <c r="X686" s="89">
        <v>44463</v>
      </c>
      <c r="Y686" s="86" t="s">
        <v>1258</v>
      </c>
      <c r="Z686" s="84" t="str">
        <f>HYPERLINK("https://twitter.com/sohyunjae/status/1441463768282664962")</f>
        <v>https://twitter.com/sohyunjae/status/1441463768282664962</v>
      </c>
      <c r="AA686" s="81"/>
      <c r="AB686" s="81"/>
      <c r="AC686" s="86" t="s">
        <v>1754</v>
      </c>
      <c r="AD686" s="81"/>
      <c r="AE686" s="81" t="b">
        <v>0</v>
      </c>
      <c r="AF686" s="81">
        <v>0</v>
      </c>
      <c r="AG686" s="86" t="s">
        <v>2084</v>
      </c>
      <c r="AH686" s="81" t="b">
        <v>0</v>
      </c>
      <c r="AI686" s="81" t="s">
        <v>2168</v>
      </c>
      <c r="AJ686" s="81"/>
      <c r="AK686" s="86" t="s">
        <v>2084</v>
      </c>
      <c r="AL686" s="81" t="b">
        <v>0</v>
      </c>
      <c r="AM686" s="81">
        <v>22</v>
      </c>
      <c r="AN686" s="86" t="s">
        <v>1846</v>
      </c>
      <c r="AO686" s="86" t="s">
        <v>2179</v>
      </c>
      <c r="AP686" s="81" t="b">
        <v>0</v>
      </c>
      <c r="AQ686" s="86" t="s">
        <v>1846</v>
      </c>
      <c r="AR686" s="81" t="s">
        <v>179</v>
      </c>
      <c r="AS686" s="81">
        <v>0</v>
      </c>
      <c r="AT686" s="81">
        <v>0</v>
      </c>
      <c r="AU686" s="81"/>
      <c r="AV686" s="81"/>
      <c r="AW686" s="81"/>
      <c r="AX686" s="81"/>
      <c r="AY686" s="81"/>
      <c r="AZ686" s="81"/>
      <c r="BA686" s="81"/>
      <c r="BB686" s="81"/>
    </row>
    <row r="687" spans="1:54" x14ac:dyDescent="0.35">
      <c r="A687" s="66" t="s">
        <v>423</v>
      </c>
      <c r="B687" s="66" t="s">
        <v>423</v>
      </c>
      <c r="C687" s="67"/>
      <c r="D687" s="68"/>
      <c r="E687" s="69"/>
      <c r="F687" s="70"/>
      <c r="G687" s="67"/>
      <c r="H687" s="71"/>
      <c r="I687" s="72"/>
      <c r="J687" s="72"/>
      <c r="K687" s="36"/>
      <c r="L687" s="79"/>
      <c r="M687" s="79"/>
      <c r="N687" s="74"/>
      <c r="O687" s="81" t="s">
        <v>179</v>
      </c>
      <c r="P687" s="83">
        <v>44462.136631944442</v>
      </c>
      <c r="Q687" s="81" t="s">
        <v>754</v>
      </c>
      <c r="R687" s="81"/>
      <c r="S687" s="81"/>
      <c r="T687" s="81"/>
      <c r="U687" s="81"/>
      <c r="V687" s="84" t="str">
        <f>HYPERLINK("https://pbs.twimg.com/profile_images/1433114088960245761/iNOJ69k6_normal.jpg")</f>
        <v>https://pbs.twimg.com/profile_images/1433114088960245761/iNOJ69k6_normal.jpg</v>
      </c>
      <c r="W687" s="83">
        <v>44462.136631944442</v>
      </c>
      <c r="X687" s="89">
        <v>44462</v>
      </c>
      <c r="Y687" s="86" t="s">
        <v>1259</v>
      </c>
      <c r="Z687" s="84" t="str">
        <f>HYPERLINK("https://twitter.com/cococheezy/status/1440877770247053315")</f>
        <v>https://twitter.com/cococheezy/status/1440877770247053315</v>
      </c>
      <c r="AA687" s="81"/>
      <c r="AB687" s="81"/>
      <c r="AC687" s="86" t="s">
        <v>1755</v>
      </c>
      <c r="AD687" s="81"/>
      <c r="AE687" s="81" t="b">
        <v>0</v>
      </c>
      <c r="AF687" s="81">
        <v>25</v>
      </c>
      <c r="AG687" s="86" t="s">
        <v>2084</v>
      </c>
      <c r="AH687" s="81" t="b">
        <v>0</v>
      </c>
      <c r="AI687" s="81" t="s">
        <v>2168</v>
      </c>
      <c r="AJ687" s="81"/>
      <c r="AK687" s="86" t="s">
        <v>2084</v>
      </c>
      <c r="AL687" s="81" t="b">
        <v>0</v>
      </c>
      <c r="AM687" s="81">
        <v>6</v>
      </c>
      <c r="AN687" s="86" t="s">
        <v>2084</v>
      </c>
      <c r="AO687" s="86" t="s">
        <v>2178</v>
      </c>
      <c r="AP687" s="81" t="b">
        <v>0</v>
      </c>
      <c r="AQ687" s="86" t="s">
        <v>1755</v>
      </c>
      <c r="AR687" s="81" t="s">
        <v>179</v>
      </c>
      <c r="AS687" s="81">
        <v>0</v>
      </c>
      <c r="AT687" s="81">
        <v>0</v>
      </c>
      <c r="AU687" s="81"/>
      <c r="AV687" s="81"/>
      <c r="AW687" s="81"/>
      <c r="AX687" s="81"/>
      <c r="AY687" s="81"/>
      <c r="AZ687" s="81"/>
      <c r="BA687" s="81"/>
      <c r="BB687" s="81"/>
    </row>
    <row r="688" spans="1:54" x14ac:dyDescent="0.35">
      <c r="A688" s="66" t="s">
        <v>424</v>
      </c>
      <c r="B688" s="66" t="s">
        <v>423</v>
      </c>
      <c r="C688" s="67"/>
      <c r="D688" s="68"/>
      <c r="E688" s="69"/>
      <c r="F688" s="70"/>
      <c r="G688" s="67"/>
      <c r="H688" s="71"/>
      <c r="I688" s="72"/>
      <c r="J688" s="72"/>
      <c r="K688" s="36"/>
      <c r="L688" s="79"/>
      <c r="M688" s="79"/>
      <c r="N688" s="74"/>
      <c r="O688" s="81" t="s">
        <v>693</v>
      </c>
      <c r="P688" s="83">
        <v>44462.23605324074</v>
      </c>
      <c r="Q688" s="81" t="s">
        <v>754</v>
      </c>
      <c r="R688" s="81"/>
      <c r="S688" s="81"/>
      <c r="T688" s="81"/>
      <c r="U688" s="81"/>
      <c r="V688" s="84" t="str">
        <f>HYPERLINK("https://pbs.twimg.com/profile_images/1443042698638753796/vdrs6Hk4_normal.jpg")</f>
        <v>https://pbs.twimg.com/profile_images/1443042698638753796/vdrs6Hk4_normal.jpg</v>
      </c>
      <c r="W688" s="83">
        <v>44462.23605324074</v>
      </c>
      <c r="X688" s="89">
        <v>44462</v>
      </c>
      <c r="Y688" s="86" t="s">
        <v>1260</v>
      </c>
      <c r="Z688" s="84" t="str">
        <f>HYPERLINK("https://twitter.com/vssyie/status/1440913800148905984")</f>
        <v>https://twitter.com/vssyie/status/1440913800148905984</v>
      </c>
      <c r="AA688" s="81"/>
      <c r="AB688" s="81"/>
      <c r="AC688" s="86" t="s">
        <v>1756</v>
      </c>
      <c r="AD688" s="81"/>
      <c r="AE688" s="81" t="b">
        <v>0</v>
      </c>
      <c r="AF688" s="81">
        <v>0</v>
      </c>
      <c r="AG688" s="86" t="s">
        <v>2084</v>
      </c>
      <c r="AH688" s="81" t="b">
        <v>0</v>
      </c>
      <c r="AI688" s="81" t="s">
        <v>2168</v>
      </c>
      <c r="AJ688" s="81"/>
      <c r="AK688" s="86" t="s">
        <v>2084</v>
      </c>
      <c r="AL688" s="81" t="b">
        <v>0</v>
      </c>
      <c r="AM688" s="81">
        <v>6</v>
      </c>
      <c r="AN688" s="86" t="s">
        <v>1755</v>
      </c>
      <c r="AO688" s="86" t="s">
        <v>2178</v>
      </c>
      <c r="AP688" s="81" t="b">
        <v>0</v>
      </c>
      <c r="AQ688" s="86" t="s">
        <v>1755</v>
      </c>
      <c r="AR688" s="81" t="s">
        <v>179</v>
      </c>
      <c r="AS688" s="81">
        <v>0</v>
      </c>
      <c r="AT688" s="81">
        <v>0</v>
      </c>
      <c r="AU688" s="81"/>
      <c r="AV688" s="81"/>
      <c r="AW688" s="81"/>
      <c r="AX688" s="81"/>
      <c r="AY688" s="81"/>
      <c r="AZ688" s="81"/>
      <c r="BA688" s="81"/>
      <c r="BB688" s="81"/>
    </row>
    <row r="689" spans="1:54" x14ac:dyDescent="0.35">
      <c r="A689" s="66" t="s">
        <v>424</v>
      </c>
      <c r="B689" s="66" t="s">
        <v>646</v>
      </c>
      <c r="C689" s="67"/>
      <c r="D689" s="68"/>
      <c r="E689" s="69"/>
      <c r="F689" s="70"/>
      <c r="G689" s="67"/>
      <c r="H689" s="71"/>
      <c r="I689" s="72"/>
      <c r="J689" s="72"/>
      <c r="K689" s="36"/>
      <c r="L689" s="79"/>
      <c r="M689" s="79"/>
      <c r="N689" s="74"/>
      <c r="O689" s="81" t="s">
        <v>694</v>
      </c>
      <c r="P689" s="83">
        <v>44463.755196759259</v>
      </c>
      <c r="Q689" s="81" t="s">
        <v>804</v>
      </c>
      <c r="R689" s="81"/>
      <c r="S689" s="81"/>
      <c r="T689" s="86" t="s">
        <v>649</v>
      </c>
      <c r="U689" s="84" t="str">
        <f>HYPERLINK("https://pbs.twimg.com/media/FAEaAdPVgAgaH2z.jpg")</f>
        <v>https://pbs.twimg.com/media/FAEaAdPVgAgaH2z.jpg</v>
      </c>
      <c r="V689" s="84" t="str">
        <f>HYPERLINK("https://pbs.twimg.com/media/FAEaAdPVgAgaH2z.jpg")</f>
        <v>https://pbs.twimg.com/media/FAEaAdPVgAgaH2z.jpg</v>
      </c>
      <c r="W689" s="83">
        <v>44463.755196759259</v>
      </c>
      <c r="X689" s="89">
        <v>44463</v>
      </c>
      <c r="Y689" s="86" t="s">
        <v>1261</v>
      </c>
      <c r="Z689" s="84" t="str">
        <f>HYPERLINK("https://twitter.com/vssyie/status/1441464318348853248")</f>
        <v>https://twitter.com/vssyie/status/1441464318348853248</v>
      </c>
      <c r="AA689" s="81"/>
      <c r="AB689" s="81"/>
      <c r="AC689" s="86" t="s">
        <v>1757</v>
      </c>
      <c r="AD689" s="81"/>
      <c r="AE689" s="81" t="b">
        <v>0</v>
      </c>
      <c r="AF689" s="81">
        <v>0</v>
      </c>
      <c r="AG689" s="86" t="s">
        <v>2084</v>
      </c>
      <c r="AH689" s="81" t="b">
        <v>0</v>
      </c>
      <c r="AI689" s="81" t="s">
        <v>2168</v>
      </c>
      <c r="AJ689" s="81"/>
      <c r="AK689" s="86" t="s">
        <v>2084</v>
      </c>
      <c r="AL689" s="81" t="b">
        <v>0</v>
      </c>
      <c r="AM689" s="81">
        <v>22</v>
      </c>
      <c r="AN689" s="86" t="s">
        <v>1846</v>
      </c>
      <c r="AO689" s="86" t="s">
        <v>2178</v>
      </c>
      <c r="AP689" s="81" t="b">
        <v>0</v>
      </c>
      <c r="AQ689" s="86" t="s">
        <v>1846</v>
      </c>
      <c r="AR689" s="81" t="s">
        <v>179</v>
      </c>
      <c r="AS689" s="81">
        <v>0</v>
      </c>
      <c r="AT689" s="81">
        <v>0</v>
      </c>
      <c r="AU689" s="81"/>
      <c r="AV689" s="81"/>
      <c r="AW689" s="81"/>
      <c r="AX689" s="81"/>
      <c r="AY689" s="81"/>
      <c r="AZ689" s="81"/>
      <c r="BA689" s="81"/>
      <c r="BB689" s="81"/>
    </row>
    <row r="690" spans="1:54" x14ac:dyDescent="0.35">
      <c r="A690" s="66" t="s">
        <v>424</v>
      </c>
      <c r="B690" s="66" t="s">
        <v>647</v>
      </c>
      <c r="C690" s="67"/>
      <c r="D690" s="68"/>
      <c r="E690" s="69"/>
      <c r="F690" s="70"/>
      <c r="G690" s="67"/>
      <c r="H690" s="71"/>
      <c r="I690" s="72"/>
      <c r="J690" s="72"/>
      <c r="K690" s="36"/>
      <c r="L690" s="79"/>
      <c r="M690" s="79"/>
      <c r="N690" s="74"/>
      <c r="O690" s="81" t="s">
        <v>694</v>
      </c>
      <c r="P690" s="83">
        <v>44463.755196759259</v>
      </c>
      <c r="Q690" s="81" t="s">
        <v>804</v>
      </c>
      <c r="R690" s="81"/>
      <c r="S690" s="81"/>
      <c r="T690" s="86" t="s">
        <v>649</v>
      </c>
      <c r="U690" s="84" t="str">
        <f>HYPERLINK("https://pbs.twimg.com/media/FAEaAdPVgAgaH2z.jpg")</f>
        <v>https://pbs.twimg.com/media/FAEaAdPVgAgaH2z.jpg</v>
      </c>
      <c r="V690" s="84" t="str">
        <f>HYPERLINK("https://pbs.twimg.com/media/FAEaAdPVgAgaH2z.jpg")</f>
        <v>https://pbs.twimg.com/media/FAEaAdPVgAgaH2z.jpg</v>
      </c>
      <c r="W690" s="83">
        <v>44463.755196759259</v>
      </c>
      <c r="X690" s="89">
        <v>44463</v>
      </c>
      <c r="Y690" s="86" t="s">
        <v>1261</v>
      </c>
      <c r="Z690" s="84" t="str">
        <f>HYPERLINK("https://twitter.com/vssyie/status/1441464318348853248")</f>
        <v>https://twitter.com/vssyie/status/1441464318348853248</v>
      </c>
      <c r="AA690" s="81"/>
      <c r="AB690" s="81"/>
      <c r="AC690" s="86" t="s">
        <v>1757</v>
      </c>
      <c r="AD690" s="81"/>
      <c r="AE690" s="81" t="b">
        <v>0</v>
      </c>
      <c r="AF690" s="81">
        <v>0</v>
      </c>
      <c r="AG690" s="86" t="s">
        <v>2084</v>
      </c>
      <c r="AH690" s="81" t="b">
        <v>0</v>
      </c>
      <c r="AI690" s="81" t="s">
        <v>2168</v>
      </c>
      <c r="AJ690" s="81"/>
      <c r="AK690" s="86" t="s">
        <v>2084</v>
      </c>
      <c r="AL690" s="81" t="b">
        <v>0</v>
      </c>
      <c r="AM690" s="81">
        <v>22</v>
      </c>
      <c r="AN690" s="86" t="s">
        <v>1846</v>
      </c>
      <c r="AO690" s="86" t="s">
        <v>2178</v>
      </c>
      <c r="AP690" s="81" t="b">
        <v>0</v>
      </c>
      <c r="AQ690" s="86" t="s">
        <v>1846</v>
      </c>
      <c r="AR690" s="81" t="s">
        <v>179</v>
      </c>
      <c r="AS690" s="81">
        <v>0</v>
      </c>
      <c r="AT690" s="81">
        <v>0</v>
      </c>
      <c r="AU690" s="81"/>
      <c r="AV690" s="81"/>
      <c r="AW690" s="81"/>
      <c r="AX690" s="81"/>
      <c r="AY690" s="81"/>
      <c r="AZ690" s="81"/>
      <c r="BA690" s="81"/>
      <c r="BB690" s="81"/>
    </row>
    <row r="691" spans="1:54" x14ac:dyDescent="0.35">
      <c r="A691" s="66" t="s">
        <v>424</v>
      </c>
      <c r="B691" s="66" t="s">
        <v>648</v>
      </c>
      <c r="C691" s="67"/>
      <c r="D691" s="68"/>
      <c r="E691" s="69"/>
      <c r="F691" s="70"/>
      <c r="G691" s="67"/>
      <c r="H691" s="71"/>
      <c r="I691" s="72"/>
      <c r="J691" s="72"/>
      <c r="K691" s="36"/>
      <c r="L691" s="79"/>
      <c r="M691" s="79"/>
      <c r="N691" s="74"/>
      <c r="O691" s="81" t="s">
        <v>694</v>
      </c>
      <c r="P691" s="83">
        <v>44463.755196759259</v>
      </c>
      <c r="Q691" s="81" t="s">
        <v>804</v>
      </c>
      <c r="R691" s="81"/>
      <c r="S691" s="81"/>
      <c r="T691" s="86" t="s">
        <v>649</v>
      </c>
      <c r="U691" s="84" t="str">
        <f>HYPERLINK("https://pbs.twimg.com/media/FAEaAdPVgAgaH2z.jpg")</f>
        <v>https://pbs.twimg.com/media/FAEaAdPVgAgaH2z.jpg</v>
      </c>
      <c r="V691" s="84" t="str">
        <f>HYPERLINK("https://pbs.twimg.com/media/FAEaAdPVgAgaH2z.jpg")</f>
        <v>https://pbs.twimg.com/media/FAEaAdPVgAgaH2z.jpg</v>
      </c>
      <c r="W691" s="83">
        <v>44463.755196759259</v>
      </c>
      <c r="X691" s="89">
        <v>44463</v>
      </c>
      <c r="Y691" s="86" t="s">
        <v>1261</v>
      </c>
      <c r="Z691" s="84" t="str">
        <f>HYPERLINK("https://twitter.com/vssyie/status/1441464318348853248")</f>
        <v>https://twitter.com/vssyie/status/1441464318348853248</v>
      </c>
      <c r="AA691" s="81"/>
      <c r="AB691" s="81"/>
      <c r="AC691" s="86" t="s">
        <v>1757</v>
      </c>
      <c r="AD691" s="81"/>
      <c r="AE691" s="81" t="b">
        <v>0</v>
      </c>
      <c r="AF691" s="81">
        <v>0</v>
      </c>
      <c r="AG691" s="86" t="s">
        <v>2084</v>
      </c>
      <c r="AH691" s="81" t="b">
        <v>0</v>
      </c>
      <c r="AI691" s="81" t="s">
        <v>2168</v>
      </c>
      <c r="AJ691" s="81"/>
      <c r="AK691" s="86" t="s">
        <v>2084</v>
      </c>
      <c r="AL691" s="81" t="b">
        <v>0</v>
      </c>
      <c r="AM691" s="81">
        <v>22</v>
      </c>
      <c r="AN691" s="86" t="s">
        <v>1846</v>
      </c>
      <c r="AO691" s="86" t="s">
        <v>2178</v>
      </c>
      <c r="AP691" s="81" t="b">
        <v>0</v>
      </c>
      <c r="AQ691" s="86" t="s">
        <v>1846</v>
      </c>
      <c r="AR691" s="81" t="s">
        <v>179</v>
      </c>
      <c r="AS691" s="81">
        <v>0</v>
      </c>
      <c r="AT691" s="81">
        <v>0</v>
      </c>
      <c r="AU691" s="81"/>
      <c r="AV691" s="81"/>
      <c r="AW691" s="81"/>
      <c r="AX691" s="81"/>
      <c r="AY691" s="81"/>
      <c r="AZ691" s="81"/>
      <c r="BA691" s="81"/>
      <c r="BB691" s="81"/>
    </row>
    <row r="692" spans="1:54" x14ac:dyDescent="0.35">
      <c r="A692" s="66" t="s">
        <v>424</v>
      </c>
      <c r="B692" s="66" t="s">
        <v>649</v>
      </c>
      <c r="C692" s="67"/>
      <c r="D692" s="68"/>
      <c r="E692" s="69"/>
      <c r="F692" s="70"/>
      <c r="G692" s="67"/>
      <c r="H692" s="71"/>
      <c r="I692" s="72"/>
      <c r="J692" s="72"/>
      <c r="K692" s="36"/>
      <c r="L692" s="79"/>
      <c r="M692" s="79"/>
      <c r="N692" s="74"/>
      <c r="O692" s="81" t="s">
        <v>694</v>
      </c>
      <c r="P692" s="83">
        <v>44463.755196759259</v>
      </c>
      <c r="Q692" s="81" t="s">
        <v>804</v>
      </c>
      <c r="R692" s="81"/>
      <c r="S692" s="81"/>
      <c r="T692" s="86" t="s">
        <v>649</v>
      </c>
      <c r="U692" s="84" t="str">
        <f>HYPERLINK("https://pbs.twimg.com/media/FAEaAdPVgAgaH2z.jpg")</f>
        <v>https://pbs.twimg.com/media/FAEaAdPVgAgaH2z.jpg</v>
      </c>
      <c r="V692" s="84" t="str">
        <f>HYPERLINK("https://pbs.twimg.com/media/FAEaAdPVgAgaH2z.jpg")</f>
        <v>https://pbs.twimg.com/media/FAEaAdPVgAgaH2z.jpg</v>
      </c>
      <c r="W692" s="83">
        <v>44463.755196759259</v>
      </c>
      <c r="X692" s="89">
        <v>44463</v>
      </c>
      <c r="Y692" s="86" t="s">
        <v>1261</v>
      </c>
      <c r="Z692" s="84" t="str">
        <f>HYPERLINK("https://twitter.com/vssyie/status/1441464318348853248")</f>
        <v>https://twitter.com/vssyie/status/1441464318348853248</v>
      </c>
      <c r="AA692" s="81"/>
      <c r="AB692" s="81"/>
      <c r="AC692" s="86" t="s">
        <v>1757</v>
      </c>
      <c r="AD692" s="81"/>
      <c r="AE692" s="81" t="b">
        <v>0</v>
      </c>
      <c r="AF692" s="81">
        <v>0</v>
      </c>
      <c r="AG692" s="86" t="s">
        <v>2084</v>
      </c>
      <c r="AH692" s="81" t="b">
        <v>0</v>
      </c>
      <c r="AI692" s="81" t="s">
        <v>2168</v>
      </c>
      <c r="AJ692" s="81"/>
      <c r="AK692" s="86" t="s">
        <v>2084</v>
      </c>
      <c r="AL692" s="81" t="b">
        <v>0</v>
      </c>
      <c r="AM692" s="81">
        <v>22</v>
      </c>
      <c r="AN692" s="86" t="s">
        <v>1846</v>
      </c>
      <c r="AO692" s="86" t="s">
        <v>2178</v>
      </c>
      <c r="AP692" s="81" t="b">
        <v>0</v>
      </c>
      <c r="AQ692" s="86" t="s">
        <v>1846</v>
      </c>
      <c r="AR692" s="81" t="s">
        <v>179</v>
      </c>
      <c r="AS692" s="81">
        <v>0</v>
      </c>
      <c r="AT692" s="81">
        <v>0</v>
      </c>
      <c r="AU692" s="81"/>
      <c r="AV692" s="81"/>
      <c r="AW692" s="81"/>
      <c r="AX692" s="81"/>
      <c r="AY692" s="81"/>
      <c r="AZ692" s="81"/>
      <c r="BA692" s="81"/>
      <c r="BB692" s="81"/>
    </row>
    <row r="693" spans="1:54" x14ac:dyDescent="0.35">
      <c r="A693" s="66" t="s">
        <v>424</v>
      </c>
      <c r="B693" s="66" t="s">
        <v>496</v>
      </c>
      <c r="C693" s="67"/>
      <c r="D693" s="68"/>
      <c r="E693" s="69"/>
      <c r="F693" s="70"/>
      <c r="G693" s="67"/>
      <c r="H693" s="71"/>
      <c r="I693" s="72"/>
      <c r="J693" s="72"/>
      <c r="K693" s="36"/>
      <c r="L693" s="79"/>
      <c r="M693" s="79"/>
      <c r="N693" s="74"/>
      <c r="O693" s="81" t="s">
        <v>693</v>
      </c>
      <c r="P693" s="83">
        <v>44463.755196759259</v>
      </c>
      <c r="Q693" s="81" t="s">
        <v>804</v>
      </c>
      <c r="R693" s="81"/>
      <c r="S693" s="81"/>
      <c r="T693" s="86" t="s">
        <v>649</v>
      </c>
      <c r="U693" s="84" t="str">
        <f>HYPERLINK("https://pbs.twimg.com/media/FAEaAdPVgAgaH2z.jpg")</f>
        <v>https://pbs.twimg.com/media/FAEaAdPVgAgaH2z.jpg</v>
      </c>
      <c r="V693" s="84" t="str">
        <f>HYPERLINK("https://pbs.twimg.com/media/FAEaAdPVgAgaH2z.jpg")</f>
        <v>https://pbs.twimg.com/media/FAEaAdPVgAgaH2z.jpg</v>
      </c>
      <c r="W693" s="83">
        <v>44463.755196759259</v>
      </c>
      <c r="X693" s="89">
        <v>44463</v>
      </c>
      <c r="Y693" s="86" t="s">
        <v>1261</v>
      </c>
      <c r="Z693" s="84" t="str">
        <f>HYPERLINK("https://twitter.com/vssyie/status/1441464318348853248")</f>
        <v>https://twitter.com/vssyie/status/1441464318348853248</v>
      </c>
      <c r="AA693" s="81"/>
      <c r="AB693" s="81"/>
      <c r="AC693" s="86" t="s">
        <v>1757</v>
      </c>
      <c r="AD693" s="81"/>
      <c r="AE693" s="81" t="b">
        <v>0</v>
      </c>
      <c r="AF693" s="81">
        <v>0</v>
      </c>
      <c r="AG693" s="86" t="s">
        <v>2084</v>
      </c>
      <c r="AH693" s="81" t="b">
        <v>0</v>
      </c>
      <c r="AI693" s="81" t="s">
        <v>2168</v>
      </c>
      <c r="AJ693" s="81"/>
      <c r="AK693" s="86" t="s">
        <v>2084</v>
      </c>
      <c r="AL693" s="81" t="b">
        <v>0</v>
      </c>
      <c r="AM693" s="81">
        <v>22</v>
      </c>
      <c r="AN693" s="86" t="s">
        <v>1846</v>
      </c>
      <c r="AO693" s="86" t="s">
        <v>2178</v>
      </c>
      <c r="AP693" s="81" t="b">
        <v>0</v>
      </c>
      <c r="AQ693" s="86" t="s">
        <v>1846</v>
      </c>
      <c r="AR693" s="81" t="s">
        <v>179</v>
      </c>
      <c r="AS693" s="81">
        <v>0</v>
      </c>
      <c r="AT693" s="81">
        <v>0</v>
      </c>
      <c r="AU693" s="81"/>
      <c r="AV693" s="81"/>
      <c r="AW693" s="81"/>
      <c r="AX693" s="81"/>
      <c r="AY693" s="81"/>
      <c r="AZ693" s="81"/>
      <c r="BA693" s="81"/>
      <c r="BB693" s="81"/>
    </row>
    <row r="694" spans="1:54" x14ac:dyDescent="0.35">
      <c r="A694" s="66" t="s">
        <v>425</v>
      </c>
      <c r="B694" s="66" t="s">
        <v>646</v>
      </c>
      <c r="C694" s="67"/>
      <c r="D694" s="68"/>
      <c r="E694" s="69"/>
      <c r="F694" s="70"/>
      <c r="G694" s="67"/>
      <c r="H694" s="71"/>
      <c r="I694" s="72"/>
      <c r="J694" s="72"/>
      <c r="K694" s="36"/>
      <c r="L694" s="79"/>
      <c r="M694" s="79"/>
      <c r="N694" s="74"/>
      <c r="O694" s="81" t="s">
        <v>694</v>
      </c>
      <c r="P694" s="83">
        <v>44463.751574074071</v>
      </c>
      <c r="Q694" s="81" t="s">
        <v>804</v>
      </c>
      <c r="R694" s="81"/>
      <c r="S694" s="81"/>
      <c r="T694" s="86" t="s">
        <v>649</v>
      </c>
      <c r="U694" s="84" t="str">
        <f>HYPERLINK("https://pbs.twimg.com/media/FAEaAdPVgAgaH2z.jpg")</f>
        <v>https://pbs.twimg.com/media/FAEaAdPVgAgaH2z.jpg</v>
      </c>
      <c r="V694" s="84" t="str">
        <f>HYPERLINK("https://pbs.twimg.com/media/FAEaAdPVgAgaH2z.jpg")</f>
        <v>https://pbs.twimg.com/media/FAEaAdPVgAgaH2z.jpg</v>
      </c>
      <c r="W694" s="83">
        <v>44463.751574074071</v>
      </c>
      <c r="X694" s="89">
        <v>44463</v>
      </c>
      <c r="Y694" s="86" t="s">
        <v>1262</v>
      </c>
      <c r="Z694" s="84" t="str">
        <f>HYPERLINK("https://twitter.com/taestrowbeary/status/1441463004491497479")</f>
        <v>https://twitter.com/taestrowbeary/status/1441463004491497479</v>
      </c>
      <c r="AA694" s="81"/>
      <c r="AB694" s="81"/>
      <c r="AC694" s="86" t="s">
        <v>1758</v>
      </c>
      <c r="AD694" s="81"/>
      <c r="AE694" s="81" t="b">
        <v>0</v>
      </c>
      <c r="AF694" s="81">
        <v>0</v>
      </c>
      <c r="AG694" s="86" t="s">
        <v>2084</v>
      </c>
      <c r="AH694" s="81" t="b">
        <v>0</v>
      </c>
      <c r="AI694" s="81" t="s">
        <v>2168</v>
      </c>
      <c r="AJ694" s="81"/>
      <c r="AK694" s="86" t="s">
        <v>2084</v>
      </c>
      <c r="AL694" s="81" t="b">
        <v>0</v>
      </c>
      <c r="AM694" s="81">
        <v>22</v>
      </c>
      <c r="AN694" s="86" t="s">
        <v>1846</v>
      </c>
      <c r="AO694" s="86" t="s">
        <v>2179</v>
      </c>
      <c r="AP694" s="81" t="b">
        <v>0</v>
      </c>
      <c r="AQ694" s="86" t="s">
        <v>1846</v>
      </c>
      <c r="AR694" s="81" t="s">
        <v>179</v>
      </c>
      <c r="AS694" s="81">
        <v>0</v>
      </c>
      <c r="AT694" s="81">
        <v>0</v>
      </c>
      <c r="AU694" s="81"/>
      <c r="AV694" s="81"/>
      <c r="AW694" s="81"/>
      <c r="AX694" s="81"/>
      <c r="AY694" s="81"/>
      <c r="AZ694" s="81"/>
      <c r="BA694" s="81"/>
      <c r="BB694" s="81"/>
    </row>
    <row r="695" spans="1:54" x14ac:dyDescent="0.35">
      <c r="A695" s="66" t="s">
        <v>425</v>
      </c>
      <c r="B695" s="66" t="s">
        <v>647</v>
      </c>
      <c r="C695" s="67"/>
      <c r="D695" s="68"/>
      <c r="E695" s="69"/>
      <c r="F695" s="70"/>
      <c r="G695" s="67"/>
      <c r="H695" s="71"/>
      <c r="I695" s="72"/>
      <c r="J695" s="72"/>
      <c r="K695" s="36"/>
      <c r="L695" s="79"/>
      <c r="M695" s="79"/>
      <c r="N695" s="74"/>
      <c r="O695" s="81" t="s">
        <v>694</v>
      </c>
      <c r="P695" s="83">
        <v>44463.751574074071</v>
      </c>
      <c r="Q695" s="81" t="s">
        <v>804</v>
      </c>
      <c r="R695" s="81"/>
      <c r="S695" s="81"/>
      <c r="T695" s="86" t="s">
        <v>649</v>
      </c>
      <c r="U695" s="84" t="str">
        <f>HYPERLINK("https://pbs.twimg.com/media/FAEaAdPVgAgaH2z.jpg")</f>
        <v>https://pbs.twimg.com/media/FAEaAdPVgAgaH2z.jpg</v>
      </c>
      <c r="V695" s="84" t="str">
        <f>HYPERLINK("https://pbs.twimg.com/media/FAEaAdPVgAgaH2z.jpg")</f>
        <v>https://pbs.twimg.com/media/FAEaAdPVgAgaH2z.jpg</v>
      </c>
      <c r="W695" s="83">
        <v>44463.751574074071</v>
      </c>
      <c r="X695" s="89">
        <v>44463</v>
      </c>
      <c r="Y695" s="86" t="s">
        <v>1262</v>
      </c>
      <c r="Z695" s="84" t="str">
        <f>HYPERLINK("https://twitter.com/taestrowbeary/status/1441463004491497479")</f>
        <v>https://twitter.com/taestrowbeary/status/1441463004491497479</v>
      </c>
      <c r="AA695" s="81"/>
      <c r="AB695" s="81"/>
      <c r="AC695" s="86" t="s">
        <v>1758</v>
      </c>
      <c r="AD695" s="81"/>
      <c r="AE695" s="81" t="b">
        <v>0</v>
      </c>
      <c r="AF695" s="81">
        <v>0</v>
      </c>
      <c r="AG695" s="86" t="s">
        <v>2084</v>
      </c>
      <c r="AH695" s="81" t="b">
        <v>0</v>
      </c>
      <c r="AI695" s="81" t="s">
        <v>2168</v>
      </c>
      <c r="AJ695" s="81"/>
      <c r="AK695" s="86" t="s">
        <v>2084</v>
      </c>
      <c r="AL695" s="81" t="b">
        <v>0</v>
      </c>
      <c r="AM695" s="81">
        <v>22</v>
      </c>
      <c r="AN695" s="86" t="s">
        <v>1846</v>
      </c>
      <c r="AO695" s="86" t="s">
        <v>2179</v>
      </c>
      <c r="AP695" s="81" t="b">
        <v>0</v>
      </c>
      <c r="AQ695" s="86" t="s">
        <v>1846</v>
      </c>
      <c r="AR695" s="81" t="s">
        <v>179</v>
      </c>
      <c r="AS695" s="81">
        <v>0</v>
      </c>
      <c r="AT695" s="81">
        <v>0</v>
      </c>
      <c r="AU695" s="81"/>
      <c r="AV695" s="81"/>
      <c r="AW695" s="81"/>
      <c r="AX695" s="81"/>
      <c r="AY695" s="81"/>
      <c r="AZ695" s="81"/>
      <c r="BA695" s="81"/>
      <c r="BB695" s="81"/>
    </row>
    <row r="696" spans="1:54" x14ac:dyDescent="0.35">
      <c r="A696" s="66" t="s">
        <v>425</v>
      </c>
      <c r="B696" s="66" t="s">
        <v>648</v>
      </c>
      <c r="C696" s="67"/>
      <c r="D696" s="68"/>
      <c r="E696" s="69"/>
      <c r="F696" s="70"/>
      <c r="G696" s="67"/>
      <c r="H696" s="71"/>
      <c r="I696" s="72"/>
      <c r="J696" s="72"/>
      <c r="K696" s="36"/>
      <c r="L696" s="79"/>
      <c r="M696" s="79"/>
      <c r="N696" s="74"/>
      <c r="O696" s="81" t="s">
        <v>694</v>
      </c>
      <c r="P696" s="83">
        <v>44463.751574074071</v>
      </c>
      <c r="Q696" s="81" t="s">
        <v>804</v>
      </c>
      <c r="R696" s="81"/>
      <c r="S696" s="81"/>
      <c r="T696" s="86" t="s">
        <v>649</v>
      </c>
      <c r="U696" s="84" t="str">
        <f>HYPERLINK("https://pbs.twimg.com/media/FAEaAdPVgAgaH2z.jpg")</f>
        <v>https://pbs.twimg.com/media/FAEaAdPVgAgaH2z.jpg</v>
      </c>
      <c r="V696" s="84" t="str">
        <f>HYPERLINK("https://pbs.twimg.com/media/FAEaAdPVgAgaH2z.jpg")</f>
        <v>https://pbs.twimg.com/media/FAEaAdPVgAgaH2z.jpg</v>
      </c>
      <c r="W696" s="83">
        <v>44463.751574074071</v>
      </c>
      <c r="X696" s="89">
        <v>44463</v>
      </c>
      <c r="Y696" s="86" t="s">
        <v>1262</v>
      </c>
      <c r="Z696" s="84" t="str">
        <f>HYPERLINK("https://twitter.com/taestrowbeary/status/1441463004491497479")</f>
        <v>https://twitter.com/taestrowbeary/status/1441463004491497479</v>
      </c>
      <c r="AA696" s="81"/>
      <c r="AB696" s="81"/>
      <c r="AC696" s="86" t="s">
        <v>1758</v>
      </c>
      <c r="AD696" s="81"/>
      <c r="AE696" s="81" t="b">
        <v>0</v>
      </c>
      <c r="AF696" s="81">
        <v>0</v>
      </c>
      <c r="AG696" s="86" t="s">
        <v>2084</v>
      </c>
      <c r="AH696" s="81" t="b">
        <v>0</v>
      </c>
      <c r="AI696" s="81" t="s">
        <v>2168</v>
      </c>
      <c r="AJ696" s="81"/>
      <c r="AK696" s="86" t="s">
        <v>2084</v>
      </c>
      <c r="AL696" s="81" t="b">
        <v>0</v>
      </c>
      <c r="AM696" s="81">
        <v>22</v>
      </c>
      <c r="AN696" s="86" t="s">
        <v>1846</v>
      </c>
      <c r="AO696" s="86" t="s">
        <v>2179</v>
      </c>
      <c r="AP696" s="81" t="b">
        <v>0</v>
      </c>
      <c r="AQ696" s="86" t="s">
        <v>1846</v>
      </c>
      <c r="AR696" s="81" t="s">
        <v>179</v>
      </c>
      <c r="AS696" s="81">
        <v>0</v>
      </c>
      <c r="AT696" s="81">
        <v>0</v>
      </c>
      <c r="AU696" s="81"/>
      <c r="AV696" s="81"/>
      <c r="AW696" s="81"/>
      <c r="AX696" s="81"/>
      <c r="AY696" s="81"/>
      <c r="AZ696" s="81"/>
      <c r="BA696" s="81"/>
      <c r="BB696" s="81"/>
    </row>
    <row r="697" spans="1:54" x14ac:dyDescent="0.35">
      <c r="A697" s="66" t="s">
        <v>425</v>
      </c>
      <c r="B697" s="66" t="s">
        <v>649</v>
      </c>
      <c r="C697" s="67"/>
      <c r="D697" s="68"/>
      <c r="E697" s="69"/>
      <c r="F697" s="70"/>
      <c r="G697" s="67"/>
      <c r="H697" s="71"/>
      <c r="I697" s="72"/>
      <c r="J697" s="72"/>
      <c r="K697" s="36"/>
      <c r="L697" s="79"/>
      <c r="M697" s="79"/>
      <c r="N697" s="74"/>
      <c r="O697" s="81" t="s">
        <v>694</v>
      </c>
      <c r="P697" s="83">
        <v>44463.751574074071</v>
      </c>
      <c r="Q697" s="81" t="s">
        <v>804</v>
      </c>
      <c r="R697" s="81"/>
      <c r="S697" s="81"/>
      <c r="T697" s="86" t="s">
        <v>649</v>
      </c>
      <c r="U697" s="84" t="str">
        <f>HYPERLINK("https://pbs.twimg.com/media/FAEaAdPVgAgaH2z.jpg")</f>
        <v>https://pbs.twimg.com/media/FAEaAdPVgAgaH2z.jpg</v>
      </c>
      <c r="V697" s="84" t="str">
        <f>HYPERLINK("https://pbs.twimg.com/media/FAEaAdPVgAgaH2z.jpg")</f>
        <v>https://pbs.twimg.com/media/FAEaAdPVgAgaH2z.jpg</v>
      </c>
      <c r="W697" s="83">
        <v>44463.751574074071</v>
      </c>
      <c r="X697" s="89">
        <v>44463</v>
      </c>
      <c r="Y697" s="86" t="s">
        <v>1262</v>
      </c>
      <c r="Z697" s="84" t="str">
        <f>HYPERLINK("https://twitter.com/taestrowbeary/status/1441463004491497479")</f>
        <v>https://twitter.com/taestrowbeary/status/1441463004491497479</v>
      </c>
      <c r="AA697" s="81"/>
      <c r="AB697" s="81"/>
      <c r="AC697" s="86" t="s">
        <v>1758</v>
      </c>
      <c r="AD697" s="81"/>
      <c r="AE697" s="81" t="b">
        <v>0</v>
      </c>
      <c r="AF697" s="81">
        <v>0</v>
      </c>
      <c r="AG697" s="86" t="s">
        <v>2084</v>
      </c>
      <c r="AH697" s="81" t="b">
        <v>0</v>
      </c>
      <c r="AI697" s="81" t="s">
        <v>2168</v>
      </c>
      <c r="AJ697" s="81"/>
      <c r="AK697" s="86" t="s">
        <v>2084</v>
      </c>
      <c r="AL697" s="81" t="b">
        <v>0</v>
      </c>
      <c r="AM697" s="81">
        <v>22</v>
      </c>
      <c r="AN697" s="86" t="s">
        <v>1846</v>
      </c>
      <c r="AO697" s="86" t="s">
        <v>2179</v>
      </c>
      <c r="AP697" s="81" t="b">
        <v>0</v>
      </c>
      <c r="AQ697" s="86" t="s">
        <v>1846</v>
      </c>
      <c r="AR697" s="81" t="s">
        <v>179</v>
      </c>
      <c r="AS697" s="81">
        <v>0</v>
      </c>
      <c r="AT697" s="81">
        <v>0</v>
      </c>
      <c r="AU697" s="81"/>
      <c r="AV697" s="81"/>
      <c r="AW697" s="81"/>
      <c r="AX697" s="81"/>
      <c r="AY697" s="81"/>
      <c r="AZ697" s="81"/>
      <c r="BA697" s="81"/>
      <c r="BB697" s="81"/>
    </row>
    <row r="698" spans="1:54" x14ac:dyDescent="0.35">
      <c r="A698" s="66" t="s">
        <v>425</v>
      </c>
      <c r="B698" s="66" t="s">
        <v>496</v>
      </c>
      <c r="C698" s="67"/>
      <c r="D698" s="68"/>
      <c r="E698" s="69"/>
      <c r="F698" s="70"/>
      <c r="G698" s="67"/>
      <c r="H698" s="71"/>
      <c r="I698" s="72"/>
      <c r="J698" s="72"/>
      <c r="K698" s="36"/>
      <c r="L698" s="79"/>
      <c r="M698" s="79"/>
      <c r="N698" s="74"/>
      <c r="O698" s="81" t="s">
        <v>693</v>
      </c>
      <c r="P698" s="83">
        <v>44463.751574074071</v>
      </c>
      <c r="Q698" s="81" t="s">
        <v>804</v>
      </c>
      <c r="R698" s="81"/>
      <c r="S698" s="81"/>
      <c r="T698" s="86" t="s">
        <v>649</v>
      </c>
      <c r="U698" s="84" t="str">
        <f>HYPERLINK("https://pbs.twimg.com/media/FAEaAdPVgAgaH2z.jpg")</f>
        <v>https://pbs.twimg.com/media/FAEaAdPVgAgaH2z.jpg</v>
      </c>
      <c r="V698" s="84" t="str">
        <f>HYPERLINK("https://pbs.twimg.com/media/FAEaAdPVgAgaH2z.jpg")</f>
        <v>https://pbs.twimg.com/media/FAEaAdPVgAgaH2z.jpg</v>
      </c>
      <c r="W698" s="83">
        <v>44463.751574074071</v>
      </c>
      <c r="X698" s="89">
        <v>44463</v>
      </c>
      <c r="Y698" s="86" t="s">
        <v>1262</v>
      </c>
      <c r="Z698" s="84" t="str">
        <f>HYPERLINK("https://twitter.com/taestrowbeary/status/1441463004491497479")</f>
        <v>https://twitter.com/taestrowbeary/status/1441463004491497479</v>
      </c>
      <c r="AA698" s="81"/>
      <c r="AB698" s="81"/>
      <c r="AC698" s="86" t="s">
        <v>1758</v>
      </c>
      <c r="AD698" s="81"/>
      <c r="AE698" s="81" t="b">
        <v>0</v>
      </c>
      <c r="AF698" s="81">
        <v>0</v>
      </c>
      <c r="AG698" s="86" t="s">
        <v>2084</v>
      </c>
      <c r="AH698" s="81" t="b">
        <v>0</v>
      </c>
      <c r="AI698" s="81" t="s">
        <v>2168</v>
      </c>
      <c r="AJ698" s="81"/>
      <c r="AK698" s="86" t="s">
        <v>2084</v>
      </c>
      <c r="AL698" s="81" t="b">
        <v>0</v>
      </c>
      <c r="AM698" s="81">
        <v>22</v>
      </c>
      <c r="AN698" s="86" t="s">
        <v>1846</v>
      </c>
      <c r="AO698" s="86" t="s">
        <v>2179</v>
      </c>
      <c r="AP698" s="81" t="b">
        <v>0</v>
      </c>
      <c r="AQ698" s="86" t="s">
        <v>1846</v>
      </c>
      <c r="AR698" s="81" t="s">
        <v>179</v>
      </c>
      <c r="AS698" s="81">
        <v>0</v>
      </c>
      <c r="AT698" s="81">
        <v>0</v>
      </c>
      <c r="AU698" s="81"/>
      <c r="AV698" s="81"/>
      <c r="AW698" s="81"/>
      <c r="AX698" s="81"/>
      <c r="AY698" s="81"/>
      <c r="AZ698" s="81"/>
      <c r="BA698" s="81"/>
      <c r="BB698" s="81"/>
    </row>
    <row r="699" spans="1:54" x14ac:dyDescent="0.35">
      <c r="A699" s="66" t="s">
        <v>425</v>
      </c>
      <c r="B699" s="66" t="s">
        <v>646</v>
      </c>
      <c r="C699" s="67"/>
      <c r="D699" s="68"/>
      <c r="E699" s="69"/>
      <c r="F699" s="70"/>
      <c r="G699" s="67"/>
      <c r="H699" s="71"/>
      <c r="I699" s="72"/>
      <c r="J699" s="72"/>
      <c r="K699" s="36"/>
      <c r="L699" s="79"/>
      <c r="M699" s="79"/>
      <c r="N699" s="74"/>
      <c r="O699" s="81" t="s">
        <v>694</v>
      </c>
      <c r="P699" s="83">
        <v>44463.754560185182</v>
      </c>
      <c r="Q699" s="81" t="s">
        <v>803</v>
      </c>
      <c r="R699" s="81"/>
      <c r="S699" s="81"/>
      <c r="T699" s="86" t="s">
        <v>649</v>
      </c>
      <c r="U699" s="84" t="str">
        <f>HYPERLINK("https://pbs.twimg.com/media/FAEa7dXVkAcjbKg.jpg")</f>
        <v>https://pbs.twimg.com/media/FAEa7dXVkAcjbKg.jpg</v>
      </c>
      <c r="V699" s="84" t="str">
        <f>HYPERLINK("https://pbs.twimg.com/media/FAEa7dXVkAcjbKg.jpg")</f>
        <v>https://pbs.twimg.com/media/FAEa7dXVkAcjbKg.jpg</v>
      </c>
      <c r="W699" s="83">
        <v>44463.754560185182</v>
      </c>
      <c r="X699" s="89">
        <v>44463</v>
      </c>
      <c r="Y699" s="86" t="s">
        <v>1263</v>
      </c>
      <c r="Z699" s="84" t="str">
        <f>HYPERLINK("https://twitter.com/taestrowbeary/status/1441464088970739722")</f>
        <v>https://twitter.com/taestrowbeary/status/1441464088970739722</v>
      </c>
      <c r="AA699" s="81"/>
      <c r="AB699" s="81"/>
      <c r="AC699" s="86" t="s">
        <v>1759</v>
      </c>
      <c r="AD699" s="81"/>
      <c r="AE699" s="81" t="b">
        <v>0</v>
      </c>
      <c r="AF699" s="81">
        <v>0</v>
      </c>
      <c r="AG699" s="86" t="s">
        <v>2084</v>
      </c>
      <c r="AH699" s="81" t="b">
        <v>0</v>
      </c>
      <c r="AI699" s="81" t="s">
        <v>2168</v>
      </c>
      <c r="AJ699" s="81"/>
      <c r="AK699" s="86" t="s">
        <v>2084</v>
      </c>
      <c r="AL699" s="81" t="b">
        <v>0</v>
      </c>
      <c r="AM699" s="81">
        <v>21</v>
      </c>
      <c r="AN699" s="86" t="s">
        <v>1847</v>
      </c>
      <c r="AO699" s="86" t="s">
        <v>2179</v>
      </c>
      <c r="AP699" s="81" t="b">
        <v>0</v>
      </c>
      <c r="AQ699" s="86" t="s">
        <v>1847</v>
      </c>
      <c r="AR699" s="81" t="s">
        <v>179</v>
      </c>
      <c r="AS699" s="81">
        <v>0</v>
      </c>
      <c r="AT699" s="81">
        <v>0</v>
      </c>
      <c r="AU699" s="81"/>
      <c r="AV699" s="81"/>
      <c r="AW699" s="81"/>
      <c r="AX699" s="81"/>
      <c r="AY699" s="81"/>
      <c r="AZ699" s="81"/>
      <c r="BA699" s="81"/>
      <c r="BB699" s="81"/>
    </row>
    <row r="700" spans="1:54" x14ac:dyDescent="0.35">
      <c r="A700" s="66" t="s">
        <v>425</v>
      </c>
      <c r="B700" s="66" t="s">
        <v>647</v>
      </c>
      <c r="C700" s="67"/>
      <c r="D700" s="68"/>
      <c r="E700" s="69"/>
      <c r="F700" s="70"/>
      <c r="G700" s="67"/>
      <c r="H700" s="71"/>
      <c r="I700" s="72"/>
      <c r="J700" s="72"/>
      <c r="K700" s="36"/>
      <c r="L700" s="79"/>
      <c r="M700" s="79"/>
      <c r="N700" s="74"/>
      <c r="O700" s="81" t="s">
        <v>694</v>
      </c>
      <c r="P700" s="83">
        <v>44463.754560185182</v>
      </c>
      <c r="Q700" s="81" t="s">
        <v>803</v>
      </c>
      <c r="R700" s="81"/>
      <c r="S700" s="81"/>
      <c r="T700" s="86" t="s">
        <v>649</v>
      </c>
      <c r="U700" s="84" t="str">
        <f>HYPERLINK("https://pbs.twimg.com/media/FAEa7dXVkAcjbKg.jpg")</f>
        <v>https://pbs.twimg.com/media/FAEa7dXVkAcjbKg.jpg</v>
      </c>
      <c r="V700" s="84" t="str">
        <f>HYPERLINK("https://pbs.twimg.com/media/FAEa7dXVkAcjbKg.jpg")</f>
        <v>https://pbs.twimg.com/media/FAEa7dXVkAcjbKg.jpg</v>
      </c>
      <c r="W700" s="83">
        <v>44463.754560185182</v>
      </c>
      <c r="X700" s="89">
        <v>44463</v>
      </c>
      <c r="Y700" s="86" t="s">
        <v>1263</v>
      </c>
      <c r="Z700" s="84" t="str">
        <f>HYPERLINK("https://twitter.com/taestrowbeary/status/1441464088970739722")</f>
        <v>https://twitter.com/taestrowbeary/status/1441464088970739722</v>
      </c>
      <c r="AA700" s="81"/>
      <c r="AB700" s="81"/>
      <c r="AC700" s="86" t="s">
        <v>1759</v>
      </c>
      <c r="AD700" s="81"/>
      <c r="AE700" s="81" t="b">
        <v>0</v>
      </c>
      <c r="AF700" s="81">
        <v>0</v>
      </c>
      <c r="AG700" s="86" t="s">
        <v>2084</v>
      </c>
      <c r="AH700" s="81" t="b">
        <v>0</v>
      </c>
      <c r="AI700" s="81" t="s">
        <v>2168</v>
      </c>
      <c r="AJ700" s="81"/>
      <c r="AK700" s="86" t="s">
        <v>2084</v>
      </c>
      <c r="AL700" s="81" t="b">
        <v>0</v>
      </c>
      <c r="AM700" s="81">
        <v>21</v>
      </c>
      <c r="AN700" s="86" t="s">
        <v>1847</v>
      </c>
      <c r="AO700" s="86" t="s">
        <v>2179</v>
      </c>
      <c r="AP700" s="81" t="b">
        <v>0</v>
      </c>
      <c r="AQ700" s="86" t="s">
        <v>1847</v>
      </c>
      <c r="AR700" s="81" t="s">
        <v>179</v>
      </c>
      <c r="AS700" s="81">
        <v>0</v>
      </c>
      <c r="AT700" s="81">
        <v>0</v>
      </c>
      <c r="AU700" s="81"/>
      <c r="AV700" s="81"/>
      <c r="AW700" s="81"/>
      <c r="AX700" s="81"/>
      <c r="AY700" s="81"/>
      <c r="AZ700" s="81"/>
      <c r="BA700" s="81"/>
      <c r="BB700" s="81"/>
    </row>
    <row r="701" spans="1:54" x14ac:dyDescent="0.35">
      <c r="A701" s="66" t="s">
        <v>425</v>
      </c>
      <c r="B701" s="66" t="s">
        <v>648</v>
      </c>
      <c r="C701" s="67"/>
      <c r="D701" s="68"/>
      <c r="E701" s="69"/>
      <c r="F701" s="70"/>
      <c r="G701" s="67"/>
      <c r="H701" s="71"/>
      <c r="I701" s="72"/>
      <c r="J701" s="72"/>
      <c r="K701" s="36"/>
      <c r="L701" s="79"/>
      <c r="M701" s="79"/>
      <c r="N701" s="74"/>
      <c r="O701" s="81" t="s">
        <v>694</v>
      </c>
      <c r="P701" s="83">
        <v>44463.754560185182</v>
      </c>
      <c r="Q701" s="81" t="s">
        <v>803</v>
      </c>
      <c r="R701" s="81"/>
      <c r="S701" s="81"/>
      <c r="T701" s="86" t="s">
        <v>649</v>
      </c>
      <c r="U701" s="84" t="str">
        <f>HYPERLINK("https://pbs.twimg.com/media/FAEa7dXVkAcjbKg.jpg")</f>
        <v>https://pbs.twimg.com/media/FAEa7dXVkAcjbKg.jpg</v>
      </c>
      <c r="V701" s="84" t="str">
        <f>HYPERLINK("https://pbs.twimg.com/media/FAEa7dXVkAcjbKg.jpg")</f>
        <v>https://pbs.twimg.com/media/FAEa7dXVkAcjbKg.jpg</v>
      </c>
      <c r="W701" s="83">
        <v>44463.754560185182</v>
      </c>
      <c r="X701" s="89">
        <v>44463</v>
      </c>
      <c r="Y701" s="86" t="s">
        <v>1263</v>
      </c>
      <c r="Z701" s="84" t="str">
        <f>HYPERLINK("https://twitter.com/taestrowbeary/status/1441464088970739722")</f>
        <v>https://twitter.com/taestrowbeary/status/1441464088970739722</v>
      </c>
      <c r="AA701" s="81"/>
      <c r="AB701" s="81"/>
      <c r="AC701" s="86" t="s">
        <v>1759</v>
      </c>
      <c r="AD701" s="81"/>
      <c r="AE701" s="81" t="b">
        <v>0</v>
      </c>
      <c r="AF701" s="81">
        <v>0</v>
      </c>
      <c r="AG701" s="86" t="s">
        <v>2084</v>
      </c>
      <c r="AH701" s="81" t="b">
        <v>0</v>
      </c>
      <c r="AI701" s="81" t="s">
        <v>2168</v>
      </c>
      <c r="AJ701" s="81"/>
      <c r="AK701" s="86" t="s">
        <v>2084</v>
      </c>
      <c r="AL701" s="81" t="b">
        <v>0</v>
      </c>
      <c r="AM701" s="81">
        <v>21</v>
      </c>
      <c r="AN701" s="86" t="s">
        <v>1847</v>
      </c>
      <c r="AO701" s="86" t="s">
        <v>2179</v>
      </c>
      <c r="AP701" s="81" t="b">
        <v>0</v>
      </c>
      <c r="AQ701" s="86" t="s">
        <v>1847</v>
      </c>
      <c r="AR701" s="81" t="s">
        <v>179</v>
      </c>
      <c r="AS701" s="81">
        <v>0</v>
      </c>
      <c r="AT701" s="81">
        <v>0</v>
      </c>
      <c r="AU701" s="81"/>
      <c r="AV701" s="81"/>
      <c r="AW701" s="81"/>
      <c r="AX701" s="81"/>
      <c r="AY701" s="81"/>
      <c r="AZ701" s="81"/>
      <c r="BA701" s="81"/>
      <c r="BB701" s="81"/>
    </row>
    <row r="702" spans="1:54" x14ac:dyDescent="0.35">
      <c r="A702" s="66" t="s">
        <v>425</v>
      </c>
      <c r="B702" s="66" t="s">
        <v>649</v>
      </c>
      <c r="C702" s="67"/>
      <c r="D702" s="68"/>
      <c r="E702" s="69"/>
      <c r="F702" s="70"/>
      <c r="G702" s="67"/>
      <c r="H702" s="71"/>
      <c r="I702" s="72"/>
      <c r="J702" s="72"/>
      <c r="K702" s="36"/>
      <c r="L702" s="79"/>
      <c r="M702" s="79"/>
      <c r="N702" s="74"/>
      <c r="O702" s="81" t="s">
        <v>694</v>
      </c>
      <c r="P702" s="83">
        <v>44463.754560185182</v>
      </c>
      <c r="Q702" s="81" t="s">
        <v>803</v>
      </c>
      <c r="R702" s="81"/>
      <c r="S702" s="81"/>
      <c r="T702" s="86" t="s">
        <v>649</v>
      </c>
      <c r="U702" s="84" t="str">
        <f>HYPERLINK("https://pbs.twimg.com/media/FAEa7dXVkAcjbKg.jpg")</f>
        <v>https://pbs.twimg.com/media/FAEa7dXVkAcjbKg.jpg</v>
      </c>
      <c r="V702" s="84" t="str">
        <f>HYPERLINK("https://pbs.twimg.com/media/FAEa7dXVkAcjbKg.jpg")</f>
        <v>https://pbs.twimg.com/media/FAEa7dXVkAcjbKg.jpg</v>
      </c>
      <c r="W702" s="83">
        <v>44463.754560185182</v>
      </c>
      <c r="X702" s="89">
        <v>44463</v>
      </c>
      <c r="Y702" s="86" t="s">
        <v>1263</v>
      </c>
      <c r="Z702" s="84" t="str">
        <f>HYPERLINK("https://twitter.com/taestrowbeary/status/1441464088970739722")</f>
        <v>https://twitter.com/taestrowbeary/status/1441464088970739722</v>
      </c>
      <c r="AA702" s="81"/>
      <c r="AB702" s="81"/>
      <c r="AC702" s="86" t="s">
        <v>1759</v>
      </c>
      <c r="AD702" s="81"/>
      <c r="AE702" s="81" t="b">
        <v>0</v>
      </c>
      <c r="AF702" s="81">
        <v>0</v>
      </c>
      <c r="AG702" s="86" t="s">
        <v>2084</v>
      </c>
      <c r="AH702" s="81" t="b">
        <v>0</v>
      </c>
      <c r="AI702" s="81" t="s">
        <v>2168</v>
      </c>
      <c r="AJ702" s="81"/>
      <c r="AK702" s="86" t="s">
        <v>2084</v>
      </c>
      <c r="AL702" s="81" t="b">
        <v>0</v>
      </c>
      <c r="AM702" s="81">
        <v>21</v>
      </c>
      <c r="AN702" s="86" t="s">
        <v>1847</v>
      </c>
      <c r="AO702" s="86" t="s">
        <v>2179</v>
      </c>
      <c r="AP702" s="81" t="b">
        <v>0</v>
      </c>
      <c r="AQ702" s="86" t="s">
        <v>1847</v>
      </c>
      <c r="AR702" s="81" t="s">
        <v>179</v>
      </c>
      <c r="AS702" s="81">
        <v>0</v>
      </c>
      <c r="AT702" s="81">
        <v>0</v>
      </c>
      <c r="AU702" s="81"/>
      <c r="AV702" s="81"/>
      <c r="AW702" s="81"/>
      <c r="AX702" s="81"/>
      <c r="AY702" s="81"/>
      <c r="AZ702" s="81"/>
      <c r="BA702" s="81"/>
      <c r="BB702" s="81"/>
    </row>
    <row r="703" spans="1:54" x14ac:dyDescent="0.35">
      <c r="A703" s="66" t="s">
        <v>425</v>
      </c>
      <c r="B703" s="66" t="s">
        <v>496</v>
      </c>
      <c r="C703" s="67"/>
      <c r="D703" s="68"/>
      <c r="E703" s="69"/>
      <c r="F703" s="70"/>
      <c r="G703" s="67"/>
      <c r="H703" s="71"/>
      <c r="I703" s="72"/>
      <c r="J703" s="72"/>
      <c r="K703" s="36"/>
      <c r="L703" s="79"/>
      <c r="M703" s="79"/>
      <c r="N703" s="74"/>
      <c r="O703" s="81" t="s">
        <v>693</v>
      </c>
      <c r="P703" s="83">
        <v>44463.754560185182</v>
      </c>
      <c r="Q703" s="81" t="s">
        <v>803</v>
      </c>
      <c r="R703" s="81"/>
      <c r="S703" s="81"/>
      <c r="T703" s="86" t="s">
        <v>649</v>
      </c>
      <c r="U703" s="84" t="str">
        <f>HYPERLINK("https://pbs.twimg.com/media/FAEa7dXVkAcjbKg.jpg")</f>
        <v>https://pbs.twimg.com/media/FAEa7dXVkAcjbKg.jpg</v>
      </c>
      <c r="V703" s="84" t="str">
        <f>HYPERLINK("https://pbs.twimg.com/media/FAEa7dXVkAcjbKg.jpg")</f>
        <v>https://pbs.twimg.com/media/FAEa7dXVkAcjbKg.jpg</v>
      </c>
      <c r="W703" s="83">
        <v>44463.754560185182</v>
      </c>
      <c r="X703" s="89">
        <v>44463</v>
      </c>
      <c r="Y703" s="86" t="s">
        <v>1263</v>
      </c>
      <c r="Z703" s="84" t="str">
        <f>HYPERLINK("https://twitter.com/taestrowbeary/status/1441464088970739722")</f>
        <v>https://twitter.com/taestrowbeary/status/1441464088970739722</v>
      </c>
      <c r="AA703" s="81"/>
      <c r="AB703" s="81"/>
      <c r="AC703" s="86" t="s">
        <v>1759</v>
      </c>
      <c r="AD703" s="81"/>
      <c r="AE703" s="81" t="b">
        <v>0</v>
      </c>
      <c r="AF703" s="81">
        <v>0</v>
      </c>
      <c r="AG703" s="86" t="s">
        <v>2084</v>
      </c>
      <c r="AH703" s="81" t="b">
        <v>0</v>
      </c>
      <c r="AI703" s="81" t="s">
        <v>2168</v>
      </c>
      <c r="AJ703" s="81"/>
      <c r="AK703" s="86" t="s">
        <v>2084</v>
      </c>
      <c r="AL703" s="81" t="b">
        <v>0</v>
      </c>
      <c r="AM703" s="81">
        <v>21</v>
      </c>
      <c r="AN703" s="86" t="s">
        <v>1847</v>
      </c>
      <c r="AO703" s="86" t="s">
        <v>2179</v>
      </c>
      <c r="AP703" s="81" t="b">
        <v>0</v>
      </c>
      <c r="AQ703" s="86" t="s">
        <v>1847</v>
      </c>
      <c r="AR703" s="81" t="s">
        <v>179</v>
      </c>
      <c r="AS703" s="81">
        <v>0</v>
      </c>
      <c r="AT703" s="81">
        <v>0</v>
      </c>
      <c r="AU703" s="81"/>
      <c r="AV703" s="81"/>
      <c r="AW703" s="81"/>
      <c r="AX703" s="81"/>
      <c r="AY703" s="81"/>
      <c r="AZ703" s="81"/>
      <c r="BA703" s="81"/>
      <c r="BB703" s="81"/>
    </row>
    <row r="704" spans="1:54" x14ac:dyDescent="0.35">
      <c r="A704" s="66" t="s">
        <v>425</v>
      </c>
      <c r="B704" s="66" t="s">
        <v>646</v>
      </c>
      <c r="C704" s="67"/>
      <c r="D704" s="68"/>
      <c r="E704" s="69"/>
      <c r="F704" s="70"/>
      <c r="G704" s="67"/>
      <c r="H704" s="71"/>
      <c r="I704" s="72"/>
      <c r="J704" s="72"/>
      <c r="K704" s="36"/>
      <c r="L704" s="79"/>
      <c r="M704" s="79"/>
      <c r="N704" s="74"/>
      <c r="O704" s="81" t="s">
        <v>694</v>
      </c>
      <c r="P704" s="83">
        <v>44463.75503472222</v>
      </c>
      <c r="Q704" s="81" t="s">
        <v>802</v>
      </c>
      <c r="R704" s="81"/>
      <c r="S704" s="81"/>
      <c r="T704" s="86" t="s">
        <v>649</v>
      </c>
      <c r="U704" s="84" t="str">
        <f>HYPERLINK("https://pbs.twimg.com/media/FAEa_mFUYAcoKUu.jpg")</f>
        <v>https://pbs.twimg.com/media/FAEa_mFUYAcoKUu.jpg</v>
      </c>
      <c r="V704" s="84" t="str">
        <f>HYPERLINK("https://pbs.twimg.com/media/FAEa_mFUYAcoKUu.jpg")</f>
        <v>https://pbs.twimg.com/media/FAEa_mFUYAcoKUu.jpg</v>
      </c>
      <c r="W704" s="83">
        <v>44463.75503472222</v>
      </c>
      <c r="X704" s="89">
        <v>44463</v>
      </c>
      <c r="Y704" s="86" t="s">
        <v>1264</v>
      </c>
      <c r="Z704" s="84" t="str">
        <f>HYPERLINK("https://twitter.com/taestrowbeary/status/1441464259385303047")</f>
        <v>https://twitter.com/taestrowbeary/status/1441464259385303047</v>
      </c>
      <c r="AA704" s="81"/>
      <c r="AB704" s="81"/>
      <c r="AC704" s="86" t="s">
        <v>1760</v>
      </c>
      <c r="AD704" s="81"/>
      <c r="AE704" s="81" t="b">
        <v>0</v>
      </c>
      <c r="AF704" s="81">
        <v>0</v>
      </c>
      <c r="AG704" s="86" t="s">
        <v>2084</v>
      </c>
      <c r="AH704" s="81" t="b">
        <v>0</v>
      </c>
      <c r="AI704" s="81" t="s">
        <v>2168</v>
      </c>
      <c r="AJ704" s="81"/>
      <c r="AK704" s="86" t="s">
        <v>2084</v>
      </c>
      <c r="AL704" s="81" t="b">
        <v>0</v>
      </c>
      <c r="AM704" s="81">
        <v>24</v>
      </c>
      <c r="AN704" s="86" t="s">
        <v>1848</v>
      </c>
      <c r="AO704" s="86" t="s">
        <v>2179</v>
      </c>
      <c r="AP704" s="81" t="b">
        <v>0</v>
      </c>
      <c r="AQ704" s="86" t="s">
        <v>1848</v>
      </c>
      <c r="AR704" s="81" t="s">
        <v>179</v>
      </c>
      <c r="AS704" s="81">
        <v>0</v>
      </c>
      <c r="AT704" s="81">
        <v>0</v>
      </c>
      <c r="AU704" s="81"/>
      <c r="AV704" s="81"/>
      <c r="AW704" s="81"/>
      <c r="AX704" s="81"/>
      <c r="AY704" s="81"/>
      <c r="AZ704" s="81"/>
      <c r="BA704" s="81"/>
      <c r="BB704" s="81"/>
    </row>
    <row r="705" spans="1:54" x14ac:dyDescent="0.35">
      <c r="A705" s="66" t="s">
        <v>425</v>
      </c>
      <c r="B705" s="66" t="s">
        <v>647</v>
      </c>
      <c r="C705" s="67"/>
      <c r="D705" s="68"/>
      <c r="E705" s="69"/>
      <c r="F705" s="70"/>
      <c r="G705" s="67"/>
      <c r="H705" s="71"/>
      <c r="I705" s="72"/>
      <c r="J705" s="72"/>
      <c r="K705" s="36"/>
      <c r="L705" s="79"/>
      <c r="M705" s="79"/>
      <c r="N705" s="74"/>
      <c r="O705" s="81" t="s">
        <v>694</v>
      </c>
      <c r="P705" s="83">
        <v>44463.75503472222</v>
      </c>
      <c r="Q705" s="81" t="s">
        <v>802</v>
      </c>
      <c r="R705" s="81"/>
      <c r="S705" s="81"/>
      <c r="T705" s="86" t="s">
        <v>649</v>
      </c>
      <c r="U705" s="84" t="str">
        <f>HYPERLINK("https://pbs.twimg.com/media/FAEa_mFUYAcoKUu.jpg")</f>
        <v>https://pbs.twimg.com/media/FAEa_mFUYAcoKUu.jpg</v>
      </c>
      <c r="V705" s="84" t="str">
        <f>HYPERLINK("https://pbs.twimg.com/media/FAEa_mFUYAcoKUu.jpg")</f>
        <v>https://pbs.twimg.com/media/FAEa_mFUYAcoKUu.jpg</v>
      </c>
      <c r="W705" s="83">
        <v>44463.75503472222</v>
      </c>
      <c r="X705" s="89">
        <v>44463</v>
      </c>
      <c r="Y705" s="86" t="s">
        <v>1264</v>
      </c>
      <c r="Z705" s="84" t="str">
        <f>HYPERLINK("https://twitter.com/taestrowbeary/status/1441464259385303047")</f>
        <v>https://twitter.com/taestrowbeary/status/1441464259385303047</v>
      </c>
      <c r="AA705" s="81"/>
      <c r="AB705" s="81"/>
      <c r="AC705" s="86" t="s">
        <v>1760</v>
      </c>
      <c r="AD705" s="81"/>
      <c r="AE705" s="81" t="b">
        <v>0</v>
      </c>
      <c r="AF705" s="81">
        <v>0</v>
      </c>
      <c r="AG705" s="86" t="s">
        <v>2084</v>
      </c>
      <c r="AH705" s="81" t="b">
        <v>0</v>
      </c>
      <c r="AI705" s="81" t="s">
        <v>2168</v>
      </c>
      <c r="AJ705" s="81"/>
      <c r="AK705" s="86" t="s">
        <v>2084</v>
      </c>
      <c r="AL705" s="81" t="b">
        <v>0</v>
      </c>
      <c r="AM705" s="81">
        <v>24</v>
      </c>
      <c r="AN705" s="86" t="s">
        <v>1848</v>
      </c>
      <c r="AO705" s="86" t="s">
        <v>2179</v>
      </c>
      <c r="AP705" s="81" t="b">
        <v>0</v>
      </c>
      <c r="AQ705" s="86" t="s">
        <v>1848</v>
      </c>
      <c r="AR705" s="81" t="s">
        <v>179</v>
      </c>
      <c r="AS705" s="81">
        <v>0</v>
      </c>
      <c r="AT705" s="81">
        <v>0</v>
      </c>
      <c r="AU705" s="81"/>
      <c r="AV705" s="81"/>
      <c r="AW705" s="81"/>
      <c r="AX705" s="81"/>
      <c r="AY705" s="81"/>
      <c r="AZ705" s="81"/>
      <c r="BA705" s="81"/>
      <c r="BB705" s="81"/>
    </row>
    <row r="706" spans="1:54" x14ac:dyDescent="0.35">
      <c r="A706" s="66" t="s">
        <v>425</v>
      </c>
      <c r="B706" s="66" t="s">
        <v>648</v>
      </c>
      <c r="C706" s="67"/>
      <c r="D706" s="68"/>
      <c r="E706" s="69"/>
      <c r="F706" s="70"/>
      <c r="G706" s="67"/>
      <c r="H706" s="71"/>
      <c r="I706" s="72"/>
      <c r="J706" s="72"/>
      <c r="K706" s="36"/>
      <c r="L706" s="79"/>
      <c r="M706" s="79"/>
      <c r="N706" s="74"/>
      <c r="O706" s="81" t="s">
        <v>694</v>
      </c>
      <c r="P706" s="83">
        <v>44463.75503472222</v>
      </c>
      <c r="Q706" s="81" t="s">
        <v>802</v>
      </c>
      <c r="R706" s="81"/>
      <c r="S706" s="81"/>
      <c r="T706" s="86" t="s">
        <v>649</v>
      </c>
      <c r="U706" s="84" t="str">
        <f>HYPERLINK("https://pbs.twimg.com/media/FAEa_mFUYAcoKUu.jpg")</f>
        <v>https://pbs.twimg.com/media/FAEa_mFUYAcoKUu.jpg</v>
      </c>
      <c r="V706" s="84" t="str">
        <f>HYPERLINK("https://pbs.twimg.com/media/FAEa_mFUYAcoKUu.jpg")</f>
        <v>https://pbs.twimg.com/media/FAEa_mFUYAcoKUu.jpg</v>
      </c>
      <c r="W706" s="83">
        <v>44463.75503472222</v>
      </c>
      <c r="X706" s="89">
        <v>44463</v>
      </c>
      <c r="Y706" s="86" t="s">
        <v>1264</v>
      </c>
      <c r="Z706" s="84" t="str">
        <f>HYPERLINK("https://twitter.com/taestrowbeary/status/1441464259385303047")</f>
        <v>https://twitter.com/taestrowbeary/status/1441464259385303047</v>
      </c>
      <c r="AA706" s="81"/>
      <c r="AB706" s="81"/>
      <c r="AC706" s="86" t="s">
        <v>1760</v>
      </c>
      <c r="AD706" s="81"/>
      <c r="AE706" s="81" t="b">
        <v>0</v>
      </c>
      <c r="AF706" s="81">
        <v>0</v>
      </c>
      <c r="AG706" s="86" t="s">
        <v>2084</v>
      </c>
      <c r="AH706" s="81" t="b">
        <v>0</v>
      </c>
      <c r="AI706" s="81" t="s">
        <v>2168</v>
      </c>
      <c r="AJ706" s="81"/>
      <c r="AK706" s="86" t="s">
        <v>2084</v>
      </c>
      <c r="AL706" s="81" t="b">
        <v>0</v>
      </c>
      <c r="AM706" s="81">
        <v>24</v>
      </c>
      <c r="AN706" s="86" t="s">
        <v>1848</v>
      </c>
      <c r="AO706" s="86" t="s">
        <v>2179</v>
      </c>
      <c r="AP706" s="81" t="b">
        <v>0</v>
      </c>
      <c r="AQ706" s="86" t="s">
        <v>1848</v>
      </c>
      <c r="AR706" s="81" t="s">
        <v>179</v>
      </c>
      <c r="AS706" s="81">
        <v>0</v>
      </c>
      <c r="AT706" s="81">
        <v>0</v>
      </c>
      <c r="AU706" s="81"/>
      <c r="AV706" s="81"/>
      <c r="AW706" s="81"/>
      <c r="AX706" s="81"/>
      <c r="AY706" s="81"/>
      <c r="AZ706" s="81"/>
      <c r="BA706" s="81"/>
      <c r="BB706" s="81"/>
    </row>
    <row r="707" spans="1:54" x14ac:dyDescent="0.35">
      <c r="A707" s="66" t="s">
        <v>425</v>
      </c>
      <c r="B707" s="66" t="s">
        <v>649</v>
      </c>
      <c r="C707" s="67"/>
      <c r="D707" s="68"/>
      <c r="E707" s="69"/>
      <c r="F707" s="70"/>
      <c r="G707" s="67"/>
      <c r="H707" s="71"/>
      <c r="I707" s="72"/>
      <c r="J707" s="72"/>
      <c r="K707" s="36"/>
      <c r="L707" s="79"/>
      <c r="M707" s="79"/>
      <c r="N707" s="74"/>
      <c r="O707" s="81" t="s">
        <v>694</v>
      </c>
      <c r="P707" s="83">
        <v>44463.75503472222</v>
      </c>
      <c r="Q707" s="81" t="s">
        <v>802</v>
      </c>
      <c r="R707" s="81"/>
      <c r="S707" s="81"/>
      <c r="T707" s="86" t="s">
        <v>649</v>
      </c>
      <c r="U707" s="84" t="str">
        <f>HYPERLINK("https://pbs.twimg.com/media/FAEa_mFUYAcoKUu.jpg")</f>
        <v>https://pbs.twimg.com/media/FAEa_mFUYAcoKUu.jpg</v>
      </c>
      <c r="V707" s="84" t="str">
        <f>HYPERLINK("https://pbs.twimg.com/media/FAEa_mFUYAcoKUu.jpg")</f>
        <v>https://pbs.twimg.com/media/FAEa_mFUYAcoKUu.jpg</v>
      </c>
      <c r="W707" s="83">
        <v>44463.75503472222</v>
      </c>
      <c r="X707" s="89">
        <v>44463</v>
      </c>
      <c r="Y707" s="86" t="s">
        <v>1264</v>
      </c>
      <c r="Z707" s="84" t="str">
        <f>HYPERLINK("https://twitter.com/taestrowbeary/status/1441464259385303047")</f>
        <v>https://twitter.com/taestrowbeary/status/1441464259385303047</v>
      </c>
      <c r="AA707" s="81"/>
      <c r="AB707" s="81"/>
      <c r="AC707" s="86" t="s">
        <v>1760</v>
      </c>
      <c r="AD707" s="81"/>
      <c r="AE707" s="81" t="b">
        <v>0</v>
      </c>
      <c r="AF707" s="81">
        <v>0</v>
      </c>
      <c r="AG707" s="86" t="s">
        <v>2084</v>
      </c>
      <c r="AH707" s="81" t="b">
        <v>0</v>
      </c>
      <c r="AI707" s="81" t="s">
        <v>2168</v>
      </c>
      <c r="AJ707" s="81"/>
      <c r="AK707" s="86" t="s">
        <v>2084</v>
      </c>
      <c r="AL707" s="81" t="b">
        <v>0</v>
      </c>
      <c r="AM707" s="81">
        <v>24</v>
      </c>
      <c r="AN707" s="86" t="s">
        <v>1848</v>
      </c>
      <c r="AO707" s="86" t="s">
        <v>2179</v>
      </c>
      <c r="AP707" s="81" t="b">
        <v>0</v>
      </c>
      <c r="AQ707" s="86" t="s">
        <v>1848</v>
      </c>
      <c r="AR707" s="81" t="s">
        <v>179</v>
      </c>
      <c r="AS707" s="81">
        <v>0</v>
      </c>
      <c r="AT707" s="81">
        <v>0</v>
      </c>
      <c r="AU707" s="81"/>
      <c r="AV707" s="81"/>
      <c r="AW707" s="81"/>
      <c r="AX707" s="81"/>
      <c r="AY707" s="81"/>
      <c r="AZ707" s="81"/>
      <c r="BA707" s="81"/>
      <c r="BB707" s="81"/>
    </row>
    <row r="708" spans="1:54" x14ac:dyDescent="0.35">
      <c r="A708" s="66" t="s">
        <v>425</v>
      </c>
      <c r="B708" s="66" t="s">
        <v>496</v>
      </c>
      <c r="C708" s="67"/>
      <c r="D708" s="68"/>
      <c r="E708" s="69"/>
      <c r="F708" s="70"/>
      <c r="G708" s="67"/>
      <c r="H708" s="71"/>
      <c r="I708" s="72"/>
      <c r="J708" s="72"/>
      <c r="K708" s="36"/>
      <c r="L708" s="79"/>
      <c r="M708" s="79"/>
      <c r="N708" s="74"/>
      <c r="O708" s="81" t="s">
        <v>693</v>
      </c>
      <c r="P708" s="83">
        <v>44463.75503472222</v>
      </c>
      <c r="Q708" s="81" t="s">
        <v>802</v>
      </c>
      <c r="R708" s="81"/>
      <c r="S708" s="81"/>
      <c r="T708" s="86" t="s">
        <v>649</v>
      </c>
      <c r="U708" s="84" t="str">
        <f>HYPERLINK("https://pbs.twimg.com/media/FAEa_mFUYAcoKUu.jpg")</f>
        <v>https://pbs.twimg.com/media/FAEa_mFUYAcoKUu.jpg</v>
      </c>
      <c r="V708" s="84" t="str">
        <f>HYPERLINK("https://pbs.twimg.com/media/FAEa_mFUYAcoKUu.jpg")</f>
        <v>https://pbs.twimg.com/media/FAEa_mFUYAcoKUu.jpg</v>
      </c>
      <c r="W708" s="83">
        <v>44463.75503472222</v>
      </c>
      <c r="X708" s="89">
        <v>44463</v>
      </c>
      <c r="Y708" s="86" t="s">
        <v>1264</v>
      </c>
      <c r="Z708" s="84" t="str">
        <f>HYPERLINK("https://twitter.com/taestrowbeary/status/1441464259385303047")</f>
        <v>https://twitter.com/taestrowbeary/status/1441464259385303047</v>
      </c>
      <c r="AA708" s="81"/>
      <c r="AB708" s="81"/>
      <c r="AC708" s="86" t="s">
        <v>1760</v>
      </c>
      <c r="AD708" s="81"/>
      <c r="AE708" s="81" t="b">
        <v>0</v>
      </c>
      <c r="AF708" s="81">
        <v>0</v>
      </c>
      <c r="AG708" s="86" t="s">
        <v>2084</v>
      </c>
      <c r="AH708" s="81" t="b">
        <v>0</v>
      </c>
      <c r="AI708" s="81" t="s">
        <v>2168</v>
      </c>
      <c r="AJ708" s="81"/>
      <c r="AK708" s="86" t="s">
        <v>2084</v>
      </c>
      <c r="AL708" s="81" t="b">
        <v>0</v>
      </c>
      <c r="AM708" s="81">
        <v>24</v>
      </c>
      <c r="AN708" s="86" t="s">
        <v>1848</v>
      </c>
      <c r="AO708" s="86" t="s">
        <v>2179</v>
      </c>
      <c r="AP708" s="81" t="b">
        <v>0</v>
      </c>
      <c r="AQ708" s="86" t="s">
        <v>1848</v>
      </c>
      <c r="AR708" s="81" t="s">
        <v>179</v>
      </c>
      <c r="AS708" s="81">
        <v>0</v>
      </c>
      <c r="AT708" s="81">
        <v>0</v>
      </c>
      <c r="AU708" s="81"/>
      <c r="AV708" s="81"/>
      <c r="AW708" s="81"/>
      <c r="AX708" s="81"/>
      <c r="AY708" s="81"/>
      <c r="AZ708" s="81"/>
      <c r="BA708" s="81"/>
      <c r="BB708" s="81"/>
    </row>
    <row r="709" spans="1:54" x14ac:dyDescent="0.35">
      <c r="A709" s="66" t="s">
        <v>425</v>
      </c>
      <c r="B709" s="66" t="s">
        <v>646</v>
      </c>
      <c r="C709" s="67"/>
      <c r="D709" s="68"/>
      <c r="E709" s="69"/>
      <c r="F709" s="70"/>
      <c r="G709" s="67"/>
      <c r="H709" s="71"/>
      <c r="I709" s="72"/>
      <c r="J709" s="72"/>
      <c r="K709" s="36"/>
      <c r="L709" s="79"/>
      <c r="M709" s="79"/>
      <c r="N709" s="74"/>
      <c r="O709" s="81" t="s">
        <v>694</v>
      </c>
      <c r="P709" s="83">
        <v>44463.755150462966</v>
      </c>
      <c r="Q709" s="81" t="s">
        <v>801</v>
      </c>
      <c r="R709" s="81"/>
      <c r="S709" s="81"/>
      <c r="T709" s="86" t="s">
        <v>649</v>
      </c>
      <c r="U709" s="84" t="str">
        <f>HYPERLINK("https://pbs.twimg.com/media/FAEbDOhVUAIE92y.jpg")</f>
        <v>https://pbs.twimg.com/media/FAEbDOhVUAIE92y.jpg</v>
      </c>
      <c r="V709" s="84" t="str">
        <f>HYPERLINK("https://pbs.twimg.com/media/FAEbDOhVUAIE92y.jpg")</f>
        <v>https://pbs.twimg.com/media/FAEbDOhVUAIE92y.jpg</v>
      </c>
      <c r="W709" s="83">
        <v>44463.755150462966</v>
      </c>
      <c r="X709" s="89">
        <v>44463</v>
      </c>
      <c r="Y709" s="86" t="s">
        <v>1265</v>
      </c>
      <c r="Z709" s="84" t="str">
        <f>HYPERLINK("https://twitter.com/taestrowbeary/status/1441464304348196864")</f>
        <v>https://twitter.com/taestrowbeary/status/1441464304348196864</v>
      </c>
      <c r="AA709" s="81"/>
      <c r="AB709" s="81"/>
      <c r="AC709" s="86" t="s">
        <v>1761</v>
      </c>
      <c r="AD709" s="81"/>
      <c r="AE709" s="81" t="b">
        <v>0</v>
      </c>
      <c r="AF709" s="81">
        <v>0</v>
      </c>
      <c r="AG709" s="86" t="s">
        <v>2084</v>
      </c>
      <c r="AH709" s="81" t="b">
        <v>0</v>
      </c>
      <c r="AI709" s="81" t="s">
        <v>2168</v>
      </c>
      <c r="AJ709" s="81"/>
      <c r="AK709" s="86" t="s">
        <v>2084</v>
      </c>
      <c r="AL709" s="81" t="b">
        <v>0</v>
      </c>
      <c r="AM709" s="81">
        <v>6</v>
      </c>
      <c r="AN709" s="86" t="s">
        <v>1849</v>
      </c>
      <c r="AO709" s="86" t="s">
        <v>2179</v>
      </c>
      <c r="AP709" s="81" t="b">
        <v>0</v>
      </c>
      <c r="AQ709" s="86" t="s">
        <v>1849</v>
      </c>
      <c r="AR709" s="81" t="s">
        <v>179</v>
      </c>
      <c r="AS709" s="81">
        <v>0</v>
      </c>
      <c r="AT709" s="81">
        <v>0</v>
      </c>
      <c r="AU709" s="81"/>
      <c r="AV709" s="81"/>
      <c r="AW709" s="81"/>
      <c r="AX709" s="81"/>
      <c r="AY709" s="81"/>
      <c r="AZ709" s="81"/>
      <c r="BA709" s="81"/>
      <c r="BB709" s="81"/>
    </row>
    <row r="710" spans="1:54" x14ac:dyDescent="0.35">
      <c r="A710" s="66" t="s">
        <v>425</v>
      </c>
      <c r="B710" s="66" t="s">
        <v>647</v>
      </c>
      <c r="C710" s="67"/>
      <c r="D710" s="68"/>
      <c r="E710" s="69"/>
      <c r="F710" s="70"/>
      <c r="G710" s="67"/>
      <c r="H710" s="71"/>
      <c r="I710" s="72"/>
      <c r="J710" s="72"/>
      <c r="K710" s="36"/>
      <c r="L710" s="79"/>
      <c r="M710" s="79"/>
      <c r="N710" s="74"/>
      <c r="O710" s="81" t="s">
        <v>694</v>
      </c>
      <c r="P710" s="83">
        <v>44463.755150462966</v>
      </c>
      <c r="Q710" s="81" t="s">
        <v>801</v>
      </c>
      <c r="R710" s="81"/>
      <c r="S710" s="81"/>
      <c r="T710" s="86" t="s">
        <v>649</v>
      </c>
      <c r="U710" s="84" t="str">
        <f>HYPERLINK("https://pbs.twimg.com/media/FAEbDOhVUAIE92y.jpg")</f>
        <v>https://pbs.twimg.com/media/FAEbDOhVUAIE92y.jpg</v>
      </c>
      <c r="V710" s="84" t="str">
        <f>HYPERLINK("https://pbs.twimg.com/media/FAEbDOhVUAIE92y.jpg")</f>
        <v>https://pbs.twimg.com/media/FAEbDOhVUAIE92y.jpg</v>
      </c>
      <c r="W710" s="83">
        <v>44463.755150462966</v>
      </c>
      <c r="X710" s="89">
        <v>44463</v>
      </c>
      <c r="Y710" s="86" t="s">
        <v>1265</v>
      </c>
      <c r="Z710" s="84" t="str">
        <f>HYPERLINK("https://twitter.com/taestrowbeary/status/1441464304348196864")</f>
        <v>https://twitter.com/taestrowbeary/status/1441464304348196864</v>
      </c>
      <c r="AA710" s="81"/>
      <c r="AB710" s="81"/>
      <c r="AC710" s="86" t="s">
        <v>1761</v>
      </c>
      <c r="AD710" s="81"/>
      <c r="AE710" s="81" t="b">
        <v>0</v>
      </c>
      <c r="AF710" s="81">
        <v>0</v>
      </c>
      <c r="AG710" s="86" t="s">
        <v>2084</v>
      </c>
      <c r="AH710" s="81" t="b">
        <v>0</v>
      </c>
      <c r="AI710" s="81" t="s">
        <v>2168</v>
      </c>
      <c r="AJ710" s="81"/>
      <c r="AK710" s="86" t="s">
        <v>2084</v>
      </c>
      <c r="AL710" s="81" t="b">
        <v>0</v>
      </c>
      <c r="AM710" s="81">
        <v>6</v>
      </c>
      <c r="AN710" s="86" t="s">
        <v>1849</v>
      </c>
      <c r="AO710" s="86" t="s">
        <v>2179</v>
      </c>
      <c r="AP710" s="81" t="b">
        <v>0</v>
      </c>
      <c r="AQ710" s="86" t="s">
        <v>1849</v>
      </c>
      <c r="AR710" s="81" t="s">
        <v>179</v>
      </c>
      <c r="AS710" s="81">
        <v>0</v>
      </c>
      <c r="AT710" s="81">
        <v>0</v>
      </c>
      <c r="AU710" s="81"/>
      <c r="AV710" s="81"/>
      <c r="AW710" s="81"/>
      <c r="AX710" s="81"/>
      <c r="AY710" s="81"/>
      <c r="AZ710" s="81"/>
      <c r="BA710" s="81"/>
      <c r="BB710" s="81"/>
    </row>
    <row r="711" spans="1:54" x14ac:dyDescent="0.35">
      <c r="A711" s="66" t="s">
        <v>425</v>
      </c>
      <c r="B711" s="66" t="s">
        <v>648</v>
      </c>
      <c r="C711" s="67"/>
      <c r="D711" s="68"/>
      <c r="E711" s="69"/>
      <c r="F711" s="70"/>
      <c r="G711" s="67"/>
      <c r="H711" s="71"/>
      <c r="I711" s="72"/>
      <c r="J711" s="72"/>
      <c r="K711" s="36"/>
      <c r="L711" s="79"/>
      <c r="M711" s="79"/>
      <c r="N711" s="74"/>
      <c r="O711" s="81" t="s">
        <v>694</v>
      </c>
      <c r="P711" s="83">
        <v>44463.755150462966</v>
      </c>
      <c r="Q711" s="81" t="s">
        <v>801</v>
      </c>
      <c r="R711" s="81"/>
      <c r="S711" s="81"/>
      <c r="T711" s="86" t="s">
        <v>649</v>
      </c>
      <c r="U711" s="84" t="str">
        <f>HYPERLINK("https://pbs.twimg.com/media/FAEbDOhVUAIE92y.jpg")</f>
        <v>https://pbs.twimg.com/media/FAEbDOhVUAIE92y.jpg</v>
      </c>
      <c r="V711" s="84" t="str">
        <f>HYPERLINK("https://pbs.twimg.com/media/FAEbDOhVUAIE92y.jpg")</f>
        <v>https://pbs.twimg.com/media/FAEbDOhVUAIE92y.jpg</v>
      </c>
      <c r="W711" s="83">
        <v>44463.755150462966</v>
      </c>
      <c r="X711" s="89">
        <v>44463</v>
      </c>
      <c r="Y711" s="86" t="s">
        <v>1265</v>
      </c>
      <c r="Z711" s="84" t="str">
        <f>HYPERLINK("https://twitter.com/taestrowbeary/status/1441464304348196864")</f>
        <v>https://twitter.com/taestrowbeary/status/1441464304348196864</v>
      </c>
      <c r="AA711" s="81"/>
      <c r="AB711" s="81"/>
      <c r="AC711" s="86" t="s">
        <v>1761</v>
      </c>
      <c r="AD711" s="81"/>
      <c r="AE711" s="81" t="b">
        <v>0</v>
      </c>
      <c r="AF711" s="81">
        <v>0</v>
      </c>
      <c r="AG711" s="86" t="s">
        <v>2084</v>
      </c>
      <c r="AH711" s="81" t="b">
        <v>0</v>
      </c>
      <c r="AI711" s="81" t="s">
        <v>2168</v>
      </c>
      <c r="AJ711" s="81"/>
      <c r="AK711" s="86" t="s">
        <v>2084</v>
      </c>
      <c r="AL711" s="81" t="b">
        <v>0</v>
      </c>
      <c r="AM711" s="81">
        <v>6</v>
      </c>
      <c r="AN711" s="86" t="s">
        <v>1849</v>
      </c>
      <c r="AO711" s="86" t="s">
        <v>2179</v>
      </c>
      <c r="AP711" s="81" t="b">
        <v>0</v>
      </c>
      <c r="AQ711" s="86" t="s">
        <v>1849</v>
      </c>
      <c r="AR711" s="81" t="s">
        <v>179</v>
      </c>
      <c r="AS711" s="81">
        <v>0</v>
      </c>
      <c r="AT711" s="81">
        <v>0</v>
      </c>
      <c r="AU711" s="81"/>
      <c r="AV711" s="81"/>
      <c r="AW711" s="81"/>
      <c r="AX711" s="81"/>
      <c r="AY711" s="81"/>
      <c r="AZ711" s="81"/>
      <c r="BA711" s="81"/>
      <c r="BB711" s="81"/>
    </row>
    <row r="712" spans="1:54" x14ac:dyDescent="0.35">
      <c r="A712" s="66" t="s">
        <v>425</v>
      </c>
      <c r="B712" s="66" t="s">
        <v>649</v>
      </c>
      <c r="C712" s="67"/>
      <c r="D712" s="68"/>
      <c r="E712" s="69"/>
      <c r="F712" s="70"/>
      <c r="G712" s="67"/>
      <c r="H712" s="71"/>
      <c r="I712" s="72"/>
      <c r="J712" s="72"/>
      <c r="K712" s="36"/>
      <c r="L712" s="79"/>
      <c r="M712" s="79"/>
      <c r="N712" s="74"/>
      <c r="O712" s="81" t="s">
        <v>694</v>
      </c>
      <c r="P712" s="83">
        <v>44463.755150462966</v>
      </c>
      <c r="Q712" s="81" t="s">
        <v>801</v>
      </c>
      <c r="R712" s="81"/>
      <c r="S712" s="81"/>
      <c r="T712" s="86" t="s">
        <v>649</v>
      </c>
      <c r="U712" s="84" t="str">
        <f>HYPERLINK("https://pbs.twimg.com/media/FAEbDOhVUAIE92y.jpg")</f>
        <v>https://pbs.twimg.com/media/FAEbDOhVUAIE92y.jpg</v>
      </c>
      <c r="V712" s="84" t="str">
        <f>HYPERLINK("https://pbs.twimg.com/media/FAEbDOhVUAIE92y.jpg")</f>
        <v>https://pbs.twimg.com/media/FAEbDOhVUAIE92y.jpg</v>
      </c>
      <c r="W712" s="83">
        <v>44463.755150462966</v>
      </c>
      <c r="X712" s="89">
        <v>44463</v>
      </c>
      <c r="Y712" s="86" t="s">
        <v>1265</v>
      </c>
      <c r="Z712" s="84" t="str">
        <f>HYPERLINK("https://twitter.com/taestrowbeary/status/1441464304348196864")</f>
        <v>https://twitter.com/taestrowbeary/status/1441464304348196864</v>
      </c>
      <c r="AA712" s="81"/>
      <c r="AB712" s="81"/>
      <c r="AC712" s="86" t="s">
        <v>1761</v>
      </c>
      <c r="AD712" s="81"/>
      <c r="AE712" s="81" t="b">
        <v>0</v>
      </c>
      <c r="AF712" s="81">
        <v>0</v>
      </c>
      <c r="AG712" s="86" t="s">
        <v>2084</v>
      </c>
      <c r="AH712" s="81" t="b">
        <v>0</v>
      </c>
      <c r="AI712" s="81" t="s">
        <v>2168</v>
      </c>
      <c r="AJ712" s="81"/>
      <c r="AK712" s="86" t="s">
        <v>2084</v>
      </c>
      <c r="AL712" s="81" t="b">
        <v>0</v>
      </c>
      <c r="AM712" s="81">
        <v>6</v>
      </c>
      <c r="AN712" s="86" t="s">
        <v>1849</v>
      </c>
      <c r="AO712" s="86" t="s">
        <v>2179</v>
      </c>
      <c r="AP712" s="81" t="b">
        <v>0</v>
      </c>
      <c r="AQ712" s="86" t="s">
        <v>1849</v>
      </c>
      <c r="AR712" s="81" t="s">
        <v>179</v>
      </c>
      <c r="AS712" s="81">
        <v>0</v>
      </c>
      <c r="AT712" s="81">
        <v>0</v>
      </c>
      <c r="AU712" s="81"/>
      <c r="AV712" s="81"/>
      <c r="AW712" s="81"/>
      <c r="AX712" s="81"/>
      <c r="AY712" s="81"/>
      <c r="AZ712" s="81"/>
      <c r="BA712" s="81"/>
      <c r="BB712" s="81"/>
    </row>
    <row r="713" spans="1:54" x14ac:dyDescent="0.35">
      <c r="A713" s="66" t="s">
        <v>425</v>
      </c>
      <c r="B713" s="66" t="s">
        <v>496</v>
      </c>
      <c r="C713" s="67"/>
      <c r="D713" s="68"/>
      <c r="E713" s="69"/>
      <c r="F713" s="70"/>
      <c r="G713" s="67"/>
      <c r="H713" s="71"/>
      <c r="I713" s="72"/>
      <c r="J713" s="72"/>
      <c r="K713" s="36"/>
      <c r="L713" s="79"/>
      <c r="M713" s="79"/>
      <c r="N713" s="74"/>
      <c r="O713" s="81" t="s">
        <v>693</v>
      </c>
      <c r="P713" s="83">
        <v>44463.755150462966</v>
      </c>
      <c r="Q713" s="81" t="s">
        <v>801</v>
      </c>
      <c r="R713" s="81"/>
      <c r="S713" s="81"/>
      <c r="T713" s="86" t="s">
        <v>649</v>
      </c>
      <c r="U713" s="84" t="str">
        <f>HYPERLINK("https://pbs.twimg.com/media/FAEbDOhVUAIE92y.jpg")</f>
        <v>https://pbs.twimg.com/media/FAEbDOhVUAIE92y.jpg</v>
      </c>
      <c r="V713" s="84" t="str">
        <f>HYPERLINK("https://pbs.twimg.com/media/FAEbDOhVUAIE92y.jpg")</f>
        <v>https://pbs.twimg.com/media/FAEbDOhVUAIE92y.jpg</v>
      </c>
      <c r="W713" s="83">
        <v>44463.755150462966</v>
      </c>
      <c r="X713" s="89">
        <v>44463</v>
      </c>
      <c r="Y713" s="86" t="s">
        <v>1265</v>
      </c>
      <c r="Z713" s="84" t="str">
        <f>HYPERLINK("https://twitter.com/taestrowbeary/status/1441464304348196864")</f>
        <v>https://twitter.com/taestrowbeary/status/1441464304348196864</v>
      </c>
      <c r="AA713" s="81"/>
      <c r="AB713" s="81"/>
      <c r="AC713" s="86" t="s">
        <v>1761</v>
      </c>
      <c r="AD713" s="81"/>
      <c r="AE713" s="81" t="b">
        <v>0</v>
      </c>
      <c r="AF713" s="81">
        <v>0</v>
      </c>
      <c r="AG713" s="86" t="s">
        <v>2084</v>
      </c>
      <c r="AH713" s="81" t="b">
        <v>0</v>
      </c>
      <c r="AI713" s="81" t="s">
        <v>2168</v>
      </c>
      <c r="AJ713" s="81"/>
      <c r="AK713" s="86" t="s">
        <v>2084</v>
      </c>
      <c r="AL713" s="81" t="b">
        <v>0</v>
      </c>
      <c r="AM713" s="81">
        <v>6</v>
      </c>
      <c r="AN713" s="86" t="s">
        <v>1849</v>
      </c>
      <c r="AO713" s="86" t="s">
        <v>2179</v>
      </c>
      <c r="AP713" s="81" t="b">
        <v>0</v>
      </c>
      <c r="AQ713" s="86" t="s">
        <v>1849</v>
      </c>
      <c r="AR713" s="81" t="s">
        <v>179</v>
      </c>
      <c r="AS713" s="81">
        <v>0</v>
      </c>
      <c r="AT713" s="81">
        <v>0</v>
      </c>
      <c r="AU713" s="81"/>
      <c r="AV713" s="81"/>
      <c r="AW713" s="81"/>
      <c r="AX713" s="81"/>
      <c r="AY713" s="81"/>
      <c r="AZ713" s="81"/>
      <c r="BA713" s="81"/>
      <c r="BB713" s="81"/>
    </row>
    <row r="714" spans="1:54" x14ac:dyDescent="0.35">
      <c r="A714" s="66" t="s">
        <v>425</v>
      </c>
      <c r="B714" s="66" t="s">
        <v>646</v>
      </c>
      <c r="C714" s="67"/>
      <c r="D714" s="68"/>
      <c r="E714" s="69"/>
      <c r="F714" s="70"/>
      <c r="G714" s="67"/>
      <c r="H714" s="71"/>
      <c r="I714" s="72"/>
      <c r="J714" s="72"/>
      <c r="K714" s="36"/>
      <c r="L714" s="79"/>
      <c r="M714" s="79"/>
      <c r="N714" s="74"/>
      <c r="O714" s="81" t="s">
        <v>694</v>
      </c>
      <c r="P714" s="83">
        <v>44463.755856481483</v>
      </c>
      <c r="Q714" s="81" t="s">
        <v>800</v>
      </c>
      <c r="R714" s="81"/>
      <c r="S714" s="81"/>
      <c r="T714" s="86" t="s">
        <v>649</v>
      </c>
      <c r="U714" s="84" t="str">
        <f>HYPERLINK("https://pbs.twimg.com/media/FAEbG8nUcA0oIOp.jpg")</f>
        <v>https://pbs.twimg.com/media/FAEbG8nUcA0oIOp.jpg</v>
      </c>
      <c r="V714" s="84" t="str">
        <f>HYPERLINK("https://pbs.twimg.com/media/FAEbG8nUcA0oIOp.jpg")</f>
        <v>https://pbs.twimg.com/media/FAEbG8nUcA0oIOp.jpg</v>
      </c>
      <c r="W714" s="83">
        <v>44463.755856481483</v>
      </c>
      <c r="X714" s="89">
        <v>44463</v>
      </c>
      <c r="Y714" s="86" t="s">
        <v>1266</v>
      </c>
      <c r="Z714" s="84" t="str">
        <f>HYPERLINK("https://twitter.com/taestrowbeary/status/1441464560175640584")</f>
        <v>https://twitter.com/taestrowbeary/status/1441464560175640584</v>
      </c>
      <c r="AA714" s="81"/>
      <c r="AB714" s="81"/>
      <c r="AC714" s="86" t="s">
        <v>1762</v>
      </c>
      <c r="AD714" s="81"/>
      <c r="AE714" s="81" t="b">
        <v>0</v>
      </c>
      <c r="AF714" s="81">
        <v>0</v>
      </c>
      <c r="AG714" s="86" t="s">
        <v>2084</v>
      </c>
      <c r="AH714" s="81" t="b">
        <v>0</v>
      </c>
      <c r="AI714" s="81" t="s">
        <v>2168</v>
      </c>
      <c r="AJ714" s="81"/>
      <c r="AK714" s="86" t="s">
        <v>2084</v>
      </c>
      <c r="AL714" s="81" t="b">
        <v>0</v>
      </c>
      <c r="AM714" s="81">
        <v>6</v>
      </c>
      <c r="AN714" s="86" t="s">
        <v>1850</v>
      </c>
      <c r="AO714" s="86" t="s">
        <v>2179</v>
      </c>
      <c r="AP714" s="81" t="b">
        <v>0</v>
      </c>
      <c r="AQ714" s="86" t="s">
        <v>1850</v>
      </c>
      <c r="AR714" s="81" t="s">
        <v>179</v>
      </c>
      <c r="AS714" s="81">
        <v>0</v>
      </c>
      <c r="AT714" s="81">
        <v>0</v>
      </c>
      <c r="AU714" s="81"/>
      <c r="AV714" s="81"/>
      <c r="AW714" s="81"/>
      <c r="AX714" s="81"/>
      <c r="AY714" s="81"/>
      <c r="AZ714" s="81"/>
      <c r="BA714" s="81"/>
      <c r="BB714" s="81"/>
    </row>
    <row r="715" spans="1:54" x14ac:dyDescent="0.35">
      <c r="A715" s="66" t="s">
        <v>425</v>
      </c>
      <c r="B715" s="66" t="s">
        <v>647</v>
      </c>
      <c r="C715" s="67"/>
      <c r="D715" s="68"/>
      <c r="E715" s="69"/>
      <c r="F715" s="70"/>
      <c r="G715" s="67"/>
      <c r="H715" s="71"/>
      <c r="I715" s="72"/>
      <c r="J715" s="72"/>
      <c r="K715" s="36"/>
      <c r="L715" s="79"/>
      <c r="M715" s="79"/>
      <c r="N715" s="74"/>
      <c r="O715" s="81" t="s">
        <v>694</v>
      </c>
      <c r="P715" s="83">
        <v>44463.755856481483</v>
      </c>
      <c r="Q715" s="81" t="s">
        <v>800</v>
      </c>
      <c r="R715" s="81"/>
      <c r="S715" s="81"/>
      <c r="T715" s="86" t="s">
        <v>649</v>
      </c>
      <c r="U715" s="84" t="str">
        <f>HYPERLINK("https://pbs.twimg.com/media/FAEbG8nUcA0oIOp.jpg")</f>
        <v>https://pbs.twimg.com/media/FAEbG8nUcA0oIOp.jpg</v>
      </c>
      <c r="V715" s="84" t="str">
        <f>HYPERLINK("https://pbs.twimg.com/media/FAEbG8nUcA0oIOp.jpg")</f>
        <v>https://pbs.twimg.com/media/FAEbG8nUcA0oIOp.jpg</v>
      </c>
      <c r="W715" s="83">
        <v>44463.755856481483</v>
      </c>
      <c r="X715" s="89">
        <v>44463</v>
      </c>
      <c r="Y715" s="86" t="s">
        <v>1266</v>
      </c>
      <c r="Z715" s="84" t="str">
        <f>HYPERLINK("https://twitter.com/taestrowbeary/status/1441464560175640584")</f>
        <v>https://twitter.com/taestrowbeary/status/1441464560175640584</v>
      </c>
      <c r="AA715" s="81"/>
      <c r="AB715" s="81"/>
      <c r="AC715" s="86" t="s">
        <v>1762</v>
      </c>
      <c r="AD715" s="81"/>
      <c r="AE715" s="81" t="b">
        <v>0</v>
      </c>
      <c r="AF715" s="81">
        <v>0</v>
      </c>
      <c r="AG715" s="86" t="s">
        <v>2084</v>
      </c>
      <c r="AH715" s="81" t="b">
        <v>0</v>
      </c>
      <c r="AI715" s="81" t="s">
        <v>2168</v>
      </c>
      <c r="AJ715" s="81"/>
      <c r="AK715" s="86" t="s">
        <v>2084</v>
      </c>
      <c r="AL715" s="81" t="b">
        <v>0</v>
      </c>
      <c r="AM715" s="81">
        <v>6</v>
      </c>
      <c r="AN715" s="86" t="s">
        <v>1850</v>
      </c>
      <c r="AO715" s="86" t="s">
        <v>2179</v>
      </c>
      <c r="AP715" s="81" t="b">
        <v>0</v>
      </c>
      <c r="AQ715" s="86" t="s">
        <v>1850</v>
      </c>
      <c r="AR715" s="81" t="s">
        <v>179</v>
      </c>
      <c r="AS715" s="81">
        <v>0</v>
      </c>
      <c r="AT715" s="81">
        <v>0</v>
      </c>
      <c r="AU715" s="81"/>
      <c r="AV715" s="81"/>
      <c r="AW715" s="81"/>
      <c r="AX715" s="81"/>
      <c r="AY715" s="81"/>
      <c r="AZ715" s="81"/>
      <c r="BA715" s="81"/>
      <c r="BB715" s="81"/>
    </row>
    <row r="716" spans="1:54" x14ac:dyDescent="0.35">
      <c r="A716" s="66" t="s">
        <v>425</v>
      </c>
      <c r="B716" s="66" t="s">
        <v>648</v>
      </c>
      <c r="C716" s="67"/>
      <c r="D716" s="68"/>
      <c r="E716" s="69"/>
      <c r="F716" s="70"/>
      <c r="G716" s="67"/>
      <c r="H716" s="71"/>
      <c r="I716" s="72"/>
      <c r="J716" s="72"/>
      <c r="K716" s="36"/>
      <c r="L716" s="79"/>
      <c r="M716" s="79"/>
      <c r="N716" s="74"/>
      <c r="O716" s="81" t="s">
        <v>694</v>
      </c>
      <c r="P716" s="83">
        <v>44463.755856481483</v>
      </c>
      <c r="Q716" s="81" t="s">
        <v>800</v>
      </c>
      <c r="R716" s="81"/>
      <c r="S716" s="81"/>
      <c r="T716" s="86" t="s">
        <v>649</v>
      </c>
      <c r="U716" s="84" t="str">
        <f>HYPERLINK("https://pbs.twimg.com/media/FAEbG8nUcA0oIOp.jpg")</f>
        <v>https://pbs.twimg.com/media/FAEbG8nUcA0oIOp.jpg</v>
      </c>
      <c r="V716" s="84" t="str">
        <f>HYPERLINK("https://pbs.twimg.com/media/FAEbG8nUcA0oIOp.jpg")</f>
        <v>https://pbs.twimg.com/media/FAEbG8nUcA0oIOp.jpg</v>
      </c>
      <c r="W716" s="83">
        <v>44463.755856481483</v>
      </c>
      <c r="X716" s="89">
        <v>44463</v>
      </c>
      <c r="Y716" s="86" t="s">
        <v>1266</v>
      </c>
      <c r="Z716" s="84" t="str">
        <f>HYPERLINK("https://twitter.com/taestrowbeary/status/1441464560175640584")</f>
        <v>https://twitter.com/taestrowbeary/status/1441464560175640584</v>
      </c>
      <c r="AA716" s="81"/>
      <c r="AB716" s="81"/>
      <c r="AC716" s="86" t="s">
        <v>1762</v>
      </c>
      <c r="AD716" s="81"/>
      <c r="AE716" s="81" t="b">
        <v>0</v>
      </c>
      <c r="AF716" s="81">
        <v>0</v>
      </c>
      <c r="AG716" s="86" t="s">
        <v>2084</v>
      </c>
      <c r="AH716" s="81" t="b">
        <v>0</v>
      </c>
      <c r="AI716" s="81" t="s">
        <v>2168</v>
      </c>
      <c r="AJ716" s="81"/>
      <c r="AK716" s="86" t="s">
        <v>2084</v>
      </c>
      <c r="AL716" s="81" t="b">
        <v>0</v>
      </c>
      <c r="AM716" s="81">
        <v>6</v>
      </c>
      <c r="AN716" s="86" t="s">
        <v>1850</v>
      </c>
      <c r="AO716" s="86" t="s">
        <v>2179</v>
      </c>
      <c r="AP716" s="81" t="b">
        <v>0</v>
      </c>
      <c r="AQ716" s="86" t="s">
        <v>1850</v>
      </c>
      <c r="AR716" s="81" t="s">
        <v>179</v>
      </c>
      <c r="AS716" s="81">
        <v>0</v>
      </c>
      <c r="AT716" s="81">
        <v>0</v>
      </c>
      <c r="AU716" s="81"/>
      <c r="AV716" s="81"/>
      <c r="AW716" s="81"/>
      <c r="AX716" s="81"/>
      <c r="AY716" s="81"/>
      <c r="AZ716" s="81"/>
      <c r="BA716" s="81"/>
      <c r="BB716" s="81"/>
    </row>
    <row r="717" spans="1:54" x14ac:dyDescent="0.35">
      <c r="A717" s="66" t="s">
        <v>425</v>
      </c>
      <c r="B717" s="66" t="s">
        <v>649</v>
      </c>
      <c r="C717" s="67"/>
      <c r="D717" s="68"/>
      <c r="E717" s="69"/>
      <c r="F717" s="70"/>
      <c r="G717" s="67"/>
      <c r="H717" s="71"/>
      <c r="I717" s="72"/>
      <c r="J717" s="72"/>
      <c r="K717" s="36"/>
      <c r="L717" s="79"/>
      <c r="M717" s="79"/>
      <c r="N717" s="74"/>
      <c r="O717" s="81" t="s">
        <v>694</v>
      </c>
      <c r="P717" s="83">
        <v>44463.755856481483</v>
      </c>
      <c r="Q717" s="81" t="s">
        <v>800</v>
      </c>
      <c r="R717" s="81"/>
      <c r="S717" s="81"/>
      <c r="T717" s="86" t="s">
        <v>649</v>
      </c>
      <c r="U717" s="84" t="str">
        <f>HYPERLINK("https://pbs.twimg.com/media/FAEbG8nUcA0oIOp.jpg")</f>
        <v>https://pbs.twimg.com/media/FAEbG8nUcA0oIOp.jpg</v>
      </c>
      <c r="V717" s="84" t="str">
        <f>HYPERLINK("https://pbs.twimg.com/media/FAEbG8nUcA0oIOp.jpg")</f>
        <v>https://pbs.twimg.com/media/FAEbG8nUcA0oIOp.jpg</v>
      </c>
      <c r="W717" s="83">
        <v>44463.755856481483</v>
      </c>
      <c r="X717" s="89">
        <v>44463</v>
      </c>
      <c r="Y717" s="86" t="s">
        <v>1266</v>
      </c>
      <c r="Z717" s="84" t="str">
        <f>HYPERLINK("https://twitter.com/taestrowbeary/status/1441464560175640584")</f>
        <v>https://twitter.com/taestrowbeary/status/1441464560175640584</v>
      </c>
      <c r="AA717" s="81"/>
      <c r="AB717" s="81"/>
      <c r="AC717" s="86" t="s">
        <v>1762</v>
      </c>
      <c r="AD717" s="81"/>
      <c r="AE717" s="81" t="b">
        <v>0</v>
      </c>
      <c r="AF717" s="81">
        <v>0</v>
      </c>
      <c r="AG717" s="86" t="s">
        <v>2084</v>
      </c>
      <c r="AH717" s="81" t="b">
        <v>0</v>
      </c>
      <c r="AI717" s="81" t="s">
        <v>2168</v>
      </c>
      <c r="AJ717" s="81"/>
      <c r="AK717" s="86" t="s">
        <v>2084</v>
      </c>
      <c r="AL717" s="81" t="b">
        <v>0</v>
      </c>
      <c r="AM717" s="81">
        <v>6</v>
      </c>
      <c r="AN717" s="86" t="s">
        <v>1850</v>
      </c>
      <c r="AO717" s="86" t="s">
        <v>2179</v>
      </c>
      <c r="AP717" s="81" t="b">
        <v>0</v>
      </c>
      <c r="AQ717" s="86" t="s">
        <v>1850</v>
      </c>
      <c r="AR717" s="81" t="s">
        <v>179</v>
      </c>
      <c r="AS717" s="81">
        <v>0</v>
      </c>
      <c r="AT717" s="81">
        <v>0</v>
      </c>
      <c r="AU717" s="81"/>
      <c r="AV717" s="81"/>
      <c r="AW717" s="81"/>
      <c r="AX717" s="81"/>
      <c r="AY717" s="81"/>
      <c r="AZ717" s="81"/>
      <c r="BA717" s="81"/>
      <c r="BB717" s="81"/>
    </row>
    <row r="718" spans="1:54" x14ac:dyDescent="0.35">
      <c r="A718" s="66" t="s">
        <v>425</v>
      </c>
      <c r="B718" s="66" t="s">
        <v>496</v>
      </c>
      <c r="C718" s="67"/>
      <c r="D718" s="68"/>
      <c r="E718" s="69"/>
      <c r="F718" s="70"/>
      <c r="G718" s="67"/>
      <c r="H718" s="71"/>
      <c r="I718" s="72"/>
      <c r="J718" s="72"/>
      <c r="K718" s="36"/>
      <c r="L718" s="79"/>
      <c r="M718" s="79"/>
      <c r="N718" s="74"/>
      <c r="O718" s="81" t="s">
        <v>693</v>
      </c>
      <c r="P718" s="83">
        <v>44463.755856481483</v>
      </c>
      <c r="Q718" s="81" t="s">
        <v>800</v>
      </c>
      <c r="R718" s="81"/>
      <c r="S718" s="81"/>
      <c r="T718" s="86" t="s">
        <v>649</v>
      </c>
      <c r="U718" s="84" t="str">
        <f>HYPERLINK("https://pbs.twimg.com/media/FAEbG8nUcA0oIOp.jpg")</f>
        <v>https://pbs.twimg.com/media/FAEbG8nUcA0oIOp.jpg</v>
      </c>
      <c r="V718" s="84" t="str">
        <f>HYPERLINK("https://pbs.twimg.com/media/FAEbG8nUcA0oIOp.jpg")</f>
        <v>https://pbs.twimg.com/media/FAEbG8nUcA0oIOp.jpg</v>
      </c>
      <c r="W718" s="83">
        <v>44463.755856481483</v>
      </c>
      <c r="X718" s="89">
        <v>44463</v>
      </c>
      <c r="Y718" s="86" t="s">
        <v>1266</v>
      </c>
      <c r="Z718" s="84" t="str">
        <f>HYPERLINK("https://twitter.com/taestrowbeary/status/1441464560175640584")</f>
        <v>https://twitter.com/taestrowbeary/status/1441464560175640584</v>
      </c>
      <c r="AA718" s="81"/>
      <c r="AB718" s="81"/>
      <c r="AC718" s="86" t="s">
        <v>1762</v>
      </c>
      <c r="AD718" s="81"/>
      <c r="AE718" s="81" t="b">
        <v>0</v>
      </c>
      <c r="AF718" s="81">
        <v>0</v>
      </c>
      <c r="AG718" s="86" t="s">
        <v>2084</v>
      </c>
      <c r="AH718" s="81" t="b">
        <v>0</v>
      </c>
      <c r="AI718" s="81" t="s">
        <v>2168</v>
      </c>
      <c r="AJ718" s="81"/>
      <c r="AK718" s="86" t="s">
        <v>2084</v>
      </c>
      <c r="AL718" s="81" t="b">
        <v>0</v>
      </c>
      <c r="AM718" s="81">
        <v>6</v>
      </c>
      <c r="AN718" s="86" t="s">
        <v>1850</v>
      </c>
      <c r="AO718" s="86" t="s">
        <v>2179</v>
      </c>
      <c r="AP718" s="81" t="b">
        <v>0</v>
      </c>
      <c r="AQ718" s="86" t="s">
        <v>1850</v>
      </c>
      <c r="AR718" s="81" t="s">
        <v>179</v>
      </c>
      <c r="AS718" s="81">
        <v>0</v>
      </c>
      <c r="AT718" s="81">
        <v>0</v>
      </c>
      <c r="AU718" s="81"/>
      <c r="AV718" s="81"/>
      <c r="AW718" s="81"/>
      <c r="AX718" s="81"/>
      <c r="AY718" s="81"/>
      <c r="AZ718" s="81"/>
      <c r="BA718" s="81"/>
      <c r="BB718" s="81"/>
    </row>
    <row r="719" spans="1:54" x14ac:dyDescent="0.35">
      <c r="A719" s="66" t="s">
        <v>426</v>
      </c>
      <c r="B719" s="66" t="s">
        <v>646</v>
      </c>
      <c r="C719" s="67"/>
      <c r="D719" s="68"/>
      <c r="E719" s="69"/>
      <c r="F719" s="70"/>
      <c r="G719" s="67"/>
      <c r="H719" s="71"/>
      <c r="I719" s="72"/>
      <c r="J719" s="72"/>
      <c r="K719" s="36"/>
      <c r="L719" s="79"/>
      <c r="M719" s="79"/>
      <c r="N719" s="74"/>
      <c r="O719" s="81" t="s">
        <v>694</v>
      </c>
      <c r="P719" s="83">
        <v>44463.759236111109</v>
      </c>
      <c r="Q719" s="81" t="s">
        <v>803</v>
      </c>
      <c r="R719" s="81"/>
      <c r="S719" s="81"/>
      <c r="T719" s="86" t="s">
        <v>649</v>
      </c>
      <c r="U719" s="84" t="str">
        <f>HYPERLINK("https://pbs.twimg.com/media/FAEa7dXVkAcjbKg.jpg")</f>
        <v>https://pbs.twimg.com/media/FAEa7dXVkAcjbKg.jpg</v>
      </c>
      <c r="V719" s="84" t="str">
        <f>HYPERLINK("https://pbs.twimg.com/media/FAEa7dXVkAcjbKg.jpg")</f>
        <v>https://pbs.twimg.com/media/FAEa7dXVkAcjbKg.jpg</v>
      </c>
      <c r="W719" s="83">
        <v>44463.759236111109</v>
      </c>
      <c r="X719" s="89">
        <v>44463</v>
      </c>
      <c r="Y719" s="86" t="s">
        <v>1267</v>
      </c>
      <c r="Z719" s="84" t="str">
        <f>HYPERLINK("https://twitter.com/lvlyytaetae/status/1441465782584549381")</f>
        <v>https://twitter.com/lvlyytaetae/status/1441465782584549381</v>
      </c>
      <c r="AA719" s="81"/>
      <c r="AB719" s="81"/>
      <c r="AC719" s="86" t="s">
        <v>1763</v>
      </c>
      <c r="AD719" s="81"/>
      <c r="AE719" s="81" t="b">
        <v>0</v>
      </c>
      <c r="AF719" s="81">
        <v>0</v>
      </c>
      <c r="AG719" s="86" t="s">
        <v>2084</v>
      </c>
      <c r="AH719" s="81" t="b">
        <v>0</v>
      </c>
      <c r="AI719" s="81" t="s">
        <v>2168</v>
      </c>
      <c r="AJ719" s="81"/>
      <c r="AK719" s="86" t="s">
        <v>2084</v>
      </c>
      <c r="AL719" s="81" t="b">
        <v>0</v>
      </c>
      <c r="AM719" s="81">
        <v>21</v>
      </c>
      <c r="AN719" s="86" t="s">
        <v>1847</v>
      </c>
      <c r="AO719" s="86" t="s">
        <v>2179</v>
      </c>
      <c r="AP719" s="81" t="b">
        <v>0</v>
      </c>
      <c r="AQ719" s="86" t="s">
        <v>1847</v>
      </c>
      <c r="AR719" s="81" t="s">
        <v>179</v>
      </c>
      <c r="AS719" s="81">
        <v>0</v>
      </c>
      <c r="AT719" s="81">
        <v>0</v>
      </c>
      <c r="AU719" s="81"/>
      <c r="AV719" s="81"/>
      <c r="AW719" s="81"/>
      <c r="AX719" s="81"/>
      <c r="AY719" s="81"/>
      <c r="AZ719" s="81"/>
      <c r="BA719" s="81"/>
      <c r="BB719" s="81"/>
    </row>
    <row r="720" spans="1:54" x14ac:dyDescent="0.35">
      <c r="A720" s="66" t="s">
        <v>426</v>
      </c>
      <c r="B720" s="66" t="s">
        <v>647</v>
      </c>
      <c r="C720" s="67"/>
      <c r="D720" s="68"/>
      <c r="E720" s="69"/>
      <c r="F720" s="70"/>
      <c r="G720" s="67"/>
      <c r="H720" s="71"/>
      <c r="I720" s="72"/>
      <c r="J720" s="72"/>
      <c r="K720" s="36"/>
      <c r="L720" s="79"/>
      <c r="M720" s="79"/>
      <c r="N720" s="74"/>
      <c r="O720" s="81" t="s">
        <v>694</v>
      </c>
      <c r="P720" s="83">
        <v>44463.759236111109</v>
      </c>
      <c r="Q720" s="81" t="s">
        <v>803</v>
      </c>
      <c r="R720" s="81"/>
      <c r="S720" s="81"/>
      <c r="T720" s="86" t="s">
        <v>649</v>
      </c>
      <c r="U720" s="84" t="str">
        <f>HYPERLINK("https://pbs.twimg.com/media/FAEa7dXVkAcjbKg.jpg")</f>
        <v>https://pbs.twimg.com/media/FAEa7dXVkAcjbKg.jpg</v>
      </c>
      <c r="V720" s="84" t="str">
        <f>HYPERLINK("https://pbs.twimg.com/media/FAEa7dXVkAcjbKg.jpg")</f>
        <v>https://pbs.twimg.com/media/FAEa7dXVkAcjbKg.jpg</v>
      </c>
      <c r="W720" s="83">
        <v>44463.759236111109</v>
      </c>
      <c r="X720" s="89">
        <v>44463</v>
      </c>
      <c r="Y720" s="86" t="s">
        <v>1267</v>
      </c>
      <c r="Z720" s="84" t="str">
        <f>HYPERLINK("https://twitter.com/lvlyytaetae/status/1441465782584549381")</f>
        <v>https://twitter.com/lvlyytaetae/status/1441465782584549381</v>
      </c>
      <c r="AA720" s="81"/>
      <c r="AB720" s="81"/>
      <c r="AC720" s="86" t="s">
        <v>1763</v>
      </c>
      <c r="AD720" s="81"/>
      <c r="AE720" s="81" t="b">
        <v>0</v>
      </c>
      <c r="AF720" s="81">
        <v>0</v>
      </c>
      <c r="AG720" s="86" t="s">
        <v>2084</v>
      </c>
      <c r="AH720" s="81" t="b">
        <v>0</v>
      </c>
      <c r="AI720" s="81" t="s">
        <v>2168</v>
      </c>
      <c r="AJ720" s="81"/>
      <c r="AK720" s="86" t="s">
        <v>2084</v>
      </c>
      <c r="AL720" s="81" t="b">
        <v>0</v>
      </c>
      <c r="AM720" s="81">
        <v>21</v>
      </c>
      <c r="AN720" s="86" t="s">
        <v>1847</v>
      </c>
      <c r="AO720" s="86" t="s">
        <v>2179</v>
      </c>
      <c r="AP720" s="81" t="b">
        <v>0</v>
      </c>
      <c r="AQ720" s="86" t="s">
        <v>1847</v>
      </c>
      <c r="AR720" s="81" t="s">
        <v>179</v>
      </c>
      <c r="AS720" s="81">
        <v>0</v>
      </c>
      <c r="AT720" s="81">
        <v>0</v>
      </c>
      <c r="AU720" s="81"/>
      <c r="AV720" s="81"/>
      <c r="AW720" s="81"/>
      <c r="AX720" s="81"/>
      <c r="AY720" s="81"/>
      <c r="AZ720" s="81"/>
      <c r="BA720" s="81"/>
      <c r="BB720" s="81"/>
    </row>
    <row r="721" spans="1:54" x14ac:dyDescent="0.35">
      <c r="A721" s="66" t="s">
        <v>426</v>
      </c>
      <c r="B721" s="66" t="s">
        <v>648</v>
      </c>
      <c r="C721" s="67"/>
      <c r="D721" s="68"/>
      <c r="E721" s="69"/>
      <c r="F721" s="70"/>
      <c r="G721" s="67"/>
      <c r="H721" s="71"/>
      <c r="I721" s="72"/>
      <c r="J721" s="72"/>
      <c r="K721" s="36"/>
      <c r="L721" s="79"/>
      <c r="M721" s="79"/>
      <c r="N721" s="74"/>
      <c r="O721" s="81" t="s">
        <v>694</v>
      </c>
      <c r="P721" s="83">
        <v>44463.759236111109</v>
      </c>
      <c r="Q721" s="81" t="s">
        <v>803</v>
      </c>
      <c r="R721" s="81"/>
      <c r="S721" s="81"/>
      <c r="T721" s="86" t="s">
        <v>649</v>
      </c>
      <c r="U721" s="84" t="str">
        <f>HYPERLINK("https://pbs.twimg.com/media/FAEa7dXVkAcjbKg.jpg")</f>
        <v>https://pbs.twimg.com/media/FAEa7dXVkAcjbKg.jpg</v>
      </c>
      <c r="V721" s="84" t="str">
        <f>HYPERLINK("https://pbs.twimg.com/media/FAEa7dXVkAcjbKg.jpg")</f>
        <v>https://pbs.twimg.com/media/FAEa7dXVkAcjbKg.jpg</v>
      </c>
      <c r="W721" s="83">
        <v>44463.759236111109</v>
      </c>
      <c r="X721" s="89">
        <v>44463</v>
      </c>
      <c r="Y721" s="86" t="s">
        <v>1267</v>
      </c>
      <c r="Z721" s="84" t="str">
        <f>HYPERLINK("https://twitter.com/lvlyytaetae/status/1441465782584549381")</f>
        <v>https://twitter.com/lvlyytaetae/status/1441465782584549381</v>
      </c>
      <c r="AA721" s="81"/>
      <c r="AB721" s="81"/>
      <c r="AC721" s="86" t="s">
        <v>1763</v>
      </c>
      <c r="AD721" s="81"/>
      <c r="AE721" s="81" t="b">
        <v>0</v>
      </c>
      <c r="AF721" s="81">
        <v>0</v>
      </c>
      <c r="AG721" s="86" t="s">
        <v>2084</v>
      </c>
      <c r="AH721" s="81" t="b">
        <v>0</v>
      </c>
      <c r="AI721" s="81" t="s">
        <v>2168</v>
      </c>
      <c r="AJ721" s="81"/>
      <c r="AK721" s="86" t="s">
        <v>2084</v>
      </c>
      <c r="AL721" s="81" t="b">
        <v>0</v>
      </c>
      <c r="AM721" s="81">
        <v>21</v>
      </c>
      <c r="AN721" s="86" t="s">
        <v>1847</v>
      </c>
      <c r="AO721" s="86" t="s">
        <v>2179</v>
      </c>
      <c r="AP721" s="81" t="b">
        <v>0</v>
      </c>
      <c r="AQ721" s="86" t="s">
        <v>1847</v>
      </c>
      <c r="AR721" s="81" t="s">
        <v>179</v>
      </c>
      <c r="AS721" s="81">
        <v>0</v>
      </c>
      <c r="AT721" s="81">
        <v>0</v>
      </c>
      <c r="AU721" s="81"/>
      <c r="AV721" s="81"/>
      <c r="AW721" s="81"/>
      <c r="AX721" s="81"/>
      <c r="AY721" s="81"/>
      <c r="AZ721" s="81"/>
      <c r="BA721" s="81"/>
      <c r="BB721" s="81"/>
    </row>
    <row r="722" spans="1:54" x14ac:dyDescent="0.35">
      <c r="A722" s="66" t="s">
        <v>426</v>
      </c>
      <c r="B722" s="66" t="s">
        <v>649</v>
      </c>
      <c r="C722" s="67"/>
      <c r="D722" s="68"/>
      <c r="E722" s="69"/>
      <c r="F722" s="70"/>
      <c r="G722" s="67"/>
      <c r="H722" s="71"/>
      <c r="I722" s="72"/>
      <c r="J722" s="72"/>
      <c r="K722" s="36"/>
      <c r="L722" s="79"/>
      <c r="M722" s="79"/>
      <c r="N722" s="74"/>
      <c r="O722" s="81" t="s">
        <v>694</v>
      </c>
      <c r="P722" s="83">
        <v>44463.759236111109</v>
      </c>
      <c r="Q722" s="81" t="s">
        <v>803</v>
      </c>
      <c r="R722" s="81"/>
      <c r="S722" s="81"/>
      <c r="T722" s="86" t="s">
        <v>649</v>
      </c>
      <c r="U722" s="84" t="str">
        <f>HYPERLINK("https://pbs.twimg.com/media/FAEa7dXVkAcjbKg.jpg")</f>
        <v>https://pbs.twimg.com/media/FAEa7dXVkAcjbKg.jpg</v>
      </c>
      <c r="V722" s="84" t="str">
        <f>HYPERLINK("https://pbs.twimg.com/media/FAEa7dXVkAcjbKg.jpg")</f>
        <v>https://pbs.twimg.com/media/FAEa7dXVkAcjbKg.jpg</v>
      </c>
      <c r="W722" s="83">
        <v>44463.759236111109</v>
      </c>
      <c r="X722" s="89">
        <v>44463</v>
      </c>
      <c r="Y722" s="86" t="s">
        <v>1267</v>
      </c>
      <c r="Z722" s="84" t="str">
        <f>HYPERLINK("https://twitter.com/lvlyytaetae/status/1441465782584549381")</f>
        <v>https://twitter.com/lvlyytaetae/status/1441465782584549381</v>
      </c>
      <c r="AA722" s="81"/>
      <c r="AB722" s="81"/>
      <c r="AC722" s="86" t="s">
        <v>1763</v>
      </c>
      <c r="AD722" s="81"/>
      <c r="AE722" s="81" t="b">
        <v>0</v>
      </c>
      <c r="AF722" s="81">
        <v>0</v>
      </c>
      <c r="AG722" s="86" t="s">
        <v>2084</v>
      </c>
      <c r="AH722" s="81" t="b">
        <v>0</v>
      </c>
      <c r="AI722" s="81" t="s">
        <v>2168</v>
      </c>
      <c r="AJ722" s="81"/>
      <c r="AK722" s="86" t="s">
        <v>2084</v>
      </c>
      <c r="AL722" s="81" t="b">
        <v>0</v>
      </c>
      <c r="AM722" s="81">
        <v>21</v>
      </c>
      <c r="AN722" s="86" t="s">
        <v>1847</v>
      </c>
      <c r="AO722" s="86" t="s">
        <v>2179</v>
      </c>
      <c r="AP722" s="81" t="b">
        <v>0</v>
      </c>
      <c r="AQ722" s="86" t="s">
        <v>1847</v>
      </c>
      <c r="AR722" s="81" t="s">
        <v>179</v>
      </c>
      <c r="AS722" s="81">
        <v>0</v>
      </c>
      <c r="AT722" s="81">
        <v>0</v>
      </c>
      <c r="AU722" s="81"/>
      <c r="AV722" s="81"/>
      <c r="AW722" s="81"/>
      <c r="AX722" s="81"/>
      <c r="AY722" s="81"/>
      <c r="AZ722" s="81"/>
      <c r="BA722" s="81"/>
      <c r="BB722" s="81"/>
    </row>
    <row r="723" spans="1:54" x14ac:dyDescent="0.35">
      <c r="A723" s="66" t="s">
        <v>426</v>
      </c>
      <c r="B723" s="66" t="s">
        <v>496</v>
      </c>
      <c r="C723" s="67"/>
      <c r="D723" s="68"/>
      <c r="E723" s="69"/>
      <c r="F723" s="70"/>
      <c r="G723" s="67"/>
      <c r="H723" s="71"/>
      <c r="I723" s="72"/>
      <c r="J723" s="72"/>
      <c r="K723" s="36"/>
      <c r="L723" s="79"/>
      <c r="M723" s="79"/>
      <c r="N723" s="74"/>
      <c r="O723" s="81" t="s">
        <v>693</v>
      </c>
      <c r="P723" s="83">
        <v>44463.759236111109</v>
      </c>
      <c r="Q723" s="81" t="s">
        <v>803</v>
      </c>
      <c r="R723" s="81"/>
      <c r="S723" s="81"/>
      <c r="T723" s="86" t="s">
        <v>649</v>
      </c>
      <c r="U723" s="84" t="str">
        <f>HYPERLINK("https://pbs.twimg.com/media/FAEa7dXVkAcjbKg.jpg")</f>
        <v>https://pbs.twimg.com/media/FAEa7dXVkAcjbKg.jpg</v>
      </c>
      <c r="V723" s="84" t="str">
        <f>HYPERLINK("https://pbs.twimg.com/media/FAEa7dXVkAcjbKg.jpg")</f>
        <v>https://pbs.twimg.com/media/FAEa7dXVkAcjbKg.jpg</v>
      </c>
      <c r="W723" s="83">
        <v>44463.759236111109</v>
      </c>
      <c r="X723" s="89">
        <v>44463</v>
      </c>
      <c r="Y723" s="86" t="s">
        <v>1267</v>
      </c>
      <c r="Z723" s="84" t="str">
        <f>HYPERLINK("https://twitter.com/lvlyytaetae/status/1441465782584549381")</f>
        <v>https://twitter.com/lvlyytaetae/status/1441465782584549381</v>
      </c>
      <c r="AA723" s="81"/>
      <c r="AB723" s="81"/>
      <c r="AC723" s="86" t="s">
        <v>1763</v>
      </c>
      <c r="AD723" s="81"/>
      <c r="AE723" s="81" t="b">
        <v>0</v>
      </c>
      <c r="AF723" s="81">
        <v>0</v>
      </c>
      <c r="AG723" s="86" t="s">
        <v>2084</v>
      </c>
      <c r="AH723" s="81" t="b">
        <v>0</v>
      </c>
      <c r="AI723" s="81" t="s">
        <v>2168</v>
      </c>
      <c r="AJ723" s="81"/>
      <c r="AK723" s="86" t="s">
        <v>2084</v>
      </c>
      <c r="AL723" s="81" t="b">
        <v>0</v>
      </c>
      <c r="AM723" s="81">
        <v>21</v>
      </c>
      <c r="AN723" s="86" t="s">
        <v>1847</v>
      </c>
      <c r="AO723" s="86" t="s">
        <v>2179</v>
      </c>
      <c r="AP723" s="81" t="b">
        <v>0</v>
      </c>
      <c r="AQ723" s="86" t="s">
        <v>1847</v>
      </c>
      <c r="AR723" s="81" t="s">
        <v>179</v>
      </c>
      <c r="AS723" s="81">
        <v>0</v>
      </c>
      <c r="AT723" s="81">
        <v>0</v>
      </c>
      <c r="AU723" s="81"/>
      <c r="AV723" s="81"/>
      <c r="AW723" s="81"/>
      <c r="AX723" s="81"/>
      <c r="AY723" s="81"/>
      <c r="AZ723" s="81"/>
      <c r="BA723" s="81"/>
      <c r="BB723" s="81"/>
    </row>
    <row r="724" spans="1:54" x14ac:dyDescent="0.35">
      <c r="A724" s="66" t="s">
        <v>427</v>
      </c>
      <c r="B724" s="66" t="s">
        <v>646</v>
      </c>
      <c r="C724" s="67"/>
      <c r="D724" s="68"/>
      <c r="E724" s="69"/>
      <c r="F724" s="70"/>
      <c r="G724" s="67"/>
      <c r="H724" s="71"/>
      <c r="I724" s="72"/>
      <c r="J724" s="72"/>
      <c r="K724" s="36"/>
      <c r="L724" s="79"/>
      <c r="M724" s="79"/>
      <c r="N724" s="74"/>
      <c r="O724" s="81" t="s">
        <v>694</v>
      </c>
      <c r="P724" s="83">
        <v>44463.76122685185</v>
      </c>
      <c r="Q724" s="81" t="s">
        <v>803</v>
      </c>
      <c r="R724" s="81"/>
      <c r="S724" s="81"/>
      <c r="T724" s="86" t="s">
        <v>649</v>
      </c>
      <c r="U724" s="84" t="str">
        <f>HYPERLINK("https://pbs.twimg.com/media/FAEa7dXVkAcjbKg.jpg")</f>
        <v>https://pbs.twimg.com/media/FAEa7dXVkAcjbKg.jpg</v>
      </c>
      <c r="V724" s="84" t="str">
        <f>HYPERLINK("https://pbs.twimg.com/media/FAEa7dXVkAcjbKg.jpg")</f>
        <v>https://pbs.twimg.com/media/FAEa7dXVkAcjbKg.jpg</v>
      </c>
      <c r="W724" s="83">
        <v>44463.76122685185</v>
      </c>
      <c r="X724" s="89">
        <v>44463</v>
      </c>
      <c r="Y724" s="86" t="s">
        <v>1268</v>
      </c>
      <c r="Z724" s="84" t="str">
        <f>HYPERLINK("https://twitter.com/kittywonieee/status/1441466502784249860")</f>
        <v>https://twitter.com/kittywonieee/status/1441466502784249860</v>
      </c>
      <c r="AA724" s="81"/>
      <c r="AB724" s="81"/>
      <c r="AC724" s="86" t="s">
        <v>1764</v>
      </c>
      <c r="AD724" s="81"/>
      <c r="AE724" s="81" t="b">
        <v>0</v>
      </c>
      <c r="AF724" s="81">
        <v>0</v>
      </c>
      <c r="AG724" s="86" t="s">
        <v>2084</v>
      </c>
      <c r="AH724" s="81" t="b">
        <v>0</v>
      </c>
      <c r="AI724" s="81" t="s">
        <v>2168</v>
      </c>
      <c r="AJ724" s="81"/>
      <c r="AK724" s="86" t="s">
        <v>2084</v>
      </c>
      <c r="AL724" s="81" t="b">
        <v>0</v>
      </c>
      <c r="AM724" s="81">
        <v>21</v>
      </c>
      <c r="AN724" s="86" t="s">
        <v>1847</v>
      </c>
      <c r="AO724" s="86" t="s">
        <v>2178</v>
      </c>
      <c r="AP724" s="81" t="b">
        <v>0</v>
      </c>
      <c r="AQ724" s="86" t="s">
        <v>1847</v>
      </c>
      <c r="AR724" s="81" t="s">
        <v>179</v>
      </c>
      <c r="AS724" s="81">
        <v>0</v>
      </c>
      <c r="AT724" s="81">
        <v>0</v>
      </c>
      <c r="AU724" s="81"/>
      <c r="AV724" s="81"/>
      <c r="AW724" s="81"/>
      <c r="AX724" s="81"/>
      <c r="AY724" s="81"/>
      <c r="AZ724" s="81"/>
      <c r="BA724" s="81"/>
      <c r="BB724" s="81"/>
    </row>
    <row r="725" spans="1:54" x14ac:dyDescent="0.35">
      <c r="A725" s="66" t="s">
        <v>427</v>
      </c>
      <c r="B725" s="66" t="s">
        <v>647</v>
      </c>
      <c r="C725" s="67"/>
      <c r="D725" s="68"/>
      <c r="E725" s="69"/>
      <c r="F725" s="70"/>
      <c r="G725" s="67"/>
      <c r="H725" s="71"/>
      <c r="I725" s="72"/>
      <c r="J725" s="72"/>
      <c r="K725" s="36"/>
      <c r="L725" s="79"/>
      <c r="M725" s="79"/>
      <c r="N725" s="74"/>
      <c r="O725" s="81" t="s">
        <v>694</v>
      </c>
      <c r="P725" s="83">
        <v>44463.76122685185</v>
      </c>
      <c r="Q725" s="81" t="s">
        <v>803</v>
      </c>
      <c r="R725" s="81"/>
      <c r="S725" s="81"/>
      <c r="T725" s="86" t="s">
        <v>649</v>
      </c>
      <c r="U725" s="84" t="str">
        <f>HYPERLINK("https://pbs.twimg.com/media/FAEa7dXVkAcjbKg.jpg")</f>
        <v>https://pbs.twimg.com/media/FAEa7dXVkAcjbKg.jpg</v>
      </c>
      <c r="V725" s="84" t="str">
        <f>HYPERLINK("https://pbs.twimg.com/media/FAEa7dXVkAcjbKg.jpg")</f>
        <v>https://pbs.twimg.com/media/FAEa7dXVkAcjbKg.jpg</v>
      </c>
      <c r="W725" s="83">
        <v>44463.76122685185</v>
      </c>
      <c r="X725" s="89">
        <v>44463</v>
      </c>
      <c r="Y725" s="86" t="s">
        <v>1268</v>
      </c>
      <c r="Z725" s="84" t="str">
        <f>HYPERLINK("https://twitter.com/kittywonieee/status/1441466502784249860")</f>
        <v>https://twitter.com/kittywonieee/status/1441466502784249860</v>
      </c>
      <c r="AA725" s="81"/>
      <c r="AB725" s="81"/>
      <c r="AC725" s="86" t="s">
        <v>1764</v>
      </c>
      <c r="AD725" s="81"/>
      <c r="AE725" s="81" t="b">
        <v>0</v>
      </c>
      <c r="AF725" s="81">
        <v>0</v>
      </c>
      <c r="AG725" s="86" t="s">
        <v>2084</v>
      </c>
      <c r="AH725" s="81" t="b">
        <v>0</v>
      </c>
      <c r="AI725" s="81" t="s">
        <v>2168</v>
      </c>
      <c r="AJ725" s="81"/>
      <c r="AK725" s="86" t="s">
        <v>2084</v>
      </c>
      <c r="AL725" s="81" t="b">
        <v>0</v>
      </c>
      <c r="AM725" s="81">
        <v>21</v>
      </c>
      <c r="AN725" s="86" t="s">
        <v>1847</v>
      </c>
      <c r="AO725" s="86" t="s">
        <v>2178</v>
      </c>
      <c r="AP725" s="81" t="b">
        <v>0</v>
      </c>
      <c r="AQ725" s="86" t="s">
        <v>1847</v>
      </c>
      <c r="AR725" s="81" t="s">
        <v>179</v>
      </c>
      <c r="AS725" s="81">
        <v>0</v>
      </c>
      <c r="AT725" s="81">
        <v>0</v>
      </c>
      <c r="AU725" s="81"/>
      <c r="AV725" s="81"/>
      <c r="AW725" s="81"/>
      <c r="AX725" s="81"/>
      <c r="AY725" s="81"/>
      <c r="AZ725" s="81"/>
      <c r="BA725" s="81"/>
      <c r="BB725" s="81"/>
    </row>
    <row r="726" spans="1:54" x14ac:dyDescent="0.35">
      <c r="A726" s="66" t="s">
        <v>427</v>
      </c>
      <c r="B726" s="66" t="s">
        <v>648</v>
      </c>
      <c r="C726" s="67"/>
      <c r="D726" s="68"/>
      <c r="E726" s="69"/>
      <c r="F726" s="70"/>
      <c r="G726" s="67"/>
      <c r="H726" s="71"/>
      <c r="I726" s="72"/>
      <c r="J726" s="72"/>
      <c r="K726" s="36"/>
      <c r="L726" s="79"/>
      <c r="M726" s="79"/>
      <c r="N726" s="74"/>
      <c r="O726" s="81" t="s">
        <v>694</v>
      </c>
      <c r="P726" s="83">
        <v>44463.76122685185</v>
      </c>
      <c r="Q726" s="81" t="s">
        <v>803</v>
      </c>
      <c r="R726" s="81"/>
      <c r="S726" s="81"/>
      <c r="T726" s="86" t="s">
        <v>649</v>
      </c>
      <c r="U726" s="84" t="str">
        <f>HYPERLINK("https://pbs.twimg.com/media/FAEa7dXVkAcjbKg.jpg")</f>
        <v>https://pbs.twimg.com/media/FAEa7dXVkAcjbKg.jpg</v>
      </c>
      <c r="V726" s="84" t="str">
        <f>HYPERLINK("https://pbs.twimg.com/media/FAEa7dXVkAcjbKg.jpg")</f>
        <v>https://pbs.twimg.com/media/FAEa7dXVkAcjbKg.jpg</v>
      </c>
      <c r="W726" s="83">
        <v>44463.76122685185</v>
      </c>
      <c r="X726" s="89">
        <v>44463</v>
      </c>
      <c r="Y726" s="86" t="s">
        <v>1268</v>
      </c>
      <c r="Z726" s="84" t="str">
        <f>HYPERLINK("https://twitter.com/kittywonieee/status/1441466502784249860")</f>
        <v>https://twitter.com/kittywonieee/status/1441466502784249860</v>
      </c>
      <c r="AA726" s="81"/>
      <c r="AB726" s="81"/>
      <c r="AC726" s="86" t="s">
        <v>1764</v>
      </c>
      <c r="AD726" s="81"/>
      <c r="AE726" s="81" t="b">
        <v>0</v>
      </c>
      <c r="AF726" s="81">
        <v>0</v>
      </c>
      <c r="AG726" s="86" t="s">
        <v>2084</v>
      </c>
      <c r="AH726" s="81" t="b">
        <v>0</v>
      </c>
      <c r="AI726" s="81" t="s">
        <v>2168</v>
      </c>
      <c r="AJ726" s="81"/>
      <c r="AK726" s="86" t="s">
        <v>2084</v>
      </c>
      <c r="AL726" s="81" t="b">
        <v>0</v>
      </c>
      <c r="AM726" s="81">
        <v>21</v>
      </c>
      <c r="AN726" s="86" t="s">
        <v>1847</v>
      </c>
      <c r="AO726" s="86" t="s">
        <v>2178</v>
      </c>
      <c r="AP726" s="81" t="b">
        <v>0</v>
      </c>
      <c r="AQ726" s="86" t="s">
        <v>1847</v>
      </c>
      <c r="AR726" s="81" t="s">
        <v>179</v>
      </c>
      <c r="AS726" s="81">
        <v>0</v>
      </c>
      <c r="AT726" s="81">
        <v>0</v>
      </c>
      <c r="AU726" s="81"/>
      <c r="AV726" s="81"/>
      <c r="AW726" s="81"/>
      <c r="AX726" s="81"/>
      <c r="AY726" s="81"/>
      <c r="AZ726" s="81"/>
      <c r="BA726" s="81"/>
      <c r="BB726" s="81"/>
    </row>
    <row r="727" spans="1:54" x14ac:dyDescent="0.35">
      <c r="A727" s="66" t="s">
        <v>427</v>
      </c>
      <c r="B727" s="66" t="s">
        <v>649</v>
      </c>
      <c r="C727" s="67"/>
      <c r="D727" s="68"/>
      <c r="E727" s="69"/>
      <c r="F727" s="70"/>
      <c r="G727" s="67"/>
      <c r="H727" s="71"/>
      <c r="I727" s="72"/>
      <c r="J727" s="72"/>
      <c r="K727" s="36"/>
      <c r="L727" s="79"/>
      <c r="M727" s="79"/>
      <c r="N727" s="74"/>
      <c r="O727" s="81" t="s">
        <v>694</v>
      </c>
      <c r="P727" s="83">
        <v>44463.76122685185</v>
      </c>
      <c r="Q727" s="81" t="s">
        <v>803</v>
      </c>
      <c r="R727" s="81"/>
      <c r="S727" s="81"/>
      <c r="T727" s="86" t="s">
        <v>649</v>
      </c>
      <c r="U727" s="84" t="str">
        <f>HYPERLINK("https://pbs.twimg.com/media/FAEa7dXVkAcjbKg.jpg")</f>
        <v>https://pbs.twimg.com/media/FAEa7dXVkAcjbKg.jpg</v>
      </c>
      <c r="V727" s="84" t="str">
        <f>HYPERLINK("https://pbs.twimg.com/media/FAEa7dXVkAcjbKg.jpg")</f>
        <v>https://pbs.twimg.com/media/FAEa7dXVkAcjbKg.jpg</v>
      </c>
      <c r="W727" s="83">
        <v>44463.76122685185</v>
      </c>
      <c r="X727" s="89">
        <v>44463</v>
      </c>
      <c r="Y727" s="86" t="s">
        <v>1268</v>
      </c>
      <c r="Z727" s="84" t="str">
        <f>HYPERLINK("https://twitter.com/kittywonieee/status/1441466502784249860")</f>
        <v>https://twitter.com/kittywonieee/status/1441466502784249860</v>
      </c>
      <c r="AA727" s="81"/>
      <c r="AB727" s="81"/>
      <c r="AC727" s="86" t="s">
        <v>1764</v>
      </c>
      <c r="AD727" s="81"/>
      <c r="AE727" s="81" t="b">
        <v>0</v>
      </c>
      <c r="AF727" s="81">
        <v>0</v>
      </c>
      <c r="AG727" s="86" t="s">
        <v>2084</v>
      </c>
      <c r="AH727" s="81" t="b">
        <v>0</v>
      </c>
      <c r="AI727" s="81" t="s">
        <v>2168</v>
      </c>
      <c r="AJ727" s="81"/>
      <c r="AK727" s="86" t="s">
        <v>2084</v>
      </c>
      <c r="AL727" s="81" t="b">
        <v>0</v>
      </c>
      <c r="AM727" s="81">
        <v>21</v>
      </c>
      <c r="AN727" s="86" t="s">
        <v>1847</v>
      </c>
      <c r="AO727" s="86" t="s">
        <v>2178</v>
      </c>
      <c r="AP727" s="81" t="b">
        <v>0</v>
      </c>
      <c r="AQ727" s="86" t="s">
        <v>1847</v>
      </c>
      <c r="AR727" s="81" t="s">
        <v>179</v>
      </c>
      <c r="AS727" s="81">
        <v>0</v>
      </c>
      <c r="AT727" s="81">
        <v>0</v>
      </c>
      <c r="AU727" s="81"/>
      <c r="AV727" s="81"/>
      <c r="AW727" s="81"/>
      <c r="AX727" s="81"/>
      <c r="AY727" s="81"/>
      <c r="AZ727" s="81"/>
      <c r="BA727" s="81"/>
      <c r="BB727" s="81"/>
    </row>
    <row r="728" spans="1:54" x14ac:dyDescent="0.35">
      <c r="A728" s="66" t="s">
        <v>427</v>
      </c>
      <c r="B728" s="66" t="s">
        <v>496</v>
      </c>
      <c r="C728" s="67"/>
      <c r="D728" s="68"/>
      <c r="E728" s="69"/>
      <c r="F728" s="70"/>
      <c r="G728" s="67"/>
      <c r="H728" s="71"/>
      <c r="I728" s="72"/>
      <c r="J728" s="72"/>
      <c r="K728" s="36"/>
      <c r="L728" s="79"/>
      <c r="M728" s="79"/>
      <c r="N728" s="74"/>
      <c r="O728" s="81" t="s">
        <v>693</v>
      </c>
      <c r="P728" s="83">
        <v>44463.76122685185</v>
      </c>
      <c r="Q728" s="81" t="s">
        <v>803</v>
      </c>
      <c r="R728" s="81"/>
      <c r="S728" s="81"/>
      <c r="T728" s="86" t="s">
        <v>649</v>
      </c>
      <c r="U728" s="84" t="str">
        <f>HYPERLINK("https://pbs.twimg.com/media/FAEa7dXVkAcjbKg.jpg")</f>
        <v>https://pbs.twimg.com/media/FAEa7dXVkAcjbKg.jpg</v>
      </c>
      <c r="V728" s="84" t="str">
        <f>HYPERLINK("https://pbs.twimg.com/media/FAEa7dXVkAcjbKg.jpg")</f>
        <v>https://pbs.twimg.com/media/FAEa7dXVkAcjbKg.jpg</v>
      </c>
      <c r="W728" s="83">
        <v>44463.76122685185</v>
      </c>
      <c r="X728" s="89">
        <v>44463</v>
      </c>
      <c r="Y728" s="86" t="s">
        <v>1268</v>
      </c>
      <c r="Z728" s="84" t="str">
        <f>HYPERLINK("https://twitter.com/kittywonieee/status/1441466502784249860")</f>
        <v>https://twitter.com/kittywonieee/status/1441466502784249860</v>
      </c>
      <c r="AA728" s="81"/>
      <c r="AB728" s="81"/>
      <c r="AC728" s="86" t="s">
        <v>1764</v>
      </c>
      <c r="AD728" s="81"/>
      <c r="AE728" s="81" t="b">
        <v>0</v>
      </c>
      <c r="AF728" s="81">
        <v>0</v>
      </c>
      <c r="AG728" s="86" t="s">
        <v>2084</v>
      </c>
      <c r="AH728" s="81" t="b">
        <v>0</v>
      </c>
      <c r="AI728" s="81" t="s">
        <v>2168</v>
      </c>
      <c r="AJ728" s="81"/>
      <c r="AK728" s="86" t="s">
        <v>2084</v>
      </c>
      <c r="AL728" s="81" t="b">
        <v>0</v>
      </c>
      <c r="AM728" s="81">
        <v>21</v>
      </c>
      <c r="AN728" s="86" t="s">
        <v>1847</v>
      </c>
      <c r="AO728" s="86" t="s">
        <v>2178</v>
      </c>
      <c r="AP728" s="81" t="b">
        <v>0</v>
      </c>
      <c r="AQ728" s="86" t="s">
        <v>1847</v>
      </c>
      <c r="AR728" s="81" t="s">
        <v>179</v>
      </c>
      <c r="AS728" s="81">
        <v>0</v>
      </c>
      <c r="AT728" s="81">
        <v>0</v>
      </c>
      <c r="AU728" s="81"/>
      <c r="AV728" s="81"/>
      <c r="AW728" s="81"/>
      <c r="AX728" s="81"/>
      <c r="AY728" s="81"/>
      <c r="AZ728" s="81"/>
      <c r="BA728" s="81"/>
      <c r="BB728" s="81"/>
    </row>
    <row r="729" spans="1:54" x14ac:dyDescent="0.35">
      <c r="A729" s="66" t="s">
        <v>4426</v>
      </c>
      <c r="B729" s="66" t="s">
        <v>4426</v>
      </c>
      <c r="C729" s="67"/>
      <c r="D729" s="68"/>
      <c r="E729" s="69"/>
      <c r="F729" s="70"/>
      <c r="G729" s="67"/>
      <c r="H729" s="71"/>
      <c r="I729" s="72"/>
      <c r="J729" s="72"/>
      <c r="K729" s="36"/>
      <c r="L729" s="79"/>
      <c r="M729" s="79"/>
      <c r="N729" s="74"/>
      <c r="O729" s="81" t="s">
        <v>179</v>
      </c>
      <c r="P729" s="83">
        <v>44463.762083333335</v>
      </c>
      <c r="Q729" s="81" t="s">
        <v>5431</v>
      </c>
      <c r="R729" s="84" t="str">
        <f>HYPERLINK("https://www.record.pt/modalidades/ginastica/detalhe/o-pos-toquio-de-simone-biles-saude-mental-abuso-sexual-e-muito-mais")</f>
        <v>https://www.record.pt/modalidades/ginastica/detalhe/o-pos-toquio-de-simone-biles-saude-mental-abuso-sexual-e-muito-mais</v>
      </c>
      <c r="S729" s="81" t="s">
        <v>5729</v>
      </c>
      <c r="T729" s="81"/>
      <c r="U729" s="81"/>
      <c r="V729" s="84" t="str">
        <f>HYPERLINK("https://pbs.twimg.com/profile_images/1007421610276638721/fotlRiCd_normal.jpg")</f>
        <v>https://pbs.twimg.com/profile_images/1007421610276638721/fotlRiCd_normal.jpg</v>
      </c>
      <c r="W729" s="83">
        <v>44463.762083333335</v>
      </c>
      <c r="X729" s="89">
        <v>44463</v>
      </c>
      <c r="Y729" s="86" t="s">
        <v>6064</v>
      </c>
      <c r="Z729" s="84" t="str">
        <f>HYPERLINK("https://twitter.com/record_portugal/status/1441466816778448896")</f>
        <v>https://twitter.com/record_portugal/status/1441466816778448896</v>
      </c>
      <c r="AA729" s="81"/>
      <c r="AB729" s="81"/>
      <c r="AC729" s="86" t="s">
        <v>6967</v>
      </c>
      <c r="AD729" s="81"/>
      <c r="AE729" s="81" t="b">
        <v>0</v>
      </c>
      <c r="AF729" s="81">
        <v>0</v>
      </c>
      <c r="AG729" s="86" t="s">
        <v>2084</v>
      </c>
      <c r="AH729" s="81" t="b">
        <v>0</v>
      </c>
      <c r="AI729" s="81" t="s">
        <v>2171</v>
      </c>
      <c r="AJ729" s="81"/>
      <c r="AK729" s="86" t="s">
        <v>2084</v>
      </c>
      <c r="AL729" s="81" t="b">
        <v>0</v>
      </c>
      <c r="AM729" s="81">
        <v>0</v>
      </c>
      <c r="AN729" s="86" t="s">
        <v>2084</v>
      </c>
      <c r="AO729" s="86" t="s">
        <v>7985</v>
      </c>
      <c r="AP729" s="81" t="b">
        <v>0</v>
      </c>
      <c r="AQ729" s="86" t="s">
        <v>6967</v>
      </c>
      <c r="AR729" s="81" t="s">
        <v>179</v>
      </c>
      <c r="AS729" s="81">
        <v>0</v>
      </c>
      <c r="AT729" s="81">
        <v>0</v>
      </c>
      <c r="AU729" s="81"/>
      <c r="AV729" s="81"/>
      <c r="AW729" s="81"/>
      <c r="AX729" s="81"/>
      <c r="AY729" s="81"/>
      <c r="AZ729" s="81"/>
      <c r="BA729" s="81"/>
      <c r="BB729" s="81"/>
    </row>
    <row r="730" spans="1:54" x14ac:dyDescent="0.35">
      <c r="A730" s="66" t="s">
        <v>428</v>
      </c>
      <c r="B730" s="66" t="s">
        <v>461</v>
      </c>
      <c r="C730" s="67"/>
      <c r="D730" s="68"/>
      <c r="E730" s="69"/>
      <c r="F730" s="70"/>
      <c r="G730" s="67"/>
      <c r="H730" s="71"/>
      <c r="I730" s="72"/>
      <c r="J730" s="72"/>
      <c r="K730" s="36"/>
      <c r="L730" s="79"/>
      <c r="M730" s="79"/>
      <c r="N730" s="74"/>
      <c r="O730" s="81" t="s">
        <v>693</v>
      </c>
      <c r="P730" s="83">
        <v>44463.765775462962</v>
      </c>
      <c r="Q730" s="81" t="s">
        <v>794</v>
      </c>
      <c r="R730" s="81"/>
      <c r="S730" s="81"/>
      <c r="T730" s="86" t="s">
        <v>972</v>
      </c>
      <c r="U730" s="84" t="str">
        <f>HYPERLINK("https://pbs.twimg.com/media/FADMBqAUUAAn8ca.jpg")</f>
        <v>https://pbs.twimg.com/media/FADMBqAUUAAn8ca.jpg</v>
      </c>
      <c r="V730" s="84" t="str">
        <f>HYPERLINK("https://pbs.twimg.com/media/FADMBqAUUAAn8ca.jpg")</f>
        <v>https://pbs.twimg.com/media/FADMBqAUUAAn8ca.jpg</v>
      </c>
      <c r="W730" s="83">
        <v>44463.765775462962</v>
      </c>
      <c r="X730" s="89">
        <v>44463</v>
      </c>
      <c r="Y730" s="86" t="s">
        <v>1269</v>
      </c>
      <c r="Z730" s="84" t="str">
        <f>HYPERLINK("https://twitter.com/jeonginfoxyny/status/1441468152496357378")</f>
        <v>https://twitter.com/jeonginfoxyny/status/1441468152496357378</v>
      </c>
      <c r="AA730" s="81"/>
      <c r="AB730" s="81"/>
      <c r="AC730" s="86" t="s">
        <v>1765</v>
      </c>
      <c r="AD730" s="81"/>
      <c r="AE730" s="81" t="b">
        <v>0</v>
      </c>
      <c r="AF730" s="81">
        <v>0</v>
      </c>
      <c r="AG730" s="86" t="s">
        <v>2084</v>
      </c>
      <c r="AH730" s="81" t="b">
        <v>0</v>
      </c>
      <c r="AI730" s="81" t="s">
        <v>2168</v>
      </c>
      <c r="AJ730" s="81"/>
      <c r="AK730" s="86" t="s">
        <v>2084</v>
      </c>
      <c r="AL730" s="81" t="b">
        <v>0</v>
      </c>
      <c r="AM730" s="81">
        <v>9</v>
      </c>
      <c r="AN730" s="86" t="s">
        <v>1806</v>
      </c>
      <c r="AO730" s="86" t="s">
        <v>2178</v>
      </c>
      <c r="AP730" s="81" t="b">
        <v>0</v>
      </c>
      <c r="AQ730" s="86" t="s">
        <v>1806</v>
      </c>
      <c r="AR730" s="81" t="s">
        <v>179</v>
      </c>
      <c r="AS730" s="81">
        <v>0</v>
      </c>
      <c r="AT730" s="81">
        <v>0</v>
      </c>
      <c r="AU730" s="81"/>
      <c r="AV730" s="81"/>
      <c r="AW730" s="81"/>
      <c r="AX730" s="81"/>
      <c r="AY730" s="81"/>
      <c r="AZ730" s="81"/>
      <c r="BA730" s="81"/>
      <c r="BB730" s="81"/>
    </row>
    <row r="731" spans="1:54" x14ac:dyDescent="0.35">
      <c r="A731" s="66" t="s">
        <v>4427</v>
      </c>
      <c r="B731" s="66" t="s">
        <v>4427</v>
      </c>
      <c r="C731" s="67"/>
      <c r="D731" s="68"/>
      <c r="E731" s="69"/>
      <c r="F731" s="70"/>
      <c r="G731" s="67"/>
      <c r="H731" s="71"/>
      <c r="I731" s="72"/>
      <c r="J731" s="72"/>
      <c r="K731" s="36"/>
      <c r="L731" s="79"/>
      <c r="M731" s="79"/>
      <c r="N731" s="74"/>
      <c r="O731" s="81" t="s">
        <v>179</v>
      </c>
      <c r="P731" s="83">
        <v>44463.361493055556</v>
      </c>
      <c r="Q731" s="81" t="s">
        <v>5421</v>
      </c>
      <c r="R731" s="81"/>
      <c r="S731" s="81"/>
      <c r="T731" s="86" t="s">
        <v>4412</v>
      </c>
      <c r="U731" s="84" t="str">
        <f>HYPERLINK("https://pbs.twimg.com/media/FACaZCoVUAU3zQe.jpg")</f>
        <v>https://pbs.twimg.com/media/FACaZCoVUAU3zQe.jpg</v>
      </c>
      <c r="V731" s="84" t="str">
        <f>HYPERLINK("https://pbs.twimg.com/media/FACaZCoVUAU3zQe.jpg")</f>
        <v>https://pbs.twimg.com/media/FACaZCoVUAU3zQe.jpg</v>
      </c>
      <c r="W731" s="83">
        <v>44463.361493055556</v>
      </c>
      <c r="X731" s="89">
        <v>44463</v>
      </c>
      <c r="Y731" s="86" t="s">
        <v>6065</v>
      </c>
      <c r="Z731" s="84" t="str">
        <f>HYPERLINK("https://twitter.com/mrklite/status/1441321646770458629")</f>
        <v>https://twitter.com/mrklite/status/1441321646770458629</v>
      </c>
      <c r="AA731" s="81"/>
      <c r="AB731" s="81"/>
      <c r="AC731" s="86" t="s">
        <v>6968</v>
      </c>
      <c r="AD731" s="81"/>
      <c r="AE731" s="81" t="b">
        <v>0</v>
      </c>
      <c r="AF731" s="81">
        <v>1</v>
      </c>
      <c r="AG731" s="86" t="s">
        <v>2084</v>
      </c>
      <c r="AH731" s="81" t="b">
        <v>0</v>
      </c>
      <c r="AI731" s="81" t="s">
        <v>2168</v>
      </c>
      <c r="AJ731" s="81"/>
      <c r="AK731" s="86" t="s">
        <v>2084</v>
      </c>
      <c r="AL731" s="81" t="b">
        <v>0</v>
      </c>
      <c r="AM731" s="81">
        <v>6</v>
      </c>
      <c r="AN731" s="86" t="s">
        <v>2084</v>
      </c>
      <c r="AO731" s="86" t="s">
        <v>2179</v>
      </c>
      <c r="AP731" s="81" t="b">
        <v>0</v>
      </c>
      <c r="AQ731" s="86" t="s">
        <v>6968</v>
      </c>
      <c r="AR731" s="81" t="s">
        <v>179</v>
      </c>
      <c r="AS731" s="81">
        <v>0</v>
      </c>
      <c r="AT731" s="81">
        <v>0</v>
      </c>
      <c r="AU731" s="81"/>
      <c r="AV731" s="81"/>
      <c r="AW731" s="81"/>
      <c r="AX731" s="81"/>
      <c r="AY731" s="81"/>
      <c r="AZ731" s="81"/>
      <c r="BA731" s="81"/>
      <c r="BB731" s="81"/>
    </row>
    <row r="732" spans="1:54" x14ac:dyDescent="0.35">
      <c r="A732" s="66" t="s">
        <v>4428</v>
      </c>
      <c r="B732" s="66" t="s">
        <v>4427</v>
      </c>
      <c r="C732" s="67"/>
      <c r="D732" s="68"/>
      <c r="E732" s="69"/>
      <c r="F732" s="70"/>
      <c r="G732" s="67"/>
      <c r="H732" s="71"/>
      <c r="I732" s="72"/>
      <c r="J732" s="72"/>
      <c r="K732" s="36"/>
      <c r="L732" s="79"/>
      <c r="M732" s="79"/>
      <c r="N732" s="74"/>
      <c r="O732" s="81" t="s">
        <v>693</v>
      </c>
      <c r="P732" s="83">
        <v>44463.768703703703</v>
      </c>
      <c r="Q732" s="81" t="s">
        <v>5421</v>
      </c>
      <c r="R732" s="81"/>
      <c r="S732" s="81"/>
      <c r="T732" s="86" t="s">
        <v>4412</v>
      </c>
      <c r="U732" s="84" t="str">
        <f>HYPERLINK("https://pbs.twimg.com/media/FACaZCoVUAU3zQe.jpg")</f>
        <v>https://pbs.twimg.com/media/FACaZCoVUAU3zQe.jpg</v>
      </c>
      <c r="V732" s="84" t="str">
        <f>HYPERLINK("https://pbs.twimg.com/media/FACaZCoVUAU3zQe.jpg")</f>
        <v>https://pbs.twimg.com/media/FACaZCoVUAU3zQe.jpg</v>
      </c>
      <c r="W732" s="83">
        <v>44463.768703703703</v>
      </c>
      <c r="X732" s="89">
        <v>44463</v>
      </c>
      <c r="Y732" s="86" t="s">
        <v>6066</v>
      </c>
      <c r="Z732" s="84" t="str">
        <f>HYPERLINK("https://twitter.com/pasaratiny/status/1441469213823029254")</f>
        <v>https://twitter.com/pasaratiny/status/1441469213823029254</v>
      </c>
      <c r="AA732" s="81"/>
      <c r="AB732" s="81"/>
      <c r="AC732" s="86" t="s">
        <v>6969</v>
      </c>
      <c r="AD732" s="81"/>
      <c r="AE732" s="81" t="b">
        <v>0</v>
      </c>
      <c r="AF732" s="81">
        <v>0</v>
      </c>
      <c r="AG732" s="86" t="s">
        <v>2084</v>
      </c>
      <c r="AH732" s="81" t="b">
        <v>0</v>
      </c>
      <c r="AI732" s="81" t="s">
        <v>2168</v>
      </c>
      <c r="AJ732" s="81"/>
      <c r="AK732" s="86" t="s">
        <v>2084</v>
      </c>
      <c r="AL732" s="81" t="b">
        <v>0</v>
      </c>
      <c r="AM732" s="81">
        <v>6</v>
      </c>
      <c r="AN732" s="86" t="s">
        <v>6968</v>
      </c>
      <c r="AO732" s="86" t="s">
        <v>2178</v>
      </c>
      <c r="AP732" s="81" t="b">
        <v>0</v>
      </c>
      <c r="AQ732" s="86" t="s">
        <v>6968</v>
      </c>
      <c r="AR732" s="81" t="s">
        <v>179</v>
      </c>
      <c r="AS732" s="81">
        <v>0</v>
      </c>
      <c r="AT732" s="81">
        <v>0</v>
      </c>
      <c r="AU732" s="81"/>
      <c r="AV732" s="81"/>
      <c r="AW732" s="81"/>
      <c r="AX732" s="81"/>
      <c r="AY732" s="81"/>
      <c r="AZ732" s="81"/>
      <c r="BA732" s="81"/>
      <c r="BB732" s="81"/>
    </row>
    <row r="733" spans="1:54" x14ac:dyDescent="0.35">
      <c r="A733" s="66" t="s">
        <v>429</v>
      </c>
      <c r="B733" s="66" t="s">
        <v>646</v>
      </c>
      <c r="C733" s="67"/>
      <c r="D733" s="68"/>
      <c r="E733" s="69"/>
      <c r="F733" s="70"/>
      <c r="G733" s="67"/>
      <c r="H733" s="71"/>
      <c r="I733" s="72"/>
      <c r="J733" s="72"/>
      <c r="K733" s="36"/>
      <c r="L733" s="79"/>
      <c r="M733" s="79"/>
      <c r="N733" s="74"/>
      <c r="O733" s="81" t="s">
        <v>694</v>
      </c>
      <c r="P733" s="83">
        <v>44463.777013888888</v>
      </c>
      <c r="Q733" s="81" t="s">
        <v>803</v>
      </c>
      <c r="R733" s="81"/>
      <c r="S733" s="81"/>
      <c r="T733" s="86" t="s">
        <v>649</v>
      </c>
      <c r="U733" s="84" t="str">
        <f>HYPERLINK("https://pbs.twimg.com/media/FAEa7dXVkAcjbKg.jpg")</f>
        <v>https://pbs.twimg.com/media/FAEa7dXVkAcjbKg.jpg</v>
      </c>
      <c r="V733" s="84" t="str">
        <f>HYPERLINK("https://pbs.twimg.com/media/FAEa7dXVkAcjbKg.jpg")</f>
        <v>https://pbs.twimg.com/media/FAEa7dXVkAcjbKg.jpg</v>
      </c>
      <c r="W733" s="83">
        <v>44463.777013888888</v>
      </c>
      <c r="X733" s="89">
        <v>44463</v>
      </c>
      <c r="Y733" s="86" t="s">
        <v>1270</v>
      </c>
      <c r="Z733" s="84" t="str">
        <f>HYPERLINK("https://twitter.com/aesthetichees/status/1441472227623378955")</f>
        <v>https://twitter.com/aesthetichees/status/1441472227623378955</v>
      </c>
      <c r="AA733" s="81"/>
      <c r="AB733" s="81"/>
      <c r="AC733" s="86" t="s">
        <v>1766</v>
      </c>
      <c r="AD733" s="81"/>
      <c r="AE733" s="81" t="b">
        <v>0</v>
      </c>
      <c r="AF733" s="81">
        <v>0</v>
      </c>
      <c r="AG733" s="86" t="s">
        <v>2084</v>
      </c>
      <c r="AH733" s="81" t="b">
        <v>0</v>
      </c>
      <c r="AI733" s="81" t="s">
        <v>2168</v>
      </c>
      <c r="AJ733" s="81"/>
      <c r="AK733" s="86" t="s">
        <v>2084</v>
      </c>
      <c r="AL733" s="81" t="b">
        <v>0</v>
      </c>
      <c r="AM733" s="81">
        <v>21</v>
      </c>
      <c r="AN733" s="86" t="s">
        <v>1847</v>
      </c>
      <c r="AO733" s="86" t="s">
        <v>2178</v>
      </c>
      <c r="AP733" s="81" t="b">
        <v>0</v>
      </c>
      <c r="AQ733" s="86" t="s">
        <v>1847</v>
      </c>
      <c r="AR733" s="81" t="s">
        <v>179</v>
      </c>
      <c r="AS733" s="81">
        <v>0</v>
      </c>
      <c r="AT733" s="81">
        <v>0</v>
      </c>
      <c r="AU733" s="81"/>
      <c r="AV733" s="81"/>
      <c r="AW733" s="81"/>
      <c r="AX733" s="81"/>
      <c r="AY733" s="81"/>
      <c r="AZ733" s="81"/>
      <c r="BA733" s="81"/>
      <c r="BB733" s="81"/>
    </row>
    <row r="734" spans="1:54" x14ac:dyDescent="0.35">
      <c r="A734" s="66" t="s">
        <v>429</v>
      </c>
      <c r="B734" s="66" t="s">
        <v>647</v>
      </c>
      <c r="C734" s="67"/>
      <c r="D734" s="68"/>
      <c r="E734" s="69"/>
      <c r="F734" s="70"/>
      <c r="G734" s="67"/>
      <c r="H734" s="71"/>
      <c r="I734" s="72"/>
      <c r="J734" s="72"/>
      <c r="K734" s="36"/>
      <c r="L734" s="79"/>
      <c r="M734" s="79"/>
      <c r="N734" s="74"/>
      <c r="O734" s="81" t="s">
        <v>694</v>
      </c>
      <c r="P734" s="83">
        <v>44463.777013888888</v>
      </c>
      <c r="Q734" s="81" t="s">
        <v>803</v>
      </c>
      <c r="R734" s="81"/>
      <c r="S734" s="81"/>
      <c r="T734" s="86" t="s">
        <v>649</v>
      </c>
      <c r="U734" s="84" t="str">
        <f>HYPERLINK("https://pbs.twimg.com/media/FAEa7dXVkAcjbKg.jpg")</f>
        <v>https://pbs.twimg.com/media/FAEa7dXVkAcjbKg.jpg</v>
      </c>
      <c r="V734" s="84" t="str">
        <f>HYPERLINK("https://pbs.twimg.com/media/FAEa7dXVkAcjbKg.jpg")</f>
        <v>https://pbs.twimg.com/media/FAEa7dXVkAcjbKg.jpg</v>
      </c>
      <c r="W734" s="83">
        <v>44463.777013888888</v>
      </c>
      <c r="X734" s="89">
        <v>44463</v>
      </c>
      <c r="Y734" s="86" t="s">
        <v>1270</v>
      </c>
      <c r="Z734" s="84" t="str">
        <f>HYPERLINK("https://twitter.com/aesthetichees/status/1441472227623378955")</f>
        <v>https://twitter.com/aesthetichees/status/1441472227623378955</v>
      </c>
      <c r="AA734" s="81"/>
      <c r="AB734" s="81"/>
      <c r="AC734" s="86" t="s">
        <v>1766</v>
      </c>
      <c r="AD734" s="81"/>
      <c r="AE734" s="81" t="b">
        <v>0</v>
      </c>
      <c r="AF734" s="81">
        <v>0</v>
      </c>
      <c r="AG734" s="86" t="s">
        <v>2084</v>
      </c>
      <c r="AH734" s="81" t="b">
        <v>0</v>
      </c>
      <c r="AI734" s="81" t="s">
        <v>2168</v>
      </c>
      <c r="AJ734" s="81"/>
      <c r="AK734" s="86" t="s">
        <v>2084</v>
      </c>
      <c r="AL734" s="81" t="b">
        <v>0</v>
      </c>
      <c r="AM734" s="81">
        <v>21</v>
      </c>
      <c r="AN734" s="86" t="s">
        <v>1847</v>
      </c>
      <c r="AO734" s="86" t="s">
        <v>2178</v>
      </c>
      <c r="AP734" s="81" t="b">
        <v>0</v>
      </c>
      <c r="AQ734" s="86" t="s">
        <v>1847</v>
      </c>
      <c r="AR734" s="81" t="s">
        <v>179</v>
      </c>
      <c r="AS734" s="81">
        <v>0</v>
      </c>
      <c r="AT734" s="81">
        <v>0</v>
      </c>
      <c r="AU734" s="81"/>
      <c r="AV734" s="81"/>
      <c r="AW734" s="81"/>
      <c r="AX734" s="81"/>
      <c r="AY734" s="81"/>
      <c r="AZ734" s="81"/>
      <c r="BA734" s="81"/>
      <c r="BB734" s="81"/>
    </row>
    <row r="735" spans="1:54" x14ac:dyDescent="0.35">
      <c r="A735" s="66" t="s">
        <v>429</v>
      </c>
      <c r="B735" s="66" t="s">
        <v>648</v>
      </c>
      <c r="C735" s="67"/>
      <c r="D735" s="68"/>
      <c r="E735" s="69"/>
      <c r="F735" s="70"/>
      <c r="G735" s="67"/>
      <c r="H735" s="71"/>
      <c r="I735" s="72"/>
      <c r="J735" s="72"/>
      <c r="K735" s="36"/>
      <c r="L735" s="79"/>
      <c r="M735" s="79"/>
      <c r="N735" s="74"/>
      <c r="O735" s="81" t="s">
        <v>694</v>
      </c>
      <c r="P735" s="83">
        <v>44463.777013888888</v>
      </c>
      <c r="Q735" s="81" t="s">
        <v>803</v>
      </c>
      <c r="R735" s="81"/>
      <c r="S735" s="81"/>
      <c r="T735" s="86" t="s">
        <v>649</v>
      </c>
      <c r="U735" s="84" t="str">
        <f>HYPERLINK("https://pbs.twimg.com/media/FAEa7dXVkAcjbKg.jpg")</f>
        <v>https://pbs.twimg.com/media/FAEa7dXVkAcjbKg.jpg</v>
      </c>
      <c r="V735" s="84" t="str">
        <f>HYPERLINK("https://pbs.twimg.com/media/FAEa7dXVkAcjbKg.jpg")</f>
        <v>https://pbs.twimg.com/media/FAEa7dXVkAcjbKg.jpg</v>
      </c>
      <c r="W735" s="83">
        <v>44463.777013888888</v>
      </c>
      <c r="X735" s="89">
        <v>44463</v>
      </c>
      <c r="Y735" s="86" t="s">
        <v>1270</v>
      </c>
      <c r="Z735" s="84" t="str">
        <f>HYPERLINK("https://twitter.com/aesthetichees/status/1441472227623378955")</f>
        <v>https://twitter.com/aesthetichees/status/1441472227623378955</v>
      </c>
      <c r="AA735" s="81"/>
      <c r="AB735" s="81"/>
      <c r="AC735" s="86" t="s">
        <v>1766</v>
      </c>
      <c r="AD735" s="81"/>
      <c r="AE735" s="81" t="b">
        <v>0</v>
      </c>
      <c r="AF735" s="81">
        <v>0</v>
      </c>
      <c r="AG735" s="86" t="s">
        <v>2084</v>
      </c>
      <c r="AH735" s="81" t="b">
        <v>0</v>
      </c>
      <c r="AI735" s="81" t="s">
        <v>2168</v>
      </c>
      <c r="AJ735" s="81"/>
      <c r="AK735" s="86" t="s">
        <v>2084</v>
      </c>
      <c r="AL735" s="81" t="b">
        <v>0</v>
      </c>
      <c r="AM735" s="81">
        <v>21</v>
      </c>
      <c r="AN735" s="86" t="s">
        <v>1847</v>
      </c>
      <c r="AO735" s="86" t="s">
        <v>2178</v>
      </c>
      <c r="AP735" s="81" t="b">
        <v>0</v>
      </c>
      <c r="AQ735" s="86" t="s">
        <v>1847</v>
      </c>
      <c r="AR735" s="81" t="s">
        <v>179</v>
      </c>
      <c r="AS735" s="81">
        <v>0</v>
      </c>
      <c r="AT735" s="81">
        <v>0</v>
      </c>
      <c r="AU735" s="81"/>
      <c r="AV735" s="81"/>
      <c r="AW735" s="81"/>
      <c r="AX735" s="81"/>
      <c r="AY735" s="81"/>
      <c r="AZ735" s="81"/>
      <c r="BA735" s="81"/>
      <c r="BB735" s="81"/>
    </row>
    <row r="736" spans="1:54" x14ac:dyDescent="0.35">
      <c r="A736" s="66" t="s">
        <v>429</v>
      </c>
      <c r="B736" s="66" t="s">
        <v>649</v>
      </c>
      <c r="C736" s="67"/>
      <c r="D736" s="68"/>
      <c r="E736" s="69"/>
      <c r="F736" s="70"/>
      <c r="G736" s="67"/>
      <c r="H736" s="71"/>
      <c r="I736" s="72"/>
      <c r="J736" s="72"/>
      <c r="K736" s="36"/>
      <c r="L736" s="79"/>
      <c r="M736" s="79"/>
      <c r="N736" s="74"/>
      <c r="O736" s="81" t="s">
        <v>694</v>
      </c>
      <c r="P736" s="83">
        <v>44463.777013888888</v>
      </c>
      <c r="Q736" s="81" t="s">
        <v>803</v>
      </c>
      <c r="R736" s="81"/>
      <c r="S736" s="81"/>
      <c r="T736" s="86" t="s">
        <v>649</v>
      </c>
      <c r="U736" s="84" t="str">
        <f>HYPERLINK("https://pbs.twimg.com/media/FAEa7dXVkAcjbKg.jpg")</f>
        <v>https://pbs.twimg.com/media/FAEa7dXVkAcjbKg.jpg</v>
      </c>
      <c r="V736" s="84" t="str">
        <f>HYPERLINK("https://pbs.twimg.com/media/FAEa7dXVkAcjbKg.jpg")</f>
        <v>https://pbs.twimg.com/media/FAEa7dXVkAcjbKg.jpg</v>
      </c>
      <c r="W736" s="83">
        <v>44463.777013888888</v>
      </c>
      <c r="X736" s="89">
        <v>44463</v>
      </c>
      <c r="Y736" s="86" t="s">
        <v>1270</v>
      </c>
      <c r="Z736" s="84" t="str">
        <f>HYPERLINK("https://twitter.com/aesthetichees/status/1441472227623378955")</f>
        <v>https://twitter.com/aesthetichees/status/1441472227623378955</v>
      </c>
      <c r="AA736" s="81"/>
      <c r="AB736" s="81"/>
      <c r="AC736" s="86" t="s">
        <v>1766</v>
      </c>
      <c r="AD736" s="81"/>
      <c r="AE736" s="81" t="b">
        <v>0</v>
      </c>
      <c r="AF736" s="81">
        <v>0</v>
      </c>
      <c r="AG736" s="86" t="s">
        <v>2084</v>
      </c>
      <c r="AH736" s="81" t="b">
        <v>0</v>
      </c>
      <c r="AI736" s="81" t="s">
        <v>2168</v>
      </c>
      <c r="AJ736" s="81"/>
      <c r="AK736" s="86" t="s">
        <v>2084</v>
      </c>
      <c r="AL736" s="81" t="b">
        <v>0</v>
      </c>
      <c r="AM736" s="81">
        <v>21</v>
      </c>
      <c r="AN736" s="86" t="s">
        <v>1847</v>
      </c>
      <c r="AO736" s="86" t="s">
        <v>2178</v>
      </c>
      <c r="AP736" s="81" t="b">
        <v>0</v>
      </c>
      <c r="AQ736" s="86" t="s">
        <v>1847</v>
      </c>
      <c r="AR736" s="81" t="s">
        <v>179</v>
      </c>
      <c r="AS736" s="81">
        <v>0</v>
      </c>
      <c r="AT736" s="81">
        <v>0</v>
      </c>
      <c r="AU736" s="81"/>
      <c r="AV736" s="81"/>
      <c r="AW736" s="81"/>
      <c r="AX736" s="81"/>
      <c r="AY736" s="81"/>
      <c r="AZ736" s="81"/>
      <c r="BA736" s="81"/>
      <c r="BB736" s="81"/>
    </row>
    <row r="737" spans="1:54" x14ac:dyDescent="0.35">
      <c r="A737" s="66" t="s">
        <v>429</v>
      </c>
      <c r="B737" s="66" t="s">
        <v>496</v>
      </c>
      <c r="C737" s="67"/>
      <c r="D737" s="68"/>
      <c r="E737" s="69"/>
      <c r="F737" s="70"/>
      <c r="G737" s="67"/>
      <c r="H737" s="71"/>
      <c r="I737" s="72"/>
      <c r="J737" s="72"/>
      <c r="K737" s="36"/>
      <c r="L737" s="79"/>
      <c r="M737" s="79"/>
      <c r="N737" s="74"/>
      <c r="O737" s="81" t="s">
        <v>693</v>
      </c>
      <c r="P737" s="83">
        <v>44463.777013888888</v>
      </c>
      <c r="Q737" s="81" t="s">
        <v>803</v>
      </c>
      <c r="R737" s="81"/>
      <c r="S737" s="81"/>
      <c r="T737" s="86" t="s">
        <v>649</v>
      </c>
      <c r="U737" s="84" t="str">
        <f>HYPERLINK("https://pbs.twimg.com/media/FAEa7dXVkAcjbKg.jpg")</f>
        <v>https://pbs.twimg.com/media/FAEa7dXVkAcjbKg.jpg</v>
      </c>
      <c r="V737" s="84" t="str">
        <f>HYPERLINK("https://pbs.twimg.com/media/FAEa7dXVkAcjbKg.jpg")</f>
        <v>https://pbs.twimg.com/media/FAEa7dXVkAcjbKg.jpg</v>
      </c>
      <c r="W737" s="83">
        <v>44463.777013888888</v>
      </c>
      <c r="X737" s="89">
        <v>44463</v>
      </c>
      <c r="Y737" s="86" t="s">
        <v>1270</v>
      </c>
      <c r="Z737" s="84" t="str">
        <f>HYPERLINK("https://twitter.com/aesthetichees/status/1441472227623378955")</f>
        <v>https://twitter.com/aesthetichees/status/1441472227623378955</v>
      </c>
      <c r="AA737" s="81"/>
      <c r="AB737" s="81"/>
      <c r="AC737" s="86" t="s">
        <v>1766</v>
      </c>
      <c r="AD737" s="81"/>
      <c r="AE737" s="81" t="b">
        <v>0</v>
      </c>
      <c r="AF737" s="81">
        <v>0</v>
      </c>
      <c r="AG737" s="86" t="s">
        <v>2084</v>
      </c>
      <c r="AH737" s="81" t="b">
        <v>0</v>
      </c>
      <c r="AI737" s="81" t="s">
        <v>2168</v>
      </c>
      <c r="AJ737" s="81"/>
      <c r="AK737" s="86" t="s">
        <v>2084</v>
      </c>
      <c r="AL737" s="81" t="b">
        <v>0</v>
      </c>
      <c r="AM737" s="81">
        <v>21</v>
      </c>
      <c r="AN737" s="86" t="s">
        <v>1847</v>
      </c>
      <c r="AO737" s="86" t="s">
        <v>2178</v>
      </c>
      <c r="AP737" s="81" t="b">
        <v>0</v>
      </c>
      <c r="AQ737" s="86" t="s">
        <v>1847</v>
      </c>
      <c r="AR737" s="81" t="s">
        <v>179</v>
      </c>
      <c r="AS737" s="81">
        <v>0</v>
      </c>
      <c r="AT737" s="81">
        <v>0</v>
      </c>
      <c r="AU737" s="81"/>
      <c r="AV737" s="81"/>
      <c r="AW737" s="81"/>
      <c r="AX737" s="81"/>
      <c r="AY737" s="81"/>
      <c r="AZ737" s="81"/>
      <c r="BA737" s="81"/>
      <c r="BB737" s="81"/>
    </row>
    <row r="738" spans="1:54" x14ac:dyDescent="0.35">
      <c r="A738" s="66" t="s">
        <v>430</v>
      </c>
      <c r="B738" s="66" t="s">
        <v>646</v>
      </c>
      <c r="C738" s="67"/>
      <c r="D738" s="68"/>
      <c r="E738" s="69"/>
      <c r="F738" s="70"/>
      <c r="G738" s="67"/>
      <c r="H738" s="71"/>
      <c r="I738" s="72"/>
      <c r="J738" s="72"/>
      <c r="K738" s="36"/>
      <c r="L738" s="79"/>
      <c r="M738" s="79"/>
      <c r="N738" s="74"/>
      <c r="O738" s="81" t="s">
        <v>694</v>
      </c>
      <c r="P738" s="83">
        <v>44463.780659722222</v>
      </c>
      <c r="Q738" s="81" t="s">
        <v>803</v>
      </c>
      <c r="R738" s="81"/>
      <c r="S738" s="81"/>
      <c r="T738" s="86" t="s">
        <v>649</v>
      </c>
      <c r="U738" s="84" t="str">
        <f>HYPERLINK("https://pbs.twimg.com/media/FAEa7dXVkAcjbKg.jpg")</f>
        <v>https://pbs.twimg.com/media/FAEa7dXVkAcjbKg.jpg</v>
      </c>
      <c r="V738" s="84" t="str">
        <f>HYPERLINK("https://pbs.twimg.com/media/FAEa7dXVkAcjbKg.jpg")</f>
        <v>https://pbs.twimg.com/media/FAEa7dXVkAcjbKg.jpg</v>
      </c>
      <c r="W738" s="83">
        <v>44463.780659722222</v>
      </c>
      <c r="X738" s="89">
        <v>44463</v>
      </c>
      <c r="Y738" s="86" t="s">
        <v>1271</v>
      </c>
      <c r="Z738" s="84" t="str">
        <f>HYPERLINK("https://twitter.com/jkzty/status/1441473545796669445")</f>
        <v>https://twitter.com/jkzty/status/1441473545796669445</v>
      </c>
      <c r="AA738" s="81"/>
      <c r="AB738" s="81"/>
      <c r="AC738" s="86" t="s">
        <v>1767</v>
      </c>
      <c r="AD738" s="81"/>
      <c r="AE738" s="81" t="b">
        <v>0</v>
      </c>
      <c r="AF738" s="81">
        <v>0</v>
      </c>
      <c r="AG738" s="86" t="s">
        <v>2084</v>
      </c>
      <c r="AH738" s="81" t="b">
        <v>0</v>
      </c>
      <c r="AI738" s="81" t="s">
        <v>2168</v>
      </c>
      <c r="AJ738" s="81"/>
      <c r="AK738" s="86" t="s">
        <v>2084</v>
      </c>
      <c r="AL738" s="81" t="b">
        <v>0</v>
      </c>
      <c r="AM738" s="81">
        <v>21</v>
      </c>
      <c r="AN738" s="86" t="s">
        <v>1847</v>
      </c>
      <c r="AO738" s="86" t="s">
        <v>2178</v>
      </c>
      <c r="AP738" s="81" t="b">
        <v>0</v>
      </c>
      <c r="AQ738" s="86" t="s">
        <v>1847</v>
      </c>
      <c r="AR738" s="81" t="s">
        <v>179</v>
      </c>
      <c r="AS738" s="81">
        <v>0</v>
      </c>
      <c r="AT738" s="81">
        <v>0</v>
      </c>
      <c r="AU738" s="81"/>
      <c r="AV738" s="81"/>
      <c r="AW738" s="81"/>
      <c r="AX738" s="81"/>
      <c r="AY738" s="81"/>
      <c r="AZ738" s="81"/>
      <c r="BA738" s="81"/>
      <c r="BB738" s="81"/>
    </row>
    <row r="739" spans="1:54" x14ac:dyDescent="0.35">
      <c r="A739" s="66" t="s">
        <v>430</v>
      </c>
      <c r="B739" s="66" t="s">
        <v>647</v>
      </c>
      <c r="C739" s="67"/>
      <c r="D739" s="68"/>
      <c r="E739" s="69"/>
      <c r="F739" s="70"/>
      <c r="G739" s="67"/>
      <c r="H739" s="71"/>
      <c r="I739" s="72"/>
      <c r="J739" s="72"/>
      <c r="K739" s="36"/>
      <c r="L739" s="79"/>
      <c r="M739" s="79"/>
      <c r="N739" s="74"/>
      <c r="O739" s="81" t="s">
        <v>694</v>
      </c>
      <c r="P739" s="83">
        <v>44463.780659722222</v>
      </c>
      <c r="Q739" s="81" t="s">
        <v>803</v>
      </c>
      <c r="R739" s="81"/>
      <c r="S739" s="81"/>
      <c r="T739" s="86" t="s">
        <v>649</v>
      </c>
      <c r="U739" s="84" t="str">
        <f>HYPERLINK("https://pbs.twimg.com/media/FAEa7dXVkAcjbKg.jpg")</f>
        <v>https://pbs.twimg.com/media/FAEa7dXVkAcjbKg.jpg</v>
      </c>
      <c r="V739" s="84" t="str">
        <f>HYPERLINK("https://pbs.twimg.com/media/FAEa7dXVkAcjbKg.jpg")</f>
        <v>https://pbs.twimg.com/media/FAEa7dXVkAcjbKg.jpg</v>
      </c>
      <c r="W739" s="83">
        <v>44463.780659722222</v>
      </c>
      <c r="X739" s="89">
        <v>44463</v>
      </c>
      <c r="Y739" s="86" t="s">
        <v>1271</v>
      </c>
      <c r="Z739" s="84" t="str">
        <f>HYPERLINK("https://twitter.com/jkzty/status/1441473545796669445")</f>
        <v>https://twitter.com/jkzty/status/1441473545796669445</v>
      </c>
      <c r="AA739" s="81"/>
      <c r="AB739" s="81"/>
      <c r="AC739" s="86" t="s">
        <v>1767</v>
      </c>
      <c r="AD739" s="81"/>
      <c r="AE739" s="81" t="b">
        <v>0</v>
      </c>
      <c r="AF739" s="81">
        <v>0</v>
      </c>
      <c r="AG739" s="86" t="s">
        <v>2084</v>
      </c>
      <c r="AH739" s="81" t="b">
        <v>0</v>
      </c>
      <c r="AI739" s="81" t="s">
        <v>2168</v>
      </c>
      <c r="AJ739" s="81"/>
      <c r="AK739" s="86" t="s">
        <v>2084</v>
      </c>
      <c r="AL739" s="81" t="b">
        <v>0</v>
      </c>
      <c r="AM739" s="81">
        <v>21</v>
      </c>
      <c r="AN739" s="86" t="s">
        <v>1847</v>
      </c>
      <c r="AO739" s="86" t="s">
        <v>2178</v>
      </c>
      <c r="AP739" s="81" t="b">
        <v>0</v>
      </c>
      <c r="AQ739" s="86" t="s">
        <v>1847</v>
      </c>
      <c r="AR739" s="81" t="s">
        <v>179</v>
      </c>
      <c r="AS739" s="81">
        <v>0</v>
      </c>
      <c r="AT739" s="81">
        <v>0</v>
      </c>
      <c r="AU739" s="81"/>
      <c r="AV739" s="81"/>
      <c r="AW739" s="81"/>
      <c r="AX739" s="81"/>
      <c r="AY739" s="81"/>
      <c r="AZ739" s="81"/>
      <c r="BA739" s="81"/>
      <c r="BB739" s="81"/>
    </row>
    <row r="740" spans="1:54" x14ac:dyDescent="0.35">
      <c r="A740" s="66" t="s">
        <v>430</v>
      </c>
      <c r="B740" s="66" t="s">
        <v>648</v>
      </c>
      <c r="C740" s="67"/>
      <c r="D740" s="68"/>
      <c r="E740" s="69"/>
      <c r="F740" s="70"/>
      <c r="G740" s="67"/>
      <c r="H740" s="71"/>
      <c r="I740" s="72"/>
      <c r="J740" s="72"/>
      <c r="K740" s="36"/>
      <c r="L740" s="79"/>
      <c r="M740" s="79"/>
      <c r="N740" s="74"/>
      <c r="O740" s="81" t="s">
        <v>694</v>
      </c>
      <c r="P740" s="83">
        <v>44463.780659722222</v>
      </c>
      <c r="Q740" s="81" t="s">
        <v>803</v>
      </c>
      <c r="R740" s="81"/>
      <c r="S740" s="81"/>
      <c r="T740" s="86" t="s">
        <v>649</v>
      </c>
      <c r="U740" s="84" t="str">
        <f>HYPERLINK("https://pbs.twimg.com/media/FAEa7dXVkAcjbKg.jpg")</f>
        <v>https://pbs.twimg.com/media/FAEa7dXVkAcjbKg.jpg</v>
      </c>
      <c r="V740" s="84" t="str">
        <f>HYPERLINK("https://pbs.twimg.com/media/FAEa7dXVkAcjbKg.jpg")</f>
        <v>https://pbs.twimg.com/media/FAEa7dXVkAcjbKg.jpg</v>
      </c>
      <c r="W740" s="83">
        <v>44463.780659722222</v>
      </c>
      <c r="X740" s="89">
        <v>44463</v>
      </c>
      <c r="Y740" s="86" t="s">
        <v>1271</v>
      </c>
      <c r="Z740" s="84" t="str">
        <f>HYPERLINK("https://twitter.com/jkzty/status/1441473545796669445")</f>
        <v>https://twitter.com/jkzty/status/1441473545796669445</v>
      </c>
      <c r="AA740" s="81"/>
      <c r="AB740" s="81"/>
      <c r="AC740" s="86" t="s">
        <v>1767</v>
      </c>
      <c r="AD740" s="81"/>
      <c r="AE740" s="81" t="b">
        <v>0</v>
      </c>
      <c r="AF740" s="81">
        <v>0</v>
      </c>
      <c r="AG740" s="86" t="s">
        <v>2084</v>
      </c>
      <c r="AH740" s="81" t="b">
        <v>0</v>
      </c>
      <c r="AI740" s="81" t="s">
        <v>2168</v>
      </c>
      <c r="AJ740" s="81"/>
      <c r="AK740" s="86" t="s">
        <v>2084</v>
      </c>
      <c r="AL740" s="81" t="b">
        <v>0</v>
      </c>
      <c r="AM740" s="81">
        <v>21</v>
      </c>
      <c r="AN740" s="86" t="s">
        <v>1847</v>
      </c>
      <c r="AO740" s="86" t="s">
        <v>2178</v>
      </c>
      <c r="AP740" s="81" t="b">
        <v>0</v>
      </c>
      <c r="AQ740" s="86" t="s">
        <v>1847</v>
      </c>
      <c r="AR740" s="81" t="s">
        <v>179</v>
      </c>
      <c r="AS740" s="81">
        <v>0</v>
      </c>
      <c r="AT740" s="81">
        <v>0</v>
      </c>
      <c r="AU740" s="81"/>
      <c r="AV740" s="81"/>
      <c r="AW740" s="81"/>
      <c r="AX740" s="81"/>
      <c r="AY740" s="81"/>
      <c r="AZ740" s="81"/>
      <c r="BA740" s="81"/>
      <c r="BB740" s="81"/>
    </row>
    <row r="741" spans="1:54" x14ac:dyDescent="0.35">
      <c r="A741" s="66" t="s">
        <v>430</v>
      </c>
      <c r="B741" s="66" t="s">
        <v>649</v>
      </c>
      <c r="C741" s="67"/>
      <c r="D741" s="68"/>
      <c r="E741" s="69"/>
      <c r="F741" s="70"/>
      <c r="G741" s="67"/>
      <c r="H741" s="71"/>
      <c r="I741" s="72"/>
      <c r="J741" s="72"/>
      <c r="K741" s="36"/>
      <c r="L741" s="79"/>
      <c r="M741" s="79"/>
      <c r="N741" s="74"/>
      <c r="O741" s="81" t="s">
        <v>694</v>
      </c>
      <c r="P741" s="83">
        <v>44463.780659722222</v>
      </c>
      <c r="Q741" s="81" t="s">
        <v>803</v>
      </c>
      <c r="R741" s="81"/>
      <c r="S741" s="81"/>
      <c r="T741" s="86" t="s">
        <v>649</v>
      </c>
      <c r="U741" s="84" t="str">
        <f>HYPERLINK("https://pbs.twimg.com/media/FAEa7dXVkAcjbKg.jpg")</f>
        <v>https://pbs.twimg.com/media/FAEa7dXVkAcjbKg.jpg</v>
      </c>
      <c r="V741" s="84" t="str">
        <f>HYPERLINK("https://pbs.twimg.com/media/FAEa7dXVkAcjbKg.jpg")</f>
        <v>https://pbs.twimg.com/media/FAEa7dXVkAcjbKg.jpg</v>
      </c>
      <c r="W741" s="83">
        <v>44463.780659722222</v>
      </c>
      <c r="X741" s="89">
        <v>44463</v>
      </c>
      <c r="Y741" s="86" t="s">
        <v>1271</v>
      </c>
      <c r="Z741" s="84" t="str">
        <f>HYPERLINK("https://twitter.com/jkzty/status/1441473545796669445")</f>
        <v>https://twitter.com/jkzty/status/1441473545796669445</v>
      </c>
      <c r="AA741" s="81"/>
      <c r="AB741" s="81"/>
      <c r="AC741" s="86" t="s">
        <v>1767</v>
      </c>
      <c r="AD741" s="81"/>
      <c r="AE741" s="81" t="b">
        <v>0</v>
      </c>
      <c r="AF741" s="81">
        <v>0</v>
      </c>
      <c r="AG741" s="86" t="s">
        <v>2084</v>
      </c>
      <c r="AH741" s="81" t="b">
        <v>0</v>
      </c>
      <c r="AI741" s="81" t="s">
        <v>2168</v>
      </c>
      <c r="AJ741" s="81"/>
      <c r="AK741" s="86" t="s">
        <v>2084</v>
      </c>
      <c r="AL741" s="81" t="b">
        <v>0</v>
      </c>
      <c r="AM741" s="81">
        <v>21</v>
      </c>
      <c r="AN741" s="86" t="s">
        <v>1847</v>
      </c>
      <c r="AO741" s="86" t="s">
        <v>2178</v>
      </c>
      <c r="AP741" s="81" t="b">
        <v>0</v>
      </c>
      <c r="AQ741" s="86" t="s">
        <v>1847</v>
      </c>
      <c r="AR741" s="81" t="s">
        <v>179</v>
      </c>
      <c r="AS741" s="81">
        <v>0</v>
      </c>
      <c r="AT741" s="81">
        <v>0</v>
      </c>
      <c r="AU741" s="81"/>
      <c r="AV741" s="81"/>
      <c r="AW741" s="81"/>
      <c r="AX741" s="81"/>
      <c r="AY741" s="81"/>
      <c r="AZ741" s="81"/>
      <c r="BA741" s="81"/>
      <c r="BB741" s="81"/>
    </row>
    <row r="742" spans="1:54" x14ac:dyDescent="0.35">
      <c r="A742" s="66" t="s">
        <v>430</v>
      </c>
      <c r="B742" s="66" t="s">
        <v>496</v>
      </c>
      <c r="C742" s="67"/>
      <c r="D742" s="68"/>
      <c r="E742" s="69"/>
      <c r="F742" s="70"/>
      <c r="G742" s="67"/>
      <c r="H742" s="71"/>
      <c r="I742" s="72"/>
      <c r="J742" s="72"/>
      <c r="K742" s="36"/>
      <c r="L742" s="79"/>
      <c r="M742" s="79"/>
      <c r="N742" s="74"/>
      <c r="O742" s="81" t="s">
        <v>693</v>
      </c>
      <c r="P742" s="83">
        <v>44463.780659722222</v>
      </c>
      <c r="Q742" s="81" t="s">
        <v>803</v>
      </c>
      <c r="R742" s="81"/>
      <c r="S742" s="81"/>
      <c r="T742" s="86" t="s">
        <v>649</v>
      </c>
      <c r="U742" s="84" t="str">
        <f>HYPERLINK("https://pbs.twimg.com/media/FAEa7dXVkAcjbKg.jpg")</f>
        <v>https://pbs.twimg.com/media/FAEa7dXVkAcjbKg.jpg</v>
      </c>
      <c r="V742" s="84" t="str">
        <f>HYPERLINK("https://pbs.twimg.com/media/FAEa7dXVkAcjbKg.jpg")</f>
        <v>https://pbs.twimg.com/media/FAEa7dXVkAcjbKg.jpg</v>
      </c>
      <c r="W742" s="83">
        <v>44463.780659722222</v>
      </c>
      <c r="X742" s="89">
        <v>44463</v>
      </c>
      <c r="Y742" s="86" t="s">
        <v>1271</v>
      </c>
      <c r="Z742" s="84" t="str">
        <f>HYPERLINK("https://twitter.com/jkzty/status/1441473545796669445")</f>
        <v>https://twitter.com/jkzty/status/1441473545796669445</v>
      </c>
      <c r="AA742" s="81"/>
      <c r="AB742" s="81"/>
      <c r="AC742" s="86" t="s">
        <v>1767</v>
      </c>
      <c r="AD742" s="81"/>
      <c r="AE742" s="81" t="b">
        <v>0</v>
      </c>
      <c r="AF742" s="81">
        <v>0</v>
      </c>
      <c r="AG742" s="86" t="s">
        <v>2084</v>
      </c>
      <c r="AH742" s="81" t="b">
        <v>0</v>
      </c>
      <c r="AI742" s="81" t="s">
        <v>2168</v>
      </c>
      <c r="AJ742" s="81"/>
      <c r="AK742" s="86" t="s">
        <v>2084</v>
      </c>
      <c r="AL742" s="81" t="b">
        <v>0</v>
      </c>
      <c r="AM742" s="81">
        <v>21</v>
      </c>
      <c r="AN742" s="86" t="s">
        <v>1847</v>
      </c>
      <c r="AO742" s="86" t="s">
        <v>2178</v>
      </c>
      <c r="AP742" s="81" t="b">
        <v>0</v>
      </c>
      <c r="AQ742" s="86" t="s">
        <v>1847</v>
      </c>
      <c r="AR742" s="81" t="s">
        <v>179</v>
      </c>
      <c r="AS742" s="81">
        <v>0</v>
      </c>
      <c r="AT742" s="81">
        <v>0</v>
      </c>
      <c r="AU742" s="81"/>
      <c r="AV742" s="81"/>
      <c r="AW742" s="81"/>
      <c r="AX742" s="81"/>
      <c r="AY742" s="81"/>
      <c r="AZ742" s="81"/>
      <c r="BA742" s="81"/>
      <c r="BB742" s="81"/>
    </row>
    <row r="743" spans="1:54" x14ac:dyDescent="0.35">
      <c r="A743" s="66" t="s">
        <v>4429</v>
      </c>
      <c r="B743" s="66" t="s">
        <v>5082</v>
      </c>
      <c r="C743" s="67"/>
      <c r="D743" s="68"/>
      <c r="E743" s="69"/>
      <c r="F743" s="70"/>
      <c r="G743" s="67"/>
      <c r="H743" s="71"/>
      <c r="I743" s="72"/>
      <c r="J743" s="72"/>
      <c r="K743" s="36"/>
      <c r="L743" s="79"/>
      <c r="M743" s="79"/>
      <c r="N743" s="74"/>
      <c r="O743" s="81" t="s">
        <v>695</v>
      </c>
      <c r="P743" s="83">
        <v>44463.788935185185</v>
      </c>
      <c r="Q743" s="81" t="s">
        <v>5432</v>
      </c>
      <c r="R743" s="81"/>
      <c r="S743" s="81"/>
      <c r="T743" s="81"/>
      <c r="U743" s="81"/>
      <c r="V743" s="84" t="str">
        <f>HYPERLINK("https://pbs.twimg.com/profile_images/1435445534039412748/BJr2Basj_normal.jpg")</f>
        <v>https://pbs.twimg.com/profile_images/1435445534039412748/BJr2Basj_normal.jpg</v>
      </c>
      <c r="W743" s="83">
        <v>44463.788935185185</v>
      </c>
      <c r="X743" s="89">
        <v>44463</v>
      </c>
      <c r="Y743" s="86" t="s">
        <v>6067</v>
      </c>
      <c r="Z743" s="84" t="str">
        <f>HYPERLINK("https://twitter.com/cintiapb2/status/1441476545575415812")</f>
        <v>https://twitter.com/cintiapb2/status/1441476545575415812</v>
      </c>
      <c r="AA743" s="81"/>
      <c r="AB743" s="81"/>
      <c r="AC743" s="86" t="s">
        <v>6970</v>
      </c>
      <c r="AD743" s="86" t="s">
        <v>7680</v>
      </c>
      <c r="AE743" s="81" t="b">
        <v>0</v>
      </c>
      <c r="AF743" s="81">
        <v>3</v>
      </c>
      <c r="AG743" s="86" t="s">
        <v>7859</v>
      </c>
      <c r="AH743" s="81" t="b">
        <v>0</v>
      </c>
      <c r="AI743" s="81" t="s">
        <v>2171</v>
      </c>
      <c r="AJ743" s="81"/>
      <c r="AK743" s="86" t="s">
        <v>2084</v>
      </c>
      <c r="AL743" s="81" t="b">
        <v>0</v>
      </c>
      <c r="AM743" s="81">
        <v>1</v>
      </c>
      <c r="AN743" s="86" t="s">
        <v>2084</v>
      </c>
      <c r="AO743" s="86" t="s">
        <v>2179</v>
      </c>
      <c r="AP743" s="81" t="b">
        <v>0</v>
      </c>
      <c r="AQ743" s="86" t="s">
        <v>7680</v>
      </c>
      <c r="AR743" s="81" t="s">
        <v>179</v>
      </c>
      <c r="AS743" s="81">
        <v>0</v>
      </c>
      <c r="AT743" s="81">
        <v>0</v>
      </c>
      <c r="AU743" s="81"/>
      <c r="AV743" s="81"/>
      <c r="AW743" s="81"/>
      <c r="AX743" s="81"/>
      <c r="AY743" s="81"/>
      <c r="AZ743" s="81"/>
      <c r="BA743" s="81"/>
      <c r="BB743" s="81"/>
    </row>
    <row r="744" spans="1:54" x14ac:dyDescent="0.35">
      <c r="A744" s="66" t="s">
        <v>4430</v>
      </c>
      <c r="B744" s="66" t="s">
        <v>4429</v>
      </c>
      <c r="C744" s="67"/>
      <c r="D744" s="68"/>
      <c r="E744" s="69"/>
      <c r="F744" s="70"/>
      <c r="G744" s="67"/>
      <c r="H744" s="71"/>
      <c r="I744" s="72"/>
      <c r="J744" s="72"/>
      <c r="K744" s="36"/>
      <c r="L744" s="79"/>
      <c r="M744" s="79"/>
      <c r="N744" s="74"/>
      <c r="O744" s="81" t="s">
        <v>693</v>
      </c>
      <c r="P744" s="83">
        <v>44463.789502314816</v>
      </c>
      <c r="Q744" s="81" t="s">
        <v>5432</v>
      </c>
      <c r="R744" s="81"/>
      <c r="S744" s="81"/>
      <c r="T744" s="81"/>
      <c r="U744" s="81"/>
      <c r="V744" s="84" t="str">
        <f>HYPERLINK("https://pbs.twimg.com/profile_images/1436190031430004736/au6BQ_Gd_normal.jpg")</f>
        <v>https://pbs.twimg.com/profile_images/1436190031430004736/au6BQ_Gd_normal.jpg</v>
      </c>
      <c r="W744" s="83">
        <v>44463.789502314816</v>
      </c>
      <c r="X744" s="89">
        <v>44463</v>
      </c>
      <c r="Y744" s="86" t="s">
        <v>6068</v>
      </c>
      <c r="Z744" s="84" t="str">
        <f>HYPERLINK("https://twitter.com/cruzdefesa/status/1441476751390040069")</f>
        <v>https://twitter.com/cruzdefesa/status/1441476751390040069</v>
      </c>
      <c r="AA744" s="81"/>
      <c r="AB744" s="81"/>
      <c r="AC744" s="86" t="s">
        <v>6971</v>
      </c>
      <c r="AD744" s="81"/>
      <c r="AE744" s="81" t="b">
        <v>0</v>
      </c>
      <c r="AF744" s="81">
        <v>0</v>
      </c>
      <c r="AG744" s="86" t="s">
        <v>2084</v>
      </c>
      <c r="AH744" s="81" t="b">
        <v>0</v>
      </c>
      <c r="AI744" s="81" t="s">
        <v>2171</v>
      </c>
      <c r="AJ744" s="81"/>
      <c r="AK744" s="86" t="s">
        <v>2084</v>
      </c>
      <c r="AL744" s="81" t="b">
        <v>0</v>
      </c>
      <c r="AM744" s="81">
        <v>1</v>
      </c>
      <c r="AN744" s="86" t="s">
        <v>6970</v>
      </c>
      <c r="AO744" s="86" t="s">
        <v>2178</v>
      </c>
      <c r="AP744" s="81" t="b">
        <v>0</v>
      </c>
      <c r="AQ744" s="86" t="s">
        <v>6970</v>
      </c>
      <c r="AR744" s="81" t="s">
        <v>179</v>
      </c>
      <c r="AS744" s="81">
        <v>0</v>
      </c>
      <c r="AT744" s="81">
        <v>0</v>
      </c>
      <c r="AU744" s="81"/>
      <c r="AV744" s="81"/>
      <c r="AW744" s="81"/>
      <c r="AX744" s="81"/>
      <c r="AY744" s="81"/>
      <c r="AZ744" s="81"/>
      <c r="BA744" s="81"/>
      <c r="BB744" s="81"/>
    </row>
    <row r="745" spans="1:54" x14ac:dyDescent="0.35">
      <c r="A745" s="66" t="s">
        <v>4430</v>
      </c>
      <c r="B745" s="66" t="s">
        <v>5082</v>
      </c>
      <c r="C745" s="67"/>
      <c r="D745" s="68"/>
      <c r="E745" s="69"/>
      <c r="F745" s="70"/>
      <c r="G745" s="67"/>
      <c r="H745" s="71"/>
      <c r="I745" s="72"/>
      <c r="J745" s="72"/>
      <c r="K745" s="36"/>
      <c r="L745" s="79"/>
      <c r="M745" s="79"/>
      <c r="N745" s="74"/>
      <c r="O745" s="81" t="s">
        <v>695</v>
      </c>
      <c r="P745" s="83">
        <v>44463.789502314816</v>
      </c>
      <c r="Q745" s="81" t="s">
        <v>5432</v>
      </c>
      <c r="R745" s="81"/>
      <c r="S745" s="81"/>
      <c r="T745" s="81"/>
      <c r="U745" s="81"/>
      <c r="V745" s="84" t="str">
        <f>HYPERLINK("https://pbs.twimg.com/profile_images/1436190031430004736/au6BQ_Gd_normal.jpg")</f>
        <v>https://pbs.twimg.com/profile_images/1436190031430004736/au6BQ_Gd_normal.jpg</v>
      </c>
      <c r="W745" s="83">
        <v>44463.789502314816</v>
      </c>
      <c r="X745" s="89">
        <v>44463</v>
      </c>
      <c r="Y745" s="86" t="s">
        <v>6068</v>
      </c>
      <c r="Z745" s="84" t="str">
        <f>HYPERLINK("https://twitter.com/cruzdefesa/status/1441476751390040069")</f>
        <v>https://twitter.com/cruzdefesa/status/1441476751390040069</v>
      </c>
      <c r="AA745" s="81"/>
      <c r="AB745" s="81"/>
      <c r="AC745" s="86" t="s">
        <v>6971</v>
      </c>
      <c r="AD745" s="81"/>
      <c r="AE745" s="81" t="b">
        <v>0</v>
      </c>
      <c r="AF745" s="81">
        <v>0</v>
      </c>
      <c r="AG745" s="86" t="s">
        <v>2084</v>
      </c>
      <c r="AH745" s="81" t="b">
        <v>0</v>
      </c>
      <c r="AI745" s="81" t="s">
        <v>2171</v>
      </c>
      <c r="AJ745" s="81"/>
      <c r="AK745" s="86" t="s">
        <v>2084</v>
      </c>
      <c r="AL745" s="81" t="b">
        <v>0</v>
      </c>
      <c r="AM745" s="81">
        <v>1</v>
      </c>
      <c r="AN745" s="86" t="s">
        <v>6970</v>
      </c>
      <c r="AO745" s="86" t="s">
        <v>2178</v>
      </c>
      <c r="AP745" s="81" t="b">
        <v>0</v>
      </c>
      <c r="AQ745" s="86" t="s">
        <v>6970</v>
      </c>
      <c r="AR745" s="81" t="s">
        <v>179</v>
      </c>
      <c r="AS745" s="81">
        <v>0</v>
      </c>
      <c r="AT745" s="81">
        <v>0</v>
      </c>
      <c r="AU745" s="81"/>
      <c r="AV745" s="81"/>
      <c r="AW745" s="81"/>
      <c r="AX745" s="81"/>
      <c r="AY745" s="81"/>
      <c r="AZ745" s="81"/>
      <c r="BA745" s="81"/>
      <c r="BB745" s="81"/>
    </row>
    <row r="746" spans="1:54" x14ac:dyDescent="0.35">
      <c r="A746" s="66" t="s">
        <v>4431</v>
      </c>
      <c r="B746" s="66" t="s">
        <v>4431</v>
      </c>
      <c r="C746" s="67"/>
      <c r="D746" s="68"/>
      <c r="E746" s="69"/>
      <c r="F746" s="70"/>
      <c r="G746" s="67"/>
      <c r="H746" s="71"/>
      <c r="I746" s="72"/>
      <c r="J746" s="72"/>
      <c r="K746" s="36"/>
      <c r="L746" s="79"/>
      <c r="M746" s="79"/>
      <c r="N746" s="74"/>
      <c r="O746" s="81" t="s">
        <v>179</v>
      </c>
      <c r="P746" s="83">
        <v>44463.712060185186</v>
      </c>
      <c r="Q746" s="81" t="s">
        <v>5433</v>
      </c>
      <c r="R746" s="81"/>
      <c r="S746" s="81"/>
      <c r="T746" s="81"/>
      <c r="U746" s="84" t="str">
        <f>HYPERLINK("https://pbs.twimg.com/media/FAEN8JKXsAAyTpN.jpg")</f>
        <v>https://pbs.twimg.com/media/FAEN8JKXsAAyTpN.jpg</v>
      </c>
      <c r="V746" s="84" t="str">
        <f>HYPERLINK("https://pbs.twimg.com/media/FAEN8JKXsAAyTpN.jpg")</f>
        <v>https://pbs.twimg.com/media/FAEN8JKXsAAyTpN.jpg</v>
      </c>
      <c r="W746" s="83">
        <v>44463.712060185186</v>
      </c>
      <c r="X746" s="89">
        <v>44463</v>
      </c>
      <c r="Y746" s="86" t="s">
        <v>6069</v>
      </c>
      <c r="Z746" s="84" t="str">
        <f>HYPERLINK("https://twitter.com/ciganosazul7/status/1441448685418672129")</f>
        <v>https://twitter.com/ciganosazul7/status/1441448685418672129</v>
      </c>
      <c r="AA746" s="81"/>
      <c r="AB746" s="81"/>
      <c r="AC746" s="86" t="s">
        <v>6972</v>
      </c>
      <c r="AD746" s="81"/>
      <c r="AE746" s="81" t="b">
        <v>0</v>
      </c>
      <c r="AF746" s="81">
        <v>3</v>
      </c>
      <c r="AG746" s="86" t="s">
        <v>2084</v>
      </c>
      <c r="AH746" s="81" t="b">
        <v>0</v>
      </c>
      <c r="AI746" s="81" t="s">
        <v>2171</v>
      </c>
      <c r="AJ746" s="81"/>
      <c r="AK746" s="86" t="s">
        <v>2084</v>
      </c>
      <c r="AL746" s="81" t="b">
        <v>0</v>
      </c>
      <c r="AM746" s="81">
        <v>1</v>
      </c>
      <c r="AN746" s="86" t="s">
        <v>2084</v>
      </c>
      <c r="AO746" s="86" t="s">
        <v>2178</v>
      </c>
      <c r="AP746" s="81" t="b">
        <v>0</v>
      </c>
      <c r="AQ746" s="86" t="s">
        <v>6972</v>
      </c>
      <c r="AR746" s="81" t="s">
        <v>179</v>
      </c>
      <c r="AS746" s="81">
        <v>0</v>
      </c>
      <c r="AT746" s="81">
        <v>0</v>
      </c>
      <c r="AU746" s="81"/>
      <c r="AV746" s="81"/>
      <c r="AW746" s="81"/>
      <c r="AX746" s="81"/>
      <c r="AY746" s="81"/>
      <c r="AZ746" s="81"/>
      <c r="BA746" s="81"/>
      <c r="BB746" s="81"/>
    </row>
    <row r="747" spans="1:54" x14ac:dyDescent="0.35">
      <c r="A747" s="66" t="s">
        <v>4432</v>
      </c>
      <c r="B747" s="66" t="s">
        <v>4431</v>
      </c>
      <c r="C747" s="67"/>
      <c r="D747" s="68"/>
      <c r="E747" s="69"/>
      <c r="F747" s="70"/>
      <c r="G747" s="67"/>
      <c r="H747" s="71"/>
      <c r="I747" s="72"/>
      <c r="J747" s="72"/>
      <c r="K747" s="36"/>
      <c r="L747" s="79"/>
      <c r="M747" s="79"/>
      <c r="N747" s="74"/>
      <c r="O747" s="81" t="s">
        <v>693</v>
      </c>
      <c r="P747" s="83">
        <v>44463.793877314813</v>
      </c>
      <c r="Q747" s="81" t="s">
        <v>5433</v>
      </c>
      <c r="R747" s="81"/>
      <c r="S747" s="81"/>
      <c r="T747" s="81"/>
      <c r="U747" s="84" t="str">
        <f>HYPERLINK("https://pbs.twimg.com/media/FAEN8JKXsAAyTpN.jpg")</f>
        <v>https://pbs.twimg.com/media/FAEN8JKXsAAyTpN.jpg</v>
      </c>
      <c r="V747" s="84" t="str">
        <f>HYPERLINK("https://pbs.twimg.com/media/FAEN8JKXsAAyTpN.jpg")</f>
        <v>https://pbs.twimg.com/media/FAEN8JKXsAAyTpN.jpg</v>
      </c>
      <c r="W747" s="83">
        <v>44463.793877314813</v>
      </c>
      <c r="X747" s="89">
        <v>44463</v>
      </c>
      <c r="Y747" s="86" t="s">
        <v>6070</v>
      </c>
      <c r="Z747" s="84" t="str">
        <f>HYPERLINK("https://twitter.com/nailizarbxov/status/1441478334991503361")</f>
        <v>https://twitter.com/nailizarbxov/status/1441478334991503361</v>
      </c>
      <c r="AA747" s="81"/>
      <c r="AB747" s="81"/>
      <c r="AC747" s="86" t="s">
        <v>6973</v>
      </c>
      <c r="AD747" s="81"/>
      <c r="AE747" s="81" t="b">
        <v>0</v>
      </c>
      <c r="AF747" s="81">
        <v>0</v>
      </c>
      <c r="AG747" s="86" t="s">
        <v>2084</v>
      </c>
      <c r="AH747" s="81" t="b">
        <v>0</v>
      </c>
      <c r="AI747" s="81" t="s">
        <v>2171</v>
      </c>
      <c r="AJ747" s="81"/>
      <c r="AK747" s="86" t="s">
        <v>2084</v>
      </c>
      <c r="AL747" s="81" t="b">
        <v>0</v>
      </c>
      <c r="AM747" s="81">
        <v>1</v>
      </c>
      <c r="AN747" s="86" t="s">
        <v>6972</v>
      </c>
      <c r="AO747" s="86" t="s">
        <v>2181</v>
      </c>
      <c r="AP747" s="81" t="b">
        <v>0</v>
      </c>
      <c r="AQ747" s="86" t="s">
        <v>6972</v>
      </c>
      <c r="AR747" s="81" t="s">
        <v>179</v>
      </c>
      <c r="AS747" s="81">
        <v>0</v>
      </c>
      <c r="AT747" s="81">
        <v>0</v>
      </c>
      <c r="AU747" s="81"/>
      <c r="AV747" s="81"/>
      <c r="AW747" s="81"/>
      <c r="AX747" s="81"/>
      <c r="AY747" s="81"/>
      <c r="AZ747" s="81"/>
      <c r="BA747" s="81"/>
      <c r="BB747" s="81"/>
    </row>
    <row r="748" spans="1:54" x14ac:dyDescent="0.35">
      <c r="A748" s="66" t="s">
        <v>431</v>
      </c>
      <c r="B748" s="66" t="s">
        <v>646</v>
      </c>
      <c r="C748" s="67"/>
      <c r="D748" s="68"/>
      <c r="E748" s="69"/>
      <c r="F748" s="70"/>
      <c r="G748" s="67"/>
      <c r="H748" s="71"/>
      <c r="I748" s="72"/>
      <c r="J748" s="72"/>
      <c r="K748" s="36"/>
      <c r="L748" s="79"/>
      <c r="M748" s="79"/>
      <c r="N748" s="74"/>
      <c r="O748" s="81" t="s">
        <v>694</v>
      </c>
      <c r="P748" s="83">
        <v>44463.815798611111</v>
      </c>
      <c r="Q748" s="81" t="s">
        <v>803</v>
      </c>
      <c r="R748" s="81"/>
      <c r="S748" s="81"/>
      <c r="T748" s="86" t="s">
        <v>649</v>
      </c>
      <c r="U748" s="84" t="str">
        <f>HYPERLINK("https://pbs.twimg.com/media/FAEa7dXVkAcjbKg.jpg")</f>
        <v>https://pbs.twimg.com/media/FAEa7dXVkAcjbKg.jpg</v>
      </c>
      <c r="V748" s="84" t="str">
        <f>HYPERLINK("https://pbs.twimg.com/media/FAEa7dXVkAcjbKg.jpg")</f>
        <v>https://pbs.twimg.com/media/FAEa7dXVkAcjbKg.jpg</v>
      </c>
      <c r="W748" s="83">
        <v>44463.815798611111</v>
      </c>
      <c r="X748" s="89">
        <v>44463</v>
      </c>
      <c r="Y748" s="86" t="s">
        <v>1272</v>
      </c>
      <c r="Z748" s="84" t="str">
        <f>HYPERLINK("https://twitter.com/seaguling/status/1441486279678431235")</f>
        <v>https://twitter.com/seaguling/status/1441486279678431235</v>
      </c>
      <c r="AA748" s="81"/>
      <c r="AB748" s="81"/>
      <c r="AC748" s="86" t="s">
        <v>1768</v>
      </c>
      <c r="AD748" s="81"/>
      <c r="AE748" s="81" t="b">
        <v>0</v>
      </c>
      <c r="AF748" s="81">
        <v>0</v>
      </c>
      <c r="AG748" s="86" t="s">
        <v>2084</v>
      </c>
      <c r="AH748" s="81" t="b">
        <v>0</v>
      </c>
      <c r="AI748" s="81" t="s">
        <v>2168</v>
      </c>
      <c r="AJ748" s="81"/>
      <c r="AK748" s="86" t="s">
        <v>2084</v>
      </c>
      <c r="AL748" s="81" t="b">
        <v>0</v>
      </c>
      <c r="AM748" s="81">
        <v>21</v>
      </c>
      <c r="AN748" s="86" t="s">
        <v>1847</v>
      </c>
      <c r="AO748" s="86" t="s">
        <v>2179</v>
      </c>
      <c r="AP748" s="81" t="b">
        <v>0</v>
      </c>
      <c r="AQ748" s="86" t="s">
        <v>1847</v>
      </c>
      <c r="AR748" s="81" t="s">
        <v>179</v>
      </c>
      <c r="AS748" s="81">
        <v>0</v>
      </c>
      <c r="AT748" s="81">
        <v>0</v>
      </c>
      <c r="AU748" s="81"/>
      <c r="AV748" s="81"/>
      <c r="AW748" s="81"/>
      <c r="AX748" s="81"/>
      <c r="AY748" s="81"/>
      <c r="AZ748" s="81"/>
      <c r="BA748" s="81"/>
      <c r="BB748" s="81"/>
    </row>
    <row r="749" spans="1:54" x14ac:dyDescent="0.35">
      <c r="A749" s="66" t="s">
        <v>431</v>
      </c>
      <c r="B749" s="66" t="s">
        <v>647</v>
      </c>
      <c r="C749" s="67"/>
      <c r="D749" s="68"/>
      <c r="E749" s="69"/>
      <c r="F749" s="70"/>
      <c r="G749" s="67"/>
      <c r="H749" s="71"/>
      <c r="I749" s="72"/>
      <c r="J749" s="72"/>
      <c r="K749" s="36"/>
      <c r="L749" s="79"/>
      <c r="M749" s="79"/>
      <c r="N749" s="74"/>
      <c r="O749" s="81" t="s">
        <v>694</v>
      </c>
      <c r="P749" s="83">
        <v>44463.815798611111</v>
      </c>
      <c r="Q749" s="81" t="s">
        <v>803</v>
      </c>
      <c r="R749" s="81"/>
      <c r="S749" s="81"/>
      <c r="T749" s="86" t="s">
        <v>649</v>
      </c>
      <c r="U749" s="84" t="str">
        <f>HYPERLINK("https://pbs.twimg.com/media/FAEa7dXVkAcjbKg.jpg")</f>
        <v>https://pbs.twimg.com/media/FAEa7dXVkAcjbKg.jpg</v>
      </c>
      <c r="V749" s="84" t="str">
        <f>HYPERLINK("https://pbs.twimg.com/media/FAEa7dXVkAcjbKg.jpg")</f>
        <v>https://pbs.twimg.com/media/FAEa7dXVkAcjbKg.jpg</v>
      </c>
      <c r="W749" s="83">
        <v>44463.815798611111</v>
      </c>
      <c r="X749" s="89">
        <v>44463</v>
      </c>
      <c r="Y749" s="86" t="s">
        <v>1272</v>
      </c>
      <c r="Z749" s="84" t="str">
        <f>HYPERLINK("https://twitter.com/seaguling/status/1441486279678431235")</f>
        <v>https://twitter.com/seaguling/status/1441486279678431235</v>
      </c>
      <c r="AA749" s="81"/>
      <c r="AB749" s="81"/>
      <c r="AC749" s="86" t="s">
        <v>1768</v>
      </c>
      <c r="AD749" s="81"/>
      <c r="AE749" s="81" t="b">
        <v>0</v>
      </c>
      <c r="AF749" s="81">
        <v>0</v>
      </c>
      <c r="AG749" s="86" t="s">
        <v>2084</v>
      </c>
      <c r="AH749" s="81" t="b">
        <v>0</v>
      </c>
      <c r="AI749" s="81" t="s">
        <v>2168</v>
      </c>
      <c r="AJ749" s="81"/>
      <c r="AK749" s="86" t="s">
        <v>2084</v>
      </c>
      <c r="AL749" s="81" t="b">
        <v>0</v>
      </c>
      <c r="AM749" s="81">
        <v>21</v>
      </c>
      <c r="AN749" s="86" t="s">
        <v>1847</v>
      </c>
      <c r="AO749" s="86" t="s">
        <v>2179</v>
      </c>
      <c r="AP749" s="81" t="b">
        <v>0</v>
      </c>
      <c r="AQ749" s="86" t="s">
        <v>1847</v>
      </c>
      <c r="AR749" s="81" t="s">
        <v>179</v>
      </c>
      <c r="AS749" s="81">
        <v>0</v>
      </c>
      <c r="AT749" s="81">
        <v>0</v>
      </c>
      <c r="AU749" s="81"/>
      <c r="AV749" s="81"/>
      <c r="AW749" s="81"/>
      <c r="AX749" s="81"/>
      <c r="AY749" s="81"/>
      <c r="AZ749" s="81"/>
      <c r="BA749" s="81"/>
      <c r="BB749" s="81"/>
    </row>
    <row r="750" spans="1:54" x14ac:dyDescent="0.35">
      <c r="A750" s="66" t="s">
        <v>431</v>
      </c>
      <c r="B750" s="66" t="s">
        <v>648</v>
      </c>
      <c r="C750" s="67"/>
      <c r="D750" s="68"/>
      <c r="E750" s="69"/>
      <c r="F750" s="70"/>
      <c r="G750" s="67"/>
      <c r="H750" s="71"/>
      <c r="I750" s="72"/>
      <c r="J750" s="72"/>
      <c r="K750" s="36"/>
      <c r="L750" s="79"/>
      <c r="M750" s="79"/>
      <c r="N750" s="74"/>
      <c r="O750" s="81" t="s">
        <v>694</v>
      </c>
      <c r="P750" s="83">
        <v>44463.815798611111</v>
      </c>
      <c r="Q750" s="81" t="s">
        <v>803</v>
      </c>
      <c r="R750" s="81"/>
      <c r="S750" s="81"/>
      <c r="T750" s="86" t="s">
        <v>649</v>
      </c>
      <c r="U750" s="84" t="str">
        <f>HYPERLINK("https://pbs.twimg.com/media/FAEa7dXVkAcjbKg.jpg")</f>
        <v>https://pbs.twimg.com/media/FAEa7dXVkAcjbKg.jpg</v>
      </c>
      <c r="V750" s="84" t="str">
        <f>HYPERLINK("https://pbs.twimg.com/media/FAEa7dXVkAcjbKg.jpg")</f>
        <v>https://pbs.twimg.com/media/FAEa7dXVkAcjbKg.jpg</v>
      </c>
      <c r="W750" s="83">
        <v>44463.815798611111</v>
      </c>
      <c r="X750" s="89">
        <v>44463</v>
      </c>
      <c r="Y750" s="86" t="s">
        <v>1272</v>
      </c>
      <c r="Z750" s="84" t="str">
        <f>HYPERLINK("https://twitter.com/seaguling/status/1441486279678431235")</f>
        <v>https://twitter.com/seaguling/status/1441486279678431235</v>
      </c>
      <c r="AA750" s="81"/>
      <c r="AB750" s="81"/>
      <c r="AC750" s="86" t="s">
        <v>1768</v>
      </c>
      <c r="AD750" s="81"/>
      <c r="AE750" s="81" t="b">
        <v>0</v>
      </c>
      <c r="AF750" s="81">
        <v>0</v>
      </c>
      <c r="AG750" s="86" t="s">
        <v>2084</v>
      </c>
      <c r="AH750" s="81" t="b">
        <v>0</v>
      </c>
      <c r="AI750" s="81" t="s">
        <v>2168</v>
      </c>
      <c r="AJ750" s="81"/>
      <c r="AK750" s="86" t="s">
        <v>2084</v>
      </c>
      <c r="AL750" s="81" t="b">
        <v>0</v>
      </c>
      <c r="AM750" s="81">
        <v>21</v>
      </c>
      <c r="AN750" s="86" t="s">
        <v>1847</v>
      </c>
      <c r="AO750" s="86" t="s">
        <v>2179</v>
      </c>
      <c r="AP750" s="81" t="b">
        <v>0</v>
      </c>
      <c r="AQ750" s="86" t="s">
        <v>1847</v>
      </c>
      <c r="AR750" s="81" t="s">
        <v>179</v>
      </c>
      <c r="AS750" s="81">
        <v>0</v>
      </c>
      <c r="AT750" s="81">
        <v>0</v>
      </c>
      <c r="AU750" s="81"/>
      <c r="AV750" s="81"/>
      <c r="AW750" s="81"/>
      <c r="AX750" s="81"/>
      <c r="AY750" s="81"/>
      <c r="AZ750" s="81"/>
      <c r="BA750" s="81"/>
      <c r="BB750" s="81"/>
    </row>
    <row r="751" spans="1:54" x14ac:dyDescent="0.35">
      <c r="A751" s="66" t="s">
        <v>431</v>
      </c>
      <c r="B751" s="66" t="s">
        <v>649</v>
      </c>
      <c r="C751" s="67"/>
      <c r="D751" s="68"/>
      <c r="E751" s="69"/>
      <c r="F751" s="70"/>
      <c r="G751" s="67"/>
      <c r="H751" s="71"/>
      <c r="I751" s="72"/>
      <c r="J751" s="72"/>
      <c r="K751" s="36"/>
      <c r="L751" s="79"/>
      <c r="M751" s="79"/>
      <c r="N751" s="74"/>
      <c r="O751" s="81" t="s">
        <v>694</v>
      </c>
      <c r="P751" s="83">
        <v>44463.815798611111</v>
      </c>
      <c r="Q751" s="81" t="s">
        <v>803</v>
      </c>
      <c r="R751" s="81"/>
      <c r="S751" s="81"/>
      <c r="T751" s="86" t="s">
        <v>649</v>
      </c>
      <c r="U751" s="84" t="str">
        <f>HYPERLINK("https://pbs.twimg.com/media/FAEa7dXVkAcjbKg.jpg")</f>
        <v>https://pbs.twimg.com/media/FAEa7dXVkAcjbKg.jpg</v>
      </c>
      <c r="V751" s="84" t="str">
        <f>HYPERLINK("https://pbs.twimg.com/media/FAEa7dXVkAcjbKg.jpg")</f>
        <v>https://pbs.twimg.com/media/FAEa7dXVkAcjbKg.jpg</v>
      </c>
      <c r="W751" s="83">
        <v>44463.815798611111</v>
      </c>
      <c r="X751" s="89">
        <v>44463</v>
      </c>
      <c r="Y751" s="86" t="s">
        <v>1272</v>
      </c>
      <c r="Z751" s="84" t="str">
        <f>HYPERLINK("https://twitter.com/seaguling/status/1441486279678431235")</f>
        <v>https://twitter.com/seaguling/status/1441486279678431235</v>
      </c>
      <c r="AA751" s="81"/>
      <c r="AB751" s="81"/>
      <c r="AC751" s="86" t="s">
        <v>1768</v>
      </c>
      <c r="AD751" s="81"/>
      <c r="AE751" s="81" t="b">
        <v>0</v>
      </c>
      <c r="AF751" s="81">
        <v>0</v>
      </c>
      <c r="AG751" s="86" t="s">
        <v>2084</v>
      </c>
      <c r="AH751" s="81" t="b">
        <v>0</v>
      </c>
      <c r="AI751" s="81" t="s">
        <v>2168</v>
      </c>
      <c r="AJ751" s="81"/>
      <c r="AK751" s="86" t="s">
        <v>2084</v>
      </c>
      <c r="AL751" s="81" t="b">
        <v>0</v>
      </c>
      <c r="AM751" s="81">
        <v>21</v>
      </c>
      <c r="AN751" s="86" t="s">
        <v>1847</v>
      </c>
      <c r="AO751" s="86" t="s">
        <v>2179</v>
      </c>
      <c r="AP751" s="81" t="b">
        <v>0</v>
      </c>
      <c r="AQ751" s="86" t="s">
        <v>1847</v>
      </c>
      <c r="AR751" s="81" t="s">
        <v>179</v>
      </c>
      <c r="AS751" s="81">
        <v>0</v>
      </c>
      <c r="AT751" s="81">
        <v>0</v>
      </c>
      <c r="AU751" s="81"/>
      <c r="AV751" s="81"/>
      <c r="AW751" s="81"/>
      <c r="AX751" s="81"/>
      <c r="AY751" s="81"/>
      <c r="AZ751" s="81"/>
      <c r="BA751" s="81"/>
      <c r="BB751" s="81"/>
    </row>
    <row r="752" spans="1:54" x14ac:dyDescent="0.35">
      <c r="A752" s="66" t="s">
        <v>431</v>
      </c>
      <c r="B752" s="66" t="s">
        <v>496</v>
      </c>
      <c r="C752" s="67"/>
      <c r="D752" s="68"/>
      <c r="E752" s="69"/>
      <c r="F752" s="70"/>
      <c r="G752" s="67"/>
      <c r="H752" s="71"/>
      <c r="I752" s="72"/>
      <c r="J752" s="72"/>
      <c r="K752" s="36"/>
      <c r="L752" s="79"/>
      <c r="M752" s="79"/>
      <c r="N752" s="74"/>
      <c r="O752" s="81" t="s">
        <v>693</v>
      </c>
      <c r="P752" s="83">
        <v>44463.815798611111</v>
      </c>
      <c r="Q752" s="81" t="s">
        <v>803</v>
      </c>
      <c r="R752" s="81"/>
      <c r="S752" s="81"/>
      <c r="T752" s="86" t="s">
        <v>649</v>
      </c>
      <c r="U752" s="84" t="str">
        <f>HYPERLINK("https://pbs.twimg.com/media/FAEa7dXVkAcjbKg.jpg")</f>
        <v>https://pbs.twimg.com/media/FAEa7dXVkAcjbKg.jpg</v>
      </c>
      <c r="V752" s="84" t="str">
        <f>HYPERLINK("https://pbs.twimg.com/media/FAEa7dXVkAcjbKg.jpg")</f>
        <v>https://pbs.twimg.com/media/FAEa7dXVkAcjbKg.jpg</v>
      </c>
      <c r="W752" s="83">
        <v>44463.815798611111</v>
      </c>
      <c r="X752" s="89">
        <v>44463</v>
      </c>
      <c r="Y752" s="86" t="s">
        <v>1272</v>
      </c>
      <c r="Z752" s="84" t="str">
        <f>HYPERLINK("https://twitter.com/seaguling/status/1441486279678431235")</f>
        <v>https://twitter.com/seaguling/status/1441486279678431235</v>
      </c>
      <c r="AA752" s="81"/>
      <c r="AB752" s="81"/>
      <c r="AC752" s="86" t="s">
        <v>1768</v>
      </c>
      <c r="AD752" s="81"/>
      <c r="AE752" s="81" t="b">
        <v>0</v>
      </c>
      <c r="AF752" s="81">
        <v>0</v>
      </c>
      <c r="AG752" s="86" t="s">
        <v>2084</v>
      </c>
      <c r="AH752" s="81" t="b">
        <v>0</v>
      </c>
      <c r="AI752" s="81" t="s">
        <v>2168</v>
      </c>
      <c r="AJ752" s="81"/>
      <c r="AK752" s="86" t="s">
        <v>2084</v>
      </c>
      <c r="AL752" s="81" t="b">
        <v>0</v>
      </c>
      <c r="AM752" s="81">
        <v>21</v>
      </c>
      <c r="AN752" s="86" t="s">
        <v>1847</v>
      </c>
      <c r="AO752" s="86" t="s">
        <v>2179</v>
      </c>
      <c r="AP752" s="81" t="b">
        <v>0</v>
      </c>
      <c r="AQ752" s="86" t="s">
        <v>1847</v>
      </c>
      <c r="AR752" s="81" t="s">
        <v>179</v>
      </c>
      <c r="AS752" s="81">
        <v>0</v>
      </c>
      <c r="AT752" s="81">
        <v>0</v>
      </c>
      <c r="AU752" s="81"/>
      <c r="AV752" s="81"/>
      <c r="AW752" s="81"/>
      <c r="AX752" s="81"/>
      <c r="AY752" s="81"/>
      <c r="AZ752" s="81"/>
      <c r="BA752" s="81"/>
      <c r="BB752" s="81"/>
    </row>
    <row r="753" spans="1:54" x14ac:dyDescent="0.35">
      <c r="A753" s="66" t="s">
        <v>432</v>
      </c>
      <c r="B753" s="66" t="s">
        <v>646</v>
      </c>
      <c r="C753" s="67"/>
      <c r="D753" s="68"/>
      <c r="E753" s="69"/>
      <c r="F753" s="70"/>
      <c r="G753" s="67"/>
      <c r="H753" s="71"/>
      <c r="I753" s="72"/>
      <c r="J753" s="72"/>
      <c r="K753" s="36"/>
      <c r="L753" s="79"/>
      <c r="M753" s="79"/>
      <c r="N753" s="74"/>
      <c r="O753" s="81" t="s">
        <v>694</v>
      </c>
      <c r="P753" s="83">
        <v>44463.832592592589</v>
      </c>
      <c r="Q753" s="81" t="s">
        <v>802</v>
      </c>
      <c r="R753" s="81"/>
      <c r="S753" s="81"/>
      <c r="T753" s="86" t="s">
        <v>649</v>
      </c>
      <c r="U753" s="84" t="str">
        <f>HYPERLINK("https://pbs.twimg.com/media/FAEa_mFUYAcoKUu.jpg")</f>
        <v>https://pbs.twimg.com/media/FAEa_mFUYAcoKUu.jpg</v>
      </c>
      <c r="V753" s="84" t="str">
        <f>HYPERLINK("https://pbs.twimg.com/media/FAEa_mFUYAcoKUu.jpg")</f>
        <v>https://pbs.twimg.com/media/FAEa_mFUYAcoKUu.jpg</v>
      </c>
      <c r="W753" s="83">
        <v>44463.832592592589</v>
      </c>
      <c r="X753" s="89">
        <v>44463</v>
      </c>
      <c r="Y753" s="86" t="s">
        <v>1273</v>
      </c>
      <c r="Z753" s="84" t="str">
        <f>HYPERLINK("https://twitter.com/tinyyyjungwon/status/1441492364632068097")</f>
        <v>https://twitter.com/tinyyyjungwon/status/1441492364632068097</v>
      </c>
      <c r="AA753" s="81"/>
      <c r="AB753" s="81"/>
      <c r="AC753" s="86" t="s">
        <v>1769</v>
      </c>
      <c r="AD753" s="81"/>
      <c r="AE753" s="81" t="b">
        <v>0</v>
      </c>
      <c r="AF753" s="81">
        <v>0</v>
      </c>
      <c r="AG753" s="86" t="s">
        <v>2084</v>
      </c>
      <c r="AH753" s="81" t="b">
        <v>0</v>
      </c>
      <c r="AI753" s="81" t="s">
        <v>2168</v>
      </c>
      <c r="AJ753" s="81"/>
      <c r="AK753" s="86" t="s">
        <v>2084</v>
      </c>
      <c r="AL753" s="81" t="b">
        <v>0</v>
      </c>
      <c r="AM753" s="81">
        <v>24</v>
      </c>
      <c r="AN753" s="86" t="s">
        <v>1848</v>
      </c>
      <c r="AO753" s="86" t="s">
        <v>2179</v>
      </c>
      <c r="AP753" s="81" t="b">
        <v>0</v>
      </c>
      <c r="AQ753" s="86" t="s">
        <v>1848</v>
      </c>
      <c r="AR753" s="81" t="s">
        <v>179</v>
      </c>
      <c r="AS753" s="81">
        <v>0</v>
      </c>
      <c r="AT753" s="81">
        <v>0</v>
      </c>
      <c r="AU753" s="81"/>
      <c r="AV753" s="81"/>
      <c r="AW753" s="81"/>
      <c r="AX753" s="81"/>
      <c r="AY753" s="81"/>
      <c r="AZ753" s="81"/>
      <c r="BA753" s="81"/>
      <c r="BB753" s="81"/>
    </row>
    <row r="754" spans="1:54" x14ac:dyDescent="0.35">
      <c r="A754" s="66" t="s">
        <v>432</v>
      </c>
      <c r="B754" s="66" t="s">
        <v>647</v>
      </c>
      <c r="C754" s="67"/>
      <c r="D754" s="68"/>
      <c r="E754" s="69"/>
      <c r="F754" s="70"/>
      <c r="G754" s="67"/>
      <c r="H754" s="71"/>
      <c r="I754" s="72"/>
      <c r="J754" s="72"/>
      <c r="K754" s="36"/>
      <c r="L754" s="79"/>
      <c r="M754" s="79"/>
      <c r="N754" s="74"/>
      <c r="O754" s="81" t="s">
        <v>694</v>
      </c>
      <c r="P754" s="83">
        <v>44463.832592592589</v>
      </c>
      <c r="Q754" s="81" t="s">
        <v>802</v>
      </c>
      <c r="R754" s="81"/>
      <c r="S754" s="81"/>
      <c r="T754" s="86" t="s">
        <v>649</v>
      </c>
      <c r="U754" s="84" t="str">
        <f>HYPERLINK("https://pbs.twimg.com/media/FAEa_mFUYAcoKUu.jpg")</f>
        <v>https://pbs.twimg.com/media/FAEa_mFUYAcoKUu.jpg</v>
      </c>
      <c r="V754" s="84" t="str">
        <f>HYPERLINK("https://pbs.twimg.com/media/FAEa_mFUYAcoKUu.jpg")</f>
        <v>https://pbs.twimg.com/media/FAEa_mFUYAcoKUu.jpg</v>
      </c>
      <c r="W754" s="83">
        <v>44463.832592592589</v>
      </c>
      <c r="X754" s="89">
        <v>44463</v>
      </c>
      <c r="Y754" s="86" t="s">
        <v>1273</v>
      </c>
      <c r="Z754" s="84" t="str">
        <f>HYPERLINK("https://twitter.com/tinyyyjungwon/status/1441492364632068097")</f>
        <v>https://twitter.com/tinyyyjungwon/status/1441492364632068097</v>
      </c>
      <c r="AA754" s="81"/>
      <c r="AB754" s="81"/>
      <c r="AC754" s="86" t="s">
        <v>1769</v>
      </c>
      <c r="AD754" s="81"/>
      <c r="AE754" s="81" t="b">
        <v>0</v>
      </c>
      <c r="AF754" s="81">
        <v>0</v>
      </c>
      <c r="AG754" s="86" t="s">
        <v>2084</v>
      </c>
      <c r="AH754" s="81" t="b">
        <v>0</v>
      </c>
      <c r="AI754" s="81" t="s">
        <v>2168</v>
      </c>
      <c r="AJ754" s="81"/>
      <c r="AK754" s="86" t="s">
        <v>2084</v>
      </c>
      <c r="AL754" s="81" t="b">
        <v>0</v>
      </c>
      <c r="AM754" s="81">
        <v>24</v>
      </c>
      <c r="AN754" s="86" t="s">
        <v>1848</v>
      </c>
      <c r="AO754" s="86" t="s">
        <v>2179</v>
      </c>
      <c r="AP754" s="81" t="b">
        <v>0</v>
      </c>
      <c r="AQ754" s="86" t="s">
        <v>1848</v>
      </c>
      <c r="AR754" s="81" t="s">
        <v>179</v>
      </c>
      <c r="AS754" s="81">
        <v>0</v>
      </c>
      <c r="AT754" s="81">
        <v>0</v>
      </c>
      <c r="AU754" s="81"/>
      <c r="AV754" s="81"/>
      <c r="AW754" s="81"/>
      <c r="AX754" s="81"/>
      <c r="AY754" s="81"/>
      <c r="AZ754" s="81"/>
      <c r="BA754" s="81"/>
      <c r="BB754" s="81"/>
    </row>
    <row r="755" spans="1:54" x14ac:dyDescent="0.35">
      <c r="A755" s="66" t="s">
        <v>432</v>
      </c>
      <c r="B755" s="66" t="s">
        <v>648</v>
      </c>
      <c r="C755" s="67"/>
      <c r="D755" s="68"/>
      <c r="E755" s="69"/>
      <c r="F755" s="70"/>
      <c r="G755" s="67"/>
      <c r="H755" s="71"/>
      <c r="I755" s="72"/>
      <c r="J755" s="72"/>
      <c r="K755" s="36"/>
      <c r="L755" s="79"/>
      <c r="M755" s="79"/>
      <c r="N755" s="74"/>
      <c r="O755" s="81" t="s">
        <v>694</v>
      </c>
      <c r="P755" s="83">
        <v>44463.832592592589</v>
      </c>
      <c r="Q755" s="81" t="s">
        <v>802</v>
      </c>
      <c r="R755" s="81"/>
      <c r="S755" s="81"/>
      <c r="T755" s="86" t="s">
        <v>649</v>
      </c>
      <c r="U755" s="84" t="str">
        <f>HYPERLINK("https://pbs.twimg.com/media/FAEa_mFUYAcoKUu.jpg")</f>
        <v>https://pbs.twimg.com/media/FAEa_mFUYAcoKUu.jpg</v>
      </c>
      <c r="V755" s="84" t="str">
        <f>HYPERLINK("https://pbs.twimg.com/media/FAEa_mFUYAcoKUu.jpg")</f>
        <v>https://pbs.twimg.com/media/FAEa_mFUYAcoKUu.jpg</v>
      </c>
      <c r="W755" s="83">
        <v>44463.832592592589</v>
      </c>
      <c r="X755" s="89">
        <v>44463</v>
      </c>
      <c r="Y755" s="86" t="s">
        <v>1273</v>
      </c>
      <c r="Z755" s="84" t="str">
        <f>HYPERLINK("https://twitter.com/tinyyyjungwon/status/1441492364632068097")</f>
        <v>https://twitter.com/tinyyyjungwon/status/1441492364632068097</v>
      </c>
      <c r="AA755" s="81"/>
      <c r="AB755" s="81"/>
      <c r="AC755" s="86" t="s">
        <v>1769</v>
      </c>
      <c r="AD755" s="81"/>
      <c r="AE755" s="81" t="b">
        <v>0</v>
      </c>
      <c r="AF755" s="81">
        <v>0</v>
      </c>
      <c r="AG755" s="86" t="s">
        <v>2084</v>
      </c>
      <c r="AH755" s="81" t="b">
        <v>0</v>
      </c>
      <c r="AI755" s="81" t="s">
        <v>2168</v>
      </c>
      <c r="AJ755" s="81"/>
      <c r="AK755" s="86" t="s">
        <v>2084</v>
      </c>
      <c r="AL755" s="81" t="b">
        <v>0</v>
      </c>
      <c r="AM755" s="81">
        <v>24</v>
      </c>
      <c r="AN755" s="86" t="s">
        <v>1848</v>
      </c>
      <c r="AO755" s="86" t="s">
        <v>2179</v>
      </c>
      <c r="AP755" s="81" t="b">
        <v>0</v>
      </c>
      <c r="AQ755" s="86" t="s">
        <v>1848</v>
      </c>
      <c r="AR755" s="81" t="s">
        <v>179</v>
      </c>
      <c r="AS755" s="81">
        <v>0</v>
      </c>
      <c r="AT755" s="81">
        <v>0</v>
      </c>
      <c r="AU755" s="81"/>
      <c r="AV755" s="81"/>
      <c r="AW755" s="81"/>
      <c r="AX755" s="81"/>
      <c r="AY755" s="81"/>
      <c r="AZ755" s="81"/>
      <c r="BA755" s="81"/>
      <c r="BB755" s="81"/>
    </row>
    <row r="756" spans="1:54" x14ac:dyDescent="0.35">
      <c r="A756" s="66" t="s">
        <v>432</v>
      </c>
      <c r="B756" s="66" t="s">
        <v>649</v>
      </c>
      <c r="C756" s="67"/>
      <c r="D756" s="68"/>
      <c r="E756" s="69"/>
      <c r="F756" s="70"/>
      <c r="G756" s="67"/>
      <c r="H756" s="71"/>
      <c r="I756" s="72"/>
      <c r="J756" s="72"/>
      <c r="K756" s="36"/>
      <c r="L756" s="79"/>
      <c r="M756" s="79"/>
      <c r="N756" s="74"/>
      <c r="O756" s="81" t="s">
        <v>694</v>
      </c>
      <c r="P756" s="83">
        <v>44463.832592592589</v>
      </c>
      <c r="Q756" s="81" t="s">
        <v>802</v>
      </c>
      <c r="R756" s="81"/>
      <c r="S756" s="81"/>
      <c r="T756" s="86" t="s">
        <v>649</v>
      </c>
      <c r="U756" s="84" t="str">
        <f>HYPERLINK("https://pbs.twimg.com/media/FAEa_mFUYAcoKUu.jpg")</f>
        <v>https://pbs.twimg.com/media/FAEa_mFUYAcoKUu.jpg</v>
      </c>
      <c r="V756" s="84" t="str">
        <f>HYPERLINK("https://pbs.twimg.com/media/FAEa_mFUYAcoKUu.jpg")</f>
        <v>https://pbs.twimg.com/media/FAEa_mFUYAcoKUu.jpg</v>
      </c>
      <c r="W756" s="83">
        <v>44463.832592592589</v>
      </c>
      <c r="X756" s="89">
        <v>44463</v>
      </c>
      <c r="Y756" s="86" t="s">
        <v>1273</v>
      </c>
      <c r="Z756" s="84" t="str">
        <f>HYPERLINK("https://twitter.com/tinyyyjungwon/status/1441492364632068097")</f>
        <v>https://twitter.com/tinyyyjungwon/status/1441492364632068097</v>
      </c>
      <c r="AA756" s="81"/>
      <c r="AB756" s="81"/>
      <c r="AC756" s="86" t="s">
        <v>1769</v>
      </c>
      <c r="AD756" s="81"/>
      <c r="AE756" s="81" t="b">
        <v>0</v>
      </c>
      <c r="AF756" s="81">
        <v>0</v>
      </c>
      <c r="AG756" s="86" t="s">
        <v>2084</v>
      </c>
      <c r="AH756" s="81" t="b">
        <v>0</v>
      </c>
      <c r="AI756" s="81" t="s">
        <v>2168</v>
      </c>
      <c r="AJ756" s="81"/>
      <c r="AK756" s="86" t="s">
        <v>2084</v>
      </c>
      <c r="AL756" s="81" t="b">
        <v>0</v>
      </c>
      <c r="AM756" s="81">
        <v>24</v>
      </c>
      <c r="AN756" s="86" t="s">
        <v>1848</v>
      </c>
      <c r="AO756" s="86" t="s">
        <v>2179</v>
      </c>
      <c r="AP756" s="81" t="b">
        <v>0</v>
      </c>
      <c r="AQ756" s="86" t="s">
        <v>1848</v>
      </c>
      <c r="AR756" s="81" t="s">
        <v>179</v>
      </c>
      <c r="AS756" s="81">
        <v>0</v>
      </c>
      <c r="AT756" s="81">
        <v>0</v>
      </c>
      <c r="AU756" s="81"/>
      <c r="AV756" s="81"/>
      <c r="AW756" s="81"/>
      <c r="AX756" s="81"/>
      <c r="AY756" s="81"/>
      <c r="AZ756" s="81"/>
      <c r="BA756" s="81"/>
      <c r="BB756" s="81"/>
    </row>
    <row r="757" spans="1:54" x14ac:dyDescent="0.35">
      <c r="A757" s="66" t="s">
        <v>432</v>
      </c>
      <c r="B757" s="66" t="s">
        <v>496</v>
      </c>
      <c r="C757" s="67"/>
      <c r="D757" s="68"/>
      <c r="E757" s="69"/>
      <c r="F757" s="70"/>
      <c r="G757" s="67"/>
      <c r="H757" s="71"/>
      <c r="I757" s="72"/>
      <c r="J757" s="72"/>
      <c r="K757" s="36"/>
      <c r="L757" s="79"/>
      <c r="M757" s="79"/>
      <c r="N757" s="74"/>
      <c r="O757" s="81" t="s">
        <v>693</v>
      </c>
      <c r="P757" s="83">
        <v>44463.832592592589</v>
      </c>
      <c r="Q757" s="81" t="s">
        <v>802</v>
      </c>
      <c r="R757" s="81"/>
      <c r="S757" s="81"/>
      <c r="T757" s="86" t="s">
        <v>649</v>
      </c>
      <c r="U757" s="84" t="str">
        <f>HYPERLINK("https://pbs.twimg.com/media/FAEa_mFUYAcoKUu.jpg")</f>
        <v>https://pbs.twimg.com/media/FAEa_mFUYAcoKUu.jpg</v>
      </c>
      <c r="V757" s="84" t="str">
        <f>HYPERLINK("https://pbs.twimg.com/media/FAEa_mFUYAcoKUu.jpg")</f>
        <v>https://pbs.twimg.com/media/FAEa_mFUYAcoKUu.jpg</v>
      </c>
      <c r="W757" s="83">
        <v>44463.832592592589</v>
      </c>
      <c r="X757" s="89">
        <v>44463</v>
      </c>
      <c r="Y757" s="86" t="s">
        <v>1273</v>
      </c>
      <c r="Z757" s="84" t="str">
        <f>HYPERLINK("https://twitter.com/tinyyyjungwon/status/1441492364632068097")</f>
        <v>https://twitter.com/tinyyyjungwon/status/1441492364632068097</v>
      </c>
      <c r="AA757" s="81"/>
      <c r="AB757" s="81"/>
      <c r="AC757" s="86" t="s">
        <v>1769</v>
      </c>
      <c r="AD757" s="81"/>
      <c r="AE757" s="81" t="b">
        <v>0</v>
      </c>
      <c r="AF757" s="81">
        <v>0</v>
      </c>
      <c r="AG757" s="86" t="s">
        <v>2084</v>
      </c>
      <c r="AH757" s="81" t="b">
        <v>0</v>
      </c>
      <c r="AI757" s="81" t="s">
        <v>2168</v>
      </c>
      <c r="AJ757" s="81"/>
      <c r="AK757" s="86" t="s">
        <v>2084</v>
      </c>
      <c r="AL757" s="81" t="b">
        <v>0</v>
      </c>
      <c r="AM757" s="81">
        <v>24</v>
      </c>
      <c r="AN757" s="86" t="s">
        <v>1848</v>
      </c>
      <c r="AO757" s="86" t="s">
        <v>2179</v>
      </c>
      <c r="AP757" s="81" t="b">
        <v>0</v>
      </c>
      <c r="AQ757" s="86" t="s">
        <v>1848</v>
      </c>
      <c r="AR757" s="81" t="s">
        <v>179</v>
      </c>
      <c r="AS757" s="81">
        <v>0</v>
      </c>
      <c r="AT757" s="81">
        <v>0</v>
      </c>
      <c r="AU757" s="81"/>
      <c r="AV757" s="81"/>
      <c r="AW757" s="81"/>
      <c r="AX757" s="81"/>
      <c r="AY757" s="81"/>
      <c r="AZ757" s="81"/>
      <c r="BA757" s="81"/>
      <c r="BB757" s="81"/>
    </row>
    <row r="758" spans="1:54" x14ac:dyDescent="0.35">
      <c r="A758" s="66" t="s">
        <v>432</v>
      </c>
      <c r="B758" s="66" t="s">
        <v>646</v>
      </c>
      <c r="C758" s="67"/>
      <c r="D758" s="68"/>
      <c r="E758" s="69"/>
      <c r="F758" s="70"/>
      <c r="G758" s="67"/>
      <c r="H758" s="71"/>
      <c r="I758" s="72"/>
      <c r="J758" s="72"/>
      <c r="K758" s="36"/>
      <c r="L758" s="79"/>
      <c r="M758" s="79"/>
      <c r="N758" s="74"/>
      <c r="O758" s="81" t="s">
        <v>694</v>
      </c>
      <c r="P758" s="83">
        <v>44463.832673611112</v>
      </c>
      <c r="Q758" s="81" t="s">
        <v>800</v>
      </c>
      <c r="R758" s="81"/>
      <c r="S758" s="81"/>
      <c r="T758" s="86" t="s">
        <v>649</v>
      </c>
      <c r="U758" s="84" t="str">
        <f>HYPERLINK("https://pbs.twimg.com/media/FAEbG8nUcA0oIOp.jpg")</f>
        <v>https://pbs.twimg.com/media/FAEbG8nUcA0oIOp.jpg</v>
      </c>
      <c r="V758" s="84" t="str">
        <f>HYPERLINK("https://pbs.twimg.com/media/FAEbG8nUcA0oIOp.jpg")</f>
        <v>https://pbs.twimg.com/media/FAEbG8nUcA0oIOp.jpg</v>
      </c>
      <c r="W758" s="83">
        <v>44463.832673611112</v>
      </c>
      <c r="X758" s="89">
        <v>44463</v>
      </c>
      <c r="Y758" s="86" t="s">
        <v>1274</v>
      </c>
      <c r="Z758" s="84" t="str">
        <f>HYPERLINK("https://twitter.com/tinyyyjungwon/status/1441492394722017280")</f>
        <v>https://twitter.com/tinyyyjungwon/status/1441492394722017280</v>
      </c>
      <c r="AA758" s="81"/>
      <c r="AB758" s="81"/>
      <c r="AC758" s="86" t="s">
        <v>1770</v>
      </c>
      <c r="AD758" s="81"/>
      <c r="AE758" s="81" t="b">
        <v>0</v>
      </c>
      <c r="AF758" s="81">
        <v>0</v>
      </c>
      <c r="AG758" s="86" t="s">
        <v>2084</v>
      </c>
      <c r="AH758" s="81" t="b">
        <v>0</v>
      </c>
      <c r="AI758" s="81" t="s">
        <v>2168</v>
      </c>
      <c r="AJ758" s="81"/>
      <c r="AK758" s="86" t="s">
        <v>2084</v>
      </c>
      <c r="AL758" s="81" t="b">
        <v>0</v>
      </c>
      <c r="AM758" s="81">
        <v>6</v>
      </c>
      <c r="AN758" s="86" t="s">
        <v>1850</v>
      </c>
      <c r="AO758" s="86" t="s">
        <v>2179</v>
      </c>
      <c r="AP758" s="81" t="b">
        <v>0</v>
      </c>
      <c r="AQ758" s="86" t="s">
        <v>1850</v>
      </c>
      <c r="AR758" s="81" t="s">
        <v>179</v>
      </c>
      <c r="AS758" s="81">
        <v>0</v>
      </c>
      <c r="AT758" s="81">
        <v>0</v>
      </c>
      <c r="AU758" s="81"/>
      <c r="AV758" s="81"/>
      <c r="AW758" s="81"/>
      <c r="AX758" s="81"/>
      <c r="AY758" s="81"/>
      <c r="AZ758" s="81"/>
      <c r="BA758" s="81"/>
      <c r="BB758" s="81"/>
    </row>
    <row r="759" spans="1:54" x14ac:dyDescent="0.35">
      <c r="A759" s="66" t="s">
        <v>432</v>
      </c>
      <c r="B759" s="66" t="s">
        <v>647</v>
      </c>
      <c r="C759" s="67"/>
      <c r="D759" s="68"/>
      <c r="E759" s="69"/>
      <c r="F759" s="70"/>
      <c r="G759" s="67"/>
      <c r="H759" s="71"/>
      <c r="I759" s="72"/>
      <c r="J759" s="72"/>
      <c r="K759" s="36"/>
      <c r="L759" s="79"/>
      <c r="M759" s="79"/>
      <c r="N759" s="74"/>
      <c r="O759" s="81" t="s">
        <v>694</v>
      </c>
      <c r="P759" s="83">
        <v>44463.832673611112</v>
      </c>
      <c r="Q759" s="81" t="s">
        <v>800</v>
      </c>
      <c r="R759" s="81"/>
      <c r="S759" s="81"/>
      <c r="T759" s="86" t="s">
        <v>649</v>
      </c>
      <c r="U759" s="84" t="str">
        <f>HYPERLINK("https://pbs.twimg.com/media/FAEbG8nUcA0oIOp.jpg")</f>
        <v>https://pbs.twimg.com/media/FAEbG8nUcA0oIOp.jpg</v>
      </c>
      <c r="V759" s="84" t="str">
        <f>HYPERLINK("https://pbs.twimg.com/media/FAEbG8nUcA0oIOp.jpg")</f>
        <v>https://pbs.twimg.com/media/FAEbG8nUcA0oIOp.jpg</v>
      </c>
      <c r="W759" s="83">
        <v>44463.832673611112</v>
      </c>
      <c r="X759" s="89">
        <v>44463</v>
      </c>
      <c r="Y759" s="86" t="s">
        <v>1274</v>
      </c>
      <c r="Z759" s="84" t="str">
        <f>HYPERLINK("https://twitter.com/tinyyyjungwon/status/1441492394722017280")</f>
        <v>https://twitter.com/tinyyyjungwon/status/1441492394722017280</v>
      </c>
      <c r="AA759" s="81"/>
      <c r="AB759" s="81"/>
      <c r="AC759" s="86" t="s">
        <v>1770</v>
      </c>
      <c r="AD759" s="81"/>
      <c r="AE759" s="81" t="b">
        <v>0</v>
      </c>
      <c r="AF759" s="81">
        <v>0</v>
      </c>
      <c r="AG759" s="86" t="s">
        <v>2084</v>
      </c>
      <c r="AH759" s="81" t="b">
        <v>0</v>
      </c>
      <c r="AI759" s="81" t="s">
        <v>2168</v>
      </c>
      <c r="AJ759" s="81"/>
      <c r="AK759" s="86" t="s">
        <v>2084</v>
      </c>
      <c r="AL759" s="81" t="b">
        <v>0</v>
      </c>
      <c r="AM759" s="81">
        <v>6</v>
      </c>
      <c r="AN759" s="86" t="s">
        <v>1850</v>
      </c>
      <c r="AO759" s="86" t="s">
        <v>2179</v>
      </c>
      <c r="AP759" s="81" t="b">
        <v>0</v>
      </c>
      <c r="AQ759" s="86" t="s">
        <v>1850</v>
      </c>
      <c r="AR759" s="81" t="s">
        <v>179</v>
      </c>
      <c r="AS759" s="81">
        <v>0</v>
      </c>
      <c r="AT759" s="81">
        <v>0</v>
      </c>
      <c r="AU759" s="81"/>
      <c r="AV759" s="81"/>
      <c r="AW759" s="81"/>
      <c r="AX759" s="81"/>
      <c r="AY759" s="81"/>
      <c r="AZ759" s="81"/>
      <c r="BA759" s="81"/>
      <c r="BB759" s="81"/>
    </row>
    <row r="760" spans="1:54" x14ac:dyDescent="0.35">
      <c r="A760" s="66" t="s">
        <v>432</v>
      </c>
      <c r="B760" s="66" t="s">
        <v>648</v>
      </c>
      <c r="C760" s="67"/>
      <c r="D760" s="68"/>
      <c r="E760" s="69"/>
      <c r="F760" s="70"/>
      <c r="G760" s="67"/>
      <c r="H760" s="71"/>
      <c r="I760" s="72"/>
      <c r="J760" s="72"/>
      <c r="K760" s="36"/>
      <c r="L760" s="79"/>
      <c r="M760" s="79"/>
      <c r="N760" s="74"/>
      <c r="O760" s="81" t="s">
        <v>694</v>
      </c>
      <c r="P760" s="83">
        <v>44463.832673611112</v>
      </c>
      <c r="Q760" s="81" t="s">
        <v>800</v>
      </c>
      <c r="R760" s="81"/>
      <c r="S760" s="81"/>
      <c r="T760" s="86" t="s">
        <v>649</v>
      </c>
      <c r="U760" s="84" t="str">
        <f>HYPERLINK("https://pbs.twimg.com/media/FAEbG8nUcA0oIOp.jpg")</f>
        <v>https://pbs.twimg.com/media/FAEbG8nUcA0oIOp.jpg</v>
      </c>
      <c r="V760" s="84" t="str">
        <f>HYPERLINK("https://pbs.twimg.com/media/FAEbG8nUcA0oIOp.jpg")</f>
        <v>https://pbs.twimg.com/media/FAEbG8nUcA0oIOp.jpg</v>
      </c>
      <c r="W760" s="83">
        <v>44463.832673611112</v>
      </c>
      <c r="X760" s="89">
        <v>44463</v>
      </c>
      <c r="Y760" s="86" t="s">
        <v>1274</v>
      </c>
      <c r="Z760" s="84" t="str">
        <f>HYPERLINK("https://twitter.com/tinyyyjungwon/status/1441492394722017280")</f>
        <v>https://twitter.com/tinyyyjungwon/status/1441492394722017280</v>
      </c>
      <c r="AA760" s="81"/>
      <c r="AB760" s="81"/>
      <c r="AC760" s="86" t="s">
        <v>1770</v>
      </c>
      <c r="AD760" s="81"/>
      <c r="AE760" s="81" t="b">
        <v>0</v>
      </c>
      <c r="AF760" s="81">
        <v>0</v>
      </c>
      <c r="AG760" s="86" t="s">
        <v>2084</v>
      </c>
      <c r="AH760" s="81" t="b">
        <v>0</v>
      </c>
      <c r="AI760" s="81" t="s">
        <v>2168</v>
      </c>
      <c r="AJ760" s="81"/>
      <c r="AK760" s="86" t="s">
        <v>2084</v>
      </c>
      <c r="AL760" s="81" t="b">
        <v>0</v>
      </c>
      <c r="AM760" s="81">
        <v>6</v>
      </c>
      <c r="AN760" s="86" t="s">
        <v>1850</v>
      </c>
      <c r="AO760" s="86" t="s">
        <v>2179</v>
      </c>
      <c r="AP760" s="81" t="b">
        <v>0</v>
      </c>
      <c r="AQ760" s="86" t="s">
        <v>1850</v>
      </c>
      <c r="AR760" s="81" t="s">
        <v>179</v>
      </c>
      <c r="AS760" s="81">
        <v>0</v>
      </c>
      <c r="AT760" s="81">
        <v>0</v>
      </c>
      <c r="AU760" s="81"/>
      <c r="AV760" s="81"/>
      <c r="AW760" s="81"/>
      <c r="AX760" s="81"/>
      <c r="AY760" s="81"/>
      <c r="AZ760" s="81"/>
      <c r="BA760" s="81"/>
      <c r="BB760" s="81"/>
    </row>
    <row r="761" spans="1:54" x14ac:dyDescent="0.35">
      <c r="A761" s="66" t="s">
        <v>432</v>
      </c>
      <c r="B761" s="66" t="s">
        <v>649</v>
      </c>
      <c r="C761" s="67"/>
      <c r="D761" s="68"/>
      <c r="E761" s="69"/>
      <c r="F761" s="70"/>
      <c r="G761" s="67"/>
      <c r="H761" s="71"/>
      <c r="I761" s="72"/>
      <c r="J761" s="72"/>
      <c r="K761" s="36"/>
      <c r="L761" s="79"/>
      <c r="M761" s="79"/>
      <c r="N761" s="74"/>
      <c r="O761" s="81" t="s">
        <v>694</v>
      </c>
      <c r="P761" s="83">
        <v>44463.832673611112</v>
      </c>
      <c r="Q761" s="81" t="s">
        <v>800</v>
      </c>
      <c r="R761" s="81"/>
      <c r="S761" s="81"/>
      <c r="T761" s="86" t="s">
        <v>649</v>
      </c>
      <c r="U761" s="84" t="str">
        <f>HYPERLINK("https://pbs.twimg.com/media/FAEbG8nUcA0oIOp.jpg")</f>
        <v>https://pbs.twimg.com/media/FAEbG8nUcA0oIOp.jpg</v>
      </c>
      <c r="V761" s="84" t="str">
        <f>HYPERLINK("https://pbs.twimg.com/media/FAEbG8nUcA0oIOp.jpg")</f>
        <v>https://pbs.twimg.com/media/FAEbG8nUcA0oIOp.jpg</v>
      </c>
      <c r="W761" s="83">
        <v>44463.832673611112</v>
      </c>
      <c r="X761" s="89">
        <v>44463</v>
      </c>
      <c r="Y761" s="86" t="s">
        <v>1274</v>
      </c>
      <c r="Z761" s="84" t="str">
        <f>HYPERLINK("https://twitter.com/tinyyyjungwon/status/1441492394722017280")</f>
        <v>https://twitter.com/tinyyyjungwon/status/1441492394722017280</v>
      </c>
      <c r="AA761" s="81"/>
      <c r="AB761" s="81"/>
      <c r="AC761" s="86" t="s">
        <v>1770</v>
      </c>
      <c r="AD761" s="81"/>
      <c r="AE761" s="81" t="b">
        <v>0</v>
      </c>
      <c r="AF761" s="81">
        <v>0</v>
      </c>
      <c r="AG761" s="86" t="s">
        <v>2084</v>
      </c>
      <c r="AH761" s="81" t="b">
        <v>0</v>
      </c>
      <c r="AI761" s="81" t="s">
        <v>2168</v>
      </c>
      <c r="AJ761" s="81"/>
      <c r="AK761" s="86" t="s">
        <v>2084</v>
      </c>
      <c r="AL761" s="81" t="b">
        <v>0</v>
      </c>
      <c r="AM761" s="81">
        <v>6</v>
      </c>
      <c r="AN761" s="86" t="s">
        <v>1850</v>
      </c>
      <c r="AO761" s="86" t="s">
        <v>2179</v>
      </c>
      <c r="AP761" s="81" t="b">
        <v>0</v>
      </c>
      <c r="AQ761" s="86" t="s">
        <v>1850</v>
      </c>
      <c r="AR761" s="81" t="s">
        <v>179</v>
      </c>
      <c r="AS761" s="81">
        <v>0</v>
      </c>
      <c r="AT761" s="81">
        <v>0</v>
      </c>
      <c r="AU761" s="81"/>
      <c r="AV761" s="81"/>
      <c r="AW761" s="81"/>
      <c r="AX761" s="81"/>
      <c r="AY761" s="81"/>
      <c r="AZ761" s="81"/>
      <c r="BA761" s="81"/>
      <c r="BB761" s="81"/>
    </row>
    <row r="762" spans="1:54" x14ac:dyDescent="0.35">
      <c r="A762" s="66" t="s">
        <v>432</v>
      </c>
      <c r="B762" s="66" t="s">
        <v>496</v>
      </c>
      <c r="C762" s="67"/>
      <c r="D762" s="68"/>
      <c r="E762" s="69"/>
      <c r="F762" s="70"/>
      <c r="G762" s="67"/>
      <c r="H762" s="71"/>
      <c r="I762" s="72"/>
      <c r="J762" s="72"/>
      <c r="K762" s="36"/>
      <c r="L762" s="79"/>
      <c r="M762" s="79"/>
      <c r="N762" s="74"/>
      <c r="O762" s="81" t="s">
        <v>693</v>
      </c>
      <c r="P762" s="83">
        <v>44463.832673611112</v>
      </c>
      <c r="Q762" s="81" t="s">
        <v>800</v>
      </c>
      <c r="R762" s="81"/>
      <c r="S762" s="81"/>
      <c r="T762" s="86" t="s">
        <v>649</v>
      </c>
      <c r="U762" s="84" t="str">
        <f>HYPERLINK("https://pbs.twimg.com/media/FAEbG8nUcA0oIOp.jpg")</f>
        <v>https://pbs.twimg.com/media/FAEbG8nUcA0oIOp.jpg</v>
      </c>
      <c r="V762" s="84" t="str">
        <f>HYPERLINK("https://pbs.twimg.com/media/FAEbG8nUcA0oIOp.jpg")</f>
        <v>https://pbs.twimg.com/media/FAEbG8nUcA0oIOp.jpg</v>
      </c>
      <c r="W762" s="83">
        <v>44463.832673611112</v>
      </c>
      <c r="X762" s="89">
        <v>44463</v>
      </c>
      <c r="Y762" s="86" t="s">
        <v>1274</v>
      </c>
      <c r="Z762" s="84" t="str">
        <f>HYPERLINK("https://twitter.com/tinyyyjungwon/status/1441492394722017280")</f>
        <v>https://twitter.com/tinyyyjungwon/status/1441492394722017280</v>
      </c>
      <c r="AA762" s="81"/>
      <c r="AB762" s="81"/>
      <c r="AC762" s="86" t="s">
        <v>1770</v>
      </c>
      <c r="AD762" s="81"/>
      <c r="AE762" s="81" t="b">
        <v>0</v>
      </c>
      <c r="AF762" s="81">
        <v>0</v>
      </c>
      <c r="AG762" s="86" t="s">
        <v>2084</v>
      </c>
      <c r="AH762" s="81" t="b">
        <v>0</v>
      </c>
      <c r="AI762" s="81" t="s">
        <v>2168</v>
      </c>
      <c r="AJ762" s="81"/>
      <c r="AK762" s="86" t="s">
        <v>2084</v>
      </c>
      <c r="AL762" s="81" t="b">
        <v>0</v>
      </c>
      <c r="AM762" s="81">
        <v>6</v>
      </c>
      <c r="AN762" s="86" t="s">
        <v>1850</v>
      </c>
      <c r="AO762" s="86" t="s">
        <v>2179</v>
      </c>
      <c r="AP762" s="81" t="b">
        <v>0</v>
      </c>
      <c r="AQ762" s="86" t="s">
        <v>1850</v>
      </c>
      <c r="AR762" s="81" t="s">
        <v>179</v>
      </c>
      <c r="AS762" s="81">
        <v>0</v>
      </c>
      <c r="AT762" s="81">
        <v>0</v>
      </c>
      <c r="AU762" s="81"/>
      <c r="AV762" s="81"/>
      <c r="AW762" s="81"/>
      <c r="AX762" s="81"/>
      <c r="AY762" s="81"/>
      <c r="AZ762" s="81"/>
      <c r="BA762" s="81"/>
      <c r="BB762" s="81"/>
    </row>
    <row r="763" spans="1:54" x14ac:dyDescent="0.35">
      <c r="A763" s="66" t="s">
        <v>432</v>
      </c>
      <c r="B763" s="66" t="s">
        <v>646</v>
      </c>
      <c r="C763" s="67"/>
      <c r="D763" s="68"/>
      <c r="E763" s="69"/>
      <c r="F763" s="70"/>
      <c r="G763" s="67"/>
      <c r="H763" s="71"/>
      <c r="I763" s="72"/>
      <c r="J763" s="72"/>
      <c r="K763" s="36"/>
      <c r="L763" s="79"/>
      <c r="M763" s="79"/>
      <c r="N763" s="74"/>
      <c r="O763" s="81" t="s">
        <v>694</v>
      </c>
      <c r="P763" s="83">
        <v>44463.83284722222</v>
      </c>
      <c r="Q763" s="81" t="s">
        <v>801</v>
      </c>
      <c r="R763" s="81"/>
      <c r="S763" s="81"/>
      <c r="T763" s="86" t="s">
        <v>649</v>
      </c>
      <c r="U763" s="84" t="str">
        <f>HYPERLINK("https://pbs.twimg.com/media/FAEbDOhVUAIE92y.jpg")</f>
        <v>https://pbs.twimg.com/media/FAEbDOhVUAIE92y.jpg</v>
      </c>
      <c r="V763" s="84" t="str">
        <f>HYPERLINK("https://pbs.twimg.com/media/FAEbDOhVUAIE92y.jpg")</f>
        <v>https://pbs.twimg.com/media/FAEbDOhVUAIE92y.jpg</v>
      </c>
      <c r="W763" s="83">
        <v>44463.83284722222</v>
      </c>
      <c r="X763" s="89">
        <v>44463</v>
      </c>
      <c r="Y763" s="86" t="s">
        <v>1275</v>
      </c>
      <c r="Z763" s="84" t="str">
        <f>HYPERLINK("https://twitter.com/tinyyyjungwon/status/1441492456923484165")</f>
        <v>https://twitter.com/tinyyyjungwon/status/1441492456923484165</v>
      </c>
      <c r="AA763" s="81"/>
      <c r="AB763" s="81"/>
      <c r="AC763" s="86" t="s">
        <v>1771</v>
      </c>
      <c r="AD763" s="81"/>
      <c r="AE763" s="81" t="b">
        <v>0</v>
      </c>
      <c r="AF763" s="81">
        <v>0</v>
      </c>
      <c r="AG763" s="86" t="s">
        <v>2084</v>
      </c>
      <c r="AH763" s="81" t="b">
        <v>0</v>
      </c>
      <c r="AI763" s="81" t="s">
        <v>2168</v>
      </c>
      <c r="AJ763" s="81"/>
      <c r="AK763" s="86" t="s">
        <v>2084</v>
      </c>
      <c r="AL763" s="81" t="b">
        <v>0</v>
      </c>
      <c r="AM763" s="81">
        <v>6</v>
      </c>
      <c r="AN763" s="86" t="s">
        <v>1849</v>
      </c>
      <c r="AO763" s="86" t="s">
        <v>2179</v>
      </c>
      <c r="AP763" s="81" t="b">
        <v>0</v>
      </c>
      <c r="AQ763" s="86" t="s">
        <v>1849</v>
      </c>
      <c r="AR763" s="81" t="s">
        <v>179</v>
      </c>
      <c r="AS763" s="81">
        <v>0</v>
      </c>
      <c r="AT763" s="81">
        <v>0</v>
      </c>
      <c r="AU763" s="81"/>
      <c r="AV763" s="81"/>
      <c r="AW763" s="81"/>
      <c r="AX763" s="81"/>
      <c r="AY763" s="81"/>
      <c r="AZ763" s="81"/>
      <c r="BA763" s="81"/>
      <c r="BB763" s="81"/>
    </row>
    <row r="764" spans="1:54" x14ac:dyDescent="0.35">
      <c r="A764" s="66" t="s">
        <v>432</v>
      </c>
      <c r="B764" s="66" t="s">
        <v>647</v>
      </c>
      <c r="C764" s="67"/>
      <c r="D764" s="68"/>
      <c r="E764" s="69"/>
      <c r="F764" s="70"/>
      <c r="G764" s="67"/>
      <c r="H764" s="71"/>
      <c r="I764" s="72"/>
      <c r="J764" s="72"/>
      <c r="K764" s="36"/>
      <c r="L764" s="79"/>
      <c r="M764" s="79"/>
      <c r="N764" s="74"/>
      <c r="O764" s="81" t="s">
        <v>694</v>
      </c>
      <c r="P764" s="83">
        <v>44463.83284722222</v>
      </c>
      <c r="Q764" s="81" t="s">
        <v>801</v>
      </c>
      <c r="R764" s="81"/>
      <c r="S764" s="81"/>
      <c r="T764" s="86" t="s">
        <v>649</v>
      </c>
      <c r="U764" s="84" t="str">
        <f>HYPERLINK("https://pbs.twimg.com/media/FAEbDOhVUAIE92y.jpg")</f>
        <v>https://pbs.twimg.com/media/FAEbDOhVUAIE92y.jpg</v>
      </c>
      <c r="V764" s="84" t="str">
        <f>HYPERLINK("https://pbs.twimg.com/media/FAEbDOhVUAIE92y.jpg")</f>
        <v>https://pbs.twimg.com/media/FAEbDOhVUAIE92y.jpg</v>
      </c>
      <c r="W764" s="83">
        <v>44463.83284722222</v>
      </c>
      <c r="X764" s="89">
        <v>44463</v>
      </c>
      <c r="Y764" s="86" t="s">
        <v>1275</v>
      </c>
      <c r="Z764" s="84" t="str">
        <f>HYPERLINK("https://twitter.com/tinyyyjungwon/status/1441492456923484165")</f>
        <v>https://twitter.com/tinyyyjungwon/status/1441492456923484165</v>
      </c>
      <c r="AA764" s="81"/>
      <c r="AB764" s="81"/>
      <c r="AC764" s="86" t="s">
        <v>1771</v>
      </c>
      <c r="AD764" s="81"/>
      <c r="AE764" s="81" t="b">
        <v>0</v>
      </c>
      <c r="AF764" s="81">
        <v>0</v>
      </c>
      <c r="AG764" s="86" t="s">
        <v>2084</v>
      </c>
      <c r="AH764" s="81" t="b">
        <v>0</v>
      </c>
      <c r="AI764" s="81" t="s">
        <v>2168</v>
      </c>
      <c r="AJ764" s="81"/>
      <c r="AK764" s="86" t="s">
        <v>2084</v>
      </c>
      <c r="AL764" s="81" t="b">
        <v>0</v>
      </c>
      <c r="AM764" s="81">
        <v>6</v>
      </c>
      <c r="AN764" s="86" t="s">
        <v>1849</v>
      </c>
      <c r="AO764" s="86" t="s">
        <v>2179</v>
      </c>
      <c r="AP764" s="81" t="b">
        <v>0</v>
      </c>
      <c r="AQ764" s="86" t="s">
        <v>1849</v>
      </c>
      <c r="AR764" s="81" t="s">
        <v>179</v>
      </c>
      <c r="AS764" s="81">
        <v>0</v>
      </c>
      <c r="AT764" s="81">
        <v>0</v>
      </c>
      <c r="AU764" s="81"/>
      <c r="AV764" s="81"/>
      <c r="AW764" s="81"/>
      <c r="AX764" s="81"/>
      <c r="AY764" s="81"/>
      <c r="AZ764" s="81"/>
      <c r="BA764" s="81"/>
      <c r="BB764" s="81"/>
    </row>
    <row r="765" spans="1:54" x14ac:dyDescent="0.35">
      <c r="A765" s="66" t="s">
        <v>432</v>
      </c>
      <c r="B765" s="66" t="s">
        <v>648</v>
      </c>
      <c r="C765" s="67"/>
      <c r="D765" s="68"/>
      <c r="E765" s="69"/>
      <c r="F765" s="70"/>
      <c r="G765" s="67"/>
      <c r="H765" s="71"/>
      <c r="I765" s="72"/>
      <c r="J765" s="72"/>
      <c r="K765" s="36"/>
      <c r="L765" s="79"/>
      <c r="M765" s="79"/>
      <c r="N765" s="74"/>
      <c r="O765" s="81" t="s">
        <v>694</v>
      </c>
      <c r="P765" s="83">
        <v>44463.83284722222</v>
      </c>
      <c r="Q765" s="81" t="s">
        <v>801</v>
      </c>
      <c r="R765" s="81"/>
      <c r="S765" s="81"/>
      <c r="T765" s="86" t="s">
        <v>649</v>
      </c>
      <c r="U765" s="84" t="str">
        <f>HYPERLINK("https://pbs.twimg.com/media/FAEbDOhVUAIE92y.jpg")</f>
        <v>https://pbs.twimg.com/media/FAEbDOhVUAIE92y.jpg</v>
      </c>
      <c r="V765" s="84" t="str">
        <f>HYPERLINK("https://pbs.twimg.com/media/FAEbDOhVUAIE92y.jpg")</f>
        <v>https://pbs.twimg.com/media/FAEbDOhVUAIE92y.jpg</v>
      </c>
      <c r="W765" s="83">
        <v>44463.83284722222</v>
      </c>
      <c r="X765" s="89">
        <v>44463</v>
      </c>
      <c r="Y765" s="86" t="s">
        <v>1275</v>
      </c>
      <c r="Z765" s="84" t="str">
        <f>HYPERLINK("https://twitter.com/tinyyyjungwon/status/1441492456923484165")</f>
        <v>https://twitter.com/tinyyyjungwon/status/1441492456923484165</v>
      </c>
      <c r="AA765" s="81"/>
      <c r="AB765" s="81"/>
      <c r="AC765" s="86" t="s">
        <v>1771</v>
      </c>
      <c r="AD765" s="81"/>
      <c r="AE765" s="81" t="b">
        <v>0</v>
      </c>
      <c r="AF765" s="81">
        <v>0</v>
      </c>
      <c r="AG765" s="86" t="s">
        <v>2084</v>
      </c>
      <c r="AH765" s="81" t="b">
        <v>0</v>
      </c>
      <c r="AI765" s="81" t="s">
        <v>2168</v>
      </c>
      <c r="AJ765" s="81"/>
      <c r="AK765" s="86" t="s">
        <v>2084</v>
      </c>
      <c r="AL765" s="81" t="b">
        <v>0</v>
      </c>
      <c r="AM765" s="81">
        <v>6</v>
      </c>
      <c r="AN765" s="86" t="s">
        <v>1849</v>
      </c>
      <c r="AO765" s="86" t="s">
        <v>2179</v>
      </c>
      <c r="AP765" s="81" t="b">
        <v>0</v>
      </c>
      <c r="AQ765" s="86" t="s">
        <v>1849</v>
      </c>
      <c r="AR765" s="81" t="s">
        <v>179</v>
      </c>
      <c r="AS765" s="81">
        <v>0</v>
      </c>
      <c r="AT765" s="81">
        <v>0</v>
      </c>
      <c r="AU765" s="81"/>
      <c r="AV765" s="81"/>
      <c r="AW765" s="81"/>
      <c r="AX765" s="81"/>
      <c r="AY765" s="81"/>
      <c r="AZ765" s="81"/>
      <c r="BA765" s="81"/>
      <c r="BB765" s="81"/>
    </row>
    <row r="766" spans="1:54" x14ac:dyDescent="0.35">
      <c r="A766" s="66" t="s">
        <v>432</v>
      </c>
      <c r="B766" s="66" t="s">
        <v>649</v>
      </c>
      <c r="C766" s="67"/>
      <c r="D766" s="68"/>
      <c r="E766" s="69"/>
      <c r="F766" s="70"/>
      <c r="G766" s="67"/>
      <c r="H766" s="71"/>
      <c r="I766" s="72"/>
      <c r="J766" s="72"/>
      <c r="K766" s="36"/>
      <c r="L766" s="79"/>
      <c r="M766" s="79"/>
      <c r="N766" s="74"/>
      <c r="O766" s="81" t="s">
        <v>694</v>
      </c>
      <c r="P766" s="83">
        <v>44463.83284722222</v>
      </c>
      <c r="Q766" s="81" t="s">
        <v>801</v>
      </c>
      <c r="R766" s="81"/>
      <c r="S766" s="81"/>
      <c r="T766" s="86" t="s">
        <v>649</v>
      </c>
      <c r="U766" s="84" t="str">
        <f>HYPERLINK("https://pbs.twimg.com/media/FAEbDOhVUAIE92y.jpg")</f>
        <v>https://pbs.twimg.com/media/FAEbDOhVUAIE92y.jpg</v>
      </c>
      <c r="V766" s="84" t="str">
        <f>HYPERLINK("https://pbs.twimg.com/media/FAEbDOhVUAIE92y.jpg")</f>
        <v>https://pbs.twimg.com/media/FAEbDOhVUAIE92y.jpg</v>
      </c>
      <c r="W766" s="83">
        <v>44463.83284722222</v>
      </c>
      <c r="X766" s="89">
        <v>44463</v>
      </c>
      <c r="Y766" s="86" t="s">
        <v>1275</v>
      </c>
      <c r="Z766" s="84" t="str">
        <f>HYPERLINK("https://twitter.com/tinyyyjungwon/status/1441492456923484165")</f>
        <v>https://twitter.com/tinyyyjungwon/status/1441492456923484165</v>
      </c>
      <c r="AA766" s="81"/>
      <c r="AB766" s="81"/>
      <c r="AC766" s="86" t="s">
        <v>1771</v>
      </c>
      <c r="AD766" s="81"/>
      <c r="AE766" s="81" t="b">
        <v>0</v>
      </c>
      <c r="AF766" s="81">
        <v>0</v>
      </c>
      <c r="AG766" s="86" t="s">
        <v>2084</v>
      </c>
      <c r="AH766" s="81" t="b">
        <v>0</v>
      </c>
      <c r="AI766" s="81" t="s">
        <v>2168</v>
      </c>
      <c r="AJ766" s="81"/>
      <c r="AK766" s="86" t="s">
        <v>2084</v>
      </c>
      <c r="AL766" s="81" t="b">
        <v>0</v>
      </c>
      <c r="AM766" s="81">
        <v>6</v>
      </c>
      <c r="AN766" s="86" t="s">
        <v>1849</v>
      </c>
      <c r="AO766" s="86" t="s">
        <v>2179</v>
      </c>
      <c r="AP766" s="81" t="b">
        <v>0</v>
      </c>
      <c r="AQ766" s="86" t="s">
        <v>1849</v>
      </c>
      <c r="AR766" s="81" t="s">
        <v>179</v>
      </c>
      <c r="AS766" s="81">
        <v>0</v>
      </c>
      <c r="AT766" s="81">
        <v>0</v>
      </c>
      <c r="AU766" s="81"/>
      <c r="AV766" s="81"/>
      <c r="AW766" s="81"/>
      <c r="AX766" s="81"/>
      <c r="AY766" s="81"/>
      <c r="AZ766" s="81"/>
      <c r="BA766" s="81"/>
      <c r="BB766" s="81"/>
    </row>
    <row r="767" spans="1:54" x14ac:dyDescent="0.35">
      <c r="A767" s="66" t="s">
        <v>432</v>
      </c>
      <c r="B767" s="66" t="s">
        <v>496</v>
      </c>
      <c r="C767" s="67"/>
      <c r="D767" s="68"/>
      <c r="E767" s="69"/>
      <c r="F767" s="70"/>
      <c r="G767" s="67"/>
      <c r="H767" s="71"/>
      <c r="I767" s="72"/>
      <c r="J767" s="72"/>
      <c r="K767" s="36"/>
      <c r="L767" s="79"/>
      <c r="M767" s="79"/>
      <c r="N767" s="74"/>
      <c r="O767" s="81" t="s">
        <v>693</v>
      </c>
      <c r="P767" s="83">
        <v>44463.83284722222</v>
      </c>
      <c r="Q767" s="81" t="s">
        <v>801</v>
      </c>
      <c r="R767" s="81"/>
      <c r="S767" s="81"/>
      <c r="T767" s="86" t="s">
        <v>649</v>
      </c>
      <c r="U767" s="84" t="str">
        <f>HYPERLINK("https://pbs.twimg.com/media/FAEbDOhVUAIE92y.jpg")</f>
        <v>https://pbs.twimg.com/media/FAEbDOhVUAIE92y.jpg</v>
      </c>
      <c r="V767" s="84" t="str">
        <f>HYPERLINK("https://pbs.twimg.com/media/FAEbDOhVUAIE92y.jpg")</f>
        <v>https://pbs.twimg.com/media/FAEbDOhVUAIE92y.jpg</v>
      </c>
      <c r="W767" s="83">
        <v>44463.83284722222</v>
      </c>
      <c r="X767" s="89">
        <v>44463</v>
      </c>
      <c r="Y767" s="86" t="s">
        <v>1275</v>
      </c>
      <c r="Z767" s="84" t="str">
        <f>HYPERLINK("https://twitter.com/tinyyyjungwon/status/1441492456923484165")</f>
        <v>https://twitter.com/tinyyyjungwon/status/1441492456923484165</v>
      </c>
      <c r="AA767" s="81"/>
      <c r="AB767" s="81"/>
      <c r="AC767" s="86" t="s">
        <v>1771</v>
      </c>
      <c r="AD767" s="81"/>
      <c r="AE767" s="81" t="b">
        <v>0</v>
      </c>
      <c r="AF767" s="81">
        <v>0</v>
      </c>
      <c r="AG767" s="86" t="s">
        <v>2084</v>
      </c>
      <c r="AH767" s="81" t="b">
        <v>0</v>
      </c>
      <c r="AI767" s="81" t="s">
        <v>2168</v>
      </c>
      <c r="AJ767" s="81"/>
      <c r="AK767" s="86" t="s">
        <v>2084</v>
      </c>
      <c r="AL767" s="81" t="b">
        <v>0</v>
      </c>
      <c r="AM767" s="81">
        <v>6</v>
      </c>
      <c r="AN767" s="86" t="s">
        <v>1849</v>
      </c>
      <c r="AO767" s="86" t="s">
        <v>2179</v>
      </c>
      <c r="AP767" s="81" t="b">
        <v>0</v>
      </c>
      <c r="AQ767" s="86" t="s">
        <v>1849</v>
      </c>
      <c r="AR767" s="81" t="s">
        <v>179</v>
      </c>
      <c r="AS767" s="81">
        <v>0</v>
      </c>
      <c r="AT767" s="81">
        <v>0</v>
      </c>
      <c r="AU767" s="81"/>
      <c r="AV767" s="81"/>
      <c r="AW767" s="81"/>
      <c r="AX767" s="81"/>
      <c r="AY767" s="81"/>
      <c r="AZ767" s="81"/>
      <c r="BA767" s="81"/>
      <c r="BB767" s="81"/>
    </row>
    <row r="768" spans="1:54" x14ac:dyDescent="0.35">
      <c r="A768" s="66" t="s">
        <v>4433</v>
      </c>
      <c r="B768" s="66" t="s">
        <v>5083</v>
      </c>
      <c r="C768" s="67"/>
      <c r="D768" s="68"/>
      <c r="E768" s="69"/>
      <c r="F768" s="70"/>
      <c r="G768" s="67"/>
      <c r="H768" s="71"/>
      <c r="I768" s="72"/>
      <c r="J768" s="72"/>
      <c r="K768" s="36"/>
      <c r="L768" s="79"/>
      <c r="M768" s="79"/>
      <c r="N768" s="74"/>
      <c r="O768" s="81" t="s">
        <v>696</v>
      </c>
      <c r="P768" s="83">
        <v>44463.844212962962</v>
      </c>
      <c r="Q768" s="81" t="s">
        <v>5434</v>
      </c>
      <c r="R768" s="81"/>
      <c r="S768" s="81"/>
      <c r="T768" s="81"/>
      <c r="U768" s="81"/>
      <c r="V768" s="84" t="str">
        <f>HYPERLINK("https://pbs.twimg.com/profile_images/1425259279796383746/Nf8XV1Sa_normal.jpg")</f>
        <v>https://pbs.twimg.com/profile_images/1425259279796383746/Nf8XV1Sa_normal.jpg</v>
      </c>
      <c r="W768" s="83">
        <v>44463.844212962962</v>
      </c>
      <c r="X768" s="89">
        <v>44463</v>
      </c>
      <c r="Y768" s="86" t="s">
        <v>6071</v>
      </c>
      <c r="Z768" s="84" t="str">
        <f>HYPERLINK("https://twitter.com/gigolosanto/status/1441496577801998338")</f>
        <v>https://twitter.com/gigolosanto/status/1441496577801998338</v>
      </c>
      <c r="AA768" s="81"/>
      <c r="AB768" s="81"/>
      <c r="AC768" s="86" t="s">
        <v>6974</v>
      </c>
      <c r="AD768" s="86" t="s">
        <v>7681</v>
      </c>
      <c r="AE768" s="81" t="b">
        <v>0</v>
      </c>
      <c r="AF768" s="81">
        <v>0</v>
      </c>
      <c r="AG768" s="86" t="s">
        <v>7811</v>
      </c>
      <c r="AH768" s="81" t="b">
        <v>0</v>
      </c>
      <c r="AI768" s="81" t="s">
        <v>2171</v>
      </c>
      <c r="AJ768" s="81"/>
      <c r="AK768" s="86" t="s">
        <v>2084</v>
      </c>
      <c r="AL768" s="81" t="b">
        <v>0</v>
      </c>
      <c r="AM768" s="81">
        <v>0</v>
      </c>
      <c r="AN768" s="86" t="s">
        <v>2084</v>
      </c>
      <c r="AO768" s="86" t="s">
        <v>2178</v>
      </c>
      <c r="AP768" s="81" t="b">
        <v>0</v>
      </c>
      <c r="AQ768" s="86" t="s">
        <v>7681</v>
      </c>
      <c r="AR768" s="81" t="s">
        <v>179</v>
      </c>
      <c r="AS768" s="81">
        <v>0</v>
      </c>
      <c r="AT768" s="81">
        <v>0</v>
      </c>
      <c r="AU768" s="81"/>
      <c r="AV768" s="81"/>
      <c r="AW768" s="81"/>
      <c r="AX768" s="81"/>
      <c r="AY768" s="81"/>
      <c r="AZ768" s="81"/>
      <c r="BA768" s="81"/>
      <c r="BB768" s="81"/>
    </row>
    <row r="769" spans="1:54" x14ac:dyDescent="0.35">
      <c r="A769" s="66" t="s">
        <v>4433</v>
      </c>
      <c r="B769" s="66" t="s">
        <v>5084</v>
      </c>
      <c r="C769" s="67"/>
      <c r="D769" s="68"/>
      <c r="E769" s="69"/>
      <c r="F769" s="70"/>
      <c r="G769" s="67"/>
      <c r="H769" s="71"/>
      <c r="I769" s="72"/>
      <c r="J769" s="72"/>
      <c r="K769" s="36"/>
      <c r="L769" s="79"/>
      <c r="M769" s="79"/>
      <c r="N769" s="74"/>
      <c r="O769" s="81" t="s">
        <v>696</v>
      </c>
      <c r="P769" s="83">
        <v>44463.844212962962</v>
      </c>
      <c r="Q769" s="81" t="s">
        <v>5434</v>
      </c>
      <c r="R769" s="81"/>
      <c r="S769" s="81"/>
      <c r="T769" s="81"/>
      <c r="U769" s="81"/>
      <c r="V769" s="84" t="str">
        <f>HYPERLINK("https://pbs.twimg.com/profile_images/1425259279796383746/Nf8XV1Sa_normal.jpg")</f>
        <v>https://pbs.twimg.com/profile_images/1425259279796383746/Nf8XV1Sa_normal.jpg</v>
      </c>
      <c r="W769" s="83">
        <v>44463.844212962962</v>
      </c>
      <c r="X769" s="89">
        <v>44463</v>
      </c>
      <c r="Y769" s="86" t="s">
        <v>6071</v>
      </c>
      <c r="Z769" s="84" t="str">
        <f>HYPERLINK("https://twitter.com/gigolosanto/status/1441496577801998338")</f>
        <v>https://twitter.com/gigolosanto/status/1441496577801998338</v>
      </c>
      <c r="AA769" s="81"/>
      <c r="AB769" s="81"/>
      <c r="AC769" s="86" t="s">
        <v>6974</v>
      </c>
      <c r="AD769" s="86" t="s">
        <v>7681</v>
      </c>
      <c r="AE769" s="81" t="b">
        <v>0</v>
      </c>
      <c r="AF769" s="81">
        <v>0</v>
      </c>
      <c r="AG769" s="86" t="s">
        <v>7811</v>
      </c>
      <c r="AH769" s="81" t="b">
        <v>0</v>
      </c>
      <c r="AI769" s="81" t="s">
        <v>2171</v>
      </c>
      <c r="AJ769" s="81"/>
      <c r="AK769" s="86" t="s">
        <v>2084</v>
      </c>
      <c r="AL769" s="81" t="b">
        <v>0</v>
      </c>
      <c r="AM769" s="81">
        <v>0</v>
      </c>
      <c r="AN769" s="86" t="s">
        <v>2084</v>
      </c>
      <c r="AO769" s="86" t="s">
        <v>2178</v>
      </c>
      <c r="AP769" s="81" t="b">
        <v>0</v>
      </c>
      <c r="AQ769" s="86" t="s">
        <v>7681</v>
      </c>
      <c r="AR769" s="81" t="s">
        <v>179</v>
      </c>
      <c r="AS769" s="81">
        <v>0</v>
      </c>
      <c r="AT769" s="81">
        <v>0</v>
      </c>
      <c r="AU769" s="81"/>
      <c r="AV769" s="81"/>
      <c r="AW769" s="81"/>
      <c r="AX769" s="81"/>
      <c r="AY769" s="81"/>
      <c r="AZ769" s="81"/>
      <c r="BA769" s="81"/>
      <c r="BB769" s="81"/>
    </row>
    <row r="770" spans="1:54" x14ac:dyDescent="0.35">
      <c r="A770" s="66" t="s">
        <v>4433</v>
      </c>
      <c r="B770" s="66" t="s">
        <v>4978</v>
      </c>
      <c r="C770" s="67"/>
      <c r="D770" s="68"/>
      <c r="E770" s="69"/>
      <c r="F770" s="70"/>
      <c r="G770" s="67"/>
      <c r="H770" s="71"/>
      <c r="I770" s="72"/>
      <c r="J770" s="72"/>
      <c r="K770" s="36"/>
      <c r="L770" s="79"/>
      <c r="M770" s="79"/>
      <c r="N770" s="74"/>
      <c r="O770" s="81" t="s">
        <v>695</v>
      </c>
      <c r="P770" s="83">
        <v>44463.844212962962</v>
      </c>
      <c r="Q770" s="81" t="s">
        <v>5434</v>
      </c>
      <c r="R770" s="81"/>
      <c r="S770" s="81"/>
      <c r="T770" s="81"/>
      <c r="U770" s="81"/>
      <c r="V770" s="84" t="str">
        <f>HYPERLINK("https://pbs.twimg.com/profile_images/1425259279796383746/Nf8XV1Sa_normal.jpg")</f>
        <v>https://pbs.twimg.com/profile_images/1425259279796383746/Nf8XV1Sa_normal.jpg</v>
      </c>
      <c r="W770" s="83">
        <v>44463.844212962962</v>
      </c>
      <c r="X770" s="89">
        <v>44463</v>
      </c>
      <c r="Y770" s="86" t="s">
        <v>6071</v>
      </c>
      <c r="Z770" s="84" t="str">
        <f>HYPERLINK("https://twitter.com/gigolosanto/status/1441496577801998338")</f>
        <v>https://twitter.com/gigolosanto/status/1441496577801998338</v>
      </c>
      <c r="AA770" s="81"/>
      <c r="AB770" s="81"/>
      <c r="AC770" s="86" t="s">
        <v>6974</v>
      </c>
      <c r="AD770" s="86" t="s">
        <v>7681</v>
      </c>
      <c r="AE770" s="81" t="b">
        <v>0</v>
      </c>
      <c r="AF770" s="81">
        <v>0</v>
      </c>
      <c r="AG770" s="86" t="s">
        <v>7811</v>
      </c>
      <c r="AH770" s="81" t="b">
        <v>0</v>
      </c>
      <c r="AI770" s="81" t="s">
        <v>2171</v>
      </c>
      <c r="AJ770" s="81"/>
      <c r="AK770" s="86" t="s">
        <v>2084</v>
      </c>
      <c r="AL770" s="81" t="b">
        <v>0</v>
      </c>
      <c r="AM770" s="81">
        <v>0</v>
      </c>
      <c r="AN770" s="86" t="s">
        <v>2084</v>
      </c>
      <c r="AO770" s="86" t="s">
        <v>2178</v>
      </c>
      <c r="AP770" s="81" t="b">
        <v>0</v>
      </c>
      <c r="AQ770" s="86" t="s">
        <v>7681</v>
      </c>
      <c r="AR770" s="81" t="s">
        <v>179</v>
      </c>
      <c r="AS770" s="81">
        <v>0</v>
      </c>
      <c r="AT770" s="81">
        <v>0</v>
      </c>
      <c r="AU770" s="81"/>
      <c r="AV770" s="81"/>
      <c r="AW770" s="81"/>
      <c r="AX770" s="81"/>
      <c r="AY770" s="81"/>
      <c r="AZ770" s="81"/>
      <c r="BA770" s="81"/>
      <c r="BB770" s="81"/>
    </row>
    <row r="771" spans="1:54" x14ac:dyDescent="0.35">
      <c r="A771" s="66" t="s">
        <v>4434</v>
      </c>
      <c r="B771" s="66" t="s">
        <v>4797</v>
      </c>
      <c r="C771" s="67"/>
      <c r="D771" s="68"/>
      <c r="E771" s="69"/>
      <c r="F771" s="70"/>
      <c r="G771" s="67"/>
      <c r="H771" s="71"/>
      <c r="I771" s="72"/>
      <c r="J771" s="72"/>
      <c r="K771" s="36"/>
      <c r="L771" s="79"/>
      <c r="M771" s="79"/>
      <c r="N771" s="74"/>
      <c r="O771" s="81" t="s">
        <v>693</v>
      </c>
      <c r="P771" s="83">
        <v>44463.892476851855</v>
      </c>
      <c r="Q771" s="84" t="str">
        <f>HYPERLINK("https://t.co/t5CziaW0dH")</f>
        <v>https://t.co/t5CziaW0dH</v>
      </c>
      <c r="R77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71" s="81" t="s">
        <v>5686</v>
      </c>
      <c r="T771" s="81"/>
      <c r="U771" s="81"/>
      <c r="V771" s="84" t="str">
        <f>HYPERLINK("https://pbs.twimg.com/profile_images/1296625713035042818/-zDEH8Kn_normal.jpg")</f>
        <v>https://pbs.twimg.com/profile_images/1296625713035042818/-zDEH8Kn_normal.jpg</v>
      </c>
      <c r="W771" s="83">
        <v>44463.892476851855</v>
      </c>
      <c r="X771" s="89">
        <v>44463</v>
      </c>
      <c r="Y771" s="86" t="s">
        <v>6072</v>
      </c>
      <c r="Z771" s="84" t="str">
        <f>HYPERLINK("https://twitter.com/samgq7/status/1441514068855115777")</f>
        <v>https://twitter.com/samgq7/status/1441514068855115777</v>
      </c>
      <c r="AA771" s="81"/>
      <c r="AB771" s="81"/>
      <c r="AC771" s="86" t="s">
        <v>6975</v>
      </c>
      <c r="AD771" s="81"/>
      <c r="AE771" s="81" t="b">
        <v>0</v>
      </c>
      <c r="AF771" s="81">
        <v>0</v>
      </c>
      <c r="AG771" s="86" t="s">
        <v>2084</v>
      </c>
      <c r="AH771" s="81" t="b">
        <v>0</v>
      </c>
      <c r="AI771" s="81" t="s">
        <v>2173</v>
      </c>
      <c r="AJ771" s="81"/>
      <c r="AK771" s="86" t="s">
        <v>2084</v>
      </c>
      <c r="AL771" s="81" t="b">
        <v>0</v>
      </c>
      <c r="AM771" s="81">
        <v>50</v>
      </c>
      <c r="AN771" s="86" t="s">
        <v>7395</v>
      </c>
      <c r="AO771" s="86" t="s">
        <v>2178</v>
      </c>
      <c r="AP771" s="81" t="b">
        <v>0</v>
      </c>
      <c r="AQ771" s="86" t="s">
        <v>7395</v>
      </c>
      <c r="AR771" s="81" t="s">
        <v>179</v>
      </c>
      <c r="AS771" s="81">
        <v>0</v>
      </c>
      <c r="AT771" s="81">
        <v>0</v>
      </c>
      <c r="AU771" s="81"/>
      <c r="AV771" s="81"/>
      <c r="AW771" s="81"/>
      <c r="AX771" s="81"/>
      <c r="AY771" s="81"/>
      <c r="AZ771" s="81"/>
      <c r="BA771" s="81"/>
      <c r="BB771" s="81"/>
    </row>
    <row r="772" spans="1:54" x14ac:dyDescent="0.35">
      <c r="A772" s="66" t="s">
        <v>4435</v>
      </c>
      <c r="B772" s="66" t="s">
        <v>4797</v>
      </c>
      <c r="C772" s="67"/>
      <c r="D772" s="68"/>
      <c r="E772" s="69"/>
      <c r="F772" s="70"/>
      <c r="G772" s="67"/>
      <c r="H772" s="71"/>
      <c r="I772" s="72"/>
      <c r="J772" s="72"/>
      <c r="K772" s="36"/>
      <c r="L772" s="79"/>
      <c r="M772" s="79"/>
      <c r="N772" s="74"/>
      <c r="O772" s="81" t="s">
        <v>693</v>
      </c>
      <c r="P772" s="83">
        <v>44463.897731481484</v>
      </c>
      <c r="Q772" s="84" t="str">
        <f>HYPERLINK("https://t.co/t5CziaW0dH")</f>
        <v>https://t.co/t5CziaW0dH</v>
      </c>
      <c r="R772"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72" s="81" t="s">
        <v>5686</v>
      </c>
      <c r="T772" s="81"/>
      <c r="U772" s="81"/>
      <c r="V772" s="84" t="str">
        <f>HYPERLINK("https://abs.twimg.com/sticky/default_profile_images/default_profile_normal.png")</f>
        <v>https://abs.twimg.com/sticky/default_profile_images/default_profile_normal.png</v>
      </c>
      <c r="W772" s="83">
        <v>44463.897731481484</v>
      </c>
      <c r="X772" s="89">
        <v>44463</v>
      </c>
      <c r="Y772" s="86" t="s">
        <v>6073</v>
      </c>
      <c r="Z772" s="84" t="str">
        <f>HYPERLINK("https://twitter.com/humbert69914038/status/1441515972662333442")</f>
        <v>https://twitter.com/humbert69914038/status/1441515972662333442</v>
      </c>
      <c r="AA772" s="81"/>
      <c r="AB772" s="81"/>
      <c r="AC772" s="86" t="s">
        <v>6976</v>
      </c>
      <c r="AD772" s="81"/>
      <c r="AE772" s="81" t="b">
        <v>0</v>
      </c>
      <c r="AF772" s="81">
        <v>0</v>
      </c>
      <c r="AG772" s="86" t="s">
        <v>2084</v>
      </c>
      <c r="AH772" s="81" t="b">
        <v>0</v>
      </c>
      <c r="AI772" s="81" t="s">
        <v>2173</v>
      </c>
      <c r="AJ772" s="81"/>
      <c r="AK772" s="86" t="s">
        <v>2084</v>
      </c>
      <c r="AL772" s="81" t="b">
        <v>0</v>
      </c>
      <c r="AM772" s="81">
        <v>50</v>
      </c>
      <c r="AN772" s="86" t="s">
        <v>7395</v>
      </c>
      <c r="AO772" s="86" t="s">
        <v>2178</v>
      </c>
      <c r="AP772" s="81" t="b">
        <v>0</v>
      </c>
      <c r="AQ772" s="86" t="s">
        <v>7395</v>
      </c>
      <c r="AR772" s="81" t="s">
        <v>179</v>
      </c>
      <c r="AS772" s="81">
        <v>0</v>
      </c>
      <c r="AT772" s="81">
        <v>0</v>
      </c>
      <c r="AU772" s="81"/>
      <c r="AV772" s="81"/>
      <c r="AW772" s="81"/>
      <c r="AX772" s="81"/>
      <c r="AY772" s="81"/>
      <c r="AZ772" s="81"/>
      <c r="BA772" s="81"/>
      <c r="BB772" s="81"/>
    </row>
    <row r="773" spans="1:54" x14ac:dyDescent="0.35">
      <c r="A773" s="66" t="s">
        <v>4436</v>
      </c>
      <c r="B773" s="66" t="s">
        <v>4797</v>
      </c>
      <c r="C773" s="67"/>
      <c r="D773" s="68"/>
      <c r="E773" s="69"/>
      <c r="F773" s="70"/>
      <c r="G773" s="67"/>
      <c r="H773" s="71"/>
      <c r="I773" s="72"/>
      <c r="J773" s="72"/>
      <c r="K773" s="36"/>
      <c r="L773" s="79"/>
      <c r="M773" s="79"/>
      <c r="N773" s="74"/>
      <c r="O773" s="81" t="s">
        <v>693</v>
      </c>
      <c r="P773" s="83">
        <v>44463.897858796299</v>
      </c>
      <c r="Q773" s="84" t="str">
        <f>HYPERLINK("https://t.co/t5CziaW0dH")</f>
        <v>https://t.co/t5CziaW0dH</v>
      </c>
      <c r="R773"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73" s="81" t="s">
        <v>5686</v>
      </c>
      <c r="T773" s="81"/>
      <c r="U773" s="81"/>
      <c r="V773" s="84" t="str">
        <f>HYPERLINK("https://pbs.twimg.com/profile_images/1429386317683642373/NKL2DM16_normal.jpg")</f>
        <v>https://pbs.twimg.com/profile_images/1429386317683642373/NKL2DM16_normal.jpg</v>
      </c>
      <c r="W773" s="83">
        <v>44463.897858796299</v>
      </c>
      <c r="X773" s="89">
        <v>44463</v>
      </c>
      <c r="Y773" s="86" t="s">
        <v>6074</v>
      </c>
      <c r="Z773" s="84" t="str">
        <f>HYPERLINK("https://twitter.com/alinealamonica/status/1441516017776214017")</f>
        <v>https://twitter.com/alinealamonica/status/1441516017776214017</v>
      </c>
      <c r="AA773" s="81"/>
      <c r="AB773" s="81"/>
      <c r="AC773" s="86" t="s">
        <v>6977</v>
      </c>
      <c r="AD773" s="81"/>
      <c r="AE773" s="81" t="b">
        <v>0</v>
      </c>
      <c r="AF773" s="81">
        <v>0</v>
      </c>
      <c r="AG773" s="86" t="s">
        <v>2084</v>
      </c>
      <c r="AH773" s="81" t="b">
        <v>0</v>
      </c>
      <c r="AI773" s="81" t="s">
        <v>2173</v>
      </c>
      <c r="AJ773" s="81"/>
      <c r="AK773" s="86" t="s">
        <v>2084</v>
      </c>
      <c r="AL773" s="81" t="b">
        <v>0</v>
      </c>
      <c r="AM773" s="81">
        <v>50</v>
      </c>
      <c r="AN773" s="86" t="s">
        <v>7395</v>
      </c>
      <c r="AO773" s="86" t="s">
        <v>2178</v>
      </c>
      <c r="AP773" s="81" t="b">
        <v>0</v>
      </c>
      <c r="AQ773" s="86" t="s">
        <v>7395</v>
      </c>
      <c r="AR773" s="81" t="s">
        <v>179</v>
      </c>
      <c r="AS773" s="81">
        <v>0</v>
      </c>
      <c r="AT773" s="81">
        <v>0</v>
      </c>
      <c r="AU773" s="81"/>
      <c r="AV773" s="81"/>
      <c r="AW773" s="81"/>
      <c r="AX773" s="81"/>
      <c r="AY773" s="81"/>
      <c r="AZ773" s="81"/>
      <c r="BA773" s="81"/>
      <c r="BB773" s="81"/>
    </row>
    <row r="774" spans="1:54" x14ac:dyDescent="0.35">
      <c r="A774" s="66" t="s">
        <v>4437</v>
      </c>
      <c r="B774" s="66" t="s">
        <v>4797</v>
      </c>
      <c r="C774" s="67"/>
      <c r="D774" s="68"/>
      <c r="E774" s="69"/>
      <c r="F774" s="70"/>
      <c r="G774" s="67"/>
      <c r="H774" s="71"/>
      <c r="I774" s="72"/>
      <c r="J774" s="72"/>
      <c r="K774" s="36"/>
      <c r="L774" s="79"/>
      <c r="M774" s="79"/>
      <c r="N774" s="74"/>
      <c r="O774" s="81" t="s">
        <v>693</v>
      </c>
      <c r="P774" s="83">
        <v>44463.897870370369</v>
      </c>
      <c r="Q774" s="81" t="s">
        <v>5435</v>
      </c>
      <c r="R77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74" s="81" t="s">
        <v>5686</v>
      </c>
      <c r="T774" s="81"/>
      <c r="U774" s="81"/>
      <c r="V774" s="84" t="str">
        <f>HYPERLINK("https://pbs.twimg.com/profile_images/1375469493372256262/fOZ9sGKY_normal.jpg")</f>
        <v>https://pbs.twimg.com/profile_images/1375469493372256262/fOZ9sGKY_normal.jpg</v>
      </c>
      <c r="W774" s="83">
        <v>44463.897870370369</v>
      </c>
      <c r="X774" s="89">
        <v>44463</v>
      </c>
      <c r="Y774" s="86" t="s">
        <v>6075</v>
      </c>
      <c r="Z774" s="84" t="str">
        <f>HYPERLINK("https://twitter.com/marcoocramalan/status/1441516021924335618")</f>
        <v>https://twitter.com/marcoocramalan/status/1441516021924335618</v>
      </c>
      <c r="AA774" s="81"/>
      <c r="AB774" s="81"/>
      <c r="AC774" s="86" t="s">
        <v>6978</v>
      </c>
      <c r="AD774" s="81"/>
      <c r="AE774" s="81" t="b">
        <v>0</v>
      </c>
      <c r="AF774" s="81">
        <v>0</v>
      </c>
      <c r="AG774" s="86" t="s">
        <v>2084</v>
      </c>
      <c r="AH774" s="81" t="b">
        <v>0</v>
      </c>
      <c r="AI774" s="81" t="s">
        <v>2173</v>
      </c>
      <c r="AJ774" s="81"/>
      <c r="AK774" s="86" t="s">
        <v>2084</v>
      </c>
      <c r="AL774" s="81" t="b">
        <v>0</v>
      </c>
      <c r="AM774" s="81">
        <v>21</v>
      </c>
      <c r="AN774" s="86" t="s">
        <v>7358</v>
      </c>
      <c r="AO774" s="86" t="s">
        <v>2178</v>
      </c>
      <c r="AP774" s="81" t="b">
        <v>0</v>
      </c>
      <c r="AQ774" s="86" t="s">
        <v>7358</v>
      </c>
      <c r="AR774" s="81" t="s">
        <v>179</v>
      </c>
      <c r="AS774" s="81">
        <v>0</v>
      </c>
      <c r="AT774" s="81">
        <v>0</v>
      </c>
      <c r="AU774" s="81"/>
      <c r="AV774" s="81"/>
      <c r="AW774" s="81"/>
      <c r="AX774" s="81"/>
      <c r="AY774" s="81"/>
      <c r="AZ774" s="81"/>
      <c r="BA774" s="81"/>
      <c r="BB774" s="81"/>
    </row>
    <row r="775" spans="1:54" x14ac:dyDescent="0.35">
      <c r="A775" s="66" t="s">
        <v>4437</v>
      </c>
      <c r="B775" s="66" t="s">
        <v>5085</v>
      </c>
      <c r="C775" s="67"/>
      <c r="D775" s="68"/>
      <c r="E775" s="69"/>
      <c r="F775" s="70"/>
      <c r="G775" s="67"/>
      <c r="H775" s="71"/>
      <c r="I775" s="72"/>
      <c r="J775" s="72"/>
      <c r="K775" s="36"/>
      <c r="L775" s="79"/>
      <c r="M775" s="79"/>
      <c r="N775" s="74"/>
      <c r="O775" s="81" t="s">
        <v>695</v>
      </c>
      <c r="P775" s="83">
        <v>44463.897870370369</v>
      </c>
      <c r="Q775" s="81" t="s">
        <v>5435</v>
      </c>
      <c r="R775"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75" s="81" t="s">
        <v>5686</v>
      </c>
      <c r="T775" s="81"/>
      <c r="U775" s="81"/>
      <c r="V775" s="84" t="str">
        <f>HYPERLINK("https://pbs.twimg.com/profile_images/1375469493372256262/fOZ9sGKY_normal.jpg")</f>
        <v>https://pbs.twimg.com/profile_images/1375469493372256262/fOZ9sGKY_normal.jpg</v>
      </c>
      <c r="W775" s="83">
        <v>44463.897870370369</v>
      </c>
      <c r="X775" s="89">
        <v>44463</v>
      </c>
      <c r="Y775" s="86" t="s">
        <v>6075</v>
      </c>
      <c r="Z775" s="84" t="str">
        <f>HYPERLINK("https://twitter.com/marcoocramalan/status/1441516021924335618")</f>
        <v>https://twitter.com/marcoocramalan/status/1441516021924335618</v>
      </c>
      <c r="AA775" s="81"/>
      <c r="AB775" s="81"/>
      <c r="AC775" s="86" t="s">
        <v>6978</v>
      </c>
      <c r="AD775" s="81"/>
      <c r="AE775" s="81" t="b">
        <v>0</v>
      </c>
      <c r="AF775" s="81">
        <v>0</v>
      </c>
      <c r="AG775" s="86" t="s">
        <v>2084</v>
      </c>
      <c r="AH775" s="81" t="b">
        <v>0</v>
      </c>
      <c r="AI775" s="81" t="s">
        <v>2173</v>
      </c>
      <c r="AJ775" s="81"/>
      <c r="AK775" s="86" t="s">
        <v>2084</v>
      </c>
      <c r="AL775" s="81" t="b">
        <v>0</v>
      </c>
      <c r="AM775" s="81">
        <v>21</v>
      </c>
      <c r="AN775" s="86" t="s">
        <v>7358</v>
      </c>
      <c r="AO775" s="86" t="s">
        <v>2178</v>
      </c>
      <c r="AP775" s="81" t="b">
        <v>0</v>
      </c>
      <c r="AQ775" s="86" t="s">
        <v>7358</v>
      </c>
      <c r="AR775" s="81" t="s">
        <v>179</v>
      </c>
      <c r="AS775" s="81">
        <v>0</v>
      </c>
      <c r="AT775" s="81">
        <v>0</v>
      </c>
      <c r="AU775" s="81"/>
      <c r="AV775" s="81"/>
      <c r="AW775" s="81"/>
      <c r="AX775" s="81"/>
      <c r="AY775" s="81"/>
      <c r="AZ775" s="81"/>
      <c r="BA775" s="81"/>
      <c r="BB775" s="81"/>
    </row>
    <row r="776" spans="1:54" x14ac:dyDescent="0.35">
      <c r="A776" s="66" t="s">
        <v>4438</v>
      </c>
      <c r="B776" s="66" t="s">
        <v>4797</v>
      </c>
      <c r="C776" s="67"/>
      <c r="D776" s="68"/>
      <c r="E776" s="69"/>
      <c r="F776" s="70"/>
      <c r="G776" s="67"/>
      <c r="H776" s="71"/>
      <c r="I776" s="72"/>
      <c r="J776" s="72"/>
      <c r="K776" s="36"/>
      <c r="L776" s="79"/>
      <c r="M776" s="79"/>
      <c r="N776" s="74"/>
      <c r="O776" s="81" t="s">
        <v>693</v>
      </c>
      <c r="P776" s="83">
        <v>44463.903090277781</v>
      </c>
      <c r="Q776" s="84" t="str">
        <f>HYPERLINK("https://t.co/t5CziaW0dH")</f>
        <v>https://t.co/t5CziaW0dH</v>
      </c>
      <c r="R77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76" s="81" t="s">
        <v>5686</v>
      </c>
      <c r="T776" s="81"/>
      <c r="U776" s="81"/>
      <c r="V776" s="84" t="str">
        <f>HYPERLINK("https://pbs.twimg.com/profile_images/1352955286227705857/2ZuYExOv_normal.jpg")</f>
        <v>https://pbs.twimg.com/profile_images/1352955286227705857/2ZuYExOv_normal.jpg</v>
      </c>
      <c r="W776" s="83">
        <v>44463.903090277781</v>
      </c>
      <c r="X776" s="89">
        <v>44463</v>
      </c>
      <c r="Y776" s="86" t="s">
        <v>6076</v>
      </c>
      <c r="Z776" s="84" t="str">
        <f>HYPERLINK("https://twitter.com/noahwardrobe/status/1441517913593159681")</f>
        <v>https://twitter.com/noahwardrobe/status/1441517913593159681</v>
      </c>
      <c r="AA776" s="81"/>
      <c r="AB776" s="81"/>
      <c r="AC776" s="86" t="s">
        <v>6979</v>
      </c>
      <c r="AD776" s="81"/>
      <c r="AE776" s="81" t="b">
        <v>0</v>
      </c>
      <c r="AF776" s="81">
        <v>0</v>
      </c>
      <c r="AG776" s="86" t="s">
        <v>2084</v>
      </c>
      <c r="AH776" s="81" t="b">
        <v>0</v>
      </c>
      <c r="AI776" s="81" t="s">
        <v>2173</v>
      </c>
      <c r="AJ776" s="81"/>
      <c r="AK776" s="86" t="s">
        <v>2084</v>
      </c>
      <c r="AL776" s="81" t="b">
        <v>0</v>
      </c>
      <c r="AM776" s="81">
        <v>50</v>
      </c>
      <c r="AN776" s="86" t="s">
        <v>7395</v>
      </c>
      <c r="AO776" s="86" t="s">
        <v>2181</v>
      </c>
      <c r="AP776" s="81" t="b">
        <v>0</v>
      </c>
      <c r="AQ776" s="86" t="s">
        <v>7395</v>
      </c>
      <c r="AR776" s="81" t="s">
        <v>179</v>
      </c>
      <c r="AS776" s="81">
        <v>0</v>
      </c>
      <c r="AT776" s="81">
        <v>0</v>
      </c>
      <c r="AU776" s="81"/>
      <c r="AV776" s="81"/>
      <c r="AW776" s="81"/>
      <c r="AX776" s="81"/>
      <c r="AY776" s="81"/>
      <c r="AZ776" s="81"/>
      <c r="BA776" s="81"/>
      <c r="BB776" s="81"/>
    </row>
    <row r="777" spans="1:54" x14ac:dyDescent="0.35">
      <c r="A777" s="66" t="s">
        <v>4439</v>
      </c>
      <c r="B777" s="66" t="s">
        <v>4797</v>
      </c>
      <c r="C777" s="67"/>
      <c r="D777" s="68"/>
      <c r="E777" s="69"/>
      <c r="F777" s="70"/>
      <c r="G777" s="67"/>
      <c r="H777" s="71"/>
      <c r="I777" s="72"/>
      <c r="J777" s="72"/>
      <c r="K777" s="36"/>
      <c r="L777" s="79"/>
      <c r="M777" s="79"/>
      <c r="N777" s="74"/>
      <c r="O777" s="81" t="s">
        <v>693</v>
      </c>
      <c r="P777" s="83">
        <v>44463.904895833337</v>
      </c>
      <c r="Q777" s="84" t="str">
        <f>HYPERLINK("https://t.co/t5CziaW0dH")</f>
        <v>https://t.co/t5CziaW0dH</v>
      </c>
      <c r="R77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77" s="81" t="s">
        <v>5686</v>
      </c>
      <c r="T777" s="81"/>
      <c r="U777" s="81"/>
      <c r="V777" s="84" t="str">
        <f>HYPERLINK("https://pbs.twimg.com/profile_images/1085515187619332096/333aGB5z_normal.jpg")</f>
        <v>https://pbs.twimg.com/profile_images/1085515187619332096/333aGB5z_normal.jpg</v>
      </c>
      <c r="W777" s="83">
        <v>44463.904895833337</v>
      </c>
      <c r="X777" s="89">
        <v>44463</v>
      </c>
      <c r="Y777" s="86" t="s">
        <v>6077</v>
      </c>
      <c r="Z777" s="84" t="str">
        <f>HYPERLINK("https://twitter.com/franciscodecama/status/1441518568240074754")</f>
        <v>https://twitter.com/franciscodecama/status/1441518568240074754</v>
      </c>
      <c r="AA777" s="81"/>
      <c r="AB777" s="81"/>
      <c r="AC777" s="86" t="s">
        <v>6980</v>
      </c>
      <c r="AD777" s="81"/>
      <c r="AE777" s="81" t="b">
        <v>0</v>
      </c>
      <c r="AF777" s="81">
        <v>0</v>
      </c>
      <c r="AG777" s="86" t="s">
        <v>2084</v>
      </c>
      <c r="AH777" s="81" t="b">
        <v>0</v>
      </c>
      <c r="AI777" s="81" t="s">
        <v>2173</v>
      </c>
      <c r="AJ777" s="81"/>
      <c r="AK777" s="86" t="s">
        <v>2084</v>
      </c>
      <c r="AL777" s="81" t="b">
        <v>0</v>
      </c>
      <c r="AM777" s="81">
        <v>50</v>
      </c>
      <c r="AN777" s="86" t="s">
        <v>7395</v>
      </c>
      <c r="AO777" s="86" t="s">
        <v>2178</v>
      </c>
      <c r="AP777" s="81" t="b">
        <v>0</v>
      </c>
      <c r="AQ777" s="86" t="s">
        <v>7395</v>
      </c>
      <c r="AR777" s="81" t="s">
        <v>179</v>
      </c>
      <c r="AS777" s="81">
        <v>0</v>
      </c>
      <c r="AT777" s="81">
        <v>0</v>
      </c>
      <c r="AU777" s="81"/>
      <c r="AV777" s="81"/>
      <c r="AW777" s="81"/>
      <c r="AX777" s="81"/>
      <c r="AY777" s="81"/>
      <c r="AZ777" s="81"/>
      <c r="BA777" s="81"/>
      <c r="BB777" s="81"/>
    </row>
    <row r="778" spans="1:54" x14ac:dyDescent="0.35">
      <c r="A778" s="66" t="s">
        <v>4440</v>
      </c>
      <c r="B778" s="66" t="s">
        <v>4797</v>
      </c>
      <c r="C778" s="67"/>
      <c r="D778" s="68"/>
      <c r="E778" s="69"/>
      <c r="F778" s="70"/>
      <c r="G778" s="67"/>
      <c r="H778" s="71"/>
      <c r="I778" s="72"/>
      <c r="J778" s="72"/>
      <c r="K778" s="36"/>
      <c r="L778" s="79"/>
      <c r="M778" s="79"/>
      <c r="N778" s="74"/>
      <c r="O778" s="81" t="s">
        <v>693</v>
      </c>
      <c r="P778" s="83">
        <v>44463.906886574077</v>
      </c>
      <c r="Q778" s="81" t="s">
        <v>5435</v>
      </c>
      <c r="R77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78" s="81" t="s">
        <v>5686</v>
      </c>
      <c r="T778" s="81"/>
      <c r="U778" s="81"/>
      <c r="V778" s="84" t="str">
        <f>HYPERLINK("https://pbs.twimg.com/profile_images/1248383359983603713/MjYPkT4X_normal.jpg")</f>
        <v>https://pbs.twimg.com/profile_images/1248383359983603713/MjYPkT4X_normal.jpg</v>
      </c>
      <c r="W778" s="83">
        <v>44463.906886574077</v>
      </c>
      <c r="X778" s="89">
        <v>44463</v>
      </c>
      <c r="Y778" s="86" t="s">
        <v>6078</v>
      </c>
      <c r="Z778" s="84" t="str">
        <f>HYPERLINK("https://twitter.com/ponderadoo/status/1441519288108691462")</f>
        <v>https://twitter.com/ponderadoo/status/1441519288108691462</v>
      </c>
      <c r="AA778" s="81"/>
      <c r="AB778" s="81"/>
      <c r="AC778" s="86" t="s">
        <v>6981</v>
      </c>
      <c r="AD778" s="81"/>
      <c r="AE778" s="81" t="b">
        <v>0</v>
      </c>
      <c r="AF778" s="81">
        <v>0</v>
      </c>
      <c r="AG778" s="86" t="s">
        <v>2084</v>
      </c>
      <c r="AH778" s="81" t="b">
        <v>0</v>
      </c>
      <c r="AI778" s="81" t="s">
        <v>2173</v>
      </c>
      <c r="AJ778" s="81"/>
      <c r="AK778" s="86" t="s">
        <v>2084</v>
      </c>
      <c r="AL778" s="81" t="b">
        <v>0</v>
      </c>
      <c r="AM778" s="81">
        <v>21</v>
      </c>
      <c r="AN778" s="86" t="s">
        <v>7358</v>
      </c>
      <c r="AO778" s="86" t="s">
        <v>2179</v>
      </c>
      <c r="AP778" s="81" t="b">
        <v>0</v>
      </c>
      <c r="AQ778" s="86" t="s">
        <v>7358</v>
      </c>
      <c r="AR778" s="81" t="s">
        <v>179</v>
      </c>
      <c r="AS778" s="81">
        <v>0</v>
      </c>
      <c r="AT778" s="81">
        <v>0</v>
      </c>
      <c r="AU778" s="81"/>
      <c r="AV778" s="81"/>
      <c r="AW778" s="81"/>
      <c r="AX778" s="81"/>
      <c r="AY778" s="81"/>
      <c r="AZ778" s="81"/>
      <c r="BA778" s="81"/>
      <c r="BB778" s="81"/>
    </row>
    <row r="779" spans="1:54" x14ac:dyDescent="0.35">
      <c r="A779" s="66" t="s">
        <v>4440</v>
      </c>
      <c r="B779" s="66" t="s">
        <v>5085</v>
      </c>
      <c r="C779" s="67"/>
      <c r="D779" s="68"/>
      <c r="E779" s="69"/>
      <c r="F779" s="70"/>
      <c r="G779" s="67"/>
      <c r="H779" s="71"/>
      <c r="I779" s="72"/>
      <c r="J779" s="72"/>
      <c r="K779" s="36"/>
      <c r="L779" s="79"/>
      <c r="M779" s="79"/>
      <c r="N779" s="74"/>
      <c r="O779" s="81" t="s">
        <v>695</v>
      </c>
      <c r="P779" s="83">
        <v>44463.906886574077</v>
      </c>
      <c r="Q779" s="81" t="s">
        <v>5435</v>
      </c>
      <c r="R77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79" s="81" t="s">
        <v>5686</v>
      </c>
      <c r="T779" s="81"/>
      <c r="U779" s="81"/>
      <c r="V779" s="84" t="str">
        <f>HYPERLINK("https://pbs.twimg.com/profile_images/1248383359983603713/MjYPkT4X_normal.jpg")</f>
        <v>https://pbs.twimg.com/profile_images/1248383359983603713/MjYPkT4X_normal.jpg</v>
      </c>
      <c r="W779" s="83">
        <v>44463.906886574077</v>
      </c>
      <c r="X779" s="89">
        <v>44463</v>
      </c>
      <c r="Y779" s="86" t="s">
        <v>6078</v>
      </c>
      <c r="Z779" s="84" t="str">
        <f>HYPERLINK("https://twitter.com/ponderadoo/status/1441519288108691462")</f>
        <v>https://twitter.com/ponderadoo/status/1441519288108691462</v>
      </c>
      <c r="AA779" s="81"/>
      <c r="AB779" s="81"/>
      <c r="AC779" s="86" t="s">
        <v>6981</v>
      </c>
      <c r="AD779" s="81"/>
      <c r="AE779" s="81" t="b">
        <v>0</v>
      </c>
      <c r="AF779" s="81">
        <v>0</v>
      </c>
      <c r="AG779" s="86" t="s">
        <v>2084</v>
      </c>
      <c r="AH779" s="81" t="b">
        <v>0</v>
      </c>
      <c r="AI779" s="81" t="s">
        <v>2173</v>
      </c>
      <c r="AJ779" s="81"/>
      <c r="AK779" s="86" t="s">
        <v>2084</v>
      </c>
      <c r="AL779" s="81" t="b">
        <v>0</v>
      </c>
      <c r="AM779" s="81">
        <v>21</v>
      </c>
      <c r="AN779" s="86" t="s">
        <v>7358</v>
      </c>
      <c r="AO779" s="86" t="s">
        <v>2179</v>
      </c>
      <c r="AP779" s="81" t="b">
        <v>0</v>
      </c>
      <c r="AQ779" s="86" t="s">
        <v>7358</v>
      </c>
      <c r="AR779" s="81" t="s">
        <v>179</v>
      </c>
      <c r="AS779" s="81">
        <v>0</v>
      </c>
      <c r="AT779" s="81">
        <v>0</v>
      </c>
      <c r="AU779" s="81"/>
      <c r="AV779" s="81"/>
      <c r="AW779" s="81"/>
      <c r="AX779" s="81"/>
      <c r="AY779" s="81"/>
      <c r="AZ779" s="81"/>
      <c r="BA779" s="81"/>
      <c r="BB779" s="81"/>
    </row>
    <row r="780" spans="1:54" x14ac:dyDescent="0.35">
      <c r="A780" s="66" t="s">
        <v>4441</v>
      </c>
      <c r="B780" s="66" t="s">
        <v>4797</v>
      </c>
      <c r="C780" s="67"/>
      <c r="D780" s="68"/>
      <c r="E780" s="69"/>
      <c r="F780" s="70"/>
      <c r="G780" s="67"/>
      <c r="H780" s="71"/>
      <c r="I780" s="72"/>
      <c r="J780" s="72"/>
      <c r="K780" s="36"/>
      <c r="L780" s="79"/>
      <c r="M780" s="79"/>
      <c r="N780" s="74"/>
      <c r="O780" s="81" t="s">
        <v>693</v>
      </c>
      <c r="P780" s="83">
        <v>44463.917638888888</v>
      </c>
      <c r="Q780" s="81" t="s">
        <v>5435</v>
      </c>
      <c r="R78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80" s="81" t="s">
        <v>5686</v>
      </c>
      <c r="T780" s="81"/>
      <c r="U780" s="81"/>
      <c r="V780" s="84" t="str">
        <f>HYPERLINK("https://pbs.twimg.com/profile_images/1423783907439284225/qdy28g6R_normal.jpg")</f>
        <v>https://pbs.twimg.com/profile_images/1423783907439284225/qdy28g6R_normal.jpg</v>
      </c>
      <c r="W780" s="83">
        <v>44463.917638888888</v>
      </c>
      <c r="X780" s="89">
        <v>44463</v>
      </c>
      <c r="Y780" s="86" t="s">
        <v>6079</v>
      </c>
      <c r="Z780" s="84" t="str">
        <f>HYPERLINK("https://twitter.com/soninha28906779/status/1441523185044709380")</f>
        <v>https://twitter.com/soninha28906779/status/1441523185044709380</v>
      </c>
      <c r="AA780" s="81"/>
      <c r="AB780" s="81"/>
      <c r="AC780" s="86" t="s">
        <v>6982</v>
      </c>
      <c r="AD780" s="81"/>
      <c r="AE780" s="81" t="b">
        <v>0</v>
      </c>
      <c r="AF780" s="81">
        <v>0</v>
      </c>
      <c r="AG780" s="86" t="s">
        <v>2084</v>
      </c>
      <c r="AH780" s="81" t="b">
        <v>0</v>
      </c>
      <c r="AI780" s="81" t="s">
        <v>2173</v>
      </c>
      <c r="AJ780" s="81"/>
      <c r="AK780" s="86" t="s">
        <v>2084</v>
      </c>
      <c r="AL780" s="81" t="b">
        <v>0</v>
      </c>
      <c r="AM780" s="81">
        <v>21</v>
      </c>
      <c r="AN780" s="86" t="s">
        <v>7358</v>
      </c>
      <c r="AO780" s="86" t="s">
        <v>2178</v>
      </c>
      <c r="AP780" s="81" t="b">
        <v>0</v>
      </c>
      <c r="AQ780" s="86" t="s">
        <v>7358</v>
      </c>
      <c r="AR780" s="81" t="s">
        <v>179</v>
      </c>
      <c r="AS780" s="81">
        <v>0</v>
      </c>
      <c r="AT780" s="81">
        <v>0</v>
      </c>
      <c r="AU780" s="81"/>
      <c r="AV780" s="81"/>
      <c r="AW780" s="81"/>
      <c r="AX780" s="81"/>
      <c r="AY780" s="81"/>
      <c r="AZ780" s="81"/>
      <c r="BA780" s="81"/>
      <c r="BB780" s="81"/>
    </row>
    <row r="781" spans="1:54" x14ac:dyDescent="0.35">
      <c r="A781" s="66" t="s">
        <v>4441</v>
      </c>
      <c r="B781" s="66" t="s">
        <v>5085</v>
      </c>
      <c r="C781" s="67"/>
      <c r="D781" s="68"/>
      <c r="E781" s="69"/>
      <c r="F781" s="70"/>
      <c r="G781" s="67"/>
      <c r="H781" s="71"/>
      <c r="I781" s="72"/>
      <c r="J781" s="72"/>
      <c r="K781" s="36"/>
      <c r="L781" s="79"/>
      <c r="M781" s="79"/>
      <c r="N781" s="74"/>
      <c r="O781" s="81" t="s">
        <v>695</v>
      </c>
      <c r="P781" s="83">
        <v>44463.917638888888</v>
      </c>
      <c r="Q781" s="81" t="s">
        <v>5435</v>
      </c>
      <c r="R78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81" s="81" t="s">
        <v>5686</v>
      </c>
      <c r="T781" s="81"/>
      <c r="U781" s="81"/>
      <c r="V781" s="84" t="str">
        <f>HYPERLINK("https://pbs.twimg.com/profile_images/1423783907439284225/qdy28g6R_normal.jpg")</f>
        <v>https://pbs.twimg.com/profile_images/1423783907439284225/qdy28g6R_normal.jpg</v>
      </c>
      <c r="W781" s="83">
        <v>44463.917638888888</v>
      </c>
      <c r="X781" s="89">
        <v>44463</v>
      </c>
      <c r="Y781" s="86" t="s">
        <v>6079</v>
      </c>
      <c r="Z781" s="84" t="str">
        <f>HYPERLINK("https://twitter.com/soninha28906779/status/1441523185044709380")</f>
        <v>https://twitter.com/soninha28906779/status/1441523185044709380</v>
      </c>
      <c r="AA781" s="81"/>
      <c r="AB781" s="81"/>
      <c r="AC781" s="86" t="s">
        <v>6982</v>
      </c>
      <c r="AD781" s="81"/>
      <c r="AE781" s="81" t="b">
        <v>0</v>
      </c>
      <c r="AF781" s="81">
        <v>0</v>
      </c>
      <c r="AG781" s="86" t="s">
        <v>2084</v>
      </c>
      <c r="AH781" s="81" t="b">
        <v>0</v>
      </c>
      <c r="AI781" s="81" t="s">
        <v>2173</v>
      </c>
      <c r="AJ781" s="81"/>
      <c r="AK781" s="86" t="s">
        <v>2084</v>
      </c>
      <c r="AL781" s="81" t="b">
        <v>0</v>
      </c>
      <c r="AM781" s="81">
        <v>21</v>
      </c>
      <c r="AN781" s="86" t="s">
        <v>7358</v>
      </c>
      <c r="AO781" s="86" t="s">
        <v>2178</v>
      </c>
      <c r="AP781" s="81" t="b">
        <v>0</v>
      </c>
      <c r="AQ781" s="86" t="s">
        <v>7358</v>
      </c>
      <c r="AR781" s="81" t="s">
        <v>179</v>
      </c>
      <c r="AS781" s="81">
        <v>0</v>
      </c>
      <c r="AT781" s="81">
        <v>0</v>
      </c>
      <c r="AU781" s="81"/>
      <c r="AV781" s="81"/>
      <c r="AW781" s="81"/>
      <c r="AX781" s="81"/>
      <c r="AY781" s="81"/>
      <c r="AZ781" s="81"/>
      <c r="BA781" s="81"/>
      <c r="BB781" s="81"/>
    </row>
    <row r="782" spans="1:54" x14ac:dyDescent="0.35">
      <c r="A782" s="66" t="s">
        <v>4442</v>
      </c>
      <c r="B782" s="66" t="s">
        <v>4797</v>
      </c>
      <c r="C782" s="67"/>
      <c r="D782" s="68"/>
      <c r="E782" s="69"/>
      <c r="F782" s="70"/>
      <c r="G782" s="67"/>
      <c r="H782" s="71"/>
      <c r="I782" s="72"/>
      <c r="J782" s="72"/>
      <c r="K782" s="36"/>
      <c r="L782" s="79"/>
      <c r="M782" s="79"/>
      <c r="N782" s="74"/>
      <c r="O782" s="81" t="s">
        <v>693</v>
      </c>
      <c r="P782" s="83">
        <v>44463.918229166666</v>
      </c>
      <c r="Q782" s="84" t="str">
        <f>HYPERLINK("https://t.co/t5CziaW0dH")</f>
        <v>https://t.co/t5CziaW0dH</v>
      </c>
      <c r="R782"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82" s="81" t="s">
        <v>5686</v>
      </c>
      <c r="T782" s="81"/>
      <c r="U782" s="81"/>
      <c r="V782" s="84" t="str">
        <f>HYPERLINK("https://pbs.twimg.com/profile_images/1161049746489978880/gve66IVD_normal.jpg")</f>
        <v>https://pbs.twimg.com/profile_images/1161049746489978880/gve66IVD_normal.jpg</v>
      </c>
      <c r="W782" s="83">
        <v>44463.918229166666</v>
      </c>
      <c r="X782" s="89">
        <v>44463</v>
      </c>
      <c r="Y782" s="86" t="s">
        <v>6080</v>
      </c>
      <c r="Z782" s="84" t="str">
        <f>HYPERLINK("https://twitter.com/r0d3s/status/1441523398446927875")</f>
        <v>https://twitter.com/r0d3s/status/1441523398446927875</v>
      </c>
      <c r="AA782" s="81"/>
      <c r="AB782" s="81"/>
      <c r="AC782" s="86" t="s">
        <v>6983</v>
      </c>
      <c r="AD782" s="81"/>
      <c r="AE782" s="81" t="b">
        <v>0</v>
      </c>
      <c r="AF782" s="81">
        <v>0</v>
      </c>
      <c r="AG782" s="86" t="s">
        <v>2084</v>
      </c>
      <c r="AH782" s="81" t="b">
        <v>0</v>
      </c>
      <c r="AI782" s="81" t="s">
        <v>2173</v>
      </c>
      <c r="AJ782" s="81"/>
      <c r="AK782" s="86" t="s">
        <v>2084</v>
      </c>
      <c r="AL782" s="81" t="b">
        <v>0</v>
      </c>
      <c r="AM782" s="81">
        <v>50</v>
      </c>
      <c r="AN782" s="86" t="s">
        <v>7395</v>
      </c>
      <c r="AO782" s="86" t="s">
        <v>2181</v>
      </c>
      <c r="AP782" s="81" t="b">
        <v>0</v>
      </c>
      <c r="AQ782" s="86" t="s">
        <v>7395</v>
      </c>
      <c r="AR782" s="81" t="s">
        <v>179</v>
      </c>
      <c r="AS782" s="81">
        <v>0</v>
      </c>
      <c r="AT782" s="81">
        <v>0</v>
      </c>
      <c r="AU782" s="81"/>
      <c r="AV782" s="81"/>
      <c r="AW782" s="81"/>
      <c r="AX782" s="81"/>
      <c r="AY782" s="81"/>
      <c r="AZ782" s="81"/>
      <c r="BA782" s="81"/>
      <c r="BB782" s="81"/>
    </row>
    <row r="783" spans="1:54" x14ac:dyDescent="0.35">
      <c r="A783" s="66" t="s">
        <v>4443</v>
      </c>
      <c r="B783" s="66" t="s">
        <v>4797</v>
      </c>
      <c r="C783" s="67"/>
      <c r="D783" s="68"/>
      <c r="E783" s="69"/>
      <c r="F783" s="70"/>
      <c r="G783" s="67"/>
      <c r="H783" s="71"/>
      <c r="I783" s="72"/>
      <c r="J783" s="72"/>
      <c r="K783" s="36"/>
      <c r="L783" s="79"/>
      <c r="M783" s="79"/>
      <c r="N783" s="74"/>
      <c r="O783" s="81" t="s">
        <v>693</v>
      </c>
      <c r="P783" s="83">
        <v>44463.926030092596</v>
      </c>
      <c r="Q783" s="84" t="str">
        <f>HYPERLINK("https://t.co/t5CziaW0dH")</f>
        <v>https://t.co/t5CziaW0dH</v>
      </c>
      <c r="R783"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83" s="81" t="s">
        <v>5686</v>
      </c>
      <c r="T783" s="81"/>
      <c r="U783" s="81"/>
      <c r="V783" s="84" t="str">
        <f>HYPERLINK("https://pbs.twimg.com/profile_images/1224074798806028299/5z0lDj2k_normal.jpg")</f>
        <v>https://pbs.twimg.com/profile_images/1224074798806028299/5z0lDj2k_normal.jpg</v>
      </c>
      <c r="W783" s="83">
        <v>44463.926030092596</v>
      </c>
      <c r="X783" s="89">
        <v>44463</v>
      </c>
      <c r="Y783" s="86" t="s">
        <v>6081</v>
      </c>
      <c r="Z783" s="84" t="str">
        <f>HYPERLINK("https://twitter.com/mia170963/status/1441526228008243204")</f>
        <v>https://twitter.com/mia170963/status/1441526228008243204</v>
      </c>
      <c r="AA783" s="81"/>
      <c r="AB783" s="81"/>
      <c r="AC783" s="86" t="s">
        <v>6984</v>
      </c>
      <c r="AD783" s="81"/>
      <c r="AE783" s="81" t="b">
        <v>0</v>
      </c>
      <c r="AF783" s="81">
        <v>0</v>
      </c>
      <c r="AG783" s="86" t="s">
        <v>2084</v>
      </c>
      <c r="AH783" s="81" t="b">
        <v>0</v>
      </c>
      <c r="AI783" s="81" t="s">
        <v>2173</v>
      </c>
      <c r="AJ783" s="81"/>
      <c r="AK783" s="86" t="s">
        <v>2084</v>
      </c>
      <c r="AL783" s="81" t="b">
        <v>0</v>
      </c>
      <c r="AM783" s="81">
        <v>50</v>
      </c>
      <c r="AN783" s="86" t="s">
        <v>7395</v>
      </c>
      <c r="AO783" s="86" t="s">
        <v>2179</v>
      </c>
      <c r="AP783" s="81" t="b">
        <v>0</v>
      </c>
      <c r="AQ783" s="86" t="s">
        <v>7395</v>
      </c>
      <c r="AR783" s="81" t="s">
        <v>179</v>
      </c>
      <c r="AS783" s="81">
        <v>0</v>
      </c>
      <c r="AT783" s="81">
        <v>0</v>
      </c>
      <c r="AU783" s="81"/>
      <c r="AV783" s="81"/>
      <c r="AW783" s="81"/>
      <c r="AX783" s="81"/>
      <c r="AY783" s="81"/>
      <c r="AZ783" s="81"/>
      <c r="BA783" s="81"/>
      <c r="BB783" s="81"/>
    </row>
    <row r="784" spans="1:54" x14ac:dyDescent="0.35">
      <c r="A784" s="66" t="s">
        <v>4444</v>
      </c>
      <c r="B784" s="66" t="s">
        <v>4797</v>
      </c>
      <c r="C784" s="67"/>
      <c r="D784" s="68"/>
      <c r="E784" s="69"/>
      <c r="F784" s="70"/>
      <c r="G784" s="67"/>
      <c r="H784" s="71"/>
      <c r="I784" s="72"/>
      <c r="J784" s="72"/>
      <c r="K784" s="36"/>
      <c r="L784" s="79"/>
      <c r="M784" s="79"/>
      <c r="N784" s="74"/>
      <c r="O784" s="81" t="s">
        <v>693</v>
      </c>
      <c r="P784" s="83">
        <v>44463.928564814814</v>
      </c>
      <c r="Q784" s="84" t="str">
        <f>HYPERLINK("https://t.co/t5CziaW0dH")</f>
        <v>https://t.co/t5CziaW0dH</v>
      </c>
      <c r="R78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84" s="81" t="s">
        <v>5686</v>
      </c>
      <c r="T784" s="81"/>
      <c r="U784" s="81"/>
      <c r="V784" s="84" t="str">
        <f>HYPERLINK("https://pbs.twimg.com/profile_images/1264316166111137795/laOqBCoF_normal.jpg")</f>
        <v>https://pbs.twimg.com/profile_images/1264316166111137795/laOqBCoF_normal.jpg</v>
      </c>
      <c r="W784" s="83">
        <v>44463.928564814814</v>
      </c>
      <c r="X784" s="89">
        <v>44463</v>
      </c>
      <c r="Y784" s="86" t="s">
        <v>6082</v>
      </c>
      <c r="Z784" s="84" t="str">
        <f>HYPERLINK("https://twitter.com/paulikita2/status/1441527147143864320")</f>
        <v>https://twitter.com/paulikita2/status/1441527147143864320</v>
      </c>
      <c r="AA784" s="81"/>
      <c r="AB784" s="81"/>
      <c r="AC784" s="86" t="s">
        <v>6985</v>
      </c>
      <c r="AD784" s="81"/>
      <c r="AE784" s="81" t="b">
        <v>0</v>
      </c>
      <c r="AF784" s="81">
        <v>0</v>
      </c>
      <c r="AG784" s="86" t="s">
        <v>2084</v>
      </c>
      <c r="AH784" s="81" t="b">
        <v>0</v>
      </c>
      <c r="AI784" s="81" t="s">
        <v>2173</v>
      </c>
      <c r="AJ784" s="81"/>
      <c r="AK784" s="86" t="s">
        <v>2084</v>
      </c>
      <c r="AL784" s="81" t="b">
        <v>0</v>
      </c>
      <c r="AM784" s="81">
        <v>50</v>
      </c>
      <c r="AN784" s="86" t="s">
        <v>7395</v>
      </c>
      <c r="AO784" s="86" t="s">
        <v>2179</v>
      </c>
      <c r="AP784" s="81" t="b">
        <v>0</v>
      </c>
      <c r="AQ784" s="86" t="s">
        <v>7395</v>
      </c>
      <c r="AR784" s="81" t="s">
        <v>179</v>
      </c>
      <c r="AS784" s="81">
        <v>0</v>
      </c>
      <c r="AT784" s="81">
        <v>0</v>
      </c>
      <c r="AU784" s="81"/>
      <c r="AV784" s="81"/>
      <c r="AW784" s="81"/>
      <c r="AX784" s="81"/>
      <c r="AY784" s="81"/>
      <c r="AZ784" s="81"/>
      <c r="BA784" s="81"/>
      <c r="BB784" s="81"/>
    </row>
    <row r="785" spans="1:54" x14ac:dyDescent="0.35">
      <c r="A785" s="66" t="s">
        <v>4445</v>
      </c>
      <c r="B785" s="66" t="s">
        <v>4797</v>
      </c>
      <c r="C785" s="67"/>
      <c r="D785" s="68"/>
      <c r="E785" s="69"/>
      <c r="F785" s="70"/>
      <c r="G785" s="67"/>
      <c r="H785" s="71"/>
      <c r="I785" s="72"/>
      <c r="J785" s="72"/>
      <c r="K785" s="36"/>
      <c r="L785" s="79"/>
      <c r="M785" s="79"/>
      <c r="N785" s="74"/>
      <c r="O785" s="81" t="s">
        <v>693</v>
      </c>
      <c r="P785" s="83">
        <v>44463.934942129628</v>
      </c>
      <c r="Q785" s="84" t="str">
        <f>HYPERLINK("https://t.co/t5CziaW0dH")</f>
        <v>https://t.co/t5CziaW0dH</v>
      </c>
      <c r="R785"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85" s="81" t="s">
        <v>5686</v>
      </c>
      <c r="T785" s="81"/>
      <c r="U785" s="81"/>
      <c r="V785" s="84" t="str">
        <f>HYPERLINK("https://pbs.twimg.com/profile_images/1348278632280690689/8MCdg2BE_normal.jpg")</f>
        <v>https://pbs.twimg.com/profile_images/1348278632280690689/8MCdg2BE_normal.jpg</v>
      </c>
      <c r="W785" s="83">
        <v>44463.934942129628</v>
      </c>
      <c r="X785" s="89">
        <v>44463</v>
      </c>
      <c r="Y785" s="86" t="s">
        <v>6083</v>
      </c>
      <c r="Z785" s="84" t="str">
        <f>HYPERLINK("https://twitter.com/sandrotca/status/1441529458297606144")</f>
        <v>https://twitter.com/sandrotca/status/1441529458297606144</v>
      </c>
      <c r="AA785" s="81"/>
      <c r="AB785" s="81"/>
      <c r="AC785" s="86" t="s">
        <v>6986</v>
      </c>
      <c r="AD785" s="81"/>
      <c r="AE785" s="81" t="b">
        <v>0</v>
      </c>
      <c r="AF785" s="81">
        <v>0</v>
      </c>
      <c r="AG785" s="86" t="s">
        <v>2084</v>
      </c>
      <c r="AH785" s="81" t="b">
        <v>0</v>
      </c>
      <c r="AI785" s="81" t="s">
        <v>2173</v>
      </c>
      <c r="AJ785" s="81"/>
      <c r="AK785" s="86" t="s">
        <v>2084</v>
      </c>
      <c r="AL785" s="81" t="b">
        <v>0</v>
      </c>
      <c r="AM785" s="81">
        <v>50</v>
      </c>
      <c r="AN785" s="86" t="s">
        <v>7395</v>
      </c>
      <c r="AO785" s="86" t="s">
        <v>2179</v>
      </c>
      <c r="AP785" s="81" t="b">
        <v>0</v>
      </c>
      <c r="AQ785" s="86" t="s">
        <v>7395</v>
      </c>
      <c r="AR785" s="81" t="s">
        <v>179</v>
      </c>
      <c r="AS785" s="81">
        <v>0</v>
      </c>
      <c r="AT785" s="81">
        <v>0</v>
      </c>
      <c r="AU785" s="81"/>
      <c r="AV785" s="81"/>
      <c r="AW785" s="81"/>
      <c r="AX785" s="81"/>
      <c r="AY785" s="81"/>
      <c r="AZ785" s="81"/>
      <c r="BA785" s="81"/>
      <c r="BB785" s="81"/>
    </row>
    <row r="786" spans="1:54" x14ac:dyDescent="0.35">
      <c r="A786" s="66" t="s">
        <v>4446</v>
      </c>
      <c r="B786" s="66" t="s">
        <v>4797</v>
      </c>
      <c r="C786" s="67"/>
      <c r="D786" s="68"/>
      <c r="E786" s="69"/>
      <c r="F786" s="70"/>
      <c r="G786" s="67"/>
      <c r="H786" s="71"/>
      <c r="I786" s="72"/>
      <c r="J786" s="72"/>
      <c r="K786" s="36"/>
      <c r="L786" s="79"/>
      <c r="M786" s="79"/>
      <c r="N786" s="74"/>
      <c r="O786" s="81" t="s">
        <v>693</v>
      </c>
      <c r="P786" s="83">
        <v>44463.936238425929</v>
      </c>
      <c r="Q786" s="84" t="str">
        <f>HYPERLINK("https://t.co/t5CziaW0dH")</f>
        <v>https://t.co/t5CziaW0dH</v>
      </c>
      <c r="R78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86" s="81" t="s">
        <v>5686</v>
      </c>
      <c r="T786" s="81"/>
      <c r="U786" s="81"/>
      <c r="V786" s="84" t="str">
        <f>HYPERLINK("https://pbs.twimg.com/profile_images/1347744401972408320/gV7rkCEl_normal.jpg")</f>
        <v>https://pbs.twimg.com/profile_images/1347744401972408320/gV7rkCEl_normal.jpg</v>
      </c>
      <c r="W786" s="83">
        <v>44463.936238425929</v>
      </c>
      <c r="X786" s="89">
        <v>44463</v>
      </c>
      <c r="Y786" s="86" t="s">
        <v>6084</v>
      </c>
      <c r="Z786" s="84" t="str">
        <f>HYPERLINK("https://twitter.com/epmoraes2/status/1441529925681532931")</f>
        <v>https://twitter.com/epmoraes2/status/1441529925681532931</v>
      </c>
      <c r="AA786" s="81"/>
      <c r="AB786" s="81"/>
      <c r="AC786" s="86" t="s">
        <v>6987</v>
      </c>
      <c r="AD786" s="81"/>
      <c r="AE786" s="81" t="b">
        <v>0</v>
      </c>
      <c r="AF786" s="81">
        <v>0</v>
      </c>
      <c r="AG786" s="86" t="s">
        <v>2084</v>
      </c>
      <c r="AH786" s="81" t="b">
        <v>0</v>
      </c>
      <c r="AI786" s="81" t="s">
        <v>2173</v>
      </c>
      <c r="AJ786" s="81"/>
      <c r="AK786" s="86" t="s">
        <v>2084</v>
      </c>
      <c r="AL786" s="81" t="b">
        <v>0</v>
      </c>
      <c r="AM786" s="81">
        <v>50</v>
      </c>
      <c r="AN786" s="86" t="s">
        <v>7395</v>
      </c>
      <c r="AO786" s="86" t="s">
        <v>2179</v>
      </c>
      <c r="AP786" s="81" t="b">
        <v>0</v>
      </c>
      <c r="AQ786" s="86" t="s">
        <v>7395</v>
      </c>
      <c r="AR786" s="81" t="s">
        <v>179</v>
      </c>
      <c r="AS786" s="81">
        <v>0</v>
      </c>
      <c r="AT786" s="81">
        <v>0</v>
      </c>
      <c r="AU786" s="81"/>
      <c r="AV786" s="81"/>
      <c r="AW786" s="81"/>
      <c r="AX786" s="81"/>
      <c r="AY786" s="81"/>
      <c r="AZ786" s="81"/>
      <c r="BA786" s="81"/>
      <c r="BB786" s="81"/>
    </row>
    <row r="787" spans="1:54" x14ac:dyDescent="0.35">
      <c r="A787" s="66" t="s">
        <v>4447</v>
      </c>
      <c r="B787" s="66" t="s">
        <v>4797</v>
      </c>
      <c r="C787" s="67"/>
      <c r="D787" s="68"/>
      <c r="E787" s="69"/>
      <c r="F787" s="70"/>
      <c r="G787" s="67"/>
      <c r="H787" s="71"/>
      <c r="I787" s="72"/>
      <c r="J787" s="72"/>
      <c r="K787" s="36"/>
      <c r="L787" s="79"/>
      <c r="M787" s="79"/>
      <c r="N787" s="74"/>
      <c r="O787" s="81" t="s">
        <v>693</v>
      </c>
      <c r="P787" s="83">
        <v>44463.941250000003</v>
      </c>
      <c r="Q787" s="84" t="str">
        <f>HYPERLINK("https://t.co/t5CziaW0dH")</f>
        <v>https://t.co/t5CziaW0dH</v>
      </c>
      <c r="R78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87" s="81" t="s">
        <v>5686</v>
      </c>
      <c r="T787" s="81"/>
      <c r="U787" s="81"/>
      <c r="V787" s="84" t="str">
        <f>HYPERLINK("https://pbs.twimg.com/profile_images/409581033/TCasso_normal.jpg")</f>
        <v>https://pbs.twimg.com/profile_images/409581033/TCasso_normal.jpg</v>
      </c>
      <c r="W787" s="83">
        <v>44463.941250000003</v>
      </c>
      <c r="X787" s="89">
        <v>44463</v>
      </c>
      <c r="Y787" s="86" t="s">
        <v>6085</v>
      </c>
      <c r="Z787" s="84" t="str">
        <f>HYPERLINK("https://twitter.com/tito_macedo/status/1441531743945826307")</f>
        <v>https://twitter.com/tito_macedo/status/1441531743945826307</v>
      </c>
      <c r="AA787" s="81"/>
      <c r="AB787" s="81"/>
      <c r="AC787" s="86" t="s">
        <v>6988</v>
      </c>
      <c r="AD787" s="81"/>
      <c r="AE787" s="81" t="b">
        <v>0</v>
      </c>
      <c r="AF787" s="81">
        <v>0</v>
      </c>
      <c r="AG787" s="86" t="s">
        <v>2084</v>
      </c>
      <c r="AH787" s="81" t="b">
        <v>0</v>
      </c>
      <c r="AI787" s="81" t="s">
        <v>2173</v>
      </c>
      <c r="AJ787" s="81"/>
      <c r="AK787" s="86" t="s">
        <v>2084</v>
      </c>
      <c r="AL787" s="81" t="b">
        <v>0</v>
      </c>
      <c r="AM787" s="81">
        <v>50</v>
      </c>
      <c r="AN787" s="86" t="s">
        <v>7395</v>
      </c>
      <c r="AO787" s="86" t="s">
        <v>2178</v>
      </c>
      <c r="AP787" s="81" t="b">
        <v>0</v>
      </c>
      <c r="AQ787" s="86" t="s">
        <v>7395</v>
      </c>
      <c r="AR787" s="81" t="s">
        <v>179</v>
      </c>
      <c r="AS787" s="81">
        <v>0</v>
      </c>
      <c r="AT787" s="81">
        <v>0</v>
      </c>
      <c r="AU787" s="81"/>
      <c r="AV787" s="81"/>
      <c r="AW787" s="81"/>
      <c r="AX787" s="81"/>
      <c r="AY787" s="81"/>
      <c r="AZ787" s="81"/>
      <c r="BA787" s="81"/>
      <c r="BB787" s="81"/>
    </row>
    <row r="788" spans="1:54" x14ac:dyDescent="0.35">
      <c r="A788" s="66" t="s">
        <v>4448</v>
      </c>
      <c r="B788" s="66" t="s">
        <v>4980</v>
      </c>
      <c r="C788" s="67"/>
      <c r="D788" s="68"/>
      <c r="E788" s="69"/>
      <c r="F788" s="70"/>
      <c r="G788" s="67"/>
      <c r="H788" s="71"/>
      <c r="I788" s="72"/>
      <c r="J788" s="72"/>
      <c r="K788" s="36"/>
      <c r="L788" s="79"/>
      <c r="M788" s="79"/>
      <c r="N788" s="74"/>
      <c r="O788" s="81" t="s">
        <v>695</v>
      </c>
      <c r="P788" s="83">
        <v>44463.962777777779</v>
      </c>
      <c r="Q788" s="81" t="s">
        <v>5436</v>
      </c>
      <c r="R788" s="81"/>
      <c r="S788" s="81"/>
      <c r="T788" s="86" t="s">
        <v>5776</v>
      </c>
      <c r="U788" s="81"/>
      <c r="V788" s="84" t="str">
        <f>HYPERLINK("https://pbs.twimg.com/profile_images/1430677396336820229/fC6B5yb0_normal.jpg")</f>
        <v>https://pbs.twimg.com/profile_images/1430677396336820229/fC6B5yb0_normal.jpg</v>
      </c>
      <c r="W788" s="83">
        <v>44463.962777777779</v>
      </c>
      <c r="X788" s="89">
        <v>44463</v>
      </c>
      <c r="Y788" s="86" t="s">
        <v>6086</v>
      </c>
      <c r="Z788" s="84" t="str">
        <f>HYPERLINK("https://twitter.com/freedombrazil21/status/1441539543539273731")</f>
        <v>https://twitter.com/freedombrazil21/status/1441539543539273731</v>
      </c>
      <c r="AA788" s="81"/>
      <c r="AB788" s="81"/>
      <c r="AC788" s="86" t="s">
        <v>6989</v>
      </c>
      <c r="AD788" s="86" t="s">
        <v>7682</v>
      </c>
      <c r="AE788" s="81" t="b">
        <v>0</v>
      </c>
      <c r="AF788" s="81">
        <v>0</v>
      </c>
      <c r="AG788" s="86" t="s">
        <v>7792</v>
      </c>
      <c r="AH788" s="81" t="b">
        <v>0</v>
      </c>
      <c r="AI788" s="81" t="s">
        <v>2171</v>
      </c>
      <c r="AJ788" s="81"/>
      <c r="AK788" s="86" t="s">
        <v>2084</v>
      </c>
      <c r="AL788" s="81" t="b">
        <v>0</v>
      </c>
      <c r="AM788" s="81">
        <v>0</v>
      </c>
      <c r="AN788" s="86" t="s">
        <v>2084</v>
      </c>
      <c r="AO788" s="86" t="s">
        <v>2178</v>
      </c>
      <c r="AP788" s="81" t="b">
        <v>0</v>
      </c>
      <c r="AQ788" s="86" t="s">
        <v>7682</v>
      </c>
      <c r="AR788" s="81" t="s">
        <v>179</v>
      </c>
      <c r="AS788" s="81">
        <v>0</v>
      </c>
      <c r="AT788" s="81">
        <v>0</v>
      </c>
      <c r="AU788" s="81"/>
      <c r="AV788" s="81"/>
      <c r="AW788" s="81"/>
      <c r="AX788" s="81"/>
      <c r="AY788" s="81"/>
      <c r="AZ788" s="81"/>
      <c r="BA788" s="81"/>
      <c r="BB788" s="81"/>
    </row>
    <row r="789" spans="1:54" x14ac:dyDescent="0.35">
      <c r="A789" s="66" t="s">
        <v>4449</v>
      </c>
      <c r="B789" s="66" t="s">
        <v>4797</v>
      </c>
      <c r="C789" s="67"/>
      <c r="D789" s="68"/>
      <c r="E789" s="69"/>
      <c r="F789" s="70"/>
      <c r="G789" s="67"/>
      <c r="H789" s="71"/>
      <c r="I789" s="72"/>
      <c r="J789" s="72"/>
      <c r="K789" s="36"/>
      <c r="L789" s="79"/>
      <c r="M789" s="79"/>
      <c r="N789" s="74"/>
      <c r="O789" s="81" t="s">
        <v>693</v>
      </c>
      <c r="P789" s="83">
        <v>44463.970520833333</v>
      </c>
      <c r="Q789" s="81" t="s">
        <v>5435</v>
      </c>
      <c r="R78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89" s="81" t="s">
        <v>5686</v>
      </c>
      <c r="T789" s="81"/>
      <c r="U789" s="81"/>
      <c r="V789" s="84" t="str">
        <f>HYPERLINK("https://pbs.twimg.com/profile_images/1435638131626233857/XXGddZHd_normal.jpg")</f>
        <v>https://pbs.twimg.com/profile_images/1435638131626233857/XXGddZHd_normal.jpg</v>
      </c>
      <c r="W789" s="83">
        <v>44463.970520833333</v>
      </c>
      <c r="X789" s="89">
        <v>44463</v>
      </c>
      <c r="Y789" s="86" t="s">
        <v>1138</v>
      </c>
      <c r="Z789" s="84" t="str">
        <f>HYPERLINK("https://twitter.com/anaherr68016722/status/1441542352204664832")</f>
        <v>https://twitter.com/anaherr68016722/status/1441542352204664832</v>
      </c>
      <c r="AA789" s="81"/>
      <c r="AB789" s="81"/>
      <c r="AC789" s="86" t="s">
        <v>6990</v>
      </c>
      <c r="AD789" s="81"/>
      <c r="AE789" s="81" t="b">
        <v>0</v>
      </c>
      <c r="AF789" s="81">
        <v>0</v>
      </c>
      <c r="AG789" s="86" t="s">
        <v>2084</v>
      </c>
      <c r="AH789" s="81" t="b">
        <v>0</v>
      </c>
      <c r="AI789" s="81" t="s">
        <v>2173</v>
      </c>
      <c r="AJ789" s="81"/>
      <c r="AK789" s="86" t="s">
        <v>2084</v>
      </c>
      <c r="AL789" s="81" t="b">
        <v>0</v>
      </c>
      <c r="AM789" s="81">
        <v>21</v>
      </c>
      <c r="AN789" s="86" t="s">
        <v>7358</v>
      </c>
      <c r="AO789" s="86" t="s">
        <v>2178</v>
      </c>
      <c r="AP789" s="81" t="b">
        <v>0</v>
      </c>
      <c r="AQ789" s="86" t="s">
        <v>7358</v>
      </c>
      <c r="AR789" s="81" t="s">
        <v>179</v>
      </c>
      <c r="AS789" s="81">
        <v>0</v>
      </c>
      <c r="AT789" s="81">
        <v>0</v>
      </c>
      <c r="AU789" s="81"/>
      <c r="AV789" s="81"/>
      <c r="AW789" s="81"/>
      <c r="AX789" s="81"/>
      <c r="AY789" s="81"/>
      <c r="AZ789" s="81"/>
      <c r="BA789" s="81"/>
      <c r="BB789" s="81"/>
    </row>
    <row r="790" spans="1:54" x14ac:dyDescent="0.35">
      <c r="A790" s="66" t="s">
        <v>4449</v>
      </c>
      <c r="B790" s="66" t="s">
        <v>5085</v>
      </c>
      <c r="C790" s="67"/>
      <c r="D790" s="68"/>
      <c r="E790" s="69"/>
      <c r="F790" s="70"/>
      <c r="G790" s="67"/>
      <c r="H790" s="71"/>
      <c r="I790" s="72"/>
      <c r="J790" s="72"/>
      <c r="K790" s="36"/>
      <c r="L790" s="79"/>
      <c r="M790" s="79"/>
      <c r="N790" s="74"/>
      <c r="O790" s="81" t="s">
        <v>695</v>
      </c>
      <c r="P790" s="83">
        <v>44463.970520833333</v>
      </c>
      <c r="Q790" s="81" t="s">
        <v>5435</v>
      </c>
      <c r="R79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90" s="81" t="s">
        <v>5686</v>
      </c>
      <c r="T790" s="81"/>
      <c r="U790" s="81"/>
      <c r="V790" s="84" t="str">
        <f>HYPERLINK("https://pbs.twimg.com/profile_images/1435638131626233857/XXGddZHd_normal.jpg")</f>
        <v>https://pbs.twimg.com/profile_images/1435638131626233857/XXGddZHd_normal.jpg</v>
      </c>
      <c r="W790" s="83">
        <v>44463.970520833333</v>
      </c>
      <c r="X790" s="89">
        <v>44463</v>
      </c>
      <c r="Y790" s="86" t="s">
        <v>1138</v>
      </c>
      <c r="Z790" s="84" t="str">
        <f>HYPERLINK("https://twitter.com/anaherr68016722/status/1441542352204664832")</f>
        <v>https://twitter.com/anaherr68016722/status/1441542352204664832</v>
      </c>
      <c r="AA790" s="81"/>
      <c r="AB790" s="81"/>
      <c r="AC790" s="86" t="s">
        <v>6990</v>
      </c>
      <c r="AD790" s="81"/>
      <c r="AE790" s="81" t="b">
        <v>0</v>
      </c>
      <c r="AF790" s="81">
        <v>0</v>
      </c>
      <c r="AG790" s="86" t="s">
        <v>2084</v>
      </c>
      <c r="AH790" s="81" t="b">
        <v>0</v>
      </c>
      <c r="AI790" s="81" t="s">
        <v>2173</v>
      </c>
      <c r="AJ790" s="81"/>
      <c r="AK790" s="86" t="s">
        <v>2084</v>
      </c>
      <c r="AL790" s="81" t="b">
        <v>0</v>
      </c>
      <c r="AM790" s="81">
        <v>21</v>
      </c>
      <c r="AN790" s="86" t="s">
        <v>7358</v>
      </c>
      <c r="AO790" s="86" t="s">
        <v>2178</v>
      </c>
      <c r="AP790" s="81" t="b">
        <v>0</v>
      </c>
      <c r="AQ790" s="86" t="s">
        <v>7358</v>
      </c>
      <c r="AR790" s="81" t="s">
        <v>179</v>
      </c>
      <c r="AS790" s="81">
        <v>0</v>
      </c>
      <c r="AT790" s="81">
        <v>0</v>
      </c>
      <c r="AU790" s="81"/>
      <c r="AV790" s="81"/>
      <c r="AW790" s="81"/>
      <c r="AX790" s="81"/>
      <c r="AY790" s="81"/>
      <c r="AZ790" s="81"/>
      <c r="BA790" s="81"/>
      <c r="BB790" s="81"/>
    </row>
    <row r="791" spans="1:54" x14ac:dyDescent="0.35">
      <c r="A791" s="66" t="s">
        <v>433</v>
      </c>
      <c r="B791" s="66" t="s">
        <v>646</v>
      </c>
      <c r="C791" s="67"/>
      <c r="D791" s="68"/>
      <c r="E791" s="69"/>
      <c r="F791" s="70"/>
      <c r="G791" s="67"/>
      <c r="H791" s="71"/>
      <c r="I791" s="72"/>
      <c r="J791" s="72"/>
      <c r="K791" s="36"/>
      <c r="L791" s="79"/>
      <c r="M791" s="79"/>
      <c r="N791" s="74"/>
      <c r="O791" s="81" t="s">
        <v>694</v>
      </c>
      <c r="P791" s="83">
        <v>44463.976215277777</v>
      </c>
      <c r="Q791" s="81" t="s">
        <v>804</v>
      </c>
      <c r="R791" s="81"/>
      <c r="S791" s="81"/>
      <c r="T791" s="86" t="s">
        <v>649</v>
      </c>
      <c r="U791" s="84" t="str">
        <f>HYPERLINK("https://pbs.twimg.com/media/FAEaAdPVgAgaH2z.jpg")</f>
        <v>https://pbs.twimg.com/media/FAEaAdPVgAgaH2z.jpg</v>
      </c>
      <c r="V791" s="84" t="str">
        <f>HYPERLINK("https://pbs.twimg.com/media/FAEaAdPVgAgaH2z.jpg")</f>
        <v>https://pbs.twimg.com/media/FAEaAdPVgAgaH2z.jpg</v>
      </c>
      <c r="W791" s="83">
        <v>44463.976215277777</v>
      </c>
      <c r="X791" s="89">
        <v>44463</v>
      </c>
      <c r="Y791" s="86" t="s">
        <v>1276</v>
      </c>
      <c r="Z791" s="84" t="str">
        <f>HYPERLINK("https://twitter.com/purpleejinnie/status/1441544413067415555")</f>
        <v>https://twitter.com/purpleejinnie/status/1441544413067415555</v>
      </c>
      <c r="AA791" s="81"/>
      <c r="AB791" s="81"/>
      <c r="AC791" s="86" t="s">
        <v>1772</v>
      </c>
      <c r="AD791" s="81"/>
      <c r="AE791" s="81" t="b">
        <v>0</v>
      </c>
      <c r="AF791" s="81">
        <v>0</v>
      </c>
      <c r="AG791" s="86" t="s">
        <v>2084</v>
      </c>
      <c r="AH791" s="81" t="b">
        <v>0</v>
      </c>
      <c r="AI791" s="81" t="s">
        <v>2168</v>
      </c>
      <c r="AJ791" s="81"/>
      <c r="AK791" s="86" t="s">
        <v>2084</v>
      </c>
      <c r="AL791" s="81" t="b">
        <v>0</v>
      </c>
      <c r="AM791" s="81">
        <v>22</v>
      </c>
      <c r="AN791" s="86" t="s">
        <v>1846</v>
      </c>
      <c r="AO791" s="86" t="s">
        <v>2179</v>
      </c>
      <c r="AP791" s="81" t="b">
        <v>0</v>
      </c>
      <c r="AQ791" s="86" t="s">
        <v>1846</v>
      </c>
      <c r="AR791" s="81" t="s">
        <v>179</v>
      </c>
      <c r="AS791" s="81">
        <v>0</v>
      </c>
      <c r="AT791" s="81">
        <v>0</v>
      </c>
      <c r="AU791" s="81"/>
      <c r="AV791" s="81"/>
      <c r="AW791" s="81"/>
      <c r="AX791" s="81"/>
      <c r="AY791" s="81"/>
      <c r="AZ791" s="81"/>
      <c r="BA791" s="81"/>
      <c r="BB791" s="81"/>
    </row>
    <row r="792" spans="1:54" x14ac:dyDescent="0.35">
      <c r="A792" s="66" t="s">
        <v>433</v>
      </c>
      <c r="B792" s="66" t="s">
        <v>647</v>
      </c>
      <c r="C792" s="67"/>
      <c r="D792" s="68"/>
      <c r="E792" s="69"/>
      <c r="F792" s="70"/>
      <c r="G792" s="67"/>
      <c r="H792" s="71"/>
      <c r="I792" s="72"/>
      <c r="J792" s="72"/>
      <c r="K792" s="36"/>
      <c r="L792" s="79"/>
      <c r="M792" s="79"/>
      <c r="N792" s="74"/>
      <c r="O792" s="81" t="s">
        <v>694</v>
      </c>
      <c r="P792" s="83">
        <v>44463.976215277777</v>
      </c>
      <c r="Q792" s="81" t="s">
        <v>804</v>
      </c>
      <c r="R792" s="81"/>
      <c r="S792" s="81"/>
      <c r="T792" s="86" t="s">
        <v>649</v>
      </c>
      <c r="U792" s="84" t="str">
        <f>HYPERLINK("https://pbs.twimg.com/media/FAEaAdPVgAgaH2z.jpg")</f>
        <v>https://pbs.twimg.com/media/FAEaAdPVgAgaH2z.jpg</v>
      </c>
      <c r="V792" s="84" t="str">
        <f>HYPERLINK("https://pbs.twimg.com/media/FAEaAdPVgAgaH2z.jpg")</f>
        <v>https://pbs.twimg.com/media/FAEaAdPVgAgaH2z.jpg</v>
      </c>
      <c r="W792" s="83">
        <v>44463.976215277777</v>
      </c>
      <c r="X792" s="89">
        <v>44463</v>
      </c>
      <c r="Y792" s="86" t="s">
        <v>1276</v>
      </c>
      <c r="Z792" s="84" t="str">
        <f>HYPERLINK("https://twitter.com/purpleejinnie/status/1441544413067415555")</f>
        <v>https://twitter.com/purpleejinnie/status/1441544413067415555</v>
      </c>
      <c r="AA792" s="81"/>
      <c r="AB792" s="81"/>
      <c r="AC792" s="86" t="s">
        <v>1772</v>
      </c>
      <c r="AD792" s="81"/>
      <c r="AE792" s="81" t="b">
        <v>0</v>
      </c>
      <c r="AF792" s="81">
        <v>0</v>
      </c>
      <c r="AG792" s="86" t="s">
        <v>2084</v>
      </c>
      <c r="AH792" s="81" t="b">
        <v>0</v>
      </c>
      <c r="AI792" s="81" t="s">
        <v>2168</v>
      </c>
      <c r="AJ792" s="81"/>
      <c r="AK792" s="86" t="s">
        <v>2084</v>
      </c>
      <c r="AL792" s="81" t="b">
        <v>0</v>
      </c>
      <c r="AM792" s="81">
        <v>22</v>
      </c>
      <c r="AN792" s="86" t="s">
        <v>1846</v>
      </c>
      <c r="AO792" s="86" t="s">
        <v>2179</v>
      </c>
      <c r="AP792" s="81" t="b">
        <v>0</v>
      </c>
      <c r="AQ792" s="86" t="s">
        <v>1846</v>
      </c>
      <c r="AR792" s="81" t="s">
        <v>179</v>
      </c>
      <c r="AS792" s="81">
        <v>0</v>
      </c>
      <c r="AT792" s="81">
        <v>0</v>
      </c>
      <c r="AU792" s="81"/>
      <c r="AV792" s="81"/>
      <c r="AW792" s="81"/>
      <c r="AX792" s="81"/>
      <c r="AY792" s="81"/>
      <c r="AZ792" s="81"/>
      <c r="BA792" s="81"/>
      <c r="BB792" s="81"/>
    </row>
    <row r="793" spans="1:54" x14ac:dyDescent="0.35">
      <c r="A793" s="66" t="s">
        <v>433</v>
      </c>
      <c r="B793" s="66" t="s">
        <v>648</v>
      </c>
      <c r="C793" s="67"/>
      <c r="D793" s="68"/>
      <c r="E793" s="69"/>
      <c r="F793" s="70"/>
      <c r="G793" s="67"/>
      <c r="H793" s="71"/>
      <c r="I793" s="72"/>
      <c r="J793" s="72"/>
      <c r="K793" s="36"/>
      <c r="L793" s="79"/>
      <c r="M793" s="79"/>
      <c r="N793" s="74"/>
      <c r="O793" s="81" t="s">
        <v>694</v>
      </c>
      <c r="P793" s="83">
        <v>44463.976215277777</v>
      </c>
      <c r="Q793" s="81" t="s">
        <v>804</v>
      </c>
      <c r="R793" s="81"/>
      <c r="S793" s="81"/>
      <c r="T793" s="86" t="s">
        <v>649</v>
      </c>
      <c r="U793" s="84" t="str">
        <f>HYPERLINK("https://pbs.twimg.com/media/FAEaAdPVgAgaH2z.jpg")</f>
        <v>https://pbs.twimg.com/media/FAEaAdPVgAgaH2z.jpg</v>
      </c>
      <c r="V793" s="84" t="str">
        <f>HYPERLINK("https://pbs.twimg.com/media/FAEaAdPVgAgaH2z.jpg")</f>
        <v>https://pbs.twimg.com/media/FAEaAdPVgAgaH2z.jpg</v>
      </c>
      <c r="W793" s="83">
        <v>44463.976215277777</v>
      </c>
      <c r="X793" s="89">
        <v>44463</v>
      </c>
      <c r="Y793" s="86" t="s">
        <v>1276</v>
      </c>
      <c r="Z793" s="84" t="str">
        <f>HYPERLINK("https://twitter.com/purpleejinnie/status/1441544413067415555")</f>
        <v>https://twitter.com/purpleejinnie/status/1441544413067415555</v>
      </c>
      <c r="AA793" s="81"/>
      <c r="AB793" s="81"/>
      <c r="AC793" s="86" t="s">
        <v>1772</v>
      </c>
      <c r="AD793" s="81"/>
      <c r="AE793" s="81" t="b">
        <v>0</v>
      </c>
      <c r="AF793" s="81">
        <v>0</v>
      </c>
      <c r="AG793" s="86" t="s">
        <v>2084</v>
      </c>
      <c r="AH793" s="81" t="b">
        <v>0</v>
      </c>
      <c r="AI793" s="81" t="s">
        <v>2168</v>
      </c>
      <c r="AJ793" s="81"/>
      <c r="AK793" s="86" t="s">
        <v>2084</v>
      </c>
      <c r="AL793" s="81" t="b">
        <v>0</v>
      </c>
      <c r="AM793" s="81">
        <v>22</v>
      </c>
      <c r="AN793" s="86" t="s">
        <v>1846</v>
      </c>
      <c r="AO793" s="86" t="s">
        <v>2179</v>
      </c>
      <c r="AP793" s="81" t="b">
        <v>0</v>
      </c>
      <c r="AQ793" s="86" t="s">
        <v>1846</v>
      </c>
      <c r="AR793" s="81" t="s">
        <v>179</v>
      </c>
      <c r="AS793" s="81">
        <v>0</v>
      </c>
      <c r="AT793" s="81">
        <v>0</v>
      </c>
      <c r="AU793" s="81"/>
      <c r="AV793" s="81"/>
      <c r="AW793" s="81"/>
      <c r="AX793" s="81"/>
      <c r="AY793" s="81"/>
      <c r="AZ793" s="81"/>
      <c r="BA793" s="81"/>
      <c r="BB793" s="81"/>
    </row>
    <row r="794" spans="1:54" x14ac:dyDescent="0.35">
      <c r="A794" s="66" t="s">
        <v>433</v>
      </c>
      <c r="B794" s="66" t="s">
        <v>649</v>
      </c>
      <c r="C794" s="67"/>
      <c r="D794" s="68"/>
      <c r="E794" s="69"/>
      <c r="F794" s="70"/>
      <c r="G794" s="67"/>
      <c r="H794" s="71"/>
      <c r="I794" s="72"/>
      <c r="J794" s="72"/>
      <c r="K794" s="36"/>
      <c r="L794" s="79"/>
      <c r="M794" s="79"/>
      <c r="N794" s="74"/>
      <c r="O794" s="81" t="s">
        <v>694</v>
      </c>
      <c r="P794" s="83">
        <v>44463.976215277777</v>
      </c>
      <c r="Q794" s="81" t="s">
        <v>804</v>
      </c>
      <c r="R794" s="81"/>
      <c r="S794" s="81"/>
      <c r="T794" s="86" t="s">
        <v>649</v>
      </c>
      <c r="U794" s="84" t="str">
        <f>HYPERLINK("https://pbs.twimg.com/media/FAEaAdPVgAgaH2z.jpg")</f>
        <v>https://pbs.twimg.com/media/FAEaAdPVgAgaH2z.jpg</v>
      </c>
      <c r="V794" s="84" t="str">
        <f>HYPERLINK("https://pbs.twimg.com/media/FAEaAdPVgAgaH2z.jpg")</f>
        <v>https://pbs.twimg.com/media/FAEaAdPVgAgaH2z.jpg</v>
      </c>
      <c r="W794" s="83">
        <v>44463.976215277777</v>
      </c>
      <c r="X794" s="89">
        <v>44463</v>
      </c>
      <c r="Y794" s="86" t="s">
        <v>1276</v>
      </c>
      <c r="Z794" s="84" t="str">
        <f>HYPERLINK("https://twitter.com/purpleejinnie/status/1441544413067415555")</f>
        <v>https://twitter.com/purpleejinnie/status/1441544413067415555</v>
      </c>
      <c r="AA794" s="81"/>
      <c r="AB794" s="81"/>
      <c r="AC794" s="86" t="s">
        <v>1772</v>
      </c>
      <c r="AD794" s="81"/>
      <c r="AE794" s="81" t="b">
        <v>0</v>
      </c>
      <c r="AF794" s="81">
        <v>0</v>
      </c>
      <c r="AG794" s="86" t="s">
        <v>2084</v>
      </c>
      <c r="AH794" s="81" t="b">
        <v>0</v>
      </c>
      <c r="AI794" s="81" t="s">
        <v>2168</v>
      </c>
      <c r="AJ794" s="81"/>
      <c r="AK794" s="86" t="s">
        <v>2084</v>
      </c>
      <c r="AL794" s="81" t="b">
        <v>0</v>
      </c>
      <c r="AM794" s="81">
        <v>22</v>
      </c>
      <c r="AN794" s="86" t="s">
        <v>1846</v>
      </c>
      <c r="AO794" s="86" t="s">
        <v>2179</v>
      </c>
      <c r="AP794" s="81" t="b">
        <v>0</v>
      </c>
      <c r="AQ794" s="86" t="s">
        <v>1846</v>
      </c>
      <c r="AR794" s="81" t="s">
        <v>179</v>
      </c>
      <c r="AS794" s="81">
        <v>0</v>
      </c>
      <c r="AT794" s="81">
        <v>0</v>
      </c>
      <c r="AU794" s="81"/>
      <c r="AV794" s="81"/>
      <c r="AW794" s="81"/>
      <c r="AX794" s="81"/>
      <c r="AY794" s="81"/>
      <c r="AZ794" s="81"/>
      <c r="BA794" s="81"/>
      <c r="BB794" s="81"/>
    </row>
    <row r="795" spans="1:54" x14ac:dyDescent="0.35">
      <c r="A795" s="66" t="s">
        <v>433</v>
      </c>
      <c r="B795" s="66" t="s">
        <v>496</v>
      </c>
      <c r="C795" s="67"/>
      <c r="D795" s="68"/>
      <c r="E795" s="69"/>
      <c r="F795" s="70"/>
      <c r="G795" s="67"/>
      <c r="H795" s="71"/>
      <c r="I795" s="72"/>
      <c r="J795" s="72"/>
      <c r="K795" s="36"/>
      <c r="L795" s="79"/>
      <c r="M795" s="79"/>
      <c r="N795" s="74"/>
      <c r="O795" s="81" t="s">
        <v>693</v>
      </c>
      <c r="P795" s="83">
        <v>44463.976215277777</v>
      </c>
      <c r="Q795" s="81" t="s">
        <v>804</v>
      </c>
      <c r="R795" s="81"/>
      <c r="S795" s="81"/>
      <c r="T795" s="86" t="s">
        <v>649</v>
      </c>
      <c r="U795" s="84" t="str">
        <f>HYPERLINK("https://pbs.twimg.com/media/FAEaAdPVgAgaH2z.jpg")</f>
        <v>https://pbs.twimg.com/media/FAEaAdPVgAgaH2z.jpg</v>
      </c>
      <c r="V795" s="84" t="str">
        <f>HYPERLINK("https://pbs.twimg.com/media/FAEaAdPVgAgaH2z.jpg")</f>
        <v>https://pbs.twimg.com/media/FAEaAdPVgAgaH2z.jpg</v>
      </c>
      <c r="W795" s="83">
        <v>44463.976215277777</v>
      </c>
      <c r="X795" s="89">
        <v>44463</v>
      </c>
      <c r="Y795" s="86" t="s">
        <v>1276</v>
      </c>
      <c r="Z795" s="84" t="str">
        <f>HYPERLINK("https://twitter.com/purpleejinnie/status/1441544413067415555")</f>
        <v>https://twitter.com/purpleejinnie/status/1441544413067415555</v>
      </c>
      <c r="AA795" s="81"/>
      <c r="AB795" s="81"/>
      <c r="AC795" s="86" t="s">
        <v>1772</v>
      </c>
      <c r="AD795" s="81"/>
      <c r="AE795" s="81" t="b">
        <v>0</v>
      </c>
      <c r="AF795" s="81">
        <v>0</v>
      </c>
      <c r="AG795" s="86" t="s">
        <v>2084</v>
      </c>
      <c r="AH795" s="81" t="b">
        <v>0</v>
      </c>
      <c r="AI795" s="81" t="s">
        <v>2168</v>
      </c>
      <c r="AJ795" s="81"/>
      <c r="AK795" s="86" t="s">
        <v>2084</v>
      </c>
      <c r="AL795" s="81" t="b">
        <v>0</v>
      </c>
      <c r="AM795" s="81">
        <v>22</v>
      </c>
      <c r="AN795" s="86" t="s">
        <v>1846</v>
      </c>
      <c r="AO795" s="86" t="s">
        <v>2179</v>
      </c>
      <c r="AP795" s="81" t="b">
        <v>0</v>
      </c>
      <c r="AQ795" s="86" t="s">
        <v>1846</v>
      </c>
      <c r="AR795" s="81" t="s">
        <v>179</v>
      </c>
      <c r="AS795" s="81">
        <v>0</v>
      </c>
      <c r="AT795" s="81">
        <v>0</v>
      </c>
      <c r="AU795" s="81"/>
      <c r="AV795" s="81"/>
      <c r="AW795" s="81"/>
      <c r="AX795" s="81"/>
      <c r="AY795" s="81"/>
      <c r="AZ795" s="81"/>
      <c r="BA795" s="81"/>
      <c r="BB795" s="81"/>
    </row>
    <row r="796" spans="1:54" x14ac:dyDescent="0.35">
      <c r="A796" s="66" t="s">
        <v>4450</v>
      </c>
      <c r="B796" s="66" t="s">
        <v>4513</v>
      </c>
      <c r="C796" s="67"/>
      <c r="D796" s="68"/>
      <c r="E796" s="69"/>
      <c r="F796" s="70"/>
      <c r="G796" s="67"/>
      <c r="H796" s="71"/>
      <c r="I796" s="72"/>
      <c r="J796" s="72"/>
      <c r="K796" s="36"/>
      <c r="L796" s="79"/>
      <c r="M796" s="79"/>
      <c r="N796" s="74"/>
      <c r="O796" s="81" t="s">
        <v>696</v>
      </c>
      <c r="P796" s="83">
        <v>44463.90834490741</v>
      </c>
      <c r="Q796" s="81" t="s">
        <v>5437</v>
      </c>
      <c r="R796" s="84" t="str">
        <f>HYPERLINK("https://jornaleconomico.sapo.pt/noticias/governo-lanca-linha-retomar-de-mil-milhoes-para-credito-a-empresas-pos-moratorias-787813#.YU5HgSbw_2U.twitter")</f>
        <v>https://jornaleconomico.sapo.pt/noticias/governo-lanca-linha-retomar-de-mil-milhoes-para-credito-a-empresas-pos-moratorias-787813#.YU5HgSbw_2U.twitter</v>
      </c>
      <c r="S796" s="81" t="s">
        <v>5689</v>
      </c>
      <c r="T796" s="81"/>
      <c r="U796" s="81"/>
      <c r="V796" s="84" t="str">
        <f>HYPERLINK("https://pbs.twimg.com/profile_images/1095132148644880384/uqjjCYFS_normal.jpg")</f>
        <v>https://pbs.twimg.com/profile_images/1095132148644880384/uqjjCYFS_normal.jpg</v>
      </c>
      <c r="W796" s="83">
        <v>44463.90834490741</v>
      </c>
      <c r="X796" s="89">
        <v>44463</v>
      </c>
      <c r="Y796" s="86" t="s">
        <v>6087</v>
      </c>
      <c r="Z796" s="84" t="str">
        <f>HYPERLINK("https://twitter.com/mariatalves/status/1441519816309977089")</f>
        <v>https://twitter.com/mariatalves/status/1441519816309977089</v>
      </c>
      <c r="AA796" s="81"/>
      <c r="AB796" s="81"/>
      <c r="AC796" s="86" t="s">
        <v>6991</v>
      </c>
      <c r="AD796" s="81"/>
      <c r="AE796" s="81" t="b">
        <v>0</v>
      </c>
      <c r="AF796" s="81">
        <v>0</v>
      </c>
      <c r="AG796" s="86" t="s">
        <v>2084</v>
      </c>
      <c r="AH796" s="81" t="b">
        <v>0</v>
      </c>
      <c r="AI796" s="81" t="s">
        <v>2171</v>
      </c>
      <c r="AJ796" s="81"/>
      <c r="AK796" s="86" t="s">
        <v>2084</v>
      </c>
      <c r="AL796" s="81" t="b">
        <v>0</v>
      </c>
      <c r="AM796" s="81">
        <v>0</v>
      </c>
      <c r="AN796" s="86" t="s">
        <v>2084</v>
      </c>
      <c r="AO796" s="86" t="s">
        <v>2179</v>
      </c>
      <c r="AP796" s="81" t="b">
        <v>0</v>
      </c>
      <c r="AQ796" s="86" t="s">
        <v>6991</v>
      </c>
      <c r="AR796" s="81" t="s">
        <v>179</v>
      </c>
      <c r="AS796" s="81">
        <v>0</v>
      </c>
      <c r="AT796" s="81">
        <v>0</v>
      </c>
      <c r="AU796" s="81"/>
      <c r="AV796" s="81"/>
      <c r="AW796" s="81"/>
      <c r="AX796" s="81"/>
      <c r="AY796" s="81"/>
      <c r="AZ796" s="81"/>
      <c r="BA796" s="81"/>
      <c r="BB796" s="81"/>
    </row>
    <row r="797" spans="1:54" x14ac:dyDescent="0.35">
      <c r="A797" s="66" t="s">
        <v>4450</v>
      </c>
      <c r="B797" s="66" t="s">
        <v>4513</v>
      </c>
      <c r="C797" s="67"/>
      <c r="D797" s="68"/>
      <c r="E797" s="69"/>
      <c r="F797" s="70"/>
      <c r="G797" s="67"/>
      <c r="H797" s="71"/>
      <c r="I797" s="72"/>
      <c r="J797" s="72"/>
      <c r="K797" s="36"/>
      <c r="L797" s="79"/>
      <c r="M797" s="79"/>
      <c r="N797" s="74"/>
      <c r="O797" s="81" t="s">
        <v>696</v>
      </c>
      <c r="P797" s="83">
        <v>44463.977581018517</v>
      </c>
      <c r="Q797" s="81" t="s">
        <v>5438</v>
      </c>
      <c r="R797" s="84" t="str">
        <f>HYPERLINK("https://jornaleconomico.sapo.pt/noticias/governo-lanca-linha-retomar-de-mil-milhoes-para-credito-a-empresas-pos-moratorias-787813#.YU5e6TKMcAo.twitter")</f>
        <v>https://jornaleconomico.sapo.pt/noticias/governo-lanca-linha-retomar-de-mil-milhoes-para-credito-a-empresas-pos-moratorias-787813#.YU5e6TKMcAo.twitter</v>
      </c>
      <c r="S797" s="81" t="s">
        <v>5689</v>
      </c>
      <c r="T797" s="81"/>
      <c r="U797" s="81"/>
      <c r="V797" s="84" t="str">
        <f>HYPERLINK("https://pbs.twimg.com/profile_images/1095132148644880384/uqjjCYFS_normal.jpg")</f>
        <v>https://pbs.twimg.com/profile_images/1095132148644880384/uqjjCYFS_normal.jpg</v>
      </c>
      <c r="W797" s="83">
        <v>44463.977581018517</v>
      </c>
      <c r="X797" s="89">
        <v>44463</v>
      </c>
      <c r="Y797" s="86" t="s">
        <v>6088</v>
      </c>
      <c r="Z797" s="84" t="str">
        <f>HYPERLINK("https://twitter.com/mariatalves/status/1441544907097739269")</f>
        <v>https://twitter.com/mariatalves/status/1441544907097739269</v>
      </c>
      <c r="AA797" s="81"/>
      <c r="AB797" s="81"/>
      <c r="AC797" s="86" t="s">
        <v>6992</v>
      </c>
      <c r="AD797" s="81"/>
      <c r="AE797" s="81" t="b">
        <v>0</v>
      </c>
      <c r="AF797" s="81">
        <v>0</v>
      </c>
      <c r="AG797" s="86" t="s">
        <v>2084</v>
      </c>
      <c r="AH797" s="81" t="b">
        <v>0</v>
      </c>
      <c r="AI797" s="81" t="s">
        <v>2171</v>
      </c>
      <c r="AJ797" s="81"/>
      <c r="AK797" s="86" t="s">
        <v>2084</v>
      </c>
      <c r="AL797" s="81" t="b">
        <v>0</v>
      </c>
      <c r="AM797" s="81">
        <v>0</v>
      </c>
      <c r="AN797" s="86" t="s">
        <v>2084</v>
      </c>
      <c r="AO797" s="86" t="s">
        <v>2181</v>
      </c>
      <c r="AP797" s="81" t="b">
        <v>0</v>
      </c>
      <c r="AQ797" s="86" t="s">
        <v>6992</v>
      </c>
      <c r="AR797" s="81" t="s">
        <v>179</v>
      </c>
      <c r="AS797" s="81">
        <v>0</v>
      </c>
      <c r="AT797" s="81">
        <v>0</v>
      </c>
      <c r="AU797" s="81"/>
      <c r="AV797" s="81"/>
      <c r="AW797" s="81"/>
      <c r="AX797" s="81"/>
      <c r="AY797" s="81"/>
      <c r="AZ797" s="81"/>
      <c r="BA797" s="81"/>
      <c r="BB797" s="81"/>
    </row>
    <row r="798" spans="1:54" x14ac:dyDescent="0.35">
      <c r="A798" s="66" t="s">
        <v>4451</v>
      </c>
      <c r="B798" s="66" t="s">
        <v>4797</v>
      </c>
      <c r="C798" s="67"/>
      <c r="D798" s="68"/>
      <c r="E798" s="69"/>
      <c r="F798" s="70"/>
      <c r="G798" s="67"/>
      <c r="H798" s="71"/>
      <c r="I798" s="72"/>
      <c r="J798" s="72"/>
      <c r="K798" s="36"/>
      <c r="L798" s="79"/>
      <c r="M798" s="79"/>
      <c r="N798" s="74"/>
      <c r="O798" s="81" t="s">
        <v>693</v>
      </c>
      <c r="P798" s="83">
        <v>44463.988078703704</v>
      </c>
      <c r="Q798" s="84" t="str">
        <f>HYPERLINK("https://t.co/t5CziaW0dH")</f>
        <v>https://t.co/t5CziaW0dH</v>
      </c>
      <c r="R79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98" s="81" t="s">
        <v>5686</v>
      </c>
      <c r="T798" s="81"/>
      <c r="U798" s="81"/>
      <c r="V798" s="84" t="str">
        <f>HYPERLINK("https://pbs.twimg.com/profile_images/1305844672900759552/-wmAbMZO_normal.jpg")</f>
        <v>https://pbs.twimg.com/profile_images/1305844672900759552/-wmAbMZO_normal.jpg</v>
      </c>
      <c r="W798" s="83">
        <v>44463.988078703704</v>
      </c>
      <c r="X798" s="89">
        <v>44463</v>
      </c>
      <c r="Y798" s="86" t="s">
        <v>6089</v>
      </c>
      <c r="Z798" s="84" t="str">
        <f>HYPERLINK("https://twitter.com/cruzfermes/status/1441548713219006465")</f>
        <v>https://twitter.com/cruzfermes/status/1441548713219006465</v>
      </c>
      <c r="AA798" s="81"/>
      <c r="AB798" s="81"/>
      <c r="AC798" s="86" t="s">
        <v>6993</v>
      </c>
      <c r="AD798" s="81"/>
      <c r="AE798" s="81" t="b">
        <v>0</v>
      </c>
      <c r="AF798" s="81">
        <v>0</v>
      </c>
      <c r="AG798" s="86" t="s">
        <v>2084</v>
      </c>
      <c r="AH798" s="81" t="b">
        <v>0</v>
      </c>
      <c r="AI798" s="81" t="s">
        <v>2173</v>
      </c>
      <c r="AJ798" s="81"/>
      <c r="AK798" s="86" t="s">
        <v>2084</v>
      </c>
      <c r="AL798" s="81" t="b">
        <v>0</v>
      </c>
      <c r="AM798" s="81">
        <v>50</v>
      </c>
      <c r="AN798" s="86" t="s">
        <v>7395</v>
      </c>
      <c r="AO798" s="86" t="s">
        <v>2179</v>
      </c>
      <c r="AP798" s="81" t="b">
        <v>0</v>
      </c>
      <c r="AQ798" s="86" t="s">
        <v>7395</v>
      </c>
      <c r="AR798" s="81" t="s">
        <v>179</v>
      </c>
      <c r="AS798" s="81">
        <v>0</v>
      </c>
      <c r="AT798" s="81">
        <v>0</v>
      </c>
      <c r="AU798" s="81"/>
      <c r="AV798" s="81"/>
      <c r="AW798" s="81"/>
      <c r="AX798" s="81"/>
      <c r="AY798" s="81"/>
      <c r="AZ798" s="81"/>
      <c r="BA798" s="81"/>
      <c r="BB798" s="81"/>
    </row>
    <row r="799" spans="1:54" x14ac:dyDescent="0.35">
      <c r="A799" s="66" t="s">
        <v>4452</v>
      </c>
      <c r="B799" s="66" t="s">
        <v>4797</v>
      </c>
      <c r="C799" s="67"/>
      <c r="D799" s="68"/>
      <c r="E799" s="69"/>
      <c r="F799" s="70"/>
      <c r="G799" s="67"/>
      <c r="H799" s="71"/>
      <c r="I799" s="72"/>
      <c r="J799" s="72"/>
      <c r="K799" s="36"/>
      <c r="L799" s="79"/>
      <c r="M799" s="79"/>
      <c r="N799" s="74"/>
      <c r="O799" s="81" t="s">
        <v>693</v>
      </c>
      <c r="P799" s="83">
        <v>44464.00099537037</v>
      </c>
      <c r="Q799" s="81" t="s">
        <v>5435</v>
      </c>
      <c r="R79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799" s="81" t="s">
        <v>5686</v>
      </c>
      <c r="T799" s="81"/>
      <c r="U799" s="81"/>
      <c r="V799" s="84" t="str">
        <f>HYPERLINK("https://pbs.twimg.com/profile_images/1363770848369405955/QLfIlhgb_normal.jpg")</f>
        <v>https://pbs.twimg.com/profile_images/1363770848369405955/QLfIlhgb_normal.jpg</v>
      </c>
      <c r="W799" s="83">
        <v>44464.00099537037</v>
      </c>
      <c r="X799" s="89">
        <v>44464</v>
      </c>
      <c r="Y799" s="86" t="s">
        <v>6090</v>
      </c>
      <c r="Z799" s="84" t="str">
        <f>HYPERLINK("https://twitter.com/smwarley/status/1441553395698044929")</f>
        <v>https://twitter.com/smwarley/status/1441553395698044929</v>
      </c>
      <c r="AA799" s="81"/>
      <c r="AB799" s="81"/>
      <c r="AC799" s="86" t="s">
        <v>6994</v>
      </c>
      <c r="AD799" s="81"/>
      <c r="AE799" s="81" t="b">
        <v>0</v>
      </c>
      <c r="AF799" s="81">
        <v>0</v>
      </c>
      <c r="AG799" s="86" t="s">
        <v>2084</v>
      </c>
      <c r="AH799" s="81" t="b">
        <v>0</v>
      </c>
      <c r="AI799" s="81" t="s">
        <v>2173</v>
      </c>
      <c r="AJ799" s="81"/>
      <c r="AK799" s="86" t="s">
        <v>2084</v>
      </c>
      <c r="AL799" s="81" t="b">
        <v>0</v>
      </c>
      <c r="AM799" s="81">
        <v>21</v>
      </c>
      <c r="AN799" s="86" t="s">
        <v>7358</v>
      </c>
      <c r="AO799" s="86" t="s">
        <v>2179</v>
      </c>
      <c r="AP799" s="81" t="b">
        <v>0</v>
      </c>
      <c r="AQ799" s="86" t="s">
        <v>7358</v>
      </c>
      <c r="AR799" s="81" t="s">
        <v>179</v>
      </c>
      <c r="AS799" s="81">
        <v>0</v>
      </c>
      <c r="AT799" s="81">
        <v>0</v>
      </c>
      <c r="AU799" s="81"/>
      <c r="AV799" s="81"/>
      <c r="AW799" s="81"/>
      <c r="AX799" s="81"/>
      <c r="AY799" s="81"/>
      <c r="AZ799" s="81"/>
      <c r="BA799" s="81"/>
      <c r="BB799" s="81"/>
    </row>
    <row r="800" spans="1:54" x14ac:dyDescent="0.35">
      <c r="A800" s="66" t="s">
        <v>4452</v>
      </c>
      <c r="B800" s="66" t="s">
        <v>5085</v>
      </c>
      <c r="C800" s="67"/>
      <c r="D800" s="68"/>
      <c r="E800" s="69"/>
      <c r="F800" s="70"/>
      <c r="G800" s="67"/>
      <c r="H800" s="71"/>
      <c r="I800" s="72"/>
      <c r="J800" s="72"/>
      <c r="K800" s="36"/>
      <c r="L800" s="79"/>
      <c r="M800" s="79"/>
      <c r="N800" s="74"/>
      <c r="O800" s="81" t="s">
        <v>695</v>
      </c>
      <c r="P800" s="83">
        <v>44464.00099537037</v>
      </c>
      <c r="Q800" s="81" t="s">
        <v>5435</v>
      </c>
      <c r="R80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00" s="81" t="s">
        <v>5686</v>
      </c>
      <c r="T800" s="81"/>
      <c r="U800" s="81"/>
      <c r="V800" s="84" t="str">
        <f>HYPERLINK("https://pbs.twimg.com/profile_images/1363770848369405955/QLfIlhgb_normal.jpg")</f>
        <v>https://pbs.twimg.com/profile_images/1363770848369405955/QLfIlhgb_normal.jpg</v>
      </c>
      <c r="W800" s="83">
        <v>44464.00099537037</v>
      </c>
      <c r="X800" s="89">
        <v>44464</v>
      </c>
      <c r="Y800" s="86" t="s">
        <v>6090</v>
      </c>
      <c r="Z800" s="84" t="str">
        <f>HYPERLINK("https://twitter.com/smwarley/status/1441553395698044929")</f>
        <v>https://twitter.com/smwarley/status/1441553395698044929</v>
      </c>
      <c r="AA800" s="81"/>
      <c r="AB800" s="81"/>
      <c r="AC800" s="86" t="s">
        <v>6994</v>
      </c>
      <c r="AD800" s="81"/>
      <c r="AE800" s="81" t="b">
        <v>0</v>
      </c>
      <c r="AF800" s="81">
        <v>0</v>
      </c>
      <c r="AG800" s="86" t="s">
        <v>2084</v>
      </c>
      <c r="AH800" s="81" t="b">
        <v>0</v>
      </c>
      <c r="AI800" s="81" t="s">
        <v>2173</v>
      </c>
      <c r="AJ800" s="81"/>
      <c r="AK800" s="86" t="s">
        <v>2084</v>
      </c>
      <c r="AL800" s="81" t="b">
        <v>0</v>
      </c>
      <c r="AM800" s="81">
        <v>21</v>
      </c>
      <c r="AN800" s="86" t="s">
        <v>7358</v>
      </c>
      <c r="AO800" s="86" t="s">
        <v>2179</v>
      </c>
      <c r="AP800" s="81" t="b">
        <v>0</v>
      </c>
      <c r="AQ800" s="86" t="s">
        <v>7358</v>
      </c>
      <c r="AR800" s="81" t="s">
        <v>179</v>
      </c>
      <c r="AS800" s="81">
        <v>0</v>
      </c>
      <c r="AT800" s="81">
        <v>0</v>
      </c>
      <c r="AU800" s="81"/>
      <c r="AV800" s="81"/>
      <c r="AW800" s="81"/>
      <c r="AX800" s="81"/>
      <c r="AY800" s="81"/>
      <c r="AZ800" s="81"/>
      <c r="BA800" s="81"/>
      <c r="BB800" s="81"/>
    </row>
    <row r="801" spans="1:54" x14ac:dyDescent="0.35">
      <c r="A801" s="66" t="s">
        <v>4453</v>
      </c>
      <c r="B801" s="66" t="s">
        <v>4797</v>
      </c>
      <c r="C801" s="67"/>
      <c r="D801" s="68"/>
      <c r="E801" s="69"/>
      <c r="F801" s="70"/>
      <c r="G801" s="67"/>
      <c r="H801" s="71"/>
      <c r="I801" s="72"/>
      <c r="J801" s="72"/>
      <c r="K801" s="36"/>
      <c r="L801" s="79"/>
      <c r="M801" s="79"/>
      <c r="N801" s="74"/>
      <c r="O801" s="81" t="s">
        <v>693</v>
      </c>
      <c r="P801" s="83">
        <v>44464.019884259258</v>
      </c>
      <c r="Q801" s="84" t="str">
        <f>HYPERLINK("https://t.co/t5CziaW0dH")</f>
        <v>https://t.co/t5CziaW0dH</v>
      </c>
      <c r="R80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01" s="81" t="s">
        <v>5686</v>
      </c>
      <c r="T801" s="81"/>
      <c r="U801" s="81"/>
      <c r="V801" s="84" t="str">
        <f>HYPERLINK("https://pbs.twimg.com/profile_images/1429801217778233354/8LIXWlzp_normal.jpg")</f>
        <v>https://pbs.twimg.com/profile_images/1429801217778233354/8LIXWlzp_normal.jpg</v>
      </c>
      <c r="W801" s="83">
        <v>44464.019884259258</v>
      </c>
      <c r="X801" s="89">
        <v>44464</v>
      </c>
      <c r="Y801" s="86" t="s">
        <v>6091</v>
      </c>
      <c r="Z801" s="84" t="str">
        <f>HYPERLINK("https://twitter.com/jaguajb/status/1441560240206450692")</f>
        <v>https://twitter.com/jaguajb/status/1441560240206450692</v>
      </c>
      <c r="AA801" s="81"/>
      <c r="AB801" s="81"/>
      <c r="AC801" s="86" t="s">
        <v>6995</v>
      </c>
      <c r="AD801" s="81"/>
      <c r="AE801" s="81" t="b">
        <v>0</v>
      </c>
      <c r="AF801" s="81">
        <v>0</v>
      </c>
      <c r="AG801" s="86" t="s">
        <v>2084</v>
      </c>
      <c r="AH801" s="81" t="b">
        <v>0</v>
      </c>
      <c r="AI801" s="81" t="s">
        <v>2173</v>
      </c>
      <c r="AJ801" s="81"/>
      <c r="AK801" s="86" t="s">
        <v>2084</v>
      </c>
      <c r="AL801" s="81" t="b">
        <v>0</v>
      </c>
      <c r="AM801" s="81">
        <v>50</v>
      </c>
      <c r="AN801" s="86" t="s">
        <v>7395</v>
      </c>
      <c r="AO801" s="86" t="s">
        <v>2178</v>
      </c>
      <c r="AP801" s="81" t="b">
        <v>0</v>
      </c>
      <c r="AQ801" s="86" t="s">
        <v>7395</v>
      </c>
      <c r="AR801" s="81" t="s">
        <v>179</v>
      </c>
      <c r="AS801" s="81">
        <v>0</v>
      </c>
      <c r="AT801" s="81">
        <v>0</v>
      </c>
      <c r="AU801" s="81"/>
      <c r="AV801" s="81"/>
      <c r="AW801" s="81"/>
      <c r="AX801" s="81"/>
      <c r="AY801" s="81"/>
      <c r="AZ801" s="81"/>
      <c r="BA801" s="81"/>
      <c r="BB801" s="81"/>
    </row>
    <row r="802" spans="1:54" x14ac:dyDescent="0.35">
      <c r="A802" s="66" t="s">
        <v>4454</v>
      </c>
      <c r="B802" s="66" t="s">
        <v>4797</v>
      </c>
      <c r="C802" s="67"/>
      <c r="D802" s="68"/>
      <c r="E802" s="69"/>
      <c r="F802" s="70"/>
      <c r="G802" s="67"/>
      <c r="H802" s="71"/>
      <c r="I802" s="72"/>
      <c r="J802" s="72"/>
      <c r="K802" s="36"/>
      <c r="L802" s="79"/>
      <c r="M802" s="79"/>
      <c r="N802" s="74"/>
      <c r="O802" s="81" t="s">
        <v>693</v>
      </c>
      <c r="P802" s="83">
        <v>44464.028958333336</v>
      </c>
      <c r="Q802" s="81" t="s">
        <v>5435</v>
      </c>
      <c r="R802"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02" s="81" t="s">
        <v>5686</v>
      </c>
      <c r="T802" s="81"/>
      <c r="U802" s="81"/>
      <c r="V802" s="84" t="str">
        <f>HYPERLINK("https://pbs.twimg.com/profile_images/1421934472816173064/5Y5IAYeH_normal.jpg")</f>
        <v>https://pbs.twimg.com/profile_images/1421934472816173064/5Y5IAYeH_normal.jpg</v>
      </c>
      <c r="W802" s="83">
        <v>44464.028958333336</v>
      </c>
      <c r="X802" s="89">
        <v>44464</v>
      </c>
      <c r="Y802" s="86" t="s">
        <v>6092</v>
      </c>
      <c r="Z802" s="84" t="str">
        <f>HYPERLINK("https://twitter.com/discurso2014/status/1441563525462171655")</f>
        <v>https://twitter.com/discurso2014/status/1441563525462171655</v>
      </c>
      <c r="AA802" s="81"/>
      <c r="AB802" s="81"/>
      <c r="AC802" s="86" t="s">
        <v>6996</v>
      </c>
      <c r="AD802" s="81"/>
      <c r="AE802" s="81" t="b">
        <v>0</v>
      </c>
      <c r="AF802" s="81">
        <v>0</v>
      </c>
      <c r="AG802" s="86" t="s">
        <v>2084</v>
      </c>
      <c r="AH802" s="81" t="b">
        <v>0</v>
      </c>
      <c r="AI802" s="81" t="s">
        <v>2173</v>
      </c>
      <c r="AJ802" s="81"/>
      <c r="AK802" s="86" t="s">
        <v>2084</v>
      </c>
      <c r="AL802" s="81" t="b">
        <v>0</v>
      </c>
      <c r="AM802" s="81">
        <v>21</v>
      </c>
      <c r="AN802" s="86" t="s">
        <v>7358</v>
      </c>
      <c r="AO802" s="86" t="s">
        <v>2178</v>
      </c>
      <c r="AP802" s="81" t="b">
        <v>0</v>
      </c>
      <c r="AQ802" s="86" t="s">
        <v>7358</v>
      </c>
      <c r="AR802" s="81" t="s">
        <v>179</v>
      </c>
      <c r="AS802" s="81">
        <v>0</v>
      </c>
      <c r="AT802" s="81">
        <v>0</v>
      </c>
      <c r="AU802" s="81"/>
      <c r="AV802" s="81"/>
      <c r="AW802" s="81"/>
      <c r="AX802" s="81"/>
      <c r="AY802" s="81"/>
      <c r="AZ802" s="81"/>
      <c r="BA802" s="81"/>
      <c r="BB802" s="81"/>
    </row>
    <row r="803" spans="1:54" x14ac:dyDescent="0.35">
      <c r="A803" s="66" t="s">
        <v>4454</v>
      </c>
      <c r="B803" s="66" t="s">
        <v>5085</v>
      </c>
      <c r="C803" s="67"/>
      <c r="D803" s="68"/>
      <c r="E803" s="69"/>
      <c r="F803" s="70"/>
      <c r="G803" s="67"/>
      <c r="H803" s="71"/>
      <c r="I803" s="72"/>
      <c r="J803" s="72"/>
      <c r="K803" s="36"/>
      <c r="L803" s="79"/>
      <c r="M803" s="79"/>
      <c r="N803" s="74"/>
      <c r="O803" s="81" t="s">
        <v>695</v>
      </c>
      <c r="P803" s="83">
        <v>44464.028958333336</v>
      </c>
      <c r="Q803" s="81" t="s">
        <v>5435</v>
      </c>
      <c r="R803"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03" s="81" t="s">
        <v>5686</v>
      </c>
      <c r="T803" s="81"/>
      <c r="U803" s="81"/>
      <c r="V803" s="84" t="str">
        <f>HYPERLINK("https://pbs.twimg.com/profile_images/1421934472816173064/5Y5IAYeH_normal.jpg")</f>
        <v>https://pbs.twimg.com/profile_images/1421934472816173064/5Y5IAYeH_normal.jpg</v>
      </c>
      <c r="W803" s="83">
        <v>44464.028958333336</v>
      </c>
      <c r="X803" s="89">
        <v>44464</v>
      </c>
      <c r="Y803" s="86" t="s">
        <v>6092</v>
      </c>
      <c r="Z803" s="84" t="str">
        <f>HYPERLINK("https://twitter.com/discurso2014/status/1441563525462171655")</f>
        <v>https://twitter.com/discurso2014/status/1441563525462171655</v>
      </c>
      <c r="AA803" s="81"/>
      <c r="AB803" s="81"/>
      <c r="AC803" s="86" t="s">
        <v>6996</v>
      </c>
      <c r="AD803" s="81"/>
      <c r="AE803" s="81" t="b">
        <v>0</v>
      </c>
      <c r="AF803" s="81">
        <v>0</v>
      </c>
      <c r="AG803" s="86" t="s">
        <v>2084</v>
      </c>
      <c r="AH803" s="81" t="b">
        <v>0</v>
      </c>
      <c r="AI803" s="81" t="s">
        <v>2173</v>
      </c>
      <c r="AJ803" s="81"/>
      <c r="AK803" s="86" t="s">
        <v>2084</v>
      </c>
      <c r="AL803" s="81" t="b">
        <v>0</v>
      </c>
      <c r="AM803" s="81">
        <v>21</v>
      </c>
      <c r="AN803" s="86" t="s">
        <v>7358</v>
      </c>
      <c r="AO803" s="86" t="s">
        <v>2178</v>
      </c>
      <c r="AP803" s="81" t="b">
        <v>0</v>
      </c>
      <c r="AQ803" s="86" t="s">
        <v>7358</v>
      </c>
      <c r="AR803" s="81" t="s">
        <v>179</v>
      </c>
      <c r="AS803" s="81">
        <v>0</v>
      </c>
      <c r="AT803" s="81">
        <v>0</v>
      </c>
      <c r="AU803" s="81"/>
      <c r="AV803" s="81"/>
      <c r="AW803" s="81"/>
      <c r="AX803" s="81"/>
      <c r="AY803" s="81"/>
      <c r="AZ803" s="81"/>
      <c r="BA803" s="81"/>
      <c r="BB803" s="81"/>
    </row>
    <row r="804" spans="1:54" x14ac:dyDescent="0.35">
      <c r="A804" s="66" t="s">
        <v>4455</v>
      </c>
      <c r="B804" s="66" t="s">
        <v>4797</v>
      </c>
      <c r="C804" s="67"/>
      <c r="D804" s="68"/>
      <c r="E804" s="69"/>
      <c r="F804" s="70"/>
      <c r="G804" s="67"/>
      <c r="H804" s="71"/>
      <c r="I804" s="72"/>
      <c r="J804" s="72"/>
      <c r="K804" s="36"/>
      <c r="L804" s="79"/>
      <c r="M804" s="79"/>
      <c r="N804" s="74"/>
      <c r="O804" s="81" t="s">
        <v>693</v>
      </c>
      <c r="P804" s="83">
        <v>44464.032939814817</v>
      </c>
      <c r="Q804" s="84" t="str">
        <f>HYPERLINK("https://t.co/t5CziaW0dH")</f>
        <v>https://t.co/t5CziaW0dH</v>
      </c>
      <c r="R80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04" s="81" t="s">
        <v>5686</v>
      </c>
      <c r="T804" s="81"/>
      <c r="U804" s="81"/>
      <c r="V804" s="84" t="str">
        <f>HYPERLINK("https://pbs.twimg.com/profile_images/2181282974/1335869891210_normal.jpg")</f>
        <v>https://pbs.twimg.com/profile_images/2181282974/1335869891210_normal.jpg</v>
      </c>
      <c r="W804" s="83">
        <v>44464.032939814817</v>
      </c>
      <c r="X804" s="89">
        <v>44464</v>
      </c>
      <c r="Y804" s="86" t="s">
        <v>6093</v>
      </c>
      <c r="Z804" s="84" t="str">
        <f>HYPERLINK("https://twitter.com/marcelao_veiga/status/1441564968235720704")</f>
        <v>https://twitter.com/marcelao_veiga/status/1441564968235720704</v>
      </c>
      <c r="AA804" s="81"/>
      <c r="AB804" s="81"/>
      <c r="AC804" s="86" t="s">
        <v>6997</v>
      </c>
      <c r="AD804" s="81"/>
      <c r="AE804" s="81" t="b">
        <v>0</v>
      </c>
      <c r="AF804" s="81">
        <v>0</v>
      </c>
      <c r="AG804" s="86" t="s">
        <v>2084</v>
      </c>
      <c r="AH804" s="81" t="b">
        <v>0</v>
      </c>
      <c r="AI804" s="81" t="s">
        <v>2173</v>
      </c>
      <c r="AJ804" s="81"/>
      <c r="AK804" s="86" t="s">
        <v>2084</v>
      </c>
      <c r="AL804" s="81" t="b">
        <v>0</v>
      </c>
      <c r="AM804" s="81">
        <v>50</v>
      </c>
      <c r="AN804" s="86" t="s">
        <v>7395</v>
      </c>
      <c r="AO804" s="86" t="s">
        <v>2178</v>
      </c>
      <c r="AP804" s="81" t="b">
        <v>0</v>
      </c>
      <c r="AQ804" s="86" t="s">
        <v>7395</v>
      </c>
      <c r="AR804" s="81" t="s">
        <v>179</v>
      </c>
      <c r="AS804" s="81">
        <v>0</v>
      </c>
      <c r="AT804" s="81">
        <v>0</v>
      </c>
      <c r="AU804" s="81"/>
      <c r="AV804" s="81"/>
      <c r="AW804" s="81"/>
      <c r="AX804" s="81"/>
      <c r="AY804" s="81"/>
      <c r="AZ804" s="81"/>
      <c r="BA804" s="81"/>
      <c r="BB804" s="81"/>
    </row>
    <row r="805" spans="1:54" x14ac:dyDescent="0.35">
      <c r="A805" s="66" t="s">
        <v>4456</v>
      </c>
      <c r="B805" s="66" t="s">
        <v>4797</v>
      </c>
      <c r="C805" s="67"/>
      <c r="D805" s="68"/>
      <c r="E805" s="69"/>
      <c r="F805" s="70"/>
      <c r="G805" s="67"/>
      <c r="H805" s="71"/>
      <c r="I805" s="72"/>
      <c r="J805" s="72"/>
      <c r="K805" s="36"/>
      <c r="L805" s="79"/>
      <c r="M805" s="79"/>
      <c r="N805" s="74"/>
      <c r="O805" s="81" t="s">
        <v>693</v>
      </c>
      <c r="P805" s="83">
        <v>44464.033356481479</v>
      </c>
      <c r="Q805" s="84" t="str">
        <f>HYPERLINK("https://t.co/t5CziaW0dH")</f>
        <v>https://t.co/t5CziaW0dH</v>
      </c>
      <c r="R805"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05" s="81" t="s">
        <v>5686</v>
      </c>
      <c r="T805" s="81"/>
      <c r="U805" s="81"/>
      <c r="V805" s="84" t="str">
        <f>HYPERLINK("https://pbs.twimg.com/profile_images/1416847438938320903/PNQ7Aj-q_normal.jpg")</f>
        <v>https://pbs.twimg.com/profile_images/1416847438938320903/PNQ7Aj-q_normal.jpg</v>
      </c>
      <c r="W805" s="83">
        <v>44464.033356481479</v>
      </c>
      <c r="X805" s="89">
        <v>44464</v>
      </c>
      <c r="Y805" s="86" t="s">
        <v>6094</v>
      </c>
      <c r="Z805" s="84" t="str">
        <f>HYPERLINK("https://twitter.com/sammirsouza/status/1441565119440244738")</f>
        <v>https://twitter.com/sammirsouza/status/1441565119440244738</v>
      </c>
      <c r="AA805" s="81"/>
      <c r="AB805" s="81"/>
      <c r="AC805" s="86" t="s">
        <v>6998</v>
      </c>
      <c r="AD805" s="81"/>
      <c r="AE805" s="81" t="b">
        <v>0</v>
      </c>
      <c r="AF805" s="81">
        <v>0</v>
      </c>
      <c r="AG805" s="86" t="s">
        <v>2084</v>
      </c>
      <c r="AH805" s="81" t="b">
        <v>0</v>
      </c>
      <c r="AI805" s="81" t="s">
        <v>2173</v>
      </c>
      <c r="AJ805" s="81"/>
      <c r="AK805" s="86" t="s">
        <v>2084</v>
      </c>
      <c r="AL805" s="81" t="b">
        <v>0</v>
      </c>
      <c r="AM805" s="81">
        <v>50</v>
      </c>
      <c r="AN805" s="86" t="s">
        <v>7395</v>
      </c>
      <c r="AO805" s="86" t="s">
        <v>2178</v>
      </c>
      <c r="AP805" s="81" t="b">
        <v>0</v>
      </c>
      <c r="AQ805" s="86" t="s">
        <v>7395</v>
      </c>
      <c r="AR805" s="81" t="s">
        <v>179</v>
      </c>
      <c r="AS805" s="81">
        <v>0</v>
      </c>
      <c r="AT805" s="81">
        <v>0</v>
      </c>
      <c r="AU805" s="81"/>
      <c r="AV805" s="81"/>
      <c r="AW805" s="81"/>
      <c r="AX805" s="81"/>
      <c r="AY805" s="81"/>
      <c r="AZ805" s="81"/>
      <c r="BA805" s="81"/>
      <c r="BB805" s="81"/>
    </row>
    <row r="806" spans="1:54" x14ac:dyDescent="0.35">
      <c r="A806" s="66" t="s">
        <v>4457</v>
      </c>
      <c r="B806" s="66" t="s">
        <v>4797</v>
      </c>
      <c r="C806" s="67"/>
      <c r="D806" s="68"/>
      <c r="E806" s="69"/>
      <c r="F806" s="70"/>
      <c r="G806" s="67"/>
      <c r="H806" s="71"/>
      <c r="I806" s="72"/>
      <c r="J806" s="72"/>
      <c r="K806" s="36"/>
      <c r="L806" s="79"/>
      <c r="M806" s="79"/>
      <c r="N806" s="74"/>
      <c r="O806" s="81" t="s">
        <v>693</v>
      </c>
      <c r="P806" s="83">
        <v>44464.033564814818</v>
      </c>
      <c r="Q806" s="81" t="s">
        <v>5435</v>
      </c>
      <c r="R80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06" s="81" t="s">
        <v>5686</v>
      </c>
      <c r="T806" s="81"/>
      <c r="U806" s="81"/>
      <c r="V806" s="84" t="str">
        <f>HYPERLINK("https://pbs.twimg.com/profile_images/1423459200752136192/yNQwBb9__normal.jpg")</f>
        <v>https://pbs.twimg.com/profile_images/1423459200752136192/yNQwBb9__normal.jpg</v>
      </c>
      <c r="W806" s="83">
        <v>44464.033564814818</v>
      </c>
      <c r="X806" s="89">
        <v>44464</v>
      </c>
      <c r="Y806" s="86" t="s">
        <v>1140</v>
      </c>
      <c r="Z806" s="84" t="str">
        <f>HYPERLINK("https://twitter.com/mfecha/status/1441565197676728320")</f>
        <v>https://twitter.com/mfecha/status/1441565197676728320</v>
      </c>
      <c r="AA806" s="81"/>
      <c r="AB806" s="81"/>
      <c r="AC806" s="86" t="s">
        <v>6999</v>
      </c>
      <c r="AD806" s="81"/>
      <c r="AE806" s="81" t="b">
        <v>0</v>
      </c>
      <c r="AF806" s="81">
        <v>0</v>
      </c>
      <c r="AG806" s="86" t="s">
        <v>2084</v>
      </c>
      <c r="AH806" s="81" t="b">
        <v>0</v>
      </c>
      <c r="AI806" s="81" t="s">
        <v>2173</v>
      </c>
      <c r="AJ806" s="81"/>
      <c r="AK806" s="86" t="s">
        <v>2084</v>
      </c>
      <c r="AL806" s="81" t="b">
        <v>0</v>
      </c>
      <c r="AM806" s="81">
        <v>21</v>
      </c>
      <c r="AN806" s="86" t="s">
        <v>7358</v>
      </c>
      <c r="AO806" s="86" t="s">
        <v>2178</v>
      </c>
      <c r="AP806" s="81" t="b">
        <v>0</v>
      </c>
      <c r="AQ806" s="86" t="s">
        <v>7358</v>
      </c>
      <c r="AR806" s="81" t="s">
        <v>179</v>
      </c>
      <c r="AS806" s="81">
        <v>0</v>
      </c>
      <c r="AT806" s="81">
        <v>0</v>
      </c>
      <c r="AU806" s="81"/>
      <c r="AV806" s="81"/>
      <c r="AW806" s="81"/>
      <c r="AX806" s="81"/>
      <c r="AY806" s="81"/>
      <c r="AZ806" s="81"/>
      <c r="BA806" s="81"/>
      <c r="BB806" s="81"/>
    </row>
    <row r="807" spans="1:54" x14ac:dyDescent="0.35">
      <c r="A807" s="66" t="s">
        <v>4457</v>
      </c>
      <c r="B807" s="66" t="s">
        <v>5085</v>
      </c>
      <c r="C807" s="67"/>
      <c r="D807" s="68"/>
      <c r="E807" s="69"/>
      <c r="F807" s="70"/>
      <c r="G807" s="67"/>
      <c r="H807" s="71"/>
      <c r="I807" s="72"/>
      <c r="J807" s="72"/>
      <c r="K807" s="36"/>
      <c r="L807" s="79"/>
      <c r="M807" s="79"/>
      <c r="N807" s="74"/>
      <c r="O807" s="81" t="s">
        <v>695</v>
      </c>
      <c r="P807" s="83">
        <v>44464.033564814818</v>
      </c>
      <c r="Q807" s="81" t="s">
        <v>5435</v>
      </c>
      <c r="R80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07" s="81" t="s">
        <v>5686</v>
      </c>
      <c r="T807" s="81"/>
      <c r="U807" s="81"/>
      <c r="V807" s="84" t="str">
        <f>HYPERLINK("https://pbs.twimg.com/profile_images/1423459200752136192/yNQwBb9__normal.jpg")</f>
        <v>https://pbs.twimg.com/profile_images/1423459200752136192/yNQwBb9__normal.jpg</v>
      </c>
      <c r="W807" s="83">
        <v>44464.033564814818</v>
      </c>
      <c r="X807" s="89">
        <v>44464</v>
      </c>
      <c r="Y807" s="86" t="s">
        <v>1140</v>
      </c>
      <c r="Z807" s="84" t="str">
        <f>HYPERLINK("https://twitter.com/mfecha/status/1441565197676728320")</f>
        <v>https://twitter.com/mfecha/status/1441565197676728320</v>
      </c>
      <c r="AA807" s="81"/>
      <c r="AB807" s="81"/>
      <c r="AC807" s="86" t="s">
        <v>6999</v>
      </c>
      <c r="AD807" s="81"/>
      <c r="AE807" s="81" t="b">
        <v>0</v>
      </c>
      <c r="AF807" s="81">
        <v>0</v>
      </c>
      <c r="AG807" s="86" t="s">
        <v>2084</v>
      </c>
      <c r="AH807" s="81" t="b">
        <v>0</v>
      </c>
      <c r="AI807" s="81" t="s">
        <v>2173</v>
      </c>
      <c r="AJ807" s="81"/>
      <c r="AK807" s="86" t="s">
        <v>2084</v>
      </c>
      <c r="AL807" s="81" t="b">
        <v>0</v>
      </c>
      <c r="AM807" s="81">
        <v>21</v>
      </c>
      <c r="AN807" s="86" t="s">
        <v>7358</v>
      </c>
      <c r="AO807" s="86" t="s">
        <v>2178</v>
      </c>
      <c r="AP807" s="81" t="b">
        <v>0</v>
      </c>
      <c r="AQ807" s="86" t="s">
        <v>7358</v>
      </c>
      <c r="AR807" s="81" t="s">
        <v>179</v>
      </c>
      <c r="AS807" s="81">
        <v>0</v>
      </c>
      <c r="AT807" s="81">
        <v>0</v>
      </c>
      <c r="AU807" s="81"/>
      <c r="AV807" s="81"/>
      <c r="AW807" s="81"/>
      <c r="AX807" s="81"/>
      <c r="AY807" s="81"/>
      <c r="AZ807" s="81"/>
      <c r="BA807" s="81"/>
      <c r="BB807" s="81"/>
    </row>
    <row r="808" spans="1:54" x14ac:dyDescent="0.35">
      <c r="A808" s="66" t="s">
        <v>4458</v>
      </c>
      <c r="B808" s="66" t="s">
        <v>4797</v>
      </c>
      <c r="C808" s="67"/>
      <c r="D808" s="68"/>
      <c r="E808" s="69"/>
      <c r="F808" s="70"/>
      <c r="G808" s="67"/>
      <c r="H808" s="71"/>
      <c r="I808" s="72"/>
      <c r="J808" s="72"/>
      <c r="K808" s="36"/>
      <c r="L808" s="79"/>
      <c r="M808" s="79"/>
      <c r="N808" s="74"/>
      <c r="O808" s="81" t="s">
        <v>693</v>
      </c>
      <c r="P808" s="83">
        <v>44464.047037037039</v>
      </c>
      <c r="Q808" s="81" t="s">
        <v>5435</v>
      </c>
      <c r="R80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08" s="81" t="s">
        <v>5686</v>
      </c>
      <c r="T808" s="81"/>
      <c r="U808" s="81"/>
      <c r="V808" s="84" t="str">
        <f>HYPERLINK("https://pbs.twimg.com/profile_images/1337211285272989698/bZ9Zq8nu_normal.jpg")</f>
        <v>https://pbs.twimg.com/profile_images/1337211285272989698/bZ9Zq8nu_normal.jpg</v>
      </c>
      <c r="W808" s="83">
        <v>44464.047037037039</v>
      </c>
      <c r="X808" s="89">
        <v>44464</v>
      </c>
      <c r="Y808" s="86" t="s">
        <v>6095</v>
      </c>
      <c r="Z808" s="84" t="str">
        <f>HYPERLINK("https://twitter.com/renabreu20/status/1441570078651191296")</f>
        <v>https://twitter.com/renabreu20/status/1441570078651191296</v>
      </c>
      <c r="AA808" s="81"/>
      <c r="AB808" s="81"/>
      <c r="AC808" s="86" t="s">
        <v>7000</v>
      </c>
      <c r="AD808" s="81"/>
      <c r="AE808" s="81" t="b">
        <v>0</v>
      </c>
      <c r="AF808" s="81">
        <v>0</v>
      </c>
      <c r="AG808" s="86" t="s">
        <v>2084</v>
      </c>
      <c r="AH808" s="81" t="b">
        <v>0</v>
      </c>
      <c r="AI808" s="81" t="s">
        <v>2173</v>
      </c>
      <c r="AJ808" s="81"/>
      <c r="AK808" s="86" t="s">
        <v>2084</v>
      </c>
      <c r="AL808" s="81" t="b">
        <v>0</v>
      </c>
      <c r="AM808" s="81">
        <v>21</v>
      </c>
      <c r="AN808" s="86" t="s">
        <v>7358</v>
      </c>
      <c r="AO808" s="86" t="s">
        <v>2178</v>
      </c>
      <c r="AP808" s="81" t="b">
        <v>0</v>
      </c>
      <c r="AQ808" s="86" t="s">
        <v>7358</v>
      </c>
      <c r="AR808" s="81" t="s">
        <v>179</v>
      </c>
      <c r="AS808" s="81">
        <v>0</v>
      </c>
      <c r="AT808" s="81">
        <v>0</v>
      </c>
      <c r="AU808" s="81"/>
      <c r="AV808" s="81"/>
      <c r="AW808" s="81"/>
      <c r="AX808" s="81"/>
      <c r="AY808" s="81"/>
      <c r="AZ808" s="81"/>
      <c r="BA808" s="81"/>
      <c r="BB808" s="81"/>
    </row>
    <row r="809" spans="1:54" x14ac:dyDescent="0.35">
      <c r="A809" s="66" t="s">
        <v>4458</v>
      </c>
      <c r="B809" s="66" t="s">
        <v>5085</v>
      </c>
      <c r="C809" s="67"/>
      <c r="D809" s="68"/>
      <c r="E809" s="69"/>
      <c r="F809" s="70"/>
      <c r="G809" s="67"/>
      <c r="H809" s="71"/>
      <c r="I809" s="72"/>
      <c r="J809" s="72"/>
      <c r="K809" s="36"/>
      <c r="L809" s="79"/>
      <c r="M809" s="79"/>
      <c r="N809" s="74"/>
      <c r="O809" s="81" t="s">
        <v>695</v>
      </c>
      <c r="P809" s="83">
        <v>44464.047037037039</v>
      </c>
      <c r="Q809" s="81" t="s">
        <v>5435</v>
      </c>
      <c r="R80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09" s="81" t="s">
        <v>5686</v>
      </c>
      <c r="T809" s="81"/>
      <c r="U809" s="81"/>
      <c r="V809" s="84" t="str">
        <f>HYPERLINK("https://pbs.twimg.com/profile_images/1337211285272989698/bZ9Zq8nu_normal.jpg")</f>
        <v>https://pbs.twimg.com/profile_images/1337211285272989698/bZ9Zq8nu_normal.jpg</v>
      </c>
      <c r="W809" s="83">
        <v>44464.047037037039</v>
      </c>
      <c r="X809" s="89">
        <v>44464</v>
      </c>
      <c r="Y809" s="86" t="s">
        <v>6095</v>
      </c>
      <c r="Z809" s="84" t="str">
        <f>HYPERLINK("https://twitter.com/renabreu20/status/1441570078651191296")</f>
        <v>https://twitter.com/renabreu20/status/1441570078651191296</v>
      </c>
      <c r="AA809" s="81"/>
      <c r="AB809" s="81"/>
      <c r="AC809" s="86" t="s">
        <v>7000</v>
      </c>
      <c r="AD809" s="81"/>
      <c r="AE809" s="81" t="b">
        <v>0</v>
      </c>
      <c r="AF809" s="81">
        <v>0</v>
      </c>
      <c r="AG809" s="86" t="s">
        <v>2084</v>
      </c>
      <c r="AH809" s="81" t="b">
        <v>0</v>
      </c>
      <c r="AI809" s="81" t="s">
        <v>2173</v>
      </c>
      <c r="AJ809" s="81"/>
      <c r="AK809" s="86" t="s">
        <v>2084</v>
      </c>
      <c r="AL809" s="81" t="b">
        <v>0</v>
      </c>
      <c r="AM809" s="81">
        <v>21</v>
      </c>
      <c r="AN809" s="86" t="s">
        <v>7358</v>
      </c>
      <c r="AO809" s="86" t="s">
        <v>2178</v>
      </c>
      <c r="AP809" s="81" t="b">
        <v>0</v>
      </c>
      <c r="AQ809" s="86" t="s">
        <v>7358</v>
      </c>
      <c r="AR809" s="81" t="s">
        <v>179</v>
      </c>
      <c r="AS809" s="81">
        <v>0</v>
      </c>
      <c r="AT809" s="81">
        <v>0</v>
      </c>
      <c r="AU809" s="81"/>
      <c r="AV809" s="81"/>
      <c r="AW809" s="81"/>
      <c r="AX809" s="81"/>
      <c r="AY809" s="81"/>
      <c r="AZ809" s="81"/>
      <c r="BA809" s="81"/>
      <c r="BB809" s="81"/>
    </row>
    <row r="810" spans="1:54" x14ac:dyDescent="0.35">
      <c r="A810" s="66" t="s">
        <v>434</v>
      </c>
      <c r="B810" s="66" t="s">
        <v>646</v>
      </c>
      <c r="C810" s="67"/>
      <c r="D810" s="68"/>
      <c r="E810" s="69"/>
      <c r="F810" s="70"/>
      <c r="G810" s="67"/>
      <c r="H810" s="71"/>
      <c r="I810" s="72"/>
      <c r="J810" s="72"/>
      <c r="K810" s="36"/>
      <c r="L810" s="79"/>
      <c r="M810" s="79"/>
      <c r="N810" s="74"/>
      <c r="O810" s="81" t="s">
        <v>694</v>
      </c>
      <c r="P810" s="83">
        <v>44464.046099537038</v>
      </c>
      <c r="Q810" s="81" t="s">
        <v>803</v>
      </c>
      <c r="R810" s="81"/>
      <c r="S810" s="81"/>
      <c r="T810" s="86" t="s">
        <v>649</v>
      </c>
      <c r="U810" s="84" t="str">
        <f>HYPERLINK("https://pbs.twimg.com/media/FAEa7dXVkAcjbKg.jpg")</f>
        <v>https://pbs.twimg.com/media/FAEa7dXVkAcjbKg.jpg</v>
      </c>
      <c r="V810" s="84" t="str">
        <f>HYPERLINK("https://pbs.twimg.com/media/FAEa7dXVkAcjbKg.jpg")</f>
        <v>https://pbs.twimg.com/media/FAEa7dXVkAcjbKg.jpg</v>
      </c>
      <c r="W810" s="83">
        <v>44464.046099537038</v>
      </c>
      <c r="X810" s="89">
        <v>44464</v>
      </c>
      <c r="Y810" s="86" t="s">
        <v>1277</v>
      </c>
      <c r="Z810" s="84" t="str">
        <f>HYPERLINK("https://twitter.com/taehusna/status/1441569737071153154")</f>
        <v>https://twitter.com/taehusna/status/1441569737071153154</v>
      </c>
      <c r="AA810" s="81"/>
      <c r="AB810" s="81"/>
      <c r="AC810" s="86" t="s">
        <v>1773</v>
      </c>
      <c r="AD810" s="81"/>
      <c r="AE810" s="81" t="b">
        <v>0</v>
      </c>
      <c r="AF810" s="81">
        <v>0</v>
      </c>
      <c r="AG810" s="86" t="s">
        <v>2084</v>
      </c>
      <c r="AH810" s="81" t="b">
        <v>0</v>
      </c>
      <c r="AI810" s="81" t="s">
        <v>2168</v>
      </c>
      <c r="AJ810" s="81"/>
      <c r="AK810" s="86" t="s">
        <v>2084</v>
      </c>
      <c r="AL810" s="81" t="b">
        <v>0</v>
      </c>
      <c r="AM810" s="81">
        <v>21</v>
      </c>
      <c r="AN810" s="86" t="s">
        <v>1847</v>
      </c>
      <c r="AO810" s="86" t="s">
        <v>2178</v>
      </c>
      <c r="AP810" s="81" t="b">
        <v>0</v>
      </c>
      <c r="AQ810" s="86" t="s">
        <v>1847</v>
      </c>
      <c r="AR810" s="81" t="s">
        <v>179</v>
      </c>
      <c r="AS810" s="81">
        <v>0</v>
      </c>
      <c r="AT810" s="81">
        <v>0</v>
      </c>
      <c r="AU810" s="81"/>
      <c r="AV810" s="81"/>
      <c r="AW810" s="81"/>
      <c r="AX810" s="81"/>
      <c r="AY810" s="81"/>
      <c r="AZ810" s="81"/>
      <c r="BA810" s="81"/>
      <c r="BB810" s="81"/>
    </row>
    <row r="811" spans="1:54" x14ac:dyDescent="0.35">
      <c r="A811" s="66" t="s">
        <v>434</v>
      </c>
      <c r="B811" s="66" t="s">
        <v>647</v>
      </c>
      <c r="C811" s="67"/>
      <c r="D811" s="68"/>
      <c r="E811" s="69"/>
      <c r="F811" s="70"/>
      <c r="G811" s="67"/>
      <c r="H811" s="71"/>
      <c r="I811" s="72"/>
      <c r="J811" s="72"/>
      <c r="K811" s="36"/>
      <c r="L811" s="79"/>
      <c r="M811" s="79"/>
      <c r="N811" s="74"/>
      <c r="O811" s="81" t="s">
        <v>694</v>
      </c>
      <c r="P811" s="83">
        <v>44464.046099537038</v>
      </c>
      <c r="Q811" s="81" t="s">
        <v>803</v>
      </c>
      <c r="R811" s="81"/>
      <c r="S811" s="81"/>
      <c r="T811" s="86" t="s">
        <v>649</v>
      </c>
      <c r="U811" s="84" t="str">
        <f>HYPERLINK("https://pbs.twimg.com/media/FAEa7dXVkAcjbKg.jpg")</f>
        <v>https://pbs.twimg.com/media/FAEa7dXVkAcjbKg.jpg</v>
      </c>
      <c r="V811" s="84" t="str">
        <f>HYPERLINK("https://pbs.twimg.com/media/FAEa7dXVkAcjbKg.jpg")</f>
        <v>https://pbs.twimg.com/media/FAEa7dXVkAcjbKg.jpg</v>
      </c>
      <c r="W811" s="83">
        <v>44464.046099537038</v>
      </c>
      <c r="X811" s="89">
        <v>44464</v>
      </c>
      <c r="Y811" s="86" t="s">
        <v>1277</v>
      </c>
      <c r="Z811" s="84" t="str">
        <f>HYPERLINK("https://twitter.com/taehusna/status/1441569737071153154")</f>
        <v>https://twitter.com/taehusna/status/1441569737071153154</v>
      </c>
      <c r="AA811" s="81"/>
      <c r="AB811" s="81"/>
      <c r="AC811" s="86" t="s">
        <v>1773</v>
      </c>
      <c r="AD811" s="81"/>
      <c r="AE811" s="81" t="b">
        <v>0</v>
      </c>
      <c r="AF811" s="81">
        <v>0</v>
      </c>
      <c r="AG811" s="86" t="s">
        <v>2084</v>
      </c>
      <c r="AH811" s="81" t="b">
        <v>0</v>
      </c>
      <c r="AI811" s="81" t="s">
        <v>2168</v>
      </c>
      <c r="AJ811" s="81"/>
      <c r="AK811" s="86" t="s">
        <v>2084</v>
      </c>
      <c r="AL811" s="81" t="b">
        <v>0</v>
      </c>
      <c r="AM811" s="81">
        <v>21</v>
      </c>
      <c r="AN811" s="86" t="s">
        <v>1847</v>
      </c>
      <c r="AO811" s="86" t="s">
        <v>2178</v>
      </c>
      <c r="AP811" s="81" t="b">
        <v>0</v>
      </c>
      <c r="AQ811" s="86" t="s">
        <v>1847</v>
      </c>
      <c r="AR811" s="81" t="s">
        <v>179</v>
      </c>
      <c r="AS811" s="81">
        <v>0</v>
      </c>
      <c r="AT811" s="81">
        <v>0</v>
      </c>
      <c r="AU811" s="81"/>
      <c r="AV811" s="81"/>
      <c r="AW811" s="81"/>
      <c r="AX811" s="81"/>
      <c r="AY811" s="81"/>
      <c r="AZ811" s="81"/>
      <c r="BA811" s="81"/>
      <c r="BB811" s="81"/>
    </row>
    <row r="812" spans="1:54" x14ac:dyDescent="0.35">
      <c r="A812" s="66" t="s">
        <v>434</v>
      </c>
      <c r="B812" s="66" t="s">
        <v>648</v>
      </c>
      <c r="C812" s="67"/>
      <c r="D812" s="68"/>
      <c r="E812" s="69"/>
      <c r="F812" s="70"/>
      <c r="G812" s="67"/>
      <c r="H812" s="71"/>
      <c r="I812" s="72"/>
      <c r="J812" s="72"/>
      <c r="K812" s="36"/>
      <c r="L812" s="79"/>
      <c r="M812" s="79"/>
      <c r="N812" s="74"/>
      <c r="O812" s="81" t="s">
        <v>694</v>
      </c>
      <c r="P812" s="83">
        <v>44464.046099537038</v>
      </c>
      <c r="Q812" s="81" t="s">
        <v>803</v>
      </c>
      <c r="R812" s="81"/>
      <c r="S812" s="81"/>
      <c r="T812" s="86" t="s">
        <v>649</v>
      </c>
      <c r="U812" s="84" t="str">
        <f>HYPERLINK("https://pbs.twimg.com/media/FAEa7dXVkAcjbKg.jpg")</f>
        <v>https://pbs.twimg.com/media/FAEa7dXVkAcjbKg.jpg</v>
      </c>
      <c r="V812" s="84" t="str">
        <f>HYPERLINK("https://pbs.twimg.com/media/FAEa7dXVkAcjbKg.jpg")</f>
        <v>https://pbs.twimg.com/media/FAEa7dXVkAcjbKg.jpg</v>
      </c>
      <c r="W812" s="83">
        <v>44464.046099537038</v>
      </c>
      <c r="X812" s="89">
        <v>44464</v>
      </c>
      <c r="Y812" s="86" t="s">
        <v>1277</v>
      </c>
      <c r="Z812" s="84" t="str">
        <f>HYPERLINK("https://twitter.com/taehusna/status/1441569737071153154")</f>
        <v>https://twitter.com/taehusna/status/1441569737071153154</v>
      </c>
      <c r="AA812" s="81"/>
      <c r="AB812" s="81"/>
      <c r="AC812" s="86" t="s">
        <v>1773</v>
      </c>
      <c r="AD812" s="81"/>
      <c r="AE812" s="81" t="b">
        <v>0</v>
      </c>
      <c r="AF812" s="81">
        <v>0</v>
      </c>
      <c r="AG812" s="86" t="s">
        <v>2084</v>
      </c>
      <c r="AH812" s="81" t="b">
        <v>0</v>
      </c>
      <c r="AI812" s="81" t="s">
        <v>2168</v>
      </c>
      <c r="AJ812" s="81"/>
      <c r="AK812" s="86" t="s">
        <v>2084</v>
      </c>
      <c r="AL812" s="81" t="b">
        <v>0</v>
      </c>
      <c r="AM812" s="81">
        <v>21</v>
      </c>
      <c r="AN812" s="86" t="s">
        <v>1847</v>
      </c>
      <c r="AO812" s="86" t="s">
        <v>2178</v>
      </c>
      <c r="AP812" s="81" t="b">
        <v>0</v>
      </c>
      <c r="AQ812" s="86" t="s">
        <v>1847</v>
      </c>
      <c r="AR812" s="81" t="s">
        <v>179</v>
      </c>
      <c r="AS812" s="81">
        <v>0</v>
      </c>
      <c r="AT812" s="81">
        <v>0</v>
      </c>
      <c r="AU812" s="81"/>
      <c r="AV812" s="81"/>
      <c r="AW812" s="81"/>
      <c r="AX812" s="81"/>
      <c r="AY812" s="81"/>
      <c r="AZ812" s="81"/>
      <c r="BA812" s="81"/>
      <c r="BB812" s="81"/>
    </row>
    <row r="813" spans="1:54" x14ac:dyDescent="0.35">
      <c r="A813" s="66" t="s">
        <v>434</v>
      </c>
      <c r="B813" s="66" t="s">
        <v>649</v>
      </c>
      <c r="C813" s="67"/>
      <c r="D813" s="68"/>
      <c r="E813" s="69"/>
      <c r="F813" s="70"/>
      <c r="G813" s="67"/>
      <c r="H813" s="71"/>
      <c r="I813" s="72"/>
      <c r="J813" s="72"/>
      <c r="K813" s="36"/>
      <c r="L813" s="79"/>
      <c r="M813" s="79"/>
      <c r="N813" s="74"/>
      <c r="O813" s="81" t="s">
        <v>694</v>
      </c>
      <c r="P813" s="83">
        <v>44464.046099537038</v>
      </c>
      <c r="Q813" s="81" t="s">
        <v>803</v>
      </c>
      <c r="R813" s="81"/>
      <c r="S813" s="81"/>
      <c r="T813" s="86" t="s">
        <v>649</v>
      </c>
      <c r="U813" s="84" t="str">
        <f>HYPERLINK("https://pbs.twimg.com/media/FAEa7dXVkAcjbKg.jpg")</f>
        <v>https://pbs.twimg.com/media/FAEa7dXVkAcjbKg.jpg</v>
      </c>
      <c r="V813" s="84" t="str">
        <f>HYPERLINK("https://pbs.twimg.com/media/FAEa7dXVkAcjbKg.jpg")</f>
        <v>https://pbs.twimg.com/media/FAEa7dXVkAcjbKg.jpg</v>
      </c>
      <c r="W813" s="83">
        <v>44464.046099537038</v>
      </c>
      <c r="X813" s="89">
        <v>44464</v>
      </c>
      <c r="Y813" s="86" t="s">
        <v>1277</v>
      </c>
      <c r="Z813" s="84" t="str">
        <f>HYPERLINK("https://twitter.com/taehusna/status/1441569737071153154")</f>
        <v>https://twitter.com/taehusna/status/1441569737071153154</v>
      </c>
      <c r="AA813" s="81"/>
      <c r="AB813" s="81"/>
      <c r="AC813" s="86" t="s">
        <v>1773</v>
      </c>
      <c r="AD813" s="81"/>
      <c r="AE813" s="81" t="b">
        <v>0</v>
      </c>
      <c r="AF813" s="81">
        <v>0</v>
      </c>
      <c r="AG813" s="86" t="s">
        <v>2084</v>
      </c>
      <c r="AH813" s="81" t="b">
        <v>0</v>
      </c>
      <c r="AI813" s="81" t="s">
        <v>2168</v>
      </c>
      <c r="AJ813" s="81"/>
      <c r="AK813" s="86" t="s">
        <v>2084</v>
      </c>
      <c r="AL813" s="81" t="b">
        <v>0</v>
      </c>
      <c r="AM813" s="81">
        <v>21</v>
      </c>
      <c r="AN813" s="86" t="s">
        <v>1847</v>
      </c>
      <c r="AO813" s="86" t="s">
        <v>2178</v>
      </c>
      <c r="AP813" s="81" t="b">
        <v>0</v>
      </c>
      <c r="AQ813" s="86" t="s">
        <v>1847</v>
      </c>
      <c r="AR813" s="81" t="s">
        <v>179</v>
      </c>
      <c r="AS813" s="81">
        <v>0</v>
      </c>
      <c r="AT813" s="81">
        <v>0</v>
      </c>
      <c r="AU813" s="81"/>
      <c r="AV813" s="81"/>
      <c r="AW813" s="81"/>
      <c r="AX813" s="81"/>
      <c r="AY813" s="81"/>
      <c r="AZ813" s="81"/>
      <c r="BA813" s="81"/>
      <c r="BB813" s="81"/>
    </row>
    <row r="814" spans="1:54" x14ac:dyDescent="0.35">
      <c r="A814" s="66" t="s">
        <v>434</v>
      </c>
      <c r="B814" s="66" t="s">
        <v>496</v>
      </c>
      <c r="C814" s="67"/>
      <c r="D814" s="68"/>
      <c r="E814" s="69"/>
      <c r="F814" s="70"/>
      <c r="G814" s="67"/>
      <c r="H814" s="71"/>
      <c r="I814" s="72"/>
      <c r="J814" s="72"/>
      <c r="K814" s="36"/>
      <c r="L814" s="79"/>
      <c r="M814" s="79"/>
      <c r="N814" s="74"/>
      <c r="O814" s="81" t="s">
        <v>693</v>
      </c>
      <c r="P814" s="83">
        <v>44464.046099537038</v>
      </c>
      <c r="Q814" s="81" t="s">
        <v>803</v>
      </c>
      <c r="R814" s="81"/>
      <c r="S814" s="81"/>
      <c r="T814" s="86" t="s">
        <v>649</v>
      </c>
      <c r="U814" s="84" t="str">
        <f>HYPERLINK("https://pbs.twimg.com/media/FAEa7dXVkAcjbKg.jpg")</f>
        <v>https://pbs.twimg.com/media/FAEa7dXVkAcjbKg.jpg</v>
      </c>
      <c r="V814" s="84" t="str">
        <f>HYPERLINK("https://pbs.twimg.com/media/FAEa7dXVkAcjbKg.jpg")</f>
        <v>https://pbs.twimg.com/media/FAEa7dXVkAcjbKg.jpg</v>
      </c>
      <c r="W814" s="83">
        <v>44464.046099537038</v>
      </c>
      <c r="X814" s="89">
        <v>44464</v>
      </c>
      <c r="Y814" s="86" t="s">
        <v>1277</v>
      </c>
      <c r="Z814" s="84" t="str">
        <f>HYPERLINK("https://twitter.com/taehusna/status/1441569737071153154")</f>
        <v>https://twitter.com/taehusna/status/1441569737071153154</v>
      </c>
      <c r="AA814" s="81"/>
      <c r="AB814" s="81"/>
      <c r="AC814" s="86" t="s">
        <v>1773</v>
      </c>
      <c r="AD814" s="81"/>
      <c r="AE814" s="81" t="b">
        <v>0</v>
      </c>
      <c r="AF814" s="81">
        <v>0</v>
      </c>
      <c r="AG814" s="86" t="s">
        <v>2084</v>
      </c>
      <c r="AH814" s="81" t="b">
        <v>0</v>
      </c>
      <c r="AI814" s="81" t="s">
        <v>2168</v>
      </c>
      <c r="AJ814" s="81"/>
      <c r="AK814" s="86" t="s">
        <v>2084</v>
      </c>
      <c r="AL814" s="81" t="b">
        <v>0</v>
      </c>
      <c r="AM814" s="81">
        <v>21</v>
      </c>
      <c r="AN814" s="86" t="s">
        <v>1847</v>
      </c>
      <c r="AO814" s="86" t="s">
        <v>2178</v>
      </c>
      <c r="AP814" s="81" t="b">
        <v>0</v>
      </c>
      <c r="AQ814" s="86" t="s">
        <v>1847</v>
      </c>
      <c r="AR814" s="81" t="s">
        <v>179</v>
      </c>
      <c r="AS814" s="81">
        <v>0</v>
      </c>
      <c r="AT814" s="81">
        <v>0</v>
      </c>
      <c r="AU814" s="81"/>
      <c r="AV814" s="81"/>
      <c r="AW814" s="81"/>
      <c r="AX814" s="81"/>
      <c r="AY814" s="81"/>
      <c r="AZ814" s="81"/>
      <c r="BA814" s="81"/>
      <c r="BB814" s="81"/>
    </row>
    <row r="815" spans="1:54" x14ac:dyDescent="0.35">
      <c r="A815" s="66" t="s">
        <v>434</v>
      </c>
      <c r="B815" s="66" t="s">
        <v>646</v>
      </c>
      <c r="C815" s="67"/>
      <c r="D815" s="68"/>
      <c r="E815" s="69"/>
      <c r="F815" s="70"/>
      <c r="G815" s="67"/>
      <c r="H815" s="71"/>
      <c r="I815" s="72"/>
      <c r="J815" s="72"/>
      <c r="K815" s="36"/>
      <c r="L815" s="79"/>
      <c r="M815" s="79"/>
      <c r="N815" s="74"/>
      <c r="O815" s="81" t="s">
        <v>694</v>
      </c>
      <c r="P815" s="83">
        <v>44464.047372685185</v>
      </c>
      <c r="Q815" s="81" t="s">
        <v>804</v>
      </c>
      <c r="R815" s="81"/>
      <c r="S815" s="81"/>
      <c r="T815" s="86" t="s">
        <v>649</v>
      </c>
      <c r="U815" s="84" t="str">
        <f>HYPERLINK("https://pbs.twimg.com/media/FAEaAdPVgAgaH2z.jpg")</f>
        <v>https://pbs.twimg.com/media/FAEaAdPVgAgaH2z.jpg</v>
      </c>
      <c r="V815" s="84" t="str">
        <f>HYPERLINK("https://pbs.twimg.com/media/FAEaAdPVgAgaH2z.jpg")</f>
        <v>https://pbs.twimg.com/media/FAEaAdPVgAgaH2z.jpg</v>
      </c>
      <c r="W815" s="83">
        <v>44464.047372685185</v>
      </c>
      <c r="X815" s="89">
        <v>44464</v>
      </c>
      <c r="Y815" s="86" t="s">
        <v>1278</v>
      </c>
      <c r="Z815" s="84" t="str">
        <f>HYPERLINK("https://twitter.com/taehusna/status/1441570200671817728")</f>
        <v>https://twitter.com/taehusna/status/1441570200671817728</v>
      </c>
      <c r="AA815" s="81"/>
      <c r="AB815" s="81"/>
      <c r="AC815" s="86" t="s">
        <v>1774</v>
      </c>
      <c r="AD815" s="81"/>
      <c r="AE815" s="81" t="b">
        <v>0</v>
      </c>
      <c r="AF815" s="81">
        <v>0</v>
      </c>
      <c r="AG815" s="86" t="s">
        <v>2084</v>
      </c>
      <c r="AH815" s="81" t="b">
        <v>0</v>
      </c>
      <c r="AI815" s="81" t="s">
        <v>2168</v>
      </c>
      <c r="AJ815" s="81"/>
      <c r="AK815" s="86" t="s">
        <v>2084</v>
      </c>
      <c r="AL815" s="81" t="b">
        <v>0</v>
      </c>
      <c r="AM815" s="81">
        <v>22</v>
      </c>
      <c r="AN815" s="86" t="s">
        <v>1846</v>
      </c>
      <c r="AO815" s="86" t="s">
        <v>2178</v>
      </c>
      <c r="AP815" s="81" t="b">
        <v>0</v>
      </c>
      <c r="AQ815" s="86" t="s">
        <v>1846</v>
      </c>
      <c r="AR815" s="81" t="s">
        <v>179</v>
      </c>
      <c r="AS815" s="81">
        <v>0</v>
      </c>
      <c r="AT815" s="81">
        <v>0</v>
      </c>
      <c r="AU815" s="81"/>
      <c r="AV815" s="81"/>
      <c r="AW815" s="81"/>
      <c r="AX815" s="81"/>
      <c r="AY815" s="81"/>
      <c r="AZ815" s="81"/>
      <c r="BA815" s="81"/>
      <c r="BB815" s="81"/>
    </row>
    <row r="816" spans="1:54" x14ac:dyDescent="0.35">
      <c r="A816" s="66" t="s">
        <v>434</v>
      </c>
      <c r="B816" s="66" t="s">
        <v>647</v>
      </c>
      <c r="C816" s="67"/>
      <c r="D816" s="68"/>
      <c r="E816" s="69"/>
      <c r="F816" s="70"/>
      <c r="G816" s="67"/>
      <c r="H816" s="71"/>
      <c r="I816" s="72"/>
      <c r="J816" s="72"/>
      <c r="K816" s="36"/>
      <c r="L816" s="79"/>
      <c r="M816" s="79"/>
      <c r="N816" s="74"/>
      <c r="O816" s="81" t="s">
        <v>694</v>
      </c>
      <c r="P816" s="83">
        <v>44464.047372685185</v>
      </c>
      <c r="Q816" s="81" t="s">
        <v>804</v>
      </c>
      <c r="R816" s="81"/>
      <c r="S816" s="81"/>
      <c r="T816" s="86" t="s">
        <v>649</v>
      </c>
      <c r="U816" s="84" t="str">
        <f>HYPERLINK("https://pbs.twimg.com/media/FAEaAdPVgAgaH2z.jpg")</f>
        <v>https://pbs.twimg.com/media/FAEaAdPVgAgaH2z.jpg</v>
      </c>
      <c r="V816" s="84" t="str">
        <f>HYPERLINK("https://pbs.twimg.com/media/FAEaAdPVgAgaH2z.jpg")</f>
        <v>https://pbs.twimg.com/media/FAEaAdPVgAgaH2z.jpg</v>
      </c>
      <c r="W816" s="83">
        <v>44464.047372685185</v>
      </c>
      <c r="X816" s="89">
        <v>44464</v>
      </c>
      <c r="Y816" s="86" t="s">
        <v>1278</v>
      </c>
      <c r="Z816" s="84" t="str">
        <f>HYPERLINK("https://twitter.com/taehusna/status/1441570200671817728")</f>
        <v>https://twitter.com/taehusna/status/1441570200671817728</v>
      </c>
      <c r="AA816" s="81"/>
      <c r="AB816" s="81"/>
      <c r="AC816" s="86" t="s">
        <v>1774</v>
      </c>
      <c r="AD816" s="81"/>
      <c r="AE816" s="81" t="b">
        <v>0</v>
      </c>
      <c r="AF816" s="81">
        <v>0</v>
      </c>
      <c r="AG816" s="86" t="s">
        <v>2084</v>
      </c>
      <c r="AH816" s="81" t="b">
        <v>0</v>
      </c>
      <c r="AI816" s="81" t="s">
        <v>2168</v>
      </c>
      <c r="AJ816" s="81"/>
      <c r="AK816" s="86" t="s">
        <v>2084</v>
      </c>
      <c r="AL816" s="81" t="b">
        <v>0</v>
      </c>
      <c r="AM816" s="81">
        <v>22</v>
      </c>
      <c r="AN816" s="86" t="s">
        <v>1846</v>
      </c>
      <c r="AO816" s="86" t="s">
        <v>2178</v>
      </c>
      <c r="AP816" s="81" t="b">
        <v>0</v>
      </c>
      <c r="AQ816" s="86" t="s">
        <v>1846</v>
      </c>
      <c r="AR816" s="81" t="s">
        <v>179</v>
      </c>
      <c r="AS816" s="81">
        <v>0</v>
      </c>
      <c r="AT816" s="81">
        <v>0</v>
      </c>
      <c r="AU816" s="81"/>
      <c r="AV816" s="81"/>
      <c r="AW816" s="81"/>
      <c r="AX816" s="81"/>
      <c r="AY816" s="81"/>
      <c r="AZ816" s="81"/>
      <c r="BA816" s="81"/>
      <c r="BB816" s="81"/>
    </row>
    <row r="817" spans="1:54" x14ac:dyDescent="0.35">
      <c r="A817" s="66" t="s">
        <v>434</v>
      </c>
      <c r="B817" s="66" t="s">
        <v>648</v>
      </c>
      <c r="C817" s="67"/>
      <c r="D817" s="68"/>
      <c r="E817" s="69"/>
      <c r="F817" s="70"/>
      <c r="G817" s="67"/>
      <c r="H817" s="71"/>
      <c r="I817" s="72"/>
      <c r="J817" s="72"/>
      <c r="K817" s="36"/>
      <c r="L817" s="79"/>
      <c r="M817" s="79"/>
      <c r="N817" s="74"/>
      <c r="O817" s="81" t="s">
        <v>694</v>
      </c>
      <c r="P817" s="83">
        <v>44464.047372685185</v>
      </c>
      <c r="Q817" s="81" t="s">
        <v>804</v>
      </c>
      <c r="R817" s="81"/>
      <c r="S817" s="81"/>
      <c r="T817" s="86" t="s">
        <v>649</v>
      </c>
      <c r="U817" s="84" t="str">
        <f>HYPERLINK("https://pbs.twimg.com/media/FAEaAdPVgAgaH2z.jpg")</f>
        <v>https://pbs.twimg.com/media/FAEaAdPVgAgaH2z.jpg</v>
      </c>
      <c r="V817" s="84" t="str">
        <f>HYPERLINK("https://pbs.twimg.com/media/FAEaAdPVgAgaH2z.jpg")</f>
        <v>https://pbs.twimg.com/media/FAEaAdPVgAgaH2z.jpg</v>
      </c>
      <c r="W817" s="83">
        <v>44464.047372685185</v>
      </c>
      <c r="X817" s="89">
        <v>44464</v>
      </c>
      <c r="Y817" s="86" t="s">
        <v>1278</v>
      </c>
      <c r="Z817" s="84" t="str">
        <f>HYPERLINK("https://twitter.com/taehusna/status/1441570200671817728")</f>
        <v>https://twitter.com/taehusna/status/1441570200671817728</v>
      </c>
      <c r="AA817" s="81"/>
      <c r="AB817" s="81"/>
      <c r="AC817" s="86" t="s">
        <v>1774</v>
      </c>
      <c r="AD817" s="81"/>
      <c r="AE817" s="81" t="b">
        <v>0</v>
      </c>
      <c r="AF817" s="81">
        <v>0</v>
      </c>
      <c r="AG817" s="86" t="s">
        <v>2084</v>
      </c>
      <c r="AH817" s="81" t="b">
        <v>0</v>
      </c>
      <c r="AI817" s="81" t="s">
        <v>2168</v>
      </c>
      <c r="AJ817" s="81"/>
      <c r="AK817" s="86" t="s">
        <v>2084</v>
      </c>
      <c r="AL817" s="81" t="b">
        <v>0</v>
      </c>
      <c r="AM817" s="81">
        <v>22</v>
      </c>
      <c r="AN817" s="86" t="s">
        <v>1846</v>
      </c>
      <c r="AO817" s="86" t="s">
        <v>2178</v>
      </c>
      <c r="AP817" s="81" t="b">
        <v>0</v>
      </c>
      <c r="AQ817" s="86" t="s">
        <v>1846</v>
      </c>
      <c r="AR817" s="81" t="s">
        <v>179</v>
      </c>
      <c r="AS817" s="81">
        <v>0</v>
      </c>
      <c r="AT817" s="81">
        <v>0</v>
      </c>
      <c r="AU817" s="81"/>
      <c r="AV817" s="81"/>
      <c r="AW817" s="81"/>
      <c r="AX817" s="81"/>
      <c r="AY817" s="81"/>
      <c r="AZ817" s="81"/>
      <c r="BA817" s="81"/>
      <c r="BB817" s="81"/>
    </row>
    <row r="818" spans="1:54" x14ac:dyDescent="0.35">
      <c r="A818" s="66" t="s">
        <v>434</v>
      </c>
      <c r="B818" s="66" t="s">
        <v>649</v>
      </c>
      <c r="C818" s="67"/>
      <c r="D818" s="68"/>
      <c r="E818" s="69"/>
      <c r="F818" s="70"/>
      <c r="G818" s="67"/>
      <c r="H818" s="71"/>
      <c r="I818" s="72"/>
      <c r="J818" s="72"/>
      <c r="K818" s="36"/>
      <c r="L818" s="79"/>
      <c r="M818" s="79"/>
      <c r="N818" s="74"/>
      <c r="O818" s="81" t="s">
        <v>694</v>
      </c>
      <c r="P818" s="83">
        <v>44464.047372685185</v>
      </c>
      <c r="Q818" s="81" t="s">
        <v>804</v>
      </c>
      <c r="R818" s="81"/>
      <c r="S818" s="81"/>
      <c r="T818" s="86" t="s">
        <v>649</v>
      </c>
      <c r="U818" s="84" t="str">
        <f>HYPERLINK("https://pbs.twimg.com/media/FAEaAdPVgAgaH2z.jpg")</f>
        <v>https://pbs.twimg.com/media/FAEaAdPVgAgaH2z.jpg</v>
      </c>
      <c r="V818" s="84" t="str">
        <f>HYPERLINK("https://pbs.twimg.com/media/FAEaAdPVgAgaH2z.jpg")</f>
        <v>https://pbs.twimg.com/media/FAEaAdPVgAgaH2z.jpg</v>
      </c>
      <c r="W818" s="83">
        <v>44464.047372685185</v>
      </c>
      <c r="X818" s="89">
        <v>44464</v>
      </c>
      <c r="Y818" s="86" t="s">
        <v>1278</v>
      </c>
      <c r="Z818" s="84" t="str">
        <f>HYPERLINK("https://twitter.com/taehusna/status/1441570200671817728")</f>
        <v>https://twitter.com/taehusna/status/1441570200671817728</v>
      </c>
      <c r="AA818" s="81"/>
      <c r="AB818" s="81"/>
      <c r="AC818" s="86" t="s">
        <v>1774</v>
      </c>
      <c r="AD818" s="81"/>
      <c r="AE818" s="81" t="b">
        <v>0</v>
      </c>
      <c r="AF818" s="81">
        <v>0</v>
      </c>
      <c r="AG818" s="86" t="s">
        <v>2084</v>
      </c>
      <c r="AH818" s="81" t="b">
        <v>0</v>
      </c>
      <c r="AI818" s="81" t="s">
        <v>2168</v>
      </c>
      <c r="AJ818" s="81"/>
      <c r="AK818" s="86" t="s">
        <v>2084</v>
      </c>
      <c r="AL818" s="81" t="b">
        <v>0</v>
      </c>
      <c r="AM818" s="81">
        <v>22</v>
      </c>
      <c r="AN818" s="86" t="s">
        <v>1846</v>
      </c>
      <c r="AO818" s="86" t="s">
        <v>2178</v>
      </c>
      <c r="AP818" s="81" t="b">
        <v>0</v>
      </c>
      <c r="AQ818" s="86" t="s">
        <v>1846</v>
      </c>
      <c r="AR818" s="81" t="s">
        <v>179</v>
      </c>
      <c r="AS818" s="81">
        <v>0</v>
      </c>
      <c r="AT818" s="81">
        <v>0</v>
      </c>
      <c r="AU818" s="81"/>
      <c r="AV818" s="81"/>
      <c r="AW818" s="81"/>
      <c r="AX818" s="81"/>
      <c r="AY818" s="81"/>
      <c r="AZ818" s="81"/>
      <c r="BA818" s="81"/>
      <c r="BB818" s="81"/>
    </row>
    <row r="819" spans="1:54" x14ac:dyDescent="0.35">
      <c r="A819" s="66" t="s">
        <v>434</v>
      </c>
      <c r="B819" s="66" t="s">
        <v>496</v>
      </c>
      <c r="C819" s="67"/>
      <c r="D819" s="68"/>
      <c r="E819" s="69"/>
      <c r="F819" s="70"/>
      <c r="G819" s="67"/>
      <c r="H819" s="71"/>
      <c r="I819" s="72"/>
      <c r="J819" s="72"/>
      <c r="K819" s="36"/>
      <c r="L819" s="79"/>
      <c r="M819" s="79"/>
      <c r="N819" s="74"/>
      <c r="O819" s="81" t="s">
        <v>693</v>
      </c>
      <c r="P819" s="83">
        <v>44464.047372685185</v>
      </c>
      <c r="Q819" s="81" t="s">
        <v>804</v>
      </c>
      <c r="R819" s="81"/>
      <c r="S819" s="81"/>
      <c r="T819" s="86" t="s">
        <v>649</v>
      </c>
      <c r="U819" s="84" t="str">
        <f>HYPERLINK("https://pbs.twimg.com/media/FAEaAdPVgAgaH2z.jpg")</f>
        <v>https://pbs.twimg.com/media/FAEaAdPVgAgaH2z.jpg</v>
      </c>
      <c r="V819" s="84" t="str">
        <f>HYPERLINK("https://pbs.twimg.com/media/FAEaAdPVgAgaH2z.jpg")</f>
        <v>https://pbs.twimg.com/media/FAEaAdPVgAgaH2z.jpg</v>
      </c>
      <c r="W819" s="83">
        <v>44464.047372685185</v>
      </c>
      <c r="X819" s="89">
        <v>44464</v>
      </c>
      <c r="Y819" s="86" t="s">
        <v>1278</v>
      </c>
      <c r="Z819" s="84" t="str">
        <f>HYPERLINK("https://twitter.com/taehusna/status/1441570200671817728")</f>
        <v>https://twitter.com/taehusna/status/1441570200671817728</v>
      </c>
      <c r="AA819" s="81"/>
      <c r="AB819" s="81"/>
      <c r="AC819" s="86" t="s">
        <v>1774</v>
      </c>
      <c r="AD819" s="81"/>
      <c r="AE819" s="81" t="b">
        <v>0</v>
      </c>
      <c r="AF819" s="81">
        <v>0</v>
      </c>
      <c r="AG819" s="86" t="s">
        <v>2084</v>
      </c>
      <c r="AH819" s="81" t="b">
        <v>0</v>
      </c>
      <c r="AI819" s="81" t="s">
        <v>2168</v>
      </c>
      <c r="AJ819" s="81"/>
      <c r="AK819" s="86" t="s">
        <v>2084</v>
      </c>
      <c r="AL819" s="81" t="b">
        <v>0</v>
      </c>
      <c r="AM819" s="81">
        <v>22</v>
      </c>
      <c r="AN819" s="86" t="s">
        <v>1846</v>
      </c>
      <c r="AO819" s="86" t="s">
        <v>2178</v>
      </c>
      <c r="AP819" s="81" t="b">
        <v>0</v>
      </c>
      <c r="AQ819" s="86" t="s">
        <v>1846</v>
      </c>
      <c r="AR819" s="81" t="s">
        <v>179</v>
      </c>
      <c r="AS819" s="81">
        <v>0</v>
      </c>
      <c r="AT819" s="81">
        <v>0</v>
      </c>
      <c r="AU819" s="81"/>
      <c r="AV819" s="81"/>
      <c r="AW819" s="81"/>
      <c r="AX819" s="81"/>
      <c r="AY819" s="81"/>
      <c r="AZ819" s="81"/>
      <c r="BA819" s="81"/>
      <c r="BB819" s="81"/>
    </row>
    <row r="820" spans="1:54" x14ac:dyDescent="0.35">
      <c r="A820" s="66" t="s">
        <v>631</v>
      </c>
      <c r="B820" s="66" t="s">
        <v>631</v>
      </c>
      <c r="C820" s="67"/>
      <c r="D820" s="68"/>
      <c r="E820" s="69"/>
      <c r="F820" s="70"/>
      <c r="G820" s="67"/>
      <c r="H820" s="71"/>
      <c r="I820" s="72"/>
      <c r="J820" s="72"/>
      <c r="K820" s="36"/>
      <c r="L820" s="79"/>
      <c r="M820" s="79"/>
      <c r="N820" s="74"/>
      <c r="O820" s="81" t="s">
        <v>179</v>
      </c>
      <c r="P820" s="83">
        <v>44464.048773148148</v>
      </c>
      <c r="Q820" s="81" t="s">
        <v>5439</v>
      </c>
      <c r="R820" s="81"/>
      <c r="S820" s="81"/>
      <c r="T820" s="81"/>
      <c r="U820" s="81"/>
      <c r="V820" s="84" t="str">
        <f>HYPERLINK("https://pbs.twimg.com/profile_images/1224526226682810370/U8ElEdk3_normal.jpg")</f>
        <v>https://pbs.twimg.com/profile_images/1224526226682810370/U8ElEdk3_normal.jpg</v>
      </c>
      <c r="W820" s="83">
        <v>44464.048773148148</v>
      </c>
      <c r="X820" s="89">
        <v>44464</v>
      </c>
      <c r="Y820" s="86" t="s">
        <v>6096</v>
      </c>
      <c r="Z820" s="84" t="str">
        <f>HYPERLINK("https://twitter.com/karawangfess/status/1441570708836913158")</f>
        <v>https://twitter.com/karawangfess/status/1441570708836913158</v>
      </c>
      <c r="AA820" s="81"/>
      <c r="AB820" s="81"/>
      <c r="AC820" s="86" t="s">
        <v>7001</v>
      </c>
      <c r="AD820" s="81"/>
      <c r="AE820" s="81" t="b">
        <v>0</v>
      </c>
      <c r="AF820" s="81">
        <v>1</v>
      </c>
      <c r="AG820" s="86" t="s">
        <v>2084</v>
      </c>
      <c r="AH820" s="81" t="b">
        <v>0</v>
      </c>
      <c r="AI820" s="81" t="s">
        <v>2167</v>
      </c>
      <c r="AJ820" s="81"/>
      <c r="AK820" s="86" t="s">
        <v>2084</v>
      </c>
      <c r="AL820" s="81" t="b">
        <v>0</v>
      </c>
      <c r="AM820" s="81">
        <v>0</v>
      </c>
      <c r="AN820" s="86" t="s">
        <v>2084</v>
      </c>
      <c r="AO820" s="86" t="s">
        <v>2178</v>
      </c>
      <c r="AP820" s="81" t="b">
        <v>0</v>
      </c>
      <c r="AQ820" s="86" t="s">
        <v>7001</v>
      </c>
      <c r="AR820" s="81" t="s">
        <v>179</v>
      </c>
      <c r="AS820" s="81">
        <v>0</v>
      </c>
      <c r="AT820" s="81">
        <v>0</v>
      </c>
      <c r="AU820" s="81"/>
      <c r="AV820" s="81"/>
      <c r="AW820" s="81"/>
      <c r="AX820" s="81"/>
      <c r="AY820" s="81"/>
      <c r="AZ820" s="81"/>
      <c r="BA820" s="81"/>
      <c r="BB820" s="81"/>
    </row>
    <row r="821" spans="1:54" x14ac:dyDescent="0.35">
      <c r="A821" s="66" t="s">
        <v>4459</v>
      </c>
      <c r="B821" s="66" t="s">
        <v>4797</v>
      </c>
      <c r="C821" s="67"/>
      <c r="D821" s="68"/>
      <c r="E821" s="69"/>
      <c r="F821" s="70"/>
      <c r="G821" s="67"/>
      <c r="H821" s="71"/>
      <c r="I821" s="72"/>
      <c r="J821" s="72"/>
      <c r="K821" s="36"/>
      <c r="L821" s="79"/>
      <c r="M821" s="79"/>
      <c r="N821" s="74"/>
      <c r="O821" s="81" t="s">
        <v>693</v>
      </c>
      <c r="P821" s="83">
        <v>44464.05704861111</v>
      </c>
      <c r="Q821" s="84" t="str">
        <f>HYPERLINK("https://t.co/t5CziaW0dH")</f>
        <v>https://t.co/t5CziaW0dH</v>
      </c>
      <c r="R82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21" s="81" t="s">
        <v>5686</v>
      </c>
      <c r="T821" s="81"/>
      <c r="U821" s="81"/>
      <c r="V821" s="84" t="str">
        <f>HYPERLINK("https://pbs.twimg.com/profile_images/1315112442167517184/T4AzOAPX_normal.jpg")</f>
        <v>https://pbs.twimg.com/profile_images/1315112442167517184/T4AzOAPX_normal.jpg</v>
      </c>
      <c r="W821" s="83">
        <v>44464.05704861111</v>
      </c>
      <c r="X821" s="89">
        <v>44464</v>
      </c>
      <c r="Y821" s="86" t="s">
        <v>6097</v>
      </c>
      <c r="Z821" s="84" t="str">
        <f>HYPERLINK("https://twitter.com/angela40638513/status/1441573705688227840")</f>
        <v>https://twitter.com/angela40638513/status/1441573705688227840</v>
      </c>
      <c r="AA821" s="81"/>
      <c r="AB821" s="81"/>
      <c r="AC821" s="86" t="s">
        <v>7002</v>
      </c>
      <c r="AD821" s="81"/>
      <c r="AE821" s="81" t="b">
        <v>0</v>
      </c>
      <c r="AF821" s="81">
        <v>0</v>
      </c>
      <c r="AG821" s="86" t="s">
        <v>2084</v>
      </c>
      <c r="AH821" s="81" t="b">
        <v>0</v>
      </c>
      <c r="AI821" s="81" t="s">
        <v>2173</v>
      </c>
      <c r="AJ821" s="81"/>
      <c r="AK821" s="86" t="s">
        <v>2084</v>
      </c>
      <c r="AL821" s="81" t="b">
        <v>0</v>
      </c>
      <c r="AM821" s="81">
        <v>50</v>
      </c>
      <c r="AN821" s="86" t="s">
        <v>7395</v>
      </c>
      <c r="AO821" s="86" t="s">
        <v>2179</v>
      </c>
      <c r="AP821" s="81" t="b">
        <v>0</v>
      </c>
      <c r="AQ821" s="86" t="s">
        <v>7395</v>
      </c>
      <c r="AR821" s="81" t="s">
        <v>179</v>
      </c>
      <c r="AS821" s="81">
        <v>0</v>
      </c>
      <c r="AT821" s="81">
        <v>0</v>
      </c>
      <c r="AU821" s="81"/>
      <c r="AV821" s="81"/>
      <c r="AW821" s="81"/>
      <c r="AX821" s="81"/>
      <c r="AY821" s="81"/>
      <c r="AZ821" s="81"/>
      <c r="BA821" s="81"/>
      <c r="BB821" s="81"/>
    </row>
    <row r="822" spans="1:54" x14ac:dyDescent="0.35">
      <c r="A822" s="66" t="s">
        <v>4461</v>
      </c>
      <c r="B822" s="66" t="s">
        <v>4460</v>
      </c>
      <c r="C822" s="67"/>
      <c r="D822" s="68"/>
      <c r="E822" s="69"/>
      <c r="F822" s="70"/>
      <c r="G822" s="67"/>
      <c r="H822" s="71"/>
      <c r="I822" s="72"/>
      <c r="J822" s="72"/>
      <c r="K822" s="36"/>
      <c r="L822" s="79"/>
      <c r="M822" s="79"/>
      <c r="N822" s="74"/>
      <c r="O822" s="81" t="s">
        <v>693</v>
      </c>
      <c r="P822" s="83">
        <v>44464.06858796296</v>
      </c>
      <c r="Q822" s="81" t="s">
        <v>5440</v>
      </c>
      <c r="R822" s="81"/>
      <c r="S822" s="81"/>
      <c r="T822" s="81"/>
      <c r="U822" s="84" t="str">
        <f>HYPERLINK("https://pbs.twimg.com/media/E_AimDdUUAAknb9.jpg")</f>
        <v>https://pbs.twimg.com/media/E_AimDdUUAAknb9.jpg</v>
      </c>
      <c r="V822" s="84" t="str">
        <f>HYPERLINK("https://pbs.twimg.com/media/E_AimDdUUAAknb9.jpg")</f>
        <v>https://pbs.twimg.com/media/E_AimDdUUAAknb9.jpg</v>
      </c>
      <c r="W822" s="83">
        <v>44464.06858796296</v>
      </c>
      <c r="X822" s="89">
        <v>44464</v>
      </c>
      <c r="Y822" s="86" t="s">
        <v>6100</v>
      </c>
      <c r="Z822" s="84" t="str">
        <f>HYPERLINK("https://twitter.com/stepanusedo/status/1441577888998854656")</f>
        <v>https://twitter.com/stepanusedo/status/1441577888998854656</v>
      </c>
      <c r="AA822" s="81"/>
      <c r="AB822" s="81"/>
      <c r="AC822" s="86" t="s">
        <v>7005</v>
      </c>
      <c r="AD822" s="81"/>
      <c r="AE822" s="81" t="b">
        <v>0</v>
      </c>
      <c r="AF822" s="81">
        <v>0</v>
      </c>
      <c r="AG822" s="86" t="s">
        <v>2084</v>
      </c>
      <c r="AH822" s="81" t="b">
        <v>0</v>
      </c>
      <c r="AI822" s="81" t="s">
        <v>2167</v>
      </c>
      <c r="AJ822" s="81"/>
      <c r="AK822" s="86" t="s">
        <v>2084</v>
      </c>
      <c r="AL822" s="81" t="b">
        <v>0</v>
      </c>
      <c r="AM822" s="81">
        <v>1</v>
      </c>
      <c r="AN822" s="86" t="s">
        <v>7003</v>
      </c>
      <c r="AO822" s="86" t="s">
        <v>2178</v>
      </c>
      <c r="AP822" s="81" t="b">
        <v>0</v>
      </c>
      <c r="AQ822" s="86" t="s">
        <v>7003</v>
      </c>
      <c r="AR822" s="81" t="s">
        <v>179</v>
      </c>
      <c r="AS822" s="81">
        <v>0</v>
      </c>
      <c r="AT822" s="81">
        <v>0</v>
      </c>
      <c r="AU822" s="81"/>
      <c r="AV822" s="81"/>
      <c r="AW822" s="81"/>
      <c r="AX822" s="81"/>
      <c r="AY822" s="81"/>
      <c r="AZ822" s="81"/>
      <c r="BA822" s="81"/>
      <c r="BB822" s="81"/>
    </row>
    <row r="823" spans="1:54" x14ac:dyDescent="0.35">
      <c r="A823" s="66" t="s">
        <v>4461</v>
      </c>
      <c r="B823" s="66" t="s">
        <v>4460</v>
      </c>
      <c r="C823" s="67"/>
      <c r="D823" s="68"/>
      <c r="E823" s="69"/>
      <c r="F823" s="70"/>
      <c r="G823" s="67"/>
      <c r="H823" s="71"/>
      <c r="I823" s="72"/>
      <c r="J823" s="72"/>
      <c r="K823" s="36"/>
      <c r="L823" s="79"/>
      <c r="M823" s="79"/>
      <c r="N823" s="74"/>
      <c r="O823" s="81" t="s">
        <v>693</v>
      </c>
      <c r="P823" s="83">
        <v>44464.070347222223</v>
      </c>
      <c r="Q823" s="81" t="s">
        <v>5441</v>
      </c>
      <c r="R823" s="81"/>
      <c r="S823" s="81"/>
      <c r="T823" s="81"/>
      <c r="U823" s="84" t="str">
        <f>HYPERLINK("https://pbs.twimg.com/media/E-0W7DgVkAAS5RT.jpg")</f>
        <v>https://pbs.twimg.com/media/E-0W7DgVkAAS5RT.jpg</v>
      </c>
      <c r="V823" s="84" t="str">
        <f>HYPERLINK("https://pbs.twimg.com/media/E-0W7DgVkAAS5RT.jpg")</f>
        <v>https://pbs.twimg.com/media/E-0W7DgVkAAS5RT.jpg</v>
      </c>
      <c r="W823" s="83">
        <v>44464.070347222223</v>
      </c>
      <c r="X823" s="89">
        <v>44464</v>
      </c>
      <c r="Y823" s="86" t="s">
        <v>6101</v>
      </c>
      <c r="Z823" s="84" t="str">
        <f>HYPERLINK("https://twitter.com/stepanusedo/status/1441578527887806470")</f>
        <v>https://twitter.com/stepanusedo/status/1441578527887806470</v>
      </c>
      <c r="AA823" s="81"/>
      <c r="AB823" s="81"/>
      <c r="AC823" s="86" t="s">
        <v>7006</v>
      </c>
      <c r="AD823" s="81"/>
      <c r="AE823" s="81" t="b">
        <v>0</v>
      </c>
      <c r="AF823" s="81">
        <v>0</v>
      </c>
      <c r="AG823" s="86" t="s">
        <v>2084</v>
      </c>
      <c r="AH823" s="81" t="b">
        <v>0</v>
      </c>
      <c r="AI823" s="81" t="s">
        <v>2167</v>
      </c>
      <c r="AJ823" s="81"/>
      <c r="AK823" s="86" t="s">
        <v>2084</v>
      </c>
      <c r="AL823" s="81" t="b">
        <v>0</v>
      </c>
      <c r="AM823" s="81">
        <v>1</v>
      </c>
      <c r="AN823" s="86" t="s">
        <v>7004</v>
      </c>
      <c r="AO823" s="86" t="s">
        <v>2178</v>
      </c>
      <c r="AP823" s="81" t="b">
        <v>0</v>
      </c>
      <c r="AQ823" s="86" t="s">
        <v>7004</v>
      </c>
      <c r="AR823" s="81" t="s">
        <v>179</v>
      </c>
      <c r="AS823" s="81">
        <v>0</v>
      </c>
      <c r="AT823" s="81">
        <v>0</v>
      </c>
      <c r="AU823" s="81"/>
      <c r="AV823" s="81"/>
      <c r="AW823" s="81"/>
      <c r="AX823" s="81"/>
      <c r="AY823" s="81"/>
      <c r="AZ823" s="81"/>
      <c r="BA823" s="81"/>
      <c r="BB823" s="81"/>
    </row>
    <row r="824" spans="1:54" x14ac:dyDescent="0.35">
      <c r="A824" s="66" t="s">
        <v>4462</v>
      </c>
      <c r="B824" s="66" t="s">
        <v>4797</v>
      </c>
      <c r="C824" s="67"/>
      <c r="D824" s="68"/>
      <c r="E824" s="69"/>
      <c r="F824" s="70"/>
      <c r="G824" s="67"/>
      <c r="H824" s="71"/>
      <c r="I824" s="72"/>
      <c r="J824" s="72"/>
      <c r="K824" s="36"/>
      <c r="L824" s="79"/>
      <c r="M824" s="79"/>
      <c r="N824" s="74"/>
      <c r="O824" s="81" t="s">
        <v>693</v>
      </c>
      <c r="P824" s="83">
        <v>44464.074467592596</v>
      </c>
      <c r="Q824" s="84" t="str">
        <f>HYPERLINK("https://t.co/t5CziaW0dH")</f>
        <v>https://t.co/t5CziaW0dH</v>
      </c>
      <c r="R82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24" s="81" t="s">
        <v>5686</v>
      </c>
      <c r="T824" s="81"/>
      <c r="U824" s="81"/>
      <c r="V824" s="84" t="str">
        <f>HYPERLINK("https://pbs.twimg.com/profile_images/1302381295918555139/9_tIyRz__normal.jpg")</f>
        <v>https://pbs.twimg.com/profile_images/1302381295918555139/9_tIyRz__normal.jpg</v>
      </c>
      <c r="W824" s="83">
        <v>44464.074467592596</v>
      </c>
      <c r="X824" s="89">
        <v>44464</v>
      </c>
      <c r="Y824" s="86" t="s">
        <v>6102</v>
      </c>
      <c r="Z824" s="84" t="str">
        <f>HYPERLINK("https://twitter.com/joscost00443299/status/1441580019831169024")</f>
        <v>https://twitter.com/joscost00443299/status/1441580019831169024</v>
      </c>
      <c r="AA824" s="81"/>
      <c r="AB824" s="81"/>
      <c r="AC824" s="86" t="s">
        <v>7007</v>
      </c>
      <c r="AD824" s="81"/>
      <c r="AE824" s="81" t="b">
        <v>0</v>
      </c>
      <c r="AF824" s="81">
        <v>0</v>
      </c>
      <c r="AG824" s="86" t="s">
        <v>2084</v>
      </c>
      <c r="AH824" s="81" t="b">
        <v>0</v>
      </c>
      <c r="AI824" s="81" t="s">
        <v>2173</v>
      </c>
      <c r="AJ824" s="81"/>
      <c r="AK824" s="86" t="s">
        <v>2084</v>
      </c>
      <c r="AL824" s="81" t="b">
        <v>0</v>
      </c>
      <c r="AM824" s="81">
        <v>50</v>
      </c>
      <c r="AN824" s="86" t="s">
        <v>7395</v>
      </c>
      <c r="AO824" s="86" t="s">
        <v>2178</v>
      </c>
      <c r="AP824" s="81" t="b">
        <v>0</v>
      </c>
      <c r="AQ824" s="86" t="s">
        <v>7395</v>
      </c>
      <c r="AR824" s="81" t="s">
        <v>179</v>
      </c>
      <c r="AS824" s="81">
        <v>0</v>
      </c>
      <c r="AT824" s="81">
        <v>0</v>
      </c>
      <c r="AU824" s="81"/>
      <c r="AV824" s="81"/>
      <c r="AW824" s="81"/>
      <c r="AX824" s="81"/>
      <c r="AY824" s="81"/>
      <c r="AZ824" s="81"/>
      <c r="BA824" s="81"/>
      <c r="BB824" s="81"/>
    </row>
    <row r="825" spans="1:54" x14ac:dyDescent="0.35">
      <c r="A825" s="66" t="s">
        <v>4463</v>
      </c>
      <c r="B825" s="66" t="s">
        <v>4797</v>
      </c>
      <c r="C825" s="67"/>
      <c r="D825" s="68"/>
      <c r="E825" s="69"/>
      <c r="F825" s="70"/>
      <c r="G825" s="67"/>
      <c r="H825" s="71"/>
      <c r="I825" s="72"/>
      <c r="J825" s="72"/>
      <c r="K825" s="36"/>
      <c r="L825" s="79"/>
      <c r="M825" s="79"/>
      <c r="N825" s="74"/>
      <c r="O825" s="81" t="s">
        <v>693</v>
      </c>
      <c r="P825" s="83">
        <v>44464.102037037039</v>
      </c>
      <c r="Q825" s="84" t="str">
        <f>HYPERLINK("https://t.co/t5CziaW0dH")</f>
        <v>https://t.co/t5CziaW0dH</v>
      </c>
      <c r="R825"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25" s="81" t="s">
        <v>5686</v>
      </c>
      <c r="T825" s="81"/>
      <c r="U825" s="81"/>
      <c r="V825" s="84" t="str">
        <f>HYPERLINK("https://pbs.twimg.com/profile_images/1348234814021840897/Ep8ndhDS_normal.jpg")</f>
        <v>https://pbs.twimg.com/profile_images/1348234814021840897/Ep8ndhDS_normal.jpg</v>
      </c>
      <c r="W825" s="83">
        <v>44464.102037037039</v>
      </c>
      <c r="X825" s="89">
        <v>44464</v>
      </c>
      <c r="Y825" s="86" t="s">
        <v>6103</v>
      </c>
      <c r="Z825" s="84" t="str">
        <f>HYPERLINK("https://twitter.com/elenara_lobato/status/1441590011669983240")</f>
        <v>https://twitter.com/elenara_lobato/status/1441590011669983240</v>
      </c>
      <c r="AA825" s="81"/>
      <c r="AB825" s="81"/>
      <c r="AC825" s="86" t="s">
        <v>7008</v>
      </c>
      <c r="AD825" s="81"/>
      <c r="AE825" s="81" t="b">
        <v>0</v>
      </c>
      <c r="AF825" s="81">
        <v>0</v>
      </c>
      <c r="AG825" s="86" t="s">
        <v>2084</v>
      </c>
      <c r="AH825" s="81" t="b">
        <v>0</v>
      </c>
      <c r="AI825" s="81" t="s">
        <v>2173</v>
      </c>
      <c r="AJ825" s="81"/>
      <c r="AK825" s="86" t="s">
        <v>2084</v>
      </c>
      <c r="AL825" s="81" t="b">
        <v>0</v>
      </c>
      <c r="AM825" s="81">
        <v>50</v>
      </c>
      <c r="AN825" s="86" t="s">
        <v>7395</v>
      </c>
      <c r="AO825" s="86" t="s">
        <v>2178</v>
      </c>
      <c r="AP825" s="81" t="b">
        <v>0</v>
      </c>
      <c r="AQ825" s="86" t="s">
        <v>7395</v>
      </c>
      <c r="AR825" s="81" t="s">
        <v>179</v>
      </c>
      <c r="AS825" s="81">
        <v>0</v>
      </c>
      <c r="AT825" s="81">
        <v>0</v>
      </c>
      <c r="AU825" s="81"/>
      <c r="AV825" s="81"/>
      <c r="AW825" s="81"/>
      <c r="AX825" s="81"/>
      <c r="AY825" s="81"/>
      <c r="AZ825" s="81"/>
      <c r="BA825" s="81"/>
      <c r="BB825" s="81"/>
    </row>
    <row r="826" spans="1:54" x14ac:dyDescent="0.35">
      <c r="A826" s="66" t="s">
        <v>436</v>
      </c>
      <c r="B826" s="66" t="s">
        <v>461</v>
      </c>
      <c r="C826" s="67"/>
      <c r="D826" s="68"/>
      <c r="E826" s="69"/>
      <c r="F826" s="70"/>
      <c r="G826" s="67"/>
      <c r="H826" s="71"/>
      <c r="I826" s="72"/>
      <c r="J826" s="72"/>
      <c r="K826" s="36"/>
      <c r="L826" s="79"/>
      <c r="M826" s="79"/>
      <c r="N826" s="74"/>
      <c r="O826" s="81" t="s">
        <v>693</v>
      </c>
      <c r="P826" s="83">
        <v>44464.115613425929</v>
      </c>
      <c r="Q826" s="81" t="s">
        <v>794</v>
      </c>
      <c r="R826" s="81"/>
      <c r="S826" s="81"/>
      <c r="T826" s="86" t="s">
        <v>972</v>
      </c>
      <c r="U826" s="84" t="str">
        <f>HYPERLINK("https://pbs.twimg.com/media/FADMBqAUUAAn8ca.jpg")</f>
        <v>https://pbs.twimg.com/media/FADMBqAUUAAn8ca.jpg</v>
      </c>
      <c r="V826" s="84" t="str">
        <f>HYPERLINK("https://pbs.twimg.com/media/FADMBqAUUAAn8ca.jpg")</f>
        <v>https://pbs.twimg.com/media/FADMBqAUUAAn8ca.jpg</v>
      </c>
      <c r="W826" s="83">
        <v>44464.115613425929</v>
      </c>
      <c r="X826" s="89">
        <v>44464</v>
      </c>
      <c r="Y826" s="86" t="s">
        <v>1279</v>
      </c>
      <c r="Z826" s="84" t="str">
        <f>HYPERLINK("https://twitter.com/jnoslatte/status/1441594928392327170")</f>
        <v>https://twitter.com/jnoslatte/status/1441594928392327170</v>
      </c>
      <c r="AA826" s="81"/>
      <c r="AB826" s="81"/>
      <c r="AC826" s="86" t="s">
        <v>1775</v>
      </c>
      <c r="AD826" s="81"/>
      <c r="AE826" s="81" t="b">
        <v>0</v>
      </c>
      <c r="AF826" s="81">
        <v>0</v>
      </c>
      <c r="AG826" s="86" t="s">
        <v>2084</v>
      </c>
      <c r="AH826" s="81" t="b">
        <v>0</v>
      </c>
      <c r="AI826" s="81" t="s">
        <v>2168</v>
      </c>
      <c r="AJ826" s="81"/>
      <c r="AK826" s="86" t="s">
        <v>2084</v>
      </c>
      <c r="AL826" s="81" t="b">
        <v>0</v>
      </c>
      <c r="AM826" s="81">
        <v>9</v>
      </c>
      <c r="AN826" s="86" t="s">
        <v>1806</v>
      </c>
      <c r="AO826" s="86" t="s">
        <v>2178</v>
      </c>
      <c r="AP826" s="81" t="b">
        <v>0</v>
      </c>
      <c r="AQ826" s="86" t="s">
        <v>1806</v>
      </c>
      <c r="AR826" s="81" t="s">
        <v>179</v>
      </c>
      <c r="AS826" s="81">
        <v>0</v>
      </c>
      <c r="AT826" s="81">
        <v>0</v>
      </c>
      <c r="AU826" s="81"/>
      <c r="AV826" s="81"/>
      <c r="AW826" s="81"/>
      <c r="AX826" s="81"/>
      <c r="AY826" s="81"/>
      <c r="AZ826" s="81"/>
      <c r="BA826" s="81"/>
      <c r="BB826" s="81"/>
    </row>
    <row r="827" spans="1:54" x14ac:dyDescent="0.35">
      <c r="A827" s="66" t="s">
        <v>4464</v>
      </c>
      <c r="B827" s="66" t="s">
        <v>4797</v>
      </c>
      <c r="C827" s="67"/>
      <c r="D827" s="68"/>
      <c r="E827" s="69"/>
      <c r="F827" s="70"/>
      <c r="G827" s="67"/>
      <c r="H827" s="71"/>
      <c r="I827" s="72"/>
      <c r="J827" s="72"/>
      <c r="K827" s="36"/>
      <c r="L827" s="79"/>
      <c r="M827" s="79"/>
      <c r="N827" s="74"/>
      <c r="O827" s="81" t="s">
        <v>693</v>
      </c>
      <c r="P827" s="83">
        <v>44464.11922453704</v>
      </c>
      <c r="Q827" s="84" t="str">
        <f>HYPERLINK("https://t.co/t5CziaW0dH")</f>
        <v>https://t.co/t5CziaW0dH</v>
      </c>
      <c r="R82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27" s="81" t="s">
        <v>5686</v>
      </c>
      <c r="T827" s="81"/>
      <c r="U827" s="81"/>
      <c r="V827" s="84" t="str">
        <f>HYPERLINK("https://pbs.twimg.com/profile_images/1440622315797057541/IhwlZiso_normal.jpg")</f>
        <v>https://pbs.twimg.com/profile_images/1440622315797057541/IhwlZiso_normal.jpg</v>
      </c>
      <c r="W827" s="83">
        <v>44464.11922453704</v>
      </c>
      <c r="X827" s="89">
        <v>44464</v>
      </c>
      <c r="Y827" s="86" t="s">
        <v>6104</v>
      </c>
      <c r="Z827" s="84" t="str">
        <f>HYPERLINK("https://twitter.com/bes8/status/1441596238261010433")</f>
        <v>https://twitter.com/bes8/status/1441596238261010433</v>
      </c>
      <c r="AA827" s="81"/>
      <c r="AB827" s="81"/>
      <c r="AC827" s="86" t="s">
        <v>7009</v>
      </c>
      <c r="AD827" s="81"/>
      <c r="AE827" s="81" t="b">
        <v>0</v>
      </c>
      <c r="AF827" s="81">
        <v>0</v>
      </c>
      <c r="AG827" s="86" t="s">
        <v>2084</v>
      </c>
      <c r="AH827" s="81" t="b">
        <v>0</v>
      </c>
      <c r="AI827" s="81" t="s">
        <v>2173</v>
      </c>
      <c r="AJ827" s="81"/>
      <c r="AK827" s="86" t="s">
        <v>2084</v>
      </c>
      <c r="AL827" s="81" t="b">
        <v>0</v>
      </c>
      <c r="AM827" s="81">
        <v>50</v>
      </c>
      <c r="AN827" s="86" t="s">
        <v>7395</v>
      </c>
      <c r="AO827" s="86" t="s">
        <v>2179</v>
      </c>
      <c r="AP827" s="81" t="b">
        <v>0</v>
      </c>
      <c r="AQ827" s="86" t="s">
        <v>7395</v>
      </c>
      <c r="AR827" s="81" t="s">
        <v>179</v>
      </c>
      <c r="AS827" s="81">
        <v>0</v>
      </c>
      <c r="AT827" s="81">
        <v>0</v>
      </c>
      <c r="AU827" s="81"/>
      <c r="AV827" s="81"/>
      <c r="AW827" s="81"/>
      <c r="AX827" s="81"/>
      <c r="AY827" s="81"/>
      <c r="AZ827" s="81"/>
      <c r="BA827" s="81"/>
      <c r="BB827" s="81"/>
    </row>
    <row r="828" spans="1:54" x14ac:dyDescent="0.35">
      <c r="A828" s="66" t="s">
        <v>437</v>
      </c>
      <c r="B828" s="66" t="s">
        <v>646</v>
      </c>
      <c r="C828" s="67"/>
      <c r="D828" s="68"/>
      <c r="E828" s="69"/>
      <c r="F828" s="70"/>
      <c r="G828" s="67"/>
      <c r="H828" s="71"/>
      <c r="I828" s="72"/>
      <c r="J828" s="72"/>
      <c r="K828" s="36"/>
      <c r="L828" s="79"/>
      <c r="M828" s="79"/>
      <c r="N828" s="74"/>
      <c r="O828" s="81" t="s">
        <v>694</v>
      </c>
      <c r="P828" s="83">
        <v>44464.127233796295</v>
      </c>
      <c r="Q828" s="81" t="s">
        <v>803</v>
      </c>
      <c r="R828" s="81"/>
      <c r="S828" s="81"/>
      <c r="T828" s="86" t="s">
        <v>649</v>
      </c>
      <c r="U828" s="84" t="str">
        <f>HYPERLINK("https://pbs.twimg.com/media/FAEa7dXVkAcjbKg.jpg")</f>
        <v>https://pbs.twimg.com/media/FAEa7dXVkAcjbKg.jpg</v>
      </c>
      <c r="V828" s="84" t="str">
        <f>HYPERLINK("https://pbs.twimg.com/media/FAEa7dXVkAcjbKg.jpg")</f>
        <v>https://pbs.twimg.com/media/FAEa7dXVkAcjbKg.jpg</v>
      </c>
      <c r="W828" s="83">
        <v>44464.127233796295</v>
      </c>
      <c r="X828" s="89">
        <v>44464</v>
      </c>
      <c r="Y828" s="86" t="s">
        <v>1280</v>
      </c>
      <c r="Z828" s="84" t="str">
        <f>HYPERLINK("https://twitter.com/bunnykie/status/1441599141499396097")</f>
        <v>https://twitter.com/bunnykie/status/1441599141499396097</v>
      </c>
      <c r="AA828" s="81"/>
      <c r="AB828" s="81"/>
      <c r="AC828" s="86" t="s">
        <v>1776</v>
      </c>
      <c r="AD828" s="81"/>
      <c r="AE828" s="81" t="b">
        <v>0</v>
      </c>
      <c r="AF828" s="81">
        <v>0</v>
      </c>
      <c r="AG828" s="86" t="s">
        <v>2084</v>
      </c>
      <c r="AH828" s="81" t="b">
        <v>0</v>
      </c>
      <c r="AI828" s="81" t="s">
        <v>2168</v>
      </c>
      <c r="AJ828" s="81"/>
      <c r="AK828" s="86" t="s">
        <v>2084</v>
      </c>
      <c r="AL828" s="81" t="b">
        <v>0</v>
      </c>
      <c r="AM828" s="81">
        <v>21</v>
      </c>
      <c r="AN828" s="86" t="s">
        <v>1847</v>
      </c>
      <c r="AO828" s="86" t="s">
        <v>2179</v>
      </c>
      <c r="AP828" s="81" t="b">
        <v>0</v>
      </c>
      <c r="AQ828" s="86" t="s">
        <v>1847</v>
      </c>
      <c r="AR828" s="81" t="s">
        <v>179</v>
      </c>
      <c r="AS828" s="81">
        <v>0</v>
      </c>
      <c r="AT828" s="81">
        <v>0</v>
      </c>
      <c r="AU828" s="81"/>
      <c r="AV828" s="81"/>
      <c r="AW828" s="81"/>
      <c r="AX828" s="81"/>
      <c r="AY828" s="81"/>
      <c r="AZ828" s="81"/>
      <c r="BA828" s="81"/>
      <c r="BB828" s="81"/>
    </row>
    <row r="829" spans="1:54" x14ac:dyDescent="0.35">
      <c r="A829" s="66" t="s">
        <v>437</v>
      </c>
      <c r="B829" s="66" t="s">
        <v>647</v>
      </c>
      <c r="C829" s="67"/>
      <c r="D829" s="68"/>
      <c r="E829" s="69"/>
      <c r="F829" s="70"/>
      <c r="G829" s="67"/>
      <c r="H829" s="71"/>
      <c r="I829" s="72"/>
      <c r="J829" s="72"/>
      <c r="K829" s="36"/>
      <c r="L829" s="79"/>
      <c r="M829" s="79"/>
      <c r="N829" s="74"/>
      <c r="O829" s="81" t="s">
        <v>694</v>
      </c>
      <c r="P829" s="83">
        <v>44464.127233796295</v>
      </c>
      <c r="Q829" s="81" t="s">
        <v>803</v>
      </c>
      <c r="R829" s="81"/>
      <c r="S829" s="81"/>
      <c r="T829" s="86" t="s">
        <v>649</v>
      </c>
      <c r="U829" s="84" t="str">
        <f>HYPERLINK("https://pbs.twimg.com/media/FAEa7dXVkAcjbKg.jpg")</f>
        <v>https://pbs.twimg.com/media/FAEa7dXVkAcjbKg.jpg</v>
      </c>
      <c r="V829" s="84" t="str">
        <f>HYPERLINK("https://pbs.twimg.com/media/FAEa7dXVkAcjbKg.jpg")</f>
        <v>https://pbs.twimg.com/media/FAEa7dXVkAcjbKg.jpg</v>
      </c>
      <c r="W829" s="83">
        <v>44464.127233796295</v>
      </c>
      <c r="X829" s="89">
        <v>44464</v>
      </c>
      <c r="Y829" s="86" t="s">
        <v>1280</v>
      </c>
      <c r="Z829" s="84" t="str">
        <f>HYPERLINK("https://twitter.com/bunnykie/status/1441599141499396097")</f>
        <v>https://twitter.com/bunnykie/status/1441599141499396097</v>
      </c>
      <c r="AA829" s="81"/>
      <c r="AB829" s="81"/>
      <c r="AC829" s="86" t="s">
        <v>1776</v>
      </c>
      <c r="AD829" s="81"/>
      <c r="AE829" s="81" t="b">
        <v>0</v>
      </c>
      <c r="AF829" s="81">
        <v>0</v>
      </c>
      <c r="AG829" s="86" t="s">
        <v>2084</v>
      </c>
      <c r="AH829" s="81" t="b">
        <v>0</v>
      </c>
      <c r="AI829" s="81" t="s">
        <v>2168</v>
      </c>
      <c r="AJ829" s="81"/>
      <c r="AK829" s="86" t="s">
        <v>2084</v>
      </c>
      <c r="AL829" s="81" t="b">
        <v>0</v>
      </c>
      <c r="AM829" s="81">
        <v>21</v>
      </c>
      <c r="AN829" s="86" t="s">
        <v>1847</v>
      </c>
      <c r="AO829" s="86" t="s">
        <v>2179</v>
      </c>
      <c r="AP829" s="81" t="b">
        <v>0</v>
      </c>
      <c r="AQ829" s="86" t="s">
        <v>1847</v>
      </c>
      <c r="AR829" s="81" t="s">
        <v>179</v>
      </c>
      <c r="AS829" s="81">
        <v>0</v>
      </c>
      <c r="AT829" s="81">
        <v>0</v>
      </c>
      <c r="AU829" s="81"/>
      <c r="AV829" s="81"/>
      <c r="AW829" s="81"/>
      <c r="AX829" s="81"/>
      <c r="AY829" s="81"/>
      <c r="AZ829" s="81"/>
      <c r="BA829" s="81"/>
      <c r="BB829" s="81"/>
    </row>
    <row r="830" spans="1:54" x14ac:dyDescent="0.35">
      <c r="A830" s="66" t="s">
        <v>437</v>
      </c>
      <c r="B830" s="66" t="s">
        <v>648</v>
      </c>
      <c r="C830" s="67"/>
      <c r="D830" s="68"/>
      <c r="E830" s="69"/>
      <c r="F830" s="70"/>
      <c r="G830" s="67"/>
      <c r="H830" s="71"/>
      <c r="I830" s="72"/>
      <c r="J830" s="72"/>
      <c r="K830" s="36"/>
      <c r="L830" s="79"/>
      <c r="M830" s="79"/>
      <c r="N830" s="74"/>
      <c r="O830" s="81" t="s">
        <v>694</v>
      </c>
      <c r="P830" s="83">
        <v>44464.127233796295</v>
      </c>
      <c r="Q830" s="81" t="s">
        <v>803</v>
      </c>
      <c r="R830" s="81"/>
      <c r="S830" s="81"/>
      <c r="T830" s="86" t="s">
        <v>649</v>
      </c>
      <c r="U830" s="84" t="str">
        <f>HYPERLINK("https://pbs.twimg.com/media/FAEa7dXVkAcjbKg.jpg")</f>
        <v>https://pbs.twimg.com/media/FAEa7dXVkAcjbKg.jpg</v>
      </c>
      <c r="V830" s="84" t="str">
        <f>HYPERLINK("https://pbs.twimg.com/media/FAEa7dXVkAcjbKg.jpg")</f>
        <v>https://pbs.twimg.com/media/FAEa7dXVkAcjbKg.jpg</v>
      </c>
      <c r="W830" s="83">
        <v>44464.127233796295</v>
      </c>
      <c r="X830" s="89">
        <v>44464</v>
      </c>
      <c r="Y830" s="86" t="s">
        <v>1280</v>
      </c>
      <c r="Z830" s="84" t="str">
        <f>HYPERLINK("https://twitter.com/bunnykie/status/1441599141499396097")</f>
        <v>https://twitter.com/bunnykie/status/1441599141499396097</v>
      </c>
      <c r="AA830" s="81"/>
      <c r="AB830" s="81"/>
      <c r="AC830" s="86" t="s">
        <v>1776</v>
      </c>
      <c r="AD830" s="81"/>
      <c r="AE830" s="81" t="b">
        <v>0</v>
      </c>
      <c r="AF830" s="81">
        <v>0</v>
      </c>
      <c r="AG830" s="86" t="s">
        <v>2084</v>
      </c>
      <c r="AH830" s="81" t="b">
        <v>0</v>
      </c>
      <c r="AI830" s="81" t="s">
        <v>2168</v>
      </c>
      <c r="AJ830" s="81"/>
      <c r="AK830" s="86" t="s">
        <v>2084</v>
      </c>
      <c r="AL830" s="81" t="b">
        <v>0</v>
      </c>
      <c r="AM830" s="81">
        <v>21</v>
      </c>
      <c r="AN830" s="86" t="s">
        <v>1847</v>
      </c>
      <c r="AO830" s="86" t="s">
        <v>2179</v>
      </c>
      <c r="AP830" s="81" t="b">
        <v>0</v>
      </c>
      <c r="AQ830" s="86" t="s">
        <v>1847</v>
      </c>
      <c r="AR830" s="81" t="s">
        <v>179</v>
      </c>
      <c r="AS830" s="81">
        <v>0</v>
      </c>
      <c r="AT830" s="81">
        <v>0</v>
      </c>
      <c r="AU830" s="81"/>
      <c r="AV830" s="81"/>
      <c r="AW830" s="81"/>
      <c r="AX830" s="81"/>
      <c r="AY830" s="81"/>
      <c r="AZ830" s="81"/>
      <c r="BA830" s="81"/>
      <c r="BB830" s="81"/>
    </row>
    <row r="831" spans="1:54" x14ac:dyDescent="0.35">
      <c r="A831" s="66" t="s">
        <v>437</v>
      </c>
      <c r="B831" s="66" t="s">
        <v>649</v>
      </c>
      <c r="C831" s="67"/>
      <c r="D831" s="68"/>
      <c r="E831" s="69"/>
      <c r="F831" s="70"/>
      <c r="G831" s="67"/>
      <c r="H831" s="71"/>
      <c r="I831" s="72"/>
      <c r="J831" s="72"/>
      <c r="K831" s="36"/>
      <c r="L831" s="79"/>
      <c r="M831" s="79"/>
      <c r="N831" s="74"/>
      <c r="O831" s="81" t="s">
        <v>694</v>
      </c>
      <c r="P831" s="83">
        <v>44464.127233796295</v>
      </c>
      <c r="Q831" s="81" t="s">
        <v>803</v>
      </c>
      <c r="R831" s="81"/>
      <c r="S831" s="81"/>
      <c r="T831" s="86" t="s">
        <v>649</v>
      </c>
      <c r="U831" s="84" t="str">
        <f>HYPERLINK("https://pbs.twimg.com/media/FAEa7dXVkAcjbKg.jpg")</f>
        <v>https://pbs.twimg.com/media/FAEa7dXVkAcjbKg.jpg</v>
      </c>
      <c r="V831" s="84" t="str">
        <f>HYPERLINK("https://pbs.twimg.com/media/FAEa7dXVkAcjbKg.jpg")</f>
        <v>https://pbs.twimg.com/media/FAEa7dXVkAcjbKg.jpg</v>
      </c>
      <c r="W831" s="83">
        <v>44464.127233796295</v>
      </c>
      <c r="X831" s="89">
        <v>44464</v>
      </c>
      <c r="Y831" s="86" t="s">
        <v>1280</v>
      </c>
      <c r="Z831" s="84" t="str">
        <f>HYPERLINK("https://twitter.com/bunnykie/status/1441599141499396097")</f>
        <v>https://twitter.com/bunnykie/status/1441599141499396097</v>
      </c>
      <c r="AA831" s="81"/>
      <c r="AB831" s="81"/>
      <c r="AC831" s="86" t="s">
        <v>1776</v>
      </c>
      <c r="AD831" s="81"/>
      <c r="AE831" s="81" t="b">
        <v>0</v>
      </c>
      <c r="AF831" s="81">
        <v>0</v>
      </c>
      <c r="AG831" s="86" t="s">
        <v>2084</v>
      </c>
      <c r="AH831" s="81" t="b">
        <v>0</v>
      </c>
      <c r="AI831" s="81" t="s">
        <v>2168</v>
      </c>
      <c r="AJ831" s="81"/>
      <c r="AK831" s="86" t="s">
        <v>2084</v>
      </c>
      <c r="AL831" s="81" t="b">
        <v>0</v>
      </c>
      <c r="AM831" s="81">
        <v>21</v>
      </c>
      <c r="AN831" s="86" t="s">
        <v>1847</v>
      </c>
      <c r="AO831" s="86" t="s">
        <v>2179</v>
      </c>
      <c r="AP831" s="81" t="b">
        <v>0</v>
      </c>
      <c r="AQ831" s="86" t="s">
        <v>1847</v>
      </c>
      <c r="AR831" s="81" t="s">
        <v>179</v>
      </c>
      <c r="AS831" s="81">
        <v>0</v>
      </c>
      <c r="AT831" s="81">
        <v>0</v>
      </c>
      <c r="AU831" s="81"/>
      <c r="AV831" s="81"/>
      <c r="AW831" s="81"/>
      <c r="AX831" s="81"/>
      <c r="AY831" s="81"/>
      <c r="AZ831" s="81"/>
      <c r="BA831" s="81"/>
      <c r="BB831" s="81"/>
    </row>
    <row r="832" spans="1:54" x14ac:dyDescent="0.35">
      <c r="A832" s="66" t="s">
        <v>437</v>
      </c>
      <c r="B832" s="66" t="s">
        <v>496</v>
      </c>
      <c r="C832" s="67"/>
      <c r="D832" s="68"/>
      <c r="E832" s="69"/>
      <c r="F832" s="70"/>
      <c r="G832" s="67"/>
      <c r="H832" s="71"/>
      <c r="I832" s="72"/>
      <c r="J832" s="72"/>
      <c r="K832" s="36"/>
      <c r="L832" s="79"/>
      <c r="M832" s="79"/>
      <c r="N832" s="74"/>
      <c r="O832" s="81" t="s">
        <v>693</v>
      </c>
      <c r="P832" s="83">
        <v>44464.127233796295</v>
      </c>
      <c r="Q832" s="81" t="s">
        <v>803</v>
      </c>
      <c r="R832" s="81"/>
      <c r="S832" s="81"/>
      <c r="T832" s="86" t="s">
        <v>649</v>
      </c>
      <c r="U832" s="84" t="str">
        <f>HYPERLINK("https://pbs.twimg.com/media/FAEa7dXVkAcjbKg.jpg")</f>
        <v>https://pbs.twimg.com/media/FAEa7dXVkAcjbKg.jpg</v>
      </c>
      <c r="V832" s="84" t="str">
        <f>HYPERLINK("https://pbs.twimg.com/media/FAEa7dXVkAcjbKg.jpg")</f>
        <v>https://pbs.twimg.com/media/FAEa7dXVkAcjbKg.jpg</v>
      </c>
      <c r="W832" s="83">
        <v>44464.127233796295</v>
      </c>
      <c r="X832" s="89">
        <v>44464</v>
      </c>
      <c r="Y832" s="86" t="s">
        <v>1280</v>
      </c>
      <c r="Z832" s="84" t="str">
        <f>HYPERLINK("https://twitter.com/bunnykie/status/1441599141499396097")</f>
        <v>https://twitter.com/bunnykie/status/1441599141499396097</v>
      </c>
      <c r="AA832" s="81"/>
      <c r="AB832" s="81"/>
      <c r="AC832" s="86" t="s">
        <v>1776</v>
      </c>
      <c r="AD832" s="81"/>
      <c r="AE832" s="81" t="b">
        <v>0</v>
      </c>
      <c r="AF832" s="81">
        <v>0</v>
      </c>
      <c r="AG832" s="86" t="s">
        <v>2084</v>
      </c>
      <c r="AH832" s="81" t="b">
        <v>0</v>
      </c>
      <c r="AI832" s="81" t="s">
        <v>2168</v>
      </c>
      <c r="AJ832" s="81"/>
      <c r="AK832" s="86" t="s">
        <v>2084</v>
      </c>
      <c r="AL832" s="81" t="b">
        <v>0</v>
      </c>
      <c r="AM832" s="81">
        <v>21</v>
      </c>
      <c r="AN832" s="86" t="s">
        <v>1847</v>
      </c>
      <c r="AO832" s="86" t="s">
        <v>2179</v>
      </c>
      <c r="AP832" s="81" t="b">
        <v>0</v>
      </c>
      <c r="AQ832" s="86" t="s">
        <v>1847</v>
      </c>
      <c r="AR832" s="81" t="s">
        <v>179</v>
      </c>
      <c r="AS832" s="81">
        <v>0</v>
      </c>
      <c r="AT832" s="81">
        <v>0</v>
      </c>
      <c r="AU832" s="81"/>
      <c r="AV832" s="81"/>
      <c r="AW832" s="81"/>
      <c r="AX832" s="81"/>
      <c r="AY832" s="81"/>
      <c r="AZ832" s="81"/>
      <c r="BA832" s="81"/>
      <c r="BB832" s="81"/>
    </row>
    <row r="833" spans="1:54" x14ac:dyDescent="0.35">
      <c r="A833" s="66" t="s">
        <v>4465</v>
      </c>
      <c r="B833" s="66" t="s">
        <v>4465</v>
      </c>
      <c r="C833" s="67"/>
      <c r="D833" s="68"/>
      <c r="E833" s="69"/>
      <c r="F833" s="70"/>
      <c r="G833" s="67"/>
      <c r="H833" s="71"/>
      <c r="I833" s="72"/>
      <c r="J833" s="72"/>
      <c r="K833" s="36"/>
      <c r="L833" s="79"/>
      <c r="M833" s="79"/>
      <c r="N833" s="74"/>
      <c r="O833" s="81" t="s">
        <v>179</v>
      </c>
      <c r="P833" s="83">
        <v>44464.129027777781</v>
      </c>
      <c r="Q833" s="84" t="str">
        <f>HYPERLINK("https://t.co/vsBySF0ESb")</f>
        <v>https://t.co/vsBySF0ESb</v>
      </c>
      <c r="R833"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33" s="81" t="s">
        <v>5686</v>
      </c>
      <c r="T833" s="81"/>
      <c r="U833" s="81"/>
      <c r="V833" s="84" t="str">
        <f>HYPERLINK("https://pbs.twimg.com/profile_images/1253821916856692737/vzk0UpDU_normal.jpg")</f>
        <v>https://pbs.twimg.com/profile_images/1253821916856692737/vzk0UpDU_normal.jpg</v>
      </c>
      <c r="W833" s="83">
        <v>44464.129027777781</v>
      </c>
      <c r="X833" s="89">
        <v>44464</v>
      </c>
      <c r="Y833" s="86" t="s">
        <v>6105</v>
      </c>
      <c r="Z833" s="84" t="str">
        <f>HYPERLINK("https://twitter.com/reginargaa/status/1441599791545425921")</f>
        <v>https://twitter.com/reginargaa/status/1441599791545425921</v>
      </c>
      <c r="AA833" s="81"/>
      <c r="AB833" s="81"/>
      <c r="AC833" s="86" t="s">
        <v>7010</v>
      </c>
      <c r="AD833" s="81"/>
      <c r="AE833" s="81" t="b">
        <v>0</v>
      </c>
      <c r="AF833" s="81">
        <v>0</v>
      </c>
      <c r="AG833" s="86" t="s">
        <v>2084</v>
      </c>
      <c r="AH833" s="81" t="b">
        <v>0</v>
      </c>
      <c r="AI833" s="81" t="s">
        <v>2173</v>
      </c>
      <c r="AJ833" s="81"/>
      <c r="AK833" s="86" t="s">
        <v>2084</v>
      </c>
      <c r="AL833" s="81" t="b">
        <v>0</v>
      </c>
      <c r="AM833" s="81">
        <v>0</v>
      </c>
      <c r="AN833" s="86" t="s">
        <v>2084</v>
      </c>
      <c r="AO833" s="86" t="s">
        <v>2179</v>
      </c>
      <c r="AP833" s="81" t="b">
        <v>0</v>
      </c>
      <c r="AQ833" s="86" t="s">
        <v>7010</v>
      </c>
      <c r="AR833" s="81" t="s">
        <v>179</v>
      </c>
      <c r="AS833" s="81">
        <v>0</v>
      </c>
      <c r="AT833" s="81">
        <v>0</v>
      </c>
      <c r="AU833" s="81"/>
      <c r="AV833" s="81"/>
      <c r="AW833" s="81"/>
      <c r="AX833" s="81"/>
      <c r="AY833" s="81"/>
      <c r="AZ833" s="81"/>
      <c r="BA833" s="81"/>
      <c r="BB833" s="81"/>
    </row>
    <row r="834" spans="1:54" x14ac:dyDescent="0.35">
      <c r="A834" s="66" t="s">
        <v>4466</v>
      </c>
      <c r="B834" s="66" t="s">
        <v>646</v>
      </c>
      <c r="C834" s="67"/>
      <c r="D834" s="68"/>
      <c r="E834" s="69"/>
      <c r="F834" s="70"/>
      <c r="G834" s="67"/>
      <c r="H834" s="71"/>
      <c r="I834" s="72"/>
      <c r="J834" s="72"/>
      <c r="K834" s="36"/>
      <c r="L834" s="79"/>
      <c r="M834" s="79"/>
      <c r="N834" s="74"/>
      <c r="O834" s="81" t="s">
        <v>694</v>
      </c>
      <c r="P834" s="83">
        <v>44464.137719907405</v>
      </c>
      <c r="Q834" s="81" t="s">
        <v>803</v>
      </c>
      <c r="R834" s="81"/>
      <c r="S834" s="81"/>
      <c r="T834" s="86" t="s">
        <v>649</v>
      </c>
      <c r="U834" s="84" t="str">
        <f>HYPERLINK("https://pbs.twimg.com/media/FAEa7dXVkAcjbKg.jpg")</f>
        <v>https://pbs.twimg.com/media/FAEa7dXVkAcjbKg.jpg</v>
      </c>
      <c r="V834" s="84" t="str">
        <f>HYPERLINK("https://pbs.twimg.com/media/FAEa7dXVkAcjbKg.jpg")</f>
        <v>https://pbs.twimg.com/media/FAEa7dXVkAcjbKg.jpg</v>
      </c>
      <c r="W834" s="83">
        <v>44464.137719907405</v>
      </c>
      <c r="X834" s="89">
        <v>44464</v>
      </c>
      <c r="Y834" s="86" t="s">
        <v>6106</v>
      </c>
      <c r="Z834" s="84" t="str">
        <f>HYPERLINK("https://twitter.com/prettydongjuu/status/1441602941681471488")</f>
        <v>https://twitter.com/prettydongjuu/status/1441602941681471488</v>
      </c>
      <c r="AA834" s="81"/>
      <c r="AB834" s="81"/>
      <c r="AC834" s="86" t="s">
        <v>7011</v>
      </c>
      <c r="AD834" s="81"/>
      <c r="AE834" s="81" t="b">
        <v>0</v>
      </c>
      <c r="AF834" s="81">
        <v>0</v>
      </c>
      <c r="AG834" s="86" t="s">
        <v>2084</v>
      </c>
      <c r="AH834" s="81" t="b">
        <v>0</v>
      </c>
      <c r="AI834" s="81" t="s">
        <v>2168</v>
      </c>
      <c r="AJ834" s="81"/>
      <c r="AK834" s="86" t="s">
        <v>2084</v>
      </c>
      <c r="AL834" s="81" t="b">
        <v>0</v>
      </c>
      <c r="AM834" s="81">
        <v>21</v>
      </c>
      <c r="AN834" s="86" t="s">
        <v>1847</v>
      </c>
      <c r="AO834" s="86" t="s">
        <v>2179</v>
      </c>
      <c r="AP834" s="81" t="b">
        <v>0</v>
      </c>
      <c r="AQ834" s="86" t="s">
        <v>1847</v>
      </c>
      <c r="AR834" s="81" t="s">
        <v>179</v>
      </c>
      <c r="AS834" s="81">
        <v>0</v>
      </c>
      <c r="AT834" s="81">
        <v>0</v>
      </c>
      <c r="AU834" s="81"/>
      <c r="AV834" s="81"/>
      <c r="AW834" s="81"/>
      <c r="AX834" s="81"/>
      <c r="AY834" s="81"/>
      <c r="AZ834" s="81"/>
      <c r="BA834" s="81"/>
      <c r="BB834" s="81"/>
    </row>
    <row r="835" spans="1:54" x14ac:dyDescent="0.35">
      <c r="A835" s="66" t="s">
        <v>4466</v>
      </c>
      <c r="B835" s="66" t="s">
        <v>647</v>
      </c>
      <c r="C835" s="67"/>
      <c r="D835" s="68"/>
      <c r="E835" s="69"/>
      <c r="F835" s="70"/>
      <c r="G835" s="67"/>
      <c r="H835" s="71"/>
      <c r="I835" s="72"/>
      <c r="J835" s="72"/>
      <c r="K835" s="36"/>
      <c r="L835" s="79"/>
      <c r="M835" s="79"/>
      <c r="N835" s="74"/>
      <c r="O835" s="81" t="s">
        <v>694</v>
      </c>
      <c r="P835" s="83">
        <v>44464.137719907405</v>
      </c>
      <c r="Q835" s="81" t="s">
        <v>803</v>
      </c>
      <c r="R835" s="81"/>
      <c r="S835" s="81"/>
      <c r="T835" s="86" t="s">
        <v>649</v>
      </c>
      <c r="U835" s="84" t="str">
        <f>HYPERLINK("https://pbs.twimg.com/media/FAEa7dXVkAcjbKg.jpg")</f>
        <v>https://pbs.twimg.com/media/FAEa7dXVkAcjbKg.jpg</v>
      </c>
      <c r="V835" s="84" t="str">
        <f>HYPERLINK("https://pbs.twimg.com/media/FAEa7dXVkAcjbKg.jpg")</f>
        <v>https://pbs.twimg.com/media/FAEa7dXVkAcjbKg.jpg</v>
      </c>
      <c r="W835" s="83">
        <v>44464.137719907405</v>
      </c>
      <c r="X835" s="89">
        <v>44464</v>
      </c>
      <c r="Y835" s="86" t="s">
        <v>6106</v>
      </c>
      <c r="Z835" s="84" t="str">
        <f>HYPERLINK("https://twitter.com/prettydongjuu/status/1441602941681471488")</f>
        <v>https://twitter.com/prettydongjuu/status/1441602941681471488</v>
      </c>
      <c r="AA835" s="81"/>
      <c r="AB835" s="81"/>
      <c r="AC835" s="86" t="s">
        <v>7011</v>
      </c>
      <c r="AD835" s="81"/>
      <c r="AE835" s="81" t="b">
        <v>0</v>
      </c>
      <c r="AF835" s="81">
        <v>0</v>
      </c>
      <c r="AG835" s="86" t="s">
        <v>2084</v>
      </c>
      <c r="AH835" s="81" t="b">
        <v>0</v>
      </c>
      <c r="AI835" s="81" t="s">
        <v>2168</v>
      </c>
      <c r="AJ835" s="81"/>
      <c r="AK835" s="86" t="s">
        <v>2084</v>
      </c>
      <c r="AL835" s="81" t="b">
        <v>0</v>
      </c>
      <c r="AM835" s="81">
        <v>21</v>
      </c>
      <c r="AN835" s="86" t="s">
        <v>1847</v>
      </c>
      <c r="AO835" s="86" t="s">
        <v>2179</v>
      </c>
      <c r="AP835" s="81" t="b">
        <v>0</v>
      </c>
      <c r="AQ835" s="86" t="s">
        <v>1847</v>
      </c>
      <c r="AR835" s="81" t="s">
        <v>179</v>
      </c>
      <c r="AS835" s="81">
        <v>0</v>
      </c>
      <c r="AT835" s="81">
        <v>0</v>
      </c>
      <c r="AU835" s="81"/>
      <c r="AV835" s="81"/>
      <c r="AW835" s="81"/>
      <c r="AX835" s="81"/>
      <c r="AY835" s="81"/>
      <c r="AZ835" s="81"/>
      <c r="BA835" s="81"/>
      <c r="BB835" s="81"/>
    </row>
    <row r="836" spans="1:54" x14ac:dyDescent="0.35">
      <c r="A836" s="66" t="s">
        <v>4466</v>
      </c>
      <c r="B836" s="66" t="s">
        <v>648</v>
      </c>
      <c r="C836" s="67"/>
      <c r="D836" s="68"/>
      <c r="E836" s="69"/>
      <c r="F836" s="70"/>
      <c r="G836" s="67"/>
      <c r="H836" s="71"/>
      <c r="I836" s="72"/>
      <c r="J836" s="72"/>
      <c r="K836" s="36"/>
      <c r="L836" s="79"/>
      <c r="M836" s="79"/>
      <c r="N836" s="74"/>
      <c r="O836" s="81" t="s">
        <v>694</v>
      </c>
      <c r="P836" s="83">
        <v>44464.137719907405</v>
      </c>
      <c r="Q836" s="81" t="s">
        <v>803</v>
      </c>
      <c r="R836" s="81"/>
      <c r="S836" s="81"/>
      <c r="T836" s="86" t="s">
        <v>649</v>
      </c>
      <c r="U836" s="84" t="str">
        <f>HYPERLINK("https://pbs.twimg.com/media/FAEa7dXVkAcjbKg.jpg")</f>
        <v>https://pbs.twimg.com/media/FAEa7dXVkAcjbKg.jpg</v>
      </c>
      <c r="V836" s="84" t="str">
        <f>HYPERLINK("https://pbs.twimg.com/media/FAEa7dXVkAcjbKg.jpg")</f>
        <v>https://pbs.twimg.com/media/FAEa7dXVkAcjbKg.jpg</v>
      </c>
      <c r="W836" s="83">
        <v>44464.137719907405</v>
      </c>
      <c r="X836" s="89">
        <v>44464</v>
      </c>
      <c r="Y836" s="86" t="s">
        <v>6106</v>
      </c>
      <c r="Z836" s="84" t="str">
        <f>HYPERLINK("https://twitter.com/prettydongjuu/status/1441602941681471488")</f>
        <v>https://twitter.com/prettydongjuu/status/1441602941681471488</v>
      </c>
      <c r="AA836" s="81"/>
      <c r="AB836" s="81"/>
      <c r="AC836" s="86" t="s">
        <v>7011</v>
      </c>
      <c r="AD836" s="81"/>
      <c r="AE836" s="81" t="b">
        <v>0</v>
      </c>
      <c r="AF836" s="81">
        <v>0</v>
      </c>
      <c r="AG836" s="86" t="s">
        <v>2084</v>
      </c>
      <c r="AH836" s="81" t="b">
        <v>0</v>
      </c>
      <c r="AI836" s="81" t="s">
        <v>2168</v>
      </c>
      <c r="AJ836" s="81"/>
      <c r="AK836" s="86" t="s">
        <v>2084</v>
      </c>
      <c r="AL836" s="81" t="b">
        <v>0</v>
      </c>
      <c r="AM836" s="81">
        <v>21</v>
      </c>
      <c r="AN836" s="86" t="s">
        <v>1847</v>
      </c>
      <c r="AO836" s="86" t="s">
        <v>2179</v>
      </c>
      <c r="AP836" s="81" t="b">
        <v>0</v>
      </c>
      <c r="AQ836" s="86" t="s">
        <v>1847</v>
      </c>
      <c r="AR836" s="81" t="s">
        <v>179</v>
      </c>
      <c r="AS836" s="81">
        <v>0</v>
      </c>
      <c r="AT836" s="81">
        <v>0</v>
      </c>
      <c r="AU836" s="81"/>
      <c r="AV836" s="81"/>
      <c r="AW836" s="81"/>
      <c r="AX836" s="81"/>
      <c r="AY836" s="81"/>
      <c r="AZ836" s="81"/>
      <c r="BA836" s="81"/>
      <c r="BB836" s="81"/>
    </row>
    <row r="837" spans="1:54" x14ac:dyDescent="0.35">
      <c r="A837" s="66" t="s">
        <v>4466</v>
      </c>
      <c r="B837" s="66" t="s">
        <v>649</v>
      </c>
      <c r="C837" s="67"/>
      <c r="D837" s="68"/>
      <c r="E837" s="69"/>
      <c r="F837" s="70"/>
      <c r="G837" s="67"/>
      <c r="H837" s="71"/>
      <c r="I837" s="72"/>
      <c r="J837" s="72"/>
      <c r="K837" s="36"/>
      <c r="L837" s="79"/>
      <c r="M837" s="79"/>
      <c r="N837" s="74"/>
      <c r="O837" s="81" t="s">
        <v>694</v>
      </c>
      <c r="P837" s="83">
        <v>44464.137719907405</v>
      </c>
      <c r="Q837" s="81" t="s">
        <v>803</v>
      </c>
      <c r="R837" s="81"/>
      <c r="S837" s="81"/>
      <c r="T837" s="86" t="s">
        <v>649</v>
      </c>
      <c r="U837" s="84" t="str">
        <f>HYPERLINK("https://pbs.twimg.com/media/FAEa7dXVkAcjbKg.jpg")</f>
        <v>https://pbs.twimg.com/media/FAEa7dXVkAcjbKg.jpg</v>
      </c>
      <c r="V837" s="84" t="str">
        <f>HYPERLINK("https://pbs.twimg.com/media/FAEa7dXVkAcjbKg.jpg")</f>
        <v>https://pbs.twimg.com/media/FAEa7dXVkAcjbKg.jpg</v>
      </c>
      <c r="W837" s="83">
        <v>44464.137719907405</v>
      </c>
      <c r="X837" s="89">
        <v>44464</v>
      </c>
      <c r="Y837" s="86" t="s">
        <v>6106</v>
      </c>
      <c r="Z837" s="84" t="str">
        <f>HYPERLINK("https://twitter.com/prettydongjuu/status/1441602941681471488")</f>
        <v>https://twitter.com/prettydongjuu/status/1441602941681471488</v>
      </c>
      <c r="AA837" s="81"/>
      <c r="AB837" s="81"/>
      <c r="AC837" s="86" t="s">
        <v>7011</v>
      </c>
      <c r="AD837" s="81"/>
      <c r="AE837" s="81" t="b">
        <v>0</v>
      </c>
      <c r="AF837" s="81">
        <v>0</v>
      </c>
      <c r="AG837" s="86" t="s">
        <v>2084</v>
      </c>
      <c r="AH837" s="81" t="b">
        <v>0</v>
      </c>
      <c r="AI837" s="81" t="s">
        <v>2168</v>
      </c>
      <c r="AJ837" s="81"/>
      <c r="AK837" s="86" t="s">
        <v>2084</v>
      </c>
      <c r="AL837" s="81" t="b">
        <v>0</v>
      </c>
      <c r="AM837" s="81">
        <v>21</v>
      </c>
      <c r="AN837" s="86" t="s">
        <v>1847</v>
      </c>
      <c r="AO837" s="86" t="s">
        <v>2179</v>
      </c>
      <c r="AP837" s="81" t="b">
        <v>0</v>
      </c>
      <c r="AQ837" s="86" t="s">
        <v>1847</v>
      </c>
      <c r="AR837" s="81" t="s">
        <v>179</v>
      </c>
      <c r="AS837" s="81">
        <v>0</v>
      </c>
      <c r="AT837" s="81">
        <v>0</v>
      </c>
      <c r="AU837" s="81"/>
      <c r="AV837" s="81"/>
      <c r="AW837" s="81"/>
      <c r="AX837" s="81"/>
      <c r="AY837" s="81"/>
      <c r="AZ837" s="81"/>
      <c r="BA837" s="81"/>
      <c r="BB837" s="81"/>
    </row>
    <row r="838" spans="1:54" x14ac:dyDescent="0.35">
      <c r="A838" s="66" t="s">
        <v>4466</v>
      </c>
      <c r="B838" s="66" t="s">
        <v>496</v>
      </c>
      <c r="C838" s="67"/>
      <c r="D838" s="68"/>
      <c r="E838" s="69"/>
      <c r="F838" s="70"/>
      <c r="G838" s="67"/>
      <c r="H838" s="71"/>
      <c r="I838" s="72"/>
      <c r="J838" s="72"/>
      <c r="K838" s="36"/>
      <c r="L838" s="79"/>
      <c r="M838" s="79"/>
      <c r="N838" s="74"/>
      <c r="O838" s="81" t="s">
        <v>693</v>
      </c>
      <c r="P838" s="83">
        <v>44464.137719907405</v>
      </c>
      <c r="Q838" s="81" t="s">
        <v>803</v>
      </c>
      <c r="R838" s="81"/>
      <c r="S838" s="81"/>
      <c r="T838" s="86" t="s">
        <v>649</v>
      </c>
      <c r="U838" s="84" t="str">
        <f>HYPERLINK("https://pbs.twimg.com/media/FAEa7dXVkAcjbKg.jpg")</f>
        <v>https://pbs.twimg.com/media/FAEa7dXVkAcjbKg.jpg</v>
      </c>
      <c r="V838" s="84" t="str">
        <f>HYPERLINK("https://pbs.twimg.com/media/FAEa7dXVkAcjbKg.jpg")</f>
        <v>https://pbs.twimg.com/media/FAEa7dXVkAcjbKg.jpg</v>
      </c>
      <c r="W838" s="83">
        <v>44464.137719907405</v>
      </c>
      <c r="X838" s="89">
        <v>44464</v>
      </c>
      <c r="Y838" s="86" t="s">
        <v>6106</v>
      </c>
      <c r="Z838" s="84" t="str">
        <f>HYPERLINK("https://twitter.com/prettydongjuu/status/1441602941681471488")</f>
        <v>https://twitter.com/prettydongjuu/status/1441602941681471488</v>
      </c>
      <c r="AA838" s="81"/>
      <c r="AB838" s="81"/>
      <c r="AC838" s="86" t="s">
        <v>7011</v>
      </c>
      <c r="AD838" s="81"/>
      <c r="AE838" s="81" t="b">
        <v>0</v>
      </c>
      <c r="AF838" s="81">
        <v>0</v>
      </c>
      <c r="AG838" s="86" t="s">
        <v>2084</v>
      </c>
      <c r="AH838" s="81" t="b">
        <v>0</v>
      </c>
      <c r="AI838" s="81" t="s">
        <v>2168</v>
      </c>
      <c r="AJ838" s="81"/>
      <c r="AK838" s="86" t="s">
        <v>2084</v>
      </c>
      <c r="AL838" s="81" t="b">
        <v>0</v>
      </c>
      <c r="AM838" s="81">
        <v>21</v>
      </c>
      <c r="AN838" s="86" t="s">
        <v>1847</v>
      </c>
      <c r="AO838" s="86" t="s">
        <v>2179</v>
      </c>
      <c r="AP838" s="81" t="b">
        <v>0</v>
      </c>
      <c r="AQ838" s="86" t="s">
        <v>1847</v>
      </c>
      <c r="AR838" s="81" t="s">
        <v>179</v>
      </c>
      <c r="AS838" s="81">
        <v>0</v>
      </c>
      <c r="AT838" s="81">
        <v>0</v>
      </c>
      <c r="AU838" s="81"/>
      <c r="AV838" s="81"/>
      <c r="AW838" s="81"/>
      <c r="AX838" s="81"/>
      <c r="AY838" s="81"/>
      <c r="AZ838" s="81"/>
      <c r="BA838" s="81"/>
      <c r="BB838" s="81"/>
    </row>
    <row r="839" spans="1:54" x14ac:dyDescent="0.35">
      <c r="A839" s="66" t="s">
        <v>4467</v>
      </c>
      <c r="B839" s="66" t="s">
        <v>4797</v>
      </c>
      <c r="C839" s="67"/>
      <c r="D839" s="68"/>
      <c r="E839" s="69"/>
      <c r="F839" s="70"/>
      <c r="G839" s="67"/>
      <c r="H839" s="71"/>
      <c r="I839" s="72"/>
      <c r="J839" s="72"/>
      <c r="K839" s="36"/>
      <c r="L839" s="79"/>
      <c r="M839" s="79"/>
      <c r="N839" s="74"/>
      <c r="O839" s="81" t="s">
        <v>693</v>
      </c>
      <c r="P839" s="83">
        <v>44464.138124999998</v>
      </c>
      <c r="Q839" s="84" t="str">
        <f>HYPERLINK("https://t.co/t5CziaW0dH")</f>
        <v>https://t.co/t5CziaW0dH</v>
      </c>
      <c r="R83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39" s="81" t="s">
        <v>5686</v>
      </c>
      <c r="T839" s="81"/>
      <c r="U839" s="81"/>
      <c r="V839" s="84" t="str">
        <f>HYPERLINK("https://pbs.twimg.com/profile_images/1434282967736668167/_B5uhjbt_normal.jpg")</f>
        <v>https://pbs.twimg.com/profile_images/1434282967736668167/_B5uhjbt_normal.jpg</v>
      </c>
      <c r="W839" s="83">
        <v>44464.138124999998</v>
      </c>
      <c r="X839" s="89">
        <v>44464</v>
      </c>
      <c r="Y839" s="86" t="s">
        <v>1284</v>
      </c>
      <c r="Z839" s="84" t="str">
        <f>HYPERLINK("https://twitter.com/pantanal741/status/1441603087211417600")</f>
        <v>https://twitter.com/pantanal741/status/1441603087211417600</v>
      </c>
      <c r="AA839" s="81"/>
      <c r="AB839" s="81"/>
      <c r="AC839" s="86" t="s">
        <v>7012</v>
      </c>
      <c r="AD839" s="81"/>
      <c r="AE839" s="81" t="b">
        <v>0</v>
      </c>
      <c r="AF839" s="81">
        <v>0</v>
      </c>
      <c r="AG839" s="86" t="s">
        <v>2084</v>
      </c>
      <c r="AH839" s="81" t="b">
        <v>0</v>
      </c>
      <c r="AI839" s="81" t="s">
        <v>2173</v>
      </c>
      <c r="AJ839" s="81"/>
      <c r="AK839" s="86" t="s">
        <v>2084</v>
      </c>
      <c r="AL839" s="81" t="b">
        <v>0</v>
      </c>
      <c r="AM839" s="81">
        <v>50</v>
      </c>
      <c r="AN839" s="86" t="s">
        <v>7395</v>
      </c>
      <c r="AO839" s="86" t="s">
        <v>2178</v>
      </c>
      <c r="AP839" s="81" t="b">
        <v>0</v>
      </c>
      <c r="AQ839" s="86" t="s">
        <v>7395</v>
      </c>
      <c r="AR839" s="81" t="s">
        <v>179</v>
      </c>
      <c r="AS839" s="81">
        <v>0</v>
      </c>
      <c r="AT839" s="81">
        <v>0</v>
      </c>
      <c r="AU839" s="81"/>
      <c r="AV839" s="81"/>
      <c r="AW839" s="81"/>
      <c r="AX839" s="81"/>
      <c r="AY839" s="81"/>
      <c r="AZ839" s="81"/>
      <c r="BA839" s="81"/>
      <c r="BB839" s="81"/>
    </row>
    <row r="840" spans="1:54" x14ac:dyDescent="0.35">
      <c r="A840" s="66" t="s">
        <v>438</v>
      </c>
      <c r="B840" s="66" t="s">
        <v>646</v>
      </c>
      <c r="C840" s="67"/>
      <c r="D840" s="68"/>
      <c r="E840" s="69"/>
      <c r="F840" s="70"/>
      <c r="G840" s="67"/>
      <c r="H840" s="71"/>
      <c r="I840" s="72"/>
      <c r="J840" s="72"/>
      <c r="K840" s="36"/>
      <c r="L840" s="79"/>
      <c r="M840" s="79"/>
      <c r="N840" s="74"/>
      <c r="O840" s="81" t="s">
        <v>694</v>
      </c>
      <c r="P840" s="83">
        <v>44464.146921296298</v>
      </c>
      <c r="Q840" s="81" t="s">
        <v>804</v>
      </c>
      <c r="R840" s="81"/>
      <c r="S840" s="81"/>
      <c r="T840" s="86" t="s">
        <v>649</v>
      </c>
      <c r="U840" s="84" t="str">
        <f>HYPERLINK("https://pbs.twimg.com/media/FAEaAdPVgAgaH2z.jpg")</f>
        <v>https://pbs.twimg.com/media/FAEaAdPVgAgaH2z.jpg</v>
      </c>
      <c r="V840" s="84" t="str">
        <f>HYPERLINK("https://pbs.twimg.com/media/FAEaAdPVgAgaH2z.jpg")</f>
        <v>https://pbs.twimg.com/media/FAEaAdPVgAgaH2z.jpg</v>
      </c>
      <c r="W840" s="83">
        <v>44464.146921296298</v>
      </c>
      <c r="X840" s="89">
        <v>44464</v>
      </c>
      <c r="Y840" s="86" t="s">
        <v>1281</v>
      </c>
      <c r="Z840" s="84" t="str">
        <f>HYPERLINK("https://twitter.com/dinotaete/status/1441606275373035520")</f>
        <v>https://twitter.com/dinotaete/status/1441606275373035520</v>
      </c>
      <c r="AA840" s="81"/>
      <c r="AB840" s="81"/>
      <c r="AC840" s="86" t="s">
        <v>1777</v>
      </c>
      <c r="AD840" s="81"/>
      <c r="AE840" s="81" t="b">
        <v>0</v>
      </c>
      <c r="AF840" s="81">
        <v>0</v>
      </c>
      <c r="AG840" s="86" t="s">
        <v>2084</v>
      </c>
      <c r="AH840" s="81" t="b">
        <v>0</v>
      </c>
      <c r="AI840" s="81" t="s">
        <v>2168</v>
      </c>
      <c r="AJ840" s="81"/>
      <c r="AK840" s="86" t="s">
        <v>2084</v>
      </c>
      <c r="AL840" s="81" t="b">
        <v>0</v>
      </c>
      <c r="AM840" s="81">
        <v>22</v>
      </c>
      <c r="AN840" s="86" t="s">
        <v>1846</v>
      </c>
      <c r="AO840" s="86" t="s">
        <v>2179</v>
      </c>
      <c r="AP840" s="81" t="b">
        <v>0</v>
      </c>
      <c r="AQ840" s="86" t="s">
        <v>1846</v>
      </c>
      <c r="AR840" s="81" t="s">
        <v>179</v>
      </c>
      <c r="AS840" s="81">
        <v>0</v>
      </c>
      <c r="AT840" s="81">
        <v>0</v>
      </c>
      <c r="AU840" s="81"/>
      <c r="AV840" s="81"/>
      <c r="AW840" s="81"/>
      <c r="AX840" s="81"/>
      <c r="AY840" s="81"/>
      <c r="AZ840" s="81"/>
      <c r="BA840" s="81"/>
      <c r="BB840" s="81"/>
    </row>
    <row r="841" spans="1:54" x14ac:dyDescent="0.35">
      <c r="A841" s="66" t="s">
        <v>438</v>
      </c>
      <c r="B841" s="66" t="s">
        <v>647</v>
      </c>
      <c r="C841" s="67"/>
      <c r="D841" s="68"/>
      <c r="E841" s="69"/>
      <c r="F841" s="70"/>
      <c r="G841" s="67"/>
      <c r="H841" s="71"/>
      <c r="I841" s="72"/>
      <c r="J841" s="72"/>
      <c r="K841" s="36"/>
      <c r="L841" s="79"/>
      <c r="M841" s="79"/>
      <c r="N841" s="74"/>
      <c r="O841" s="81" t="s">
        <v>694</v>
      </c>
      <c r="P841" s="83">
        <v>44464.146921296298</v>
      </c>
      <c r="Q841" s="81" t="s">
        <v>804</v>
      </c>
      <c r="R841" s="81"/>
      <c r="S841" s="81"/>
      <c r="T841" s="86" t="s">
        <v>649</v>
      </c>
      <c r="U841" s="84" t="str">
        <f>HYPERLINK("https://pbs.twimg.com/media/FAEaAdPVgAgaH2z.jpg")</f>
        <v>https://pbs.twimg.com/media/FAEaAdPVgAgaH2z.jpg</v>
      </c>
      <c r="V841" s="84" t="str">
        <f>HYPERLINK("https://pbs.twimg.com/media/FAEaAdPVgAgaH2z.jpg")</f>
        <v>https://pbs.twimg.com/media/FAEaAdPVgAgaH2z.jpg</v>
      </c>
      <c r="W841" s="83">
        <v>44464.146921296298</v>
      </c>
      <c r="X841" s="89">
        <v>44464</v>
      </c>
      <c r="Y841" s="86" t="s">
        <v>1281</v>
      </c>
      <c r="Z841" s="84" t="str">
        <f>HYPERLINK("https://twitter.com/dinotaete/status/1441606275373035520")</f>
        <v>https://twitter.com/dinotaete/status/1441606275373035520</v>
      </c>
      <c r="AA841" s="81"/>
      <c r="AB841" s="81"/>
      <c r="AC841" s="86" t="s">
        <v>1777</v>
      </c>
      <c r="AD841" s="81"/>
      <c r="AE841" s="81" t="b">
        <v>0</v>
      </c>
      <c r="AF841" s="81">
        <v>0</v>
      </c>
      <c r="AG841" s="86" t="s">
        <v>2084</v>
      </c>
      <c r="AH841" s="81" t="b">
        <v>0</v>
      </c>
      <c r="AI841" s="81" t="s">
        <v>2168</v>
      </c>
      <c r="AJ841" s="81"/>
      <c r="AK841" s="86" t="s">
        <v>2084</v>
      </c>
      <c r="AL841" s="81" t="b">
        <v>0</v>
      </c>
      <c r="AM841" s="81">
        <v>22</v>
      </c>
      <c r="AN841" s="86" t="s">
        <v>1846</v>
      </c>
      <c r="AO841" s="86" t="s">
        <v>2179</v>
      </c>
      <c r="AP841" s="81" t="b">
        <v>0</v>
      </c>
      <c r="AQ841" s="86" t="s">
        <v>1846</v>
      </c>
      <c r="AR841" s="81" t="s">
        <v>179</v>
      </c>
      <c r="AS841" s="81">
        <v>0</v>
      </c>
      <c r="AT841" s="81">
        <v>0</v>
      </c>
      <c r="AU841" s="81"/>
      <c r="AV841" s="81"/>
      <c r="AW841" s="81"/>
      <c r="AX841" s="81"/>
      <c r="AY841" s="81"/>
      <c r="AZ841" s="81"/>
      <c r="BA841" s="81"/>
      <c r="BB841" s="81"/>
    </row>
    <row r="842" spans="1:54" x14ac:dyDescent="0.35">
      <c r="A842" s="66" t="s">
        <v>438</v>
      </c>
      <c r="B842" s="66" t="s">
        <v>648</v>
      </c>
      <c r="C842" s="67"/>
      <c r="D842" s="68"/>
      <c r="E842" s="69"/>
      <c r="F842" s="70"/>
      <c r="G842" s="67"/>
      <c r="H842" s="71"/>
      <c r="I842" s="72"/>
      <c r="J842" s="72"/>
      <c r="K842" s="36"/>
      <c r="L842" s="79"/>
      <c r="M842" s="79"/>
      <c r="N842" s="74"/>
      <c r="O842" s="81" t="s">
        <v>694</v>
      </c>
      <c r="P842" s="83">
        <v>44464.146921296298</v>
      </c>
      <c r="Q842" s="81" t="s">
        <v>804</v>
      </c>
      <c r="R842" s="81"/>
      <c r="S842" s="81"/>
      <c r="T842" s="86" t="s">
        <v>649</v>
      </c>
      <c r="U842" s="84" t="str">
        <f>HYPERLINK("https://pbs.twimg.com/media/FAEaAdPVgAgaH2z.jpg")</f>
        <v>https://pbs.twimg.com/media/FAEaAdPVgAgaH2z.jpg</v>
      </c>
      <c r="V842" s="84" t="str">
        <f>HYPERLINK("https://pbs.twimg.com/media/FAEaAdPVgAgaH2z.jpg")</f>
        <v>https://pbs.twimg.com/media/FAEaAdPVgAgaH2z.jpg</v>
      </c>
      <c r="W842" s="83">
        <v>44464.146921296298</v>
      </c>
      <c r="X842" s="89">
        <v>44464</v>
      </c>
      <c r="Y842" s="86" t="s">
        <v>1281</v>
      </c>
      <c r="Z842" s="84" t="str">
        <f>HYPERLINK("https://twitter.com/dinotaete/status/1441606275373035520")</f>
        <v>https://twitter.com/dinotaete/status/1441606275373035520</v>
      </c>
      <c r="AA842" s="81"/>
      <c r="AB842" s="81"/>
      <c r="AC842" s="86" t="s">
        <v>1777</v>
      </c>
      <c r="AD842" s="81"/>
      <c r="AE842" s="81" t="b">
        <v>0</v>
      </c>
      <c r="AF842" s="81">
        <v>0</v>
      </c>
      <c r="AG842" s="86" t="s">
        <v>2084</v>
      </c>
      <c r="AH842" s="81" t="b">
        <v>0</v>
      </c>
      <c r="AI842" s="81" t="s">
        <v>2168</v>
      </c>
      <c r="AJ842" s="81"/>
      <c r="AK842" s="86" t="s">
        <v>2084</v>
      </c>
      <c r="AL842" s="81" t="b">
        <v>0</v>
      </c>
      <c r="AM842" s="81">
        <v>22</v>
      </c>
      <c r="AN842" s="86" t="s">
        <v>1846</v>
      </c>
      <c r="AO842" s="86" t="s">
        <v>2179</v>
      </c>
      <c r="AP842" s="81" t="b">
        <v>0</v>
      </c>
      <c r="AQ842" s="86" t="s">
        <v>1846</v>
      </c>
      <c r="AR842" s="81" t="s">
        <v>179</v>
      </c>
      <c r="AS842" s="81">
        <v>0</v>
      </c>
      <c r="AT842" s="81">
        <v>0</v>
      </c>
      <c r="AU842" s="81"/>
      <c r="AV842" s="81"/>
      <c r="AW842" s="81"/>
      <c r="AX842" s="81"/>
      <c r="AY842" s="81"/>
      <c r="AZ842" s="81"/>
      <c r="BA842" s="81"/>
      <c r="BB842" s="81"/>
    </row>
    <row r="843" spans="1:54" x14ac:dyDescent="0.35">
      <c r="A843" s="66" t="s">
        <v>438</v>
      </c>
      <c r="B843" s="66" t="s">
        <v>649</v>
      </c>
      <c r="C843" s="67"/>
      <c r="D843" s="68"/>
      <c r="E843" s="69"/>
      <c r="F843" s="70"/>
      <c r="G843" s="67"/>
      <c r="H843" s="71"/>
      <c r="I843" s="72"/>
      <c r="J843" s="72"/>
      <c r="K843" s="36"/>
      <c r="L843" s="79"/>
      <c r="M843" s="79"/>
      <c r="N843" s="74"/>
      <c r="O843" s="81" t="s">
        <v>694</v>
      </c>
      <c r="P843" s="83">
        <v>44464.146921296298</v>
      </c>
      <c r="Q843" s="81" t="s">
        <v>804</v>
      </c>
      <c r="R843" s="81"/>
      <c r="S843" s="81"/>
      <c r="T843" s="86" t="s">
        <v>649</v>
      </c>
      <c r="U843" s="84" t="str">
        <f>HYPERLINK("https://pbs.twimg.com/media/FAEaAdPVgAgaH2z.jpg")</f>
        <v>https://pbs.twimg.com/media/FAEaAdPVgAgaH2z.jpg</v>
      </c>
      <c r="V843" s="84" t="str">
        <f>HYPERLINK("https://pbs.twimg.com/media/FAEaAdPVgAgaH2z.jpg")</f>
        <v>https://pbs.twimg.com/media/FAEaAdPVgAgaH2z.jpg</v>
      </c>
      <c r="W843" s="83">
        <v>44464.146921296298</v>
      </c>
      <c r="X843" s="89">
        <v>44464</v>
      </c>
      <c r="Y843" s="86" t="s">
        <v>1281</v>
      </c>
      <c r="Z843" s="84" t="str">
        <f>HYPERLINK("https://twitter.com/dinotaete/status/1441606275373035520")</f>
        <v>https://twitter.com/dinotaete/status/1441606275373035520</v>
      </c>
      <c r="AA843" s="81"/>
      <c r="AB843" s="81"/>
      <c r="AC843" s="86" t="s">
        <v>1777</v>
      </c>
      <c r="AD843" s="81"/>
      <c r="AE843" s="81" t="b">
        <v>0</v>
      </c>
      <c r="AF843" s="81">
        <v>0</v>
      </c>
      <c r="AG843" s="86" t="s">
        <v>2084</v>
      </c>
      <c r="AH843" s="81" t="b">
        <v>0</v>
      </c>
      <c r="AI843" s="81" t="s">
        <v>2168</v>
      </c>
      <c r="AJ843" s="81"/>
      <c r="AK843" s="86" t="s">
        <v>2084</v>
      </c>
      <c r="AL843" s="81" t="b">
        <v>0</v>
      </c>
      <c r="AM843" s="81">
        <v>22</v>
      </c>
      <c r="AN843" s="86" t="s">
        <v>1846</v>
      </c>
      <c r="AO843" s="86" t="s">
        <v>2179</v>
      </c>
      <c r="AP843" s="81" t="b">
        <v>0</v>
      </c>
      <c r="AQ843" s="86" t="s">
        <v>1846</v>
      </c>
      <c r="AR843" s="81" t="s">
        <v>179</v>
      </c>
      <c r="AS843" s="81">
        <v>0</v>
      </c>
      <c r="AT843" s="81">
        <v>0</v>
      </c>
      <c r="AU843" s="81"/>
      <c r="AV843" s="81"/>
      <c r="AW843" s="81"/>
      <c r="AX843" s="81"/>
      <c r="AY843" s="81"/>
      <c r="AZ843" s="81"/>
      <c r="BA843" s="81"/>
      <c r="BB843" s="81"/>
    </row>
    <row r="844" spans="1:54" x14ac:dyDescent="0.35">
      <c r="A844" s="66" t="s">
        <v>438</v>
      </c>
      <c r="B844" s="66" t="s">
        <v>496</v>
      </c>
      <c r="C844" s="67"/>
      <c r="D844" s="68"/>
      <c r="E844" s="69"/>
      <c r="F844" s="70"/>
      <c r="G844" s="67"/>
      <c r="H844" s="71"/>
      <c r="I844" s="72"/>
      <c r="J844" s="72"/>
      <c r="K844" s="36"/>
      <c r="L844" s="79"/>
      <c r="M844" s="79"/>
      <c r="N844" s="74"/>
      <c r="O844" s="81" t="s">
        <v>693</v>
      </c>
      <c r="P844" s="83">
        <v>44464.146921296298</v>
      </c>
      <c r="Q844" s="81" t="s">
        <v>804</v>
      </c>
      <c r="R844" s="81"/>
      <c r="S844" s="81"/>
      <c r="T844" s="86" t="s">
        <v>649</v>
      </c>
      <c r="U844" s="84" t="str">
        <f>HYPERLINK("https://pbs.twimg.com/media/FAEaAdPVgAgaH2z.jpg")</f>
        <v>https://pbs.twimg.com/media/FAEaAdPVgAgaH2z.jpg</v>
      </c>
      <c r="V844" s="84" t="str">
        <f>HYPERLINK("https://pbs.twimg.com/media/FAEaAdPVgAgaH2z.jpg")</f>
        <v>https://pbs.twimg.com/media/FAEaAdPVgAgaH2z.jpg</v>
      </c>
      <c r="W844" s="83">
        <v>44464.146921296298</v>
      </c>
      <c r="X844" s="89">
        <v>44464</v>
      </c>
      <c r="Y844" s="86" t="s">
        <v>1281</v>
      </c>
      <c r="Z844" s="84" t="str">
        <f>HYPERLINK("https://twitter.com/dinotaete/status/1441606275373035520")</f>
        <v>https://twitter.com/dinotaete/status/1441606275373035520</v>
      </c>
      <c r="AA844" s="81"/>
      <c r="AB844" s="81"/>
      <c r="AC844" s="86" t="s">
        <v>1777</v>
      </c>
      <c r="AD844" s="81"/>
      <c r="AE844" s="81" t="b">
        <v>0</v>
      </c>
      <c r="AF844" s="81">
        <v>0</v>
      </c>
      <c r="AG844" s="86" t="s">
        <v>2084</v>
      </c>
      <c r="AH844" s="81" t="b">
        <v>0</v>
      </c>
      <c r="AI844" s="81" t="s">
        <v>2168</v>
      </c>
      <c r="AJ844" s="81"/>
      <c r="AK844" s="86" t="s">
        <v>2084</v>
      </c>
      <c r="AL844" s="81" t="b">
        <v>0</v>
      </c>
      <c r="AM844" s="81">
        <v>22</v>
      </c>
      <c r="AN844" s="86" t="s">
        <v>1846</v>
      </c>
      <c r="AO844" s="86" t="s">
        <v>2179</v>
      </c>
      <c r="AP844" s="81" t="b">
        <v>0</v>
      </c>
      <c r="AQ844" s="86" t="s">
        <v>1846</v>
      </c>
      <c r="AR844" s="81" t="s">
        <v>179</v>
      </c>
      <c r="AS844" s="81">
        <v>0</v>
      </c>
      <c r="AT844" s="81">
        <v>0</v>
      </c>
      <c r="AU844" s="81"/>
      <c r="AV844" s="81"/>
      <c r="AW844" s="81"/>
      <c r="AX844" s="81"/>
      <c r="AY844" s="81"/>
      <c r="AZ844" s="81"/>
      <c r="BA844" s="81"/>
      <c r="BB844" s="81"/>
    </row>
    <row r="845" spans="1:54" x14ac:dyDescent="0.35">
      <c r="A845" s="66" t="s">
        <v>439</v>
      </c>
      <c r="B845" s="66" t="s">
        <v>646</v>
      </c>
      <c r="C845" s="67"/>
      <c r="D845" s="68"/>
      <c r="E845" s="69"/>
      <c r="F845" s="70"/>
      <c r="G845" s="67"/>
      <c r="H845" s="71"/>
      <c r="I845" s="72"/>
      <c r="J845" s="72"/>
      <c r="K845" s="36"/>
      <c r="L845" s="79"/>
      <c r="M845" s="79"/>
      <c r="N845" s="74"/>
      <c r="O845" s="81" t="s">
        <v>694</v>
      </c>
      <c r="P845" s="83">
        <v>44464.149259259262</v>
      </c>
      <c r="Q845" s="81" t="s">
        <v>804</v>
      </c>
      <c r="R845" s="81"/>
      <c r="S845" s="81"/>
      <c r="T845" s="86" t="s">
        <v>649</v>
      </c>
      <c r="U845" s="84" t="str">
        <f>HYPERLINK("https://pbs.twimg.com/media/FAEaAdPVgAgaH2z.jpg")</f>
        <v>https://pbs.twimg.com/media/FAEaAdPVgAgaH2z.jpg</v>
      </c>
      <c r="V845" s="84" t="str">
        <f>HYPERLINK("https://pbs.twimg.com/media/FAEaAdPVgAgaH2z.jpg")</f>
        <v>https://pbs.twimg.com/media/FAEaAdPVgAgaH2z.jpg</v>
      </c>
      <c r="W845" s="83">
        <v>44464.149259259262</v>
      </c>
      <c r="X845" s="89">
        <v>44464</v>
      </c>
      <c r="Y845" s="86" t="s">
        <v>1282</v>
      </c>
      <c r="Z845" s="84" t="str">
        <f>HYPERLINK("https://twitter.com/vantaesfm/status/1441607124904079362")</f>
        <v>https://twitter.com/vantaesfm/status/1441607124904079362</v>
      </c>
      <c r="AA845" s="81"/>
      <c r="AB845" s="81"/>
      <c r="AC845" s="86" t="s">
        <v>1778</v>
      </c>
      <c r="AD845" s="81"/>
      <c r="AE845" s="81" t="b">
        <v>0</v>
      </c>
      <c r="AF845" s="81">
        <v>0</v>
      </c>
      <c r="AG845" s="86" t="s">
        <v>2084</v>
      </c>
      <c r="AH845" s="81" t="b">
        <v>0</v>
      </c>
      <c r="AI845" s="81" t="s">
        <v>2168</v>
      </c>
      <c r="AJ845" s="81"/>
      <c r="AK845" s="86" t="s">
        <v>2084</v>
      </c>
      <c r="AL845" s="81" t="b">
        <v>0</v>
      </c>
      <c r="AM845" s="81">
        <v>22</v>
      </c>
      <c r="AN845" s="86" t="s">
        <v>1846</v>
      </c>
      <c r="AO845" s="86" t="s">
        <v>2179</v>
      </c>
      <c r="AP845" s="81" t="b">
        <v>0</v>
      </c>
      <c r="AQ845" s="86" t="s">
        <v>1846</v>
      </c>
      <c r="AR845" s="81" t="s">
        <v>179</v>
      </c>
      <c r="AS845" s="81">
        <v>0</v>
      </c>
      <c r="AT845" s="81">
        <v>0</v>
      </c>
      <c r="AU845" s="81"/>
      <c r="AV845" s="81"/>
      <c r="AW845" s="81"/>
      <c r="AX845" s="81"/>
      <c r="AY845" s="81"/>
      <c r="AZ845" s="81"/>
      <c r="BA845" s="81"/>
      <c r="BB845" s="81"/>
    </row>
    <row r="846" spans="1:54" x14ac:dyDescent="0.35">
      <c r="A846" s="66" t="s">
        <v>439</v>
      </c>
      <c r="B846" s="66" t="s">
        <v>647</v>
      </c>
      <c r="C846" s="67"/>
      <c r="D846" s="68"/>
      <c r="E846" s="69"/>
      <c r="F846" s="70"/>
      <c r="G846" s="67"/>
      <c r="H846" s="71"/>
      <c r="I846" s="72"/>
      <c r="J846" s="72"/>
      <c r="K846" s="36"/>
      <c r="L846" s="79"/>
      <c r="M846" s="79"/>
      <c r="N846" s="74"/>
      <c r="O846" s="81" t="s">
        <v>694</v>
      </c>
      <c r="P846" s="83">
        <v>44464.149259259262</v>
      </c>
      <c r="Q846" s="81" t="s">
        <v>804</v>
      </c>
      <c r="R846" s="81"/>
      <c r="S846" s="81"/>
      <c r="T846" s="86" t="s">
        <v>649</v>
      </c>
      <c r="U846" s="84" t="str">
        <f>HYPERLINK("https://pbs.twimg.com/media/FAEaAdPVgAgaH2z.jpg")</f>
        <v>https://pbs.twimg.com/media/FAEaAdPVgAgaH2z.jpg</v>
      </c>
      <c r="V846" s="84" t="str">
        <f>HYPERLINK("https://pbs.twimg.com/media/FAEaAdPVgAgaH2z.jpg")</f>
        <v>https://pbs.twimg.com/media/FAEaAdPVgAgaH2z.jpg</v>
      </c>
      <c r="W846" s="83">
        <v>44464.149259259262</v>
      </c>
      <c r="X846" s="89">
        <v>44464</v>
      </c>
      <c r="Y846" s="86" t="s">
        <v>1282</v>
      </c>
      <c r="Z846" s="84" t="str">
        <f>HYPERLINK("https://twitter.com/vantaesfm/status/1441607124904079362")</f>
        <v>https://twitter.com/vantaesfm/status/1441607124904079362</v>
      </c>
      <c r="AA846" s="81"/>
      <c r="AB846" s="81"/>
      <c r="AC846" s="86" t="s">
        <v>1778</v>
      </c>
      <c r="AD846" s="81"/>
      <c r="AE846" s="81" t="b">
        <v>0</v>
      </c>
      <c r="AF846" s="81">
        <v>0</v>
      </c>
      <c r="AG846" s="86" t="s">
        <v>2084</v>
      </c>
      <c r="AH846" s="81" t="b">
        <v>0</v>
      </c>
      <c r="AI846" s="81" t="s">
        <v>2168</v>
      </c>
      <c r="AJ846" s="81"/>
      <c r="AK846" s="86" t="s">
        <v>2084</v>
      </c>
      <c r="AL846" s="81" t="b">
        <v>0</v>
      </c>
      <c r="AM846" s="81">
        <v>22</v>
      </c>
      <c r="AN846" s="86" t="s">
        <v>1846</v>
      </c>
      <c r="AO846" s="86" t="s">
        <v>2179</v>
      </c>
      <c r="AP846" s="81" t="b">
        <v>0</v>
      </c>
      <c r="AQ846" s="86" t="s">
        <v>1846</v>
      </c>
      <c r="AR846" s="81" t="s">
        <v>179</v>
      </c>
      <c r="AS846" s="81">
        <v>0</v>
      </c>
      <c r="AT846" s="81">
        <v>0</v>
      </c>
      <c r="AU846" s="81"/>
      <c r="AV846" s="81"/>
      <c r="AW846" s="81"/>
      <c r="AX846" s="81"/>
      <c r="AY846" s="81"/>
      <c r="AZ846" s="81"/>
      <c r="BA846" s="81"/>
      <c r="BB846" s="81"/>
    </row>
    <row r="847" spans="1:54" x14ac:dyDescent="0.35">
      <c r="A847" s="66" t="s">
        <v>439</v>
      </c>
      <c r="B847" s="66" t="s">
        <v>648</v>
      </c>
      <c r="C847" s="67"/>
      <c r="D847" s="68"/>
      <c r="E847" s="69"/>
      <c r="F847" s="70"/>
      <c r="G847" s="67"/>
      <c r="H847" s="71"/>
      <c r="I847" s="72"/>
      <c r="J847" s="72"/>
      <c r="K847" s="36"/>
      <c r="L847" s="79"/>
      <c r="M847" s="79"/>
      <c r="N847" s="74"/>
      <c r="O847" s="81" t="s">
        <v>694</v>
      </c>
      <c r="P847" s="83">
        <v>44464.149259259262</v>
      </c>
      <c r="Q847" s="81" t="s">
        <v>804</v>
      </c>
      <c r="R847" s="81"/>
      <c r="S847" s="81"/>
      <c r="T847" s="86" t="s">
        <v>649</v>
      </c>
      <c r="U847" s="84" t="str">
        <f>HYPERLINK("https://pbs.twimg.com/media/FAEaAdPVgAgaH2z.jpg")</f>
        <v>https://pbs.twimg.com/media/FAEaAdPVgAgaH2z.jpg</v>
      </c>
      <c r="V847" s="84" t="str">
        <f>HYPERLINK("https://pbs.twimg.com/media/FAEaAdPVgAgaH2z.jpg")</f>
        <v>https://pbs.twimg.com/media/FAEaAdPVgAgaH2z.jpg</v>
      </c>
      <c r="W847" s="83">
        <v>44464.149259259262</v>
      </c>
      <c r="X847" s="89">
        <v>44464</v>
      </c>
      <c r="Y847" s="86" t="s">
        <v>1282</v>
      </c>
      <c r="Z847" s="84" t="str">
        <f>HYPERLINK("https://twitter.com/vantaesfm/status/1441607124904079362")</f>
        <v>https://twitter.com/vantaesfm/status/1441607124904079362</v>
      </c>
      <c r="AA847" s="81"/>
      <c r="AB847" s="81"/>
      <c r="AC847" s="86" t="s">
        <v>1778</v>
      </c>
      <c r="AD847" s="81"/>
      <c r="AE847" s="81" t="b">
        <v>0</v>
      </c>
      <c r="AF847" s="81">
        <v>0</v>
      </c>
      <c r="AG847" s="86" t="s">
        <v>2084</v>
      </c>
      <c r="AH847" s="81" t="b">
        <v>0</v>
      </c>
      <c r="AI847" s="81" t="s">
        <v>2168</v>
      </c>
      <c r="AJ847" s="81"/>
      <c r="AK847" s="86" t="s">
        <v>2084</v>
      </c>
      <c r="AL847" s="81" t="b">
        <v>0</v>
      </c>
      <c r="AM847" s="81">
        <v>22</v>
      </c>
      <c r="AN847" s="86" t="s">
        <v>1846</v>
      </c>
      <c r="AO847" s="86" t="s">
        <v>2179</v>
      </c>
      <c r="AP847" s="81" t="b">
        <v>0</v>
      </c>
      <c r="AQ847" s="86" t="s">
        <v>1846</v>
      </c>
      <c r="AR847" s="81" t="s">
        <v>179</v>
      </c>
      <c r="AS847" s="81">
        <v>0</v>
      </c>
      <c r="AT847" s="81">
        <v>0</v>
      </c>
      <c r="AU847" s="81"/>
      <c r="AV847" s="81"/>
      <c r="AW847" s="81"/>
      <c r="AX847" s="81"/>
      <c r="AY847" s="81"/>
      <c r="AZ847" s="81"/>
      <c r="BA847" s="81"/>
      <c r="BB847" s="81"/>
    </row>
    <row r="848" spans="1:54" x14ac:dyDescent="0.35">
      <c r="A848" s="66" t="s">
        <v>439</v>
      </c>
      <c r="B848" s="66" t="s">
        <v>649</v>
      </c>
      <c r="C848" s="67"/>
      <c r="D848" s="68"/>
      <c r="E848" s="69"/>
      <c r="F848" s="70"/>
      <c r="G848" s="67"/>
      <c r="H848" s="71"/>
      <c r="I848" s="72"/>
      <c r="J848" s="72"/>
      <c r="K848" s="36"/>
      <c r="L848" s="79"/>
      <c r="M848" s="79"/>
      <c r="N848" s="74"/>
      <c r="O848" s="81" t="s">
        <v>694</v>
      </c>
      <c r="P848" s="83">
        <v>44464.149259259262</v>
      </c>
      <c r="Q848" s="81" t="s">
        <v>804</v>
      </c>
      <c r="R848" s="81"/>
      <c r="S848" s="81"/>
      <c r="T848" s="86" t="s">
        <v>649</v>
      </c>
      <c r="U848" s="84" t="str">
        <f>HYPERLINK("https://pbs.twimg.com/media/FAEaAdPVgAgaH2z.jpg")</f>
        <v>https://pbs.twimg.com/media/FAEaAdPVgAgaH2z.jpg</v>
      </c>
      <c r="V848" s="84" t="str">
        <f>HYPERLINK("https://pbs.twimg.com/media/FAEaAdPVgAgaH2z.jpg")</f>
        <v>https://pbs.twimg.com/media/FAEaAdPVgAgaH2z.jpg</v>
      </c>
      <c r="W848" s="83">
        <v>44464.149259259262</v>
      </c>
      <c r="X848" s="89">
        <v>44464</v>
      </c>
      <c r="Y848" s="86" t="s">
        <v>1282</v>
      </c>
      <c r="Z848" s="84" t="str">
        <f>HYPERLINK("https://twitter.com/vantaesfm/status/1441607124904079362")</f>
        <v>https://twitter.com/vantaesfm/status/1441607124904079362</v>
      </c>
      <c r="AA848" s="81"/>
      <c r="AB848" s="81"/>
      <c r="AC848" s="86" t="s">
        <v>1778</v>
      </c>
      <c r="AD848" s="81"/>
      <c r="AE848" s="81" t="b">
        <v>0</v>
      </c>
      <c r="AF848" s="81">
        <v>0</v>
      </c>
      <c r="AG848" s="86" t="s">
        <v>2084</v>
      </c>
      <c r="AH848" s="81" t="b">
        <v>0</v>
      </c>
      <c r="AI848" s="81" t="s">
        <v>2168</v>
      </c>
      <c r="AJ848" s="81"/>
      <c r="AK848" s="86" t="s">
        <v>2084</v>
      </c>
      <c r="AL848" s="81" t="b">
        <v>0</v>
      </c>
      <c r="AM848" s="81">
        <v>22</v>
      </c>
      <c r="AN848" s="86" t="s">
        <v>1846</v>
      </c>
      <c r="AO848" s="86" t="s">
        <v>2179</v>
      </c>
      <c r="AP848" s="81" t="b">
        <v>0</v>
      </c>
      <c r="AQ848" s="86" t="s">
        <v>1846</v>
      </c>
      <c r="AR848" s="81" t="s">
        <v>179</v>
      </c>
      <c r="AS848" s="81">
        <v>0</v>
      </c>
      <c r="AT848" s="81">
        <v>0</v>
      </c>
      <c r="AU848" s="81"/>
      <c r="AV848" s="81"/>
      <c r="AW848" s="81"/>
      <c r="AX848" s="81"/>
      <c r="AY848" s="81"/>
      <c r="AZ848" s="81"/>
      <c r="BA848" s="81"/>
      <c r="BB848" s="81"/>
    </row>
    <row r="849" spans="1:54" x14ac:dyDescent="0.35">
      <c r="A849" s="66" t="s">
        <v>439</v>
      </c>
      <c r="B849" s="66" t="s">
        <v>496</v>
      </c>
      <c r="C849" s="67"/>
      <c r="D849" s="68"/>
      <c r="E849" s="69"/>
      <c r="F849" s="70"/>
      <c r="G849" s="67"/>
      <c r="H849" s="71"/>
      <c r="I849" s="72"/>
      <c r="J849" s="72"/>
      <c r="K849" s="36"/>
      <c r="L849" s="79"/>
      <c r="M849" s="79"/>
      <c r="N849" s="74"/>
      <c r="O849" s="81" t="s">
        <v>693</v>
      </c>
      <c r="P849" s="83">
        <v>44464.149259259262</v>
      </c>
      <c r="Q849" s="81" t="s">
        <v>804</v>
      </c>
      <c r="R849" s="81"/>
      <c r="S849" s="81"/>
      <c r="T849" s="86" t="s">
        <v>649</v>
      </c>
      <c r="U849" s="84" t="str">
        <f>HYPERLINK("https://pbs.twimg.com/media/FAEaAdPVgAgaH2z.jpg")</f>
        <v>https://pbs.twimg.com/media/FAEaAdPVgAgaH2z.jpg</v>
      </c>
      <c r="V849" s="84" t="str">
        <f>HYPERLINK("https://pbs.twimg.com/media/FAEaAdPVgAgaH2z.jpg")</f>
        <v>https://pbs.twimg.com/media/FAEaAdPVgAgaH2z.jpg</v>
      </c>
      <c r="W849" s="83">
        <v>44464.149259259262</v>
      </c>
      <c r="X849" s="89">
        <v>44464</v>
      </c>
      <c r="Y849" s="86" t="s">
        <v>1282</v>
      </c>
      <c r="Z849" s="84" t="str">
        <f>HYPERLINK("https://twitter.com/vantaesfm/status/1441607124904079362")</f>
        <v>https://twitter.com/vantaesfm/status/1441607124904079362</v>
      </c>
      <c r="AA849" s="81"/>
      <c r="AB849" s="81"/>
      <c r="AC849" s="86" t="s">
        <v>1778</v>
      </c>
      <c r="AD849" s="81"/>
      <c r="AE849" s="81" t="b">
        <v>0</v>
      </c>
      <c r="AF849" s="81">
        <v>0</v>
      </c>
      <c r="AG849" s="86" t="s">
        <v>2084</v>
      </c>
      <c r="AH849" s="81" t="b">
        <v>0</v>
      </c>
      <c r="AI849" s="81" t="s">
        <v>2168</v>
      </c>
      <c r="AJ849" s="81"/>
      <c r="AK849" s="86" t="s">
        <v>2084</v>
      </c>
      <c r="AL849" s="81" t="b">
        <v>0</v>
      </c>
      <c r="AM849" s="81">
        <v>22</v>
      </c>
      <c r="AN849" s="86" t="s">
        <v>1846</v>
      </c>
      <c r="AO849" s="86" t="s">
        <v>2179</v>
      </c>
      <c r="AP849" s="81" t="b">
        <v>0</v>
      </c>
      <c r="AQ849" s="86" t="s">
        <v>1846</v>
      </c>
      <c r="AR849" s="81" t="s">
        <v>179</v>
      </c>
      <c r="AS849" s="81">
        <v>0</v>
      </c>
      <c r="AT849" s="81">
        <v>0</v>
      </c>
      <c r="AU849" s="81"/>
      <c r="AV849" s="81"/>
      <c r="AW849" s="81"/>
      <c r="AX849" s="81"/>
      <c r="AY849" s="81"/>
      <c r="AZ849" s="81"/>
      <c r="BA849" s="81"/>
      <c r="BB849" s="81"/>
    </row>
    <row r="850" spans="1:54" x14ac:dyDescent="0.35">
      <c r="A850" s="66" t="s">
        <v>4468</v>
      </c>
      <c r="B850" s="66" t="s">
        <v>4797</v>
      </c>
      <c r="C850" s="67"/>
      <c r="D850" s="68"/>
      <c r="E850" s="69"/>
      <c r="F850" s="70"/>
      <c r="G850" s="67"/>
      <c r="H850" s="71"/>
      <c r="I850" s="72"/>
      <c r="J850" s="72"/>
      <c r="K850" s="36"/>
      <c r="L850" s="79"/>
      <c r="M850" s="79"/>
      <c r="N850" s="74"/>
      <c r="O850" s="81" t="s">
        <v>693</v>
      </c>
      <c r="P850" s="83">
        <v>44464.158321759256</v>
      </c>
      <c r="Q850" s="81" t="s">
        <v>5435</v>
      </c>
      <c r="R85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50" s="81" t="s">
        <v>5686</v>
      </c>
      <c r="T850" s="81"/>
      <c r="U850" s="81"/>
      <c r="V850" s="84" t="str">
        <f>HYPERLINK("https://pbs.twimg.com/profile_images/1434706175908581377/xT3SNsgk_normal.jpg")</f>
        <v>https://pbs.twimg.com/profile_images/1434706175908581377/xT3SNsgk_normal.jpg</v>
      </c>
      <c r="W850" s="83">
        <v>44464.158321759256</v>
      </c>
      <c r="X850" s="89">
        <v>44464</v>
      </c>
      <c r="Y850" s="86" t="s">
        <v>6107</v>
      </c>
      <c r="Z850" s="84" t="str">
        <f>HYPERLINK("https://twitter.com/biar_amanda/status/1441610408054321159")</f>
        <v>https://twitter.com/biar_amanda/status/1441610408054321159</v>
      </c>
      <c r="AA850" s="81"/>
      <c r="AB850" s="81"/>
      <c r="AC850" s="86" t="s">
        <v>7013</v>
      </c>
      <c r="AD850" s="81"/>
      <c r="AE850" s="81" t="b">
        <v>0</v>
      </c>
      <c r="AF850" s="81">
        <v>0</v>
      </c>
      <c r="AG850" s="86" t="s">
        <v>2084</v>
      </c>
      <c r="AH850" s="81" t="b">
        <v>0</v>
      </c>
      <c r="AI850" s="81" t="s">
        <v>2173</v>
      </c>
      <c r="AJ850" s="81"/>
      <c r="AK850" s="86" t="s">
        <v>2084</v>
      </c>
      <c r="AL850" s="81" t="b">
        <v>0</v>
      </c>
      <c r="AM850" s="81">
        <v>21</v>
      </c>
      <c r="AN850" s="86" t="s">
        <v>7358</v>
      </c>
      <c r="AO850" s="86" t="s">
        <v>2179</v>
      </c>
      <c r="AP850" s="81" t="b">
        <v>0</v>
      </c>
      <c r="AQ850" s="86" t="s">
        <v>7358</v>
      </c>
      <c r="AR850" s="81" t="s">
        <v>179</v>
      </c>
      <c r="AS850" s="81">
        <v>0</v>
      </c>
      <c r="AT850" s="81">
        <v>0</v>
      </c>
      <c r="AU850" s="81"/>
      <c r="AV850" s="81"/>
      <c r="AW850" s="81"/>
      <c r="AX850" s="81"/>
      <c r="AY850" s="81"/>
      <c r="AZ850" s="81"/>
      <c r="BA850" s="81"/>
      <c r="BB850" s="81"/>
    </row>
    <row r="851" spans="1:54" x14ac:dyDescent="0.35">
      <c r="A851" s="66" t="s">
        <v>4468</v>
      </c>
      <c r="B851" s="66" t="s">
        <v>5085</v>
      </c>
      <c r="C851" s="67"/>
      <c r="D851" s="68"/>
      <c r="E851" s="69"/>
      <c r="F851" s="70"/>
      <c r="G851" s="67"/>
      <c r="H851" s="71"/>
      <c r="I851" s="72"/>
      <c r="J851" s="72"/>
      <c r="K851" s="36"/>
      <c r="L851" s="79"/>
      <c r="M851" s="79"/>
      <c r="N851" s="74"/>
      <c r="O851" s="81" t="s">
        <v>695</v>
      </c>
      <c r="P851" s="83">
        <v>44464.158321759256</v>
      </c>
      <c r="Q851" s="81" t="s">
        <v>5435</v>
      </c>
      <c r="R85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851" s="81" t="s">
        <v>5686</v>
      </c>
      <c r="T851" s="81"/>
      <c r="U851" s="81"/>
      <c r="V851" s="84" t="str">
        <f>HYPERLINK("https://pbs.twimg.com/profile_images/1434706175908581377/xT3SNsgk_normal.jpg")</f>
        <v>https://pbs.twimg.com/profile_images/1434706175908581377/xT3SNsgk_normal.jpg</v>
      </c>
      <c r="W851" s="83">
        <v>44464.158321759256</v>
      </c>
      <c r="X851" s="89">
        <v>44464</v>
      </c>
      <c r="Y851" s="86" t="s">
        <v>6107</v>
      </c>
      <c r="Z851" s="84" t="str">
        <f>HYPERLINK("https://twitter.com/biar_amanda/status/1441610408054321159")</f>
        <v>https://twitter.com/biar_amanda/status/1441610408054321159</v>
      </c>
      <c r="AA851" s="81"/>
      <c r="AB851" s="81"/>
      <c r="AC851" s="86" t="s">
        <v>7013</v>
      </c>
      <c r="AD851" s="81"/>
      <c r="AE851" s="81" t="b">
        <v>0</v>
      </c>
      <c r="AF851" s="81">
        <v>0</v>
      </c>
      <c r="AG851" s="86" t="s">
        <v>2084</v>
      </c>
      <c r="AH851" s="81" t="b">
        <v>0</v>
      </c>
      <c r="AI851" s="81" t="s">
        <v>2173</v>
      </c>
      <c r="AJ851" s="81"/>
      <c r="AK851" s="86" t="s">
        <v>2084</v>
      </c>
      <c r="AL851" s="81" t="b">
        <v>0</v>
      </c>
      <c r="AM851" s="81">
        <v>21</v>
      </c>
      <c r="AN851" s="86" t="s">
        <v>7358</v>
      </c>
      <c r="AO851" s="86" t="s">
        <v>2179</v>
      </c>
      <c r="AP851" s="81" t="b">
        <v>0</v>
      </c>
      <c r="AQ851" s="86" t="s">
        <v>7358</v>
      </c>
      <c r="AR851" s="81" t="s">
        <v>179</v>
      </c>
      <c r="AS851" s="81">
        <v>0</v>
      </c>
      <c r="AT851" s="81">
        <v>0</v>
      </c>
      <c r="AU851" s="81"/>
      <c r="AV851" s="81"/>
      <c r="AW851" s="81"/>
      <c r="AX851" s="81"/>
      <c r="AY851" s="81"/>
      <c r="AZ851" s="81"/>
      <c r="BA851" s="81"/>
      <c r="BB851" s="81"/>
    </row>
    <row r="852" spans="1:54" x14ac:dyDescent="0.35">
      <c r="A852" s="66" t="s">
        <v>441</v>
      </c>
      <c r="B852" s="66" t="s">
        <v>441</v>
      </c>
      <c r="C852" s="67"/>
      <c r="D852" s="68"/>
      <c r="E852" s="69"/>
      <c r="F852" s="70"/>
      <c r="G852" s="67"/>
      <c r="H852" s="71"/>
      <c r="I852" s="72"/>
      <c r="J852" s="72"/>
      <c r="K852" s="36"/>
      <c r="L852" s="79"/>
      <c r="M852" s="79"/>
      <c r="N852" s="74"/>
      <c r="O852" s="81" t="s">
        <v>179</v>
      </c>
      <c r="P852" s="83">
        <v>44464.173125000001</v>
      </c>
      <c r="Q852" s="81" t="s">
        <v>805</v>
      </c>
      <c r="R852" s="84" t="str">
        <f>HYPERLINK("https://twitter.com/filmsforjin/status/1441614639947599873")</f>
        <v>https://twitter.com/filmsforjin/status/1441614639947599873</v>
      </c>
      <c r="S852" s="81" t="s">
        <v>936</v>
      </c>
      <c r="T852" s="81"/>
      <c r="U852" s="81"/>
      <c r="V852" s="84" t="str">
        <f>HYPERLINK("https://pbs.twimg.com/profile_images/1440242262101803019/CucQtg-J_normal.jpg")</f>
        <v>https://pbs.twimg.com/profile_images/1440242262101803019/CucQtg-J_normal.jpg</v>
      </c>
      <c r="W852" s="83">
        <v>44464.173125000001</v>
      </c>
      <c r="X852" s="89">
        <v>44464</v>
      </c>
      <c r="Y852" s="86" t="s">
        <v>1285</v>
      </c>
      <c r="Z852" s="84" t="str">
        <f>HYPERLINK("https://twitter.com/lunarwolfj/status/1441615769859608578")</f>
        <v>https://twitter.com/lunarwolfj/status/1441615769859608578</v>
      </c>
      <c r="AA852" s="81"/>
      <c r="AB852" s="81"/>
      <c r="AC852" s="86" t="s">
        <v>1780</v>
      </c>
      <c r="AD852" s="81"/>
      <c r="AE852" s="81" t="b">
        <v>0</v>
      </c>
      <c r="AF852" s="81">
        <v>6</v>
      </c>
      <c r="AG852" s="86" t="s">
        <v>2084</v>
      </c>
      <c r="AH852" s="81" t="b">
        <v>1</v>
      </c>
      <c r="AI852" s="81" t="s">
        <v>2167</v>
      </c>
      <c r="AJ852" s="81"/>
      <c r="AK852" s="86" t="s">
        <v>2176</v>
      </c>
      <c r="AL852" s="81" t="b">
        <v>0</v>
      </c>
      <c r="AM852" s="81">
        <v>0</v>
      </c>
      <c r="AN852" s="86" t="s">
        <v>2084</v>
      </c>
      <c r="AO852" s="86" t="s">
        <v>2178</v>
      </c>
      <c r="AP852" s="81" t="b">
        <v>0</v>
      </c>
      <c r="AQ852" s="86" t="s">
        <v>1780</v>
      </c>
      <c r="AR852" s="81" t="s">
        <v>179</v>
      </c>
      <c r="AS852" s="81">
        <v>0</v>
      </c>
      <c r="AT852" s="81">
        <v>0</v>
      </c>
      <c r="AU852" s="81"/>
      <c r="AV852" s="81"/>
      <c r="AW852" s="81"/>
      <c r="AX852" s="81"/>
      <c r="AY852" s="81"/>
      <c r="AZ852" s="81"/>
      <c r="BA852" s="81"/>
      <c r="BB852" s="81"/>
    </row>
    <row r="853" spans="1:54" x14ac:dyDescent="0.35">
      <c r="A853" s="66" t="s">
        <v>442</v>
      </c>
      <c r="B853" s="66" t="s">
        <v>650</v>
      </c>
      <c r="C853" s="67"/>
      <c r="D853" s="68"/>
      <c r="E853" s="69"/>
      <c r="F853" s="70"/>
      <c r="G853" s="67"/>
      <c r="H853" s="71"/>
      <c r="I853" s="72"/>
      <c r="J853" s="72"/>
      <c r="K853" s="36"/>
      <c r="L853" s="79"/>
      <c r="M853" s="79"/>
      <c r="N853" s="74"/>
      <c r="O853" s="81" t="s">
        <v>696</v>
      </c>
      <c r="P853" s="83">
        <v>44464.176157407404</v>
      </c>
      <c r="Q853" s="81" t="s">
        <v>806</v>
      </c>
      <c r="R853" s="81"/>
      <c r="S853" s="81"/>
      <c r="T853" s="81"/>
      <c r="U853" s="84" t="str">
        <f>HYPERLINK("https://pbs.twimg.com/media/FAGm5ngUcAgO-Vi.jpg")</f>
        <v>https://pbs.twimg.com/media/FAGm5ngUcAgO-Vi.jpg</v>
      </c>
      <c r="V853" s="84" t="str">
        <f>HYPERLINK("https://pbs.twimg.com/media/FAGm5ngUcAgO-Vi.jpg")</f>
        <v>https://pbs.twimg.com/media/FAGm5ngUcAgO-Vi.jpg</v>
      </c>
      <c r="W853" s="83">
        <v>44464.176157407404</v>
      </c>
      <c r="X853" s="89">
        <v>44464</v>
      </c>
      <c r="Y853" s="86" t="s">
        <v>1286</v>
      </c>
      <c r="Z853" s="84" t="str">
        <f>HYPERLINK("https://twitter.com/alyessamariani/status/1441616872147881989")</f>
        <v>https://twitter.com/alyessamariani/status/1441616872147881989</v>
      </c>
      <c r="AA853" s="81"/>
      <c r="AB853" s="81"/>
      <c r="AC853" s="86" t="s">
        <v>1781</v>
      </c>
      <c r="AD853" s="81"/>
      <c r="AE853" s="81" t="b">
        <v>0</v>
      </c>
      <c r="AF853" s="81">
        <v>0</v>
      </c>
      <c r="AG853" s="86" t="s">
        <v>2084</v>
      </c>
      <c r="AH853" s="81" t="b">
        <v>0</v>
      </c>
      <c r="AI853" s="81" t="s">
        <v>2167</v>
      </c>
      <c r="AJ853" s="81"/>
      <c r="AK853" s="86" t="s">
        <v>2084</v>
      </c>
      <c r="AL853" s="81" t="b">
        <v>0</v>
      </c>
      <c r="AM853" s="81">
        <v>0</v>
      </c>
      <c r="AN853" s="86" t="s">
        <v>2084</v>
      </c>
      <c r="AO853" s="86" t="s">
        <v>2178</v>
      </c>
      <c r="AP853" s="81" t="b">
        <v>0</v>
      </c>
      <c r="AQ853" s="86" t="s">
        <v>1781</v>
      </c>
      <c r="AR853" s="81" t="s">
        <v>179</v>
      </c>
      <c r="AS853" s="81">
        <v>0</v>
      </c>
      <c r="AT853" s="81">
        <v>0</v>
      </c>
      <c r="AU853" s="81"/>
      <c r="AV853" s="81"/>
      <c r="AW853" s="81"/>
      <c r="AX853" s="81"/>
      <c r="AY853" s="81"/>
      <c r="AZ853" s="81"/>
      <c r="BA853" s="81"/>
      <c r="BB853" s="81"/>
    </row>
    <row r="854" spans="1:54" x14ac:dyDescent="0.35">
      <c r="A854" s="66" t="s">
        <v>442</v>
      </c>
      <c r="B854" s="66" t="s">
        <v>651</v>
      </c>
      <c r="C854" s="67"/>
      <c r="D854" s="68"/>
      <c r="E854" s="69"/>
      <c r="F854" s="70"/>
      <c r="G854" s="67"/>
      <c r="H854" s="71"/>
      <c r="I854" s="72"/>
      <c r="J854" s="72"/>
      <c r="K854" s="36"/>
      <c r="L854" s="79"/>
      <c r="M854" s="79"/>
      <c r="N854" s="74"/>
      <c r="O854" s="81" t="s">
        <v>696</v>
      </c>
      <c r="P854" s="83">
        <v>44464.176157407404</v>
      </c>
      <c r="Q854" s="81" t="s">
        <v>806</v>
      </c>
      <c r="R854" s="81"/>
      <c r="S854" s="81"/>
      <c r="T854" s="81"/>
      <c r="U854" s="84" t="str">
        <f>HYPERLINK("https://pbs.twimg.com/media/FAGm5ngUcAgO-Vi.jpg")</f>
        <v>https://pbs.twimg.com/media/FAGm5ngUcAgO-Vi.jpg</v>
      </c>
      <c r="V854" s="84" t="str">
        <f>HYPERLINK("https://pbs.twimg.com/media/FAGm5ngUcAgO-Vi.jpg")</f>
        <v>https://pbs.twimg.com/media/FAGm5ngUcAgO-Vi.jpg</v>
      </c>
      <c r="W854" s="83">
        <v>44464.176157407404</v>
      </c>
      <c r="X854" s="89">
        <v>44464</v>
      </c>
      <c r="Y854" s="86" t="s">
        <v>1286</v>
      </c>
      <c r="Z854" s="84" t="str">
        <f>HYPERLINK("https://twitter.com/alyessamariani/status/1441616872147881989")</f>
        <v>https://twitter.com/alyessamariani/status/1441616872147881989</v>
      </c>
      <c r="AA854" s="81"/>
      <c r="AB854" s="81"/>
      <c r="AC854" s="86" t="s">
        <v>1781</v>
      </c>
      <c r="AD854" s="81"/>
      <c r="AE854" s="81" t="b">
        <v>0</v>
      </c>
      <c r="AF854" s="81">
        <v>0</v>
      </c>
      <c r="AG854" s="86" t="s">
        <v>2084</v>
      </c>
      <c r="AH854" s="81" t="b">
        <v>0</v>
      </c>
      <c r="AI854" s="81" t="s">
        <v>2167</v>
      </c>
      <c r="AJ854" s="81"/>
      <c r="AK854" s="86" t="s">
        <v>2084</v>
      </c>
      <c r="AL854" s="81" t="b">
        <v>0</v>
      </c>
      <c r="AM854" s="81">
        <v>0</v>
      </c>
      <c r="AN854" s="86" t="s">
        <v>2084</v>
      </c>
      <c r="AO854" s="86" t="s">
        <v>2178</v>
      </c>
      <c r="AP854" s="81" t="b">
        <v>0</v>
      </c>
      <c r="AQ854" s="86" t="s">
        <v>1781</v>
      </c>
      <c r="AR854" s="81" t="s">
        <v>179</v>
      </c>
      <c r="AS854" s="81">
        <v>0</v>
      </c>
      <c r="AT854" s="81">
        <v>0</v>
      </c>
      <c r="AU854" s="81"/>
      <c r="AV854" s="81"/>
      <c r="AW854" s="81"/>
      <c r="AX854" s="81"/>
      <c r="AY854" s="81"/>
      <c r="AZ854" s="81"/>
      <c r="BA854" s="81"/>
      <c r="BB854" s="81"/>
    </row>
    <row r="855" spans="1:54" x14ac:dyDescent="0.35">
      <c r="A855" s="66" t="s">
        <v>442</v>
      </c>
      <c r="B855" s="66" t="s">
        <v>652</v>
      </c>
      <c r="C855" s="67"/>
      <c r="D855" s="68"/>
      <c r="E855" s="69"/>
      <c r="F855" s="70"/>
      <c r="G855" s="67"/>
      <c r="H855" s="71"/>
      <c r="I855" s="72"/>
      <c r="J855" s="72"/>
      <c r="K855" s="36"/>
      <c r="L855" s="79"/>
      <c r="M855" s="79"/>
      <c r="N855" s="74"/>
      <c r="O855" s="81" t="s">
        <v>696</v>
      </c>
      <c r="P855" s="83">
        <v>44464.176157407404</v>
      </c>
      <c r="Q855" s="81" t="s">
        <v>806</v>
      </c>
      <c r="R855" s="81"/>
      <c r="S855" s="81"/>
      <c r="T855" s="81"/>
      <c r="U855" s="84" t="str">
        <f>HYPERLINK("https://pbs.twimg.com/media/FAGm5ngUcAgO-Vi.jpg")</f>
        <v>https://pbs.twimg.com/media/FAGm5ngUcAgO-Vi.jpg</v>
      </c>
      <c r="V855" s="84" t="str">
        <f>HYPERLINK("https://pbs.twimg.com/media/FAGm5ngUcAgO-Vi.jpg")</f>
        <v>https://pbs.twimg.com/media/FAGm5ngUcAgO-Vi.jpg</v>
      </c>
      <c r="W855" s="83">
        <v>44464.176157407404</v>
      </c>
      <c r="X855" s="89">
        <v>44464</v>
      </c>
      <c r="Y855" s="86" t="s">
        <v>1286</v>
      </c>
      <c r="Z855" s="84" t="str">
        <f>HYPERLINK("https://twitter.com/alyessamariani/status/1441616872147881989")</f>
        <v>https://twitter.com/alyessamariani/status/1441616872147881989</v>
      </c>
      <c r="AA855" s="81"/>
      <c r="AB855" s="81"/>
      <c r="AC855" s="86" t="s">
        <v>1781</v>
      </c>
      <c r="AD855" s="81"/>
      <c r="AE855" s="81" t="b">
        <v>0</v>
      </c>
      <c r="AF855" s="81">
        <v>0</v>
      </c>
      <c r="AG855" s="86" t="s">
        <v>2084</v>
      </c>
      <c r="AH855" s="81" t="b">
        <v>0</v>
      </c>
      <c r="AI855" s="81" t="s">
        <v>2167</v>
      </c>
      <c r="AJ855" s="81"/>
      <c r="AK855" s="86" t="s">
        <v>2084</v>
      </c>
      <c r="AL855" s="81" t="b">
        <v>0</v>
      </c>
      <c r="AM855" s="81">
        <v>0</v>
      </c>
      <c r="AN855" s="86" t="s">
        <v>2084</v>
      </c>
      <c r="AO855" s="86" t="s">
        <v>2178</v>
      </c>
      <c r="AP855" s="81" t="b">
        <v>0</v>
      </c>
      <c r="AQ855" s="86" t="s">
        <v>1781</v>
      </c>
      <c r="AR855" s="81" t="s">
        <v>179</v>
      </c>
      <c r="AS855" s="81">
        <v>0</v>
      </c>
      <c r="AT855" s="81">
        <v>0</v>
      </c>
      <c r="AU855" s="81"/>
      <c r="AV855" s="81"/>
      <c r="AW855" s="81"/>
      <c r="AX855" s="81"/>
      <c r="AY855" s="81"/>
      <c r="AZ855" s="81"/>
      <c r="BA855" s="81"/>
      <c r="BB855" s="81"/>
    </row>
    <row r="856" spans="1:54" x14ac:dyDescent="0.35">
      <c r="A856" s="66" t="s">
        <v>442</v>
      </c>
      <c r="B856" s="66" t="s">
        <v>653</v>
      </c>
      <c r="C856" s="67"/>
      <c r="D856" s="68"/>
      <c r="E856" s="69"/>
      <c r="F856" s="70"/>
      <c r="G856" s="67"/>
      <c r="H856" s="71"/>
      <c r="I856" s="72"/>
      <c r="J856" s="72"/>
      <c r="K856" s="36"/>
      <c r="L856" s="79"/>
      <c r="M856" s="79"/>
      <c r="N856" s="74"/>
      <c r="O856" s="81" t="s">
        <v>696</v>
      </c>
      <c r="P856" s="83">
        <v>44464.176157407404</v>
      </c>
      <c r="Q856" s="81" t="s">
        <v>806</v>
      </c>
      <c r="R856" s="81"/>
      <c r="S856" s="81"/>
      <c r="T856" s="81"/>
      <c r="U856" s="84" t="str">
        <f>HYPERLINK("https://pbs.twimg.com/media/FAGm5ngUcAgO-Vi.jpg")</f>
        <v>https://pbs.twimg.com/media/FAGm5ngUcAgO-Vi.jpg</v>
      </c>
      <c r="V856" s="84" t="str">
        <f>HYPERLINK("https://pbs.twimg.com/media/FAGm5ngUcAgO-Vi.jpg")</f>
        <v>https://pbs.twimg.com/media/FAGm5ngUcAgO-Vi.jpg</v>
      </c>
      <c r="W856" s="83">
        <v>44464.176157407404</v>
      </c>
      <c r="X856" s="89">
        <v>44464</v>
      </c>
      <c r="Y856" s="86" t="s">
        <v>1286</v>
      </c>
      <c r="Z856" s="84" t="str">
        <f>HYPERLINK("https://twitter.com/alyessamariani/status/1441616872147881989")</f>
        <v>https://twitter.com/alyessamariani/status/1441616872147881989</v>
      </c>
      <c r="AA856" s="81"/>
      <c r="AB856" s="81"/>
      <c r="AC856" s="86" t="s">
        <v>1781</v>
      </c>
      <c r="AD856" s="81"/>
      <c r="AE856" s="81" t="b">
        <v>0</v>
      </c>
      <c r="AF856" s="81">
        <v>0</v>
      </c>
      <c r="AG856" s="86" t="s">
        <v>2084</v>
      </c>
      <c r="AH856" s="81" t="b">
        <v>0</v>
      </c>
      <c r="AI856" s="81" t="s">
        <v>2167</v>
      </c>
      <c r="AJ856" s="81"/>
      <c r="AK856" s="86" t="s">
        <v>2084</v>
      </c>
      <c r="AL856" s="81" t="b">
        <v>0</v>
      </c>
      <c r="AM856" s="81">
        <v>0</v>
      </c>
      <c r="AN856" s="86" t="s">
        <v>2084</v>
      </c>
      <c r="AO856" s="86" t="s">
        <v>2178</v>
      </c>
      <c r="AP856" s="81" t="b">
        <v>0</v>
      </c>
      <c r="AQ856" s="86" t="s">
        <v>1781</v>
      </c>
      <c r="AR856" s="81" t="s">
        <v>179</v>
      </c>
      <c r="AS856" s="81">
        <v>0</v>
      </c>
      <c r="AT856" s="81">
        <v>0</v>
      </c>
      <c r="AU856" s="81"/>
      <c r="AV856" s="81"/>
      <c r="AW856" s="81"/>
      <c r="AX856" s="81"/>
      <c r="AY856" s="81"/>
      <c r="AZ856" s="81"/>
      <c r="BA856" s="81"/>
      <c r="BB856" s="81"/>
    </row>
    <row r="857" spans="1:54" x14ac:dyDescent="0.35">
      <c r="A857" s="66" t="s">
        <v>442</v>
      </c>
      <c r="B857" s="66" t="s">
        <v>654</v>
      </c>
      <c r="C857" s="67"/>
      <c r="D857" s="68"/>
      <c r="E857" s="69"/>
      <c r="F857" s="70"/>
      <c r="G857" s="67"/>
      <c r="H857" s="71"/>
      <c r="I857" s="72"/>
      <c r="J857" s="72"/>
      <c r="K857" s="36"/>
      <c r="L857" s="79"/>
      <c r="M857" s="79"/>
      <c r="N857" s="74"/>
      <c r="O857" s="81" t="s">
        <v>696</v>
      </c>
      <c r="P857" s="83">
        <v>44464.176157407404</v>
      </c>
      <c r="Q857" s="81" t="s">
        <v>806</v>
      </c>
      <c r="R857" s="81"/>
      <c r="S857" s="81"/>
      <c r="T857" s="81"/>
      <c r="U857" s="84" t="str">
        <f>HYPERLINK("https://pbs.twimg.com/media/FAGm5ngUcAgO-Vi.jpg")</f>
        <v>https://pbs.twimg.com/media/FAGm5ngUcAgO-Vi.jpg</v>
      </c>
      <c r="V857" s="84" t="str">
        <f>HYPERLINK("https://pbs.twimg.com/media/FAGm5ngUcAgO-Vi.jpg")</f>
        <v>https://pbs.twimg.com/media/FAGm5ngUcAgO-Vi.jpg</v>
      </c>
      <c r="W857" s="83">
        <v>44464.176157407404</v>
      </c>
      <c r="X857" s="89">
        <v>44464</v>
      </c>
      <c r="Y857" s="86" t="s">
        <v>1286</v>
      </c>
      <c r="Z857" s="84" t="str">
        <f>HYPERLINK("https://twitter.com/alyessamariani/status/1441616872147881989")</f>
        <v>https://twitter.com/alyessamariani/status/1441616872147881989</v>
      </c>
      <c r="AA857" s="81"/>
      <c r="AB857" s="81"/>
      <c r="AC857" s="86" t="s">
        <v>1781</v>
      </c>
      <c r="AD857" s="81"/>
      <c r="AE857" s="81" t="b">
        <v>0</v>
      </c>
      <c r="AF857" s="81">
        <v>0</v>
      </c>
      <c r="AG857" s="86" t="s">
        <v>2084</v>
      </c>
      <c r="AH857" s="81" t="b">
        <v>0</v>
      </c>
      <c r="AI857" s="81" t="s">
        <v>2167</v>
      </c>
      <c r="AJ857" s="81"/>
      <c r="AK857" s="86" t="s">
        <v>2084</v>
      </c>
      <c r="AL857" s="81" t="b">
        <v>0</v>
      </c>
      <c r="AM857" s="81">
        <v>0</v>
      </c>
      <c r="AN857" s="86" t="s">
        <v>2084</v>
      </c>
      <c r="AO857" s="86" t="s">
        <v>2178</v>
      </c>
      <c r="AP857" s="81" t="b">
        <v>0</v>
      </c>
      <c r="AQ857" s="86" t="s">
        <v>1781</v>
      </c>
      <c r="AR857" s="81" t="s">
        <v>179</v>
      </c>
      <c r="AS857" s="81">
        <v>0</v>
      </c>
      <c r="AT857" s="81">
        <v>0</v>
      </c>
      <c r="AU857" s="81"/>
      <c r="AV857" s="81"/>
      <c r="AW857" s="81"/>
      <c r="AX857" s="81"/>
      <c r="AY857" s="81"/>
      <c r="AZ857" s="81"/>
      <c r="BA857" s="81"/>
      <c r="BB857" s="81"/>
    </row>
    <row r="858" spans="1:54" x14ac:dyDescent="0.35">
      <c r="A858" s="66" t="s">
        <v>442</v>
      </c>
      <c r="B858" s="66" t="s">
        <v>655</v>
      </c>
      <c r="C858" s="67"/>
      <c r="D858" s="68"/>
      <c r="E858" s="69"/>
      <c r="F858" s="70"/>
      <c r="G858" s="67"/>
      <c r="H858" s="71"/>
      <c r="I858" s="72"/>
      <c r="J858" s="72"/>
      <c r="K858" s="36"/>
      <c r="L858" s="79"/>
      <c r="M858" s="79"/>
      <c r="N858" s="74"/>
      <c r="O858" s="81" t="s">
        <v>696</v>
      </c>
      <c r="P858" s="83">
        <v>44464.176157407404</v>
      </c>
      <c r="Q858" s="81" t="s">
        <v>806</v>
      </c>
      <c r="R858" s="81"/>
      <c r="S858" s="81"/>
      <c r="T858" s="81"/>
      <c r="U858" s="84" t="str">
        <f>HYPERLINK("https://pbs.twimg.com/media/FAGm5ngUcAgO-Vi.jpg")</f>
        <v>https://pbs.twimg.com/media/FAGm5ngUcAgO-Vi.jpg</v>
      </c>
      <c r="V858" s="84" t="str">
        <f>HYPERLINK("https://pbs.twimg.com/media/FAGm5ngUcAgO-Vi.jpg")</f>
        <v>https://pbs.twimg.com/media/FAGm5ngUcAgO-Vi.jpg</v>
      </c>
      <c r="W858" s="83">
        <v>44464.176157407404</v>
      </c>
      <c r="X858" s="89">
        <v>44464</v>
      </c>
      <c r="Y858" s="86" t="s">
        <v>1286</v>
      </c>
      <c r="Z858" s="84" t="str">
        <f>HYPERLINK("https://twitter.com/alyessamariani/status/1441616872147881989")</f>
        <v>https://twitter.com/alyessamariani/status/1441616872147881989</v>
      </c>
      <c r="AA858" s="81"/>
      <c r="AB858" s="81"/>
      <c r="AC858" s="86" t="s">
        <v>1781</v>
      </c>
      <c r="AD858" s="81"/>
      <c r="AE858" s="81" t="b">
        <v>0</v>
      </c>
      <c r="AF858" s="81">
        <v>0</v>
      </c>
      <c r="AG858" s="86" t="s">
        <v>2084</v>
      </c>
      <c r="AH858" s="81" t="b">
        <v>0</v>
      </c>
      <c r="AI858" s="81" t="s">
        <v>2167</v>
      </c>
      <c r="AJ858" s="81"/>
      <c r="AK858" s="86" t="s">
        <v>2084</v>
      </c>
      <c r="AL858" s="81" t="b">
        <v>0</v>
      </c>
      <c r="AM858" s="81">
        <v>0</v>
      </c>
      <c r="AN858" s="86" t="s">
        <v>2084</v>
      </c>
      <c r="AO858" s="86" t="s">
        <v>2178</v>
      </c>
      <c r="AP858" s="81" t="b">
        <v>0</v>
      </c>
      <c r="AQ858" s="86" t="s">
        <v>1781</v>
      </c>
      <c r="AR858" s="81" t="s">
        <v>179</v>
      </c>
      <c r="AS858" s="81">
        <v>0</v>
      </c>
      <c r="AT858" s="81">
        <v>0</v>
      </c>
      <c r="AU858" s="81"/>
      <c r="AV858" s="81"/>
      <c r="AW858" s="81"/>
      <c r="AX858" s="81"/>
      <c r="AY858" s="81"/>
      <c r="AZ858" s="81"/>
      <c r="BA858" s="81"/>
      <c r="BB858" s="81"/>
    </row>
    <row r="859" spans="1:54" x14ac:dyDescent="0.35">
      <c r="A859" s="66" t="s">
        <v>4469</v>
      </c>
      <c r="B859" s="66" t="s">
        <v>5086</v>
      </c>
      <c r="C859" s="67"/>
      <c r="D859" s="68"/>
      <c r="E859" s="69"/>
      <c r="F859" s="70"/>
      <c r="G859" s="67"/>
      <c r="H859" s="71"/>
      <c r="I859" s="72"/>
      <c r="J859" s="72"/>
      <c r="K859" s="36"/>
      <c r="L859" s="79"/>
      <c r="M859" s="79"/>
      <c r="N859" s="74"/>
      <c r="O859" s="81" t="s">
        <v>695</v>
      </c>
      <c r="P859" s="83">
        <v>44464.185231481482</v>
      </c>
      <c r="Q859" s="81" t="s">
        <v>5442</v>
      </c>
      <c r="R859" s="81"/>
      <c r="S859" s="81"/>
      <c r="T859" s="81"/>
      <c r="U859" s="81"/>
      <c r="V859" s="84" t="str">
        <f>HYPERLINK("https://pbs.twimg.com/profile_images/1432870052995473414/bNqfPuCJ_normal.jpg")</f>
        <v>https://pbs.twimg.com/profile_images/1432870052995473414/bNqfPuCJ_normal.jpg</v>
      </c>
      <c r="W859" s="83">
        <v>44464.185231481482</v>
      </c>
      <c r="X859" s="89">
        <v>44464</v>
      </c>
      <c r="Y859" s="86" t="s">
        <v>6108</v>
      </c>
      <c r="Z859" s="84" t="str">
        <f>HYPERLINK("https://twitter.com/luisamrgarcia/status/1441620159798538241")</f>
        <v>https://twitter.com/luisamrgarcia/status/1441620159798538241</v>
      </c>
      <c r="AA859" s="81"/>
      <c r="AB859" s="81"/>
      <c r="AC859" s="86" t="s">
        <v>7014</v>
      </c>
      <c r="AD859" s="86" t="s">
        <v>7683</v>
      </c>
      <c r="AE859" s="81" t="b">
        <v>0</v>
      </c>
      <c r="AF859" s="81">
        <v>0</v>
      </c>
      <c r="AG859" s="86" t="s">
        <v>7860</v>
      </c>
      <c r="AH859" s="81" t="b">
        <v>0</v>
      </c>
      <c r="AI859" s="81" t="s">
        <v>2171</v>
      </c>
      <c r="AJ859" s="81"/>
      <c r="AK859" s="86" t="s">
        <v>2084</v>
      </c>
      <c r="AL859" s="81" t="b">
        <v>0</v>
      </c>
      <c r="AM859" s="81">
        <v>0</v>
      </c>
      <c r="AN859" s="86" t="s">
        <v>2084</v>
      </c>
      <c r="AO859" s="86" t="s">
        <v>2178</v>
      </c>
      <c r="AP859" s="81" t="b">
        <v>0</v>
      </c>
      <c r="AQ859" s="86" t="s">
        <v>7683</v>
      </c>
      <c r="AR859" s="81" t="s">
        <v>179</v>
      </c>
      <c r="AS859" s="81">
        <v>0</v>
      </c>
      <c r="AT859" s="81">
        <v>0</v>
      </c>
      <c r="AU859" s="81"/>
      <c r="AV859" s="81"/>
      <c r="AW859" s="81"/>
      <c r="AX859" s="81"/>
      <c r="AY859" s="81"/>
      <c r="AZ859" s="81"/>
      <c r="BA859" s="81"/>
      <c r="BB859" s="81"/>
    </row>
    <row r="860" spans="1:54" x14ac:dyDescent="0.35">
      <c r="A860" s="66" t="s">
        <v>533</v>
      </c>
      <c r="B860" s="66" t="s">
        <v>533</v>
      </c>
      <c r="C860" s="67"/>
      <c r="D860" s="68"/>
      <c r="E860" s="69"/>
      <c r="F860" s="70"/>
      <c r="G860" s="67"/>
      <c r="H860" s="71"/>
      <c r="I860" s="72"/>
      <c r="J860" s="72"/>
      <c r="K860" s="36"/>
      <c r="L860" s="79"/>
      <c r="M860" s="79"/>
      <c r="N860" s="74"/>
      <c r="O860" s="81" t="s">
        <v>179</v>
      </c>
      <c r="P860" s="83">
        <v>44461.177094907405</v>
      </c>
      <c r="Q860" s="81" t="s">
        <v>871</v>
      </c>
      <c r="R860" s="81"/>
      <c r="S860" s="81"/>
      <c r="T860" s="86" t="s">
        <v>995</v>
      </c>
      <c r="U860" s="81"/>
      <c r="V860" s="84" t="str">
        <f>HYPERLINK("https://pbs.twimg.com/profile_images/1429390876141182976/A7VJh4dT_normal.jpg")</f>
        <v>https://pbs.twimg.com/profile_images/1429390876141182976/A7VJh4dT_normal.jpg</v>
      </c>
      <c r="W860" s="83">
        <v>44461.177094907405</v>
      </c>
      <c r="X860" s="89">
        <v>44461</v>
      </c>
      <c r="Y860" s="86" t="s">
        <v>1412</v>
      </c>
      <c r="Z860" s="84" t="str">
        <f>HYPERLINK("https://twitter.com/samsatdigital/status/1440530047199158273")</f>
        <v>https://twitter.com/samsatdigital/status/1440530047199158273</v>
      </c>
      <c r="AA860" s="81"/>
      <c r="AB860" s="81"/>
      <c r="AC860" s="86" t="s">
        <v>1910</v>
      </c>
      <c r="AD860" s="81"/>
      <c r="AE860" s="81" t="b">
        <v>0</v>
      </c>
      <c r="AF860" s="81">
        <v>0</v>
      </c>
      <c r="AG860" s="86" t="s">
        <v>2084</v>
      </c>
      <c r="AH860" s="81" t="b">
        <v>0</v>
      </c>
      <c r="AI860" s="81" t="s">
        <v>2167</v>
      </c>
      <c r="AJ860" s="81"/>
      <c r="AK860" s="86" t="s">
        <v>2084</v>
      </c>
      <c r="AL860" s="81" t="b">
        <v>0</v>
      </c>
      <c r="AM860" s="81">
        <v>0</v>
      </c>
      <c r="AN860" s="86" t="s">
        <v>2084</v>
      </c>
      <c r="AO860" s="86" t="s">
        <v>2191</v>
      </c>
      <c r="AP860" s="81" t="b">
        <v>0</v>
      </c>
      <c r="AQ860" s="86" t="s">
        <v>1910</v>
      </c>
      <c r="AR860" s="81" t="s">
        <v>179</v>
      </c>
      <c r="AS860" s="81">
        <v>0</v>
      </c>
      <c r="AT860" s="81">
        <v>0</v>
      </c>
      <c r="AU860" s="81"/>
      <c r="AV860" s="81"/>
      <c r="AW860" s="81"/>
      <c r="AX860" s="81"/>
      <c r="AY860" s="81"/>
      <c r="AZ860" s="81"/>
      <c r="BA860" s="81"/>
      <c r="BB860" s="81"/>
    </row>
    <row r="861" spans="1:54" x14ac:dyDescent="0.35">
      <c r="A861" s="66" t="s">
        <v>533</v>
      </c>
      <c r="B861" s="66" t="s">
        <v>533</v>
      </c>
      <c r="C861" s="67"/>
      <c r="D861" s="68"/>
      <c r="E861" s="69"/>
      <c r="F861" s="70"/>
      <c r="G861" s="67"/>
      <c r="H861" s="71"/>
      <c r="I861" s="72"/>
      <c r="J861" s="72"/>
      <c r="K861" s="36"/>
      <c r="L861" s="79"/>
      <c r="M861" s="79"/>
      <c r="N861" s="74"/>
      <c r="O861" s="81" t="s">
        <v>179</v>
      </c>
      <c r="P861" s="83">
        <v>44464.187523148146</v>
      </c>
      <c r="Q861" s="81" t="s">
        <v>872</v>
      </c>
      <c r="R861" s="81"/>
      <c r="S861" s="81"/>
      <c r="T861" s="81"/>
      <c r="U861" s="81"/>
      <c r="V861" s="84" t="str">
        <f>HYPERLINK("https://pbs.twimg.com/profile_images/1429390876141182976/A7VJh4dT_normal.jpg")</f>
        <v>https://pbs.twimg.com/profile_images/1429390876141182976/A7VJh4dT_normal.jpg</v>
      </c>
      <c r="W861" s="83">
        <v>44464.187523148146</v>
      </c>
      <c r="X861" s="89">
        <v>44464</v>
      </c>
      <c r="Y861" s="86" t="s">
        <v>1413</v>
      </c>
      <c r="Z861" s="84" t="str">
        <f>HYPERLINK("https://twitter.com/samsatdigital/status/1441620989071216644")</f>
        <v>https://twitter.com/samsatdigital/status/1441620989071216644</v>
      </c>
      <c r="AA861" s="81"/>
      <c r="AB861" s="81"/>
      <c r="AC861" s="86" t="s">
        <v>1911</v>
      </c>
      <c r="AD861" s="81"/>
      <c r="AE861" s="81" t="b">
        <v>0</v>
      </c>
      <c r="AF861" s="81">
        <v>0</v>
      </c>
      <c r="AG861" s="86" t="s">
        <v>2084</v>
      </c>
      <c r="AH861" s="81" t="b">
        <v>0</v>
      </c>
      <c r="AI861" s="81" t="s">
        <v>2167</v>
      </c>
      <c r="AJ861" s="81"/>
      <c r="AK861" s="86" t="s">
        <v>2084</v>
      </c>
      <c r="AL861" s="81" t="b">
        <v>0</v>
      </c>
      <c r="AM861" s="81">
        <v>0</v>
      </c>
      <c r="AN861" s="86" t="s">
        <v>2084</v>
      </c>
      <c r="AO861" s="86" t="s">
        <v>2191</v>
      </c>
      <c r="AP861" s="81" t="b">
        <v>0</v>
      </c>
      <c r="AQ861" s="86" t="s">
        <v>1911</v>
      </c>
      <c r="AR861" s="81" t="s">
        <v>179</v>
      </c>
      <c r="AS861" s="81">
        <v>0</v>
      </c>
      <c r="AT861" s="81">
        <v>0</v>
      </c>
      <c r="AU861" s="81"/>
      <c r="AV861" s="81"/>
      <c r="AW861" s="81"/>
      <c r="AX861" s="81"/>
      <c r="AY861" s="81"/>
      <c r="AZ861" s="81"/>
      <c r="BA861" s="81"/>
      <c r="BB861" s="81"/>
    </row>
    <row r="862" spans="1:54" x14ac:dyDescent="0.35">
      <c r="A862" s="66" t="s">
        <v>443</v>
      </c>
      <c r="B862" s="66" t="s">
        <v>646</v>
      </c>
      <c r="C862" s="67"/>
      <c r="D862" s="68"/>
      <c r="E862" s="69"/>
      <c r="F862" s="70"/>
      <c r="G862" s="67"/>
      <c r="H862" s="71"/>
      <c r="I862" s="72"/>
      <c r="J862" s="72"/>
      <c r="K862" s="36"/>
      <c r="L862" s="79"/>
      <c r="M862" s="79"/>
      <c r="N862" s="74"/>
      <c r="O862" s="81" t="s">
        <v>694</v>
      </c>
      <c r="P862" s="83">
        <v>44464.189814814818</v>
      </c>
      <c r="Q862" s="81" t="s">
        <v>804</v>
      </c>
      <c r="R862" s="81"/>
      <c r="S862" s="81"/>
      <c r="T862" s="86" t="s">
        <v>649</v>
      </c>
      <c r="U862" s="84" t="str">
        <f>HYPERLINK("https://pbs.twimg.com/media/FAEaAdPVgAgaH2z.jpg")</f>
        <v>https://pbs.twimg.com/media/FAEaAdPVgAgaH2z.jpg</v>
      </c>
      <c r="V862" s="84" t="str">
        <f>HYPERLINK("https://pbs.twimg.com/media/FAEaAdPVgAgaH2z.jpg")</f>
        <v>https://pbs.twimg.com/media/FAEaAdPVgAgaH2z.jpg</v>
      </c>
      <c r="W862" s="83">
        <v>44464.189814814818</v>
      </c>
      <c r="X862" s="89">
        <v>44464</v>
      </c>
      <c r="Y862" s="86" t="s">
        <v>1287</v>
      </c>
      <c r="Z862" s="84" t="str">
        <f>HYPERLINK("https://twitter.com/wintervecember_/status/1441621820512243714")</f>
        <v>https://twitter.com/wintervecember_/status/1441621820512243714</v>
      </c>
      <c r="AA862" s="81"/>
      <c r="AB862" s="81"/>
      <c r="AC862" s="86" t="s">
        <v>1782</v>
      </c>
      <c r="AD862" s="81"/>
      <c r="AE862" s="81" t="b">
        <v>0</v>
      </c>
      <c r="AF862" s="81">
        <v>0</v>
      </c>
      <c r="AG862" s="86" t="s">
        <v>2084</v>
      </c>
      <c r="AH862" s="81" t="b">
        <v>0</v>
      </c>
      <c r="AI862" s="81" t="s">
        <v>2168</v>
      </c>
      <c r="AJ862" s="81"/>
      <c r="AK862" s="86" t="s">
        <v>2084</v>
      </c>
      <c r="AL862" s="81" t="b">
        <v>0</v>
      </c>
      <c r="AM862" s="81">
        <v>22</v>
      </c>
      <c r="AN862" s="86" t="s">
        <v>1846</v>
      </c>
      <c r="AO862" s="86" t="s">
        <v>2179</v>
      </c>
      <c r="AP862" s="81" t="b">
        <v>0</v>
      </c>
      <c r="AQ862" s="86" t="s">
        <v>1846</v>
      </c>
      <c r="AR862" s="81" t="s">
        <v>179</v>
      </c>
      <c r="AS862" s="81">
        <v>0</v>
      </c>
      <c r="AT862" s="81">
        <v>0</v>
      </c>
      <c r="AU862" s="81"/>
      <c r="AV862" s="81"/>
      <c r="AW862" s="81"/>
      <c r="AX862" s="81"/>
      <c r="AY862" s="81"/>
      <c r="AZ862" s="81"/>
      <c r="BA862" s="81"/>
      <c r="BB862" s="81"/>
    </row>
    <row r="863" spans="1:54" x14ac:dyDescent="0.35">
      <c r="A863" s="66" t="s">
        <v>443</v>
      </c>
      <c r="B863" s="66" t="s">
        <v>647</v>
      </c>
      <c r="C863" s="67"/>
      <c r="D863" s="68"/>
      <c r="E863" s="69"/>
      <c r="F863" s="70"/>
      <c r="G863" s="67"/>
      <c r="H863" s="71"/>
      <c r="I863" s="72"/>
      <c r="J863" s="72"/>
      <c r="K863" s="36"/>
      <c r="L863" s="79"/>
      <c r="M863" s="79"/>
      <c r="N863" s="74"/>
      <c r="O863" s="81" t="s">
        <v>694</v>
      </c>
      <c r="P863" s="83">
        <v>44464.189814814818</v>
      </c>
      <c r="Q863" s="81" t="s">
        <v>804</v>
      </c>
      <c r="R863" s="81"/>
      <c r="S863" s="81"/>
      <c r="T863" s="86" t="s">
        <v>649</v>
      </c>
      <c r="U863" s="84" t="str">
        <f>HYPERLINK("https://pbs.twimg.com/media/FAEaAdPVgAgaH2z.jpg")</f>
        <v>https://pbs.twimg.com/media/FAEaAdPVgAgaH2z.jpg</v>
      </c>
      <c r="V863" s="84" t="str">
        <f>HYPERLINK("https://pbs.twimg.com/media/FAEaAdPVgAgaH2z.jpg")</f>
        <v>https://pbs.twimg.com/media/FAEaAdPVgAgaH2z.jpg</v>
      </c>
      <c r="W863" s="83">
        <v>44464.189814814818</v>
      </c>
      <c r="X863" s="89">
        <v>44464</v>
      </c>
      <c r="Y863" s="86" t="s">
        <v>1287</v>
      </c>
      <c r="Z863" s="84" t="str">
        <f>HYPERLINK("https://twitter.com/wintervecember_/status/1441621820512243714")</f>
        <v>https://twitter.com/wintervecember_/status/1441621820512243714</v>
      </c>
      <c r="AA863" s="81"/>
      <c r="AB863" s="81"/>
      <c r="AC863" s="86" t="s">
        <v>1782</v>
      </c>
      <c r="AD863" s="81"/>
      <c r="AE863" s="81" t="b">
        <v>0</v>
      </c>
      <c r="AF863" s="81">
        <v>0</v>
      </c>
      <c r="AG863" s="86" t="s">
        <v>2084</v>
      </c>
      <c r="AH863" s="81" t="b">
        <v>0</v>
      </c>
      <c r="AI863" s="81" t="s">
        <v>2168</v>
      </c>
      <c r="AJ863" s="81"/>
      <c r="AK863" s="86" t="s">
        <v>2084</v>
      </c>
      <c r="AL863" s="81" t="b">
        <v>0</v>
      </c>
      <c r="AM863" s="81">
        <v>22</v>
      </c>
      <c r="AN863" s="86" t="s">
        <v>1846</v>
      </c>
      <c r="AO863" s="86" t="s">
        <v>2179</v>
      </c>
      <c r="AP863" s="81" t="b">
        <v>0</v>
      </c>
      <c r="AQ863" s="86" t="s">
        <v>1846</v>
      </c>
      <c r="AR863" s="81" t="s">
        <v>179</v>
      </c>
      <c r="AS863" s="81">
        <v>0</v>
      </c>
      <c r="AT863" s="81">
        <v>0</v>
      </c>
      <c r="AU863" s="81"/>
      <c r="AV863" s="81"/>
      <c r="AW863" s="81"/>
      <c r="AX863" s="81"/>
      <c r="AY863" s="81"/>
      <c r="AZ863" s="81"/>
      <c r="BA863" s="81"/>
      <c r="BB863" s="81"/>
    </row>
    <row r="864" spans="1:54" x14ac:dyDescent="0.35">
      <c r="A864" s="66" t="s">
        <v>443</v>
      </c>
      <c r="B864" s="66" t="s">
        <v>648</v>
      </c>
      <c r="C864" s="67"/>
      <c r="D864" s="68"/>
      <c r="E864" s="69"/>
      <c r="F864" s="70"/>
      <c r="G864" s="67"/>
      <c r="H864" s="71"/>
      <c r="I864" s="72"/>
      <c r="J864" s="72"/>
      <c r="K864" s="36"/>
      <c r="L864" s="79"/>
      <c r="M864" s="79"/>
      <c r="N864" s="74"/>
      <c r="O864" s="81" t="s">
        <v>694</v>
      </c>
      <c r="P864" s="83">
        <v>44464.189814814818</v>
      </c>
      <c r="Q864" s="81" t="s">
        <v>804</v>
      </c>
      <c r="R864" s="81"/>
      <c r="S864" s="81"/>
      <c r="T864" s="86" t="s">
        <v>649</v>
      </c>
      <c r="U864" s="84" t="str">
        <f>HYPERLINK("https://pbs.twimg.com/media/FAEaAdPVgAgaH2z.jpg")</f>
        <v>https://pbs.twimg.com/media/FAEaAdPVgAgaH2z.jpg</v>
      </c>
      <c r="V864" s="84" t="str">
        <f>HYPERLINK("https://pbs.twimg.com/media/FAEaAdPVgAgaH2z.jpg")</f>
        <v>https://pbs.twimg.com/media/FAEaAdPVgAgaH2z.jpg</v>
      </c>
      <c r="W864" s="83">
        <v>44464.189814814818</v>
      </c>
      <c r="X864" s="89">
        <v>44464</v>
      </c>
      <c r="Y864" s="86" t="s">
        <v>1287</v>
      </c>
      <c r="Z864" s="84" t="str">
        <f>HYPERLINK("https://twitter.com/wintervecember_/status/1441621820512243714")</f>
        <v>https://twitter.com/wintervecember_/status/1441621820512243714</v>
      </c>
      <c r="AA864" s="81"/>
      <c r="AB864" s="81"/>
      <c r="AC864" s="86" t="s">
        <v>1782</v>
      </c>
      <c r="AD864" s="81"/>
      <c r="AE864" s="81" t="b">
        <v>0</v>
      </c>
      <c r="AF864" s="81">
        <v>0</v>
      </c>
      <c r="AG864" s="86" t="s">
        <v>2084</v>
      </c>
      <c r="AH864" s="81" t="b">
        <v>0</v>
      </c>
      <c r="AI864" s="81" t="s">
        <v>2168</v>
      </c>
      <c r="AJ864" s="81"/>
      <c r="AK864" s="86" t="s">
        <v>2084</v>
      </c>
      <c r="AL864" s="81" t="b">
        <v>0</v>
      </c>
      <c r="AM864" s="81">
        <v>22</v>
      </c>
      <c r="AN864" s="86" t="s">
        <v>1846</v>
      </c>
      <c r="AO864" s="86" t="s">
        <v>2179</v>
      </c>
      <c r="AP864" s="81" t="b">
        <v>0</v>
      </c>
      <c r="AQ864" s="86" t="s">
        <v>1846</v>
      </c>
      <c r="AR864" s="81" t="s">
        <v>179</v>
      </c>
      <c r="AS864" s="81">
        <v>0</v>
      </c>
      <c r="AT864" s="81">
        <v>0</v>
      </c>
      <c r="AU864" s="81"/>
      <c r="AV864" s="81"/>
      <c r="AW864" s="81"/>
      <c r="AX864" s="81"/>
      <c r="AY864" s="81"/>
      <c r="AZ864" s="81"/>
      <c r="BA864" s="81"/>
      <c r="BB864" s="81"/>
    </row>
    <row r="865" spans="1:54" x14ac:dyDescent="0.35">
      <c r="A865" s="66" t="s">
        <v>443</v>
      </c>
      <c r="B865" s="66" t="s">
        <v>649</v>
      </c>
      <c r="C865" s="67"/>
      <c r="D865" s="68"/>
      <c r="E865" s="69"/>
      <c r="F865" s="70"/>
      <c r="G865" s="67"/>
      <c r="H865" s="71"/>
      <c r="I865" s="72"/>
      <c r="J865" s="72"/>
      <c r="K865" s="36"/>
      <c r="L865" s="79"/>
      <c r="M865" s="79"/>
      <c r="N865" s="74"/>
      <c r="O865" s="81" t="s">
        <v>694</v>
      </c>
      <c r="P865" s="83">
        <v>44464.189814814818</v>
      </c>
      <c r="Q865" s="81" t="s">
        <v>804</v>
      </c>
      <c r="R865" s="81"/>
      <c r="S865" s="81"/>
      <c r="T865" s="86" t="s">
        <v>649</v>
      </c>
      <c r="U865" s="84" t="str">
        <f>HYPERLINK("https://pbs.twimg.com/media/FAEaAdPVgAgaH2z.jpg")</f>
        <v>https://pbs.twimg.com/media/FAEaAdPVgAgaH2z.jpg</v>
      </c>
      <c r="V865" s="84" t="str">
        <f>HYPERLINK("https://pbs.twimg.com/media/FAEaAdPVgAgaH2z.jpg")</f>
        <v>https://pbs.twimg.com/media/FAEaAdPVgAgaH2z.jpg</v>
      </c>
      <c r="W865" s="83">
        <v>44464.189814814818</v>
      </c>
      <c r="X865" s="89">
        <v>44464</v>
      </c>
      <c r="Y865" s="86" t="s">
        <v>1287</v>
      </c>
      <c r="Z865" s="84" t="str">
        <f>HYPERLINK("https://twitter.com/wintervecember_/status/1441621820512243714")</f>
        <v>https://twitter.com/wintervecember_/status/1441621820512243714</v>
      </c>
      <c r="AA865" s="81"/>
      <c r="AB865" s="81"/>
      <c r="AC865" s="86" t="s">
        <v>1782</v>
      </c>
      <c r="AD865" s="81"/>
      <c r="AE865" s="81" t="b">
        <v>0</v>
      </c>
      <c r="AF865" s="81">
        <v>0</v>
      </c>
      <c r="AG865" s="86" t="s">
        <v>2084</v>
      </c>
      <c r="AH865" s="81" t="b">
        <v>0</v>
      </c>
      <c r="AI865" s="81" t="s">
        <v>2168</v>
      </c>
      <c r="AJ865" s="81"/>
      <c r="AK865" s="86" t="s">
        <v>2084</v>
      </c>
      <c r="AL865" s="81" t="b">
        <v>0</v>
      </c>
      <c r="AM865" s="81">
        <v>22</v>
      </c>
      <c r="AN865" s="86" t="s">
        <v>1846</v>
      </c>
      <c r="AO865" s="86" t="s">
        <v>2179</v>
      </c>
      <c r="AP865" s="81" t="b">
        <v>0</v>
      </c>
      <c r="AQ865" s="86" t="s">
        <v>1846</v>
      </c>
      <c r="AR865" s="81" t="s">
        <v>179</v>
      </c>
      <c r="AS865" s="81">
        <v>0</v>
      </c>
      <c r="AT865" s="81">
        <v>0</v>
      </c>
      <c r="AU865" s="81"/>
      <c r="AV865" s="81"/>
      <c r="AW865" s="81"/>
      <c r="AX865" s="81"/>
      <c r="AY865" s="81"/>
      <c r="AZ865" s="81"/>
      <c r="BA865" s="81"/>
      <c r="BB865" s="81"/>
    </row>
    <row r="866" spans="1:54" x14ac:dyDescent="0.35">
      <c r="A866" s="66" t="s">
        <v>443</v>
      </c>
      <c r="B866" s="66" t="s">
        <v>496</v>
      </c>
      <c r="C866" s="67"/>
      <c r="D866" s="68"/>
      <c r="E866" s="69"/>
      <c r="F866" s="70"/>
      <c r="G866" s="67"/>
      <c r="H866" s="71"/>
      <c r="I866" s="72"/>
      <c r="J866" s="72"/>
      <c r="K866" s="36"/>
      <c r="L866" s="79"/>
      <c r="M866" s="79"/>
      <c r="N866" s="74"/>
      <c r="O866" s="81" t="s">
        <v>693</v>
      </c>
      <c r="P866" s="83">
        <v>44464.189814814818</v>
      </c>
      <c r="Q866" s="81" t="s">
        <v>804</v>
      </c>
      <c r="R866" s="81"/>
      <c r="S866" s="81"/>
      <c r="T866" s="86" t="s">
        <v>649</v>
      </c>
      <c r="U866" s="84" t="str">
        <f>HYPERLINK("https://pbs.twimg.com/media/FAEaAdPVgAgaH2z.jpg")</f>
        <v>https://pbs.twimg.com/media/FAEaAdPVgAgaH2z.jpg</v>
      </c>
      <c r="V866" s="84" t="str">
        <f>HYPERLINK("https://pbs.twimg.com/media/FAEaAdPVgAgaH2z.jpg")</f>
        <v>https://pbs.twimg.com/media/FAEaAdPVgAgaH2z.jpg</v>
      </c>
      <c r="W866" s="83">
        <v>44464.189814814818</v>
      </c>
      <c r="X866" s="89">
        <v>44464</v>
      </c>
      <c r="Y866" s="86" t="s">
        <v>1287</v>
      </c>
      <c r="Z866" s="84" t="str">
        <f>HYPERLINK("https://twitter.com/wintervecember_/status/1441621820512243714")</f>
        <v>https://twitter.com/wintervecember_/status/1441621820512243714</v>
      </c>
      <c r="AA866" s="81"/>
      <c r="AB866" s="81"/>
      <c r="AC866" s="86" t="s">
        <v>1782</v>
      </c>
      <c r="AD866" s="81"/>
      <c r="AE866" s="81" t="b">
        <v>0</v>
      </c>
      <c r="AF866" s="81">
        <v>0</v>
      </c>
      <c r="AG866" s="86" t="s">
        <v>2084</v>
      </c>
      <c r="AH866" s="81" t="b">
        <v>0</v>
      </c>
      <c r="AI866" s="81" t="s">
        <v>2168</v>
      </c>
      <c r="AJ866" s="81"/>
      <c r="AK866" s="86" t="s">
        <v>2084</v>
      </c>
      <c r="AL866" s="81" t="b">
        <v>0</v>
      </c>
      <c r="AM866" s="81">
        <v>22</v>
      </c>
      <c r="AN866" s="86" t="s">
        <v>1846</v>
      </c>
      <c r="AO866" s="86" t="s">
        <v>2179</v>
      </c>
      <c r="AP866" s="81" t="b">
        <v>0</v>
      </c>
      <c r="AQ866" s="86" t="s">
        <v>1846</v>
      </c>
      <c r="AR866" s="81" t="s">
        <v>179</v>
      </c>
      <c r="AS866" s="81">
        <v>0</v>
      </c>
      <c r="AT866" s="81">
        <v>0</v>
      </c>
      <c r="AU866" s="81"/>
      <c r="AV866" s="81"/>
      <c r="AW866" s="81"/>
      <c r="AX866" s="81"/>
      <c r="AY866" s="81"/>
      <c r="AZ866" s="81"/>
      <c r="BA866" s="81"/>
      <c r="BB866" s="81"/>
    </row>
    <row r="867" spans="1:54" x14ac:dyDescent="0.35">
      <c r="A867" s="66" t="s">
        <v>444</v>
      </c>
      <c r="B867" s="66" t="s">
        <v>646</v>
      </c>
      <c r="C867" s="67"/>
      <c r="D867" s="68"/>
      <c r="E867" s="69"/>
      <c r="F867" s="70"/>
      <c r="G867" s="67"/>
      <c r="H867" s="71"/>
      <c r="I867" s="72"/>
      <c r="J867" s="72"/>
      <c r="K867" s="36"/>
      <c r="L867" s="79"/>
      <c r="M867" s="79"/>
      <c r="N867" s="74"/>
      <c r="O867" s="81" t="s">
        <v>694</v>
      </c>
      <c r="P867" s="83">
        <v>44464.198321759257</v>
      </c>
      <c r="Q867" s="81" t="s">
        <v>804</v>
      </c>
      <c r="R867" s="81"/>
      <c r="S867" s="81"/>
      <c r="T867" s="86" t="s">
        <v>649</v>
      </c>
      <c r="U867" s="84" t="str">
        <f>HYPERLINK("https://pbs.twimg.com/media/FAEaAdPVgAgaH2z.jpg")</f>
        <v>https://pbs.twimg.com/media/FAEaAdPVgAgaH2z.jpg</v>
      </c>
      <c r="V867" s="84" t="str">
        <f>HYPERLINK("https://pbs.twimg.com/media/FAEaAdPVgAgaH2z.jpg")</f>
        <v>https://pbs.twimg.com/media/FAEaAdPVgAgaH2z.jpg</v>
      </c>
      <c r="W867" s="83">
        <v>44464.198321759257</v>
      </c>
      <c r="X867" s="89">
        <v>44464</v>
      </c>
      <c r="Y867" s="86" t="s">
        <v>1288</v>
      </c>
      <c r="Z867" s="84" t="str">
        <f>HYPERLINK("https://twitter.com/flowtaekoo/status/1441624902079971336")</f>
        <v>https://twitter.com/flowtaekoo/status/1441624902079971336</v>
      </c>
      <c r="AA867" s="81"/>
      <c r="AB867" s="81"/>
      <c r="AC867" s="86" t="s">
        <v>1783</v>
      </c>
      <c r="AD867" s="81"/>
      <c r="AE867" s="81" t="b">
        <v>0</v>
      </c>
      <c r="AF867" s="81">
        <v>0</v>
      </c>
      <c r="AG867" s="86" t="s">
        <v>2084</v>
      </c>
      <c r="AH867" s="81" t="b">
        <v>0</v>
      </c>
      <c r="AI867" s="81" t="s">
        <v>2168</v>
      </c>
      <c r="AJ867" s="81"/>
      <c r="AK867" s="86" t="s">
        <v>2084</v>
      </c>
      <c r="AL867" s="81" t="b">
        <v>0</v>
      </c>
      <c r="AM867" s="81">
        <v>22</v>
      </c>
      <c r="AN867" s="86" t="s">
        <v>1846</v>
      </c>
      <c r="AO867" s="86" t="s">
        <v>2178</v>
      </c>
      <c r="AP867" s="81" t="b">
        <v>0</v>
      </c>
      <c r="AQ867" s="86" t="s">
        <v>1846</v>
      </c>
      <c r="AR867" s="81" t="s">
        <v>179</v>
      </c>
      <c r="AS867" s="81">
        <v>0</v>
      </c>
      <c r="AT867" s="81">
        <v>0</v>
      </c>
      <c r="AU867" s="81"/>
      <c r="AV867" s="81"/>
      <c r="AW867" s="81"/>
      <c r="AX867" s="81"/>
      <c r="AY867" s="81"/>
      <c r="AZ867" s="81"/>
      <c r="BA867" s="81"/>
      <c r="BB867" s="81"/>
    </row>
    <row r="868" spans="1:54" x14ac:dyDescent="0.35">
      <c r="A868" s="66" t="s">
        <v>444</v>
      </c>
      <c r="B868" s="66" t="s">
        <v>647</v>
      </c>
      <c r="C868" s="67"/>
      <c r="D868" s="68"/>
      <c r="E868" s="69"/>
      <c r="F868" s="70"/>
      <c r="G868" s="67"/>
      <c r="H868" s="71"/>
      <c r="I868" s="72"/>
      <c r="J868" s="72"/>
      <c r="K868" s="36"/>
      <c r="L868" s="79"/>
      <c r="M868" s="79"/>
      <c r="N868" s="74"/>
      <c r="O868" s="81" t="s">
        <v>694</v>
      </c>
      <c r="P868" s="83">
        <v>44464.198321759257</v>
      </c>
      <c r="Q868" s="81" t="s">
        <v>804</v>
      </c>
      <c r="R868" s="81"/>
      <c r="S868" s="81"/>
      <c r="T868" s="86" t="s">
        <v>649</v>
      </c>
      <c r="U868" s="84" t="str">
        <f>HYPERLINK("https://pbs.twimg.com/media/FAEaAdPVgAgaH2z.jpg")</f>
        <v>https://pbs.twimg.com/media/FAEaAdPVgAgaH2z.jpg</v>
      </c>
      <c r="V868" s="84" t="str">
        <f>HYPERLINK("https://pbs.twimg.com/media/FAEaAdPVgAgaH2z.jpg")</f>
        <v>https://pbs.twimg.com/media/FAEaAdPVgAgaH2z.jpg</v>
      </c>
      <c r="W868" s="83">
        <v>44464.198321759257</v>
      </c>
      <c r="X868" s="89">
        <v>44464</v>
      </c>
      <c r="Y868" s="86" t="s">
        <v>1288</v>
      </c>
      <c r="Z868" s="84" t="str">
        <f>HYPERLINK("https://twitter.com/flowtaekoo/status/1441624902079971336")</f>
        <v>https://twitter.com/flowtaekoo/status/1441624902079971336</v>
      </c>
      <c r="AA868" s="81"/>
      <c r="AB868" s="81"/>
      <c r="AC868" s="86" t="s">
        <v>1783</v>
      </c>
      <c r="AD868" s="81"/>
      <c r="AE868" s="81" t="b">
        <v>0</v>
      </c>
      <c r="AF868" s="81">
        <v>0</v>
      </c>
      <c r="AG868" s="86" t="s">
        <v>2084</v>
      </c>
      <c r="AH868" s="81" t="b">
        <v>0</v>
      </c>
      <c r="AI868" s="81" t="s">
        <v>2168</v>
      </c>
      <c r="AJ868" s="81"/>
      <c r="AK868" s="86" t="s">
        <v>2084</v>
      </c>
      <c r="AL868" s="81" t="b">
        <v>0</v>
      </c>
      <c r="AM868" s="81">
        <v>22</v>
      </c>
      <c r="AN868" s="86" t="s">
        <v>1846</v>
      </c>
      <c r="AO868" s="86" t="s">
        <v>2178</v>
      </c>
      <c r="AP868" s="81" t="b">
        <v>0</v>
      </c>
      <c r="AQ868" s="86" t="s">
        <v>1846</v>
      </c>
      <c r="AR868" s="81" t="s">
        <v>179</v>
      </c>
      <c r="AS868" s="81">
        <v>0</v>
      </c>
      <c r="AT868" s="81">
        <v>0</v>
      </c>
      <c r="AU868" s="81"/>
      <c r="AV868" s="81"/>
      <c r="AW868" s="81"/>
      <c r="AX868" s="81"/>
      <c r="AY868" s="81"/>
      <c r="AZ868" s="81"/>
      <c r="BA868" s="81"/>
      <c r="BB868" s="81"/>
    </row>
    <row r="869" spans="1:54" x14ac:dyDescent="0.35">
      <c r="A869" s="66" t="s">
        <v>444</v>
      </c>
      <c r="B869" s="66" t="s">
        <v>648</v>
      </c>
      <c r="C869" s="67"/>
      <c r="D869" s="68"/>
      <c r="E869" s="69"/>
      <c r="F869" s="70"/>
      <c r="G869" s="67"/>
      <c r="H869" s="71"/>
      <c r="I869" s="72"/>
      <c r="J869" s="72"/>
      <c r="K869" s="36"/>
      <c r="L869" s="79"/>
      <c r="M869" s="79"/>
      <c r="N869" s="74"/>
      <c r="O869" s="81" t="s">
        <v>694</v>
      </c>
      <c r="P869" s="83">
        <v>44464.198321759257</v>
      </c>
      <c r="Q869" s="81" t="s">
        <v>804</v>
      </c>
      <c r="R869" s="81"/>
      <c r="S869" s="81"/>
      <c r="T869" s="86" t="s">
        <v>649</v>
      </c>
      <c r="U869" s="84" t="str">
        <f>HYPERLINK("https://pbs.twimg.com/media/FAEaAdPVgAgaH2z.jpg")</f>
        <v>https://pbs.twimg.com/media/FAEaAdPVgAgaH2z.jpg</v>
      </c>
      <c r="V869" s="84" t="str">
        <f>HYPERLINK("https://pbs.twimg.com/media/FAEaAdPVgAgaH2z.jpg")</f>
        <v>https://pbs.twimg.com/media/FAEaAdPVgAgaH2z.jpg</v>
      </c>
      <c r="W869" s="83">
        <v>44464.198321759257</v>
      </c>
      <c r="X869" s="89">
        <v>44464</v>
      </c>
      <c r="Y869" s="86" t="s">
        <v>1288</v>
      </c>
      <c r="Z869" s="84" t="str">
        <f>HYPERLINK("https://twitter.com/flowtaekoo/status/1441624902079971336")</f>
        <v>https://twitter.com/flowtaekoo/status/1441624902079971336</v>
      </c>
      <c r="AA869" s="81"/>
      <c r="AB869" s="81"/>
      <c r="AC869" s="86" t="s">
        <v>1783</v>
      </c>
      <c r="AD869" s="81"/>
      <c r="AE869" s="81" t="b">
        <v>0</v>
      </c>
      <c r="AF869" s="81">
        <v>0</v>
      </c>
      <c r="AG869" s="86" t="s">
        <v>2084</v>
      </c>
      <c r="AH869" s="81" t="b">
        <v>0</v>
      </c>
      <c r="AI869" s="81" t="s">
        <v>2168</v>
      </c>
      <c r="AJ869" s="81"/>
      <c r="AK869" s="86" t="s">
        <v>2084</v>
      </c>
      <c r="AL869" s="81" t="b">
        <v>0</v>
      </c>
      <c r="AM869" s="81">
        <v>22</v>
      </c>
      <c r="AN869" s="86" t="s">
        <v>1846</v>
      </c>
      <c r="AO869" s="86" t="s">
        <v>2178</v>
      </c>
      <c r="AP869" s="81" t="b">
        <v>0</v>
      </c>
      <c r="AQ869" s="86" t="s">
        <v>1846</v>
      </c>
      <c r="AR869" s="81" t="s">
        <v>179</v>
      </c>
      <c r="AS869" s="81">
        <v>0</v>
      </c>
      <c r="AT869" s="81">
        <v>0</v>
      </c>
      <c r="AU869" s="81"/>
      <c r="AV869" s="81"/>
      <c r="AW869" s="81"/>
      <c r="AX869" s="81"/>
      <c r="AY869" s="81"/>
      <c r="AZ869" s="81"/>
      <c r="BA869" s="81"/>
      <c r="BB869" s="81"/>
    </row>
    <row r="870" spans="1:54" x14ac:dyDescent="0.35">
      <c r="A870" s="66" t="s">
        <v>444</v>
      </c>
      <c r="B870" s="66" t="s">
        <v>649</v>
      </c>
      <c r="C870" s="67"/>
      <c r="D870" s="68"/>
      <c r="E870" s="69"/>
      <c r="F870" s="70"/>
      <c r="G870" s="67"/>
      <c r="H870" s="71"/>
      <c r="I870" s="72"/>
      <c r="J870" s="72"/>
      <c r="K870" s="36"/>
      <c r="L870" s="79"/>
      <c r="M870" s="79"/>
      <c r="N870" s="74"/>
      <c r="O870" s="81" t="s">
        <v>694</v>
      </c>
      <c r="P870" s="83">
        <v>44464.198321759257</v>
      </c>
      <c r="Q870" s="81" t="s">
        <v>804</v>
      </c>
      <c r="R870" s="81"/>
      <c r="S870" s="81"/>
      <c r="T870" s="86" t="s">
        <v>649</v>
      </c>
      <c r="U870" s="84" t="str">
        <f>HYPERLINK("https://pbs.twimg.com/media/FAEaAdPVgAgaH2z.jpg")</f>
        <v>https://pbs.twimg.com/media/FAEaAdPVgAgaH2z.jpg</v>
      </c>
      <c r="V870" s="84" t="str">
        <f>HYPERLINK("https://pbs.twimg.com/media/FAEaAdPVgAgaH2z.jpg")</f>
        <v>https://pbs.twimg.com/media/FAEaAdPVgAgaH2z.jpg</v>
      </c>
      <c r="W870" s="83">
        <v>44464.198321759257</v>
      </c>
      <c r="X870" s="89">
        <v>44464</v>
      </c>
      <c r="Y870" s="86" t="s">
        <v>1288</v>
      </c>
      <c r="Z870" s="84" t="str">
        <f>HYPERLINK("https://twitter.com/flowtaekoo/status/1441624902079971336")</f>
        <v>https://twitter.com/flowtaekoo/status/1441624902079971336</v>
      </c>
      <c r="AA870" s="81"/>
      <c r="AB870" s="81"/>
      <c r="AC870" s="86" t="s">
        <v>1783</v>
      </c>
      <c r="AD870" s="81"/>
      <c r="AE870" s="81" t="b">
        <v>0</v>
      </c>
      <c r="AF870" s="81">
        <v>0</v>
      </c>
      <c r="AG870" s="86" t="s">
        <v>2084</v>
      </c>
      <c r="AH870" s="81" t="b">
        <v>0</v>
      </c>
      <c r="AI870" s="81" t="s">
        <v>2168</v>
      </c>
      <c r="AJ870" s="81"/>
      <c r="AK870" s="86" t="s">
        <v>2084</v>
      </c>
      <c r="AL870" s="81" t="b">
        <v>0</v>
      </c>
      <c r="AM870" s="81">
        <v>22</v>
      </c>
      <c r="AN870" s="86" t="s">
        <v>1846</v>
      </c>
      <c r="AO870" s="86" t="s">
        <v>2178</v>
      </c>
      <c r="AP870" s="81" t="b">
        <v>0</v>
      </c>
      <c r="AQ870" s="86" t="s">
        <v>1846</v>
      </c>
      <c r="AR870" s="81" t="s">
        <v>179</v>
      </c>
      <c r="AS870" s="81">
        <v>0</v>
      </c>
      <c r="AT870" s="81">
        <v>0</v>
      </c>
      <c r="AU870" s="81"/>
      <c r="AV870" s="81"/>
      <c r="AW870" s="81"/>
      <c r="AX870" s="81"/>
      <c r="AY870" s="81"/>
      <c r="AZ870" s="81"/>
      <c r="BA870" s="81"/>
      <c r="BB870" s="81"/>
    </row>
    <row r="871" spans="1:54" x14ac:dyDescent="0.35">
      <c r="A871" s="66" t="s">
        <v>444</v>
      </c>
      <c r="B871" s="66" t="s">
        <v>496</v>
      </c>
      <c r="C871" s="67"/>
      <c r="D871" s="68"/>
      <c r="E871" s="69"/>
      <c r="F871" s="70"/>
      <c r="G871" s="67"/>
      <c r="H871" s="71"/>
      <c r="I871" s="72"/>
      <c r="J871" s="72"/>
      <c r="K871" s="36"/>
      <c r="L871" s="79"/>
      <c r="M871" s="79"/>
      <c r="N871" s="74"/>
      <c r="O871" s="81" t="s">
        <v>693</v>
      </c>
      <c r="P871" s="83">
        <v>44464.198321759257</v>
      </c>
      <c r="Q871" s="81" t="s">
        <v>804</v>
      </c>
      <c r="R871" s="81"/>
      <c r="S871" s="81"/>
      <c r="T871" s="86" t="s">
        <v>649</v>
      </c>
      <c r="U871" s="84" t="str">
        <f>HYPERLINK("https://pbs.twimg.com/media/FAEaAdPVgAgaH2z.jpg")</f>
        <v>https://pbs.twimg.com/media/FAEaAdPVgAgaH2z.jpg</v>
      </c>
      <c r="V871" s="84" t="str">
        <f>HYPERLINK("https://pbs.twimg.com/media/FAEaAdPVgAgaH2z.jpg")</f>
        <v>https://pbs.twimg.com/media/FAEaAdPVgAgaH2z.jpg</v>
      </c>
      <c r="W871" s="83">
        <v>44464.198321759257</v>
      </c>
      <c r="X871" s="89">
        <v>44464</v>
      </c>
      <c r="Y871" s="86" t="s">
        <v>1288</v>
      </c>
      <c r="Z871" s="84" t="str">
        <f>HYPERLINK("https://twitter.com/flowtaekoo/status/1441624902079971336")</f>
        <v>https://twitter.com/flowtaekoo/status/1441624902079971336</v>
      </c>
      <c r="AA871" s="81"/>
      <c r="AB871" s="81"/>
      <c r="AC871" s="86" t="s">
        <v>1783</v>
      </c>
      <c r="AD871" s="81"/>
      <c r="AE871" s="81" t="b">
        <v>0</v>
      </c>
      <c r="AF871" s="81">
        <v>0</v>
      </c>
      <c r="AG871" s="86" t="s">
        <v>2084</v>
      </c>
      <c r="AH871" s="81" t="b">
        <v>0</v>
      </c>
      <c r="AI871" s="81" t="s">
        <v>2168</v>
      </c>
      <c r="AJ871" s="81"/>
      <c r="AK871" s="86" t="s">
        <v>2084</v>
      </c>
      <c r="AL871" s="81" t="b">
        <v>0</v>
      </c>
      <c r="AM871" s="81">
        <v>22</v>
      </c>
      <c r="AN871" s="86" t="s">
        <v>1846</v>
      </c>
      <c r="AO871" s="86" t="s">
        <v>2178</v>
      </c>
      <c r="AP871" s="81" t="b">
        <v>0</v>
      </c>
      <c r="AQ871" s="86" t="s">
        <v>1846</v>
      </c>
      <c r="AR871" s="81" t="s">
        <v>179</v>
      </c>
      <c r="AS871" s="81">
        <v>0</v>
      </c>
      <c r="AT871" s="81">
        <v>0</v>
      </c>
      <c r="AU871" s="81"/>
      <c r="AV871" s="81"/>
      <c r="AW871" s="81"/>
      <c r="AX871" s="81"/>
      <c r="AY871" s="81"/>
      <c r="AZ871" s="81"/>
      <c r="BA871" s="81"/>
      <c r="BB871" s="81"/>
    </row>
    <row r="872" spans="1:54" x14ac:dyDescent="0.35">
      <c r="A872" s="66" t="s">
        <v>4470</v>
      </c>
      <c r="B872" s="66" t="s">
        <v>4470</v>
      </c>
      <c r="C872" s="67"/>
      <c r="D872" s="68"/>
      <c r="E872" s="69"/>
      <c r="F872" s="70"/>
      <c r="G872" s="67"/>
      <c r="H872" s="71"/>
      <c r="I872" s="72"/>
      <c r="J872" s="72"/>
      <c r="K872" s="36"/>
      <c r="L872" s="79"/>
      <c r="M872" s="79"/>
      <c r="N872" s="74"/>
      <c r="O872" s="81" t="s">
        <v>179</v>
      </c>
      <c r="P872" s="83">
        <v>44464.203368055554</v>
      </c>
      <c r="Q872" s="81" t="s">
        <v>5443</v>
      </c>
      <c r="R872" s="81"/>
      <c r="S872" s="81"/>
      <c r="T872" s="81"/>
      <c r="U872" s="81"/>
      <c r="V872" s="84" t="str">
        <f>HYPERLINK("https://pbs.twimg.com/profile_images/1404617593584074753/4y5k8DZi_normal.jpg")</f>
        <v>https://pbs.twimg.com/profile_images/1404617593584074753/4y5k8DZi_normal.jpg</v>
      </c>
      <c r="W872" s="83">
        <v>44464.203368055554</v>
      </c>
      <c r="X872" s="89">
        <v>44464</v>
      </c>
      <c r="Y872" s="86" t="s">
        <v>6109</v>
      </c>
      <c r="Z872" s="84" t="str">
        <f>HYPERLINK("https://twitter.com/netinho_muller/status/1441626731161391106")</f>
        <v>https://twitter.com/netinho_muller/status/1441626731161391106</v>
      </c>
      <c r="AA872" s="81"/>
      <c r="AB872" s="81"/>
      <c r="AC872" s="86" t="s">
        <v>7015</v>
      </c>
      <c r="AD872" s="81"/>
      <c r="AE872" s="81" t="b">
        <v>0</v>
      </c>
      <c r="AF872" s="81">
        <v>12</v>
      </c>
      <c r="AG872" s="86" t="s">
        <v>2084</v>
      </c>
      <c r="AH872" s="81" t="b">
        <v>0</v>
      </c>
      <c r="AI872" s="81" t="s">
        <v>2171</v>
      </c>
      <c r="AJ872" s="81"/>
      <c r="AK872" s="86" t="s">
        <v>2084</v>
      </c>
      <c r="AL872" s="81" t="b">
        <v>0</v>
      </c>
      <c r="AM872" s="81">
        <v>0</v>
      </c>
      <c r="AN872" s="86" t="s">
        <v>2084</v>
      </c>
      <c r="AO872" s="86" t="s">
        <v>2181</v>
      </c>
      <c r="AP872" s="81" t="b">
        <v>0</v>
      </c>
      <c r="AQ872" s="86" t="s">
        <v>7015</v>
      </c>
      <c r="AR872" s="81" t="s">
        <v>179</v>
      </c>
      <c r="AS872" s="81">
        <v>0</v>
      </c>
      <c r="AT872" s="81">
        <v>0</v>
      </c>
      <c r="AU872" s="81"/>
      <c r="AV872" s="81"/>
      <c r="AW872" s="81"/>
      <c r="AX872" s="81"/>
      <c r="AY872" s="81"/>
      <c r="AZ872" s="81"/>
      <c r="BA872" s="81"/>
      <c r="BB872" s="81"/>
    </row>
    <row r="873" spans="1:54" x14ac:dyDescent="0.35">
      <c r="A873" s="66" t="s">
        <v>4471</v>
      </c>
      <c r="B873" s="66" t="s">
        <v>5087</v>
      </c>
      <c r="C873" s="67"/>
      <c r="D873" s="68"/>
      <c r="E873" s="69"/>
      <c r="F873" s="70"/>
      <c r="G873" s="67"/>
      <c r="H873" s="71"/>
      <c r="I873" s="72"/>
      <c r="J873" s="72"/>
      <c r="K873" s="36"/>
      <c r="L873" s="79"/>
      <c r="M873" s="79"/>
      <c r="N873" s="74"/>
      <c r="O873" s="81" t="s">
        <v>696</v>
      </c>
      <c r="P873" s="83">
        <v>44464.217233796298</v>
      </c>
      <c r="Q873" s="81" t="s">
        <v>5444</v>
      </c>
      <c r="R873" s="81"/>
      <c r="S873" s="81"/>
      <c r="T873" s="81"/>
      <c r="U873" s="81"/>
      <c r="V873" s="84" t="str">
        <f>HYPERLINK("https://pbs.twimg.com/profile_images/1259904344830418950/JpEx05vp_normal.jpg")</f>
        <v>https://pbs.twimg.com/profile_images/1259904344830418950/JpEx05vp_normal.jpg</v>
      </c>
      <c r="W873" s="83">
        <v>44464.217233796298</v>
      </c>
      <c r="X873" s="89">
        <v>44464</v>
      </c>
      <c r="Y873" s="86" t="s">
        <v>6110</v>
      </c>
      <c r="Z873" s="84" t="str">
        <f>HYPERLINK("https://twitter.com/lipe_r_s/status/1441631754696155136")</f>
        <v>https://twitter.com/lipe_r_s/status/1441631754696155136</v>
      </c>
      <c r="AA873" s="81"/>
      <c r="AB873" s="81"/>
      <c r="AC873" s="86" t="s">
        <v>7016</v>
      </c>
      <c r="AD873" s="86" t="s">
        <v>7684</v>
      </c>
      <c r="AE873" s="81" t="b">
        <v>0</v>
      </c>
      <c r="AF873" s="81">
        <v>1</v>
      </c>
      <c r="AG873" s="86" t="s">
        <v>7861</v>
      </c>
      <c r="AH873" s="81" t="b">
        <v>0</v>
      </c>
      <c r="AI873" s="81" t="s">
        <v>2171</v>
      </c>
      <c r="AJ873" s="81"/>
      <c r="AK873" s="86" t="s">
        <v>2084</v>
      </c>
      <c r="AL873" s="81" t="b">
        <v>0</v>
      </c>
      <c r="AM873" s="81">
        <v>0</v>
      </c>
      <c r="AN873" s="86" t="s">
        <v>2084</v>
      </c>
      <c r="AO873" s="86" t="s">
        <v>2178</v>
      </c>
      <c r="AP873" s="81" t="b">
        <v>0</v>
      </c>
      <c r="AQ873" s="86" t="s">
        <v>7684</v>
      </c>
      <c r="AR873" s="81" t="s">
        <v>179</v>
      </c>
      <c r="AS873" s="81">
        <v>0</v>
      </c>
      <c r="AT873" s="81">
        <v>0</v>
      </c>
      <c r="AU873" s="81"/>
      <c r="AV873" s="81"/>
      <c r="AW873" s="81"/>
      <c r="AX873" s="81"/>
      <c r="AY873" s="81"/>
      <c r="AZ873" s="81"/>
      <c r="BA873" s="81"/>
      <c r="BB873" s="81"/>
    </row>
    <row r="874" spans="1:54" x14ac:dyDescent="0.35">
      <c r="A874" s="66" t="s">
        <v>4471</v>
      </c>
      <c r="B874" s="66" t="s">
        <v>5088</v>
      </c>
      <c r="C874" s="67"/>
      <c r="D874" s="68"/>
      <c r="E874" s="69"/>
      <c r="F874" s="70"/>
      <c r="G874" s="67"/>
      <c r="H874" s="71"/>
      <c r="I874" s="72"/>
      <c r="J874" s="72"/>
      <c r="K874" s="36"/>
      <c r="L874" s="79"/>
      <c r="M874" s="79"/>
      <c r="N874" s="74"/>
      <c r="O874" s="81" t="s">
        <v>695</v>
      </c>
      <c r="P874" s="83">
        <v>44464.217233796298</v>
      </c>
      <c r="Q874" s="81" t="s">
        <v>5444</v>
      </c>
      <c r="R874" s="81"/>
      <c r="S874" s="81"/>
      <c r="T874" s="81"/>
      <c r="U874" s="81"/>
      <c r="V874" s="84" t="str">
        <f>HYPERLINK("https://pbs.twimg.com/profile_images/1259904344830418950/JpEx05vp_normal.jpg")</f>
        <v>https://pbs.twimg.com/profile_images/1259904344830418950/JpEx05vp_normal.jpg</v>
      </c>
      <c r="W874" s="83">
        <v>44464.217233796298</v>
      </c>
      <c r="X874" s="89">
        <v>44464</v>
      </c>
      <c r="Y874" s="86" t="s">
        <v>6110</v>
      </c>
      <c r="Z874" s="84" t="str">
        <f>HYPERLINK("https://twitter.com/lipe_r_s/status/1441631754696155136")</f>
        <v>https://twitter.com/lipe_r_s/status/1441631754696155136</v>
      </c>
      <c r="AA874" s="81"/>
      <c r="AB874" s="81"/>
      <c r="AC874" s="86" t="s">
        <v>7016</v>
      </c>
      <c r="AD874" s="86" t="s">
        <v>7684</v>
      </c>
      <c r="AE874" s="81" t="b">
        <v>0</v>
      </c>
      <c r="AF874" s="81">
        <v>1</v>
      </c>
      <c r="AG874" s="86" t="s">
        <v>7861</v>
      </c>
      <c r="AH874" s="81" t="b">
        <v>0</v>
      </c>
      <c r="AI874" s="81" t="s">
        <v>2171</v>
      </c>
      <c r="AJ874" s="81"/>
      <c r="AK874" s="86" t="s">
        <v>2084</v>
      </c>
      <c r="AL874" s="81" t="b">
        <v>0</v>
      </c>
      <c r="AM874" s="81">
        <v>0</v>
      </c>
      <c r="AN874" s="86" t="s">
        <v>2084</v>
      </c>
      <c r="AO874" s="86" t="s">
        <v>2178</v>
      </c>
      <c r="AP874" s="81" t="b">
        <v>0</v>
      </c>
      <c r="AQ874" s="86" t="s">
        <v>7684</v>
      </c>
      <c r="AR874" s="81" t="s">
        <v>179</v>
      </c>
      <c r="AS874" s="81">
        <v>0</v>
      </c>
      <c r="AT874" s="81">
        <v>0</v>
      </c>
      <c r="AU874" s="81"/>
      <c r="AV874" s="81"/>
      <c r="AW874" s="81"/>
      <c r="AX874" s="81"/>
      <c r="AY874" s="81"/>
      <c r="AZ874" s="81"/>
      <c r="BA874" s="81"/>
      <c r="BB874" s="81"/>
    </row>
    <row r="875" spans="1:54" x14ac:dyDescent="0.35">
      <c r="A875" s="66" t="s">
        <v>4472</v>
      </c>
      <c r="B875" s="66" t="s">
        <v>5065</v>
      </c>
      <c r="C875" s="67"/>
      <c r="D875" s="68"/>
      <c r="E875" s="69"/>
      <c r="F875" s="70"/>
      <c r="G875" s="67"/>
      <c r="H875" s="71"/>
      <c r="I875" s="72"/>
      <c r="J875" s="72"/>
      <c r="K875" s="36"/>
      <c r="L875" s="79"/>
      <c r="M875" s="79"/>
      <c r="N875" s="74"/>
      <c r="O875" s="81" t="s">
        <v>695</v>
      </c>
      <c r="P875" s="83">
        <v>44464.097928240742</v>
      </c>
      <c r="Q875" s="81" t="s">
        <v>5445</v>
      </c>
      <c r="R875" s="81"/>
      <c r="S875" s="81"/>
      <c r="T875" s="81"/>
      <c r="U875" s="81"/>
      <c r="V875" s="84" t="str">
        <f>HYPERLINK("https://pbs.twimg.com/profile_images/1285289765798125570/byEf-jr3_normal.jpg")</f>
        <v>https://pbs.twimg.com/profile_images/1285289765798125570/byEf-jr3_normal.jpg</v>
      </c>
      <c r="W875" s="83">
        <v>44464.097928240742</v>
      </c>
      <c r="X875" s="89">
        <v>44464</v>
      </c>
      <c r="Y875" s="86" t="s">
        <v>6111</v>
      </c>
      <c r="Z875" s="84" t="str">
        <f>HYPERLINK("https://twitter.com/jccbrandao29/status/1441588518979981318")</f>
        <v>https://twitter.com/jccbrandao29/status/1441588518979981318</v>
      </c>
      <c r="AA875" s="81"/>
      <c r="AB875" s="81"/>
      <c r="AC875" s="86" t="s">
        <v>7017</v>
      </c>
      <c r="AD875" s="86" t="s">
        <v>7685</v>
      </c>
      <c r="AE875" s="81" t="b">
        <v>0</v>
      </c>
      <c r="AF875" s="81">
        <v>2</v>
      </c>
      <c r="AG875" s="86" t="s">
        <v>7862</v>
      </c>
      <c r="AH875" s="81" t="b">
        <v>0</v>
      </c>
      <c r="AI875" s="81" t="s">
        <v>2171</v>
      </c>
      <c r="AJ875" s="81"/>
      <c r="AK875" s="86" t="s">
        <v>2084</v>
      </c>
      <c r="AL875" s="81" t="b">
        <v>0</v>
      </c>
      <c r="AM875" s="81">
        <v>1</v>
      </c>
      <c r="AN875" s="86" t="s">
        <v>2084</v>
      </c>
      <c r="AO875" s="86" t="s">
        <v>2178</v>
      </c>
      <c r="AP875" s="81" t="b">
        <v>0</v>
      </c>
      <c r="AQ875" s="86" t="s">
        <v>7685</v>
      </c>
      <c r="AR875" s="81" t="s">
        <v>179</v>
      </c>
      <c r="AS875" s="81">
        <v>0</v>
      </c>
      <c r="AT875" s="81">
        <v>0</v>
      </c>
      <c r="AU875" s="81"/>
      <c r="AV875" s="81"/>
      <c r="AW875" s="81"/>
      <c r="AX875" s="81"/>
      <c r="AY875" s="81"/>
      <c r="AZ875" s="81"/>
      <c r="BA875" s="81"/>
      <c r="BB875" s="81"/>
    </row>
    <row r="876" spans="1:54" x14ac:dyDescent="0.35">
      <c r="A876" s="66" t="s">
        <v>4473</v>
      </c>
      <c r="B876" s="66" t="s">
        <v>4472</v>
      </c>
      <c r="C876" s="67"/>
      <c r="D876" s="68"/>
      <c r="E876" s="69"/>
      <c r="F876" s="70"/>
      <c r="G876" s="67"/>
      <c r="H876" s="71"/>
      <c r="I876" s="72"/>
      <c r="J876" s="72"/>
      <c r="K876" s="36"/>
      <c r="L876" s="79"/>
      <c r="M876" s="79"/>
      <c r="N876" s="74"/>
      <c r="O876" s="81" t="s">
        <v>693</v>
      </c>
      <c r="P876" s="83">
        <v>44464.217650462961</v>
      </c>
      <c r="Q876" s="81" t="s">
        <v>5445</v>
      </c>
      <c r="R876" s="81"/>
      <c r="S876" s="81"/>
      <c r="T876" s="81"/>
      <c r="U876" s="81"/>
      <c r="V876" s="84" t="str">
        <f>HYPERLINK("https://pbs.twimg.com/profile_images/1431787982445596676/GhNx01Ec_normal.jpg")</f>
        <v>https://pbs.twimg.com/profile_images/1431787982445596676/GhNx01Ec_normal.jpg</v>
      </c>
      <c r="W876" s="83">
        <v>44464.217650462961</v>
      </c>
      <c r="X876" s="89">
        <v>44464</v>
      </c>
      <c r="Y876" s="86" t="s">
        <v>6112</v>
      </c>
      <c r="Z876" s="84" t="str">
        <f>HYPERLINK("https://twitter.com/gabrielfergomes/status/1441631908652326912")</f>
        <v>https://twitter.com/gabrielfergomes/status/1441631908652326912</v>
      </c>
      <c r="AA876" s="81"/>
      <c r="AB876" s="81"/>
      <c r="AC876" s="86" t="s">
        <v>7018</v>
      </c>
      <c r="AD876" s="81"/>
      <c r="AE876" s="81" t="b">
        <v>0</v>
      </c>
      <c r="AF876" s="81">
        <v>0</v>
      </c>
      <c r="AG876" s="86" t="s">
        <v>2084</v>
      </c>
      <c r="AH876" s="81" t="b">
        <v>0</v>
      </c>
      <c r="AI876" s="81" t="s">
        <v>2171</v>
      </c>
      <c r="AJ876" s="81"/>
      <c r="AK876" s="86" t="s">
        <v>2084</v>
      </c>
      <c r="AL876" s="81" t="b">
        <v>0</v>
      </c>
      <c r="AM876" s="81">
        <v>1</v>
      </c>
      <c r="AN876" s="86" t="s">
        <v>7017</v>
      </c>
      <c r="AO876" s="86" t="s">
        <v>2181</v>
      </c>
      <c r="AP876" s="81" t="b">
        <v>0</v>
      </c>
      <c r="AQ876" s="86" t="s">
        <v>7017</v>
      </c>
      <c r="AR876" s="81" t="s">
        <v>179</v>
      </c>
      <c r="AS876" s="81">
        <v>0</v>
      </c>
      <c r="AT876" s="81">
        <v>0</v>
      </c>
      <c r="AU876" s="81"/>
      <c r="AV876" s="81"/>
      <c r="AW876" s="81"/>
      <c r="AX876" s="81"/>
      <c r="AY876" s="81"/>
      <c r="AZ876" s="81"/>
      <c r="BA876" s="81"/>
      <c r="BB876" s="81"/>
    </row>
    <row r="877" spans="1:54" x14ac:dyDescent="0.35">
      <c r="A877" s="66" t="s">
        <v>4473</v>
      </c>
      <c r="B877" s="66" t="s">
        <v>5065</v>
      </c>
      <c r="C877" s="67"/>
      <c r="D877" s="68"/>
      <c r="E877" s="69"/>
      <c r="F877" s="70"/>
      <c r="G877" s="67"/>
      <c r="H877" s="71"/>
      <c r="I877" s="72"/>
      <c r="J877" s="72"/>
      <c r="K877" s="36"/>
      <c r="L877" s="79"/>
      <c r="M877" s="79"/>
      <c r="N877" s="74"/>
      <c r="O877" s="81" t="s">
        <v>695</v>
      </c>
      <c r="P877" s="83">
        <v>44464.217650462961</v>
      </c>
      <c r="Q877" s="81" t="s">
        <v>5445</v>
      </c>
      <c r="R877" s="81"/>
      <c r="S877" s="81"/>
      <c r="T877" s="81"/>
      <c r="U877" s="81"/>
      <c r="V877" s="84" t="str">
        <f>HYPERLINK("https://pbs.twimg.com/profile_images/1431787982445596676/GhNx01Ec_normal.jpg")</f>
        <v>https://pbs.twimg.com/profile_images/1431787982445596676/GhNx01Ec_normal.jpg</v>
      </c>
      <c r="W877" s="83">
        <v>44464.217650462961</v>
      </c>
      <c r="X877" s="89">
        <v>44464</v>
      </c>
      <c r="Y877" s="86" t="s">
        <v>6112</v>
      </c>
      <c r="Z877" s="84" t="str">
        <f>HYPERLINK("https://twitter.com/gabrielfergomes/status/1441631908652326912")</f>
        <v>https://twitter.com/gabrielfergomes/status/1441631908652326912</v>
      </c>
      <c r="AA877" s="81"/>
      <c r="AB877" s="81"/>
      <c r="AC877" s="86" t="s">
        <v>7018</v>
      </c>
      <c r="AD877" s="81"/>
      <c r="AE877" s="81" t="b">
        <v>0</v>
      </c>
      <c r="AF877" s="81">
        <v>0</v>
      </c>
      <c r="AG877" s="86" t="s">
        <v>2084</v>
      </c>
      <c r="AH877" s="81" t="b">
        <v>0</v>
      </c>
      <c r="AI877" s="81" t="s">
        <v>2171</v>
      </c>
      <c r="AJ877" s="81"/>
      <c r="AK877" s="86" t="s">
        <v>2084</v>
      </c>
      <c r="AL877" s="81" t="b">
        <v>0</v>
      </c>
      <c r="AM877" s="81">
        <v>1</v>
      </c>
      <c r="AN877" s="86" t="s">
        <v>7017</v>
      </c>
      <c r="AO877" s="86" t="s">
        <v>2181</v>
      </c>
      <c r="AP877" s="81" t="b">
        <v>0</v>
      </c>
      <c r="AQ877" s="86" t="s">
        <v>7017</v>
      </c>
      <c r="AR877" s="81" t="s">
        <v>179</v>
      </c>
      <c r="AS877" s="81">
        <v>0</v>
      </c>
      <c r="AT877" s="81">
        <v>0</v>
      </c>
      <c r="AU877" s="81"/>
      <c r="AV877" s="81"/>
      <c r="AW877" s="81"/>
      <c r="AX877" s="81"/>
      <c r="AY877" s="81"/>
      <c r="AZ877" s="81"/>
      <c r="BA877" s="81"/>
      <c r="BB877" s="81"/>
    </row>
    <row r="878" spans="1:54" x14ac:dyDescent="0.35">
      <c r="A878" s="66" t="s">
        <v>445</v>
      </c>
      <c r="B878" s="66" t="s">
        <v>646</v>
      </c>
      <c r="C878" s="67"/>
      <c r="D878" s="68"/>
      <c r="E878" s="69"/>
      <c r="F878" s="70"/>
      <c r="G878" s="67"/>
      <c r="H878" s="71"/>
      <c r="I878" s="72"/>
      <c r="J878" s="72"/>
      <c r="K878" s="36"/>
      <c r="L878" s="79"/>
      <c r="M878" s="79"/>
      <c r="N878" s="74"/>
      <c r="O878" s="81" t="s">
        <v>694</v>
      </c>
      <c r="P878" s="83">
        <v>44464.229201388887</v>
      </c>
      <c r="Q878" s="81" t="s">
        <v>804</v>
      </c>
      <c r="R878" s="81"/>
      <c r="S878" s="81"/>
      <c r="T878" s="86" t="s">
        <v>649</v>
      </c>
      <c r="U878" s="84" t="str">
        <f>HYPERLINK("https://pbs.twimg.com/media/FAEaAdPVgAgaH2z.jpg")</f>
        <v>https://pbs.twimg.com/media/FAEaAdPVgAgaH2z.jpg</v>
      </c>
      <c r="V878" s="84" t="str">
        <f>HYPERLINK("https://pbs.twimg.com/media/FAEaAdPVgAgaH2z.jpg")</f>
        <v>https://pbs.twimg.com/media/FAEaAdPVgAgaH2z.jpg</v>
      </c>
      <c r="W878" s="83">
        <v>44464.229201388887</v>
      </c>
      <c r="X878" s="89">
        <v>44464</v>
      </c>
      <c r="Y878" s="86" t="s">
        <v>1289</v>
      </c>
      <c r="Z878" s="84" t="str">
        <f>HYPERLINK("https://twitter.com/lauvkia/status/1441636094844407808")</f>
        <v>https://twitter.com/lauvkia/status/1441636094844407808</v>
      </c>
      <c r="AA878" s="81"/>
      <c r="AB878" s="81"/>
      <c r="AC878" s="86" t="s">
        <v>1784</v>
      </c>
      <c r="AD878" s="81"/>
      <c r="AE878" s="81" t="b">
        <v>0</v>
      </c>
      <c r="AF878" s="81">
        <v>0</v>
      </c>
      <c r="AG878" s="86" t="s">
        <v>2084</v>
      </c>
      <c r="AH878" s="81" t="b">
        <v>0</v>
      </c>
      <c r="AI878" s="81" t="s">
        <v>2168</v>
      </c>
      <c r="AJ878" s="81"/>
      <c r="AK878" s="86" t="s">
        <v>2084</v>
      </c>
      <c r="AL878" s="81" t="b">
        <v>0</v>
      </c>
      <c r="AM878" s="81">
        <v>22</v>
      </c>
      <c r="AN878" s="86" t="s">
        <v>1846</v>
      </c>
      <c r="AO878" s="86" t="s">
        <v>2179</v>
      </c>
      <c r="AP878" s="81" t="b">
        <v>0</v>
      </c>
      <c r="AQ878" s="86" t="s">
        <v>1846</v>
      </c>
      <c r="AR878" s="81" t="s">
        <v>179</v>
      </c>
      <c r="AS878" s="81">
        <v>0</v>
      </c>
      <c r="AT878" s="81">
        <v>0</v>
      </c>
      <c r="AU878" s="81"/>
      <c r="AV878" s="81"/>
      <c r="AW878" s="81"/>
      <c r="AX878" s="81"/>
      <c r="AY878" s="81"/>
      <c r="AZ878" s="81"/>
      <c r="BA878" s="81"/>
      <c r="BB878" s="81"/>
    </row>
    <row r="879" spans="1:54" x14ac:dyDescent="0.35">
      <c r="A879" s="66" t="s">
        <v>445</v>
      </c>
      <c r="B879" s="66" t="s">
        <v>647</v>
      </c>
      <c r="C879" s="67"/>
      <c r="D879" s="68"/>
      <c r="E879" s="69"/>
      <c r="F879" s="70"/>
      <c r="G879" s="67"/>
      <c r="H879" s="71"/>
      <c r="I879" s="72"/>
      <c r="J879" s="72"/>
      <c r="K879" s="36"/>
      <c r="L879" s="79"/>
      <c r="M879" s="79"/>
      <c r="N879" s="74"/>
      <c r="O879" s="81" t="s">
        <v>694</v>
      </c>
      <c r="P879" s="83">
        <v>44464.229201388887</v>
      </c>
      <c r="Q879" s="81" t="s">
        <v>804</v>
      </c>
      <c r="R879" s="81"/>
      <c r="S879" s="81"/>
      <c r="T879" s="86" t="s">
        <v>649</v>
      </c>
      <c r="U879" s="84" t="str">
        <f>HYPERLINK("https://pbs.twimg.com/media/FAEaAdPVgAgaH2z.jpg")</f>
        <v>https://pbs.twimg.com/media/FAEaAdPVgAgaH2z.jpg</v>
      </c>
      <c r="V879" s="84" t="str">
        <f>HYPERLINK("https://pbs.twimg.com/media/FAEaAdPVgAgaH2z.jpg")</f>
        <v>https://pbs.twimg.com/media/FAEaAdPVgAgaH2z.jpg</v>
      </c>
      <c r="W879" s="83">
        <v>44464.229201388887</v>
      </c>
      <c r="X879" s="89">
        <v>44464</v>
      </c>
      <c r="Y879" s="86" t="s">
        <v>1289</v>
      </c>
      <c r="Z879" s="84" t="str">
        <f>HYPERLINK("https://twitter.com/lauvkia/status/1441636094844407808")</f>
        <v>https://twitter.com/lauvkia/status/1441636094844407808</v>
      </c>
      <c r="AA879" s="81"/>
      <c r="AB879" s="81"/>
      <c r="AC879" s="86" t="s">
        <v>1784</v>
      </c>
      <c r="AD879" s="81"/>
      <c r="AE879" s="81" t="b">
        <v>0</v>
      </c>
      <c r="AF879" s="81">
        <v>0</v>
      </c>
      <c r="AG879" s="86" t="s">
        <v>2084</v>
      </c>
      <c r="AH879" s="81" t="b">
        <v>0</v>
      </c>
      <c r="AI879" s="81" t="s">
        <v>2168</v>
      </c>
      <c r="AJ879" s="81"/>
      <c r="AK879" s="86" t="s">
        <v>2084</v>
      </c>
      <c r="AL879" s="81" t="b">
        <v>0</v>
      </c>
      <c r="AM879" s="81">
        <v>22</v>
      </c>
      <c r="AN879" s="86" t="s">
        <v>1846</v>
      </c>
      <c r="AO879" s="86" t="s">
        <v>2179</v>
      </c>
      <c r="AP879" s="81" t="b">
        <v>0</v>
      </c>
      <c r="AQ879" s="86" t="s">
        <v>1846</v>
      </c>
      <c r="AR879" s="81" t="s">
        <v>179</v>
      </c>
      <c r="AS879" s="81">
        <v>0</v>
      </c>
      <c r="AT879" s="81">
        <v>0</v>
      </c>
      <c r="AU879" s="81"/>
      <c r="AV879" s="81"/>
      <c r="AW879" s="81"/>
      <c r="AX879" s="81"/>
      <c r="AY879" s="81"/>
      <c r="AZ879" s="81"/>
      <c r="BA879" s="81"/>
      <c r="BB879" s="81"/>
    </row>
    <row r="880" spans="1:54" x14ac:dyDescent="0.35">
      <c r="A880" s="66" t="s">
        <v>445</v>
      </c>
      <c r="B880" s="66" t="s">
        <v>648</v>
      </c>
      <c r="C880" s="67"/>
      <c r="D880" s="68"/>
      <c r="E880" s="69"/>
      <c r="F880" s="70"/>
      <c r="G880" s="67"/>
      <c r="H880" s="71"/>
      <c r="I880" s="72"/>
      <c r="J880" s="72"/>
      <c r="K880" s="36"/>
      <c r="L880" s="79"/>
      <c r="M880" s="79"/>
      <c r="N880" s="74"/>
      <c r="O880" s="81" t="s">
        <v>694</v>
      </c>
      <c r="P880" s="83">
        <v>44464.229201388887</v>
      </c>
      <c r="Q880" s="81" t="s">
        <v>804</v>
      </c>
      <c r="R880" s="81"/>
      <c r="S880" s="81"/>
      <c r="T880" s="86" t="s">
        <v>649</v>
      </c>
      <c r="U880" s="84" t="str">
        <f>HYPERLINK("https://pbs.twimg.com/media/FAEaAdPVgAgaH2z.jpg")</f>
        <v>https://pbs.twimg.com/media/FAEaAdPVgAgaH2z.jpg</v>
      </c>
      <c r="V880" s="84" t="str">
        <f>HYPERLINK("https://pbs.twimg.com/media/FAEaAdPVgAgaH2z.jpg")</f>
        <v>https://pbs.twimg.com/media/FAEaAdPVgAgaH2z.jpg</v>
      </c>
      <c r="W880" s="83">
        <v>44464.229201388887</v>
      </c>
      <c r="X880" s="89">
        <v>44464</v>
      </c>
      <c r="Y880" s="86" t="s">
        <v>1289</v>
      </c>
      <c r="Z880" s="84" t="str">
        <f>HYPERLINK("https://twitter.com/lauvkia/status/1441636094844407808")</f>
        <v>https://twitter.com/lauvkia/status/1441636094844407808</v>
      </c>
      <c r="AA880" s="81"/>
      <c r="AB880" s="81"/>
      <c r="AC880" s="86" t="s">
        <v>1784</v>
      </c>
      <c r="AD880" s="81"/>
      <c r="AE880" s="81" t="b">
        <v>0</v>
      </c>
      <c r="AF880" s="81">
        <v>0</v>
      </c>
      <c r="AG880" s="86" t="s">
        <v>2084</v>
      </c>
      <c r="AH880" s="81" t="b">
        <v>0</v>
      </c>
      <c r="AI880" s="81" t="s">
        <v>2168</v>
      </c>
      <c r="AJ880" s="81"/>
      <c r="AK880" s="86" t="s">
        <v>2084</v>
      </c>
      <c r="AL880" s="81" t="b">
        <v>0</v>
      </c>
      <c r="AM880" s="81">
        <v>22</v>
      </c>
      <c r="AN880" s="86" t="s">
        <v>1846</v>
      </c>
      <c r="AO880" s="86" t="s">
        <v>2179</v>
      </c>
      <c r="AP880" s="81" t="b">
        <v>0</v>
      </c>
      <c r="AQ880" s="86" t="s">
        <v>1846</v>
      </c>
      <c r="AR880" s="81" t="s">
        <v>179</v>
      </c>
      <c r="AS880" s="81">
        <v>0</v>
      </c>
      <c r="AT880" s="81">
        <v>0</v>
      </c>
      <c r="AU880" s="81"/>
      <c r="AV880" s="81"/>
      <c r="AW880" s="81"/>
      <c r="AX880" s="81"/>
      <c r="AY880" s="81"/>
      <c r="AZ880" s="81"/>
      <c r="BA880" s="81"/>
      <c r="BB880" s="81"/>
    </row>
    <row r="881" spans="1:54" x14ac:dyDescent="0.35">
      <c r="A881" s="66" t="s">
        <v>445</v>
      </c>
      <c r="B881" s="66" t="s">
        <v>649</v>
      </c>
      <c r="C881" s="67"/>
      <c r="D881" s="68"/>
      <c r="E881" s="69"/>
      <c r="F881" s="70"/>
      <c r="G881" s="67"/>
      <c r="H881" s="71"/>
      <c r="I881" s="72"/>
      <c r="J881" s="72"/>
      <c r="K881" s="36"/>
      <c r="L881" s="79"/>
      <c r="M881" s="79"/>
      <c r="N881" s="74"/>
      <c r="O881" s="81" t="s">
        <v>694</v>
      </c>
      <c r="P881" s="83">
        <v>44464.229201388887</v>
      </c>
      <c r="Q881" s="81" t="s">
        <v>804</v>
      </c>
      <c r="R881" s="81"/>
      <c r="S881" s="81"/>
      <c r="T881" s="86" t="s">
        <v>649</v>
      </c>
      <c r="U881" s="84" t="str">
        <f>HYPERLINK("https://pbs.twimg.com/media/FAEaAdPVgAgaH2z.jpg")</f>
        <v>https://pbs.twimg.com/media/FAEaAdPVgAgaH2z.jpg</v>
      </c>
      <c r="V881" s="84" t="str">
        <f>HYPERLINK("https://pbs.twimg.com/media/FAEaAdPVgAgaH2z.jpg")</f>
        <v>https://pbs.twimg.com/media/FAEaAdPVgAgaH2z.jpg</v>
      </c>
      <c r="W881" s="83">
        <v>44464.229201388887</v>
      </c>
      <c r="X881" s="89">
        <v>44464</v>
      </c>
      <c r="Y881" s="86" t="s">
        <v>1289</v>
      </c>
      <c r="Z881" s="84" t="str">
        <f>HYPERLINK("https://twitter.com/lauvkia/status/1441636094844407808")</f>
        <v>https://twitter.com/lauvkia/status/1441636094844407808</v>
      </c>
      <c r="AA881" s="81"/>
      <c r="AB881" s="81"/>
      <c r="AC881" s="86" t="s">
        <v>1784</v>
      </c>
      <c r="AD881" s="81"/>
      <c r="AE881" s="81" t="b">
        <v>0</v>
      </c>
      <c r="AF881" s="81">
        <v>0</v>
      </c>
      <c r="AG881" s="86" t="s">
        <v>2084</v>
      </c>
      <c r="AH881" s="81" t="b">
        <v>0</v>
      </c>
      <c r="AI881" s="81" t="s">
        <v>2168</v>
      </c>
      <c r="AJ881" s="81"/>
      <c r="AK881" s="86" t="s">
        <v>2084</v>
      </c>
      <c r="AL881" s="81" t="b">
        <v>0</v>
      </c>
      <c r="AM881" s="81">
        <v>22</v>
      </c>
      <c r="AN881" s="86" t="s">
        <v>1846</v>
      </c>
      <c r="AO881" s="86" t="s">
        <v>2179</v>
      </c>
      <c r="AP881" s="81" t="b">
        <v>0</v>
      </c>
      <c r="AQ881" s="86" t="s">
        <v>1846</v>
      </c>
      <c r="AR881" s="81" t="s">
        <v>179</v>
      </c>
      <c r="AS881" s="81">
        <v>0</v>
      </c>
      <c r="AT881" s="81">
        <v>0</v>
      </c>
      <c r="AU881" s="81"/>
      <c r="AV881" s="81"/>
      <c r="AW881" s="81"/>
      <c r="AX881" s="81"/>
      <c r="AY881" s="81"/>
      <c r="AZ881" s="81"/>
      <c r="BA881" s="81"/>
      <c r="BB881" s="81"/>
    </row>
    <row r="882" spans="1:54" x14ac:dyDescent="0.35">
      <c r="A882" s="66" t="s">
        <v>445</v>
      </c>
      <c r="B882" s="66" t="s">
        <v>496</v>
      </c>
      <c r="C882" s="67"/>
      <c r="D882" s="68"/>
      <c r="E882" s="69"/>
      <c r="F882" s="70"/>
      <c r="G882" s="67"/>
      <c r="H882" s="71"/>
      <c r="I882" s="72"/>
      <c r="J882" s="72"/>
      <c r="K882" s="36"/>
      <c r="L882" s="79"/>
      <c r="M882" s="79"/>
      <c r="N882" s="74"/>
      <c r="O882" s="81" t="s">
        <v>693</v>
      </c>
      <c r="P882" s="83">
        <v>44464.229201388887</v>
      </c>
      <c r="Q882" s="81" t="s">
        <v>804</v>
      </c>
      <c r="R882" s="81"/>
      <c r="S882" s="81"/>
      <c r="T882" s="86" t="s">
        <v>649</v>
      </c>
      <c r="U882" s="84" t="str">
        <f>HYPERLINK("https://pbs.twimg.com/media/FAEaAdPVgAgaH2z.jpg")</f>
        <v>https://pbs.twimg.com/media/FAEaAdPVgAgaH2z.jpg</v>
      </c>
      <c r="V882" s="84" t="str">
        <f>HYPERLINK("https://pbs.twimg.com/media/FAEaAdPVgAgaH2z.jpg")</f>
        <v>https://pbs.twimg.com/media/FAEaAdPVgAgaH2z.jpg</v>
      </c>
      <c r="W882" s="83">
        <v>44464.229201388887</v>
      </c>
      <c r="X882" s="89">
        <v>44464</v>
      </c>
      <c r="Y882" s="86" t="s">
        <v>1289</v>
      </c>
      <c r="Z882" s="84" t="str">
        <f>HYPERLINK("https://twitter.com/lauvkia/status/1441636094844407808")</f>
        <v>https://twitter.com/lauvkia/status/1441636094844407808</v>
      </c>
      <c r="AA882" s="81"/>
      <c r="AB882" s="81"/>
      <c r="AC882" s="86" t="s">
        <v>1784</v>
      </c>
      <c r="AD882" s="81"/>
      <c r="AE882" s="81" t="b">
        <v>0</v>
      </c>
      <c r="AF882" s="81">
        <v>0</v>
      </c>
      <c r="AG882" s="86" t="s">
        <v>2084</v>
      </c>
      <c r="AH882" s="81" t="b">
        <v>0</v>
      </c>
      <c r="AI882" s="81" t="s">
        <v>2168</v>
      </c>
      <c r="AJ882" s="81"/>
      <c r="AK882" s="86" t="s">
        <v>2084</v>
      </c>
      <c r="AL882" s="81" t="b">
        <v>0</v>
      </c>
      <c r="AM882" s="81">
        <v>22</v>
      </c>
      <c r="AN882" s="86" t="s">
        <v>1846</v>
      </c>
      <c r="AO882" s="86" t="s">
        <v>2179</v>
      </c>
      <c r="AP882" s="81" t="b">
        <v>0</v>
      </c>
      <c r="AQ882" s="86" t="s">
        <v>1846</v>
      </c>
      <c r="AR882" s="81" t="s">
        <v>179</v>
      </c>
      <c r="AS882" s="81">
        <v>0</v>
      </c>
      <c r="AT882" s="81">
        <v>0</v>
      </c>
      <c r="AU882" s="81"/>
      <c r="AV882" s="81"/>
      <c r="AW882" s="81"/>
      <c r="AX882" s="81"/>
      <c r="AY882" s="81"/>
      <c r="AZ882" s="81"/>
      <c r="BA882" s="81"/>
      <c r="BB882" s="81"/>
    </row>
    <row r="883" spans="1:54" x14ac:dyDescent="0.35">
      <c r="A883" s="66" t="s">
        <v>446</v>
      </c>
      <c r="B883" s="66" t="s">
        <v>656</v>
      </c>
      <c r="C883" s="67"/>
      <c r="D883" s="68"/>
      <c r="E883" s="69"/>
      <c r="F883" s="70"/>
      <c r="G883" s="67"/>
      <c r="H883" s="71"/>
      <c r="I883" s="72"/>
      <c r="J883" s="72"/>
      <c r="K883" s="36"/>
      <c r="L883" s="79"/>
      <c r="M883" s="79"/>
      <c r="N883" s="74"/>
      <c r="O883" s="81" t="s">
        <v>695</v>
      </c>
      <c r="P883" s="83">
        <v>44464.229351851849</v>
      </c>
      <c r="Q883" s="81" t="s">
        <v>807</v>
      </c>
      <c r="R883" s="81"/>
      <c r="S883" s="81"/>
      <c r="T883" s="81"/>
      <c r="U883" s="81"/>
      <c r="V883" s="84" t="str">
        <f>HYPERLINK("https://pbs.twimg.com/profile_images/1440244607577571331/3INHdfAa_normal.jpg")</f>
        <v>https://pbs.twimg.com/profile_images/1440244607577571331/3INHdfAa_normal.jpg</v>
      </c>
      <c r="W883" s="83">
        <v>44464.229351851849</v>
      </c>
      <c r="X883" s="89">
        <v>44464</v>
      </c>
      <c r="Y883" s="86" t="s">
        <v>1290</v>
      </c>
      <c r="Z883" s="84" t="str">
        <f>HYPERLINK("https://twitter.com/syazzyjinbts/status/1441636148846100483")</f>
        <v>https://twitter.com/syazzyjinbts/status/1441636148846100483</v>
      </c>
      <c r="AA883" s="81"/>
      <c r="AB883" s="81"/>
      <c r="AC883" s="86" t="s">
        <v>1785</v>
      </c>
      <c r="AD883" s="86" t="s">
        <v>2038</v>
      </c>
      <c r="AE883" s="81" t="b">
        <v>0</v>
      </c>
      <c r="AF883" s="81">
        <v>0</v>
      </c>
      <c r="AG883" s="86" t="s">
        <v>2122</v>
      </c>
      <c r="AH883" s="81" t="b">
        <v>0</v>
      </c>
      <c r="AI883" s="81" t="s">
        <v>2167</v>
      </c>
      <c r="AJ883" s="81"/>
      <c r="AK883" s="86" t="s">
        <v>2084</v>
      </c>
      <c r="AL883" s="81" t="b">
        <v>0</v>
      </c>
      <c r="AM883" s="81">
        <v>0</v>
      </c>
      <c r="AN883" s="86" t="s">
        <v>2084</v>
      </c>
      <c r="AO883" s="86" t="s">
        <v>2178</v>
      </c>
      <c r="AP883" s="81" t="b">
        <v>0</v>
      </c>
      <c r="AQ883" s="86" t="s">
        <v>2038</v>
      </c>
      <c r="AR883" s="81" t="s">
        <v>179</v>
      </c>
      <c r="AS883" s="81">
        <v>0</v>
      </c>
      <c r="AT883" s="81">
        <v>0</v>
      </c>
      <c r="AU883" s="81"/>
      <c r="AV883" s="81"/>
      <c r="AW883" s="81"/>
      <c r="AX883" s="81"/>
      <c r="AY883" s="81"/>
      <c r="AZ883" s="81"/>
      <c r="BA883" s="81"/>
      <c r="BB883" s="81"/>
    </row>
    <row r="884" spans="1:54" x14ac:dyDescent="0.35">
      <c r="A884" s="66" t="s">
        <v>447</v>
      </c>
      <c r="B884" s="66" t="s">
        <v>646</v>
      </c>
      <c r="C884" s="67"/>
      <c r="D884" s="68"/>
      <c r="E884" s="69"/>
      <c r="F884" s="70"/>
      <c r="G884" s="67"/>
      <c r="H884" s="71"/>
      <c r="I884" s="72"/>
      <c r="J884" s="72"/>
      <c r="K884" s="36"/>
      <c r="L884" s="79"/>
      <c r="M884" s="79"/>
      <c r="N884" s="74"/>
      <c r="O884" s="81" t="s">
        <v>694</v>
      </c>
      <c r="P884" s="83">
        <v>44464.229629629626</v>
      </c>
      <c r="Q884" s="81" t="s">
        <v>804</v>
      </c>
      <c r="R884" s="81"/>
      <c r="S884" s="81"/>
      <c r="T884" s="86" t="s">
        <v>649</v>
      </c>
      <c r="U884" s="84" t="str">
        <f>HYPERLINK("https://pbs.twimg.com/media/FAEaAdPVgAgaH2z.jpg")</f>
        <v>https://pbs.twimg.com/media/FAEaAdPVgAgaH2z.jpg</v>
      </c>
      <c r="V884" s="84" t="str">
        <f>HYPERLINK("https://pbs.twimg.com/media/FAEaAdPVgAgaH2z.jpg")</f>
        <v>https://pbs.twimg.com/media/FAEaAdPVgAgaH2z.jpg</v>
      </c>
      <c r="W884" s="83">
        <v>44464.229629629626</v>
      </c>
      <c r="X884" s="89">
        <v>44464</v>
      </c>
      <c r="Y884" s="86" t="s">
        <v>1291</v>
      </c>
      <c r="Z884" s="84" t="str">
        <f>HYPERLINK("https://twitter.com/blkhairtannies/status/1441636249047998471")</f>
        <v>https://twitter.com/blkhairtannies/status/1441636249047998471</v>
      </c>
      <c r="AA884" s="81"/>
      <c r="AB884" s="81"/>
      <c r="AC884" s="86" t="s">
        <v>1786</v>
      </c>
      <c r="AD884" s="81"/>
      <c r="AE884" s="81" t="b">
        <v>0</v>
      </c>
      <c r="AF884" s="81">
        <v>0</v>
      </c>
      <c r="AG884" s="86" t="s">
        <v>2084</v>
      </c>
      <c r="AH884" s="81" t="b">
        <v>0</v>
      </c>
      <c r="AI884" s="81" t="s">
        <v>2168</v>
      </c>
      <c r="AJ884" s="81"/>
      <c r="AK884" s="86" t="s">
        <v>2084</v>
      </c>
      <c r="AL884" s="81" t="b">
        <v>0</v>
      </c>
      <c r="AM884" s="81">
        <v>22</v>
      </c>
      <c r="AN884" s="86" t="s">
        <v>1846</v>
      </c>
      <c r="AO884" s="86" t="s">
        <v>2178</v>
      </c>
      <c r="AP884" s="81" t="b">
        <v>0</v>
      </c>
      <c r="AQ884" s="86" t="s">
        <v>1846</v>
      </c>
      <c r="AR884" s="81" t="s">
        <v>179</v>
      </c>
      <c r="AS884" s="81">
        <v>0</v>
      </c>
      <c r="AT884" s="81">
        <v>0</v>
      </c>
      <c r="AU884" s="81"/>
      <c r="AV884" s="81"/>
      <c r="AW884" s="81"/>
      <c r="AX884" s="81"/>
      <c r="AY884" s="81"/>
      <c r="AZ884" s="81"/>
      <c r="BA884" s="81"/>
      <c r="BB884" s="81"/>
    </row>
    <row r="885" spans="1:54" x14ac:dyDescent="0.35">
      <c r="A885" s="66" t="s">
        <v>447</v>
      </c>
      <c r="B885" s="66" t="s">
        <v>647</v>
      </c>
      <c r="C885" s="67"/>
      <c r="D885" s="68"/>
      <c r="E885" s="69"/>
      <c r="F885" s="70"/>
      <c r="G885" s="67"/>
      <c r="H885" s="71"/>
      <c r="I885" s="72"/>
      <c r="J885" s="72"/>
      <c r="K885" s="36"/>
      <c r="L885" s="79"/>
      <c r="M885" s="79"/>
      <c r="N885" s="74"/>
      <c r="O885" s="81" t="s">
        <v>694</v>
      </c>
      <c r="P885" s="83">
        <v>44464.229629629626</v>
      </c>
      <c r="Q885" s="81" t="s">
        <v>804</v>
      </c>
      <c r="R885" s="81"/>
      <c r="S885" s="81"/>
      <c r="T885" s="86" t="s">
        <v>649</v>
      </c>
      <c r="U885" s="84" t="str">
        <f>HYPERLINK("https://pbs.twimg.com/media/FAEaAdPVgAgaH2z.jpg")</f>
        <v>https://pbs.twimg.com/media/FAEaAdPVgAgaH2z.jpg</v>
      </c>
      <c r="V885" s="84" t="str">
        <f>HYPERLINK("https://pbs.twimg.com/media/FAEaAdPVgAgaH2z.jpg")</f>
        <v>https://pbs.twimg.com/media/FAEaAdPVgAgaH2z.jpg</v>
      </c>
      <c r="W885" s="83">
        <v>44464.229629629626</v>
      </c>
      <c r="X885" s="89">
        <v>44464</v>
      </c>
      <c r="Y885" s="86" t="s">
        <v>1291</v>
      </c>
      <c r="Z885" s="84" t="str">
        <f>HYPERLINK("https://twitter.com/blkhairtannies/status/1441636249047998471")</f>
        <v>https://twitter.com/blkhairtannies/status/1441636249047998471</v>
      </c>
      <c r="AA885" s="81"/>
      <c r="AB885" s="81"/>
      <c r="AC885" s="86" t="s">
        <v>1786</v>
      </c>
      <c r="AD885" s="81"/>
      <c r="AE885" s="81" t="b">
        <v>0</v>
      </c>
      <c r="AF885" s="81">
        <v>0</v>
      </c>
      <c r="AG885" s="86" t="s">
        <v>2084</v>
      </c>
      <c r="AH885" s="81" t="b">
        <v>0</v>
      </c>
      <c r="AI885" s="81" t="s">
        <v>2168</v>
      </c>
      <c r="AJ885" s="81"/>
      <c r="AK885" s="86" t="s">
        <v>2084</v>
      </c>
      <c r="AL885" s="81" t="b">
        <v>0</v>
      </c>
      <c r="AM885" s="81">
        <v>22</v>
      </c>
      <c r="AN885" s="86" t="s">
        <v>1846</v>
      </c>
      <c r="AO885" s="86" t="s">
        <v>2178</v>
      </c>
      <c r="AP885" s="81" t="b">
        <v>0</v>
      </c>
      <c r="AQ885" s="86" t="s">
        <v>1846</v>
      </c>
      <c r="AR885" s="81" t="s">
        <v>179</v>
      </c>
      <c r="AS885" s="81">
        <v>0</v>
      </c>
      <c r="AT885" s="81">
        <v>0</v>
      </c>
      <c r="AU885" s="81"/>
      <c r="AV885" s="81"/>
      <c r="AW885" s="81"/>
      <c r="AX885" s="81"/>
      <c r="AY885" s="81"/>
      <c r="AZ885" s="81"/>
      <c r="BA885" s="81"/>
      <c r="BB885" s="81"/>
    </row>
    <row r="886" spans="1:54" x14ac:dyDescent="0.35">
      <c r="A886" s="66" t="s">
        <v>447</v>
      </c>
      <c r="B886" s="66" t="s">
        <v>648</v>
      </c>
      <c r="C886" s="67"/>
      <c r="D886" s="68"/>
      <c r="E886" s="69"/>
      <c r="F886" s="70"/>
      <c r="G886" s="67"/>
      <c r="H886" s="71"/>
      <c r="I886" s="72"/>
      <c r="J886" s="72"/>
      <c r="K886" s="36"/>
      <c r="L886" s="79"/>
      <c r="M886" s="79"/>
      <c r="N886" s="74"/>
      <c r="O886" s="81" t="s">
        <v>694</v>
      </c>
      <c r="P886" s="83">
        <v>44464.229629629626</v>
      </c>
      <c r="Q886" s="81" t="s">
        <v>804</v>
      </c>
      <c r="R886" s="81"/>
      <c r="S886" s="81"/>
      <c r="T886" s="86" t="s">
        <v>649</v>
      </c>
      <c r="U886" s="84" t="str">
        <f>HYPERLINK("https://pbs.twimg.com/media/FAEaAdPVgAgaH2z.jpg")</f>
        <v>https://pbs.twimg.com/media/FAEaAdPVgAgaH2z.jpg</v>
      </c>
      <c r="V886" s="84" t="str">
        <f>HYPERLINK("https://pbs.twimg.com/media/FAEaAdPVgAgaH2z.jpg")</f>
        <v>https://pbs.twimg.com/media/FAEaAdPVgAgaH2z.jpg</v>
      </c>
      <c r="W886" s="83">
        <v>44464.229629629626</v>
      </c>
      <c r="X886" s="89">
        <v>44464</v>
      </c>
      <c r="Y886" s="86" t="s">
        <v>1291</v>
      </c>
      <c r="Z886" s="84" t="str">
        <f>HYPERLINK("https://twitter.com/blkhairtannies/status/1441636249047998471")</f>
        <v>https://twitter.com/blkhairtannies/status/1441636249047998471</v>
      </c>
      <c r="AA886" s="81"/>
      <c r="AB886" s="81"/>
      <c r="AC886" s="86" t="s">
        <v>1786</v>
      </c>
      <c r="AD886" s="81"/>
      <c r="AE886" s="81" t="b">
        <v>0</v>
      </c>
      <c r="AF886" s="81">
        <v>0</v>
      </c>
      <c r="AG886" s="86" t="s">
        <v>2084</v>
      </c>
      <c r="AH886" s="81" t="b">
        <v>0</v>
      </c>
      <c r="AI886" s="81" t="s">
        <v>2168</v>
      </c>
      <c r="AJ886" s="81"/>
      <c r="AK886" s="86" t="s">
        <v>2084</v>
      </c>
      <c r="AL886" s="81" t="b">
        <v>0</v>
      </c>
      <c r="AM886" s="81">
        <v>22</v>
      </c>
      <c r="AN886" s="86" t="s">
        <v>1846</v>
      </c>
      <c r="AO886" s="86" t="s">
        <v>2178</v>
      </c>
      <c r="AP886" s="81" t="b">
        <v>0</v>
      </c>
      <c r="AQ886" s="86" t="s">
        <v>1846</v>
      </c>
      <c r="AR886" s="81" t="s">
        <v>179</v>
      </c>
      <c r="AS886" s="81">
        <v>0</v>
      </c>
      <c r="AT886" s="81">
        <v>0</v>
      </c>
      <c r="AU886" s="81"/>
      <c r="AV886" s="81"/>
      <c r="AW886" s="81"/>
      <c r="AX886" s="81"/>
      <c r="AY886" s="81"/>
      <c r="AZ886" s="81"/>
      <c r="BA886" s="81"/>
      <c r="BB886" s="81"/>
    </row>
    <row r="887" spans="1:54" x14ac:dyDescent="0.35">
      <c r="A887" s="66" t="s">
        <v>447</v>
      </c>
      <c r="B887" s="66" t="s">
        <v>649</v>
      </c>
      <c r="C887" s="67"/>
      <c r="D887" s="68"/>
      <c r="E887" s="69"/>
      <c r="F887" s="70"/>
      <c r="G887" s="67"/>
      <c r="H887" s="71"/>
      <c r="I887" s="72"/>
      <c r="J887" s="72"/>
      <c r="K887" s="36"/>
      <c r="L887" s="79"/>
      <c r="M887" s="79"/>
      <c r="N887" s="74"/>
      <c r="O887" s="81" t="s">
        <v>694</v>
      </c>
      <c r="P887" s="83">
        <v>44464.229629629626</v>
      </c>
      <c r="Q887" s="81" t="s">
        <v>804</v>
      </c>
      <c r="R887" s="81"/>
      <c r="S887" s="81"/>
      <c r="T887" s="86" t="s">
        <v>649</v>
      </c>
      <c r="U887" s="84" t="str">
        <f>HYPERLINK("https://pbs.twimg.com/media/FAEaAdPVgAgaH2z.jpg")</f>
        <v>https://pbs.twimg.com/media/FAEaAdPVgAgaH2z.jpg</v>
      </c>
      <c r="V887" s="84" t="str">
        <f>HYPERLINK("https://pbs.twimg.com/media/FAEaAdPVgAgaH2z.jpg")</f>
        <v>https://pbs.twimg.com/media/FAEaAdPVgAgaH2z.jpg</v>
      </c>
      <c r="W887" s="83">
        <v>44464.229629629626</v>
      </c>
      <c r="X887" s="89">
        <v>44464</v>
      </c>
      <c r="Y887" s="86" t="s">
        <v>1291</v>
      </c>
      <c r="Z887" s="84" t="str">
        <f>HYPERLINK("https://twitter.com/blkhairtannies/status/1441636249047998471")</f>
        <v>https://twitter.com/blkhairtannies/status/1441636249047998471</v>
      </c>
      <c r="AA887" s="81"/>
      <c r="AB887" s="81"/>
      <c r="AC887" s="86" t="s">
        <v>1786</v>
      </c>
      <c r="AD887" s="81"/>
      <c r="AE887" s="81" t="b">
        <v>0</v>
      </c>
      <c r="AF887" s="81">
        <v>0</v>
      </c>
      <c r="AG887" s="86" t="s">
        <v>2084</v>
      </c>
      <c r="AH887" s="81" t="b">
        <v>0</v>
      </c>
      <c r="AI887" s="81" t="s">
        <v>2168</v>
      </c>
      <c r="AJ887" s="81"/>
      <c r="AK887" s="86" t="s">
        <v>2084</v>
      </c>
      <c r="AL887" s="81" t="b">
        <v>0</v>
      </c>
      <c r="AM887" s="81">
        <v>22</v>
      </c>
      <c r="AN887" s="86" t="s">
        <v>1846</v>
      </c>
      <c r="AO887" s="86" t="s">
        <v>2178</v>
      </c>
      <c r="AP887" s="81" t="b">
        <v>0</v>
      </c>
      <c r="AQ887" s="86" t="s">
        <v>1846</v>
      </c>
      <c r="AR887" s="81" t="s">
        <v>179</v>
      </c>
      <c r="AS887" s="81">
        <v>0</v>
      </c>
      <c r="AT887" s="81">
        <v>0</v>
      </c>
      <c r="AU887" s="81"/>
      <c r="AV887" s="81"/>
      <c r="AW887" s="81"/>
      <c r="AX887" s="81"/>
      <c r="AY887" s="81"/>
      <c r="AZ887" s="81"/>
      <c r="BA887" s="81"/>
      <c r="BB887" s="81"/>
    </row>
    <row r="888" spans="1:54" x14ac:dyDescent="0.35">
      <c r="A888" s="66" t="s">
        <v>447</v>
      </c>
      <c r="B888" s="66" t="s">
        <v>496</v>
      </c>
      <c r="C888" s="67"/>
      <c r="D888" s="68"/>
      <c r="E888" s="69"/>
      <c r="F888" s="70"/>
      <c r="G888" s="67"/>
      <c r="H888" s="71"/>
      <c r="I888" s="72"/>
      <c r="J888" s="72"/>
      <c r="K888" s="36"/>
      <c r="L888" s="79"/>
      <c r="M888" s="79"/>
      <c r="N888" s="74"/>
      <c r="O888" s="81" t="s">
        <v>693</v>
      </c>
      <c r="P888" s="83">
        <v>44464.229629629626</v>
      </c>
      <c r="Q888" s="81" t="s">
        <v>804</v>
      </c>
      <c r="R888" s="81"/>
      <c r="S888" s="81"/>
      <c r="T888" s="86" t="s">
        <v>649</v>
      </c>
      <c r="U888" s="84" t="str">
        <f>HYPERLINK("https://pbs.twimg.com/media/FAEaAdPVgAgaH2z.jpg")</f>
        <v>https://pbs.twimg.com/media/FAEaAdPVgAgaH2z.jpg</v>
      </c>
      <c r="V888" s="84" t="str">
        <f>HYPERLINK("https://pbs.twimg.com/media/FAEaAdPVgAgaH2z.jpg")</f>
        <v>https://pbs.twimg.com/media/FAEaAdPVgAgaH2z.jpg</v>
      </c>
      <c r="W888" s="83">
        <v>44464.229629629626</v>
      </c>
      <c r="X888" s="89">
        <v>44464</v>
      </c>
      <c r="Y888" s="86" t="s">
        <v>1291</v>
      </c>
      <c r="Z888" s="84" t="str">
        <f>HYPERLINK("https://twitter.com/blkhairtannies/status/1441636249047998471")</f>
        <v>https://twitter.com/blkhairtannies/status/1441636249047998471</v>
      </c>
      <c r="AA888" s="81"/>
      <c r="AB888" s="81"/>
      <c r="AC888" s="86" t="s">
        <v>1786</v>
      </c>
      <c r="AD888" s="81"/>
      <c r="AE888" s="81" t="b">
        <v>0</v>
      </c>
      <c r="AF888" s="81">
        <v>0</v>
      </c>
      <c r="AG888" s="86" t="s">
        <v>2084</v>
      </c>
      <c r="AH888" s="81" t="b">
        <v>0</v>
      </c>
      <c r="AI888" s="81" t="s">
        <v>2168</v>
      </c>
      <c r="AJ888" s="81"/>
      <c r="AK888" s="86" t="s">
        <v>2084</v>
      </c>
      <c r="AL888" s="81" t="b">
        <v>0</v>
      </c>
      <c r="AM888" s="81">
        <v>22</v>
      </c>
      <c r="AN888" s="86" t="s">
        <v>1846</v>
      </c>
      <c r="AO888" s="86" t="s">
        <v>2178</v>
      </c>
      <c r="AP888" s="81" t="b">
        <v>0</v>
      </c>
      <c r="AQ888" s="86" t="s">
        <v>1846</v>
      </c>
      <c r="AR888" s="81" t="s">
        <v>179</v>
      </c>
      <c r="AS888" s="81">
        <v>0</v>
      </c>
      <c r="AT888" s="81">
        <v>0</v>
      </c>
      <c r="AU888" s="81"/>
      <c r="AV888" s="81"/>
      <c r="AW888" s="81"/>
      <c r="AX888" s="81"/>
      <c r="AY888" s="81"/>
      <c r="AZ888" s="81"/>
      <c r="BA888" s="81"/>
      <c r="BB888" s="81"/>
    </row>
    <row r="889" spans="1:54" x14ac:dyDescent="0.35">
      <c r="A889" s="66" t="s">
        <v>448</v>
      </c>
      <c r="B889" s="66" t="s">
        <v>646</v>
      </c>
      <c r="C889" s="67"/>
      <c r="D889" s="68"/>
      <c r="E889" s="69"/>
      <c r="F889" s="70"/>
      <c r="G889" s="67"/>
      <c r="H889" s="71"/>
      <c r="I889" s="72"/>
      <c r="J889" s="72"/>
      <c r="K889" s="36"/>
      <c r="L889" s="79"/>
      <c r="M889" s="79"/>
      <c r="N889" s="74"/>
      <c r="O889" s="81" t="s">
        <v>694</v>
      </c>
      <c r="P889" s="83">
        <v>44464.230833333335</v>
      </c>
      <c r="Q889" s="81" t="s">
        <v>804</v>
      </c>
      <c r="R889" s="81"/>
      <c r="S889" s="81"/>
      <c r="T889" s="86" t="s">
        <v>649</v>
      </c>
      <c r="U889" s="84" t="str">
        <f>HYPERLINK("https://pbs.twimg.com/media/FAEaAdPVgAgaH2z.jpg")</f>
        <v>https://pbs.twimg.com/media/FAEaAdPVgAgaH2z.jpg</v>
      </c>
      <c r="V889" s="84" t="str">
        <f>HYPERLINK("https://pbs.twimg.com/media/FAEaAdPVgAgaH2z.jpg")</f>
        <v>https://pbs.twimg.com/media/FAEaAdPVgAgaH2z.jpg</v>
      </c>
      <c r="W889" s="83">
        <v>44464.230833333335</v>
      </c>
      <c r="X889" s="89">
        <v>44464</v>
      </c>
      <c r="Y889" s="86" t="s">
        <v>1292</v>
      </c>
      <c r="Z889" s="84" t="str">
        <f>HYPERLINK("https://twitter.com/jeonbunnyqis/status/1441636685356273666")</f>
        <v>https://twitter.com/jeonbunnyqis/status/1441636685356273666</v>
      </c>
      <c r="AA889" s="81"/>
      <c r="AB889" s="81"/>
      <c r="AC889" s="86" t="s">
        <v>1787</v>
      </c>
      <c r="AD889" s="81"/>
      <c r="AE889" s="81" t="b">
        <v>0</v>
      </c>
      <c r="AF889" s="81">
        <v>0</v>
      </c>
      <c r="AG889" s="86" t="s">
        <v>2084</v>
      </c>
      <c r="AH889" s="81" t="b">
        <v>0</v>
      </c>
      <c r="AI889" s="81" t="s">
        <v>2168</v>
      </c>
      <c r="AJ889" s="81"/>
      <c r="AK889" s="86" t="s">
        <v>2084</v>
      </c>
      <c r="AL889" s="81" t="b">
        <v>0</v>
      </c>
      <c r="AM889" s="81">
        <v>22</v>
      </c>
      <c r="AN889" s="86" t="s">
        <v>1846</v>
      </c>
      <c r="AO889" s="86" t="s">
        <v>2179</v>
      </c>
      <c r="AP889" s="81" t="b">
        <v>0</v>
      </c>
      <c r="AQ889" s="86" t="s">
        <v>1846</v>
      </c>
      <c r="AR889" s="81" t="s">
        <v>179</v>
      </c>
      <c r="AS889" s="81">
        <v>0</v>
      </c>
      <c r="AT889" s="81">
        <v>0</v>
      </c>
      <c r="AU889" s="81"/>
      <c r="AV889" s="81"/>
      <c r="AW889" s="81"/>
      <c r="AX889" s="81"/>
      <c r="AY889" s="81"/>
      <c r="AZ889" s="81"/>
      <c r="BA889" s="81"/>
      <c r="BB889" s="81"/>
    </row>
    <row r="890" spans="1:54" x14ac:dyDescent="0.35">
      <c r="A890" s="66" t="s">
        <v>448</v>
      </c>
      <c r="B890" s="66" t="s">
        <v>647</v>
      </c>
      <c r="C890" s="67"/>
      <c r="D890" s="68"/>
      <c r="E890" s="69"/>
      <c r="F890" s="70"/>
      <c r="G890" s="67"/>
      <c r="H890" s="71"/>
      <c r="I890" s="72"/>
      <c r="J890" s="72"/>
      <c r="K890" s="36"/>
      <c r="L890" s="79"/>
      <c r="M890" s="79"/>
      <c r="N890" s="74"/>
      <c r="O890" s="81" t="s">
        <v>694</v>
      </c>
      <c r="P890" s="83">
        <v>44464.230833333335</v>
      </c>
      <c r="Q890" s="81" t="s">
        <v>804</v>
      </c>
      <c r="R890" s="81"/>
      <c r="S890" s="81"/>
      <c r="T890" s="86" t="s">
        <v>649</v>
      </c>
      <c r="U890" s="84" t="str">
        <f>HYPERLINK("https://pbs.twimg.com/media/FAEaAdPVgAgaH2z.jpg")</f>
        <v>https://pbs.twimg.com/media/FAEaAdPVgAgaH2z.jpg</v>
      </c>
      <c r="V890" s="84" t="str">
        <f>HYPERLINK("https://pbs.twimg.com/media/FAEaAdPVgAgaH2z.jpg")</f>
        <v>https://pbs.twimg.com/media/FAEaAdPVgAgaH2z.jpg</v>
      </c>
      <c r="W890" s="83">
        <v>44464.230833333335</v>
      </c>
      <c r="X890" s="89">
        <v>44464</v>
      </c>
      <c r="Y890" s="86" t="s">
        <v>1292</v>
      </c>
      <c r="Z890" s="84" t="str">
        <f>HYPERLINK("https://twitter.com/jeonbunnyqis/status/1441636685356273666")</f>
        <v>https://twitter.com/jeonbunnyqis/status/1441636685356273666</v>
      </c>
      <c r="AA890" s="81"/>
      <c r="AB890" s="81"/>
      <c r="AC890" s="86" t="s">
        <v>1787</v>
      </c>
      <c r="AD890" s="81"/>
      <c r="AE890" s="81" t="b">
        <v>0</v>
      </c>
      <c r="AF890" s="81">
        <v>0</v>
      </c>
      <c r="AG890" s="86" t="s">
        <v>2084</v>
      </c>
      <c r="AH890" s="81" t="b">
        <v>0</v>
      </c>
      <c r="AI890" s="81" t="s">
        <v>2168</v>
      </c>
      <c r="AJ890" s="81"/>
      <c r="AK890" s="86" t="s">
        <v>2084</v>
      </c>
      <c r="AL890" s="81" t="b">
        <v>0</v>
      </c>
      <c r="AM890" s="81">
        <v>22</v>
      </c>
      <c r="AN890" s="86" t="s">
        <v>1846</v>
      </c>
      <c r="AO890" s="86" t="s">
        <v>2179</v>
      </c>
      <c r="AP890" s="81" t="b">
        <v>0</v>
      </c>
      <c r="AQ890" s="86" t="s">
        <v>1846</v>
      </c>
      <c r="AR890" s="81" t="s">
        <v>179</v>
      </c>
      <c r="AS890" s="81">
        <v>0</v>
      </c>
      <c r="AT890" s="81">
        <v>0</v>
      </c>
      <c r="AU890" s="81"/>
      <c r="AV890" s="81"/>
      <c r="AW890" s="81"/>
      <c r="AX890" s="81"/>
      <c r="AY890" s="81"/>
      <c r="AZ890" s="81"/>
      <c r="BA890" s="81"/>
      <c r="BB890" s="81"/>
    </row>
    <row r="891" spans="1:54" x14ac:dyDescent="0.35">
      <c r="A891" s="66" t="s">
        <v>448</v>
      </c>
      <c r="B891" s="66" t="s">
        <v>648</v>
      </c>
      <c r="C891" s="67"/>
      <c r="D891" s="68"/>
      <c r="E891" s="69"/>
      <c r="F891" s="70"/>
      <c r="G891" s="67"/>
      <c r="H891" s="71"/>
      <c r="I891" s="72"/>
      <c r="J891" s="72"/>
      <c r="K891" s="36"/>
      <c r="L891" s="79"/>
      <c r="M891" s="79"/>
      <c r="N891" s="74"/>
      <c r="O891" s="81" t="s">
        <v>694</v>
      </c>
      <c r="P891" s="83">
        <v>44464.230833333335</v>
      </c>
      <c r="Q891" s="81" t="s">
        <v>804</v>
      </c>
      <c r="R891" s="81"/>
      <c r="S891" s="81"/>
      <c r="T891" s="86" t="s">
        <v>649</v>
      </c>
      <c r="U891" s="84" t="str">
        <f>HYPERLINK("https://pbs.twimg.com/media/FAEaAdPVgAgaH2z.jpg")</f>
        <v>https://pbs.twimg.com/media/FAEaAdPVgAgaH2z.jpg</v>
      </c>
      <c r="V891" s="84" t="str">
        <f>HYPERLINK("https://pbs.twimg.com/media/FAEaAdPVgAgaH2z.jpg")</f>
        <v>https://pbs.twimg.com/media/FAEaAdPVgAgaH2z.jpg</v>
      </c>
      <c r="W891" s="83">
        <v>44464.230833333335</v>
      </c>
      <c r="X891" s="89">
        <v>44464</v>
      </c>
      <c r="Y891" s="86" t="s">
        <v>1292</v>
      </c>
      <c r="Z891" s="84" t="str">
        <f>HYPERLINK("https://twitter.com/jeonbunnyqis/status/1441636685356273666")</f>
        <v>https://twitter.com/jeonbunnyqis/status/1441636685356273666</v>
      </c>
      <c r="AA891" s="81"/>
      <c r="AB891" s="81"/>
      <c r="AC891" s="86" t="s">
        <v>1787</v>
      </c>
      <c r="AD891" s="81"/>
      <c r="AE891" s="81" t="b">
        <v>0</v>
      </c>
      <c r="AF891" s="81">
        <v>0</v>
      </c>
      <c r="AG891" s="86" t="s">
        <v>2084</v>
      </c>
      <c r="AH891" s="81" t="b">
        <v>0</v>
      </c>
      <c r="AI891" s="81" t="s">
        <v>2168</v>
      </c>
      <c r="AJ891" s="81"/>
      <c r="AK891" s="86" t="s">
        <v>2084</v>
      </c>
      <c r="AL891" s="81" t="b">
        <v>0</v>
      </c>
      <c r="AM891" s="81">
        <v>22</v>
      </c>
      <c r="AN891" s="86" t="s">
        <v>1846</v>
      </c>
      <c r="AO891" s="86" t="s">
        <v>2179</v>
      </c>
      <c r="AP891" s="81" t="b">
        <v>0</v>
      </c>
      <c r="AQ891" s="86" t="s">
        <v>1846</v>
      </c>
      <c r="AR891" s="81" t="s">
        <v>179</v>
      </c>
      <c r="AS891" s="81">
        <v>0</v>
      </c>
      <c r="AT891" s="81">
        <v>0</v>
      </c>
      <c r="AU891" s="81"/>
      <c r="AV891" s="81"/>
      <c r="AW891" s="81"/>
      <c r="AX891" s="81"/>
      <c r="AY891" s="81"/>
      <c r="AZ891" s="81"/>
      <c r="BA891" s="81"/>
      <c r="BB891" s="81"/>
    </row>
    <row r="892" spans="1:54" x14ac:dyDescent="0.35">
      <c r="A892" s="66" t="s">
        <v>448</v>
      </c>
      <c r="B892" s="66" t="s">
        <v>649</v>
      </c>
      <c r="C892" s="67"/>
      <c r="D892" s="68"/>
      <c r="E892" s="69"/>
      <c r="F892" s="70"/>
      <c r="G892" s="67"/>
      <c r="H892" s="71"/>
      <c r="I892" s="72"/>
      <c r="J892" s="72"/>
      <c r="K892" s="36"/>
      <c r="L892" s="79"/>
      <c r="M892" s="79"/>
      <c r="N892" s="74"/>
      <c r="O892" s="81" t="s">
        <v>694</v>
      </c>
      <c r="P892" s="83">
        <v>44464.230833333335</v>
      </c>
      <c r="Q892" s="81" t="s">
        <v>804</v>
      </c>
      <c r="R892" s="81"/>
      <c r="S892" s="81"/>
      <c r="T892" s="86" t="s">
        <v>649</v>
      </c>
      <c r="U892" s="84" t="str">
        <f>HYPERLINK("https://pbs.twimg.com/media/FAEaAdPVgAgaH2z.jpg")</f>
        <v>https://pbs.twimg.com/media/FAEaAdPVgAgaH2z.jpg</v>
      </c>
      <c r="V892" s="84" t="str">
        <f>HYPERLINK("https://pbs.twimg.com/media/FAEaAdPVgAgaH2z.jpg")</f>
        <v>https://pbs.twimg.com/media/FAEaAdPVgAgaH2z.jpg</v>
      </c>
      <c r="W892" s="83">
        <v>44464.230833333335</v>
      </c>
      <c r="X892" s="89">
        <v>44464</v>
      </c>
      <c r="Y892" s="86" t="s">
        <v>1292</v>
      </c>
      <c r="Z892" s="84" t="str">
        <f>HYPERLINK("https://twitter.com/jeonbunnyqis/status/1441636685356273666")</f>
        <v>https://twitter.com/jeonbunnyqis/status/1441636685356273666</v>
      </c>
      <c r="AA892" s="81"/>
      <c r="AB892" s="81"/>
      <c r="AC892" s="86" t="s">
        <v>1787</v>
      </c>
      <c r="AD892" s="81"/>
      <c r="AE892" s="81" t="b">
        <v>0</v>
      </c>
      <c r="AF892" s="81">
        <v>0</v>
      </c>
      <c r="AG892" s="86" t="s">
        <v>2084</v>
      </c>
      <c r="AH892" s="81" t="b">
        <v>0</v>
      </c>
      <c r="AI892" s="81" t="s">
        <v>2168</v>
      </c>
      <c r="AJ892" s="81"/>
      <c r="AK892" s="86" t="s">
        <v>2084</v>
      </c>
      <c r="AL892" s="81" t="b">
        <v>0</v>
      </c>
      <c r="AM892" s="81">
        <v>22</v>
      </c>
      <c r="AN892" s="86" t="s">
        <v>1846</v>
      </c>
      <c r="AO892" s="86" t="s">
        <v>2179</v>
      </c>
      <c r="AP892" s="81" t="b">
        <v>0</v>
      </c>
      <c r="AQ892" s="86" t="s">
        <v>1846</v>
      </c>
      <c r="AR892" s="81" t="s">
        <v>179</v>
      </c>
      <c r="AS892" s="81">
        <v>0</v>
      </c>
      <c r="AT892" s="81">
        <v>0</v>
      </c>
      <c r="AU892" s="81"/>
      <c r="AV892" s="81"/>
      <c r="AW892" s="81"/>
      <c r="AX892" s="81"/>
      <c r="AY892" s="81"/>
      <c r="AZ892" s="81"/>
      <c r="BA892" s="81"/>
      <c r="BB892" s="81"/>
    </row>
    <row r="893" spans="1:54" x14ac:dyDescent="0.35">
      <c r="A893" s="66" t="s">
        <v>448</v>
      </c>
      <c r="B893" s="66" t="s">
        <v>496</v>
      </c>
      <c r="C893" s="67"/>
      <c r="D893" s="68"/>
      <c r="E893" s="69"/>
      <c r="F893" s="70"/>
      <c r="G893" s="67"/>
      <c r="H893" s="71"/>
      <c r="I893" s="72"/>
      <c r="J893" s="72"/>
      <c r="K893" s="36"/>
      <c r="L893" s="79"/>
      <c r="M893" s="79"/>
      <c r="N893" s="74"/>
      <c r="O893" s="81" t="s">
        <v>693</v>
      </c>
      <c r="P893" s="83">
        <v>44464.230833333335</v>
      </c>
      <c r="Q893" s="81" t="s">
        <v>804</v>
      </c>
      <c r="R893" s="81"/>
      <c r="S893" s="81"/>
      <c r="T893" s="86" t="s">
        <v>649</v>
      </c>
      <c r="U893" s="84" t="str">
        <f>HYPERLINK("https://pbs.twimg.com/media/FAEaAdPVgAgaH2z.jpg")</f>
        <v>https://pbs.twimg.com/media/FAEaAdPVgAgaH2z.jpg</v>
      </c>
      <c r="V893" s="84" t="str">
        <f>HYPERLINK("https://pbs.twimg.com/media/FAEaAdPVgAgaH2z.jpg")</f>
        <v>https://pbs.twimg.com/media/FAEaAdPVgAgaH2z.jpg</v>
      </c>
      <c r="W893" s="83">
        <v>44464.230833333335</v>
      </c>
      <c r="X893" s="89">
        <v>44464</v>
      </c>
      <c r="Y893" s="86" t="s">
        <v>1292</v>
      </c>
      <c r="Z893" s="84" t="str">
        <f>HYPERLINK("https://twitter.com/jeonbunnyqis/status/1441636685356273666")</f>
        <v>https://twitter.com/jeonbunnyqis/status/1441636685356273666</v>
      </c>
      <c r="AA893" s="81"/>
      <c r="AB893" s="81"/>
      <c r="AC893" s="86" t="s">
        <v>1787</v>
      </c>
      <c r="AD893" s="81"/>
      <c r="AE893" s="81" t="b">
        <v>0</v>
      </c>
      <c r="AF893" s="81">
        <v>0</v>
      </c>
      <c r="AG893" s="86" t="s">
        <v>2084</v>
      </c>
      <c r="AH893" s="81" t="b">
        <v>0</v>
      </c>
      <c r="AI893" s="81" t="s">
        <v>2168</v>
      </c>
      <c r="AJ893" s="81"/>
      <c r="AK893" s="86" t="s">
        <v>2084</v>
      </c>
      <c r="AL893" s="81" t="b">
        <v>0</v>
      </c>
      <c r="AM893" s="81">
        <v>22</v>
      </c>
      <c r="AN893" s="86" t="s">
        <v>1846</v>
      </c>
      <c r="AO893" s="86" t="s">
        <v>2179</v>
      </c>
      <c r="AP893" s="81" t="b">
        <v>0</v>
      </c>
      <c r="AQ893" s="86" t="s">
        <v>1846</v>
      </c>
      <c r="AR893" s="81" t="s">
        <v>179</v>
      </c>
      <c r="AS893" s="81">
        <v>0</v>
      </c>
      <c r="AT893" s="81">
        <v>0</v>
      </c>
      <c r="AU893" s="81"/>
      <c r="AV893" s="81"/>
      <c r="AW893" s="81"/>
      <c r="AX893" s="81"/>
      <c r="AY893" s="81"/>
      <c r="AZ893" s="81"/>
      <c r="BA893" s="81"/>
      <c r="BB893" s="81"/>
    </row>
    <row r="894" spans="1:54" x14ac:dyDescent="0.35">
      <c r="A894" s="66" t="s">
        <v>449</v>
      </c>
      <c r="B894" s="66" t="s">
        <v>646</v>
      </c>
      <c r="C894" s="67"/>
      <c r="D894" s="68"/>
      <c r="E894" s="69"/>
      <c r="F894" s="70"/>
      <c r="G894" s="67"/>
      <c r="H894" s="71"/>
      <c r="I894" s="72"/>
      <c r="J894" s="72"/>
      <c r="K894" s="36"/>
      <c r="L894" s="79"/>
      <c r="M894" s="79"/>
      <c r="N894" s="74"/>
      <c r="O894" s="81" t="s">
        <v>694</v>
      </c>
      <c r="P894" s="83">
        <v>44464.230983796297</v>
      </c>
      <c r="Q894" s="81" t="s">
        <v>804</v>
      </c>
      <c r="R894" s="81"/>
      <c r="S894" s="81"/>
      <c r="T894" s="86" t="s">
        <v>649</v>
      </c>
      <c r="U894" s="84" t="str">
        <f>HYPERLINK("https://pbs.twimg.com/media/FAEaAdPVgAgaH2z.jpg")</f>
        <v>https://pbs.twimg.com/media/FAEaAdPVgAgaH2z.jpg</v>
      </c>
      <c r="V894" s="84" t="str">
        <f>HYPERLINK("https://pbs.twimg.com/media/FAEaAdPVgAgaH2z.jpg")</f>
        <v>https://pbs.twimg.com/media/FAEaAdPVgAgaH2z.jpg</v>
      </c>
      <c r="W894" s="83">
        <v>44464.230983796297</v>
      </c>
      <c r="X894" s="89">
        <v>44464</v>
      </c>
      <c r="Y894" s="86" t="s">
        <v>1293</v>
      </c>
      <c r="Z894" s="84" t="str">
        <f>HYPERLINK("https://twitter.com/busannfairies/status/1441636738737184769")</f>
        <v>https://twitter.com/busannfairies/status/1441636738737184769</v>
      </c>
      <c r="AA894" s="81"/>
      <c r="AB894" s="81"/>
      <c r="AC894" s="86" t="s">
        <v>1788</v>
      </c>
      <c r="AD894" s="81"/>
      <c r="AE894" s="81" t="b">
        <v>0</v>
      </c>
      <c r="AF894" s="81">
        <v>0</v>
      </c>
      <c r="AG894" s="86" t="s">
        <v>2084</v>
      </c>
      <c r="AH894" s="81" t="b">
        <v>0</v>
      </c>
      <c r="AI894" s="81" t="s">
        <v>2168</v>
      </c>
      <c r="AJ894" s="81"/>
      <c r="AK894" s="86" t="s">
        <v>2084</v>
      </c>
      <c r="AL894" s="81" t="b">
        <v>0</v>
      </c>
      <c r="AM894" s="81">
        <v>22</v>
      </c>
      <c r="AN894" s="86" t="s">
        <v>1846</v>
      </c>
      <c r="AO894" s="86" t="s">
        <v>2179</v>
      </c>
      <c r="AP894" s="81" t="b">
        <v>0</v>
      </c>
      <c r="AQ894" s="86" t="s">
        <v>1846</v>
      </c>
      <c r="AR894" s="81" t="s">
        <v>179</v>
      </c>
      <c r="AS894" s="81">
        <v>0</v>
      </c>
      <c r="AT894" s="81">
        <v>0</v>
      </c>
      <c r="AU894" s="81"/>
      <c r="AV894" s="81"/>
      <c r="AW894" s="81"/>
      <c r="AX894" s="81"/>
      <c r="AY894" s="81"/>
      <c r="AZ894" s="81"/>
      <c r="BA894" s="81"/>
      <c r="BB894" s="81"/>
    </row>
    <row r="895" spans="1:54" x14ac:dyDescent="0.35">
      <c r="A895" s="66" t="s">
        <v>449</v>
      </c>
      <c r="B895" s="66" t="s">
        <v>647</v>
      </c>
      <c r="C895" s="67"/>
      <c r="D895" s="68"/>
      <c r="E895" s="69"/>
      <c r="F895" s="70"/>
      <c r="G895" s="67"/>
      <c r="H895" s="71"/>
      <c r="I895" s="72"/>
      <c r="J895" s="72"/>
      <c r="K895" s="36"/>
      <c r="L895" s="79"/>
      <c r="M895" s="79"/>
      <c r="N895" s="74"/>
      <c r="O895" s="81" t="s">
        <v>694</v>
      </c>
      <c r="P895" s="83">
        <v>44464.230983796297</v>
      </c>
      <c r="Q895" s="81" t="s">
        <v>804</v>
      </c>
      <c r="R895" s="81"/>
      <c r="S895" s="81"/>
      <c r="T895" s="86" t="s">
        <v>649</v>
      </c>
      <c r="U895" s="84" t="str">
        <f>HYPERLINK("https://pbs.twimg.com/media/FAEaAdPVgAgaH2z.jpg")</f>
        <v>https://pbs.twimg.com/media/FAEaAdPVgAgaH2z.jpg</v>
      </c>
      <c r="V895" s="84" t="str">
        <f>HYPERLINK("https://pbs.twimg.com/media/FAEaAdPVgAgaH2z.jpg")</f>
        <v>https://pbs.twimg.com/media/FAEaAdPVgAgaH2z.jpg</v>
      </c>
      <c r="W895" s="83">
        <v>44464.230983796297</v>
      </c>
      <c r="X895" s="89">
        <v>44464</v>
      </c>
      <c r="Y895" s="86" t="s">
        <v>1293</v>
      </c>
      <c r="Z895" s="84" t="str">
        <f>HYPERLINK("https://twitter.com/busannfairies/status/1441636738737184769")</f>
        <v>https://twitter.com/busannfairies/status/1441636738737184769</v>
      </c>
      <c r="AA895" s="81"/>
      <c r="AB895" s="81"/>
      <c r="AC895" s="86" t="s">
        <v>1788</v>
      </c>
      <c r="AD895" s="81"/>
      <c r="AE895" s="81" t="b">
        <v>0</v>
      </c>
      <c r="AF895" s="81">
        <v>0</v>
      </c>
      <c r="AG895" s="86" t="s">
        <v>2084</v>
      </c>
      <c r="AH895" s="81" t="b">
        <v>0</v>
      </c>
      <c r="AI895" s="81" t="s">
        <v>2168</v>
      </c>
      <c r="AJ895" s="81"/>
      <c r="AK895" s="86" t="s">
        <v>2084</v>
      </c>
      <c r="AL895" s="81" t="b">
        <v>0</v>
      </c>
      <c r="AM895" s="81">
        <v>22</v>
      </c>
      <c r="AN895" s="86" t="s">
        <v>1846</v>
      </c>
      <c r="AO895" s="86" t="s">
        <v>2179</v>
      </c>
      <c r="AP895" s="81" t="b">
        <v>0</v>
      </c>
      <c r="AQ895" s="86" t="s">
        <v>1846</v>
      </c>
      <c r="AR895" s="81" t="s">
        <v>179</v>
      </c>
      <c r="AS895" s="81">
        <v>0</v>
      </c>
      <c r="AT895" s="81">
        <v>0</v>
      </c>
      <c r="AU895" s="81"/>
      <c r="AV895" s="81"/>
      <c r="AW895" s="81"/>
      <c r="AX895" s="81"/>
      <c r="AY895" s="81"/>
      <c r="AZ895" s="81"/>
      <c r="BA895" s="81"/>
      <c r="BB895" s="81"/>
    </row>
    <row r="896" spans="1:54" x14ac:dyDescent="0.35">
      <c r="A896" s="66" t="s">
        <v>449</v>
      </c>
      <c r="B896" s="66" t="s">
        <v>648</v>
      </c>
      <c r="C896" s="67"/>
      <c r="D896" s="68"/>
      <c r="E896" s="69"/>
      <c r="F896" s="70"/>
      <c r="G896" s="67"/>
      <c r="H896" s="71"/>
      <c r="I896" s="72"/>
      <c r="J896" s="72"/>
      <c r="K896" s="36"/>
      <c r="L896" s="79"/>
      <c r="M896" s="79"/>
      <c r="N896" s="74"/>
      <c r="O896" s="81" t="s">
        <v>694</v>
      </c>
      <c r="P896" s="83">
        <v>44464.230983796297</v>
      </c>
      <c r="Q896" s="81" t="s">
        <v>804</v>
      </c>
      <c r="R896" s="81"/>
      <c r="S896" s="81"/>
      <c r="T896" s="86" t="s">
        <v>649</v>
      </c>
      <c r="U896" s="84" t="str">
        <f>HYPERLINK("https://pbs.twimg.com/media/FAEaAdPVgAgaH2z.jpg")</f>
        <v>https://pbs.twimg.com/media/FAEaAdPVgAgaH2z.jpg</v>
      </c>
      <c r="V896" s="84" t="str">
        <f>HYPERLINK("https://pbs.twimg.com/media/FAEaAdPVgAgaH2z.jpg")</f>
        <v>https://pbs.twimg.com/media/FAEaAdPVgAgaH2z.jpg</v>
      </c>
      <c r="W896" s="83">
        <v>44464.230983796297</v>
      </c>
      <c r="X896" s="89">
        <v>44464</v>
      </c>
      <c r="Y896" s="86" t="s">
        <v>1293</v>
      </c>
      <c r="Z896" s="84" t="str">
        <f>HYPERLINK("https://twitter.com/busannfairies/status/1441636738737184769")</f>
        <v>https://twitter.com/busannfairies/status/1441636738737184769</v>
      </c>
      <c r="AA896" s="81"/>
      <c r="AB896" s="81"/>
      <c r="AC896" s="86" t="s">
        <v>1788</v>
      </c>
      <c r="AD896" s="81"/>
      <c r="AE896" s="81" t="b">
        <v>0</v>
      </c>
      <c r="AF896" s="81">
        <v>0</v>
      </c>
      <c r="AG896" s="86" t="s">
        <v>2084</v>
      </c>
      <c r="AH896" s="81" t="b">
        <v>0</v>
      </c>
      <c r="AI896" s="81" t="s">
        <v>2168</v>
      </c>
      <c r="AJ896" s="81"/>
      <c r="AK896" s="86" t="s">
        <v>2084</v>
      </c>
      <c r="AL896" s="81" t="b">
        <v>0</v>
      </c>
      <c r="AM896" s="81">
        <v>22</v>
      </c>
      <c r="AN896" s="86" t="s">
        <v>1846</v>
      </c>
      <c r="AO896" s="86" t="s">
        <v>2179</v>
      </c>
      <c r="AP896" s="81" t="b">
        <v>0</v>
      </c>
      <c r="AQ896" s="86" t="s">
        <v>1846</v>
      </c>
      <c r="AR896" s="81" t="s">
        <v>179</v>
      </c>
      <c r="AS896" s="81">
        <v>0</v>
      </c>
      <c r="AT896" s="81">
        <v>0</v>
      </c>
      <c r="AU896" s="81"/>
      <c r="AV896" s="81"/>
      <c r="AW896" s="81"/>
      <c r="AX896" s="81"/>
      <c r="AY896" s="81"/>
      <c r="AZ896" s="81"/>
      <c r="BA896" s="81"/>
      <c r="BB896" s="81"/>
    </row>
    <row r="897" spans="1:54" x14ac:dyDescent="0.35">
      <c r="A897" s="66" t="s">
        <v>449</v>
      </c>
      <c r="B897" s="66" t="s">
        <v>649</v>
      </c>
      <c r="C897" s="67"/>
      <c r="D897" s="68"/>
      <c r="E897" s="69"/>
      <c r="F897" s="70"/>
      <c r="G897" s="67"/>
      <c r="H897" s="71"/>
      <c r="I897" s="72"/>
      <c r="J897" s="72"/>
      <c r="K897" s="36"/>
      <c r="L897" s="79"/>
      <c r="M897" s="79"/>
      <c r="N897" s="74"/>
      <c r="O897" s="81" t="s">
        <v>694</v>
      </c>
      <c r="P897" s="83">
        <v>44464.230983796297</v>
      </c>
      <c r="Q897" s="81" t="s">
        <v>804</v>
      </c>
      <c r="R897" s="81"/>
      <c r="S897" s="81"/>
      <c r="T897" s="86" t="s">
        <v>649</v>
      </c>
      <c r="U897" s="84" t="str">
        <f>HYPERLINK("https://pbs.twimg.com/media/FAEaAdPVgAgaH2z.jpg")</f>
        <v>https://pbs.twimg.com/media/FAEaAdPVgAgaH2z.jpg</v>
      </c>
      <c r="V897" s="84" t="str">
        <f>HYPERLINK("https://pbs.twimg.com/media/FAEaAdPVgAgaH2z.jpg")</f>
        <v>https://pbs.twimg.com/media/FAEaAdPVgAgaH2z.jpg</v>
      </c>
      <c r="W897" s="83">
        <v>44464.230983796297</v>
      </c>
      <c r="X897" s="89">
        <v>44464</v>
      </c>
      <c r="Y897" s="86" t="s">
        <v>1293</v>
      </c>
      <c r="Z897" s="84" t="str">
        <f>HYPERLINK("https://twitter.com/busannfairies/status/1441636738737184769")</f>
        <v>https://twitter.com/busannfairies/status/1441636738737184769</v>
      </c>
      <c r="AA897" s="81"/>
      <c r="AB897" s="81"/>
      <c r="AC897" s="86" t="s">
        <v>1788</v>
      </c>
      <c r="AD897" s="81"/>
      <c r="AE897" s="81" t="b">
        <v>0</v>
      </c>
      <c r="AF897" s="81">
        <v>0</v>
      </c>
      <c r="AG897" s="86" t="s">
        <v>2084</v>
      </c>
      <c r="AH897" s="81" t="b">
        <v>0</v>
      </c>
      <c r="AI897" s="81" t="s">
        <v>2168</v>
      </c>
      <c r="AJ897" s="81"/>
      <c r="AK897" s="86" t="s">
        <v>2084</v>
      </c>
      <c r="AL897" s="81" t="b">
        <v>0</v>
      </c>
      <c r="AM897" s="81">
        <v>22</v>
      </c>
      <c r="AN897" s="86" t="s">
        <v>1846</v>
      </c>
      <c r="AO897" s="86" t="s">
        <v>2179</v>
      </c>
      <c r="AP897" s="81" t="b">
        <v>0</v>
      </c>
      <c r="AQ897" s="86" t="s">
        <v>1846</v>
      </c>
      <c r="AR897" s="81" t="s">
        <v>179</v>
      </c>
      <c r="AS897" s="81">
        <v>0</v>
      </c>
      <c r="AT897" s="81">
        <v>0</v>
      </c>
      <c r="AU897" s="81"/>
      <c r="AV897" s="81"/>
      <c r="AW897" s="81"/>
      <c r="AX897" s="81"/>
      <c r="AY897" s="81"/>
      <c r="AZ897" s="81"/>
      <c r="BA897" s="81"/>
      <c r="BB897" s="81"/>
    </row>
    <row r="898" spans="1:54" x14ac:dyDescent="0.35">
      <c r="A898" s="66" t="s">
        <v>449</v>
      </c>
      <c r="B898" s="66" t="s">
        <v>496</v>
      </c>
      <c r="C898" s="67"/>
      <c r="D898" s="68"/>
      <c r="E898" s="69"/>
      <c r="F898" s="70"/>
      <c r="G898" s="67"/>
      <c r="H898" s="71"/>
      <c r="I898" s="72"/>
      <c r="J898" s="72"/>
      <c r="K898" s="36"/>
      <c r="L898" s="79"/>
      <c r="M898" s="79"/>
      <c r="N898" s="74"/>
      <c r="O898" s="81" t="s">
        <v>693</v>
      </c>
      <c r="P898" s="83">
        <v>44464.230983796297</v>
      </c>
      <c r="Q898" s="81" t="s">
        <v>804</v>
      </c>
      <c r="R898" s="81"/>
      <c r="S898" s="81"/>
      <c r="T898" s="86" t="s">
        <v>649</v>
      </c>
      <c r="U898" s="84" t="str">
        <f>HYPERLINK("https://pbs.twimg.com/media/FAEaAdPVgAgaH2z.jpg")</f>
        <v>https://pbs.twimg.com/media/FAEaAdPVgAgaH2z.jpg</v>
      </c>
      <c r="V898" s="84" t="str">
        <f>HYPERLINK("https://pbs.twimg.com/media/FAEaAdPVgAgaH2z.jpg")</f>
        <v>https://pbs.twimg.com/media/FAEaAdPVgAgaH2z.jpg</v>
      </c>
      <c r="W898" s="83">
        <v>44464.230983796297</v>
      </c>
      <c r="X898" s="89">
        <v>44464</v>
      </c>
      <c r="Y898" s="86" t="s">
        <v>1293</v>
      </c>
      <c r="Z898" s="84" t="str">
        <f>HYPERLINK("https://twitter.com/busannfairies/status/1441636738737184769")</f>
        <v>https://twitter.com/busannfairies/status/1441636738737184769</v>
      </c>
      <c r="AA898" s="81"/>
      <c r="AB898" s="81"/>
      <c r="AC898" s="86" t="s">
        <v>1788</v>
      </c>
      <c r="AD898" s="81"/>
      <c r="AE898" s="81" t="b">
        <v>0</v>
      </c>
      <c r="AF898" s="81">
        <v>0</v>
      </c>
      <c r="AG898" s="86" t="s">
        <v>2084</v>
      </c>
      <c r="AH898" s="81" t="b">
        <v>0</v>
      </c>
      <c r="AI898" s="81" t="s">
        <v>2168</v>
      </c>
      <c r="AJ898" s="81"/>
      <c r="AK898" s="86" t="s">
        <v>2084</v>
      </c>
      <c r="AL898" s="81" t="b">
        <v>0</v>
      </c>
      <c r="AM898" s="81">
        <v>22</v>
      </c>
      <c r="AN898" s="86" t="s">
        <v>1846</v>
      </c>
      <c r="AO898" s="86" t="s">
        <v>2179</v>
      </c>
      <c r="AP898" s="81" t="b">
        <v>0</v>
      </c>
      <c r="AQ898" s="86" t="s">
        <v>1846</v>
      </c>
      <c r="AR898" s="81" t="s">
        <v>179</v>
      </c>
      <c r="AS898" s="81">
        <v>0</v>
      </c>
      <c r="AT898" s="81">
        <v>0</v>
      </c>
      <c r="AU898" s="81"/>
      <c r="AV898" s="81"/>
      <c r="AW898" s="81"/>
      <c r="AX898" s="81"/>
      <c r="AY898" s="81"/>
      <c r="AZ898" s="81"/>
      <c r="BA898" s="81"/>
      <c r="BB898" s="81"/>
    </row>
    <row r="899" spans="1:54" x14ac:dyDescent="0.35">
      <c r="A899" s="66" t="s">
        <v>450</v>
      </c>
      <c r="B899" s="66" t="s">
        <v>646</v>
      </c>
      <c r="C899" s="67"/>
      <c r="D899" s="68"/>
      <c r="E899" s="69"/>
      <c r="F899" s="70"/>
      <c r="G899" s="67"/>
      <c r="H899" s="71"/>
      <c r="I899" s="72"/>
      <c r="J899" s="72"/>
      <c r="K899" s="36"/>
      <c r="L899" s="79"/>
      <c r="M899" s="79"/>
      <c r="N899" s="74"/>
      <c r="O899" s="81" t="s">
        <v>694</v>
      </c>
      <c r="P899" s="83">
        <v>44464.237442129626</v>
      </c>
      <c r="Q899" s="81" t="s">
        <v>804</v>
      </c>
      <c r="R899" s="81"/>
      <c r="S899" s="81"/>
      <c r="T899" s="86" t="s">
        <v>649</v>
      </c>
      <c r="U899" s="84" t="str">
        <f>HYPERLINK("https://pbs.twimg.com/media/FAEaAdPVgAgaH2z.jpg")</f>
        <v>https://pbs.twimg.com/media/FAEaAdPVgAgaH2z.jpg</v>
      </c>
      <c r="V899" s="84" t="str">
        <f>HYPERLINK("https://pbs.twimg.com/media/FAEaAdPVgAgaH2z.jpg")</f>
        <v>https://pbs.twimg.com/media/FAEaAdPVgAgaH2z.jpg</v>
      </c>
      <c r="W899" s="83">
        <v>44464.237442129626</v>
      </c>
      <c r="X899" s="89">
        <v>44464</v>
      </c>
      <c r="Y899" s="86" t="s">
        <v>1294</v>
      </c>
      <c r="Z899" s="84" t="str">
        <f>HYPERLINK("https://twitter.com/ho6ism/status/1441639077195902978")</f>
        <v>https://twitter.com/ho6ism/status/1441639077195902978</v>
      </c>
      <c r="AA899" s="81"/>
      <c r="AB899" s="81"/>
      <c r="AC899" s="86" t="s">
        <v>1789</v>
      </c>
      <c r="AD899" s="81"/>
      <c r="AE899" s="81" t="b">
        <v>0</v>
      </c>
      <c r="AF899" s="81">
        <v>0</v>
      </c>
      <c r="AG899" s="86" t="s">
        <v>2084</v>
      </c>
      <c r="AH899" s="81" t="b">
        <v>0</v>
      </c>
      <c r="AI899" s="81" t="s">
        <v>2168</v>
      </c>
      <c r="AJ899" s="81"/>
      <c r="AK899" s="86" t="s">
        <v>2084</v>
      </c>
      <c r="AL899" s="81" t="b">
        <v>0</v>
      </c>
      <c r="AM899" s="81">
        <v>22</v>
      </c>
      <c r="AN899" s="86" t="s">
        <v>1846</v>
      </c>
      <c r="AO899" s="86" t="s">
        <v>2178</v>
      </c>
      <c r="AP899" s="81" t="b">
        <v>0</v>
      </c>
      <c r="AQ899" s="86" t="s">
        <v>1846</v>
      </c>
      <c r="AR899" s="81" t="s">
        <v>179</v>
      </c>
      <c r="AS899" s="81">
        <v>0</v>
      </c>
      <c r="AT899" s="81">
        <v>0</v>
      </c>
      <c r="AU899" s="81"/>
      <c r="AV899" s="81"/>
      <c r="AW899" s="81"/>
      <c r="AX899" s="81"/>
      <c r="AY899" s="81"/>
      <c r="AZ899" s="81"/>
      <c r="BA899" s="81"/>
      <c r="BB899" s="81"/>
    </row>
    <row r="900" spans="1:54" x14ac:dyDescent="0.35">
      <c r="A900" s="66" t="s">
        <v>450</v>
      </c>
      <c r="B900" s="66" t="s">
        <v>647</v>
      </c>
      <c r="C900" s="67"/>
      <c r="D900" s="68"/>
      <c r="E900" s="69"/>
      <c r="F900" s="70"/>
      <c r="G900" s="67"/>
      <c r="H900" s="71"/>
      <c r="I900" s="72"/>
      <c r="J900" s="72"/>
      <c r="K900" s="36"/>
      <c r="L900" s="79"/>
      <c r="M900" s="79"/>
      <c r="N900" s="74"/>
      <c r="O900" s="81" t="s">
        <v>694</v>
      </c>
      <c r="P900" s="83">
        <v>44464.237442129626</v>
      </c>
      <c r="Q900" s="81" t="s">
        <v>804</v>
      </c>
      <c r="R900" s="81"/>
      <c r="S900" s="81"/>
      <c r="T900" s="86" t="s">
        <v>649</v>
      </c>
      <c r="U900" s="84" t="str">
        <f>HYPERLINK("https://pbs.twimg.com/media/FAEaAdPVgAgaH2z.jpg")</f>
        <v>https://pbs.twimg.com/media/FAEaAdPVgAgaH2z.jpg</v>
      </c>
      <c r="V900" s="84" t="str">
        <f>HYPERLINK("https://pbs.twimg.com/media/FAEaAdPVgAgaH2z.jpg")</f>
        <v>https://pbs.twimg.com/media/FAEaAdPVgAgaH2z.jpg</v>
      </c>
      <c r="W900" s="83">
        <v>44464.237442129626</v>
      </c>
      <c r="X900" s="89">
        <v>44464</v>
      </c>
      <c r="Y900" s="86" t="s">
        <v>1294</v>
      </c>
      <c r="Z900" s="84" t="str">
        <f>HYPERLINK("https://twitter.com/ho6ism/status/1441639077195902978")</f>
        <v>https://twitter.com/ho6ism/status/1441639077195902978</v>
      </c>
      <c r="AA900" s="81"/>
      <c r="AB900" s="81"/>
      <c r="AC900" s="86" t="s">
        <v>1789</v>
      </c>
      <c r="AD900" s="81"/>
      <c r="AE900" s="81" t="b">
        <v>0</v>
      </c>
      <c r="AF900" s="81">
        <v>0</v>
      </c>
      <c r="AG900" s="86" t="s">
        <v>2084</v>
      </c>
      <c r="AH900" s="81" t="b">
        <v>0</v>
      </c>
      <c r="AI900" s="81" t="s">
        <v>2168</v>
      </c>
      <c r="AJ900" s="81"/>
      <c r="AK900" s="86" t="s">
        <v>2084</v>
      </c>
      <c r="AL900" s="81" t="b">
        <v>0</v>
      </c>
      <c r="AM900" s="81">
        <v>22</v>
      </c>
      <c r="AN900" s="86" t="s">
        <v>1846</v>
      </c>
      <c r="AO900" s="86" t="s">
        <v>2178</v>
      </c>
      <c r="AP900" s="81" t="b">
        <v>0</v>
      </c>
      <c r="AQ900" s="86" t="s">
        <v>1846</v>
      </c>
      <c r="AR900" s="81" t="s">
        <v>179</v>
      </c>
      <c r="AS900" s="81">
        <v>0</v>
      </c>
      <c r="AT900" s="81">
        <v>0</v>
      </c>
      <c r="AU900" s="81"/>
      <c r="AV900" s="81"/>
      <c r="AW900" s="81"/>
      <c r="AX900" s="81"/>
      <c r="AY900" s="81"/>
      <c r="AZ900" s="81"/>
      <c r="BA900" s="81"/>
      <c r="BB900" s="81"/>
    </row>
    <row r="901" spans="1:54" x14ac:dyDescent="0.35">
      <c r="A901" s="66" t="s">
        <v>450</v>
      </c>
      <c r="B901" s="66" t="s">
        <v>648</v>
      </c>
      <c r="C901" s="67"/>
      <c r="D901" s="68"/>
      <c r="E901" s="69"/>
      <c r="F901" s="70"/>
      <c r="G901" s="67"/>
      <c r="H901" s="71"/>
      <c r="I901" s="72"/>
      <c r="J901" s="72"/>
      <c r="K901" s="36"/>
      <c r="L901" s="79"/>
      <c r="M901" s="79"/>
      <c r="N901" s="74"/>
      <c r="O901" s="81" t="s">
        <v>694</v>
      </c>
      <c r="P901" s="83">
        <v>44464.237442129626</v>
      </c>
      <c r="Q901" s="81" t="s">
        <v>804</v>
      </c>
      <c r="R901" s="81"/>
      <c r="S901" s="81"/>
      <c r="T901" s="86" t="s">
        <v>649</v>
      </c>
      <c r="U901" s="84" t="str">
        <f>HYPERLINK("https://pbs.twimg.com/media/FAEaAdPVgAgaH2z.jpg")</f>
        <v>https://pbs.twimg.com/media/FAEaAdPVgAgaH2z.jpg</v>
      </c>
      <c r="V901" s="84" t="str">
        <f>HYPERLINK("https://pbs.twimg.com/media/FAEaAdPVgAgaH2z.jpg")</f>
        <v>https://pbs.twimg.com/media/FAEaAdPVgAgaH2z.jpg</v>
      </c>
      <c r="W901" s="83">
        <v>44464.237442129626</v>
      </c>
      <c r="X901" s="89">
        <v>44464</v>
      </c>
      <c r="Y901" s="86" t="s">
        <v>1294</v>
      </c>
      <c r="Z901" s="84" t="str">
        <f>HYPERLINK("https://twitter.com/ho6ism/status/1441639077195902978")</f>
        <v>https://twitter.com/ho6ism/status/1441639077195902978</v>
      </c>
      <c r="AA901" s="81"/>
      <c r="AB901" s="81"/>
      <c r="AC901" s="86" t="s">
        <v>1789</v>
      </c>
      <c r="AD901" s="81"/>
      <c r="AE901" s="81" t="b">
        <v>0</v>
      </c>
      <c r="AF901" s="81">
        <v>0</v>
      </c>
      <c r="AG901" s="86" t="s">
        <v>2084</v>
      </c>
      <c r="AH901" s="81" t="b">
        <v>0</v>
      </c>
      <c r="AI901" s="81" t="s">
        <v>2168</v>
      </c>
      <c r="AJ901" s="81"/>
      <c r="AK901" s="86" t="s">
        <v>2084</v>
      </c>
      <c r="AL901" s="81" t="b">
        <v>0</v>
      </c>
      <c r="AM901" s="81">
        <v>22</v>
      </c>
      <c r="AN901" s="86" t="s">
        <v>1846</v>
      </c>
      <c r="AO901" s="86" t="s">
        <v>2178</v>
      </c>
      <c r="AP901" s="81" t="b">
        <v>0</v>
      </c>
      <c r="AQ901" s="86" t="s">
        <v>1846</v>
      </c>
      <c r="AR901" s="81" t="s">
        <v>179</v>
      </c>
      <c r="AS901" s="81">
        <v>0</v>
      </c>
      <c r="AT901" s="81">
        <v>0</v>
      </c>
      <c r="AU901" s="81"/>
      <c r="AV901" s="81"/>
      <c r="AW901" s="81"/>
      <c r="AX901" s="81"/>
      <c r="AY901" s="81"/>
      <c r="AZ901" s="81"/>
      <c r="BA901" s="81"/>
      <c r="BB901" s="81"/>
    </row>
    <row r="902" spans="1:54" x14ac:dyDescent="0.35">
      <c r="A902" s="66" t="s">
        <v>450</v>
      </c>
      <c r="B902" s="66" t="s">
        <v>649</v>
      </c>
      <c r="C902" s="67"/>
      <c r="D902" s="68"/>
      <c r="E902" s="69"/>
      <c r="F902" s="70"/>
      <c r="G902" s="67"/>
      <c r="H902" s="71"/>
      <c r="I902" s="72"/>
      <c r="J902" s="72"/>
      <c r="K902" s="36"/>
      <c r="L902" s="79"/>
      <c r="M902" s="79"/>
      <c r="N902" s="74"/>
      <c r="O902" s="81" t="s">
        <v>694</v>
      </c>
      <c r="P902" s="83">
        <v>44464.237442129626</v>
      </c>
      <c r="Q902" s="81" t="s">
        <v>804</v>
      </c>
      <c r="R902" s="81"/>
      <c r="S902" s="81"/>
      <c r="T902" s="86" t="s">
        <v>649</v>
      </c>
      <c r="U902" s="84" t="str">
        <f>HYPERLINK("https://pbs.twimg.com/media/FAEaAdPVgAgaH2z.jpg")</f>
        <v>https://pbs.twimg.com/media/FAEaAdPVgAgaH2z.jpg</v>
      </c>
      <c r="V902" s="84" t="str">
        <f>HYPERLINK("https://pbs.twimg.com/media/FAEaAdPVgAgaH2z.jpg")</f>
        <v>https://pbs.twimg.com/media/FAEaAdPVgAgaH2z.jpg</v>
      </c>
      <c r="W902" s="83">
        <v>44464.237442129626</v>
      </c>
      <c r="X902" s="89">
        <v>44464</v>
      </c>
      <c r="Y902" s="86" t="s">
        <v>1294</v>
      </c>
      <c r="Z902" s="84" t="str">
        <f>HYPERLINK("https://twitter.com/ho6ism/status/1441639077195902978")</f>
        <v>https://twitter.com/ho6ism/status/1441639077195902978</v>
      </c>
      <c r="AA902" s="81"/>
      <c r="AB902" s="81"/>
      <c r="AC902" s="86" t="s">
        <v>1789</v>
      </c>
      <c r="AD902" s="81"/>
      <c r="AE902" s="81" t="b">
        <v>0</v>
      </c>
      <c r="AF902" s="81">
        <v>0</v>
      </c>
      <c r="AG902" s="86" t="s">
        <v>2084</v>
      </c>
      <c r="AH902" s="81" t="b">
        <v>0</v>
      </c>
      <c r="AI902" s="81" t="s">
        <v>2168</v>
      </c>
      <c r="AJ902" s="81"/>
      <c r="AK902" s="86" t="s">
        <v>2084</v>
      </c>
      <c r="AL902" s="81" t="b">
        <v>0</v>
      </c>
      <c r="AM902" s="81">
        <v>22</v>
      </c>
      <c r="AN902" s="86" t="s">
        <v>1846</v>
      </c>
      <c r="AO902" s="86" t="s">
        <v>2178</v>
      </c>
      <c r="AP902" s="81" t="b">
        <v>0</v>
      </c>
      <c r="AQ902" s="86" t="s">
        <v>1846</v>
      </c>
      <c r="AR902" s="81" t="s">
        <v>179</v>
      </c>
      <c r="AS902" s="81">
        <v>0</v>
      </c>
      <c r="AT902" s="81">
        <v>0</v>
      </c>
      <c r="AU902" s="81"/>
      <c r="AV902" s="81"/>
      <c r="AW902" s="81"/>
      <c r="AX902" s="81"/>
      <c r="AY902" s="81"/>
      <c r="AZ902" s="81"/>
      <c r="BA902" s="81"/>
      <c r="BB902" s="81"/>
    </row>
    <row r="903" spans="1:54" x14ac:dyDescent="0.35">
      <c r="A903" s="66" t="s">
        <v>450</v>
      </c>
      <c r="B903" s="66" t="s">
        <v>496</v>
      </c>
      <c r="C903" s="67"/>
      <c r="D903" s="68"/>
      <c r="E903" s="69"/>
      <c r="F903" s="70"/>
      <c r="G903" s="67"/>
      <c r="H903" s="71"/>
      <c r="I903" s="72"/>
      <c r="J903" s="72"/>
      <c r="K903" s="36"/>
      <c r="L903" s="79"/>
      <c r="M903" s="79"/>
      <c r="N903" s="74"/>
      <c r="O903" s="81" t="s">
        <v>693</v>
      </c>
      <c r="P903" s="83">
        <v>44464.237442129626</v>
      </c>
      <c r="Q903" s="81" t="s">
        <v>804</v>
      </c>
      <c r="R903" s="81"/>
      <c r="S903" s="81"/>
      <c r="T903" s="86" t="s">
        <v>649</v>
      </c>
      <c r="U903" s="84" t="str">
        <f>HYPERLINK("https://pbs.twimg.com/media/FAEaAdPVgAgaH2z.jpg")</f>
        <v>https://pbs.twimg.com/media/FAEaAdPVgAgaH2z.jpg</v>
      </c>
      <c r="V903" s="84" t="str">
        <f>HYPERLINK("https://pbs.twimg.com/media/FAEaAdPVgAgaH2z.jpg")</f>
        <v>https://pbs.twimg.com/media/FAEaAdPVgAgaH2z.jpg</v>
      </c>
      <c r="W903" s="83">
        <v>44464.237442129626</v>
      </c>
      <c r="X903" s="89">
        <v>44464</v>
      </c>
      <c r="Y903" s="86" t="s">
        <v>1294</v>
      </c>
      <c r="Z903" s="84" t="str">
        <f>HYPERLINK("https://twitter.com/ho6ism/status/1441639077195902978")</f>
        <v>https://twitter.com/ho6ism/status/1441639077195902978</v>
      </c>
      <c r="AA903" s="81"/>
      <c r="AB903" s="81"/>
      <c r="AC903" s="86" t="s">
        <v>1789</v>
      </c>
      <c r="AD903" s="81"/>
      <c r="AE903" s="81" t="b">
        <v>0</v>
      </c>
      <c r="AF903" s="81">
        <v>0</v>
      </c>
      <c r="AG903" s="86" t="s">
        <v>2084</v>
      </c>
      <c r="AH903" s="81" t="b">
        <v>0</v>
      </c>
      <c r="AI903" s="81" t="s">
        <v>2168</v>
      </c>
      <c r="AJ903" s="81"/>
      <c r="AK903" s="86" t="s">
        <v>2084</v>
      </c>
      <c r="AL903" s="81" t="b">
        <v>0</v>
      </c>
      <c r="AM903" s="81">
        <v>22</v>
      </c>
      <c r="AN903" s="86" t="s">
        <v>1846</v>
      </c>
      <c r="AO903" s="86" t="s">
        <v>2178</v>
      </c>
      <c r="AP903" s="81" t="b">
        <v>0</v>
      </c>
      <c r="AQ903" s="86" t="s">
        <v>1846</v>
      </c>
      <c r="AR903" s="81" t="s">
        <v>179</v>
      </c>
      <c r="AS903" s="81">
        <v>0</v>
      </c>
      <c r="AT903" s="81">
        <v>0</v>
      </c>
      <c r="AU903" s="81"/>
      <c r="AV903" s="81"/>
      <c r="AW903" s="81"/>
      <c r="AX903" s="81"/>
      <c r="AY903" s="81"/>
      <c r="AZ903" s="81"/>
      <c r="BA903" s="81"/>
      <c r="BB903" s="81"/>
    </row>
    <row r="904" spans="1:54" x14ac:dyDescent="0.35">
      <c r="A904" s="66" t="s">
        <v>451</v>
      </c>
      <c r="B904" s="66" t="s">
        <v>646</v>
      </c>
      <c r="C904" s="67"/>
      <c r="D904" s="68"/>
      <c r="E904" s="69"/>
      <c r="F904" s="70"/>
      <c r="G904" s="67"/>
      <c r="H904" s="71"/>
      <c r="I904" s="72"/>
      <c r="J904" s="72"/>
      <c r="K904" s="36"/>
      <c r="L904" s="79"/>
      <c r="M904" s="79"/>
      <c r="N904" s="74"/>
      <c r="O904" s="81" t="s">
        <v>694</v>
      </c>
      <c r="P904" s="83">
        <v>44464.253611111111</v>
      </c>
      <c r="Q904" s="81" t="s">
        <v>803</v>
      </c>
      <c r="R904" s="81"/>
      <c r="S904" s="81"/>
      <c r="T904" s="86" t="s">
        <v>649</v>
      </c>
      <c r="U904" s="84" t="str">
        <f>HYPERLINK("https://pbs.twimg.com/media/FAEa7dXVkAcjbKg.jpg")</f>
        <v>https://pbs.twimg.com/media/FAEa7dXVkAcjbKg.jpg</v>
      </c>
      <c r="V904" s="84" t="str">
        <f>HYPERLINK("https://pbs.twimg.com/media/FAEa7dXVkAcjbKg.jpg")</f>
        <v>https://pbs.twimg.com/media/FAEa7dXVkAcjbKg.jpg</v>
      </c>
      <c r="W904" s="83">
        <v>44464.253611111111</v>
      </c>
      <c r="X904" s="89">
        <v>44464</v>
      </c>
      <c r="Y904" s="86" t="s">
        <v>1295</v>
      </c>
      <c r="Z904" s="84" t="str">
        <f>HYPERLINK("https://twitter.com/arnabjungkook/status/1441644939318751236")</f>
        <v>https://twitter.com/arnabjungkook/status/1441644939318751236</v>
      </c>
      <c r="AA904" s="81"/>
      <c r="AB904" s="81"/>
      <c r="AC904" s="86" t="s">
        <v>1790</v>
      </c>
      <c r="AD904" s="81"/>
      <c r="AE904" s="81" t="b">
        <v>0</v>
      </c>
      <c r="AF904" s="81">
        <v>0</v>
      </c>
      <c r="AG904" s="86" t="s">
        <v>2084</v>
      </c>
      <c r="AH904" s="81" t="b">
        <v>0</v>
      </c>
      <c r="AI904" s="81" t="s">
        <v>2168</v>
      </c>
      <c r="AJ904" s="81"/>
      <c r="AK904" s="86" t="s">
        <v>2084</v>
      </c>
      <c r="AL904" s="81" t="b">
        <v>0</v>
      </c>
      <c r="AM904" s="81">
        <v>21</v>
      </c>
      <c r="AN904" s="86" t="s">
        <v>1847</v>
      </c>
      <c r="AO904" s="86" t="s">
        <v>2178</v>
      </c>
      <c r="AP904" s="81" t="b">
        <v>0</v>
      </c>
      <c r="AQ904" s="86" t="s">
        <v>1847</v>
      </c>
      <c r="AR904" s="81" t="s">
        <v>179</v>
      </c>
      <c r="AS904" s="81">
        <v>0</v>
      </c>
      <c r="AT904" s="81">
        <v>0</v>
      </c>
      <c r="AU904" s="81"/>
      <c r="AV904" s="81"/>
      <c r="AW904" s="81"/>
      <c r="AX904" s="81"/>
      <c r="AY904" s="81"/>
      <c r="AZ904" s="81"/>
      <c r="BA904" s="81"/>
      <c r="BB904" s="81"/>
    </row>
    <row r="905" spans="1:54" x14ac:dyDescent="0.35">
      <c r="A905" s="66" t="s">
        <v>451</v>
      </c>
      <c r="B905" s="66" t="s">
        <v>647</v>
      </c>
      <c r="C905" s="67"/>
      <c r="D905" s="68"/>
      <c r="E905" s="69"/>
      <c r="F905" s="70"/>
      <c r="G905" s="67"/>
      <c r="H905" s="71"/>
      <c r="I905" s="72"/>
      <c r="J905" s="72"/>
      <c r="K905" s="36"/>
      <c r="L905" s="79"/>
      <c r="M905" s="79"/>
      <c r="N905" s="74"/>
      <c r="O905" s="81" t="s">
        <v>694</v>
      </c>
      <c r="P905" s="83">
        <v>44464.253611111111</v>
      </c>
      <c r="Q905" s="81" t="s">
        <v>803</v>
      </c>
      <c r="R905" s="81"/>
      <c r="S905" s="81"/>
      <c r="T905" s="86" t="s">
        <v>649</v>
      </c>
      <c r="U905" s="84" t="str">
        <f>HYPERLINK("https://pbs.twimg.com/media/FAEa7dXVkAcjbKg.jpg")</f>
        <v>https://pbs.twimg.com/media/FAEa7dXVkAcjbKg.jpg</v>
      </c>
      <c r="V905" s="84" t="str">
        <f>HYPERLINK("https://pbs.twimg.com/media/FAEa7dXVkAcjbKg.jpg")</f>
        <v>https://pbs.twimg.com/media/FAEa7dXVkAcjbKg.jpg</v>
      </c>
      <c r="W905" s="83">
        <v>44464.253611111111</v>
      </c>
      <c r="X905" s="89">
        <v>44464</v>
      </c>
      <c r="Y905" s="86" t="s">
        <v>1295</v>
      </c>
      <c r="Z905" s="84" t="str">
        <f>HYPERLINK("https://twitter.com/arnabjungkook/status/1441644939318751236")</f>
        <v>https://twitter.com/arnabjungkook/status/1441644939318751236</v>
      </c>
      <c r="AA905" s="81"/>
      <c r="AB905" s="81"/>
      <c r="AC905" s="86" t="s">
        <v>1790</v>
      </c>
      <c r="AD905" s="81"/>
      <c r="AE905" s="81" t="b">
        <v>0</v>
      </c>
      <c r="AF905" s="81">
        <v>0</v>
      </c>
      <c r="AG905" s="86" t="s">
        <v>2084</v>
      </c>
      <c r="AH905" s="81" t="b">
        <v>0</v>
      </c>
      <c r="AI905" s="81" t="s">
        <v>2168</v>
      </c>
      <c r="AJ905" s="81"/>
      <c r="AK905" s="86" t="s">
        <v>2084</v>
      </c>
      <c r="AL905" s="81" t="b">
        <v>0</v>
      </c>
      <c r="AM905" s="81">
        <v>21</v>
      </c>
      <c r="AN905" s="86" t="s">
        <v>1847</v>
      </c>
      <c r="AO905" s="86" t="s">
        <v>2178</v>
      </c>
      <c r="AP905" s="81" t="b">
        <v>0</v>
      </c>
      <c r="AQ905" s="86" t="s">
        <v>1847</v>
      </c>
      <c r="AR905" s="81" t="s">
        <v>179</v>
      </c>
      <c r="AS905" s="81">
        <v>0</v>
      </c>
      <c r="AT905" s="81">
        <v>0</v>
      </c>
      <c r="AU905" s="81"/>
      <c r="AV905" s="81"/>
      <c r="AW905" s="81"/>
      <c r="AX905" s="81"/>
      <c r="AY905" s="81"/>
      <c r="AZ905" s="81"/>
      <c r="BA905" s="81"/>
      <c r="BB905" s="81"/>
    </row>
    <row r="906" spans="1:54" x14ac:dyDescent="0.35">
      <c r="A906" s="66" t="s">
        <v>451</v>
      </c>
      <c r="B906" s="66" t="s">
        <v>648</v>
      </c>
      <c r="C906" s="67"/>
      <c r="D906" s="68"/>
      <c r="E906" s="69"/>
      <c r="F906" s="70"/>
      <c r="G906" s="67"/>
      <c r="H906" s="71"/>
      <c r="I906" s="72"/>
      <c r="J906" s="72"/>
      <c r="K906" s="36"/>
      <c r="L906" s="79"/>
      <c r="M906" s="79"/>
      <c r="N906" s="74"/>
      <c r="O906" s="81" t="s">
        <v>694</v>
      </c>
      <c r="P906" s="83">
        <v>44464.253611111111</v>
      </c>
      <c r="Q906" s="81" t="s">
        <v>803</v>
      </c>
      <c r="R906" s="81"/>
      <c r="S906" s="81"/>
      <c r="T906" s="86" t="s">
        <v>649</v>
      </c>
      <c r="U906" s="84" t="str">
        <f>HYPERLINK("https://pbs.twimg.com/media/FAEa7dXVkAcjbKg.jpg")</f>
        <v>https://pbs.twimg.com/media/FAEa7dXVkAcjbKg.jpg</v>
      </c>
      <c r="V906" s="84" t="str">
        <f>HYPERLINK("https://pbs.twimg.com/media/FAEa7dXVkAcjbKg.jpg")</f>
        <v>https://pbs.twimg.com/media/FAEa7dXVkAcjbKg.jpg</v>
      </c>
      <c r="W906" s="83">
        <v>44464.253611111111</v>
      </c>
      <c r="X906" s="89">
        <v>44464</v>
      </c>
      <c r="Y906" s="86" t="s">
        <v>1295</v>
      </c>
      <c r="Z906" s="84" t="str">
        <f>HYPERLINK("https://twitter.com/arnabjungkook/status/1441644939318751236")</f>
        <v>https://twitter.com/arnabjungkook/status/1441644939318751236</v>
      </c>
      <c r="AA906" s="81"/>
      <c r="AB906" s="81"/>
      <c r="AC906" s="86" t="s">
        <v>1790</v>
      </c>
      <c r="AD906" s="81"/>
      <c r="AE906" s="81" t="b">
        <v>0</v>
      </c>
      <c r="AF906" s="81">
        <v>0</v>
      </c>
      <c r="AG906" s="86" t="s">
        <v>2084</v>
      </c>
      <c r="AH906" s="81" t="b">
        <v>0</v>
      </c>
      <c r="AI906" s="81" t="s">
        <v>2168</v>
      </c>
      <c r="AJ906" s="81"/>
      <c r="AK906" s="86" t="s">
        <v>2084</v>
      </c>
      <c r="AL906" s="81" t="b">
        <v>0</v>
      </c>
      <c r="AM906" s="81">
        <v>21</v>
      </c>
      <c r="AN906" s="86" t="s">
        <v>1847</v>
      </c>
      <c r="AO906" s="86" t="s">
        <v>2178</v>
      </c>
      <c r="AP906" s="81" t="b">
        <v>0</v>
      </c>
      <c r="AQ906" s="86" t="s">
        <v>1847</v>
      </c>
      <c r="AR906" s="81" t="s">
        <v>179</v>
      </c>
      <c r="AS906" s="81">
        <v>0</v>
      </c>
      <c r="AT906" s="81">
        <v>0</v>
      </c>
      <c r="AU906" s="81"/>
      <c r="AV906" s="81"/>
      <c r="AW906" s="81"/>
      <c r="AX906" s="81"/>
      <c r="AY906" s="81"/>
      <c r="AZ906" s="81"/>
      <c r="BA906" s="81"/>
      <c r="BB906" s="81"/>
    </row>
    <row r="907" spans="1:54" x14ac:dyDescent="0.35">
      <c r="A907" s="66" t="s">
        <v>451</v>
      </c>
      <c r="B907" s="66" t="s">
        <v>649</v>
      </c>
      <c r="C907" s="67"/>
      <c r="D907" s="68"/>
      <c r="E907" s="69"/>
      <c r="F907" s="70"/>
      <c r="G907" s="67"/>
      <c r="H907" s="71"/>
      <c r="I907" s="72"/>
      <c r="J907" s="72"/>
      <c r="K907" s="36"/>
      <c r="L907" s="79"/>
      <c r="M907" s="79"/>
      <c r="N907" s="74"/>
      <c r="O907" s="81" t="s">
        <v>694</v>
      </c>
      <c r="P907" s="83">
        <v>44464.253611111111</v>
      </c>
      <c r="Q907" s="81" t="s">
        <v>803</v>
      </c>
      <c r="R907" s="81"/>
      <c r="S907" s="81"/>
      <c r="T907" s="86" t="s">
        <v>649</v>
      </c>
      <c r="U907" s="84" t="str">
        <f>HYPERLINK("https://pbs.twimg.com/media/FAEa7dXVkAcjbKg.jpg")</f>
        <v>https://pbs.twimg.com/media/FAEa7dXVkAcjbKg.jpg</v>
      </c>
      <c r="V907" s="84" t="str">
        <f>HYPERLINK("https://pbs.twimg.com/media/FAEa7dXVkAcjbKg.jpg")</f>
        <v>https://pbs.twimg.com/media/FAEa7dXVkAcjbKg.jpg</v>
      </c>
      <c r="W907" s="83">
        <v>44464.253611111111</v>
      </c>
      <c r="X907" s="89">
        <v>44464</v>
      </c>
      <c r="Y907" s="86" t="s">
        <v>1295</v>
      </c>
      <c r="Z907" s="84" t="str">
        <f>HYPERLINK("https://twitter.com/arnabjungkook/status/1441644939318751236")</f>
        <v>https://twitter.com/arnabjungkook/status/1441644939318751236</v>
      </c>
      <c r="AA907" s="81"/>
      <c r="AB907" s="81"/>
      <c r="AC907" s="86" t="s">
        <v>1790</v>
      </c>
      <c r="AD907" s="81"/>
      <c r="AE907" s="81" t="b">
        <v>0</v>
      </c>
      <c r="AF907" s="81">
        <v>0</v>
      </c>
      <c r="AG907" s="86" t="s">
        <v>2084</v>
      </c>
      <c r="AH907" s="81" t="b">
        <v>0</v>
      </c>
      <c r="AI907" s="81" t="s">
        <v>2168</v>
      </c>
      <c r="AJ907" s="81"/>
      <c r="AK907" s="86" t="s">
        <v>2084</v>
      </c>
      <c r="AL907" s="81" t="b">
        <v>0</v>
      </c>
      <c r="AM907" s="81">
        <v>21</v>
      </c>
      <c r="AN907" s="86" t="s">
        <v>1847</v>
      </c>
      <c r="AO907" s="86" t="s">
        <v>2178</v>
      </c>
      <c r="AP907" s="81" t="b">
        <v>0</v>
      </c>
      <c r="AQ907" s="86" t="s">
        <v>1847</v>
      </c>
      <c r="AR907" s="81" t="s">
        <v>179</v>
      </c>
      <c r="AS907" s="81">
        <v>0</v>
      </c>
      <c r="AT907" s="81">
        <v>0</v>
      </c>
      <c r="AU907" s="81"/>
      <c r="AV907" s="81"/>
      <c r="AW907" s="81"/>
      <c r="AX907" s="81"/>
      <c r="AY907" s="81"/>
      <c r="AZ907" s="81"/>
      <c r="BA907" s="81"/>
      <c r="BB907" s="81"/>
    </row>
    <row r="908" spans="1:54" x14ac:dyDescent="0.35">
      <c r="A908" s="66" t="s">
        <v>451</v>
      </c>
      <c r="B908" s="66" t="s">
        <v>496</v>
      </c>
      <c r="C908" s="67"/>
      <c r="D908" s="68"/>
      <c r="E908" s="69"/>
      <c r="F908" s="70"/>
      <c r="G908" s="67"/>
      <c r="H908" s="71"/>
      <c r="I908" s="72"/>
      <c r="J908" s="72"/>
      <c r="K908" s="36"/>
      <c r="L908" s="79"/>
      <c r="M908" s="79"/>
      <c r="N908" s="74"/>
      <c r="O908" s="81" t="s">
        <v>693</v>
      </c>
      <c r="P908" s="83">
        <v>44464.253611111111</v>
      </c>
      <c r="Q908" s="81" t="s">
        <v>803</v>
      </c>
      <c r="R908" s="81"/>
      <c r="S908" s="81"/>
      <c r="T908" s="86" t="s">
        <v>649</v>
      </c>
      <c r="U908" s="84" t="str">
        <f>HYPERLINK("https://pbs.twimg.com/media/FAEa7dXVkAcjbKg.jpg")</f>
        <v>https://pbs.twimg.com/media/FAEa7dXVkAcjbKg.jpg</v>
      </c>
      <c r="V908" s="84" t="str">
        <f>HYPERLINK("https://pbs.twimg.com/media/FAEa7dXVkAcjbKg.jpg")</f>
        <v>https://pbs.twimg.com/media/FAEa7dXVkAcjbKg.jpg</v>
      </c>
      <c r="W908" s="83">
        <v>44464.253611111111</v>
      </c>
      <c r="X908" s="89">
        <v>44464</v>
      </c>
      <c r="Y908" s="86" t="s">
        <v>1295</v>
      </c>
      <c r="Z908" s="84" t="str">
        <f>HYPERLINK("https://twitter.com/arnabjungkook/status/1441644939318751236")</f>
        <v>https://twitter.com/arnabjungkook/status/1441644939318751236</v>
      </c>
      <c r="AA908" s="81"/>
      <c r="AB908" s="81"/>
      <c r="AC908" s="86" t="s">
        <v>1790</v>
      </c>
      <c r="AD908" s="81"/>
      <c r="AE908" s="81" t="b">
        <v>0</v>
      </c>
      <c r="AF908" s="81">
        <v>0</v>
      </c>
      <c r="AG908" s="86" t="s">
        <v>2084</v>
      </c>
      <c r="AH908" s="81" t="b">
        <v>0</v>
      </c>
      <c r="AI908" s="81" t="s">
        <v>2168</v>
      </c>
      <c r="AJ908" s="81"/>
      <c r="AK908" s="86" t="s">
        <v>2084</v>
      </c>
      <c r="AL908" s="81" t="b">
        <v>0</v>
      </c>
      <c r="AM908" s="81">
        <v>21</v>
      </c>
      <c r="AN908" s="86" t="s">
        <v>1847</v>
      </c>
      <c r="AO908" s="86" t="s">
        <v>2178</v>
      </c>
      <c r="AP908" s="81" t="b">
        <v>0</v>
      </c>
      <c r="AQ908" s="86" t="s">
        <v>1847</v>
      </c>
      <c r="AR908" s="81" t="s">
        <v>179</v>
      </c>
      <c r="AS908" s="81">
        <v>0</v>
      </c>
      <c r="AT908" s="81">
        <v>0</v>
      </c>
      <c r="AU908" s="81"/>
      <c r="AV908" s="81"/>
      <c r="AW908" s="81"/>
      <c r="AX908" s="81"/>
      <c r="AY908" s="81"/>
      <c r="AZ908" s="81"/>
      <c r="BA908" s="81"/>
      <c r="BB908" s="81"/>
    </row>
    <row r="909" spans="1:54" x14ac:dyDescent="0.35">
      <c r="A909" s="66" t="s">
        <v>452</v>
      </c>
      <c r="B909" s="66" t="s">
        <v>646</v>
      </c>
      <c r="C909" s="67"/>
      <c r="D909" s="68"/>
      <c r="E909" s="69"/>
      <c r="F909" s="70"/>
      <c r="G909" s="67"/>
      <c r="H909" s="71"/>
      <c r="I909" s="72"/>
      <c r="J909" s="72"/>
      <c r="K909" s="36"/>
      <c r="L909" s="79"/>
      <c r="M909" s="79"/>
      <c r="N909" s="74"/>
      <c r="O909" s="81" t="s">
        <v>694</v>
      </c>
      <c r="P909" s="83">
        <v>44464.227835648147</v>
      </c>
      <c r="Q909" s="81" t="s">
        <v>803</v>
      </c>
      <c r="R909" s="81"/>
      <c r="S909" s="81"/>
      <c r="T909" s="86" t="s">
        <v>649</v>
      </c>
      <c r="U909" s="84" t="str">
        <f>HYPERLINK("https://pbs.twimg.com/media/FAEa7dXVkAcjbKg.jpg")</f>
        <v>https://pbs.twimg.com/media/FAEa7dXVkAcjbKg.jpg</v>
      </c>
      <c r="V909" s="84" t="str">
        <f>HYPERLINK("https://pbs.twimg.com/media/FAEa7dXVkAcjbKg.jpg")</f>
        <v>https://pbs.twimg.com/media/FAEa7dXVkAcjbKg.jpg</v>
      </c>
      <c r="W909" s="83">
        <v>44464.227835648147</v>
      </c>
      <c r="X909" s="89">
        <v>44464</v>
      </c>
      <c r="Y909" s="86" t="s">
        <v>1296</v>
      </c>
      <c r="Z909" s="84" t="str">
        <f>HYPERLINK("https://twitter.com/mydearjiminie/status/1441635596514910210")</f>
        <v>https://twitter.com/mydearjiminie/status/1441635596514910210</v>
      </c>
      <c r="AA909" s="81"/>
      <c r="AB909" s="81"/>
      <c r="AC909" s="86" t="s">
        <v>1791</v>
      </c>
      <c r="AD909" s="81"/>
      <c r="AE909" s="81" t="b">
        <v>0</v>
      </c>
      <c r="AF909" s="81">
        <v>0</v>
      </c>
      <c r="AG909" s="86" t="s">
        <v>2084</v>
      </c>
      <c r="AH909" s="81" t="b">
        <v>0</v>
      </c>
      <c r="AI909" s="81" t="s">
        <v>2168</v>
      </c>
      <c r="AJ909" s="81"/>
      <c r="AK909" s="86" t="s">
        <v>2084</v>
      </c>
      <c r="AL909" s="81" t="b">
        <v>0</v>
      </c>
      <c r="AM909" s="81">
        <v>21</v>
      </c>
      <c r="AN909" s="86" t="s">
        <v>1847</v>
      </c>
      <c r="AO909" s="86" t="s">
        <v>2178</v>
      </c>
      <c r="AP909" s="81" t="b">
        <v>0</v>
      </c>
      <c r="AQ909" s="86" t="s">
        <v>1847</v>
      </c>
      <c r="AR909" s="81" t="s">
        <v>179</v>
      </c>
      <c r="AS909" s="81">
        <v>0</v>
      </c>
      <c r="AT909" s="81">
        <v>0</v>
      </c>
      <c r="AU909" s="81"/>
      <c r="AV909" s="81"/>
      <c r="AW909" s="81"/>
      <c r="AX909" s="81"/>
      <c r="AY909" s="81"/>
      <c r="AZ909" s="81"/>
      <c r="BA909" s="81"/>
      <c r="BB909" s="81"/>
    </row>
    <row r="910" spans="1:54" x14ac:dyDescent="0.35">
      <c r="A910" s="66" t="s">
        <v>452</v>
      </c>
      <c r="B910" s="66" t="s">
        <v>647</v>
      </c>
      <c r="C910" s="67"/>
      <c r="D910" s="68"/>
      <c r="E910" s="69"/>
      <c r="F910" s="70"/>
      <c r="G910" s="67"/>
      <c r="H910" s="71"/>
      <c r="I910" s="72"/>
      <c r="J910" s="72"/>
      <c r="K910" s="36"/>
      <c r="L910" s="79"/>
      <c r="M910" s="79"/>
      <c r="N910" s="74"/>
      <c r="O910" s="81" t="s">
        <v>694</v>
      </c>
      <c r="P910" s="83">
        <v>44464.227835648147</v>
      </c>
      <c r="Q910" s="81" t="s">
        <v>803</v>
      </c>
      <c r="R910" s="81"/>
      <c r="S910" s="81"/>
      <c r="T910" s="86" t="s">
        <v>649</v>
      </c>
      <c r="U910" s="84" t="str">
        <f>HYPERLINK("https://pbs.twimg.com/media/FAEa7dXVkAcjbKg.jpg")</f>
        <v>https://pbs.twimg.com/media/FAEa7dXVkAcjbKg.jpg</v>
      </c>
      <c r="V910" s="84" t="str">
        <f>HYPERLINK("https://pbs.twimg.com/media/FAEa7dXVkAcjbKg.jpg")</f>
        <v>https://pbs.twimg.com/media/FAEa7dXVkAcjbKg.jpg</v>
      </c>
      <c r="W910" s="83">
        <v>44464.227835648147</v>
      </c>
      <c r="X910" s="89">
        <v>44464</v>
      </c>
      <c r="Y910" s="86" t="s">
        <v>1296</v>
      </c>
      <c r="Z910" s="84" t="str">
        <f>HYPERLINK("https://twitter.com/mydearjiminie/status/1441635596514910210")</f>
        <v>https://twitter.com/mydearjiminie/status/1441635596514910210</v>
      </c>
      <c r="AA910" s="81"/>
      <c r="AB910" s="81"/>
      <c r="AC910" s="86" t="s">
        <v>1791</v>
      </c>
      <c r="AD910" s="81"/>
      <c r="AE910" s="81" t="b">
        <v>0</v>
      </c>
      <c r="AF910" s="81">
        <v>0</v>
      </c>
      <c r="AG910" s="86" t="s">
        <v>2084</v>
      </c>
      <c r="AH910" s="81" t="b">
        <v>0</v>
      </c>
      <c r="AI910" s="81" t="s">
        <v>2168</v>
      </c>
      <c r="AJ910" s="81"/>
      <c r="AK910" s="86" t="s">
        <v>2084</v>
      </c>
      <c r="AL910" s="81" t="b">
        <v>0</v>
      </c>
      <c r="AM910" s="81">
        <v>21</v>
      </c>
      <c r="AN910" s="86" t="s">
        <v>1847</v>
      </c>
      <c r="AO910" s="86" t="s">
        <v>2178</v>
      </c>
      <c r="AP910" s="81" t="b">
        <v>0</v>
      </c>
      <c r="AQ910" s="86" t="s">
        <v>1847</v>
      </c>
      <c r="AR910" s="81" t="s">
        <v>179</v>
      </c>
      <c r="AS910" s="81">
        <v>0</v>
      </c>
      <c r="AT910" s="81">
        <v>0</v>
      </c>
      <c r="AU910" s="81"/>
      <c r="AV910" s="81"/>
      <c r="AW910" s="81"/>
      <c r="AX910" s="81"/>
      <c r="AY910" s="81"/>
      <c r="AZ910" s="81"/>
      <c r="BA910" s="81"/>
      <c r="BB910" s="81"/>
    </row>
    <row r="911" spans="1:54" x14ac:dyDescent="0.35">
      <c r="A911" s="66" t="s">
        <v>452</v>
      </c>
      <c r="B911" s="66" t="s">
        <v>648</v>
      </c>
      <c r="C911" s="67"/>
      <c r="D911" s="68"/>
      <c r="E911" s="69"/>
      <c r="F911" s="70"/>
      <c r="G911" s="67"/>
      <c r="H911" s="71"/>
      <c r="I911" s="72"/>
      <c r="J911" s="72"/>
      <c r="K911" s="36"/>
      <c r="L911" s="79"/>
      <c r="M911" s="79"/>
      <c r="N911" s="74"/>
      <c r="O911" s="81" t="s">
        <v>694</v>
      </c>
      <c r="P911" s="83">
        <v>44464.227835648147</v>
      </c>
      <c r="Q911" s="81" t="s">
        <v>803</v>
      </c>
      <c r="R911" s="81"/>
      <c r="S911" s="81"/>
      <c r="T911" s="86" t="s">
        <v>649</v>
      </c>
      <c r="U911" s="84" t="str">
        <f>HYPERLINK("https://pbs.twimg.com/media/FAEa7dXVkAcjbKg.jpg")</f>
        <v>https://pbs.twimg.com/media/FAEa7dXVkAcjbKg.jpg</v>
      </c>
      <c r="V911" s="84" t="str">
        <f>HYPERLINK("https://pbs.twimg.com/media/FAEa7dXVkAcjbKg.jpg")</f>
        <v>https://pbs.twimg.com/media/FAEa7dXVkAcjbKg.jpg</v>
      </c>
      <c r="W911" s="83">
        <v>44464.227835648147</v>
      </c>
      <c r="X911" s="89">
        <v>44464</v>
      </c>
      <c r="Y911" s="86" t="s">
        <v>1296</v>
      </c>
      <c r="Z911" s="84" t="str">
        <f>HYPERLINK("https://twitter.com/mydearjiminie/status/1441635596514910210")</f>
        <v>https://twitter.com/mydearjiminie/status/1441635596514910210</v>
      </c>
      <c r="AA911" s="81"/>
      <c r="AB911" s="81"/>
      <c r="AC911" s="86" t="s">
        <v>1791</v>
      </c>
      <c r="AD911" s="81"/>
      <c r="AE911" s="81" t="b">
        <v>0</v>
      </c>
      <c r="AF911" s="81">
        <v>0</v>
      </c>
      <c r="AG911" s="86" t="s">
        <v>2084</v>
      </c>
      <c r="AH911" s="81" t="b">
        <v>0</v>
      </c>
      <c r="AI911" s="81" t="s">
        <v>2168</v>
      </c>
      <c r="AJ911" s="81"/>
      <c r="AK911" s="86" t="s">
        <v>2084</v>
      </c>
      <c r="AL911" s="81" t="b">
        <v>0</v>
      </c>
      <c r="AM911" s="81">
        <v>21</v>
      </c>
      <c r="AN911" s="86" t="s">
        <v>1847</v>
      </c>
      <c r="AO911" s="86" t="s">
        <v>2178</v>
      </c>
      <c r="AP911" s="81" t="b">
        <v>0</v>
      </c>
      <c r="AQ911" s="86" t="s">
        <v>1847</v>
      </c>
      <c r="AR911" s="81" t="s">
        <v>179</v>
      </c>
      <c r="AS911" s="81">
        <v>0</v>
      </c>
      <c r="AT911" s="81">
        <v>0</v>
      </c>
      <c r="AU911" s="81"/>
      <c r="AV911" s="81"/>
      <c r="AW911" s="81"/>
      <c r="AX911" s="81"/>
      <c r="AY911" s="81"/>
      <c r="AZ911" s="81"/>
      <c r="BA911" s="81"/>
      <c r="BB911" s="81"/>
    </row>
    <row r="912" spans="1:54" x14ac:dyDescent="0.35">
      <c r="A912" s="66" t="s">
        <v>452</v>
      </c>
      <c r="B912" s="66" t="s">
        <v>649</v>
      </c>
      <c r="C912" s="67"/>
      <c r="D912" s="68"/>
      <c r="E912" s="69"/>
      <c r="F912" s="70"/>
      <c r="G912" s="67"/>
      <c r="H912" s="71"/>
      <c r="I912" s="72"/>
      <c r="J912" s="72"/>
      <c r="K912" s="36"/>
      <c r="L912" s="79"/>
      <c r="M912" s="79"/>
      <c r="N912" s="74"/>
      <c r="O912" s="81" t="s">
        <v>694</v>
      </c>
      <c r="P912" s="83">
        <v>44464.227835648147</v>
      </c>
      <c r="Q912" s="81" t="s">
        <v>803</v>
      </c>
      <c r="R912" s="81"/>
      <c r="S912" s="81"/>
      <c r="T912" s="86" t="s">
        <v>649</v>
      </c>
      <c r="U912" s="84" t="str">
        <f>HYPERLINK("https://pbs.twimg.com/media/FAEa7dXVkAcjbKg.jpg")</f>
        <v>https://pbs.twimg.com/media/FAEa7dXVkAcjbKg.jpg</v>
      </c>
      <c r="V912" s="84" t="str">
        <f>HYPERLINK("https://pbs.twimg.com/media/FAEa7dXVkAcjbKg.jpg")</f>
        <v>https://pbs.twimg.com/media/FAEa7dXVkAcjbKg.jpg</v>
      </c>
      <c r="W912" s="83">
        <v>44464.227835648147</v>
      </c>
      <c r="X912" s="89">
        <v>44464</v>
      </c>
      <c r="Y912" s="86" t="s">
        <v>1296</v>
      </c>
      <c r="Z912" s="84" t="str">
        <f>HYPERLINK("https://twitter.com/mydearjiminie/status/1441635596514910210")</f>
        <v>https://twitter.com/mydearjiminie/status/1441635596514910210</v>
      </c>
      <c r="AA912" s="81"/>
      <c r="AB912" s="81"/>
      <c r="AC912" s="86" t="s">
        <v>1791</v>
      </c>
      <c r="AD912" s="81"/>
      <c r="AE912" s="81" t="b">
        <v>0</v>
      </c>
      <c r="AF912" s="81">
        <v>0</v>
      </c>
      <c r="AG912" s="86" t="s">
        <v>2084</v>
      </c>
      <c r="AH912" s="81" t="b">
        <v>0</v>
      </c>
      <c r="AI912" s="81" t="s">
        <v>2168</v>
      </c>
      <c r="AJ912" s="81"/>
      <c r="AK912" s="86" t="s">
        <v>2084</v>
      </c>
      <c r="AL912" s="81" t="b">
        <v>0</v>
      </c>
      <c r="AM912" s="81">
        <v>21</v>
      </c>
      <c r="AN912" s="86" t="s">
        <v>1847</v>
      </c>
      <c r="AO912" s="86" t="s">
        <v>2178</v>
      </c>
      <c r="AP912" s="81" t="b">
        <v>0</v>
      </c>
      <c r="AQ912" s="86" t="s">
        <v>1847</v>
      </c>
      <c r="AR912" s="81" t="s">
        <v>179</v>
      </c>
      <c r="AS912" s="81">
        <v>0</v>
      </c>
      <c r="AT912" s="81">
        <v>0</v>
      </c>
      <c r="AU912" s="81"/>
      <c r="AV912" s="81"/>
      <c r="AW912" s="81"/>
      <c r="AX912" s="81"/>
      <c r="AY912" s="81"/>
      <c r="AZ912" s="81"/>
      <c r="BA912" s="81"/>
      <c r="BB912" s="81"/>
    </row>
    <row r="913" spans="1:54" x14ac:dyDescent="0.35">
      <c r="A913" s="66" t="s">
        <v>452</v>
      </c>
      <c r="B913" s="66" t="s">
        <v>496</v>
      </c>
      <c r="C913" s="67"/>
      <c r="D913" s="68"/>
      <c r="E913" s="69"/>
      <c r="F913" s="70"/>
      <c r="G913" s="67"/>
      <c r="H913" s="71"/>
      <c r="I913" s="72"/>
      <c r="J913" s="72"/>
      <c r="K913" s="36"/>
      <c r="L913" s="79"/>
      <c r="M913" s="79"/>
      <c r="N913" s="74"/>
      <c r="O913" s="81" t="s">
        <v>693</v>
      </c>
      <c r="P913" s="83">
        <v>44464.227835648147</v>
      </c>
      <c r="Q913" s="81" t="s">
        <v>803</v>
      </c>
      <c r="R913" s="81"/>
      <c r="S913" s="81"/>
      <c r="T913" s="86" t="s">
        <v>649</v>
      </c>
      <c r="U913" s="84" t="str">
        <f>HYPERLINK("https://pbs.twimg.com/media/FAEa7dXVkAcjbKg.jpg")</f>
        <v>https://pbs.twimg.com/media/FAEa7dXVkAcjbKg.jpg</v>
      </c>
      <c r="V913" s="84" t="str">
        <f>HYPERLINK("https://pbs.twimg.com/media/FAEa7dXVkAcjbKg.jpg")</f>
        <v>https://pbs.twimg.com/media/FAEa7dXVkAcjbKg.jpg</v>
      </c>
      <c r="W913" s="83">
        <v>44464.227835648147</v>
      </c>
      <c r="X913" s="89">
        <v>44464</v>
      </c>
      <c r="Y913" s="86" t="s">
        <v>1296</v>
      </c>
      <c r="Z913" s="84" t="str">
        <f>HYPERLINK("https://twitter.com/mydearjiminie/status/1441635596514910210")</f>
        <v>https://twitter.com/mydearjiminie/status/1441635596514910210</v>
      </c>
      <c r="AA913" s="81"/>
      <c r="AB913" s="81"/>
      <c r="AC913" s="86" t="s">
        <v>1791</v>
      </c>
      <c r="AD913" s="81"/>
      <c r="AE913" s="81" t="b">
        <v>0</v>
      </c>
      <c r="AF913" s="81">
        <v>0</v>
      </c>
      <c r="AG913" s="86" t="s">
        <v>2084</v>
      </c>
      <c r="AH913" s="81" t="b">
        <v>0</v>
      </c>
      <c r="AI913" s="81" t="s">
        <v>2168</v>
      </c>
      <c r="AJ913" s="81"/>
      <c r="AK913" s="86" t="s">
        <v>2084</v>
      </c>
      <c r="AL913" s="81" t="b">
        <v>0</v>
      </c>
      <c r="AM913" s="81">
        <v>21</v>
      </c>
      <c r="AN913" s="86" t="s">
        <v>1847</v>
      </c>
      <c r="AO913" s="86" t="s">
        <v>2178</v>
      </c>
      <c r="AP913" s="81" t="b">
        <v>0</v>
      </c>
      <c r="AQ913" s="86" t="s">
        <v>1847</v>
      </c>
      <c r="AR913" s="81" t="s">
        <v>179</v>
      </c>
      <c r="AS913" s="81">
        <v>0</v>
      </c>
      <c r="AT913" s="81">
        <v>0</v>
      </c>
      <c r="AU913" s="81"/>
      <c r="AV913" s="81"/>
      <c r="AW913" s="81"/>
      <c r="AX913" s="81"/>
      <c r="AY913" s="81"/>
      <c r="AZ913" s="81"/>
      <c r="BA913" s="81"/>
      <c r="BB913" s="81"/>
    </row>
    <row r="914" spans="1:54" x14ac:dyDescent="0.35">
      <c r="A914" s="66" t="s">
        <v>452</v>
      </c>
      <c r="B914" s="66" t="s">
        <v>646</v>
      </c>
      <c r="C914" s="67"/>
      <c r="D914" s="68"/>
      <c r="E914" s="69"/>
      <c r="F914" s="70"/>
      <c r="G914" s="67"/>
      <c r="H914" s="71"/>
      <c r="I914" s="72"/>
      <c r="J914" s="72"/>
      <c r="K914" s="36"/>
      <c r="L914" s="79"/>
      <c r="M914" s="79"/>
      <c r="N914" s="74"/>
      <c r="O914" s="81" t="s">
        <v>694</v>
      </c>
      <c r="P914" s="83">
        <v>44464.228032407409</v>
      </c>
      <c r="Q914" s="81" t="s">
        <v>804</v>
      </c>
      <c r="R914" s="81"/>
      <c r="S914" s="81"/>
      <c r="T914" s="86" t="s">
        <v>649</v>
      </c>
      <c r="U914" s="84" t="str">
        <f>HYPERLINK("https://pbs.twimg.com/media/FAEaAdPVgAgaH2z.jpg")</f>
        <v>https://pbs.twimg.com/media/FAEaAdPVgAgaH2z.jpg</v>
      </c>
      <c r="V914" s="84" t="str">
        <f>HYPERLINK("https://pbs.twimg.com/media/FAEaAdPVgAgaH2z.jpg")</f>
        <v>https://pbs.twimg.com/media/FAEaAdPVgAgaH2z.jpg</v>
      </c>
      <c r="W914" s="83">
        <v>44464.228032407409</v>
      </c>
      <c r="X914" s="89">
        <v>44464</v>
      </c>
      <c r="Y914" s="86" t="s">
        <v>1297</v>
      </c>
      <c r="Z914" s="84" t="str">
        <f>HYPERLINK("https://twitter.com/mydearjiminie/status/1441635670108246017")</f>
        <v>https://twitter.com/mydearjiminie/status/1441635670108246017</v>
      </c>
      <c r="AA914" s="81"/>
      <c r="AB914" s="81"/>
      <c r="AC914" s="86" t="s">
        <v>1792</v>
      </c>
      <c r="AD914" s="81"/>
      <c r="AE914" s="81" t="b">
        <v>0</v>
      </c>
      <c r="AF914" s="81">
        <v>0</v>
      </c>
      <c r="AG914" s="86" t="s">
        <v>2084</v>
      </c>
      <c r="AH914" s="81" t="b">
        <v>0</v>
      </c>
      <c r="AI914" s="81" t="s">
        <v>2168</v>
      </c>
      <c r="AJ914" s="81"/>
      <c r="AK914" s="86" t="s">
        <v>2084</v>
      </c>
      <c r="AL914" s="81" t="b">
        <v>0</v>
      </c>
      <c r="AM914" s="81">
        <v>22</v>
      </c>
      <c r="AN914" s="86" t="s">
        <v>1846</v>
      </c>
      <c r="AO914" s="86" t="s">
        <v>2178</v>
      </c>
      <c r="AP914" s="81" t="b">
        <v>0</v>
      </c>
      <c r="AQ914" s="86" t="s">
        <v>1846</v>
      </c>
      <c r="AR914" s="81" t="s">
        <v>179</v>
      </c>
      <c r="AS914" s="81">
        <v>0</v>
      </c>
      <c r="AT914" s="81">
        <v>0</v>
      </c>
      <c r="AU914" s="81"/>
      <c r="AV914" s="81"/>
      <c r="AW914" s="81"/>
      <c r="AX914" s="81"/>
      <c r="AY914" s="81"/>
      <c r="AZ914" s="81"/>
      <c r="BA914" s="81"/>
      <c r="BB914" s="81"/>
    </row>
    <row r="915" spans="1:54" x14ac:dyDescent="0.35">
      <c r="A915" s="66" t="s">
        <v>452</v>
      </c>
      <c r="B915" s="66" t="s">
        <v>647</v>
      </c>
      <c r="C915" s="67"/>
      <c r="D915" s="68"/>
      <c r="E915" s="69"/>
      <c r="F915" s="70"/>
      <c r="G915" s="67"/>
      <c r="H915" s="71"/>
      <c r="I915" s="72"/>
      <c r="J915" s="72"/>
      <c r="K915" s="36"/>
      <c r="L915" s="79"/>
      <c r="M915" s="79"/>
      <c r="N915" s="74"/>
      <c r="O915" s="81" t="s">
        <v>694</v>
      </c>
      <c r="P915" s="83">
        <v>44464.228032407409</v>
      </c>
      <c r="Q915" s="81" t="s">
        <v>804</v>
      </c>
      <c r="R915" s="81"/>
      <c r="S915" s="81"/>
      <c r="T915" s="86" t="s">
        <v>649</v>
      </c>
      <c r="U915" s="84" t="str">
        <f>HYPERLINK("https://pbs.twimg.com/media/FAEaAdPVgAgaH2z.jpg")</f>
        <v>https://pbs.twimg.com/media/FAEaAdPVgAgaH2z.jpg</v>
      </c>
      <c r="V915" s="84" t="str">
        <f>HYPERLINK("https://pbs.twimg.com/media/FAEaAdPVgAgaH2z.jpg")</f>
        <v>https://pbs.twimg.com/media/FAEaAdPVgAgaH2z.jpg</v>
      </c>
      <c r="W915" s="83">
        <v>44464.228032407409</v>
      </c>
      <c r="X915" s="89">
        <v>44464</v>
      </c>
      <c r="Y915" s="86" t="s">
        <v>1297</v>
      </c>
      <c r="Z915" s="84" t="str">
        <f>HYPERLINK("https://twitter.com/mydearjiminie/status/1441635670108246017")</f>
        <v>https://twitter.com/mydearjiminie/status/1441635670108246017</v>
      </c>
      <c r="AA915" s="81"/>
      <c r="AB915" s="81"/>
      <c r="AC915" s="86" t="s">
        <v>1792</v>
      </c>
      <c r="AD915" s="81"/>
      <c r="AE915" s="81" t="b">
        <v>0</v>
      </c>
      <c r="AF915" s="81">
        <v>0</v>
      </c>
      <c r="AG915" s="86" t="s">
        <v>2084</v>
      </c>
      <c r="AH915" s="81" t="b">
        <v>0</v>
      </c>
      <c r="AI915" s="81" t="s">
        <v>2168</v>
      </c>
      <c r="AJ915" s="81"/>
      <c r="AK915" s="86" t="s">
        <v>2084</v>
      </c>
      <c r="AL915" s="81" t="b">
        <v>0</v>
      </c>
      <c r="AM915" s="81">
        <v>22</v>
      </c>
      <c r="AN915" s="86" t="s">
        <v>1846</v>
      </c>
      <c r="AO915" s="86" t="s">
        <v>2178</v>
      </c>
      <c r="AP915" s="81" t="b">
        <v>0</v>
      </c>
      <c r="AQ915" s="86" t="s">
        <v>1846</v>
      </c>
      <c r="AR915" s="81" t="s">
        <v>179</v>
      </c>
      <c r="AS915" s="81">
        <v>0</v>
      </c>
      <c r="AT915" s="81">
        <v>0</v>
      </c>
      <c r="AU915" s="81"/>
      <c r="AV915" s="81"/>
      <c r="AW915" s="81"/>
      <c r="AX915" s="81"/>
      <c r="AY915" s="81"/>
      <c r="AZ915" s="81"/>
      <c r="BA915" s="81"/>
      <c r="BB915" s="81"/>
    </row>
    <row r="916" spans="1:54" x14ac:dyDescent="0.35">
      <c r="A916" s="66" t="s">
        <v>452</v>
      </c>
      <c r="B916" s="66" t="s">
        <v>648</v>
      </c>
      <c r="C916" s="67"/>
      <c r="D916" s="68"/>
      <c r="E916" s="69"/>
      <c r="F916" s="70"/>
      <c r="G916" s="67"/>
      <c r="H916" s="71"/>
      <c r="I916" s="72"/>
      <c r="J916" s="72"/>
      <c r="K916" s="36"/>
      <c r="L916" s="79"/>
      <c r="M916" s="79"/>
      <c r="N916" s="74"/>
      <c r="O916" s="81" t="s">
        <v>694</v>
      </c>
      <c r="P916" s="83">
        <v>44464.228032407409</v>
      </c>
      <c r="Q916" s="81" t="s">
        <v>804</v>
      </c>
      <c r="R916" s="81"/>
      <c r="S916" s="81"/>
      <c r="T916" s="86" t="s">
        <v>649</v>
      </c>
      <c r="U916" s="84" t="str">
        <f>HYPERLINK("https://pbs.twimg.com/media/FAEaAdPVgAgaH2z.jpg")</f>
        <v>https://pbs.twimg.com/media/FAEaAdPVgAgaH2z.jpg</v>
      </c>
      <c r="V916" s="84" t="str">
        <f>HYPERLINK("https://pbs.twimg.com/media/FAEaAdPVgAgaH2z.jpg")</f>
        <v>https://pbs.twimg.com/media/FAEaAdPVgAgaH2z.jpg</v>
      </c>
      <c r="W916" s="83">
        <v>44464.228032407409</v>
      </c>
      <c r="X916" s="89">
        <v>44464</v>
      </c>
      <c r="Y916" s="86" t="s">
        <v>1297</v>
      </c>
      <c r="Z916" s="84" t="str">
        <f>HYPERLINK("https://twitter.com/mydearjiminie/status/1441635670108246017")</f>
        <v>https://twitter.com/mydearjiminie/status/1441635670108246017</v>
      </c>
      <c r="AA916" s="81"/>
      <c r="AB916" s="81"/>
      <c r="AC916" s="86" t="s">
        <v>1792</v>
      </c>
      <c r="AD916" s="81"/>
      <c r="AE916" s="81" t="b">
        <v>0</v>
      </c>
      <c r="AF916" s="81">
        <v>0</v>
      </c>
      <c r="AG916" s="86" t="s">
        <v>2084</v>
      </c>
      <c r="AH916" s="81" t="b">
        <v>0</v>
      </c>
      <c r="AI916" s="81" t="s">
        <v>2168</v>
      </c>
      <c r="AJ916" s="81"/>
      <c r="AK916" s="86" t="s">
        <v>2084</v>
      </c>
      <c r="AL916" s="81" t="b">
        <v>0</v>
      </c>
      <c r="AM916" s="81">
        <v>22</v>
      </c>
      <c r="AN916" s="86" t="s">
        <v>1846</v>
      </c>
      <c r="AO916" s="86" t="s">
        <v>2178</v>
      </c>
      <c r="AP916" s="81" t="b">
        <v>0</v>
      </c>
      <c r="AQ916" s="86" t="s">
        <v>1846</v>
      </c>
      <c r="AR916" s="81" t="s">
        <v>179</v>
      </c>
      <c r="AS916" s="81">
        <v>0</v>
      </c>
      <c r="AT916" s="81">
        <v>0</v>
      </c>
      <c r="AU916" s="81"/>
      <c r="AV916" s="81"/>
      <c r="AW916" s="81"/>
      <c r="AX916" s="81"/>
      <c r="AY916" s="81"/>
      <c r="AZ916" s="81"/>
      <c r="BA916" s="81"/>
      <c r="BB916" s="81"/>
    </row>
    <row r="917" spans="1:54" x14ac:dyDescent="0.35">
      <c r="A917" s="66" t="s">
        <v>452</v>
      </c>
      <c r="B917" s="66" t="s">
        <v>649</v>
      </c>
      <c r="C917" s="67"/>
      <c r="D917" s="68"/>
      <c r="E917" s="69"/>
      <c r="F917" s="70"/>
      <c r="G917" s="67"/>
      <c r="H917" s="71"/>
      <c r="I917" s="72"/>
      <c r="J917" s="72"/>
      <c r="K917" s="36"/>
      <c r="L917" s="79"/>
      <c r="M917" s="79"/>
      <c r="N917" s="74"/>
      <c r="O917" s="81" t="s">
        <v>694</v>
      </c>
      <c r="P917" s="83">
        <v>44464.228032407409</v>
      </c>
      <c r="Q917" s="81" t="s">
        <v>804</v>
      </c>
      <c r="R917" s="81"/>
      <c r="S917" s="81"/>
      <c r="T917" s="86" t="s">
        <v>649</v>
      </c>
      <c r="U917" s="84" t="str">
        <f>HYPERLINK("https://pbs.twimg.com/media/FAEaAdPVgAgaH2z.jpg")</f>
        <v>https://pbs.twimg.com/media/FAEaAdPVgAgaH2z.jpg</v>
      </c>
      <c r="V917" s="84" t="str">
        <f>HYPERLINK("https://pbs.twimg.com/media/FAEaAdPVgAgaH2z.jpg")</f>
        <v>https://pbs.twimg.com/media/FAEaAdPVgAgaH2z.jpg</v>
      </c>
      <c r="W917" s="83">
        <v>44464.228032407409</v>
      </c>
      <c r="X917" s="89">
        <v>44464</v>
      </c>
      <c r="Y917" s="86" t="s">
        <v>1297</v>
      </c>
      <c r="Z917" s="84" t="str">
        <f>HYPERLINK("https://twitter.com/mydearjiminie/status/1441635670108246017")</f>
        <v>https://twitter.com/mydearjiminie/status/1441635670108246017</v>
      </c>
      <c r="AA917" s="81"/>
      <c r="AB917" s="81"/>
      <c r="AC917" s="86" t="s">
        <v>1792</v>
      </c>
      <c r="AD917" s="81"/>
      <c r="AE917" s="81" t="b">
        <v>0</v>
      </c>
      <c r="AF917" s="81">
        <v>0</v>
      </c>
      <c r="AG917" s="86" t="s">
        <v>2084</v>
      </c>
      <c r="AH917" s="81" t="b">
        <v>0</v>
      </c>
      <c r="AI917" s="81" t="s">
        <v>2168</v>
      </c>
      <c r="AJ917" s="81"/>
      <c r="AK917" s="86" t="s">
        <v>2084</v>
      </c>
      <c r="AL917" s="81" t="b">
        <v>0</v>
      </c>
      <c r="AM917" s="81">
        <v>22</v>
      </c>
      <c r="AN917" s="86" t="s">
        <v>1846</v>
      </c>
      <c r="AO917" s="86" t="s">
        <v>2178</v>
      </c>
      <c r="AP917" s="81" t="b">
        <v>0</v>
      </c>
      <c r="AQ917" s="86" t="s">
        <v>1846</v>
      </c>
      <c r="AR917" s="81" t="s">
        <v>179</v>
      </c>
      <c r="AS917" s="81">
        <v>0</v>
      </c>
      <c r="AT917" s="81">
        <v>0</v>
      </c>
      <c r="AU917" s="81"/>
      <c r="AV917" s="81"/>
      <c r="AW917" s="81"/>
      <c r="AX917" s="81"/>
      <c r="AY917" s="81"/>
      <c r="AZ917" s="81"/>
      <c r="BA917" s="81"/>
      <c r="BB917" s="81"/>
    </row>
    <row r="918" spans="1:54" x14ac:dyDescent="0.35">
      <c r="A918" s="66" t="s">
        <v>452</v>
      </c>
      <c r="B918" s="66" t="s">
        <v>496</v>
      </c>
      <c r="C918" s="67"/>
      <c r="D918" s="68"/>
      <c r="E918" s="69"/>
      <c r="F918" s="70"/>
      <c r="G918" s="67"/>
      <c r="H918" s="71"/>
      <c r="I918" s="72"/>
      <c r="J918" s="72"/>
      <c r="K918" s="36"/>
      <c r="L918" s="79"/>
      <c r="M918" s="79"/>
      <c r="N918" s="74"/>
      <c r="O918" s="81" t="s">
        <v>693</v>
      </c>
      <c r="P918" s="83">
        <v>44464.228032407409</v>
      </c>
      <c r="Q918" s="81" t="s">
        <v>804</v>
      </c>
      <c r="R918" s="81"/>
      <c r="S918" s="81"/>
      <c r="T918" s="86" t="s">
        <v>649</v>
      </c>
      <c r="U918" s="84" t="str">
        <f>HYPERLINK("https://pbs.twimg.com/media/FAEaAdPVgAgaH2z.jpg")</f>
        <v>https://pbs.twimg.com/media/FAEaAdPVgAgaH2z.jpg</v>
      </c>
      <c r="V918" s="84" t="str">
        <f>HYPERLINK("https://pbs.twimg.com/media/FAEaAdPVgAgaH2z.jpg")</f>
        <v>https://pbs.twimg.com/media/FAEaAdPVgAgaH2z.jpg</v>
      </c>
      <c r="W918" s="83">
        <v>44464.228032407409</v>
      </c>
      <c r="X918" s="89">
        <v>44464</v>
      </c>
      <c r="Y918" s="86" t="s">
        <v>1297</v>
      </c>
      <c r="Z918" s="84" t="str">
        <f>HYPERLINK("https://twitter.com/mydearjiminie/status/1441635670108246017")</f>
        <v>https://twitter.com/mydearjiminie/status/1441635670108246017</v>
      </c>
      <c r="AA918" s="81"/>
      <c r="AB918" s="81"/>
      <c r="AC918" s="86" t="s">
        <v>1792</v>
      </c>
      <c r="AD918" s="81"/>
      <c r="AE918" s="81" t="b">
        <v>0</v>
      </c>
      <c r="AF918" s="81">
        <v>0</v>
      </c>
      <c r="AG918" s="86" t="s">
        <v>2084</v>
      </c>
      <c r="AH918" s="81" t="b">
        <v>0</v>
      </c>
      <c r="AI918" s="81" t="s">
        <v>2168</v>
      </c>
      <c r="AJ918" s="81"/>
      <c r="AK918" s="86" t="s">
        <v>2084</v>
      </c>
      <c r="AL918" s="81" t="b">
        <v>0</v>
      </c>
      <c r="AM918" s="81">
        <v>22</v>
      </c>
      <c r="AN918" s="86" t="s">
        <v>1846</v>
      </c>
      <c r="AO918" s="86" t="s">
        <v>2178</v>
      </c>
      <c r="AP918" s="81" t="b">
        <v>0</v>
      </c>
      <c r="AQ918" s="86" t="s">
        <v>1846</v>
      </c>
      <c r="AR918" s="81" t="s">
        <v>179</v>
      </c>
      <c r="AS918" s="81">
        <v>0</v>
      </c>
      <c r="AT918" s="81">
        <v>0</v>
      </c>
      <c r="AU918" s="81"/>
      <c r="AV918" s="81"/>
      <c r="AW918" s="81"/>
      <c r="AX918" s="81"/>
      <c r="AY918" s="81"/>
      <c r="AZ918" s="81"/>
      <c r="BA918" s="81"/>
      <c r="BB918" s="81"/>
    </row>
    <row r="919" spans="1:54" x14ac:dyDescent="0.35">
      <c r="A919" s="66" t="s">
        <v>452</v>
      </c>
      <c r="B919" s="66" t="s">
        <v>646</v>
      </c>
      <c r="C919" s="67"/>
      <c r="D919" s="68"/>
      <c r="E919" s="69"/>
      <c r="F919" s="70"/>
      <c r="G919" s="67"/>
      <c r="H919" s="71"/>
      <c r="I919" s="72"/>
      <c r="J919" s="72"/>
      <c r="K919" s="36"/>
      <c r="L919" s="79"/>
      <c r="M919" s="79"/>
      <c r="N919" s="74"/>
      <c r="O919" s="81" t="s">
        <v>694</v>
      </c>
      <c r="P919" s="83">
        <v>44464.261111111111</v>
      </c>
      <c r="Q919" s="81" t="s">
        <v>802</v>
      </c>
      <c r="R919" s="81"/>
      <c r="S919" s="81"/>
      <c r="T919" s="86" t="s">
        <v>649</v>
      </c>
      <c r="U919" s="84" t="str">
        <f>HYPERLINK("https://pbs.twimg.com/media/FAEa_mFUYAcoKUu.jpg")</f>
        <v>https://pbs.twimg.com/media/FAEa_mFUYAcoKUu.jpg</v>
      </c>
      <c r="V919" s="84" t="str">
        <f>HYPERLINK("https://pbs.twimg.com/media/FAEa_mFUYAcoKUu.jpg")</f>
        <v>https://pbs.twimg.com/media/FAEa_mFUYAcoKUu.jpg</v>
      </c>
      <c r="W919" s="83">
        <v>44464.261111111111</v>
      </c>
      <c r="X919" s="89">
        <v>44464</v>
      </c>
      <c r="Y919" s="86" t="s">
        <v>1298</v>
      </c>
      <c r="Z919" s="84" t="str">
        <f>HYPERLINK("https://twitter.com/mydearjiminie/status/1441647656439144448")</f>
        <v>https://twitter.com/mydearjiminie/status/1441647656439144448</v>
      </c>
      <c r="AA919" s="81"/>
      <c r="AB919" s="81"/>
      <c r="AC919" s="86" t="s">
        <v>1793</v>
      </c>
      <c r="AD919" s="81"/>
      <c r="AE919" s="81" t="b">
        <v>0</v>
      </c>
      <c r="AF919" s="81">
        <v>0</v>
      </c>
      <c r="AG919" s="86" t="s">
        <v>2084</v>
      </c>
      <c r="AH919" s="81" t="b">
        <v>0</v>
      </c>
      <c r="AI919" s="81" t="s">
        <v>2168</v>
      </c>
      <c r="AJ919" s="81"/>
      <c r="AK919" s="86" t="s">
        <v>2084</v>
      </c>
      <c r="AL919" s="81" t="b">
        <v>0</v>
      </c>
      <c r="AM919" s="81">
        <v>24</v>
      </c>
      <c r="AN919" s="86" t="s">
        <v>1848</v>
      </c>
      <c r="AO919" s="86" t="s">
        <v>2178</v>
      </c>
      <c r="AP919" s="81" t="b">
        <v>0</v>
      </c>
      <c r="AQ919" s="86" t="s">
        <v>1848</v>
      </c>
      <c r="AR919" s="81" t="s">
        <v>179</v>
      </c>
      <c r="AS919" s="81">
        <v>0</v>
      </c>
      <c r="AT919" s="81">
        <v>0</v>
      </c>
      <c r="AU919" s="81"/>
      <c r="AV919" s="81"/>
      <c r="AW919" s="81"/>
      <c r="AX919" s="81"/>
      <c r="AY919" s="81"/>
      <c r="AZ919" s="81"/>
      <c r="BA919" s="81"/>
      <c r="BB919" s="81"/>
    </row>
    <row r="920" spans="1:54" x14ac:dyDescent="0.35">
      <c r="A920" s="66" t="s">
        <v>452</v>
      </c>
      <c r="B920" s="66" t="s">
        <v>647</v>
      </c>
      <c r="C920" s="67"/>
      <c r="D920" s="68"/>
      <c r="E920" s="69"/>
      <c r="F920" s="70"/>
      <c r="G920" s="67"/>
      <c r="H920" s="71"/>
      <c r="I920" s="72"/>
      <c r="J920" s="72"/>
      <c r="K920" s="36"/>
      <c r="L920" s="79"/>
      <c r="M920" s="79"/>
      <c r="N920" s="74"/>
      <c r="O920" s="81" t="s">
        <v>694</v>
      </c>
      <c r="P920" s="83">
        <v>44464.261111111111</v>
      </c>
      <c r="Q920" s="81" t="s">
        <v>802</v>
      </c>
      <c r="R920" s="81"/>
      <c r="S920" s="81"/>
      <c r="T920" s="86" t="s">
        <v>649</v>
      </c>
      <c r="U920" s="84" t="str">
        <f>HYPERLINK("https://pbs.twimg.com/media/FAEa_mFUYAcoKUu.jpg")</f>
        <v>https://pbs.twimg.com/media/FAEa_mFUYAcoKUu.jpg</v>
      </c>
      <c r="V920" s="84" t="str">
        <f>HYPERLINK("https://pbs.twimg.com/media/FAEa_mFUYAcoKUu.jpg")</f>
        <v>https://pbs.twimg.com/media/FAEa_mFUYAcoKUu.jpg</v>
      </c>
      <c r="W920" s="83">
        <v>44464.261111111111</v>
      </c>
      <c r="X920" s="89">
        <v>44464</v>
      </c>
      <c r="Y920" s="86" t="s">
        <v>1298</v>
      </c>
      <c r="Z920" s="84" t="str">
        <f>HYPERLINK("https://twitter.com/mydearjiminie/status/1441647656439144448")</f>
        <v>https://twitter.com/mydearjiminie/status/1441647656439144448</v>
      </c>
      <c r="AA920" s="81"/>
      <c r="AB920" s="81"/>
      <c r="AC920" s="86" t="s">
        <v>1793</v>
      </c>
      <c r="AD920" s="81"/>
      <c r="AE920" s="81" t="b">
        <v>0</v>
      </c>
      <c r="AF920" s="81">
        <v>0</v>
      </c>
      <c r="AG920" s="86" t="s">
        <v>2084</v>
      </c>
      <c r="AH920" s="81" t="b">
        <v>0</v>
      </c>
      <c r="AI920" s="81" t="s">
        <v>2168</v>
      </c>
      <c r="AJ920" s="81"/>
      <c r="AK920" s="86" t="s">
        <v>2084</v>
      </c>
      <c r="AL920" s="81" t="b">
        <v>0</v>
      </c>
      <c r="AM920" s="81">
        <v>24</v>
      </c>
      <c r="AN920" s="86" t="s">
        <v>1848</v>
      </c>
      <c r="AO920" s="86" t="s">
        <v>2178</v>
      </c>
      <c r="AP920" s="81" t="b">
        <v>0</v>
      </c>
      <c r="AQ920" s="86" t="s">
        <v>1848</v>
      </c>
      <c r="AR920" s="81" t="s">
        <v>179</v>
      </c>
      <c r="AS920" s="81">
        <v>0</v>
      </c>
      <c r="AT920" s="81">
        <v>0</v>
      </c>
      <c r="AU920" s="81"/>
      <c r="AV920" s="81"/>
      <c r="AW920" s="81"/>
      <c r="AX920" s="81"/>
      <c r="AY920" s="81"/>
      <c r="AZ920" s="81"/>
      <c r="BA920" s="81"/>
      <c r="BB920" s="81"/>
    </row>
    <row r="921" spans="1:54" x14ac:dyDescent="0.35">
      <c r="A921" s="66" t="s">
        <v>452</v>
      </c>
      <c r="B921" s="66" t="s">
        <v>648</v>
      </c>
      <c r="C921" s="67"/>
      <c r="D921" s="68"/>
      <c r="E921" s="69"/>
      <c r="F921" s="70"/>
      <c r="G921" s="67"/>
      <c r="H921" s="71"/>
      <c r="I921" s="72"/>
      <c r="J921" s="72"/>
      <c r="K921" s="36"/>
      <c r="L921" s="79"/>
      <c r="M921" s="79"/>
      <c r="N921" s="74"/>
      <c r="O921" s="81" t="s">
        <v>694</v>
      </c>
      <c r="P921" s="83">
        <v>44464.261111111111</v>
      </c>
      <c r="Q921" s="81" t="s">
        <v>802</v>
      </c>
      <c r="R921" s="81"/>
      <c r="S921" s="81"/>
      <c r="T921" s="86" t="s">
        <v>649</v>
      </c>
      <c r="U921" s="84" t="str">
        <f>HYPERLINK("https://pbs.twimg.com/media/FAEa_mFUYAcoKUu.jpg")</f>
        <v>https://pbs.twimg.com/media/FAEa_mFUYAcoKUu.jpg</v>
      </c>
      <c r="V921" s="84" t="str">
        <f>HYPERLINK("https://pbs.twimg.com/media/FAEa_mFUYAcoKUu.jpg")</f>
        <v>https://pbs.twimg.com/media/FAEa_mFUYAcoKUu.jpg</v>
      </c>
      <c r="W921" s="83">
        <v>44464.261111111111</v>
      </c>
      <c r="X921" s="89">
        <v>44464</v>
      </c>
      <c r="Y921" s="86" t="s">
        <v>1298</v>
      </c>
      <c r="Z921" s="84" t="str">
        <f>HYPERLINK("https://twitter.com/mydearjiminie/status/1441647656439144448")</f>
        <v>https://twitter.com/mydearjiminie/status/1441647656439144448</v>
      </c>
      <c r="AA921" s="81"/>
      <c r="AB921" s="81"/>
      <c r="AC921" s="86" t="s">
        <v>1793</v>
      </c>
      <c r="AD921" s="81"/>
      <c r="AE921" s="81" t="b">
        <v>0</v>
      </c>
      <c r="AF921" s="81">
        <v>0</v>
      </c>
      <c r="AG921" s="86" t="s">
        <v>2084</v>
      </c>
      <c r="AH921" s="81" t="b">
        <v>0</v>
      </c>
      <c r="AI921" s="81" t="s">
        <v>2168</v>
      </c>
      <c r="AJ921" s="81"/>
      <c r="AK921" s="86" t="s">
        <v>2084</v>
      </c>
      <c r="AL921" s="81" t="b">
        <v>0</v>
      </c>
      <c r="AM921" s="81">
        <v>24</v>
      </c>
      <c r="AN921" s="86" t="s">
        <v>1848</v>
      </c>
      <c r="AO921" s="86" t="s">
        <v>2178</v>
      </c>
      <c r="AP921" s="81" t="b">
        <v>0</v>
      </c>
      <c r="AQ921" s="86" t="s">
        <v>1848</v>
      </c>
      <c r="AR921" s="81" t="s">
        <v>179</v>
      </c>
      <c r="AS921" s="81">
        <v>0</v>
      </c>
      <c r="AT921" s="81">
        <v>0</v>
      </c>
      <c r="AU921" s="81"/>
      <c r="AV921" s="81"/>
      <c r="AW921" s="81"/>
      <c r="AX921" s="81"/>
      <c r="AY921" s="81"/>
      <c r="AZ921" s="81"/>
      <c r="BA921" s="81"/>
      <c r="BB921" s="81"/>
    </row>
    <row r="922" spans="1:54" x14ac:dyDescent="0.35">
      <c r="A922" s="66" t="s">
        <v>452</v>
      </c>
      <c r="B922" s="66" t="s">
        <v>649</v>
      </c>
      <c r="C922" s="67"/>
      <c r="D922" s="68"/>
      <c r="E922" s="69"/>
      <c r="F922" s="70"/>
      <c r="G922" s="67"/>
      <c r="H922" s="71"/>
      <c r="I922" s="72"/>
      <c r="J922" s="72"/>
      <c r="K922" s="36"/>
      <c r="L922" s="79"/>
      <c r="M922" s="79"/>
      <c r="N922" s="74"/>
      <c r="O922" s="81" t="s">
        <v>694</v>
      </c>
      <c r="P922" s="83">
        <v>44464.261111111111</v>
      </c>
      <c r="Q922" s="81" t="s">
        <v>802</v>
      </c>
      <c r="R922" s="81"/>
      <c r="S922" s="81"/>
      <c r="T922" s="86" t="s">
        <v>649</v>
      </c>
      <c r="U922" s="84" t="str">
        <f>HYPERLINK("https://pbs.twimg.com/media/FAEa_mFUYAcoKUu.jpg")</f>
        <v>https://pbs.twimg.com/media/FAEa_mFUYAcoKUu.jpg</v>
      </c>
      <c r="V922" s="84" t="str">
        <f>HYPERLINK("https://pbs.twimg.com/media/FAEa_mFUYAcoKUu.jpg")</f>
        <v>https://pbs.twimg.com/media/FAEa_mFUYAcoKUu.jpg</v>
      </c>
      <c r="W922" s="83">
        <v>44464.261111111111</v>
      </c>
      <c r="X922" s="89">
        <v>44464</v>
      </c>
      <c r="Y922" s="86" t="s">
        <v>1298</v>
      </c>
      <c r="Z922" s="84" t="str">
        <f>HYPERLINK("https://twitter.com/mydearjiminie/status/1441647656439144448")</f>
        <v>https://twitter.com/mydearjiminie/status/1441647656439144448</v>
      </c>
      <c r="AA922" s="81"/>
      <c r="AB922" s="81"/>
      <c r="AC922" s="86" t="s">
        <v>1793</v>
      </c>
      <c r="AD922" s="81"/>
      <c r="AE922" s="81" t="b">
        <v>0</v>
      </c>
      <c r="AF922" s="81">
        <v>0</v>
      </c>
      <c r="AG922" s="86" t="s">
        <v>2084</v>
      </c>
      <c r="AH922" s="81" t="b">
        <v>0</v>
      </c>
      <c r="AI922" s="81" t="s">
        <v>2168</v>
      </c>
      <c r="AJ922" s="81"/>
      <c r="AK922" s="86" t="s">
        <v>2084</v>
      </c>
      <c r="AL922" s="81" t="b">
        <v>0</v>
      </c>
      <c r="AM922" s="81">
        <v>24</v>
      </c>
      <c r="AN922" s="86" t="s">
        <v>1848</v>
      </c>
      <c r="AO922" s="86" t="s">
        <v>2178</v>
      </c>
      <c r="AP922" s="81" t="b">
        <v>0</v>
      </c>
      <c r="AQ922" s="86" t="s">
        <v>1848</v>
      </c>
      <c r="AR922" s="81" t="s">
        <v>179</v>
      </c>
      <c r="AS922" s="81">
        <v>0</v>
      </c>
      <c r="AT922" s="81">
        <v>0</v>
      </c>
      <c r="AU922" s="81"/>
      <c r="AV922" s="81"/>
      <c r="AW922" s="81"/>
      <c r="AX922" s="81"/>
      <c r="AY922" s="81"/>
      <c r="AZ922" s="81"/>
      <c r="BA922" s="81"/>
      <c r="BB922" s="81"/>
    </row>
    <row r="923" spans="1:54" x14ac:dyDescent="0.35">
      <c r="A923" s="66" t="s">
        <v>452</v>
      </c>
      <c r="B923" s="66" t="s">
        <v>496</v>
      </c>
      <c r="C923" s="67"/>
      <c r="D923" s="68"/>
      <c r="E923" s="69"/>
      <c r="F923" s="70"/>
      <c r="G923" s="67"/>
      <c r="H923" s="71"/>
      <c r="I923" s="72"/>
      <c r="J923" s="72"/>
      <c r="K923" s="36"/>
      <c r="L923" s="79"/>
      <c r="M923" s="79"/>
      <c r="N923" s="74"/>
      <c r="O923" s="81" t="s">
        <v>693</v>
      </c>
      <c r="P923" s="83">
        <v>44464.261111111111</v>
      </c>
      <c r="Q923" s="81" t="s">
        <v>802</v>
      </c>
      <c r="R923" s="81"/>
      <c r="S923" s="81"/>
      <c r="T923" s="86" t="s">
        <v>649</v>
      </c>
      <c r="U923" s="84" t="str">
        <f>HYPERLINK("https://pbs.twimg.com/media/FAEa_mFUYAcoKUu.jpg")</f>
        <v>https://pbs.twimg.com/media/FAEa_mFUYAcoKUu.jpg</v>
      </c>
      <c r="V923" s="84" t="str">
        <f>HYPERLINK("https://pbs.twimg.com/media/FAEa_mFUYAcoKUu.jpg")</f>
        <v>https://pbs.twimg.com/media/FAEa_mFUYAcoKUu.jpg</v>
      </c>
      <c r="W923" s="83">
        <v>44464.261111111111</v>
      </c>
      <c r="X923" s="89">
        <v>44464</v>
      </c>
      <c r="Y923" s="86" t="s">
        <v>1298</v>
      </c>
      <c r="Z923" s="84" t="str">
        <f>HYPERLINK("https://twitter.com/mydearjiminie/status/1441647656439144448")</f>
        <v>https://twitter.com/mydearjiminie/status/1441647656439144448</v>
      </c>
      <c r="AA923" s="81"/>
      <c r="AB923" s="81"/>
      <c r="AC923" s="86" t="s">
        <v>1793</v>
      </c>
      <c r="AD923" s="81"/>
      <c r="AE923" s="81" t="b">
        <v>0</v>
      </c>
      <c r="AF923" s="81">
        <v>0</v>
      </c>
      <c r="AG923" s="86" t="s">
        <v>2084</v>
      </c>
      <c r="AH923" s="81" t="b">
        <v>0</v>
      </c>
      <c r="AI923" s="81" t="s">
        <v>2168</v>
      </c>
      <c r="AJ923" s="81"/>
      <c r="AK923" s="86" t="s">
        <v>2084</v>
      </c>
      <c r="AL923" s="81" t="b">
        <v>0</v>
      </c>
      <c r="AM923" s="81">
        <v>24</v>
      </c>
      <c r="AN923" s="86" t="s">
        <v>1848</v>
      </c>
      <c r="AO923" s="86" t="s">
        <v>2178</v>
      </c>
      <c r="AP923" s="81" t="b">
        <v>0</v>
      </c>
      <c r="AQ923" s="86" t="s">
        <v>1848</v>
      </c>
      <c r="AR923" s="81" t="s">
        <v>179</v>
      </c>
      <c r="AS923" s="81">
        <v>0</v>
      </c>
      <c r="AT923" s="81">
        <v>0</v>
      </c>
      <c r="AU923" s="81"/>
      <c r="AV923" s="81"/>
      <c r="AW923" s="81"/>
      <c r="AX923" s="81"/>
      <c r="AY923" s="81"/>
      <c r="AZ923" s="81"/>
      <c r="BA923" s="81"/>
      <c r="BB923" s="81"/>
    </row>
    <row r="924" spans="1:54" x14ac:dyDescent="0.35">
      <c r="A924" s="66" t="s">
        <v>453</v>
      </c>
      <c r="B924" s="66" t="s">
        <v>646</v>
      </c>
      <c r="C924" s="67"/>
      <c r="D924" s="68"/>
      <c r="E924" s="69"/>
      <c r="F924" s="70"/>
      <c r="G924" s="67"/>
      <c r="H924" s="71"/>
      <c r="I924" s="72"/>
      <c r="J924" s="72"/>
      <c r="K924" s="36"/>
      <c r="L924" s="79"/>
      <c r="M924" s="79"/>
      <c r="N924" s="74"/>
      <c r="O924" s="81" t="s">
        <v>694</v>
      </c>
      <c r="P924" s="83">
        <v>44464.261608796296</v>
      </c>
      <c r="Q924" s="81" t="s">
        <v>802</v>
      </c>
      <c r="R924" s="81"/>
      <c r="S924" s="81"/>
      <c r="T924" s="86" t="s">
        <v>649</v>
      </c>
      <c r="U924" s="84" t="str">
        <f>HYPERLINK("https://pbs.twimg.com/media/FAEa_mFUYAcoKUu.jpg")</f>
        <v>https://pbs.twimg.com/media/FAEa_mFUYAcoKUu.jpg</v>
      </c>
      <c r="V924" s="84" t="str">
        <f>HYPERLINK("https://pbs.twimg.com/media/FAEa_mFUYAcoKUu.jpg")</f>
        <v>https://pbs.twimg.com/media/FAEa_mFUYAcoKUu.jpg</v>
      </c>
      <c r="W924" s="83">
        <v>44464.261608796296</v>
      </c>
      <c r="X924" s="89">
        <v>44464</v>
      </c>
      <c r="Y924" s="86" t="s">
        <v>1299</v>
      </c>
      <c r="Z924" s="84" t="str">
        <f>HYPERLINK("https://twitter.com/jks_ladyice/status/1441647836039315460")</f>
        <v>https://twitter.com/jks_ladyice/status/1441647836039315460</v>
      </c>
      <c r="AA924" s="81"/>
      <c r="AB924" s="81"/>
      <c r="AC924" s="86" t="s">
        <v>1794</v>
      </c>
      <c r="AD924" s="81"/>
      <c r="AE924" s="81" t="b">
        <v>0</v>
      </c>
      <c r="AF924" s="81">
        <v>0</v>
      </c>
      <c r="AG924" s="86" t="s">
        <v>2084</v>
      </c>
      <c r="AH924" s="81" t="b">
        <v>0</v>
      </c>
      <c r="AI924" s="81" t="s">
        <v>2168</v>
      </c>
      <c r="AJ924" s="81"/>
      <c r="AK924" s="86" t="s">
        <v>2084</v>
      </c>
      <c r="AL924" s="81" t="b">
        <v>0</v>
      </c>
      <c r="AM924" s="81">
        <v>24</v>
      </c>
      <c r="AN924" s="86" t="s">
        <v>1848</v>
      </c>
      <c r="AO924" s="86" t="s">
        <v>2178</v>
      </c>
      <c r="AP924" s="81" t="b">
        <v>0</v>
      </c>
      <c r="AQ924" s="86" t="s">
        <v>1848</v>
      </c>
      <c r="AR924" s="81" t="s">
        <v>179</v>
      </c>
      <c r="AS924" s="81">
        <v>0</v>
      </c>
      <c r="AT924" s="81">
        <v>0</v>
      </c>
      <c r="AU924" s="81"/>
      <c r="AV924" s="81"/>
      <c r="AW924" s="81"/>
      <c r="AX924" s="81"/>
      <c r="AY924" s="81"/>
      <c r="AZ924" s="81"/>
      <c r="BA924" s="81"/>
      <c r="BB924" s="81"/>
    </row>
    <row r="925" spans="1:54" x14ac:dyDescent="0.35">
      <c r="A925" s="66" t="s">
        <v>453</v>
      </c>
      <c r="B925" s="66" t="s">
        <v>647</v>
      </c>
      <c r="C925" s="67"/>
      <c r="D925" s="68"/>
      <c r="E925" s="69"/>
      <c r="F925" s="70"/>
      <c r="G925" s="67"/>
      <c r="H925" s="71"/>
      <c r="I925" s="72"/>
      <c r="J925" s="72"/>
      <c r="K925" s="36"/>
      <c r="L925" s="79"/>
      <c r="M925" s="79"/>
      <c r="N925" s="74"/>
      <c r="O925" s="81" t="s">
        <v>694</v>
      </c>
      <c r="P925" s="83">
        <v>44464.261608796296</v>
      </c>
      <c r="Q925" s="81" t="s">
        <v>802</v>
      </c>
      <c r="R925" s="81"/>
      <c r="S925" s="81"/>
      <c r="T925" s="86" t="s">
        <v>649</v>
      </c>
      <c r="U925" s="84" t="str">
        <f>HYPERLINK("https://pbs.twimg.com/media/FAEa_mFUYAcoKUu.jpg")</f>
        <v>https://pbs.twimg.com/media/FAEa_mFUYAcoKUu.jpg</v>
      </c>
      <c r="V925" s="84" t="str">
        <f>HYPERLINK("https://pbs.twimg.com/media/FAEa_mFUYAcoKUu.jpg")</f>
        <v>https://pbs.twimg.com/media/FAEa_mFUYAcoKUu.jpg</v>
      </c>
      <c r="W925" s="83">
        <v>44464.261608796296</v>
      </c>
      <c r="X925" s="89">
        <v>44464</v>
      </c>
      <c r="Y925" s="86" t="s">
        <v>1299</v>
      </c>
      <c r="Z925" s="84" t="str">
        <f>HYPERLINK("https://twitter.com/jks_ladyice/status/1441647836039315460")</f>
        <v>https://twitter.com/jks_ladyice/status/1441647836039315460</v>
      </c>
      <c r="AA925" s="81"/>
      <c r="AB925" s="81"/>
      <c r="AC925" s="86" t="s">
        <v>1794</v>
      </c>
      <c r="AD925" s="81"/>
      <c r="AE925" s="81" t="b">
        <v>0</v>
      </c>
      <c r="AF925" s="81">
        <v>0</v>
      </c>
      <c r="AG925" s="86" t="s">
        <v>2084</v>
      </c>
      <c r="AH925" s="81" t="b">
        <v>0</v>
      </c>
      <c r="AI925" s="81" t="s">
        <v>2168</v>
      </c>
      <c r="AJ925" s="81"/>
      <c r="AK925" s="86" t="s">
        <v>2084</v>
      </c>
      <c r="AL925" s="81" t="b">
        <v>0</v>
      </c>
      <c r="AM925" s="81">
        <v>24</v>
      </c>
      <c r="AN925" s="86" t="s">
        <v>1848</v>
      </c>
      <c r="AO925" s="86" t="s">
        <v>2178</v>
      </c>
      <c r="AP925" s="81" t="b">
        <v>0</v>
      </c>
      <c r="AQ925" s="86" t="s">
        <v>1848</v>
      </c>
      <c r="AR925" s="81" t="s">
        <v>179</v>
      </c>
      <c r="AS925" s="81">
        <v>0</v>
      </c>
      <c r="AT925" s="81">
        <v>0</v>
      </c>
      <c r="AU925" s="81"/>
      <c r="AV925" s="81"/>
      <c r="AW925" s="81"/>
      <c r="AX925" s="81"/>
      <c r="AY925" s="81"/>
      <c r="AZ925" s="81"/>
      <c r="BA925" s="81"/>
      <c r="BB925" s="81"/>
    </row>
    <row r="926" spans="1:54" x14ac:dyDescent="0.35">
      <c r="A926" s="66" t="s">
        <v>453</v>
      </c>
      <c r="B926" s="66" t="s">
        <v>648</v>
      </c>
      <c r="C926" s="67"/>
      <c r="D926" s="68"/>
      <c r="E926" s="69"/>
      <c r="F926" s="70"/>
      <c r="G926" s="67"/>
      <c r="H926" s="71"/>
      <c r="I926" s="72"/>
      <c r="J926" s="72"/>
      <c r="K926" s="36"/>
      <c r="L926" s="79"/>
      <c r="M926" s="79"/>
      <c r="N926" s="74"/>
      <c r="O926" s="81" t="s">
        <v>694</v>
      </c>
      <c r="P926" s="83">
        <v>44464.261608796296</v>
      </c>
      <c r="Q926" s="81" t="s">
        <v>802</v>
      </c>
      <c r="R926" s="81"/>
      <c r="S926" s="81"/>
      <c r="T926" s="86" t="s">
        <v>649</v>
      </c>
      <c r="U926" s="84" t="str">
        <f>HYPERLINK("https://pbs.twimg.com/media/FAEa_mFUYAcoKUu.jpg")</f>
        <v>https://pbs.twimg.com/media/FAEa_mFUYAcoKUu.jpg</v>
      </c>
      <c r="V926" s="84" t="str">
        <f>HYPERLINK("https://pbs.twimg.com/media/FAEa_mFUYAcoKUu.jpg")</f>
        <v>https://pbs.twimg.com/media/FAEa_mFUYAcoKUu.jpg</v>
      </c>
      <c r="W926" s="83">
        <v>44464.261608796296</v>
      </c>
      <c r="X926" s="89">
        <v>44464</v>
      </c>
      <c r="Y926" s="86" t="s">
        <v>1299</v>
      </c>
      <c r="Z926" s="84" t="str">
        <f>HYPERLINK("https://twitter.com/jks_ladyice/status/1441647836039315460")</f>
        <v>https://twitter.com/jks_ladyice/status/1441647836039315460</v>
      </c>
      <c r="AA926" s="81"/>
      <c r="AB926" s="81"/>
      <c r="AC926" s="86" t="s">
        <v>1794</v>
      </c>
      <c r="AD926" s="81"/>
      <c r="AE926" s="81" t="b">
        <v>0</v>
      </c>
      <c r="AF926" s="81">
        <v>0</v>
      </c>
      <c r="AG926" s="86" t="s">
        <v>2084</v>
      </c>
      <c r="AH926" s="81" t="b">
        <v>0</v>
      </c>
      <c r="AI926" s="81" t="s">
        <v>2168</v>
      </c>
      <c r="AJ926" s="81"/>
      <c r="AK926" s="86" t="s">
        <v>2084</v>
      </c>
      <c r="AL926" s="81" t="b">
        <v>0</v>
      </c>
      <c r="AM926" s="81">
        <v>24</v>
      </c>
      <c r="AN926" s="86" t="s">
        <v>1848</v>
      </c>
      <c r="AO926" s="86" t="s">
        <v>2178</v>
      </c>
      <c r="AP926" s="81" t="b">
        <v>0</v>
      </c>
      <c r="AQ926" s="86" t="s">
        <v>1848</v>
      </c>
      <c r="AR926" s="81" t="s">
        <v>179</v>
      </c>
      <c r="AS926" s="81">
        <v>0</v>
      </c>
      <c r="AT926" s="81">
        <v>0</v>
      </c>
      <c r="AU926" s="81"/>
      <c r="AV926" s="81"/>
      <c r="AW926" s="81"/>
      <c r="AX926" s="81"/>
      <c r="AY926" s="81"/>
      <c r="AZ926" s="81"/>
      <c r="BA926" s="81"/>
      <c r="BB926" s="81"/>
    </row>
    <row r="927" spans="1:54" x14ac:dyDescent="0.35">
      <c r="A927" s="66" t="s">
        <v>453</v>
      </c>
      <c r="B927" s="66" t="s">
        <v>649</v>
      </c>
      <c r="C927" s="67"/>
      <c r="D927" s="68"/>
      <c r="E927" s="69"/>
      <c r="F927" s="70"/>
      <c r="G927" s="67"/>
      <c r="H927" s="71"/>
      <c r="I927" s="72"/>
      <c r="J927" s="72"/>
      <c r="K927" s="36"/>
      <c r="L927" s="79"/>
      <c r="M927" s="79"/>
      <c r="N927" s="74"/>
      <c r="O927" s="81" t="s">
        <v>694</v>
      </c>
      <c r="P927" s="83">
        <v>44464.261608796296</v>
      </c>
      <c r="Q927" s="81" t="s">
        <v>802</v>
      </c>
      <c r="R927" s="81"/>
      <c r="S927" s="81"/>
      <c r="T927" s="86" t="s">
        <v>649</v>
      </c>
      <c r="U927" s="84" t="str">
        <f>HYPERLINK("https://pbs.twimg.com/media/FAEa_mFUYAcoKUu.jpg")</f>
        <v>https://pbs.twimg.com/media/FAEa_mFUYAcoKUu.jpg</v>
      </c>
      <c r="V927" s="84" t="str">
        <f>HYPERLINK("https://pbs.twimg.com/media/FAEa_mFUYAcoKUu.jpg")</f>
        <v>https://pbs.twimg.com/media/FAEa_mFUYAcoKUu.jpg</v>
      </c>
      <c r="W927" s="83">
        <v>44464.261608796296</v>
      </c>
      <c r="X927" s="89">
        <v>44464</v>
      </c>
      <c r="Y927" s="86" t="s">
        <v>1299</v>
      </c>
      <c r="Z927" s="84" t="str">
        <f>HYPERLINK("https://twitter.com/jks_ladyice/status/1441647836039315460")</f>
        <v>https://twitter.com/jks_ladyice/status/1441647836039315460</v>
      </c>
      <c r="AA927" s="81"/>
      <c r="AB927" s="81"/>
      <c r="AC927" s="86" t="s">
        <v>1794</v>
      </c>
      <c r="AD927" s="81"/>
      <c r="AE927" s="81" t="b">
        <v>0</v>
      </c>
      <c r="AF927" s="81">
        <v>0</v>
      </c>
      <c r="AG927" s="86" t="s">
        <v>2084</v>
      </c>
      <c r="AH927" s="81" t="b">
        <v>0</v>
      </c>
      <c r="AI927" s="81" t="s">
        <v>2168</v>
      </c>
      <c r="AJ927" s="81"/>
      <c r="AK927" s="86" t="s">
        <v>2084</v>
      </c>
      <c r="AL927" s="81" t="b">
        <v>0</v>
      </c>
      <c r="AM927" s="81">
        <v>24</v>
      </c>
      <c r="AN927" s="86" t="s">
        <v>1848</v>
      </c>
      <c r="AO927" s="86" t="s">
        <v>2178</v>
      </c>
      <c r="AP927" s="81" t="b">
        <v>0</v>
      </c>
      <c r="AQ927" s="86" t="s">
        <v>1848</v>
      </c>
      <c r="AR927" s="81" t="s">
        <v>179</v>
      </c>
      <c r="AS927" s="81">
        <v>0</v>
      </c>
      <c r="AT927" s="81">
        <v>0</v>
      </c>
      <c r="AU927" s="81"/>
      <c r="AV927" s="81"/>
      <c r="AW927" s="81"/>
      <c r="AX927" s="81"/>
      <c r="AY927" s="81"/>
      <c r="AZ927" s="81"/>
      <c r="BA927" s="81"/>
      <c r="BB927" s="81"/>
    </row>
    <row r="928" spans="1:54" x14ac:dyDescent="0.35">
      <c r="A928" s="66" t="s">
        <v>453</v>
      </c>
      <c r="B928" s="66" t="s">
        <v>496</v>
      </c>
      <c r="C928" s="67"/>
      <c r="D928" s="68"/>
      <c r="E928" s="69"/>
      <c r="F928" s="70"/>
      <c r="G928" s="67"/>
      <c r="H928" s="71"/>
      <c r="I928" s="72"/>
      <c r="J928" s="72"/>
      <c r="K928" s="36"/>
      <c r="L928" s="79"/>
      <c r="M928" s="79"/>
      <c r="N928" s="74"/>
      <c r="O928" s="81" t="s">
        <v>693</v>
      </c>
      <c r="P928" s="83">
        <v>44464.261608796296</v>
      </c>
      <c r="Q928" s="81" t="s">
        <v>802</v>
      </c>
      <c r="R928" s="81"/>
      <c r="S928" s="81"/>
      <c r="T928" s="86" t="s">
        <v>649</v>
      </c>
      <c r="U928" s="84" t="str">
        <f>HYPERLINK("https://pbs.twimg.com/media/FAEa_mFUYAcoKUu.jpg")</f>
        <v>https://pbs.twimg.com/media/FAEa_mFUYAcoKUu.jpg</v>
      </c>
      <c r="V928" s="84" t="str">
        <f>HYPERLINK("https://pbs.twimg.com/media/FAEa_mFUYAcoKUu.jpg")</f>
        <v>https://pbs.twimg.com/media/FAEa_mFUYAcoKUu.jpg</v>
      </c>
      <c r="W928" s="83">
        <v>44464.261608796296</v>
      </c>
      <c r="X928" s="89">
        <v>44464</v>
      </c>
      <c r="Y928" s="86" t="s">
        <v>1299</v>
      </c>
      <c r="Z928" s="84" t="str">
        <f>HYPERLINK("https://twitter.com/jks_ladyice/status/1441647836039315460")</f>
        <v>https://twitter.com/jks_ladyice/status/1441647836039315460</v>
      </c>
      <c r="AA928" s="81"/>
      <c r="AB928" s="81"/>
      <c r="AC928" s="86" t="s">
        <v>1794</v>
      </c>
      <c r="AD928" s="81"/>
      <c r="AE928" s="81" t="b">
        <v>0</v>
      </c>
      <c r="AF928" s="81">
        <v>0</v>
      </c>
      <c r="AG928" s="86" t="s">
        <v>2084</v>
      </c>
      <c r="AH928" s="81" t="b">
        <v>0</v>
      </c>
      <c r="AI928" s="81" t="s">
        <v>2168</v>
      </c>
      <c r="AJ928" s="81"/>
      <c r="AK928" s="86" t="s">
        <v>2084</v>
      </c>
      <c r="AL928" s="81" t="b">
        <v>0</v>
      </c>
      <c r="AM928" s="81">
        <v>24</v>
      </c>
      <c r="AN928" s="86" t="s">
        <v>1848</v>
      </c>
      <c r="AO928" s="86" t="s">
        <v>2178</v>
      </c>
      <c r="AP928" s="81" t="b">
        <v>0</v>
      </c>
      <c r="AQ928" s="86" t="s">
        <v>1848</v>
      </c>
      <c r="AR928" s="81" t="s">
        <v>179</v>
      </c>
      <c r="AS928" s="81">
        <v>0</v>
      </c>
      <c r="AT928" s="81">
        <v>0</v>
      </c>
      <c r="AU928" s="81"/>
      <c r="AV928" s="81"/>
      <c r="AW928" s="81"/>
      <c r="AX928" s="81"/>
      <c r="AY928" s="81"/>
      <c r="AZ928" s="81"/>
      <c r="BA928" s="81"/>
      <c r="BB928" s="81"/>
    </row>
    <row r="929" spans="1:54" x14ac:dyDescent="0.35">
      <c r="A929" s="66" t="s">
        <v>454</v>
      </c>
      <c r="B929" s="66" t="s">
        <v>454</v>
      </c>
      <c r="C929" s="67"/>
      <c r="D929" s="68"/>
      <c r="E929" s="69"/>
      <c r="F929" s="70"/>
      <c r="G929" s="67"/>
      <c r="H929" s="71"/>
      <c r="I929" s="72"/>
      <c r="J929" s="72"/>
      <c r="K929" s="36"/>
      <c r="L929" s="79"/>
      <c r="M929" s="79"/>
      <c r="N929" s="74"/>
      <c r="O929" s="81" t="s">
        <v>179</v>
      </c>
      <c r="P929" s="83">
        <v>44461.383587962962</v>
      </c>
      <c r="Q929" s="81" t="s">
        <v>808</v>
      </c>
      <c r="R929" s="81"/>
      <c r="S929" s="81"/>
      <c r="T929" s="81"/>
      <c r="U929" s="81"/>
      <c r="V929" s="84" t="str">
        <f>HYPERLINK("https://pbs.twimg.com/profile_images/1442800897466069000/rjTYNK1k_normal.jpg")</f>
        <v>https://pbs.twimg.com/profile_images/1442800897466069000/rjTYNK1k_normal.jpg</v>
      </c>
      <c r="W929" s="83">
        <v>44461.383587962962</v>
      </c>
      <c r="X929" s="89">
        <v>44461</v>
      </c>
      <c r="Y929" s="86" t="s">
        <v>1300</v>
      </c>
      <c r="Z929" s="84" t="str">
        <f>HYPERLINK("https://twitter.com/lilhannies/status/1440604876136869893")</f>
        <v>https://twitter.com/lilhannies/status/1440604876136869893</v>
      </c>
      <c r="AA929" s="81"/>
      <c r="AB929" s="81"/>
      <c r="AC929" s="86" t="s">
        <v>1795</v>
      </c>
      <c r="AD929" s="86" t="s">
        <v>2039</v>
      </c>
      <c r="AE929" s="81" t="b">
        <v>0</v>
      </c>
      <c r="AF929" s="81">
        <v>0</v>
      </c>
      <c r="AG929" s="86" t="s">
        <v>2123</v>
      </c>
      <c r="AH929" s="81" t="b">
        <v>0</v>
      </c>
      <c r="AI929" s="81" t="s">
        <v>2167</v>
      </c>
      <c r="AJ929" s="81"/>
      <c r="AK929" s="86" t="s">
        <v>2084</v>
      </c>
      <c r="AL929" s="81" t="b">
        <v>0</v>
      </c>
      <c r="AM929" s="81">
        <v>0</v>
      </c>
      <c r="AN929" s="86" t="s">
        <v>2084</v>
      </c>
      <c r="AO929" s="86" t="s">
        <v>2179</v>
      </c>
      <c r="AP929" s="81" t="b">
        <v>0</v>
      </c>
      <c r="AQ929" s="86" t="s">
        <v>2039</v>
      </c>
      <c r="AR929" s="81" t="s">
        <v>179</v>
      </c>
      <c r="AS929" s="81">
        <v>0</v>
      </c>
      <c r="AT929" s="81">
        <v>0</v>
      </c>
      <c r="AU929" s="81"/>
      <c r="AV929" s="81"/>
      <c r="AW929" s="81"/>
      <c r="AX929" s="81"/>
      <c r="AY929" s="81"/>
      <c r="AZ929" s="81"/>
      <c r="BA929" s="81"/>
      <c r="BB929" s="81"/>
    </row>
    <row r="930" spans="1:54" x14ac:dyDescent="0.35">
      <c r="A930" s="66" t="s">
        <v>454</v>
      </c>
      <c r="B930" s="66" t="s">
        <v>646</v>
      </c>
      <c r="C930" s="67"/>
      <c r="D930" s="68"/>
      <c r="E930" s="69"/>
      <c r="F930" s="70"/>
      <c r="G930" s="67"/>
      <c r="H930" s="71"/>
      <c r="I930" s="72"/>
      <c r="J930" s="72"/>
      <c r="K930" s="36"/>
      <c r="L930" s="79"/>
      <c r="M930" s="79"/>
      <c r="N930" s="74"/>
      <c r="O930" s="81" t="s">
        <v>694</v>
      </c>
      <c r="P930" s="83">
        <v>44464.262499999997</v>
      </c>
      <c r="Q930" s="81" t="s">
        <v>803</v>
      </c>
      <c r="R930" s="81"/>
      <c r="S930" s="81"/>
      <c r="T930" s="86" t="s">
        <v>649</v>
      </c>
      <c r="U930" s="84" t="str">
        <f>HYPERLINK("https://pbs.twimg.com/media/FAEa7dXVkAcjbKg.jpg")</f>
        <v>https://pbs.twimg.com/media/FAEa7dXVkAcjbKg.jpg</v>
      </c>
      <c r="V930" s="84" t="str">
        <f>HYPERLINK("https://pbs.twimg.com/media/FAEa7dXVkAcjbKg.jpg")</f>
        <v>https://pbs.twimg.com/media/FAEa7dXVkAcjbKg.jpg</v>
      </c>
      <c r="W930" s="83">
        <v>44464.262499999997</v>
      </c>
      <c r="X930" s="89">
        <v>44464</v>
      </c>
      <c r="Y930" s="86" t="s">
        <v>1301</v>
      </c>
      <c r="Z930" s="84" t="str">
        <f>HYPERLINK("https://twitter.com/lilhannies/status/1441648159638228997")</f>
        <v>https://twitter.com/lilhannies/status/1441648159638228997</v>
      </c>
      <c r="AA930" s="81"/>
      <c r="AB930" s="81"/>
      <c r="AC930" s="86" t="s">
        <v>1796</v>
      </c>
      <c r="AD930" s="81"/>
      <c r="AE930" s="81" t="b">
        <v>0</v>
      </c>
      <c r="AF930" s="81">
        <v>0</v>
      </c>
      <c r="AG930" s="86" t="s">
        <v>2084</v>
      </c>
      <c r="AH930" s="81" t="b">
        <v>0</v>
      </c>
      <c r="AI930" s="81" t="s">
        <v>2168</v>
      </c>
      <c r="AJ930" s="81"/>
      <c r="AK930" s="86" t="s">
        <v>2084</v>
      </c>
      <c r="AL930" s="81" t="b">
        <v>0</v>
      </c>
      <c r="AM930" s="81">
        <v>21</v>
      </c>
      <c r="AN930" s="86" t="s">
        <v>1847</v>
      </c>
      <c r="AO930" s="86" t="s">
        <v>2179</v>
      </c>
      <c r="AP930" s="81" t="b">
        <v>0</v>
      </c>
      <c r="AQ930" s="86" t="s">
        <v>1847</v>
      </c>
      <c r="AR930" s="81" t="s">
        <v>179</v>
      </c>
      <c r="AS930" s="81">
        <v>0</v>
      </c>
      <c r="AT930" s="81">
        <v>0</v>
      </c>
      <c r="AU930" s="81"/>
      <c r="AV930" s="81"/>
      <c r="AW930" s="81"/>
      <c r="AX930" s="81"/>
      <c r="AY930" s="81"/>
      <c r="AZ930" s="81"/>
      <c r="BA930" s="81"/>
      <c r="BB930" s="81"/>
    </row>
    <row r="931" spans="1:54" x14ac:dyDescent="0.35">
      <c r="A931" s="66" t="s">
        <v>454</v>
      </c>
      <c r="B931" s="66" t="s">
        <v>647</v>
      </c>
      <c r="C931" s="67"/>
      <c r="D931" s="68"/>
      <c r="E931" s="69"/>
      <c r="F931" s="70"/>
      <c r="G931" s="67"/>
      <c r="H931" s="71"/>
      <c r="I931" s="72"/>
      <c r="J931" s="72"/>
      <c r="K931" s="36"/>
      <c r="L931" s="79"/>
      <c r="M931" s="79"/>
      <c r="N931" s="74"/>
      <c r="O931" s="81" t="s">
        <v>694</v>
      </c>
      <c r="P931" s="83">
        <v>44464.262499999997</v>
      </c>
      <c r="Q931" s="81" t="s">
        <v>803</v>
      </c>
      <c r="R931" s="81"/>
      <c r="S931" s="81"/>
      <c r="T931" s="86" t="s">
        <v>649</v>
      </c>
      <c r="U931" s="84" t="str">
        <f>HYPERLINK("https://pbs.twimg.com/media/FAEa7dXVkAcjbKg.jpg")</f>
        <v>https://pbs.twimg.com/media/FAEa7dXVkAcjbKg.jpg</v>
      </c>
      <c r="V931" s="84" t="str">
        <f>HYPERLINK("https://pbs.twimg.com/media/FAEa7dXVkAcjbKg.jpg")</f>
        <v>https://pbs.twimg.com/media/FAEa7dXVkAcjbKg.jpg</v>
      </c>
      <c r="W931" s="83">
        <v>44464.262499999997</v>
      </c>
      <c r="X931" s="89">
        <v>44464</v>
      </c>
      <c r="Y931" s="86" t="s">
        <v>1301</v>
      </c>
      <c r="Z931" s="84" t="str">
        <f>HYPERLINK("https://twitter.com/lilhannies/status/1441648159638228997")</f>
        <v>https://twitter.com/lilhannies/status/1441648159638228997</v>
      </c>
      <c r="AA931" s="81"/>
      <c r="AB931" s="81"/>
      <c r="AC931" s="86" t="s">
        <v>1796</v>
      </c>
      <c r="AD931" s="81"/>
      <c r="AE931" s="81" t="b">
        <v>0</v>
      </c>
      <c r="AF931" s="81">
        <v>0</v>
      </c>
      <c r="AG931" s="86" t="s">
        <v>2084</v>
      </c>
      <c r="AH931" s="81" t="b">
        <v>0</v>
      </c>
      <c r="AI931" s="81" t="s">
        <v>2168</v>
      </c>
      <c r="AJ931" s="81"/>
      <c r="AK931" s="86" t="s">
        <v>2084</v>
      </c>
      <c r="AL931" s="81" t="b">
        <v>0</v>
      </c>
      <c r="AM931" s="81">
        <v>21</v>
      </c>
      <c r="AN931" s="86" t="s">
        <v>1847</v>
      </c>
      <c r="AO931" s="86" t="s">
        <v>2179</v>
      </c>
      <c r="AP931" s="81" t="b">
        <v>0</v>
      </c>
      <c r="AQ931" s="86" t="s">
        <v>1847</v>
      </c>
      <c r="AR931" s="81" t="s">
        <v>179</v>
      </c>
      <c r="AS931" s="81">
        <v>0</v>
      </c>
      <c r="AT931" s="81">
        <v>0</v>
      </c>
      <c r="AU931" s="81"/>
      <c r="AV931" s="81"/>
      <c r="AW931" s="81"/>
      <c r="AX931" s="81"/>
      <c r="AY931" s="81"/>
      <c r="AZ931" s="81"/>
      <c r="BA931" s="81"/>
      <c r="BB931" s="81"/>
    </row>
    <row r="932" spans="1:54" x14ac:dyDescent="0.35">
      <c r="A932" s="66" t="s">
        <v>454</v>
      </c>
      <c r="B932" s="66" t="s">
        <v>648</v>
      </c>
      <c r="C932" s="67"/>
      <c r="D932" s="68"/>
      <c r="E932" s="69"/>
      <c r="F932" s="70"/>
      <c r="G932" s="67"/>
      <c r="H932" s="71"/>
      <c r="I932" s="72"/>
      <c r="J932" s="72"/>
      <c r="K932" s="36"/>
      <c r="L932" s="79"/>
      <c r="M932" s="79"/>
      <c r="N932" s="74"/>
      <c r="O932" s="81" t="s">
        <v>694</v>
      </c>
      <c r="P932" s="83">
        <v>44464.262499999997</v>
      </c>
      <c r="Q932" s="81" t="s">
        <v>803</v>
      </c>
      <c r="R932" s="81"/>
      <c r="S932" s="81"/>
      <c r="T932" s="86" t="s">
        <v>649</v>
      </c>
      <c r="U932" s="84" t="str">
        <f>HYPERLINK("https://pbs.twimg.com/media/FAEa7dXVkAcjbKg.jpg")</f>
        <v>https://pbs.twimg.com/media/FAEa7dXVkAcjbKg.jpg</v>
      </c>
      <c r="V932" s="84" t="str">
        <f>HYPERLINK("https://pbs.twimg.com/media/FAEa7dXVkAcjbKg.jpg")</f>
        <v>https://pbs.twimg.com/media/FAEa7dXVkAcjbKg.jpg</v>
      </c>
      <c r="W932" s="83">
        <v>44464.262499999997</v>
      </c>
      <c r="X932" s="89">
        <v>44464</v>
      </c>
      <c r="Y932" s="86" t="s">
        <v>1301</v>
      </c>
      <c r="Z932" s="84" t="str">
        <f>HYPERLINK("https://twitter.com/lilhannies/status/1441648159638228997")</f>
        <v>https://twitter.com/lilhannies/status/1441648159638228997</v>
      </c>
      <c r="AA932" s="81"/>
      <c r="AB932" s="81"/>
      <c r="AC932" s="86" t="s">
        <v>1796</v>
      </c>
      <c r="AD932" s="81"/>
      <c r="AE932" s="81" t="b">
        <v>0</v>
      </c>
      <c r="AF932" s="81">
        <v>0</v>
      </c>
      <c r="AG932" s="86" t="s">
        <v>2084</v>
      </c>
      <c r="AH932" s="81" t="b">
        <v>0</v>
      </c>
      <c r="AI932" s="81" t="s">
        <v>2168</v>
      </c>
      <c r="AJ932" s="81"/>
      <c r="AK932" s="86" t="s">
        <v>2084</v>
      </c>
      <c r="AL932" s="81" t="b">
        <v>0</v>
      </c>
      <c r="AM932" s="81">
        <v>21</v>
      </c>
      <c r="AN932" s="86" t="s">
        <v>1847</v>
      </c>
      <c r="AO932" s="86" t="s">
        <v>2179</v>
      </c>
      <c r="AP932" s="81" t="b">
        <v>0</v>
      </c>
      <c r="AQ932" s="86" t="s">
        <v>1847</v>
      </c>
      <c r="AR932" s="81" t="s">
        <v>179</v>
      </c>
      <c r="AS932" s="81">
        <v>0</v>
      </c>
      <c r="AT932" s="81">
        <v>0</v>
      </c>
      <c r="AU932" s="81"/>
      <c r="AV932" s="81"/>
      <c r="AW932" s="81"/>
      <c r="AX932" s="81"/>
      <c r="AY932" s="81"/>
      <c r="AZ932" s="81"/>
      <c r="BA932" s="81"/>
      <c r="BB932" s="81"/>
    </row>
    <row r="933" spans="1:54" x14ac:dyDescent="0.35">
      <c r="A933" s="66" t="s">
        <v>454</v>
      </c>
      <c r="B933" s="66" t="s">
        <v>649</v>
      </c>
      <c r="C933" s="67"/>
      <c r="D933" s="68"/>
      <c r="E933" s="69"/>
      <c r="F933" s="70"/>
      <c r="G933" s="67"/>
      <c r="H933" s="71"/>
      <c r="I933" s="72"/>
      <c r="J933" s="72"/>
      <c r="K933" s="36"/>
      <c r="L933" s="79"/>
      <c r="M933" s="79"/>
      <c r="N933" s="74"/>
      <c r="O933" s="81" t="s">
        <v>694</v>
      </c>
      <c r="P933" s="83">
        <v>44464.262499999997</v>
      </c>
      <c r="Q933" s="81" t="s">
        <v>803</v>
      </c>
      <c r="R933" s="81"/>
      <c r="S933" s="81"/>
      <c r="T933" s="86" t="s">
        <v>649</v>
      </c>
      <c r="U933" s="84" t="str">
        <f>HYPERLINK("https://pbs.twimg.com/media/FAEa7dXVkAcjbKg.jpg")</f>
        <v>https://pbs.twimg.com/media/FAEa7dXVkAcjbKg.jpg</v>
      </c>
      <c r="V933" s="84" t="str">
        <f>HYPERLINK("https://pbs.twimg.com/media/FAEa7dXVkAcjbKg.jpg")</f>
        <v>https://pbs.twimg.com/media/FAEa7dXVkAcjbKg.jpg</v>
      </c>
      <c r="W933" s="83">
        <v>44464.262499999997</v>
      </c>
      <c r="X933" s="89">
        <v>44464</v>
      </c>
      <c r="Y933" s="86" t="s">
        <v>1301</v>
      </c>
      <c r="Z933" s="84" t="str">
        <f>HYPERLINK("https://twitter.com/lilhannies/status/1441648159638228997")</f>
        <v>https://twitter.com/lilhannies/status/1441648159638228997</v>
      </c>
      <c r="AA933" s="81"/>
      <c r="AB933" s="81"/>
      <c r="AC933" s="86" t="s">
        <v>1796</v>
      </c>
      <c r="AD933" s="81"/>
      <c r="AE933" s="81" t="b">
        <v>0</v>
      </c>
      <c r="AF933" s="81">
        <v>0</v>
      </c>
      <c r="AG933" s="86" t="s">
        <v>2084</v>
      </c>
      <c r="AH933" s="81" t="b">
        <v>0</v>
      </c>
      <c r="AI933" s="81" t="s">
        <v>2168</v>
      </c>
      <c r="AJ933" s="81"/>
      <c r="AK933" s="86" t="s">
        <v>2084</v>
      </c>
      <c r="AL933" s="81" t="b">
        <v>0</v>
      </c>
      <c r="AM933" s="81">
        <v>21</v>
      </c>
      <c r="AN933" s="86" t="s">
        <v>1847</v>
      </c>
      <c r="AO933" s="86" t="s">
        <v>2179</v>
      </c>
      <c r="AP933" s="81" t="b">
        <v>0</v>
      </c>
      <c r="AQ933" s="86" t="s">
        <v>1847</v>
      </c>
      <c r="AR933" s="81" t="s">
        <v>179</v>
      </c>
      <c r="AS933" s="81">
        <v>0</v>
      </c>
      <c r="AT933" s="81">
        <v>0</v>
      </c>
      <c r="AU933" s="81"/>
      <c r="AV933" s="81"/>
      <c r="AW933" s="81"/>
      <c r="AX933" s="81"/>
      <c r="AY933" s="81"/>
      <c r="AZ933" s="81"/>
      <c r="BA933" s="81"/>
      <c r="BB933" s="81"/>
    </row>
    <row r="934" spans="1:54" x14ac:dyDescent="0.35">
      <c r="A934" s="66" t="s">
        <v>454</v>
      </c>
      <c r="B934" s="66" t="s">
        <v>496</v>
      </c>
      <c r="C934" s="67"/>
      <c r="D934" s="68"/>
      <c r="E934" s="69"/>
      <c r="F934" s="70"/>
      <c r="G934" s="67"/>
      <c r="H934" s="71"/>
      <c r="I934" s="72"/>
      <c r="J934" s="72"/>
      <c r="K934" s="36"/>
      <c r="L934" s="79"/>
      <c r="M934" s="79"/>
      <c r="N934" s="74"/>
      <c r="O934" s="81" t="s">
        <v>693</v>
      </c>
      <c r="P934" s="83">
        <v>44464.262499999997</v>
      </c>
      <c r="Q934" s="81" t="s">
        <v>803</v>
      </c>
      <c r="R934" s="81"/>
      <c r="S934" s="81"/>
      <c r="T934" s="86" t="s">
        <v>649</v>
      </c>
      <c r="U934" s="84" t="str">
        <f>HYPERLINK("https://pbs.twimg.com/media/FAEa7dXVkAcjbKg.jpg")</f>
        <v>https://pbs.twimg.com/media/FAEa7dXVkAcjbKg.jpg</v>
      </c>
      <c r="V934" s="84" t="str">
        <f>HYPERLINK("https://pbs.twimg.com/media/FAEa7dXVkAcjbKg.jpg")</f>
        <v>https://pbs.twimg.com/media/FAEa7dXVkAcjbKg.jpg</v>
      </c>
      <c r="W934" s="83">
        <v>44464.262499999997</v>
      </c>
      <c r="X934" s="89">
        <v>44464</v>
      </c>
      <c r="Y934" s="86" t="s">
        <v>1301</v>
      </c>
      <c r="Z934" s="84" t="str">
        <f>HYPERLINK("https://twitter.com/lilhannies/status/1441648159638228997")</f>
        <v>https://twitter.com/lilhannies/status/1441648159638228997</v>
      </c>
      <c r="AA934" s="81"/>
      <c r="AB934" s="81"/>
      <c r="AC934" s="86" t="s">
        <v>1796</v>
      </c>
      <c r="AD934" s="81"/>
      <c r="AE934" s="81" t="b">
        <v>0</v>
      </c>
      <c r="AF934" s="81">
        <v>0</v>
      </c>
      <c r="AG934" s="86" t="s">
        <v>2084</v>
      </c>
      <c r="AH934" s="81" t="b">
        <v>0</v>
      </c>
      <c r="AI934" s="81" t="s">
        <v>2168</v>
      </c>
      <c r="AJ934" s="81"/>
      <c r="AK934" s="86" t="s">
        <v>2084</v>
      </c>
      <c r="AL934" s="81" t="b">
        <v>0</v>
      </c>
      <c r="AM934" s="81">
        <v>21</v>
      </c>
      <c r="AN934" s="86" t="s">
        <v>1847</v>
      </c>
      <c r="AO934" s="86" t="s">
        <v>2179</v>
      </c>
      <c r="AP934" s="81" t="b">
        <v>0</v>
      </c>
      <c r="AQ934" s="86" t="s">
        <v>1847</v>
      </c>
      <c r="AR934" s="81" t="s">
        <v>179</v>
      </c>
      <c r="AS934" s="81">
        <v>0</v>
      </c>
      <c r="AT934" s="81">
        <v>0</v>
      </c>
      <c r="AU934" s="81"/>
      <c r="AV934" s="81"/>
      <c r="AW934" s="81"/>
      <c r="AX934" s="81"/>
      <c r="AY934" s="81"/>
      <c r="AZ934" s="81"/>
      <c r="BA934" s="81"/>
      <c r="BB934" s="81"/>
    </row>
    <row r="935" spans="1:54" x14ac:dyDescent="0.35">
      <c r="A935" s="66" t="s">
        <v>454</v>
      </c>
      <c r="B935" s="66" t="s">
        <v>646</v>
      </c>
      <c r="C935" s="67"/>
      <c r="D935" s="68"/>
      <c r="E935" s="69"/>
      <c r="F935" s="70"/>
      <c r="G935" s="67"/>
      <c r="H935" s="71"/>
      <c r="I935" s="72"/>
      <c r="J935" s="72"/>
      <c r="K935" s="36"/>
      <c r="L935" s="79"/>
      <c r="M935" s="79"/>
      <c r="N935" s="74"/>
      <c r="O935" s="81" t="s">
        <v>694</v>
      </c>
      <c r="P935" s="83">
        <v>44464.26290509259</v>
      </c>
      <c r="Q935" s="81" t="s">
        <v>800</v>
      </c>
      <c r="R935" s="81"/>
      <c r="S935" s="81"/>
      <c r="T935" s="86" t="s">
        <v>649</v>
      </c>
      <c r="U935" s="84" t="str">
        <f>HYPERLINK("https://pbs.twimg.com/media/FAEbG8nUcA0oIOp.jpg")</f>
        <v>https://pbs.twimg.com/media/FAEbG8nUcA0oIOp.jpg</v>
      </c>
      <c r="V935" s="84" t="str">
        <f>HYPERLINK("https://pbs.twimg.com/media/FAEbG8nUcA0oIOp.jpg")</f>
        <v>https://pbs.twimg.com/media/FAEbG8nUcA0oIOp.jpg</v>
      </c>
      <c r="W935" s="83">
        <v>44464.26290509259</v>
      </c>
      <c r="X935" s="89">
        <v>44464</v>
      </c>
      <c r="Y935" s="86" t="s">
        <v>1302</v>
      </c>
      <c r="Z935" s="84" t="str">
        <f>HYPERLINK("https://twitter.com/lilhannies/status/1441648306526949377")</f>
        <v>https://twitter.com/lilhannies/status/1441648306526949377</v>
      </c>
      <c r="AA935" s="81"/>
      <c r="AB935" s="81"/>
      <c r="AC935" s="86" t="s">
        <v>1797</v>
      </c>
      <c r="AD935" s="81"/>
      <c r="AE935" s="81" t="b">
        <v>0</v>
      </c>
      <c r="AF935" s="81">
        <v>0</v>
      </c>
      <c r="AG935" s="86" t="s">
        <v>2084</v>
      </c>
      <c r="AH935" s="81" t="b">
        <v>0</v>
      </c>
      <c r="AI935" s="81" t="s">
        <v>2168</v>
      </c>
      <c r="AJ935" s="81"/>
      <c r="AK935" s="86" t="s">
        <v>2084</v>
      </c>
      <c r="AL935" s="81" t="b">
        <v>0</v>
      </c>
      <c r="AM935" s="81">
        <v>6</v>
      </c>
      <c r="AN935" s="86" t="s">
        <v>1850</v>
      </c>
      <c r="AO935" s="86" t="s">
        <v>2179</v>
      </c>
      <c r="AP935" s="81" t="b">
        <v>0</v>
      </c>
      <c r="AQ935" s="86" t="s">
        <v>1850</v>
      </c>
      <c r="AR935" s="81" t="s">
        <v>179</v>
      </c>
      <c r="AS935" s="81">
        <v>0</v>
      </c>
      <c r="AT935" s="81">
        <v>0</v>
      </c>
      <c r="AU935" s="81"/>
      <c r="AV935" s="81"/>
      <c r="AW935" s="81"/>
      <c r="AX935" s="81"/>
      <c r="AY935" s="81"/>
      <c r="AZ935" s="81"/>
      <c r="BA935" s="81"/>
      <c r="BB935" s="81"/>
    </row>
    <row r="936" spans="1:54" x14ac:dyDescent="0.35">
      <c r="A936" s="66" t="s">
        <v>454</v>
      </c>
      <c r="B936" s="66" t="s">
        <v>647</v>
      </c>
      <c r="C936" s="67"/>
      <c r="D936" s="68"/>
      <c r="E936" s="69"/>
      <c r="F936" s="70"/>
      <c r="G936" s="67"/>
      <c r="H936" s="71"/>
      <c r="I936" s="72"/>
      <c r="J936" s="72"/>
      <c r="K936" s="36"/>
      <c r="L936" s="79"/>
      <c r="M936" s="79"/>
      <c r="N936" s="74"/>
      <c r="O936" s="81" t="s">
        <v>694</v>
      </c>
      <c r="P936" s="83">
        <v>44464.26290509259</v>
      </c>
      <c r="Q936" s="81" t="s">
        <v>800</v>
      </c>
      <c r="R936" s="81"/>
      <c r="S936" s="81"/>
      <c r="T936" s="86" t="s">
        <v>649</v>
      </c>
      <c r="U936" s="84" t="str">
        <f>HYPERLINK("https://pbs.twimg.com/media/FAEbG8nUcA0oIOp.jpg")</f>
        <v>https://pbs.twimg.com/media/FAEbG8nUcA0oIOp.jpg</v>
      </c>
      <c r="V936" s="84" t="str">
        <f>HYPERLINK("https://pbs.twimg.com/media/FAEbG8nUcA0oIOp.jpg")</f>
        <v>https://pbs.twimg.com/media/FAEbG8nUcA0oIOp.jpg</v>
      </c>
      <c r="W936" s="83">
        <v>44464.26290509259</v>
      </c>
      <c r="X936" s="89">
        <v>44464</v>
      </c>
      <c r="Y936" s="86" t="s">
        <v>1302</v>
      </c>
      <c r="Z936" s="84" t="str">
        <f>HYPERLINK("https://twitter.com/lilhannies/status/1441648306526949377")</f>
        <v>https://twitter.com/lilhannies/status/1441648306526949377</v>
      </c>
      <c r="AA936" s="81"/>
      <c r="AB936" s="81"/>
      <c r="AC936" s="86" t="s">
        <v>1797</v>
      </c>
      <c r="AD936" s="81"/>
      <c r="AE936" s="81" t="b">
        <v>0</v>
      </c>
      <c r="AF936" s="81">
        <v>0</v>
      </c>
      <c r="AG936" s="86" t="s">
        <v>2084</v>
      </c>
      <c r="AH936" s="81" t="b">
        <v>0</v>
      </c>
      <c r="AI936" s="81" t="s">
        <v>2168</v>
      </c>
      <c r="AJ936" s="81"/>
      <c r="AK936" s="86" t="s">
        <v>2084</v>
      </c>
      <c r="AL936" s="81" t="b">
        <v>0</v>
      </c>
      <c r="AM936" s="81">
        <v>6</v>
      </c>
      <c r="AN936" s="86" t="s">
        <v>1850</v>
      </c>
      <c r="AO936" s="86" t="s">
        <v>2179</v>
      </c>
      <c r="AP936" s="81" t="b">
        <v>0</v>
      </c>
      <c r="AQ936" s="86" t="s">
        <v>1850</v>
      </c>
      <c r="AR936" s="81" t="s">
        <v>179</v>
      </c>
      <c r="AS936" s="81">
        <v>0</v>
      </c>
      <c r="AT936" s="81">
        <v>0</v>
      </c>
      <c r="AU936" s="81"/>
      <c r="AV936" s="81"/>
      <c r="AW936" s="81"/>
      <c r="AX936" s="81"/>
      <c r="AY936" s="81"/>
      <c r="AZ936" s="81"/>
      <c r="BA936" s="81"/>
      <c r="BB936" s="81"/>
    </row>
    <row r="937" spans="1:54" x14ac:dyDescent="0.35">
      <c r="A937" s="66" t="s">
        <v>454</v>
      </c>
      <c r="B937" s="66" t="s">
        <v>648</v>
      </c>
      <c r="C937" s="67"/>
      <c r="D937" s="68"/>
      <c r="E937" s="69"/>
      <c r="F937" s="70"/>
      <c r="G937" s="67"/>
      <c r="H937" s="71"/>
      <c r="I937" s="72"/>
      <c r="J937" s="72"/>
      <c r="K937" s="36"/>
      <c r="L937" s="79"/>
      <c r="M937" s="79"/>
      <c r="N937" s="74"/>
      <c r="O937" s="81" t="s">
        <v>694</v>
      </c>
      <c r="P937" s="83">
        <v>44464.26290509259</v>
      </c>
      <c r="Q937" s="81" t="s">
        <v>800</v>
      </c>
      <c r="R937" s="81"/>
      <c r="S937" s="81"/>
      <c r="T937" s="86" t="s">
        <v>649</v>
      </c>
      <c r="U937" s="84" t="str">
        <f>HYPERLINK("https://pbs.twimg.com/media/FAEbG8nUcA0oIOp.jpg")</f>
        <v>https://pbs.twimg.com/media/FAEbG8nUcA0oIOp.jpg</v>
      </c>
      <c r="V937" s="84" t="str">
        <f>HYPERLINK("https://pbs.twimg.com/media/FAEbG8nUcA0oIOp.jpg")</f>
        <v>https://pbs.twimg.com/media/FAEbG8nUcA0oIOp.jpg</v>
      </c>
      <c r="W937" s="83">
        <v>44464.26290509259</v>
      </c>
      <c r="X937" s="89">
        <v>44464</v>
      </c>
      <c r="Y937" s="86" t="s">
        <v>1302</v>
      </c>
      <c r="Z937" s="84" t="str">
        <f>HYPERLINK("https://twitter.com/lilhannies/status/1441648306526949377")</f>
        <v>https://twitter.com/lilhannies/status/1441648306526949377</v>
      </c>
      <c r="AA937" s="81"/>
      <c r="AB937" s="81"/>
      <c r="AC937" s="86" t="s">
        <v>1797</v>
      </c>
      <c r="AD937" s="81"/>
      <c r="AE937" s="81" t="b">
        <v>0</v>
      </c>
      <c r="AF937" s="81">
        <v>0</v>
      </c>
      <c r="AG937" s="86" t="s">
        <v>2084</v>
      </c>
      <c r="AH937" s="81" t="b">
        <v>0</v>
      </c>
      <c r="AI937" s="81" t="s">
        <v>2168</v>
      </c>
      <c r="AJ937" s="81"/>
      <c r="AK937" s="86" t="s">
        <v>2084</v>
      </c>
      <c r="AL937" s="81" t="b">
        <v>0</v>
      </c>
      <c r="AM937" s="81">
        <v>6</v>
      </c>
      <c r="AN937" s="86" t="s">
        <v>1850</v>
      </c>
      <c r="AO937" s="86" t="s">
        <v>2179</v>
      </c>
      <c r="AP937" s="81" t="b">
        <v>0</v>
      </c>
      <c r="AQ937" s="86" t="s">
        <v>1850</v>
      </c>
      <c r="AR937" s="81" t="s">
        <v>179</v>
      </c>
      <c r="AS937" s="81">
        <v>0</v>
      </c>
      <c r="AT937" s="81">
        <v>0</v>
      </c>
      <c r="AU937" s="81"/>
      <c r="AV937" s="81"/>
      <c r="AW937" s="81"/>
      <c r="AX937" s="81"/>
      <c r="AY937" s="81"/>
      <c r="AZ937" s="81"/>
      <c r="BA937" s="81"/>
      <c r="BB937" s="81"/>
    </row>
    <row r="938" spans="1:54" x14ac:dyDescent="0.35">
      <c r="A938" s="66" t="s">
        <v>454</v>
      </c>
      <c r="B938" s="66" t="s">
        <v>649</v>
      </c>
      <c r="C938" s="67"/>
      <c r="D938" s="68"/>
      <c r="E938" s="69"/>
      <c r="F938" s="70"/>
      <c r="G938" s="67"/>
      <c r="H938" s="71"/>
      <c r="I938" s="72"/>
      <c r="J938" s="72"/>
      <c r="K938" s="36"/>
      <c r="L938" s="79"/>
      <c r="M938" s="79"/>
      <c r="N938" s="74"/>
      <c r="O938" s="81" t="s">
        <v>694</v>
      </c>
      <c r="P938" s="83">
        <v>44464.26290509259</v>
      </c>
      <c r="Q938" s="81" t="s">
        <v>800</v>
      </c>
      <c r="R938" s="81"/>
      <c r="S938" s="81"/>
      <c r="T938" s="86" t="s">
        <v>649</v>
      </c>
      <c r="U938" s="84" t="str">
        <f>HYPERLINK("https://pbs.twimg.com/media/FAEbG8nUcA0oIOp.jpg")</f>
        <v>https://pbs.twimg.com/media/FAEbG8nUcA0oIOp.jpg</v>
      </c>
      <c r="V938" s="84" t="str">
        <f>HYPERLINK("https://pbs.twimg.com/media/FAEbG8nUcA0oIOp.jpg")</f>
        <v>https://pbs.twimg.com/media/FAEbG8nUcA0oIOp.jpg</v>
      </c>
      <c r="W938" s="83">
        <v>44464.26290509259</v>
      </c>
      <c r="X938" s="89">
        <v>44464</v>
      </c>
      <c r="Y938" s="86" t="s">
        <v>1302</v>
      </c>
      <c r="Z938" s="84" t="str">
        <f>HYPERLINK("https://twitter.com/lilhannies/status/1441648306526949377")</f>
        <v>https://twitter.com/lilhannies/status/1441648306526949377</v>
      </c>
      <c r="AA938" s="81"/>
      <c r="AB938" s="81"/>
      <c r="AC938" s="86" t="s">
        <v>1797</v>
      </c>
      <c r="AD938" s="81"/>
      <c r="AE938" s="81" t="b">
        <v>0</v>
      </c>
      <c r="AF938" s="81">
        <v>0</v>
      </c>
      <c r="AG938" s="86" t="s">
        <v>2084</v>
      </c>
      <c r="AH938" s="81" t="b">
        <v>0</v>
      </c>
      <c r="AI938" s="81" t="s">
        <v>2168</v>
      </c>
      <c r="AJ938" s="81"/>
      <c r="AK938" s="86" t="s">
        <v>2084</v>
      </c>
      <c r="AL938" s="81" t="b">
        <v>0</v>
      </c>
      <c r="AM938" s="81">
        <v>6</v>
      </c>
      <c r="AN938" s="86" t="s">
        <v>1850</v>
      </c>
      <c r="AO938" s="86" t="s">
        <v>2179</v>
      </c>
      <c r="AP938" s="81" t="b">
        <v>0</v>
      </c>
      <c r="AQ938" s="86" t="s">
        <v>1850</v>
      </c>
      <c r="AR938" s="81" t="s">
        <v>179</v>
      </c>
      <c r="AS938" s="81">
        <v>0</v>
      </c>
      <c r="AT938" s="81">
        <v>0</v>
      </c>
      <c r="AU938" s="81"/>
      <c r="AV938" s="81"/>
      <c r="AW938" s="81"/>
      <c r="AX938" s="81"/>
      <c r="AY938" s="81"/>
      <c r="AZ938" s="81"/>
      <c r="BA938" s="81"/>
      <c r="BB938" s="81"/>
    </row>
    <row r="939" spans="1:54" x14ac:dyDescent="0.35">
      <c r="A939" s="66" t="s">
        <v>454</v>
      </c>
      <c r="B939" s="66" t="s">
        <v>496</v>
      </c>
      <c r="C939" s="67"/>
      <c r="D939" s="68"/>
      <c r="E939" s="69"/>
      <c r="F939" s="70"/>
      <c r="G939" s="67"/>
      <c r="H939" s="71"/>
      <c r="I939" s="72"/>
      <c r="J939" s="72"/>
      <c r="K939" s="36"/>
      <c r="L939" s="79"/>
      <c r="M939" s="79"/>
      <c r="N939" s="74"/>
      <c r="O939" s="81" t="s">
        <v>693</v>
      </c>
      <c r="P939" s="83">
        <v>44464.26290509259</v>
      </c>
      <c r="Q939" s="81" t="s">
        <v>800</v>
      </c>
      <c r="R939" s="81"/>
      <c r="S939" s="81"/>
      <c r="T939" s="86" t="s">
        <v>649</v>
      </c>
      <c r="U939" s="84" t="str">
        <f>HYPERLINK("https://pbs.twimg.com/media/FAEbG8nUcA0oIOp.jpg")</f>
        <v>https://pbs.twimg.com/media/FAEbG8nUcA0oIOp.jpg</v>
      </c>
      <c r="V939" s="84" t="str">
        <f>HYPERLINK("https://pbs.twimg.com/media/FAEbG8nUcA0oIOp.jpg")</f>
        <v>https://pbs.twimg.com/media/FAEbG8nUcA0oIOp.jpg</v>
      </c>
      <c r="W939" s="83">
        <v>44464.26290509259</v>
      </c>
      <c r="X939" s="89">
        <v>44464</v>
      </c>
      <c r="Y939" s="86" t="s">
        <v>1302</v>
      </c>
      <c r="Z939" s="84" t="str">
        <f>HYPERLINK("https://twitter.com/lilhannies/status/1441648306526949377")</f>
        <v>https://twitter.com/lilhannies/status/1441648306526949377</v>
      </c>
      <c r="AA939" s="81"/>
      <c r="AB939" s="81"/>
      <c r="AC939" s="86" t="s">
        <v>1797</v>
      </c>
      <c r="AD939" s="81"/>
      <c r="AE939" s="81" t="b">
        <v>0</v>
      </c>
      <c r="AF939" s="81">
        <v>0</v>
      </c>
      <c r="AG939" s="86" t="s">
        <v>2084</v>
      </c>
      <c r="AH939" s="81" t="b">
        <v>0</v>
      </c>
      <c r="AI939" s="81" t="s">
        <v>2168</v>
      </c>
      <c r="AJ939" s="81"/>
      <c r="AK939" s="86" t="s">
        <v>2084</v>
      </c>
      <c r="AL939" s="81" t="b">
        <v>0</v>
      </c>
      <c r="AM939" s="81">
        <v>6</v>
      </c>
      <c r="AN939" s="86" t="s">
        <v>1850</v>
      </c>
      <c r="AO939" s="86" t="s">
        <v>2179</v>
      </c>
      <c r="AP939" s="81" t="b">
        <v>0</v>
      </c>
      <c r="AQ939" s="86" t="s">
        <v>1850</v>
      </c>
      <c r="AR939" s="81" t="s">
        <v>179</v>
      </c>
      <c r="AS939" s="81">
        <v>0</v>
      </c>
      <c r="AT939" s="81">
        <v>0</v>
      </c>
      <c r="AU939" s="81"/>
      <c r="AV939" s="81"/>
      <c r="AW939" s="81"/>
      <c r="AX939" s="81"/>
      <c r="AY939" s="81"/>
      <c r="AZ939" s="81"/>
      <c r="BA939" s="81"/>
      <c r="BB939" s="81"/>
    </row>
    <row r="940" spans="1:54" x14ac:dyDescent="0.35">
      <c r="A940" s="66" t="s">
        <v>455</v>
      </c>
      <c r="B940" s="66" t="s">
        <v>646</v>
      </c>
      <c r="C940" s="67"/>
      <c r="D940" s="68"/>
      <c r="E940" s="69"/>
      <c r="F940" s="70"/>
      <c r="G940" s="67"/>
      <c r="H940" s="71"/>
      <c r="I940" s="72"/>
      <c r="J940" s="72"/>
      <c r="K940" s="36"/>
      <c r="L940" s="79"/>
      <c r="M940" s="79"/>
      <c r="N940" s="74"/>
      <c r="O940" s="81" t="s">
        <v>694</v>
      </c>
      <c r="P940" s="83">
        <v>44464.26326388889</v>
      </c>
      <c r="Q940" s="81" t="s">
        <v>802</v>
      </c>
      <c r="R940" s="81"/>
      <c r="S940" s="81"/>
      <c r="T940" s="86" t="s">
        <v>649</v>
      </c>
      <c r="U940" s="84" t="str">
        <f>HYPERLINK("https://pbs.twimg.com/media/FAEa_mFUYAcoKUu.jpg")</f>
        <v>https://pbs.twimg.com/media/FAEa_mFUYAcoKUu.jpg</v>
      </c>
      <c r="V940" s="84" t="str">
        <f>HYPERLINK("https://pbs.twimg.com/media/FAEa_mFUYAcoKUu.jpg")</f>
        <v>https://pbs.twimg.com/media/FAEa_mFUYAcoKUu.jpg</v>
      </c>
      <c r="W940" s="83">
        <v>44464.26326388889</v>
      </c>
      <c r="X940" s="89">
        <v>44464</v>
      </c>
      <c r="Y940" s="86" t="s">
        <v>1303</v>
      </c>
      <c r="Z940" s="84" t="str">
        <f>HYPERLINK("https://twitter.com/cheriekoo_/status/1441648434839101440")</f>
        <v>https://twitter.com/cheriekoo_/status/1441648434839101440</v>
      </c>
      <c r="AA940" s="81"/>
      <c r="AB940" s="81"/>
      <c r="AC940" s="86" t="s">
        <v>1798</v>
      </c>
      <c r="AD940" s="81"/>
      <c r="AE940" s="81" t="b">
        <v>0</v>
      </c>
      <c r="AF940" s="81">
        <v>0</v>
      </c>
      <c r="AG940" s="86" t="s">
        <v>2084</v>
      </c>
      <c r="AH940" s="81" t="b">
        <v>0</v>
      </c>
      <c r="AI940" s="81" t="s">
        <v>2168</v>
      </c>
      <c r="AJ940" s="81"/>
      <c r="AK940" s="86" t="s">
        <v>2084</v>
      </c>
      <c r="AL940" s="81" t="b">
        <v>0</v>
      </c>
      <c r="AM940" s="81">
        <v>24</v>
      </c>
      <c r="AN940" s="86" t="s">
        <v>1848</v>
      </c>
      <c r="AO940" s="86" t="s">
        <v>2179</v>
      </c>
      <c r="AP940" s="81" t="b">
        <v>0</v>
      </c>
      <c r="AQ940" s="86" t="s">
        <v>1848</v>
      </c>
      <c r="AR940" s="81" t="s">
        <v>179</v>
      </c>
      <c r="AS940" s="81">
        <v>0</v>
      </c>
      <c r="AT940" s="81">
        <v>0</v>
      </c>
      <c r="AU940" s="81"/>
      <c r="AV940" s="81"/>
      <c r="AW940" s="81"/>
      <c r="AX940" s="81"/>
      <c r="AY940" s="81"/>
      <c r="AZ940" s="81"/>
      <c r="BA940" s="81"/>
      <c r="BB940" s="81"/>
    </row>
    <row r="941" spans="1:54" x14ac:dyDescent="0.35">
      <c r="A941" s="66" t="s">
        <v>455</v>
      </c>
      <c r="B941" s="66" t="s">
        <v>647</v>
      </c>
      <c r="C941" s="67"/>
      <c r="D941" s="68"/>
      <c r="E941" s="69"/>
      <c r="F941" s="70"/>
      <c r="G941" s="67"/>
      <c r="H941" s="71"/>
      <c r="I941" s="72"/>
      <c r="J941" s="72"/>
      <c r="K941" s="36"/>
      <c r="L941" s="79"/>
      <c r="M941" s="79"/>
      <c r="N941" s="74"/>
      <c r="O941" s="81" t="s">
        <v>694</v>
      </c>
      <c r="P941" s="83">
        <v>44464.26326388889</v>
      </c>
      <c r="Q941" s="81" t="s">
        <v>802</v>
      </c>
      <c r="R941" s="81"/>
      <c r="S941" s="81"/>
      <c r="T941" s="86" t="s">
        <v>649</v>
      </c>
      <c r="U941" s="84" t="str">
        <f>HYPERLINK("https://pbs.twimg.com/media/FAEa_mFUYAcoKUu.jpg")</f>
        <v>https://pbs.twimg.com/media/FAEa_mFUYAcoKUu.jpg</v>
      </c>
      <c r="V941" s="84" t="str">
        <f>HYPERLINK("https://pbs.twimg.com/media/FAEa_mFUYAcoKUu.jpg")</f>
        <v>https://pbs.twimg.com/media/FAEa_mFUYAcoKUu.jpg</v>
      </c>
      <c r="W941" s="83">
        <v>44464.26326388889</v>
      </c>
      <c r="X941" s="89">
        <v>44464</v>
      </c>
      <c r="Y941" s="86" t="s">
        <v>1303</v>
      </c>
      <c r="Z941" s="84" t="str">
        <f>HYPERLINK("https://twitter.com/cheriekoo_/status/1441648434839101440")</f>
        <v>https://twitter.com/cheriekoo_/status/1441648434839101440</v>
      </c>
      <c r="AA941" s="81"/>
      <c r="AB941" s="81"/>
      <c r="AC941" s="86" t="s">
        <v>1798</v>
      </c>
      <c r="AD941" s="81"/>
      <c r="AE941" s="81" t="b">
        <v>0</v>
      </c>
      <c r="AF941" s="81">
        <v>0</v>
      </c>
      <c r="AG941" s="86" t="s">
        <v>2084</v>
      </c>
      <c r="AH941" s="81" t="b">
        <v>0</v>
      </c>
      <c r="AI941" s="81" t="s">
        <v>2168</v>
      </c>
      <c r="AJ941" s="81"/>
      <c r="AK941" s="86" t="s">
        <v>2084</v>
      </c>
      <c r="AL941" s="81" t="b">
        <v>0</v>
      </c>
      <c r="AM941" s="81">
        <v>24</v>
      </c>
      <c r="AN941" s="86" t="s">
        <v>1848</v>
      </c>
      <c r="AO941" s="86" t="s">
        <v>2179</v>
      </c>
      <c r="AP941" s="81" t="b">
        <v>0</v>
      </c>
      <c r="AQ941" s="86" t="s">
        <v>1848</v>
      </c>
      <c r="AR941" s="81" t="s">
        <v>179</v>
      </c>
      <c r="AS941" s="81">
        <v>0</v>
      </c>
      <c r="AT941" s="81">
        <v>0</v>
      </c>
      <c r="AU941" s="81"/>
      <c r="AV941" s="81"/>
      <c r="AW941" s="81"/>
      <c r="AX941" s="81"/>
      <c r="AY941" s="81"/>
      <c r="AZ941" s="81"/>
      <c r="BA941" s="81"/>
      <c r="BB941" s="81"/>
    </row>
    <row r="942" spans="1:54" x14ac:dyDescent="0.35">
      <c r="A942" s="66" t="s">
        <v>455</v>
      </c>
      <c r="B942" s="66" t="s">
        <v>648</v>
      </c>
      <c r="C942" s="67"/>
      <c r="D942" s="68"/>
      <c r="E942" s="69"/>
      <c r="F942" s="70"/>
      <c r="G942" s="67"/>
      <c r="H942" s="71"/>
      <c r="I942" s="72"/>
      <c r="J942" s="72"/>
      <c r="K942" s="36"/>
      <c r="L942" s="79"/>
      <c r="M942" s="79"/>
      <c r="N942" s="74"/>
      <c r="O942" s="81" t="s">
        <v>694</v>
      </c>
      <c r="P942" s="83">
        <v>44464.26326388889</v>
      </c>
      <c r="Q942" s="81" t="s">
        <v>802</v>
      </c>
      <c r="R942" s="81"/>
      <c r="S942" s="81"/>
      <c r="T942" s="86" t="s">
        <v>649</v>
      </c>
      <c r="U942" s="84" t="str">
        <f>HYPERLINK("https://pbs.twimg.com/media/FAEa_mFUYAcoKUu.jpg")</f>
        <v>https://pbs.twimg.com/media/FAEa_mFUYAcoKUu.jpg</v>
      </c>
      <c r="V942" s="84" t="str">
        <f>HYPERLINK("https://pbs.twimg.com/media/FAEa_mFUYAcoKUu.jpg")</f>
        <v>https://pbs.twimg.com/media/FAEa_mFUYAcoKUu.jpg</v>
      </c>
      <c r="W942" s="83">
        <v>44464.26326388889</v>
      </c>
      <c r="X942" s="89">
        <v>44464</v>
      </c>
      <c r="Y942" s="86" t="s">
        <v>1303</v>
      </c>
      <c r="Z942" s="84" t="str">
        <f>HYPERLINK("https://twitter.com/cheriekoo_/status/1441648434839101440")</f>
        <v>https://twitter.com/cheriekoo_/status/1441648434839101440</v>
      </c>
      <c r="AA942" s="81"/>
      <c r="AB942" s="81"/>
      <c r="AC942" s="86" t="s">
        <v>1798</v>
      </c>
      <c r="AD942" s="81"/>
      <c r="AE942" s="81" t="b">
        <v>0</v>
      </c>
      <c r="AF942" s="81">
        <v>0</v>
      </c>
      <c r="AG942" s="86" t="s">
        <v>2084</v>
      </c>
      <c r="AH942" s="81" t="b">
        <v>0</v>
      </c>
      <c r="AI942" s="81" t="s">
        <v>2168</v>
      </c>
      <c r="AJ942" s="81"/>
      <c r="AK942" s="86" t="s">
        <v>2084</v>
      </c>
      <c r="AL942" s="81" t="b">
        <v>0</v>
      </c>
      <c r="AM942" s="81">
        <v>24</v>
      </c>
      <c r="AN942" s="86" t="s">
        <v>1848</v>
      </c>
      <c r="AO942" s="86" t="s">
        <v>2179</v>
      </c>
      <c r="AP942" s="81" t="b">
        <v>0</v>
      </c>
      <c r="AQ942" s="86" t="s">
        <v>1848</v>
      </c>
      <c r="AR942" s="81" t="s">
        <v>179</v>
      </c>
      <c r="AS942" s="81">
        <v>0</v>
      </c>
      <c r="AT942" s="81">
        <v>0</v>
      </c>
      <c r="AU942" s="81"/>
      <c r="AV942" s="81"/>
      <c r="AW942" s="81"/>
      <c r="AX942" s="81"/>
      <c r="AY942" s="81"/>
      <c r="AZ942" s="81"/>
      <c r="BA942" s="81"/>
      <c r="BB942" s="81"/>
    </row>
    <row r="943" spans="1:54" x14ac:dyDescent="0.35">
      <c r="A943" s="66" t="s">
        <v>455</v>
      </c>
      <c r="B943" s="66" t="s">
        <v>649</v>
      </c>
      <c r="C943" s="67"/>
      <c r="D943" s="68"/>
      <c r="E943" s="69"/>
      <c r="F943" s="70"/>
      <c r="G943" s="67"/>
      <c r="H943" s="71"/>
      <c r="I943" s="72"/>
      <c r="J943" s="72"/>
      <c r="K943" s="36"/>
      <c r="L943" s="79"/>
      <c r="M943" s="79"/>
      <c r="N943" s="74"/>
      <c r="O943" s="81" t="s">
        <v>694</v>
      </c>
      <c r="P943" s="83">
        <v>44464.26326388889</v>
      </c>
      <c r="Q943" s="81" t="s">
        <v>802</v>
      </c>
      <c r="R943" s="81"/>
      <c r="S943" s="81"/>
      <c r="T943" s="86" t="s">
        <v>649</v>
      </c>
      <c r="U943" s="84" t="str">
        <f>HYPERLINK("https://pbs.twimg.com/media/FAEa_mFUYAcoKUu.jpg")</f>
        <v>https://pbs.twimg.com/media/FAEa_mFUYAcoKUu.jpg</v>
      </c>
      <c r="V943" s="84" t="str">
        <f>HYPERLINK("https://pbs.twimg.com/media/FAEa_mFUYAcoKUu.jpg")</f>
        <v>https://pbs.twimg.com/media/FAEa_mFUYAcoKUu.jpg</v>
      </c>
      <c r="W943" s="83">
        <v>44464.26326388889</v>
      </c>
      <c r="X943" s="89">
        <v>44464</v>
      </c>
      <c r="Y943" s="86" t="s">
        <v>1303</v>
      </c>
      <c r="Z943" s="84" t="str">
        <f>HYPERLINK("https://twitter.com/cheriekoo_/status/1441648434839101440")</f>
        <v>https://twitter.com/cheriekoo_/status/1441648434839101440</v>
      </c>
      <c r="AA943" s="81"/>
      <c r="AB943" s="81"/>
      <c r="AC943" s="86" t="s">
        <v>1798</v>
      </c>
      <c r="AD943" s="81"/>
      <c r="AE943" s="81" t="b">
        <v>0</v>
      </c>
      <c r="AF943" s="81">
        <v>0</v>
      </c>
      <c r="AG943" s="86" t="s">
        <v>2084</v>
      </c>
      <c r="AH943" s="81" t="b">
        <v>0</v>
      </c>
      <c r="AI943" s="81" t="s">
        <v>2168</v>
      </c>
      <c r="AJ943" s="81"/>
      <c r="AK943" s="86" t="s">
        <v>2084</v>
      </c>
      <c r="AL943" s="81" t="b">
        <v>0</v>
      </c>
      <c r="AM943" s="81">
        <v>24</v>
      </c>
      <c r="AN943" s="86" t="s">
        <v>1848</v>
      </c>
      <c r="AO943" s="86" t="s">
        <v>2179</v>
      </c>
      <c r="AP943" s="81" t="b">
        <v>0</v>
      </c>
      <c r="AQ943" s="86" t="s">
        <v>1848</v>
      </c>
      <c r="AR943" s="81" t="s">
        <v>179</v>
      </c>
      <c r="AS943" s="81">
        <v>0</v>
      </c>
      <c r="AT943" s="81">
        <v>0</v>
      </c>
      <c r="AU943" s="81"/>
      <c r="AV943" s="81"/>
      <c r="AW943" s="81"/>
      <c r="AX943" s="81"/>
      <c r="AY943" s="81"/>
      <c r="AZ943" s="81"/>
      <c r="BA943" s="81"/>
      <c r="BB943" s="81"/>
    </row>
    <row r="944" spans="1:54" x14ac:dyDescent="0.35">
      <c r="A944" s="66" t="s">
        <v>455</v>
      </c>
      <c r="B944" s="66" t="s">
        <v>496</v>
      </c>
      <c r="C944" s="67"/>
      <c r="D944" s="68"/>
      <c r="E944" s="69"/>
      <c r="F944" s="70"/>
      <c r="G944" s="67"/>
      <c r="H944" s="71"/>
      <c r="I944" s="72"/>
      <c r="J944" s="72"/>
      <c r="K944" s="36"/>
      <c r="L944" s="79"/>
      <c r="M944" s="79"/>
      <c r="N944" s="74"/>
      <c r="O944" s="81" t="s">
        <v>693</v>
      </c>
      <c r="P944" s="83">
        <v>44464.26326388889</v>
      </c>
      <c r="Q944" s="81" t="s">
        <v>802</v>
      </c>
      <c r="R944" s="81"/>
      <c r="S944" s="81"/>
      <c r="T944" s="86" t="s">
        <v>649</v>
      </c>
      <c r="U944" s="84" t="str">
        <f>HYPERLINK("https://pbs.twimg.com/media/FAEa_mFUYAcoKUu.jpg")</f>
        <v>https://pbs.twimg.com/media/FAEa_mFUYAcoKUu.jpg</v>
      </c>
      <c r="V944" s="84" t="str">
        <f>HYPERLINK("https://pbs.twimg.com/media/FAEa_mFUYAcoKUu.jpg")</f>
        <v>https://pbs.twimg.com/media/FAEa_mFUYAcoKUu.jpg</v>
      </c>
      <c r="W944" s="83">
        <v>44464.26326388889</v>
      </c>
      <c r="X944" s="89">
        <v>44464</v>
      </c>
      <c r="Y944" s="86" t="s">
        <v>1303</v>
      </c>
      <c r="Z944" s="84" t="str">
        <f>HYPERLINK("https://twitter.com/cheriekoo_/status/1441648434839101440")</f>
        <v>https://twitter.com/cheriekoo_/status/1441648434839101440</v>
      </c>
      <c r="AA944" s="81"/>
      <c r="AB944" s="81"/>
      <c r="AC944" s="86" t="s">
        <v>1798</v>
      </c>
      <c r="AD944" s="81"/>
      <c r="AE944" s="81" t="b">
        <v>0</v>
      </c>
      <c r="AF944" s="81">
        <v>0</v>
      </c>
      <c r="AG944" s="86" t="s">
        <v>2084</v>
      </c>
      <c r="AH944" s="81" t="b">
        <v>0</v>
      </c>
      <c r="AI944" s="81" t="s">
        <v>2168</v>
      </c>
      <c r="AJ944" s="81"/>
      <c r="AK944" s="86" t="s">
        <v>2084</v>
      </c>
      <c r="AL944" s="81" t="b">
        <v>0</v>
      </c>
      <c r="AM944" s="81">
        <v>24</v>
      </c>
      <c r="AN944" s="86" t="s">
        <v>1848</v>
      </c>
      <c r="AO944" s="86" t="s">
        <v>2179</v>
      </c>
      <c r="AP944" s="81" t="b">
        <v>0</v>
      </c>
      <c r="AQ944" s="86" t="s">
        <v>1848</v>
      </c>
      <c r="AR944" s="81" t="s">
        <v>179</v>
      </c>
      <c r="AS944" s="81">
        <v>0</v>
      </c>
      <c r="AT944" s="81">
        <v>0</v>
      </c>
      <c r="AU944" s="81"/>
      <c r="AV944" s="81"/>
      <c r="AW944" s="81"/>
      <c r="AX944" s="81"/>
      <c r="AY944" s="81"/>
      <c r="AZ944" s="81"/>
      <c r="BA944" s="81"/>
      <c r="BB944" s="81"/>
    </row>
    <row r="945" spans="1:54" x14ac:dyDescent="0.35">
      <c r="A945" s="66" t="s">
        <v>456</v>
      </c>
      <c r="B945" s="66" t="s">
        <v>646</v>
      </c>
      <c r="C945" s="67"/>
      <c r="D945" s="68"/>
      <c r="E945" s="69"/>
      <c r="F945" s="70"/>
      <c r="G945" s="67"/>
      <c r="H945" s="71"/>
      <c r="I945" s="72"/>
      <c r="J945" s="72"/>
      <c r="K945" s="36"/>
      <c r="L945" s="79"/>
      <c r="M945" s="79"/>
      <c r="N945" s="74"/>
      <c r="O945" s="81" t="s">
        <v>694</v>
      </c>
      <c r="P945" s="83">
        <v>44464.267002314817</v>
      </c>
      <c r="Q945" s="81" t="s">
        <v>802</v>
      </c>
      <c r="R945" s="81"/>
      <c r="S945" s="81"/>
      <c r="T945" s="86" t="s">
        <v>649</v>
      </c>
      <c r="U945" s="84" t="str">
        <f>HYPERLINK("https://pbs.twimg.com/media/FAEa_mFUYAcoKUu.jpg")</f>
        <v>https://pbs.twimg.com/media/FAEa_mFUYAcoKUu.jpg</v>
      </c>
      <c r="V945" s="84" t="str">
        <f>HYPERLINK("https://pbs.twimg.com/media/FAEa_mFUYAcoKUu.jpg")</f>
        <v>https://pbs.twimg.com/media/FAEa_mFUYAcoKUu.jpg</v>
      </c>
      <c r="W945" s="83">
        <v>44464.267002314817</v>
      </c>
      <c r="X945" s="89">
        <v>44464</v>
      </c>
      <c r="Y945" s="86" t="s">
        <v>1304</v>
      </c>
      <c r="Z945" s="84" t="str">
        <f>HYPERLINK("https://twitter.com/thenexteleanor/status/1441649790689820672")</f>
        <v>https://twitter.com/thenexteleanor/status/1441649790689820672</v>
      </c>
      <c r="AA945" s="81"/>
      <c r="AB945" s="81"/>
      <c r="AC945" s="86" t="s">
        <v>1799</v>
      </c>
      <c r="AD945" s="81"/>
      <c r="AE945" s="81" t="b">
        <v>0</v>
      </c>
      <c r="AF945" s="81">
        <v>0</v>
      </c>
      <c r="AG945" s="86" t="s">
        <v>2084</v>
      </c>
      <c r="AH945" s="81" t="b">
        <v>0</v>
      </c>
      <c r="AI945" s="81" t="s">
        <v>2168</v>
      </c>
      <c r="AJ945" s="81"/>
      <c r="AK945" s="86" t="s">
        <v>2084</v>
      </c>
      <c r="AL945" s="81" t="b">
        <v>0</v>
      </c>
      <c r="AM945" s="81">
        <v>24</v>
      </c>
      <c r="AN945" s="86" t="s">
        <v>1848</v>
      </c>
      <c r="AO945" s="86" t="s">
        <v>2178</v>
      </c>
      <c r="AP945" s="81" t="b">
        <v>0</v>
      </c>
      <c r="AQ945" s="86" t="s">
        <v>1848</v>
      </c>
      <c r="AR945" s="81" t="s">
        <v>179</v>
      </c>
      <c r="AS945" s="81">
        <v>0</v>
      </c>
      <c r="AT945" s="81">
        <v>0</v>
      </c>
      <c r="AU945" s="81"/>
      <c r="AV945" s="81"/>
      <c r="AW945" s="81"/>
      <c r="AX945" s="81"/>
      <c r="AY945" s="81"/>
      <c r="AZ945" s="81"/>
      <c r="BA945" s="81"/>
      <c r="BB945" s="81"/>
    </row>
    <row r="946" spans="1:54" x14ac:dyDescent="0.35">
      <c r="A946" s="66" t="s">
        <v>456</v>
      </c>
      <c r="B946" s="66" t="s">
        <v>647</v>
      </c>
      <c r="C946" s="67"/>
      <c r="D946" s="68"/>
      <c r="E946" s="69"/>
      <c r="F946" s="70"/>
      <c r="G946" s="67"/>
      <c r="H946" s="71"/>
      <c r="I946" s="72"/>
      <c r="J946" s="72"/>
      <c r="K946" s="36"/>
      <c r="L946" s="79"/>
      <c r="M946" s="79"/>
      <c r="N946" s="74"/>
      <c r="O946" s="81" t="s">
        <v>694</v>
      </c>
      <c r="P946" s="83">
        <v>44464.267002314817</v>
      </c>
      <c r="Q946" s="81" t="s">
        <v>802</v>
      </c>
      <c r="R946" s="81"/>
      <c r="S946" s="81"/>
      <c r="T946" s="86" t="s">
        <v>649</v>
      </c>
      <c r="U946" s="84" t="str">
        <f>HYPERLINK("https://pbs.twimg.com/media/FAEa_mFUYAcoKUu.jpg")</f>
        <v>https://pbs.twimg.com/media/FAEa_mFUYAcoKUu.jpg</v>
      </c>
      <c r="V946" s="84" t="str">
        <f>HYPERLINK("https://pbs.twimg.com/media/FAEa_mFUYAcoKUu.jpg")</f>
        <v>https://pbs.twimg.com/media/FAEa_mFUYAcoKUu.jpg</v>
      </c>
      <c r="W946" s="83">
        <v>44464.267002314817</v>
      </c>
      <c r="X946" s="89">
        <v>44464</v>
      </c>
      <c r="Y946" s="86" t="s">
        <v>1304</v>
      </c>
      <c r="Z946" s="84" t="str">
        <f>HYPERLINK("https://twitter.com/thenexteleanor/status/1441649790689820672")</f>
        <v>https://twitter.com/thenexteleanor/status/1441649790689820672</v>
      </c>
      <c r="AA946" s="81"/>
      <c r="AB946" s="81"/>
      <c r="AC946" s="86" t="s">
        <v>1799</v>
      </c>
      <c r="AD946" s="81"/>
      <c r="AE946" s="81" t="b">
        <v>0</v>
      </c>
      <c r="AF946" s="81">
        <v>0</v>
      </c>
      <c r="AG946" s="86" t="s">
        <v>2084</v>
      </c>
      <c r="AH946" s="81" t="b">
        <v>0</v>
      </c>
      <c r="AI946" s="81" t="s">
        <v>2168</v>
      </c>
      <c r="AJ946" s="81"/>
      <c r="AK946" s="86" t="s">
        <v>2084</v>
      </c>
      <c r="AL946" s="81" t="b">
        <v>0</v>
      </c>
      <c r="AM946" s="81">
        <v>24</v>
      </c>
      <c r="AN946" s="86" t="s">
        <v>1848</v>
      </c>
      <c r="AO946" s="86" t="s">
        <v>2178</v>
      </c>
      <c r="AP946" s="81" t="b">
        <v>0</v>
      </c>
      <c r="AQ946" s="86" t="s">
        <v>1848</v>
      </c>
      <c r="AR946" s="81" t="s">
        <v>179</v>
      </c>
      <c r="AS946" s="81">
        <v>0</v>
      </c>
      <c r="AT946" s="81">
        <v>0</v>
      </c>
      <c r="AU946" s="81"/>
      <c r="AV946" s="81"/>
      <c r="AW946" s="81"/>
      <c r="AX946" s="81"/>
      <c r="AY946" s="81"/>
      <c r="AZ946" s="81"/>
      <c r="BA946" s="81"/>
      <c r="BB946" s="81"/>
    </row>
    <row r="947" spans="1:54" x14ac:dyDescent="0.35">
      <c r="A947" s="66" t="s">
        <v>456</v>
      </c>
      <c r="B947" s="66" t="s">
        <v>648</v>
      </c>
      <c r="C947" s="67"/>
      <c r="D947" s="68"/>
      <c r="E947" s="69"/>
      <c r="F947" s="70"/>
      <c r="G947" s="67"/>
      <c r="H947" s="71"/>
      <c r="I947" s="72"/>
      <c r="J947" s="72"/>
      <c r="K947" s="36"/>
      <c r="L947" s="79"/>
      <c r="M947" s="79"/>
      <c r="N947" s="74"/>
      <c r="O947" s="81" t="s">
        <v>694</v>
      </c>
      <c r="P947" s="83">
        <v>44464.267002314817</v>
      </c>
      <c r="Q947" s="81" t="s">
        <v>802</v>
      </c>
      <c r="R947" s="81"/>
      <c r="S947" s="81"/>
      <c r="T947" s="86" t="s">
        <v>649</v>
      </c>
      <c r="U947" s="84" t="str">
        <f>HYPERLINK("https://pbs.twimg.com/media/FAEa_mFUYAcoKUu.jpg")</f>
        <v>https://pbs.twimg.com/media/FAEa_mFUYAcoKUu.jpg</v>
      </c>
      <c r="V947" s="84" t="str">
        <f>HYPERLINK("https://pbs.twimg.com/media/FAEa_mFUYAcoKUu.jpg")</f>
        <v>https://pbs.twimg.com/media/FAEa_mFUYAcoKUu.jpg</v>
      </c>
      <c r="W947" s="83">
        <v>44464.267002314817</v>
      </c>
      <c r="X947" s="89">
        <v>44464</v>
      </c>
      <c r="Y947" s="86" t="s">
        <v>1304</v>
      </c>
      <c r="Z947" s="84" t="str">
        <f>HYPERLINK("https://twitter.com/thenexteleanor/status/1441649790689820672")</f>
        <v>https://twitter.com/thenexteleanor/status/1441649790689820672</v>
      </c>
      <c r="AA947" s="81"/>
      <c r="AB947" s="81"/>
      <c r="AC947" s="86" t="s">
        <v>1799</v>
      </c>
      <c r="AD947" s="81"/>
      <c r="AE947" s="81" t="b">
        <v>0</v>
      </c>
      <c r="AF947" s="81">
        <v>0</v>
      </c>
      <c r="AG947" s="86" t="s">
        <v>2084</v>
      </c>
      <c r="AH947" s="81" t="b">
        <v>0</v>
      </c>
      <c r="AI947" s="81" t="s">
        <v>2168</v>
      </c>
      <c r="AJ947" s="81"/>
      <c r="AK947" s="86" t="s">
        <v>2084</v>
      </c>
      <c r="AL947" s="81" t="b">
        <v>0</v>
      </c>
      <c r="AM947" s="81">
        <v>24</v>
      </c>
      <c r="AN947" s="86" t="s">
        <v>1848</v>
      </c>
      <c r="AO947" s="86" t="s">
        <v>2178</v>
      </c>
      <c r="AP947" s="81" t="b">
        <v>0</v>
      </c>
      <c r="AQ947" s="86" t="s">
        <v>1848</v>
      </c>
      <c r="AR947" s="81" t="s">
        <v>179</v>
      </c>
      <c r="AS947" s="81">
        <v>0</v>
      </c>
      <c r="AT947" s="81">
        <v>0</v>
      </c>
      <c r="AU947" s="81"/>
      <c r="AV947" s="81"/>
      <c r="AW947" s="81"/>
      <c r="AX947" s="81"/>
      <c r="AY947" s="81"/>
      <c r="AZ947" s="81"/>
      <c r="BA947" s="81"/>
      <c r="BB947" s="81"/>
    </row>
    <row r="948" spans="1:54" x14ac:dyDescent="0.35">
      <c r="A948" s="66" t="s">
        <v>456</v>
      </c>
      <c r="B948" s="66" t="s">
        <v>649</v>
      </c>
      <c r="C948" s="67"/>
      <c r="D948" s="68"/>
      <c r="E948" s="69"/>
      <c r="F948" s="70"/>
      <c r="G948" s="67"/>
      <c r="H948" s="71"/>
      <c r="I948" s="72"/>
      <c r="J948" s="72"/>
      <c r="K948" s="36"/>
      <c r="L948" s="79"/>
      <c r="M948" s="79"/>
      <c r="N948" s="74"/>
      <c r="O948" s="81" t="s">
        <v>694</v>
      </c>
      <c r="P948" s="83">
        <v>44464.267002314817</v>
      </c>
      <c r="Q948" s="81" t="s">
        <v>802</v>
      </c>
      <c r="R948" s="81"/>
      <c r="S948" s="81"/>
      <c r="T948" s="86" t="s">
        <v>649</v>
      </c>
      <c r="U948" s="84" t="str">
        <f>HYPERLINK("https://pbs.twimg.com/media/FAEa_mFUYAcoKUu.jpg")</f>
        <v>https://pbs.twimg.com/media/FAEa_mFUYAcoKUu.jpg</v>
      </c>
      <c r="V948" s="84" t="str">
        <f>HYPERLINK("https://pbs.twimg.com/media/FAEa_mFUYAcoKUu.jpg")</f>
        <v>https://pbs.twimg.com/media/FAEa_mFUYAcoKUu.jpg</v>
      </c>
      <c r="W948" s="83">
        <v>44464.267002314817</v>
      </c>
      <c r="X948" s="89">
        <v>44464</v>
      </c>
      <c r="Y948" s="86" t="s">
        <v>1304</v>
      </c>
      <c r="Z948" s="84" t="str">
        <f>HYPERLINK("https://twitter.com/thenexteleanor/status/1441649790689820672")</f>
        <v>https://twitter.com/thenexteleanor/status/1441649790689820672</v>
      </c>
      <c r="AA948" s="81"/>
      <c r="AB948" s="81"/>
      <c r="AC948" s="86" t="s">
        <v>1799</v>
      </c>
      <c r="AD948" s="81"/>
      <c r="AE948" s="81" t="b">
        <v>0</v>
      </c>
      <c r="AF948" s="81">
        <v>0</v>
      </c>
      <c r="AG948" s="86" t="s">
        <v>2084</v>
      </c>
      <c r="AH948" s="81" t="b">
        <v>0</v>
      </c>
      <c r="AI948" s="81" t="s">
        <v>2168</v>
      </c>
      <c r="AJ948" s="81"/>
      <c r="AK948" s="86" t="s">
        <v>2084</v>
      </c>
      <c r="AL948" s="81" t="b">
        <v>0</v>
      </c>
      <c r="AM948" s="81">
        <v>24</v>
      </c>
      <c r="AN948" s="86" t="s">
        <v>1848</v>
      </c>
      <c r="AO948" s="86" t="s">
        <v>2178</v>
      </c>
      <c r="AP948" s="81" t="b">
        <v>0</v>
      </c>
      <c r="AQ948" s="86" t="s">
        <v>1848</v>
      </c>
      <c r="AR948" s="81" t="s">
        <v>179</v>
      </c>
      <c r="AS948" s="81">
        <v>0</v>
      </c>
      <c r="AT948" s="81">
        <v>0</v>
      </c>
      <c r="AU948" s="81"/>
      <c r="AV948" s="81"/>
      <c r="AW948" s="81"/>
      <c r="AX948" s="81"/>
      <c r="AY948" s="81"/>
      <c r="AZ948" s="81"/>
      <c r="BA948" s="81"/>
      <c r="BB948" s="81"/>
    </row>
    <row r="949" spans="1:54" x14ac:dyDescent="0.35">
      <c r="A949" s="66" t="s">
        <v>456</v>
      </c>
      <c r="B949" s="66" t="s">
        <v>496</v>
      </c>
      <c r="C949" s="67"/>
      <c r="D949" s="68"/>
      <c r="E949" s="69"/>
      <c r="F949" s="70"/>
      <c r="G949" s="67"/>
      <c r="H949" s="71"/>
      <c r="I949" s="72"/>
      <c r="J949" s="72"/>
      <c r="K949" s="36"/>
      <c r="L949" s="79"/>
      <c r="M949" s="79"/>
      <c r="N949" s="74"/>
      <c r="O949" s="81" t="s">
        <v>693</v>
      </c>
      <c r="P949" s="83">
        <v>44464.267002314817</v>
      </c>
      <c r="Q949" s="81" t="s">
        <v>802</v>
      </c>
      <c r="R949" s="81"/>
      <c r="S949" s="81"/>
      <c r="T949" s="86" t="s">
        <v>649</v>
      </c>
      <c r="U949" s="84" t="str">
        <f>HYPERLINK("https://pbs.twimg.com/media/FAEa_mFUYAcoKUu.jpg")</f>
        <v>https://pbs.twimg.com/media/FAEa_mFUYAcoKUu.jpg</v>
      </c>
      <c r="V949" s="84" t="str">
        <f>HYPERLINK("https://pbs.twimg.com/media/FAEa_mFUYAcoKUu.jpg")</f>
        <v>https://pbs.twimg.com/media/FAEa_mFUYAcoKUu.jpg</v>
      </c>
      <c r="W949" s="83">
        <v>44464.267002314817</v>
      </c>
      <c r="X949" s="89">
        <v>44464</v>
      </c>
      <c r="Y949" s="86" t="s">
        <v>1304</v>
      </c>
      <c r="Z949" s="84" t="str">
        <f>HYPERLINK("https://twitter.com/thenexteleanor/status/1441649790689820672")</f>
        <v>https://twitter.com/thenexteleanor/status/1441649790689820672</v>
      </c>
      <c r="AA949" s="81"/>
      <c r="AB949" s="81"/>
      <c r="AC949" s="86" t="s">
        <v>1799</v>
      </c>
      <c r="AD949" s="81"/>
      <c r="AE949" s="81" t="b">
        <v>0</v>
      </c>
      <c r="AF949" s="81">
        <v>0</v>
      </c>
      <c r="AG949" s="86" t="s">
        <v>2084</v>
      </c>
      <c r="AH949" s="81" t="b">
        <v>0</v>
      </c>
      <c r="AI949" s="81" t="s">
        <v>2168</v>
      </c>
      <c r="AJ949" s="81"/>
      <c r="AK949" s="86" t="s">
        <v>2084</v>
      </c>
      <c r="AL949" s="81" t="b">
        <v>0</v>
      </c>
      <c r="AM949" s="81">
        <v>24</v>
      </c>
      <c r="AN949" s="86" t="s">
        <v>1848</v>
      </c>
      <c r="AO949" s="86" t="s">
        <v>2178</v>
      </c>
      <c r="AP949" s="81" t="b">
        <v>0</v>
      </c>
      <c r="AQ949" s="86" t="s">
        <v>1848</v>
      </c>
      <c r="AR949" s="81" t="s">
        <v>179</v>
      </c>
      <c r="AS949" s="81">
        <v>0</v>
      </c>
      <c r="AT949" s="81">
        <v>0</v>
      </c>
      <c r="AU949" s="81"/>
      <c r="AV949" s="81"/>
      <c r="AW949" s="81"/>
      <c r="AX949" s="81"/>
      <c r="AY949" s="81"/>
      <c r="AZ949" s="81"/>
      <c r="BA949" s="81"/>
      <c r="BB949" s="81"/>
    </row>
    <row r="950" spans="1:54" x14ac:dyDescent="0.35">
      <c r="A950" s="66" t="s">
        <v>457</v>
      </c>
      <c r="B950" s="66" t="s">
        <v>646</v>
      </c>
      <c r="C950" s="67"/>
      <c r="D950" s="68"/>
      <c r="E950" s="69"/>
      <c r="F950" s="70"/>
      <c r="G950" s="67"/>
      <c r="H950" s="71"/>
      <c r="I950" s="72"/>
      <c r="J950" s="72"/>
      <c r="K950" s="36"/>
      <c r="L950" s="79"/>
      <c r="M950" s="79"/>
      <c r="N950" s="74"/>
      <c r="O950" s="81" t="s">
        <v>694</v>
      </c>
      <c r="P950" s="83">
        <v>44464.269375000003</v>
      </c>
      <c r="Q950" s="81" t="s">
        <v>804</v>
      </c>
      <c r="R950" s="81"/>
      <c r="S950" s="81"/>
      <c r="T950" s="86" t="s">
        <v>649</v>
      </c>
      <c r="U950" s="84" t="str">
        <f>HYPERLINK("https://pbs.twimg.com/media/FAEaAdPVgAgaH2z.jpg")</f>
        <v>https://pbs.twimg.com/media/FAEaAdPVgAgaH2z.jpg</v>
      </c>
      <c r="V950" s="84" t="str">
        <f>HYPERLINK("https://pbs.twimg.com/media/FAEaAdPVgAgaH2z.jpg")</f>
        <v>https://pbs.twimg.com/media/FAEaAdPVgAgaH2z.jpg</v>
      </c>
      <c r="W950" s="83">
        <v>44464.269375000003</v>
      </c>
      <c r="X950" s="89">
        <v>44464</v>
      </c>
      <c r="Y950" s="86" t="s">
        <v>1305</v>
      </c>
      <c r="Z950" s="84" t="str">
        <f>HYPERLINK("https://twitter.com/clwdygguk/status/1441650651784613904")</f>
        <v>https://twitter.com/clwdygguk/status/1441650651784613904</v>
      </c>
      <c r="AA950" s="81"/>
      <c r="AB950" s="81"/>
      <c r="AC950" s="86" t="s">
        <v>1800</v>
      </c>
      <c r="AD950" s="81"/>
      <c r="AE950" s="81" t="b">
        <v>0</v>
      </c>
      <c r="AF950" s="81">
        <v>0</v>
      </c>
      <c r="AG950" s="86" t="s">
        <v>2084</v>
      </c>
      <c r="AH950" s="81" t="b">
        <v>0</v>
      </c>
      <c r="AI950" s="81" t="s">
        <v>2168</v>
      </c>
      <c r="AJ950" s="81"/>
      <c r="AK950" s="86" t="s">
        <v>2084</v>
      </c>
      <c r="AL950" s="81" t="b">
        <v>0</v>
      </c>
      <c r="AM950" s="81">
        <v>22</v>
      </c>
      <c r="AN950" s="86" t="s">
        <v>1846</v>
      </c>
      <c r="AO950" s="86" t="s">
        <v>2179</v>
      </c>
      <c r="AP950" s="81" t="b">
        <v>0</v>
      </c>
      <c r="AQ950" s="86" t="s">
        <v>1846</v>
      </c>
      <c r="AR950" s="81" t="s">
        <v>179</v>
      </c>
      <c r="AS950" s="81">
        <v>0</v>
      </c>
      <c r="AT950" s="81">
        <v>0</v>
      </c>
      <c r="AU950" s="81"/>
      <c r="AV950" s="81"/>
      <c r="AW950" s="81"/>
      <c r="AX950" s="81"/>
      <c r="AY950" s="81"/>
      <c r="AZ950" s="81"/>
      <c r="BA950" s="81"/>
      <c r="BB950" s="81"/>
    </row>
    <row r="951" spans="1:54" x14ac:dyDescent="0.35">
      <c r="A951" s="66" t="s">
        <v>457</v>
      </c>
      <c r="B951" s="66" t="s">
        <v>647</v>
      </c>
      <c r="C951" s="67"/>
      <c r="D951" s="68"/>
      <c r="E951" s="69"/>
      <c r="F951" s="70"/>
      <c r="G951" s="67"/>
      <c r="H951" s="71"/>
      <c r="I951" s="72"/>
      <c r="J951" s="72"/>
      <c r="K951" s="36"/>
      <c r="L951" s="79"/>
      <c r="M951" s="79"/>
      <c r="N951" s="74"/>
      <c r="O951" s="81" t="s">
        <v>694</v>
      </c>
      <c r="P951" s="83">
        <v>44464.269375000003</v>
      </c>
      <c r="Q951" s="81" t="s">
        <v>804</v>
      </c>
      <c r="R951" s="81"/>
      <c r="S951" s="81"/>
      <c r="T951" s="86" t="s">
        <v>649</v>
      </c>
      <c r="U951" s="84" t="str">
        <f>HYPERLINK("https://pbs.twimg.com/media/FAEaAdPVgAgaH2z.jpg")</f>
        <v>https://pbs.twimg.com/media/FAEaAdPVgAgaH2z.jpg</v>
      </c>
      <c r="V951" s="84" t="str">
        <f>HYPERLINK("https://pbs.twimg.com/media/FAEaAdPVgAgaH2z.jpg")</f>
        <v>https://pbs.twimg.com/media/FAEaAdPVgAgaH2z.jpg</v>
      </c>
      <c r="W951" s="83">
        <v>44464.269375000003</v>
      </c>
      <c r="X951" s="89">
        <v>44464</v>
      </c>
      <c r="Y951" s="86" t="s">
        <v>1305</v>
      </c>
      <c r="Z951" s="84" t="str">
        <f>HYPERLINK("https://twitter.com/clwdygguk/status/1441650651784613904")</f>
        <v>https://twitter.com/clwdygguk/status/1441650651784613904</v>
      </c>
      <c r="AA951" s="81"/>
      <c r="AB951" s="81"/>
      <c r="AC951" s="86" t="s">
        <v>1800</v>
      </c>
      <c r="AD951" s="81"/>
      <c r="AE951" s="81" t="b">
        <v>0</v>
      </c>
      <c r="AF951" s="81">
        <v>0</v>
      </c>
      <c r="AG951" s="86" t="s">
        <v>2084</v>
      </c>
      <c r="AH951" s="81" t="b">
        <v>0</v>
      </c>
      <c r="AI951" s="81" t="s">
        <v>2168</v>
      </c>
      <c r="AJ951" s="81"/>
      <c r="AK951" s="86" t="s">
        <v>2084</v>
      </c>
      <c r="AL951" s="81" t="b">
        <v>0</v>
      </c>
      <c r="AM951" s="81">
        <v>22</v>
      </c>
      <c r="AN951" s="86" t="s">
        <v>1846</v>
      </c>
      <c r="AO951" s="86" t="s">
        <v>2179</v>
      </c>
      <c r="AP951" s="81" t="b">
        <v>0</v>
      </c>
      <c r="AQ951" s="86" t="s">
        <v>1846</v>
      </c>
      <c r="AR951" s="81" t="s">
        <v>179</v>
      </c>
      <c r="AS951" s="81">
        <v>0</v>
      </c>
      <c r="AT951" s="81">
        <v>0</v>
      </c>
      <c r="AU951" s="81"/>
      <c r="AV951" s="81"/>
      <c r="AW951" s="81"/>
      <c r="AX951" s="81"/>
      <c r="AY951" s="81"/>
      <c r="AZ951" s="81"/>
      <c r="BA951" s="81"/>
      <c r="BB951" s="81"/>
    </row>
    <row r="952" spans="1:54" x14ac:dyDescent="0.35">
      <c r="A952" s="66" t="s">
        <v>457</v>
      </c>
      <c r="B952" s="66" t="s">
        <v>648</v>
      </c>
      <c r="C952" s="67"/>
      <c r="D952" s="68"/>
      <c r="E952" s="69"/>
      <c r="F952" s="70"/>
      <c r="G952" s="67"/>
      <c r="H952" s="71"/>
      <c r="I952" s="72"/>
      <c r="J952" s="72"/>
      <c r="K952" s="36"/>
      <c r="L952" s="79"/>
      <c r="M952" s="79"/>
      <c r="N952" s="74"/>
      <c r="O952" s="81" t="s">
        <v>694</v>
      </c>
      <c r="P952" s="83">
        <v>44464.269375000003</v>
      </c>
      <c r="Q952" s="81" t="s">
        <v>804</v>
      </c>
      <c r="R952" s="81"/>
      <c r="S952" s="81"/>
      <c r="T952" s="86" t="s">
        <v>649</v>
      </c>
      <c r="U952" s="84" t="str">
        <f>HYPERLINK("https://pbs.twimg.com/media/FAEaAdPVgAgaH2z.jpg")</f>
        <v>https://pbs.twimg.com/media/FAEaAdPVgAgaH2z.jpg</v>
      </c>
      <c r="V952" s="84" t="str">
        <f>HYPERLINK("https://pbs.twimg.com/media/FAEaAdPVgAgaH2z.jpg")</f>
        <v>https://pbs.twimg.com/media/FAEaAdPVgAgaH2z.jpg</v>
      </c>
      <c r="W952" s="83">
        <v>44464.269375000003</v>
      </c>
      <c r="X952" s="89">
        <v>44464</v>
      </c>
      <c r="Y952" s="86" t="s">
        <v>1305</v>
      </c>
      <c r="Z952" s="84" t="str">
        <f>HYPERLINK("https://twitter.com/clwdygguk/status/1441650651784613904")</f>
        <v>https://twitter.com/clwdygguk/status/1441650651784613904</v>
      </c>
      <c r="AA952" s="81"/>
      <c r="AB952" s="81"/>
      <c r="AC952" s="86" t="s">
        <v>1800</v>
      </c>
      <c r="AD952" s="81"/>
      <c r="AE952" s="81" t="b">
        <v>0</v>
      </c>
      <c r="AF952" s="81">
        <v>0</v>
      </c>
      <c r="AG952" s="86" t="s">
        <v>2084</v>
      </c>
      <c r="AH952" s="81" t="b">
        <v>0</v>
      </c>
      <c r="AI952" s="81" t="s">
        <v>2168</v>
      </c>
      <c r="AJ952" s="81"/>
      <c r="AK952" s="86" t="s">
        <v>2084</v>
      </c>
      <c r="AL952" s="81" t="b">
        <v>0</v>
      </c>
      <c r="AM952" s="81">
        <v>22</v>
      </c>
      <c r="AN952" s="86" t="s">
        <v>1846</v>
      </c>
      <c r="AO952" s="86" t="s">
        <v>2179</v>
      </c>
      <c r="AP952" s="81" t="b">
        <v>0</v>
      </c>
      <c r="AQ952" s="86" t="s">
        <v>1846</v>
      </c>
      <c r="AR952" s="81" t="s">
        <v>179</v>
      </c>
      <c r="AS952" s="81">
        <v>0</v>
      </c>
      <c r="AT952" s="81">
        <v>0</v>
      </c>
      <c r="AU952" s="81"/>
      <c r="AV952" s="81"/>
      <c r="AW952" s="81"/>
      <c r="AX952" s="81"/>
      <c r="AY952" s="81"/>
      <c r="AZ952" s="81"/>
      <c r="BA952" s="81"/>
      <c r="BB952" s="81"/>
    </row>
    <row r="953" spans="1:54" x14ac:dyDescent="0.35">
      <c r="A953" s="66" t="s">
        <v>457</v>
      </c>
      <c r="B953" s="66" t="s">
        <v>649</v>
      </c>
      <c r="C953" s="67"/>
      <c r="D953" s="68"/>
      <c r="E953" s="69"/>
      <c r="F953" s="70"/>
      <c r="G953" s="67"/>
      <c r="H953" s="71"/>
      <c r="I953" s="72"/>
      <c r="J953" s="72"/>
      <c r="K953" s="36"/>
      <c r="L953" s="79"/>
      <c r="M953" s="79"/>
      <c r="N953" s="74"/>
      <c r="O953" s="81" t="s">
        <v>694</v>
      </c>
      <c r="P953" s="83">
        <v>44464.269375000003</v>
      </c>
      <c r="Q953" s="81" t="s">
        <v>804</v>
      </c>
      <c r="R953" s="81"/>
      <c r="S953" s="81"/>
      <c r="T953" s="86" t="s">
        <v>649</v>
      </c>
      <c r="U953" s="84" t="str">
        <f>HYPERLINK("https://pbs.twimg.com/media/FAEaAdPVgAgaH2z.jpg")</f>
        <v>https://pbs.twimg.com/media/FAEaAdPVgAgaH2z.jpg</v>
      </c>
      <c r="V953" s="84" t="str">
        <f>HYPERLINK("https://pbs.twimg.com/media/FAEaAdPVgAgaH2z.jpg")</f>
        <v>https://pbs.twimg.com/media/FAEaAdPVgAgaH2z.jpg</v>
      </c>
      <c r="W953" s="83">
        <v>44464.269375000003</v>
      </c>
      <c r="X953" s="89">
        <v>44464</v>
      </c>
      <c r="Y953" s="86" t="s">
        <v>1305</v>
      </c>
      <c r="Z953" s="84" t="str">
        <f>HYPERLINK("https://twitter.com/clwdygguk/status/1441650651784613904")</f>
        <v>https://twitter.com/clwdygguk/status/1441650651784613904</v>
      </c>
      <c r="AA953" s="81"/>
      <c r="AB953" s="81"/>
      <c r="AC953" s="86" t="s">
        <v>1800</v>
      </c>
      <c r="AD953" s="81"/>
      <c r="AE953" s="81" t="b">
        <v>0</v>
      </c>
      <c r="AF953" s="81">
        <v>0</v>
      </c>
      <c r="AG953" s="86" t="s">
        <v>2084</v>
      </c>
      <c r="AH953" s="81" t="b">
        <v>0</v>
      </c>
      <c r="AI953" s="81" t="s">
        <v>2168</v>
      </c>
      <c r="AJ953" s="81"/>
      <c r="AK953" s="86" t="s">
        <v>2084</v>
      </c>
      <c r="AL953" s="81" t="b">
        <v>0</v>
      </c>
      <c r="AM953" s="81">
        <v>22</v>
      </c>
      <c r="AN953" s="86" t="s">
        <v>1846</v>
      </c>
      <c r="AO953" s="86" t="s">
        <v>2179</v>
      </c>
      <c r="AP953" s="81" t="b">
        <v>0</v>
      </c>
      <c r="AQ953" s="86" t="s">
        <v>1846</v>
      </c>
      <c r="AR953" s="81" t="s">
        <v>179</v>
      </c>
      <c r="AS953" s="81">
        <v>0</v>
      </c>
      <c r="AT953" s="81">
        <v>0</v>
      </c>
      <c r="AU953" s="81"/>
      <c r="AV953" s="81"/>
      <c r="AW953" s="81"/>
      <c r="AX953" s="81"/>
      <c r="AY953" s="81"/>
      <c r="AZ953" s="81"/>
      <c r="BA953" s="81"/>
      <c r="BB953" s="81"/>
    </row>
    <row r="954" spans="1:54" x14ac:dyDescent="0.35">
      <c r="A954" s="66" t="s">
        <v>457</v>
      </c>
      <c r="B954" s="66" t="s">
        <v>496</v>
      </c>
      <c r="C954" s="67"/>
      <c r="D954" s="68"/>
      <c r="E954" s="69"/>
      <c r="F954" s="70"/>
      <c r="G954" s="67"/>
      <c r="H954" s="71"/>
      <c r="I954" s="72"/>
      <c r="J954" s="72"/>
      <c r="K954" s="36"/>
      <c r="L954" s="79"/>
      <c r="M954" s="79"/>
      <c r="N954" s="74"/>
      <c r="O954" s="81" t="s">
        <v>693</v>
      </c>
      <c r="P954" s="83">
        <v>44464.269375000003</v>
      </c>
      <c r="Q954" s="81" t="s">
        <v>804</v>
      </c>
      <c r="R954" s="81"/>
      <c r="S954" s="81"/>
      <c r="T954" s="86" t="s">
        <v>649</v>
      </c>
      <c r="U954" s="84" t="str">
        <f>HYPERLINK("https://pbs.twimg.com/media/FAEaAdPVgAgaH2z.jpg")</f>
        <v>https://pbs.twimg.com/media/FAEaAdPVgAgaH2z.jpg</v>
      </c>
      <c r="V954" s="84" t="str">
        <f>HYPERLINK("https://pbs.twimg.com/media/FAEaAdPVgAgaH2z.jpg")</f>
        <v>https://pbs.twimg.com/media/FAEaAdPVgAgaH2z.jpg</v>
      </c>
      <c r="W954" s="83">
        <v>44464.269375000003</v>
      </c>
      <c r="X954" s="89">
        <v>44464</v>
      </c>
      <c r="Y954" s="86" t="s">
        <v>1305</v>
      </c>
      <c r="Z954" s="84" t="str">
        <f>HYPERLINK("https://twitter.com/clwdygguk/status/1441650651784613904")</f>
        <v>https://twitter.com/clwdygguk/status/1441650651784613904</v>
      </c>
      <c r="AA954" s="81"/>
      <c r="AB954" s="81"/>
      <c r="AC954" s="86" t="s">
        <v>1800</v>
      </c>
      <c r="AD954" s="81"/>
      <c r="AE954" s="81" t="b">
        <v>0</v>
      </c>
      <c r="AF954" s="81">
        <v>0</v>
      </c>
      <c r="AG954" s="86" t="s">
        <v>2084</v>
      </c>
      <c r="AH954" s="81" t="b">
        <v>0</v>
      </c>
      <c r="AI954" s="81" t="s">
        <v>2168</v>
      </c>
      <c r="AJ954" s="81"/>
      <c r="AK954" s="86" t="s">
        <v>2084</v>
      </c>
      <c r="AL954" s="81" t="b">
        <v>0</v>
      </c>
      <c r="AM954" s="81">
        <v>22</v>
      </c>
      <c r="AN954" s="86" t="s">
        <v>1846</v>
      </c>
      <c r="AO954" s="86" t="s">
        <v>2179</v>
      </c>
      <c r="AP954" s="81" t="b">
        <v>0</v>
      </c>
      <c r="AQ954" s="86" t="s">
        <v>1846</v>
      </c>
      <c r="AR954" s="81" t="s">
        <v>179</v>
      </c>
      <c r="AS954" s="81">
        <v>0</v>
      </c>
      <c r="AT954" s="81">
        <v>0</v>
      </c>
      <c r="AU954" s="81"/>
      <c r="AV954" s="81"/>
      <c r="AW954" s="81"/>
      <c r="AX954" s="81"/>
      <c r="AY954" s="81"/>
      <c r="AZ954" s="81"/>
      <c r="BA954" s="81"/>
      <c r="BB954" s="81"/>
    </row>
    <row r="955" spans="1:54" x14ac:dyDescent="0.35">
      <c r="A955" s="66" t="s">
        <v>458</v>
      </c>
      <c r="B955" s="66" t="s">
        <v>458</v>
      </c>
      <c r="C955" s="67"/>
      <c r="D955" s="68"/>
      <c r="E955" s="69"/>
      <c r="F955" s="70"/>
      <c r="G955" s="67"/>
      <c r="H955" s="71"/>
      <c r="I955" s="72"/>
      <c r="J955" s="72"/>
      <c r="K955" s="36"/>
      <c r="L955" s="79"/>
      <c r="M955" s="79"/>
      <c r="N955" s="74"/>
      <c r="O955" s="81" t="s">
        <v>179</v>
      </c>
      <c r="P955" s="83">
        <v>44464.276574074072</v>
      </c>
      <c r="Q955" s="81" t="s">
        <v>809</v>
      </c>
      <c r="R955" s="84" t="str">
        <f>HYPERLINK("https://twitter.com/Shahirahzai/status/1441393093085777922")</f>
        <v>https://twitter.com/Shahirahzai/status/1441393093085777922</v>
      </c>
      <c r="S955" s="81" t="s">
        <v>936</v>
      </c>
      <c r="T955" s="81"/>
      <c r="U955" s="81"/>
      <c r="V955" s="84" t="str">
        <f>HYPERLINK("https://pbs.twimg.com/profile_images/1423142938981199883/Bad33EOa_normal.jpg")</f>
        <v>https://pbs.twimg.com/profile_images/1423142938981199883/Bad33EOa_normal.jpg</v>
      </c>
      <c r="W955" s="83">
        <v>44464.276574074072</v>
      </c>
      <c r="X955" s="89">
        <v>44464</v>
      </c>
      <c r="Y955" s="86" t="s">
        <v>1306</v>
      </c>
      <c r="Z955" s="84" t="str">
        <f>HYPERLINK("https://twitter.com/yuuusshi/status/1441653258955595780")</f>
        <v>https://twitter.com/yuuusshi/status/1441653258955595780</v>
      </c>
      <c r="AA955" s="81"/>
      <c r="AB955" s="81"/>
      <c r="AC955" s="86" t="s">
        <v>1801</v>
      </c>
      <c r="AD955" s="81"/>
      <c r="AE955" s="81" t="b">
        <v>0</v>
      </c>
      <c r="AF955" s="81">
        <v>0</v>
      </c>
      <c r="AG955" s="86" t="s">
        <v>2084</v>
      </c>
      <c r="AH955" s="81" t="b">
        <v>1</v>
      </c>
      <c r="AI955" s="81" t="s">
        <v>2167</v>
      </c>
      <c r="AJ955" s="81"/>
      <c r="AK955" s="86" t="s">
        <v>2177</v>
      </c>
      <c r="AL955" s="81" t="b">
        <v>0</v>
      </c>
      <c r="AM955" s="81">
        <v>0</v>
      </c>
      <c r="AN955" s="86" t="s">
        <v>2084</v>
      </c>
      <c r="AO955" s="86" t="s">
        <v>2178</v>
      </c>
      <c r="AP955" s="81" t="b">
        <v>0</v>
      </c>
      <c r="AQ955" s="86" t="s">
        <v>1801</v>
      </c>
      <c r="AR955" s="81" t="s">
        <v>179</v>
      </c>
      <c r="AS955" s="81">
        <v>0</v>
      </c>
      <c r="AT955" s="81">
        <v>0</v>
      </c>
      <c r="AU955" s="81"/>
      <c r="AV955" s="81"/>
      <c r="AW955" s="81"/>
      <c r="AX955" s="81"/>
      <c r="AY955" s="81"/>
      <c r="AZ955" s="81"/>
      <c r="BA955" s="81"/>
      <c r="BB955" s="81"/>
    </row>
    <row r="956" spans="1:54" x14ac:dyDescent="0.35">
      <c r="A956" s="66" t="s">
        <v>459</v>
      </c>
      <c r="B956" s="66" t="s">
        <v>646</v>
      </c>
      <c r="C956" s="67"/>
      <c r="D956" s="68"/>
      <c r="E956" s="69"/>
      <c r="F956" s="70"/>
      <c r="G956" s="67"/>
      <c r="H956" s="71"/>
      <c r="I956" s="72"/>
      <c r="J956" s="72"/>
      <c r="K956" s="36"/>
      <c r="L956" s="79"/>
      <c r="M956" s="79"/>
      <c r="N956" s="74"/>
      <c r="O956" s="81" t="s">
        <v>694</v>
      </c>
      <c r="P956" s="83">
        <v>44463.764317129629</v>
      </c>
      <c r="Q956" s="81" t="s">
        <v>804</v>
      </c>
      <c r="R956" s="81"/>
      <c r="S956" s="81"/>
      <c r="T956" s="86" t="s">
        <v>649</v>
      </c>
      <c r="U956" s="84" t="str">
        <f>HYPERLINK("https://pbs.twimg.com/media/FAEaAdPVgAgaH2z.jpg")</f>
        <v>https://pbs.twimg.com/media/FAEaAdPVgAgaH2z.jpg</v>
      </c>
      <c r="V956" s="84" t="str">
        <f>HYPERLINK("https://pbs.twimg.com/media/FAEaAdPVgAgaH2z.jpg")</f>
        <v>https://pbs.twimg.com/media/FAEaAdPVgAgaH2z.jpg</v>
      </c>
      <c r="W956" s="83">
        <v>44463.764317129629</v>
      </c>
      <c r="X956" s="89">
        <v>44463</v>
      </c>
      <c r="Y956" s="86" t="s">
        <v>1307</v>
      </c>
      <c r="Z956" s="84" t="str">
        <f>HYPERLINK("https://twitter.com/dinaacooky/status/1441467624718618627")</f>
        <v>https://twitter.com/dinaacooky/status/1441467624718618627</v>
      </c>
      <c r="AA956" s="81"/>
      <c r="AB956" s="81"/>
      <c r="AC956" s="86" t="s">
        <v>1802</v>
      </c>
      <c r="AD956" s="81"/>
      <c r="AE956" s="81" t="b">
        <v>0</v>
      </c>
      <c r="AF956" s="81">
        <v>0</v>
      </c>
      <c r="AG956" s="86" t="s">
        <v>2084</v>
      </c>
      <c r="AH956" s="81" t="b">
        <v>0</v>
      </c>
      <c r="AI956" s="81" t="s">
        <v>2168</v>
      </c>
      <c r="AJ956" s="81"/>
      <c r="AK956" s="86" t="s">
        <v>2084</v>
      </c>
      <c r="AL956" s="81" t="b">
        <v>0</v>
      </c>
      <c r="AM956" s="81">
        <v>22</v>
      </c>
      <c r="AN956" s="86" t="s">
        <v>1846</v>
      </c>
      <c r="AO956" s="86" t="s">
        <v>2179</v>
      </c>
      <c r="AP956" s="81" t="b">
        <v>0</v>
      </c>
      <c r="AQ956" s="86" t="s">
        <v>1846</v>
      </c>
      <c r="AR956" s="81" t="s">
        <v>179</v>
      </c>
      <c r="AS956" s="81">
        <v>0</v>
      </c>
      <c r="AT956" s="81">
        <v>0</v>
      </c>
      <c r="AU956" s="81"/>
      <c r="AV956" s="81"/>
      <c r="AW956" s="81"/>
      <c r="AX956" s="81"/>
      <c r="AY956" s="81"/>
      <c r="AZ956" s="81"/>
      <c r="BA956" s="81"/>
      <c r="BB956" s="81"/>
    </row>
    <row r="957" spans="1:54" x14ac:dyDescent="0.35">
      <c r="A957" s="66" t="s">
        <v>459</v>
      </c>
      <c r="B957" s="66" t="s">
        <v>647</v>
      </c>
      <c r="C957" s="67"/>
      <c r="D957" s="68"/>
      <c r="E957" s="69"/>
      <c r="F957" s="70"/>
      <c r="G957" s="67"/>
      <c r="H957" s="71"/>
      <c r="I957" s="72"/>
      <c r="J957" s="72"/>
      <c r="K957" s="36"/>
      <c r="L957" s="79"/>
      <c r="M957" s="79"/>
      <c r="N957" s="74"/>
      <c r="O957" s="81" t="s">
        <v>694</v>
      </c>
      <c r="P957" s="83">
        <v>44463.764317129629</v>
      </c>
      <c r="Q957" s="81" t="s">
        <v>804</v>
      </c>
      <c r="R957" s="81"/>
      <c r="S957" s="81"/>
      <c r="T957" s="86" t="s">
        <v>649</v>
      </c>
      <c r="U957" s="84" t="str">
        <f>HYPERLINK("https://pbs.twimg.com/media/FAEaAdPVgAgaH2z.jpg")</f>
        <v>https://pbs.twimg.com/media/FAEaAdPVgAgaH2z.jpg</v>
      </c>
      <c r="V957" s="84" t="str">
        <f>HYPERLINK("https://pbs.twimg.com/media/FAEaAdPVgAgaH2z.jpg")</f>
        <v>https://pbs.twimg.com/media/FAEaAdPVgAgaH2z.jpg</v>
      </c>
      <c r="W957" s="83">
        <v>44463.764317129629</v>
      </c>
      <c r="X957" s="89">
        <v>44463</v>
      </c>
      <c r="Y957" s="86" t="s">
        <v>1307</v>
      </c>
      <c r="Z957" s="84" t="str">
        <f>HYPERLINK("https://twitter.com/dinaacooky/status/1441467624718618627")</f>
        <v>https://twitter.com/dinaacooky/status/1441467624718618627</v>
      </c>
      <c r="AA957" s="81"/>
      <c r="AB957" s="81"/>
      <c r="AC957" s="86" t="s">
        <v>1802</v>
      </c>
      <c r="AD957" s="81"/>
      <c r="AE957" s="81" t="b">
        <v>0</v>
      </c>
      <c r="AF957" s="81">
        <v>0</v>
      </c>
      <c r="AG957" s="86" t="s">
        <v>2084</v>
      </c>
      <c r="AH957" s="81" t="b">
        <v>0</v>
      </c>
      <c r="AI957" s="81" t="s">
        <v>2168</v>
      </c>
      <c r="AJ957" s="81"/>
      <c r="AK957" s="86" t="s">
        <v>2084</v>
      </c>
      <c r="AL957" s="81" t="b">
        <v>0</v>
      </c>
      <c r="AM957" s="81">
        <v>22</v>
      </c>
      <c r="AN957" s="86" t="s">
        <v>1846</v>
      </c>
      <c r="AO957" s="86" t="s">
        <v>2179</v>
      </c>
      <c r="AP957" s="81" t="b">
        <v>0</v>
      </c>
      <c r="AQ957" s="86" t="s">
        <v>1846</v>
      </c>
      <c r="AR957" s="81" t="s">
        <v>179</v>
      </c>
      <c r="AS957" s="81">
        <v>0</v>
      </c>
      <c r="AT957" s="81">
        <v>0</v>
      </c>
      <c r="AU957" s="81"/>
      <c r="AV957" s="81"/>
      <c r="AW957" s="81"/>
      <c r="AX957" s="81"/>
      <c r="AY957" s="81"/>
      <c r="AZ957" s="81"/>
      <c r="BA957" s="81"/>
      <c r="BB957" s="81"/>
    </row>
    <row r="958" spans="1:54" x14ac:dyDescent="0.35">
      <c r="A958" s="66" t="s">
        <v>459</v>
      </c>
      <c r="B958" s="66" t="s">
        <v>648</v>
      </c>
      <c r="C958" s="67"/>
      <c r="D958" s="68"/>
      <c r="E958" s="69"/>
      <c r="F958" s="70"/>
      <c r="G958" s="67"/>
      <c r="H958" s="71"/>
      <c r="I958" s="72"/>
      <c r="J958" s="72"/>
      <c r="K958" s="36"/>
      <c r="L958" s="79"/>
      <c r="M958" s="79"/>
      <c r="N958" s="74"/>
      <c r="O958" s="81" t="s">
        <v>694</v>
      </c>
      <c r="P958" s="83">
        <v>44463.764317129629</v>
      </c>
      <c r="Q958" s="81" t="s">
        <v>804</v>
      </c>
      <c r="R958" s="81"/>
      <c r="S958" s="81"/>
      <c r="T958" s="86" t="s">
        <v>649</v>
      </c>
      <c r="U958" s="84" t="str">
        <f>HYPERLINK("https://pbs.twimg.com/media/FAEaAdPVgAgaH2z.jpg")</f>
        <v>https://pbs.twimg.com/media/FAEaAdPVgAgaH2z.jpg</v>
      </c>
      <c r="V958" s="84" t="str">
        <f>HYPERLINK("https://pbs.twimg.com/media/FAEaAdPVgAgaH2z.jpg")</f>
        <v>https://pbs.twimg.com/media/FAEaAdPVgAgaH2z.jpg</v>
      </c>
      <c r="W958" s="83">
        <v>44463.764317129629</v>
      </c>
      <c r="X958" s="89">
        <v>44463</v>
      </c>
      <c r="Y958" s="86" t="s">
        <v>1307</v>
      </c>
      <c r="Z958" s="84" t="str">
        <f>HYPERLINK("https://twitter.com/dinaacooky/status/1441467624718618627")</f>
        <v>https://twitter.com/dinaacooky/status/1441467624718618627</v>
      </c>
      <c r="AA958" s="81"/>
      <c r="AB958" s="81"/>
      <c r="AC958" s="86" t="s">
        <v>1802</v>
      </c>
      <c r="AD958" s="81"/>
      <c r="AE958" s="81" t="b">
        <v>0</v>
      </c>
      <c r="AF958" s="81">
        <v>0</v>
      </c>
      <c r="AG958" s="86" t="s">
        <v>2084</v>
      </c>
      <c r="AH958" s="81" t="b">
        <v>0</v>
      </c>
      <c r="AI958" s="81" t="s">
        <v>2168</v>
      </c>
      <c r="AJ958" s="81"/>
      <c r="AK958" s="86" t="s">
        <v>2084</v>
      </c>
      <c r="AL958" s="81" t="b">
        <v>0</v>
      </c>
      <c r="AM958" s="81">
        <v>22</v>
      </c>
      <c r="AN958" s="86" t="s">
        <v>1846</v>
      </c>
      <c r="AO958" s="86" t="s">
        <v>2179</v>
      </c>
      <c r="AP958" s="81" t="b">
        <v>0</v>
      </c>
      <c r="AQ958" s="86" t="s">
        <v>1846</v>
      </c>
      <c r="AR958" s="81" t="s">
        <v>179</v>
      </c>
      <c r="AS958" s="81">
        <v>0</v>
      </c>
      <c r="AT958" s="81">
        <v>0</v>
      </c>
      <c r="AU958" s="81"/>
      <c r="AV958" s="81"/>
      <c r="AW958" s="81"/>
      <c r="AX958" s="81"/>
      <c r="AY958" s="81"/>
      <c r="AZ958" s="81"/>
      <c r="BA958" s="81"/>
      <c r="BB958" s="81"/>
    </row>
    <row r="959" spans="1:54" x14ac:dyDescent="0.35">
      <c r="A959" s="66" t="s">
        <v>459</v>
      </c>
      <c r="B959" s="66" t="s">
        <v>649</v>
      </c>
      <c r="C959" s="67"/>
      <c r="D959" s="68"/>
      <c r="E959" s="69"/>
      <c r="F959" s="70"/>
      <c r="G959" s="67"/>
      <c r="H959" s="71"/>
      <c r="I959" s="72"/>
      <c r="J959" s="72"/>
      <c r="K959" s="36"/>
      <c r="L959" s="79"/>
      <c r="M959" s="79"/>
      <c r="N959" s="74"/>
      <c r="O959" s="81" t="s">
        <v>694</v>
      </c>
      <c r="P959" s="83">
        <v>44463.764317129629</v>
      </c>
      <c r="Q959" s="81" t="s">
        <v>804</v>
      </c>
      <c r="R959" s="81"/>
      <c r="S959" s="81"/>
      <c r="T959" s="86" t="s">
        <v>649</v>
      </c>
      <c r="U959" s="84" t="str">
        <f>HYPERLINK("https://pbs.twimg.com/media/FAEaAdPVgAgaH2z.jpg")</f>
        <v>https://pbs.twimg.com/media/FAEaAdPVgAgaH2z.jpg</v>
      </c>
      <c r="V959" s="84" t="str">
        <f>HYPERLINK("https://pbs.twimg.com/media/FAEaAdPVgAgaH2z.jpg")</f>
        <v>https://pbs.twimg.com/media/FAEaAdPVgAgaH2z.jpg</v>
      </c>
      <c r="W959" s="83">
        <v>44463.764317129629</v>
      </c>
      <c r="X959" s="89">
        <v>44463</v>
      </c>
      <c r="Y959" s="86" t="s">
        <v>1307</v>
      </c>
      <c r="Z959" s="84" t="str">
        <f>HYPERLINK("https://twitter.com/dinaacooky/status/1441467624718618627")</f>
        <v>https://twitter.com/dinaacooky/status/1441467624718618627</v>
      </c>
      <c r="AA959" s="81"/>
      <c r="AB959" s="81"/>
      <c r="AC959" s="86" t="s">
        <v>1802</v>
      </c>
      <c r="AD959" s="81"/>
      <c r="AE959" s="81" t="b">
        <v>0</v>
      </c>
      <c r="AF959" s="81">
        <v>0</v>
      </c>
      <c r="AG959" s="86" t="s">
        <v>2084</v>
      </c>
      <c r="AH959" s="81" t="b">
        <v>0</v>
      </c>
      <c r="AI959" s="81" t="s">
        <v>2168</v>
      </c>
      <c r="AJ959" s="81"/>
      <c r="AK959" s="86" t="s">
        <v>2084</v>
      </c>
      <c r="AL959" s="81" t="b">
        <v>0</v>
      </c>
      <c r="AM959" s="81">
        <v>22</v>
      </c>
      <c r="AN959" s="86" t="s">
        <v>1846</v>
      </c>
      <c r="AO959" s="86" t="s">
        <v>2179</v>
      </c>
      <c r="AP959" s="81" t="b">
        <v>0</v>
      </c>
      <c r="AQ959" s="86" t="s">
        <v>1846</v>
      </c>
      <c r="AR959" s="81" t="s">
        <v>179</v>
      </c>
      <c r="AS959" s="81">
        <v>0</v>
      </c>
      <c r="AT959" s="81">
        <v>0</v>
      </c>
      <c r="AU959" s="81"/>
      <c r="AV959" s="81"/>
      <c r="AW959" s="81"/>
      <c r="AX959" s="81"/>
      <c r="AY959" s="81"/>
      <c r="AZ959" s="81"/>
      <c r="BA959" s="81"/>
      <c r="BB959" s="81"/>
    </row>
    <row r="960" spans="1:54" x14ac:dyDescent="0.35">
      <c r="A960" s="66" t="s">
        <v>459</v>
      </c>
      <c r="B960" s="66" t="s">
        <v>496</v>
      </c>
      <c r="C960" s="67"/>
      <c r="D960" s="68"/>
      <c r="E960" s="69"/>
      <c r="F960" s="70"/>
      <c r="G960" s="67"/>
      <c r="H960" s="71"/>
      <c r="I960" s="72"/>
      <c r="J960" s="72"/>
      <c r="K960" s="36"/>
      <c r="L960" s="79"/>
      <c r="M960" s="79"/>
      <c r="N960" s="74"/>
      <c r="O960" s="81" t="s">
        <v>693</v>
      </c>
      <c r="P960" s="83">
        <v>44463.764317129629</v>
      </c>
      <c r="Q960" s="81" t="s">
        <v>804</v>
      </c>
      <c r="R960" s="81"/>
      <c r="S960" s="81"/>
      <c r="T960" s="86" t="s">
        <v>649</v>
      </c>
      <c r="U960" s="84" t="str">
        <f>HYPERLINK("https://pbs.twimg.com/media/FAEaAdPVgAgaH2z.jpg")</f>
        <v>https://pbs.twimg.com/media/FAEaAdPVgAgaH2z.jpg</v>
      </c>
      <c r="V960" s="84" t="str">
        <f>HYPERLINK("https://pbs.twimg.com/media/FAEaAdPVgAgaH2z.jpg")</f>
        <v>https://pbs.twimg.com/media/FAEaAdPVgAgaH2z.jpg</v>
      </c>
      <c r="W960" s="83">
        <v>44463.764317129629</v>
      </c>
      <c r="X960" s="89">
        <v>44463</v>
      </c>
      <c r="Y960" s="86" t="s">
        <v>1307</v>
      </c>
      <c r="Z960" s="84" t="str">
        <f>HYPERLINK("https://twitter.com/dinaacooky/status/1441467624718618627")</f>
        <v>https://twitter.com/dinaacooky/status/1441467624718618627</v>
      </c>
      <c r="AA960" s="81"/>
      <c r="AB960" s="81"/>
      <c r="AC960" s="86" t="s">
        <v>1802</v>
      </c>
      <c r="AD960" s="81"/>
      <c r="AE960" s="81" t="b">
        <v>0</v>
      </c>
      <c r="AF960" s="81">
        <v>0</v>
      </c>
      <c r="AG960" s="86" t="s">
        <v>2084</v>
      </c>
      <c r="AH960" s="81" t="b">
        <v>0</v>
      </c>
      <c r="AI960" s="81" t="s">
        <v>2168</v>
      </c>
      <c r="AJ960" s="81"/>
      <c r="AK960" s="86" t="s">
        <v>2084</v>
      </c>
      <c r="AL960" s="81" t="b">
        <v>0</v>
      </c>
      <c r="AM960" s="81">
        <v>22</v>
      </c>
      <c r="AN960" s="86" t="s">
        <v>1846</v>
      </c>
      <c r="AO960" s="86" t="s">
        <v>2179</v>
      </c>
      <c r="AP960" s="81" t="b">
        <v>0</v>
      </c>
      <c r="AQ960" s="86" t="s">
        <v>1846</v>
      </c>
      <c r="AR960" s="81" t="s">
        <v>179</v>
      </c>
      <c r="AS960" s="81">
        <v>0</v>
      </c>
      <c r="AT960" s="81">
        <v>0</v>
      </c>
      <c r="AU960" s="81"/>
      <c r="AV960" s="81"/>
      <c r="AW960" s="81"/>
      <c r="AX960" s="81"/>
      <c r="AY960" s="81"/>
      <c r="AZ960" s="81"/>
      <c r="BA960" s="81"/>
      <c r="BB960" s="81"/>
    </row>
    <row r="961" spans="1:54" x14ac:dyDescent="0.35">
      <c r="A961" s="66" t="s">
        <v>459</v>
      </c>
      <c r="B961" s="66" t="s">
        <v>646</v>
      </c>
      <c r="C961" s="67"/>
      <c r="D961" s="68"/>
      <c r="E961" s="69"/>
      <c r="F961" s="70"/>
      <c r="G961" s="67"/>
      <c r="H961" s="71"/>
      <c r="I961" s="72"/>
      <c r="J961" s="72"/>
      <c r="K961" s="36"/>
      <c r="L961" s="79"/>
      <c r="M961" s="79"/>
      <c r="N961" s="74"/>
      <c r="O961" s="81" t="s">
        <v>694</v>
      </c>
      <c r="P961" s="83">
        <v>44463.820821759262</v>
      </c>
      <c r="Q961" s="81" t="s">
        <v>803</v>
      </c>
      <c r="R961" s="81"/>
      <c r="S961" s="81"/>
      <c r="T961" s="86" t="s">
        <v>649</v>
      </c>
      <c r="U961" s="84" t="str">
        <f>HYPERLINK("https://pbs.twimg.com/media/FAEa7dXVkAcjbKg.jpg")</f>
        <v>https://pbs.twimg.com/media/FAEa7dXVkAcjbKg.jpg</v>
      </c>
      <c r="V961" s="84" t="str">
        <f>HYPERLINK("https://pbs.twimg.com/media/FAEa7dXVkAcjbKg.jpg")</f>
        <v>https://pbs.twimg.com/media/FAEa7dXVkAcjbKg.jpg</v>
      </c>
      <c r="W961" s="83">
        <v>44463.820821759262</v>
      </c>
      <c r="X961" s="89">
        <v>44463</v>
      </c>
      <c r="Y961" s="86" t="s">
        <v>1308</v>
      </c>
      <c r="Z961" s="84" t="str">
        <f>HYPERLINK("https://twitter.com/dinaacooky/status/1441488102518784003")</f>
        <v>https://twitter.com/dinaacooky/status/1441488102518784003</v>
      </c>
      <c r="AA961" s="81"/>
      <c r="AB961" s="81"/>
      <c r="AC961" s="86" t="s">
        <v>1803</v>
      </c>
      <c r="AD961" s="81"/>
      <c r="AE961" s="81" t="b">
        <v>0</v>
      </c>
      <c r="AF961" s="81">
        <v>0</v>
      </c>
      <c r="AG961" s="86" t="s">
        <v>2084</v>
      </c>
      <c r="AH961" s="81" t="b">
        <v>0</v>
      </c>
      <c r="AI961" s="81" t="s">
        <v>2168</v>
      </c>
      <c r="AJ961" s="81"/>
      <c r="AK961" s="86" t="s">
        <v>2084</v>
      </c>
      <c r="AL961" s="81" t="b">
        <v>0</v>
      </c>
      <c r="AM961" s="81">
        <v>21</v>
      </c>
      <c r="AN961" s="86" t="s">
        <v>1847</v>
      </c>
      <c r="AO961" s="86" t="s">
        <v>2181</v>
      </c>
      <c r="AP961" s="81" t="b">
        <v>0</v>
      </c>
      <c r="AQ961" s="86" t="s">
        <v>1847</v>
      </c>
      <c r="AR961" s="81" t="s">
        <v>179</v>
      </c>
      <c r="AS961" s="81">
        <v>0</v>
      </c>
      <c r="AT961" s="81">
        <v>0</v>
      </c>
      <c r="AU961" s="81"/>
      <c r="AV961" s="81"/>
      <c r="AW961" s="81"/>
      <c r="AX961" s="81"/>
      <c r="AY961" s="81"/>
      <c r="AZ961" s="81"/>
      <c r="BA961" s="81"/>
      <c r="BB961" s="81"/>
    </row>
    <row r="962" spans="1:54" x14ac:dyDescent="0.35">
      <c r="A962" s="66" t="s">
        <v>459</v>
      </c>
      <c r="B962" s="66" t="s">
        <v>647</v>
      </c>
      <c r="C962" s="67"/>
      <c r="D962" s="68"/>
      <c r="E962" s="69"/>
      <c r="F962" s="70"/>
      <c r="G962" s="67"/>
      <c r="H962" s="71"/>
      <c r="I962" s="72"/>
      <c r="J962" s="72"/>
      <c r="K962" s="36"/>
      <c r="L962" s="79"/>
      <c r="M962" s="79"/>
      <c r="N962" s="74"/>
      <c r="O962" s="81" t="s">
        <v>694</v>
      </c>
      <c r="P962" s="83">
        <v>44463.820821759262</v>
      </c>
      <c r="Q962" s="81" t="s">
        <v>803</v>
      </c>
      <c r="R962" s="81"/>
      <c r="S962" s="81"/>
      <c r="T962" s="86" t="s">
        <v>649</v>
      </c>
      <c r="U962" s="84" t="str">
        <f>HYPERLINK("https://pbs.twimg.com/media/FAEa7dXVkAcjbKg.jpg")</f>
        <v>https://pbs.twimg.com/media/FAEa7dXVkAcjbKg.jpg</v>
      </c>
      <c r="V962" s="84" t="str">
        <f>HYPERLINK("https://pbs.twimg.com/media/FAEa7dXVkAcjbKg.jpg")</f>
        <v>https://pbs.twimg.com/media/FAEa7dXVkAcjbKg.jpg</v>
      </c>
      <c r="W962" s="83">
        <v>44463.820821759262</v>
      </c>
      <c r="X962" s="89">
        <v>44463</v>
      </c>
      <c r="Y962" s="86" t="s">
        <v>1308</v>
      </c>
      <c r="Z962" s="84" t="str">
        <f>HYPERLINK("https://twitter.com/dinaacooky/status/1441488102518784003")</f>
        <v>https://twitter.com/dinaacooky/status/1441488102518784003</v>
      </c>
      <c r="AA962" s="81"/>
      <c r="AB962" s="81"/>
      <c r="AC962" s="86" t="s">
        <v>1803</v>
      </c>
      <c r="AD962" s="81"/>
      <c r="AE962" s="81" t="b">
        <v>0</v>
      </c>
      <c r="AF962" s="81">
        <v>0</v>
      </c>
      <c r="AG962" s="86" t="s">
        <v>2084</v>
      </c>
      <c r="AH962" s="81" t="b">
        <v>0</v>
      </c>
      <c r="AI962" s="81" t="s">
        <v>2168</v>
      </c>
      <c r="AJ962" s="81"/>
      <c r="AK962" s="86" t="s">
        <v>2084</v>
      </c>
      <c r="AL962" s="81" t="b">
        <v>0</v>
      </c>
      <c r="AM962" s="81">
        <v>21</v>
      </c>
      <c r="AN962" s="86" t="s">
        <v>1847</v>
      </c>
      <c r="AO962" s="86" t="s">
        <v>2181</v>
      </c>
      <c r="AP962" s="81" t="b">
        <v>0</v>
      </c>
      <c r="AQ962" s="86" t="s">
        <v>1847</v>
      </c>
      <c r="AR962" s="81" t="s">
        <v>179</v>
      </c>
      <c r="AS962" s="81">
        <v>0</v>
      </c>
      <c r="AT962" s="81">
        <v>0</v>
      </c>
      <c r="AU962" s="81"/>
      <c r="AV962" s="81"/>
      <c r="AW962" s="81"/>
      <c r="AX962" s="81"/>
      <c r="AY962" s="81"/>
      <c r="AZ962" s="81"/>
      <c r="BA962" s="81"/>
      <c r="BB962" s="81"/>
    </row>
    <row r="963" spans="1:54" x14ac:dyDescent="0.35">
      <c r="A963" s="66" t="s">
        <v>459</v>
      </c>
      <c r="B963" s="66" t="s">
        <v>648</v>
      </c>
      <c r="C963" s="67"/>
      <c r="D963" s="68"/>
      <c r="E963" s="69"/>
      <c r="F963" s="70"/>
      <c r="G963" s="67"/>
      <c r="H963" s="71"/>
      <c r="I963" s="72"/>
      <c r="J963" s="72"/>
      <c r="K963" s="36"/>
      <c r="L963" s="79"/>
      <c r="M963" s="79"/>
      <c r="N963" s="74"/>
      <c r="O963" s="81" t="s">
        <v>694</v>
      </c>
      <c r="P963" s="83">
        <v>44463.820821759262</v>
      </c>
      <c r="Q963" s="81" t="s">
        <v>803</v>
      </c>
      <c r="R963" s="81"/>
      <c r="S963" s="81"/>
      <c r="T963" s="86" t="s">
        <v>649</v>
      </c>
      <c r="U963" s="84" t="str">
        <f>HYPERLINK("https://pbs.twimg.com/media/FAEa7dXVkAcjbKg.jpg")</f>
        <v>https://pbs.twimg.com/media/FAEa7dXVkAcjbKg.jpg</v>
      </c>
      <c r="V963" s="84" t="str">
        <f>HYPERLINK("https://pbs.twimg.com/media/FAEa7dXVkAcjbKg.jpg")</f>
        <v>https://pbs.twimg.com/media/FAEa7dXVkAcjbKg.jpg</v>
      </c>
      <c r="W963" s="83">
        <v>44463.820821759262</v>
      </c>
      <c r="X963" s="89">
        <v>44463</v>
      </c>
      <c r="Y963" s="86" t="s">
        <v>1308</v>
      </c>
      <c r="Z963" s="84" t="str">
        <f>HYPERLINK("https://twitter.com/dinaacooky/status/1441488102518784003")</f>
        <v>https://twitter.com/dinaacooky/status/1441488102518784003</v>
      </c>
      <c r="AA963" s="81"/>
      <c r="AB963" s="81"/>
      <c r="AC963" s="86" t="s">
        <v>1803</v>
      </c>
      <c r="AD963" s="81"/>
      <c r="AE963" s="81" t="b">
        <v>0</v>
      </c>
      <c r="AF963" s="81">
        <v>0</v>
      </c>
      <c r="AG963" s="86" t="s">
        <v>2084</v>
      </c>
      <c r="AH963" s="81" t="b">
        <v>0</v>
      </c>
      <c r="AI963" s="81" t="s">
        <v>2168</v>
      </c>
      <c r="AJ963" s="81"/>
      <c r="AK963" s="86" t="s">
        <v>2084</v>
      </c>
      <c r="AL963" s="81" t="b">
        <v>0</v>
      </c>
      <c r="AM963" s="81">
        <v>21</v>
      </c>
      <c r="AN963" s="86" t="s">
        <v>1847</v>
      </c>
      <c r="AO963" s="86" t="s">
        <v>2181</v>
      </c>
      <c r="AP963" s="81" t="b">
        <v>0</v>
      </c>
      <c r="AQ963" s="86" t="s">
        <v>1847</v>
      </c>
      <c r="AR963" s="81" t="s">
        <v>179</v>
      </c>
      <c r="AS963" s="81">
        <v>0</v>
      </c>
      <c r="AT963" s="81">
        <v>0</v>
      </c>
      <c r="AU963" s="81"/>
      <c r="AV963" s="81"/>
      <c r="AW963" s="81"/>
      <c r="AX963" s="81"/>
      <c r="AY963" s="81"/>
      <c r="AZ963" s="81"/>
      <c r="BA963" s="81"/>
      <c r="BB963" s="81"/>
    </row>
    <row r="964" spans="1:54" x14ac:dyDescent="0.35">
      <c r="A964" s="66" t="s">
        <v>459</v>
      </c>
      <c r="B964" s="66" t="s">
        <v>649</v>
      </c>
      <c r="C964" s="67"/>
      <c r="D964" s="68"/>
      <c r="E964" s="69"/>
      <c r="F964" s="70"/>
      <c r="G964" s="67"/>
      <c r="H964" s="71"/>
      <c r="I964" s="72"/>
      <c r="J964" s="72"/>
      <c r="K964" s="36"/>
      <c r="L964" s="79"/>
      <c r="M964" s="79"/>
      <c r="N964" s="74"/>
      <c r="O964" s="81" t="s">
        <v>694</v>
      </c>
      <c r="P964" s="83">
        <v>44463.820821759262</v>
      </c>
      <c r="Q964" s="81" t="s">
        <v>803</v>
      </c>
      <c r="R964" s="81"/>
      <c r="S964" s="81"/>
      <c r="T964" s="86" t="s">
        <v>649</v>
      </c>
      <c r="U964" s="84" t="str">
        <f>HYPERLINK("https://pbs.twimg.com/media/FAEa7dXVkAcjbKg.jpg")</f>
        <v>https://pbs.twimg.com/media/FAEa7dXVkAcjbKg.jpg</v>
      </c>
      <c r="V964" s="84" t="str">
        <f>HYPERLINK("https://pbs.twimg.com/media/FAEa7dXVkAcjbKg.jpg")</f>
        <v>https://pbs.twimg.com/media/FAEa7dXVkAcjbKg.jpg</v>
      </c>
      <c r="W964" s="83">
        <v>44463.820821759262</v>
      </c>
      <c r="X964" s="89">
        <v>44463</v>
      </c>
      <c r="Y964" s="86" t="s">
        <v>1308</v>
      </c>
      <c r="Z964" s="84" t="str">
        <f>HYPERLINK("https://twitter.com/dinaacooky/status/1441488102518784003")</f>
        <v>https://twitter.com/dinaacooky/status/1441488102518784003</v>
      </c>
      <c r="AA964" s="81"/>
      <c r="AB964" s="81"/>
      <c r="AC964" s="86" t="s">
        <v>1803</v>
      </c>
      <c r="AD964" s="81"/>
      <c r="AE964" s="81" t="b">
        <v>0</v>
      </c>
      <c r="AF964" s="81">
        <v>0</v>
      </c>
      <c r="AG964" s="86" t="s">
        <v>2084</v>
      </c>
      <c r="AH964" s="81" t="b">
        <v>0</v>
      </c>
      <c r="AI964" s="81" t="s">
        <v>2168</v>
      </c>
      <c r="AJ964" s="81"/>
      <c r="AK964" s="86" t="s">
        <v>2084</v>
      </c>
      <c r="AL964" s="81" t="b">
        <v>0</v>
      </c>
      <c r="AM964" s="81">
        <v>21</v>
      </c>
      <c r="AN964" s="86" t="s">
        <v>1847</v>
      </c>
      <c r="AO964" s="86" t="s">
        <v>2181</v>
      </c>
      <c r="AP964" s="81" t="b">
        <v>0</v>
      </c>
      <c r="AQ964" s="86" t="s">
        <v>1847</v>
      </c>
      <c r="AR964" s="81" t="s">
        <v>179</v>
      </c>
      <c r="AS964" s="81">
        <v>0</v>
      </c>
      <c r="AT964" s="81">
        <v>0</v>
      </c>
      <c r="AU964" s="81"/>
      <c r="AV964" s="81"/>
      <c r="AW964" s="81"/>
      <c r="AX964" s="81"/>
      <c r="AY964" s="81"/>
      <c r="AZ964" s="81"/>
      <c r="BA964" s="81"/>
      <c r="BB964" s="81"/>
    </row>
    <row r="965" spans="1:54" x14ac:dyDescent="0.35">
      <c r="A965" s="66" t="s">
        <v>459</v>
      </c>
      <c r="B965" s="66" t="s">
        <v>496</v>
      </c>
      <c r="C965" s="67"/>
      <c r="D965" s="68"/>
      <c r="E965" s="69"/>
      <c r="F965" s="70"/>
      <c r="G965" s="67"/>
      <c r="H965" s="71"/>
      <c r="I965" s="72"/>
      <c r="J965" s="72"/>
      <c r="K965" s="36"/>
      <c r="L965" s="79"/>
      <c r="M965" s="79"/>
      <c r="N965" s="74"/>
      <c r="O965" s="81" t="s">
        <v>693</v>
      </c>
      <c r="P965" s="83">
        <v>44463.820821759262</v>
      </c>
      <c r="Q965" s="81" t="s">
        <v>803</v>
      </c>
      <c r="R965" s="81"/>
      <c r="S965" s="81"/>
      <c r="T965" s="86" t="s">
        <v>649</v>
      </c>
      <c r="U965" s="84" t="str">
        <f>HYPERLINK("https://pbs.twimg.com/media/FAEa7dXVkAcjbKg.jpg")</f>
        <v>https://pbs.twimg.com/media/FAEa7dXVkAcjbKg.jpg</v>
      </c>
      <c r="V965" s="84" t="str">
        <f>HYPERLINK("https://pbs.twimg.com/media/FAEa7dXVkAcjbKg.jpg")</f>
        <v>https://pbs.twimg.com/media/FAEa7dXVkAcjbKg.jpg</v>
      </c>
      <c r="W965" s="83">
        <v>44463.820821759262</v>
      </c>
      <c r="X965" s="89">
        <v>44463</v>
      </c>
      <c r="Y965" s="86" t="s">
        <v>1308</v>
      </c>
      <c r="Z965" s="84" t="str">
        <f>HYPERLINK("https://twitter.com/dinaacooky/status/1441488102518784003")</f>
        <v>https://twitter.com/dinaacooky/status/1441488102518784003</v>
      </c>
      <c r="AA965" s="81"/>
      <c r="AB965" s="81"/>
      <c r="AC965" s="86" t="s">
        <v>1803</v>
      </c>
      <c r="AD965" s="81"/>
      <c r="AE965" s="81" t="b">
        <v>0</v>
      </c>
      <c r="AF965" s="81">
        <v>0</v>
      </c>
      <c r="AG965" s="86" t="s">
        <v>2084</v>
      </c>
      <c r="AH965" s="81" t="b">
        <v>0</v>
      </c>
      <c r="AI965" s="81" t="s">
        <v>2168</v>
      </c>
      <c r="AJ965" s="81"/>
      <c r="AK965" s="86" t="s">
        <v>2084</v>
      </c>
      <c r="AL965" s="81" t="b">
        <v>0</v>
      </c>
      <c r="AM965" s="81">
        <v>21</v>
      </c>
      <c r="AN965" s="86" t="s">
        <v>1847</v>
      </c>
      <c r="AO965" s="86" t="s">
        <v>2181</v>
      </c>
      <c r="AP965" s="81" t="b">
        <v>0</v>
      </c>
      <c r="AQ965" s="86" t="s">
        <v>1847</v>
      </c>
      <c r="AR965" s="81" t="s">
        <v>179</v>
      </c>
      <c r="AS965" s="81">
        <v>0</v>
      </c>
      <c r="AT965" s="81">
        <v>0</v>
      </c>
      <c r="AU965" s="81"/>
      <c r="AV965" s="81"/>
      <c r="AW965" s="81"/>
      <c r="AX965" s="81"/>
      <c r="AY965" s="81"/>
      <c r="AZ965" s="81"/>
      <c r="BA965" s="81"/>
      <c r="BB965" s="81"/>
    </row>
    <row r="966" spans="1:54" x14ac:dyDescent="0.35">
      <c r="A966" s="66" t="s">
        <v>459</v>
      </c>
      <c r="B966" s="66" t="s">
        <v>646</v>
      </c>
      <c r="C966" s="67"/>
      <c r="D966" s="68"/>
      <c r="E966" s="69"/>
      <c r="F966" s="70"/>
      <c r="G966" s="67"/>
      <c r="H966" s="71"/>
      <c r="I966" s="72"/>
      <c r="J966" s="72"/>
      <c r="K966" s="36"/>
      <c r="L966" s="79"/>
      <c r="M966" s="79"/>
      <c r="N966" s="74"/>
      <c r="O966" s="81" t="s">
        <v>694</v>
      </c>
      <c r="P966" s="83">
        <v>44464.281018518515</v>
      </c>
      <c r="Q966" s="81" t="s">
        <v>802</v>
      </c>
      <c r="R966" s="81"/>
      <c r="S966" s="81"/>
      <c r="T966" s="86" t="s">
        <v>649</v>
      </c>
      <c r="U966" s="84" t="str">
        <f>HYPERLINK("https://pbs.twimg.com/media/FAEa_mFUYAcoKUu.jpg")</f>
        <v>https://pbs.twimg.com/media/FAEa_mFUYAcoKUu.jpg</v>
      </c>
      <c r="V966" s="84" t="str">
        <f>HYPERLINK("https://pbs.twimg.com/media/FAEa_mFUYAcoKUu.jpg")</f>
        <v>https://pbs.twimg.com/media/FAEa_mFUYAcoKUu.jpg</v>
      </c>
      <c r="W966" s="83">
        <v>44464.281018518515</v>
      </c>
      <c r="X966" s="89">
        <v>44464</v>
      </c>
      <c r="Y966" s="86" t="s">
        <v>1309</v>
      </c>
      <c r="Z966" s="84" t="str">
        <f>HYPERLINK("https://twitter.com/dinaacooky/status/1441654871183147012")</f>
        <v>https://twitter.com/dinaacooky/status/1441654871183147012</v>
      </c>
      <c r="AA966" s="81"/>
      <c r="AB966" s="81"/>
      <c r="AC966" s="86" t="s">
        <v>1804</v>
      </c>
      <c r="AD966" s="81"/>
      <c r="AE966" s="81" t="b">
        <v>0</v>
      </c>
      <c r="AF966" s="81">
        <v>0</v>
      </c>
      <c r="AG966" s="86" t="s">
        <v>2084</v>
      </c>
      <c r="AH966" s="81" t="b">
        <v>0</v>
      </c>
      <c r="AI966" s="81" t="s">
        <v>2168</v>
      </c>
      <c r="AJ966" s="81"/>
      <c r="AK966" s="86" t="s">
        <v>2084</v>
      </c>
      <c r="AL966" s="81" t="b">
        <v>0</v>
      </c>
      <c r="AM966" s="81">
        <v>24</v>
      </c>
      <c r="AN966" s="86" t="s">
        <v>1848</v>
      </c>
      <c r="AO966" s="86" t="s">
        <v>2179</v>
      </c>
      <c r="AP966" s="81" t="b">
        <v>0</v>
      </c>
      <c r="AQ966" s="86" t="s">
        <v>1848</v>
      </c>
      <c r="AR966" s="81" t="s">
        <v>179</v>
      </c>
      <c r="AS966" s="81">
        <v>0</v>
      </c>
      <c r="AT966" s="81">
        <v>0</v>
      </c>
      <c r="AU966" s="81"/>
      <c r="AV966" s="81"/>
      <c r="AW966" s="81"/>
      <c r="AX966" s="81"/>
      <c r="AY966" s="81"/>
      <c r="AZ966" s="81"/>
      <c r="BA966" s="81"/>
      <c r="BB966" s="81"/>
    </row>
    <row r="967" spans="1:54" x14ac:dyDescent="0.35">
      <c r="A967" s="66" t="s">
        <v>459</v>
      </c>
      <c r="B967" s="66" t="s">
        <v>647</v>
      </c>
      <c r="C967" s="67"/>
      <c r="D967" s="68"/>
      <c r="E967" s="69"/>
      <c r="F967" s="70"/>
      <c r="G967" s="67"/>
      <c r="H967" s="71"/>
      <c r="I967" s="72"/>
      <c r="J967" s="72"/>
      <c r="K967" s="36"/>
      <c r="L967" s="79"/>
      <c r="M967" s="79"/>
      <c r="N967" s="74"/>
      <c r="O967" s="81" t="s">
        <v>694</v>
      </c>
      <c r="P967" s="83">
        <v>44464.281018518515</v>
      </c>
      <c r="Q967" s="81" t="s">
        <v>802</v>
      </c>
      <c r="R967" s="81"/>
      <c r="S967" s="81"/>
      <c r="T967" s="86" t="s">
        <v>649</v>
      </c>
      <c r="U967" s="84" t="str">
        <f>HYPERLINK("https://pbs.twimg.com/media/FAEa_mFUYAcoKUu.jpg")</f>
        <v>https://pbs.twimg.com/media/FAEa_mFUYAcoKUu.jpg</v>
      </c>
      <c r="V967" s="84" t="str">
        <f>HYPERLINK("https://pbs.twimg.com/media/FAEa_mFUYAcoKUu.jpg")</f>
        <v>https://pbs.twimg.com/media/FAEa_mFUYAcoKUu.jpg</v>
      </c>
      <c r="W967" s="83">
        <v>44464.281018518515</v>
      </c>
      <c r="X967" s="89">
        <v>44464</v>
      </c>
      <c r="Y967" s="86" t="s">
        <v>1309</v>
      </c>
      <c r="Z967" s="84" t="str">
        <f>HYPERLINK("https://twitter.com/dinaacooky/status/1441654871183147012")</f>
        <v>https://twitter.com/dinaacooky/status/1441654871183147012</v>
      </c>
      <c r="AA967" s="81"/>
      <c r="AB967" s="81"/>
      <c r="AC967" s="86" t="s">
        <v>1804</v>
      </c>
      <c r="AD967" s="81"/>
      <c r="AE967" s="81" t="b">
        <v>0</v>
      </c>
      <c r="AF967" s="81">
        <v>0</v>
      </c>
      <c r="AG967" s="86" t="s">
        <v>2084</v>
      </c>
      <c r="AH967" s="81" t="b">
        <v>0</v>
      </c>
      <c r="AI967" s="81" t="s">
        <v>2168</v>
      </c>
      <c r="AJ967" s="81"/>
      <c r="AK967" s="86" t="s">
        <v>2084</v>
      </c>
      <c r="AL967" s="81" t="b">
        <v>0</v>
      </c>
      <c r="AM967" s="81">
        <v>24</v>
      </c>
      <c r="AN967" s="86" t="s">
        <v>1848</v>
      </c>
      <c r="AO967" s="86" t="s">
        <v>2179</v>
      </c>
      <c r="AP967" s="81" t="b">
        <v>0</v>
      </c>
      <c r="AQ967" s="86" t="s">
        <v>1848</v>
      </c>
      <c r="AR967" s="81" t="s">
        <v>179</v>
      </c>
      <c r="AS967" s="81">
        <v>0</v>
      </c>
      <c r="AT967" s="81">
        <v>0</v>
      </c>
      <c r="AU967" s="81"/>
      <c r="AV967" s="81"/>
      <c r="AW967" s="81"/>
      <c r="AX967" s="81"/>
      <c r="AY967" s="81"/>
      <c r="AZ967" s="81"/>
      <c r="BA967" s="81"/>
      <c r="BB967" s="81"/>
    </row>
    <row r="968" spans="1:54" x14ac:dyDescent="0.35">
      <c r="A968" s="66" t="s">
        <v>459</v>
      </c>
      <c r="B968" s="66" t="s">
        <v>648</v>
      </c>
      <c r="C968" s="67"/>
      <c r="D968" s="68"/>
      <c r="E968" s="69"/>
      <c r="F968" s="70"/>
      <c r="G968" s="67"/>
      <c r="H968" s="71"/>
      <c r="I968" s="72"/>
      <c r="J968" s="72"/>
      <c r="K968" s="36"/>
      <c r="L968" s="79"/>
      <c r="M968" s="79"/>
      <c r="N968" s="74"/>
      <c r="O968" s="81" t="s">
        <v>694</v>
      </c>
      <c r="P968" s="83">
        <v>44464.281018518515</v>
      </c>
      <c r="Q968" s="81" t="s">
        <v>802</v>
      </c>
      <c r="R968" s="81"/>
      <c r="S968" s="81"/>
      <c r="T968" s="86" t="s">
        <v>649</v>
      </c>
      <c r="U968" s="84" t="str">
        <f>HYPERLINK("https://pbs.twimg.com/media/FAEa_mFUYAcoKUu.jpg")</f>
        <v>https://pbs.twimg.com/media/FAEa_mFUYAcoKUu.jpg</v>
      </c>
      <c r="V968" s="84" t="str">
        <f>HYPERLINK("https://pbs.twimg.com/media/FAEa_mFUYAcoKUu.jpg")</f>
        <v>https://pbs.twimg.com/media/FAEa_mFUYAcoKUu.jpg</v>
      </c>
      <c r="W968" s="83">
        <v>44464.281018518515</v>
      </c>
      <c r="X968" s="89">
        <v>44464</v>
      </c>
      <c r="Y968" s="86" t="s">
        <v>1309</v>
      </c>
      <c r="Z968" s="84" t="str">
        <f>HYPERLINK("https://twitter.com/dinaacooky/status/1441654871183147012")</f>
        <v>https://twitter.com/dinaacooky/status/1441654871183147012</v>
      </c>
      <c r="AA968" s="81"/>
      <c r="AB968" s="81"/>
      <c r="AC968" s="86" t="s">
        <v>1804</v>
      </c>
      <c r="AD968" s="81"/>
      <c r="AE968" s="81" t="b">
        <v>0</v>
      </c>
      <c r="AF968" s="81">
        <v>0</v>
      </c>
      <c r="AG968" s="86" t="s">
        <v>2084</v>
      </c>
      <c r="AH968" s="81" t="b">
        <v>0</v>
      </c>
      <c r="AI968" s="81" t="s">
        <v>2168</v>
      </c>
      <c r="AJ968" s="81"/>
      <c r="AK968" s="86" t="s">
        <v>2084</v>
      </c>
      <c r="AL968" s="81" t="b">
        <v>0</v>
      </c>
      <c r="AM968" s="81">
        <v>24</v>
      </c>
      <c r="AN968" s="86" t="s">
        <v>1848</v>
      </c>
      <c r="AO968" s="86" t="s">
        <v>2179</v>
      </c>
      <c r="AP968" s="81" t="b">
        <v>0</v>
      </c>
      <c r="AQ968" s="86" t="s">
        <v>1848</v>
      </c>
      <c r="AR968" s="81" t="s">
        <v>179</v>
      </c>
      <c r="AS968" s="81">
        <v>0</v>
      </c>
      <c r="AT968" s="81">
        <v>0</v>
      </c>
      <c r="AU968" s="81"/>
      <c r="AV968" s="81"/>
      <c r="AW968" s="81"/>
      <c r="AX968" s="81"/>
      <c r="AY968" s="81"/>
      <c r="AZ968" s="81"/>
      <c r="BA968" s="81"/>
      <c r="BB968" s="81"/>
    </row>
    <row r="969" spans="1:54" x14ac:dyDescent="0.35">
      <c r="A969" s="66" t="s">
        <v>459</v>
      </c>
      <c r="B969" s="66" t="s">
        <v>649</v>
      </c>
      <c r="C969" s="67"/>
      <c r="D969" s="68"/>
      <c r="E969" s="69"/>
      <c r="F969" s="70"/>
      <c r="G969" s="67"/>
      <c r="H969" s="71"/>
      <c r="I969" s="72"/>
      <c r="J969" s="72"/>
      <c r="K969" s="36"/>
      <c r="L969" s="79"/>
      <c r="M969" s="79"/>
      <c r="N969" s="74"/>
      <c r="O969" s="81" t="s">
        <v>694</v>
      </c>
      <c r="P969" s="83">
        <v>44464.281018518515</v>
      </c>
      <c r="Q969" s="81" t="s">
        <v>802</v>
      </c>
      <c r="R969" s="81"/>
      <c r="S969" s="81"/>
      <c r="T969" s="86" t="s">
        <v>649</v>
      </c>
      <c r="U969" s="84" t="str">
        <f>HYPERLINK("https://pbs.twimg.com/media/FAEa_mFUYAcoKUu.jpg")</f>
        <v>https://pbs.twimg.com/media/FAEa_mFUYAcoKUu.jpg</v>
      </c>
      <c r="V969" s="84" t="str">
        <f>HYPERLINK("https://pbs.twimg.com/media/FAEa_mFUYAcoKUu.jpg")</f>
        <v>https://pbs.twimg.com/media/FAEa_mFUYAcoKUu.jpg</v>
      </c>
      <c r="W969" s="83">
        <v>44464.281018518515</v>
      </c>
      <c r="X969" s="89">
        <v>44464</v>
      </c>
      <c r="Y969" s="86" t="s">
        <v>1309</v>
      </c>
      <c r="Z969" s="84" t="str">
        <f>HYPERLINK("https://twitter.com/dinaacooky/status/1441654871183147012")</f>
        <v>https://twitter.com/dinaacooky/status/1441654871183147012</v>
      </c>
      <c r="AA969" s="81"/>
      <c r="AB969" s="81"/>
      <c r="AC969" s="86" t="s">
        <v>1804</v>
      </c>
      <c r="AD969" s="81"/>
      <c r="AE969" s="81" t="b">
        <v>0</v>
      </c>
      <c r="AF969" s="81">
        <v>0</v>
      </c>
      <c r="AG969" s="86" t="s">
        <v>2084</v>
      </c>
      <c r="AH969" s="81" t="b">
        <v>0</v>
      </c>
      <c r="AI969" s="81" t="s">
        <v>2168</v>
      </c>
      <c r="AJ969" s="81"/>
      <c r="AK969" s="86" t="s">
        <v>2084</v>
      </c>
      <c r="AL969" s="81" t="b">
        <v>0</v>
      </c>
      <c r="AM969" s="81">
        <v>24</v>
      </c>
      <c r="AN969" s="86" t="s">
        <v>1848</v>
      </c>
      <c r="AO969" s="86" t="s">
        <v>2179</v>
      </c>
      <c r="AP969" s="81" t="b">
        <v>0</v>
      </c>
      <c r="AQ969" s="86" t="s">
        <v>1848</v>
      </c>
      <c r="AR969" s="81" t="s">
        <v>179</v>
      </c>
      <c r="AS969" s="81">
        <v>0</v>
      </c>
      <c r="AT969" s="81">
        <v>0</v>
      </c>
      <c r="AU969" s="81"/>
      <c r="AV969" s="81"/>
      <c r="AW969" s="81"/>
      <c r="AX969" s="81"/>
      <c r="AY969" s="81"/>
      <c r="AZ969" s="81"/>
      <c r="BA969" s="81"/>
      <c r="BB969" s="81"/>
    </row>
    <row r="970" spans="1:54" x14ac:dyDescent="0.35">
      <c r="A970" s="66" t="s">
        <v>459</v>
      </c>
      <c r="B970" s="66" t="s">
        <v>496</v>
      </c>
      <c r="C970" s="67"/>
      <c r="D970" s="68"/>
      <c r="E970" s="69"/>
      <c r="F970" s="70"/>
      <c r="G970" s="67"/>
      <c r="H970" s="71"/>
      <c r="I970" s="72"/>
      <c r="J970" s="72"/>
      <c r="K970" s="36"/>
      <c r="L970" s="79"/>
      <c r="M970" s="79"/>
      <c r="N970" s="74"/>
      <c r="O970" s="81" t="s">
        <v>693</v>
      </c>
      <c r="P970" s="83">
        <v>44464.281018518515</v>
      </c>
      <c r="Q970" s="81" t="s">
        <v>802</v>
      </c>
      <c r="R970" s="81"/>
      <c r="S970" s="81"/>
      <c r="T970" s="86" t="s">
        <v>649</v>
      </c>
      <c r="U970" s="84" t="str">
        <f>HYPERLINK("https://pbs.twimg.com/media/FAEa_mFUYAcoKUu.jpg")</f>
        <v>https://pbs.twimg.com/media/FAEa_mFUYAcoKUu.jpg</v>
      </c>
      <c r="V970" s="84" t="str">
        <f>HYPERLINK("https://pbs.twimg.com/media/FAEa_mFUYAcoKUu.jpg")</f>
        <v>https://pbs.twimg.com/media/FAEa_mFUYAcoKUu.jpg</v>
      </c>
      <c r="W970" s="83">
        <v>44464.281018518515</v>
      </c>
      <c r="X970" s="89">
        <v>44464</v>
      </c>
      <c r="Y970" s="86" t="s">
        <v>1309</v>
      </c>
      <c r="Z970" s="84" t="str">
        <f>HYPERLINK("https://twitter.com/dinaacooky/status/1441654871183147012")</f>
        <v>https://twitter.com/dinaacooky/status/1441654871183147012</v>
      </c>
      <c r="AA970" s="81"/>
      <c r="AB970" s="81"/>
      <c r="AC970" s="86" t="s">
        <v>1804</v>
      </c>
      <c r="AD970" s="81"/>
      <c r="AE970" s="81" t="b">
        <v>0</v>
      </c>
      <c r="AF970" s="81">
        <v>0</v>
      </c>
      <c r="AG970" s="86" t="s">
        <v>2084</v>
      </c>
      <c r="AH970" s="81" t="b">
        <v>0</v>
      </c>
      <c r="AI970" s="81" t="s">
        <v>2168</v>
      </c>
      <c r="AJ970" s="81"/>
      <c r="AK970" s="86" t="s">
        <v>2084</v>
      </c>
      <c r="AL970" s="81" t="b">
        <v>0</v>
      </c>
      <c r="AM970" s="81">
        <v>24</v>
      </c>
      <c r="AN970" s="86" t="s">
        <v>1848</v>
      </c>
      <c r="AO970" s="86" t="s">
        <v>2179</v>
      </c>
      <c r="AP970" s="81" t="b">
        <v>0</v>
      </c>
      <c r="AQ970" s="86" t="s">
        <v>1848</v>
      </c>
      <c r="AR970" s="81" t="s">
        <v>179</v>
      </c>
      <c r="AS970" s="81">
        <v>0</v>
      </c>
      <c r="AT970" s="81">
        <v>0</v>
      </c>
      <c r="AU970" s="81"/>
      <c r="AV970" s="81"/>
      <c r="AW970" s="81"/>
      <c r="AX970" s="81"/>
      <c r="AY970" s="81"/>
      <c r="AZ970" s="81"/>
      <c r="BA970" s="81"/>
      <c r="BB970" s="81"/>
    </row>
    <row r="971" spans="1:54" x14ac:dyDescent="0.35">
      <c r="A971" s="66" t="s">
        <v>460</v>
      </c>
      <c r="B971" s="66" t="s">
        <v>646</v>
      </c>
      <c r="C971" s="67"/>
      <c r="D971" s="68"/>
      <c r="E971" s="69"/>
      <c r="F971" s="70"/>
      <c r="G971" s="67"/>
      <c r="H971" s="71"/>
      <c r="I971" s="72"/>
      <c r="J971" s="72"/>
      <c r="K971" s="36"/>
      <c r="L971" s="79"/>
      <c r="M971" s="79"/>
      <c r="N971" s="74"/>
      <c r="O971" s="81" t="s">
        <v>694</v>
      </c>
      <c r="P971" s="83">
        <v>44464.284317129626</v>
      </c>
      <c r="Q971" s="81" t="s">
        <v>802</v>
      </c>
      <c r="R971" s="81"/>
      <c r="S971" s="81"/>
      <c r="T971" s="86" t="s">
        <v>649</v>
      </c>
      <c r="U971" s="84" t="str">
        <f>HYPERLINK("https://pbs.twimg.com/media/FAEa_mFUYAcoKUu.jpg")</f>
        <v>https://pbs.twimg.com/media/FAEa_mFUYAcoKUu.jpg</v>
      </c>
      <c r="V971" s="84" t="str">
        <f>HYPERLINK("https://pbs.twimg.com/media/FAEa_mFUYAcoKUu.jpg")</f>
        <v>https://pbs.twimg.com/media/FAEa_mFUYAcoKUu.jpg</v>
      </c>
      <c r="W971" s="83">
        <v>44464.284317129626</v>
      </c>
      <c r="X971" s="89">
        <v>44464</v>
      </c>
      <c r="Y971" s="86" t="s">
        <v>1310</v>
      </c>
      <c r="Z971" s="84" t="str">
        <f>HYPERLINK("https://twitter.com/piwpiwjoon/status/1441656068090646535")</f>
        <v>https://twitter.com/piwpiwjoon/status/1441656068090646535</v>
      </c>
      <c r="AA971" s="81"/>
      <c r="AB971" s="81"/>
      <c r="AC971" s="86" t="s">
        <v>1805</v>
      </c>
      <c r="AD971" s="81"/>
      <c r="AE971" s="81" t="b">
        <v>0</v>
      </c>
      <c r="AF971" s="81">
        <v>0</v>
      </c>
      <c r="AG971" s="86" t="s">
        <v>2084</v>
      </c>
      <c r="AH971" s="81" t="b">
        <v>0</v>
      </c>
      <c r="AI971" s="81" t="s">
        <v>2168</v>
      </c>
      <c r="AJ971" s="81"/>
      <c r="AK971" s="86" t="s">
        <v>2084</v>
      </c>
      <c r="AL971" s="81" t="b">
        <v>0</v>
      </c>
      <c r="AM971" s="81">
        <v>24</v>
      </c>
      <c r="AN971" s="86" t="s">
        <v>1848</v>
      </c>
      <c r="AO971" s="86" t="s">
        <v>2178</v>
      </c>
      <c r="AP971" s="81" t="b">
        <v>0</v>
      </c>
      <c r="AQ971" s="86" t="s">
        <v>1848</v>
      </c>
      <c r="AR971" s="81" t="s">
        <v>179</v>
      </c>
      <c r="AS971" s="81">
        <v>0</v>
      </c>
      <c r="AT971" s="81">
        <v>0</v>
      </c>
      <c r="AU971" s="81"/>
      <c r="AV971" s="81"/>
      <c r="AW971" s="81"/>
      <c r="AX971" s="81"/>
      <c r="AY971" s="81"/>
      <c r="AZ971" s="81"/>
      <c r="BA971" s="81"/>
      <c r="BB971" s="81"/>
    </row>
    <row r="972" spans="1:54" x14ac:dyDescent="0.35">
      <c r="A972" s="66" t="s">
        <v>460</v>
      </c>
      <c r="B972" s="66" t="s">
        <v>647</v>
      </c>
      <c r="C972" s="67"/>
      <c r="D972" s="68"/>
      <c r="E972" s="69"/>
      <c r="F972" s="70"/>
      <c r="G972" s="67"/>
      <c r="H972" s="71"/>
      <c r="I972" s="72"/>
      <c r="J972" s="72"/>
      <c r="K972" s="36"/>
      <c r="L972" s="79"/>
      <c r="M972" s="79"/>
      <c r="N972" s="74"/>
      <c r="O972" s="81" t="s">
        <v>694</v>
      </c>
      <c r="P972" s="83">
        <v>44464.284317129626</v>
      </c>
      <c r="Q972" s="81" t="s">
        <v>802</v>
      </c>
      <c r="R972" s="81"/>
      <c r="S972" s="81"/>
      <c r="T972" s="86" t="s">
        <v>649</v>
      </c>
      <c r="U972" s="84" t="str">
        <f>HYPERLINK("https://pbs.twimg.com/media/FAEa_mFUYAcoKUu.jpg")</f>
        <v>https://pbs.twimg.com/media/FAEa_mFUYAcoKUu.jpg</v>
      </c>
      <c r="V972" s="84" t="str">
        <f>HYPERLINK("https://pbs.twimg.com/media/FAEa_mFUYAcoKUu.jpg")</f>
        <v>https://pbs.twimg.com/media/FAEa_mFUYAcoKUu.jpg</v>
      </c>
      <c r="W972" s="83">
        <v>44464.284317129626</v>
      </c>
      <c r="X972" s="89">
        <v>44464</v>
      </c>
      <c r="Y972" s="86" t="s">
        <v>1310</v>
      </c>
      <c r="Z972" s="84" t="str">
        <f>HYPERLINK("https://twitter.com/piwpiwjoon/status/1441656068090646535")</f>
        <v>https://twitter.com/piwpiwjoon/status/1441656068090646535</v>
      </c>
      <c r="AA972" s="81"/>
      <c r="AB972" s="81"/>
      <c r="AC972" s="86" t="s">
        <v>1805</v>
      </c>
      <c r="AD972" s="81"/>
      <c r="AE972" s="81" t="b">
        <v>0</v>
      </c>
      <c r="AF972" s="81">
        <v>0</v>
      </c>
      <c r="AG972" s="86" t="s">
        <v>2084</v>
      </c>
      <c r="AH972" s="81" t="b">
        <v>0</v>
      </c>
      <c r="AI972" s="81" t="s">
        <v>2168</v>
      </c>
      <c r="AJ972" s="81"/>
      <c r="AK972" s="86" t="s">
        <v>2084</v>
      </c>
      <c r="AL972" s="81" t="b">
        <v>0</v>
      </c>
      <c r="AM972" s="81">
        <v>24</v>
      </c>
      <c r="AN972" s="86" t="s">
        <v>1848</v>
      </c>
      <c r="AO972" s="86" t="s">
        <v>2178</v>
      </c>
      <c r="AP972" s="81" t="b">
        <v>0</v>
      </c>
      <c r="AQ972" s="86" t="s">
        <v>1848</v>
      </c>
      <c r="AR972" s="81" t="s">
        <v>179</v>
      </c>
      <c r="AS972" s="81">
        <v>0</v>
      </c>
      <c r="AT972" s="81">
        <v>0</v>
      </c>
      <c r="AU972" s="81"/>
      <c r="AV972" s="81"/>
      <c r="AW972" s="81"/>
      <c r="AX972" s="81"/>
      <c r="AY972" s="81"/>
      <c r="AZ972" s="81"/>
      <c r="BA972" s="81"/>
      <c r="BB972" s="81"/>
    </row>
    <row r="973" spans="1:54" x14ac:dyDescent="0.35">
      <c r="A973" s="66" t="s">
        <v>460</v>
      </c>
      <c r="B973" s="66" t="s">
        <v>648</v>
      </c>
      <c r="C973" s="67"/>
      <c r="D973" s="68"/>
      <c r="E973" s="69"/>
      <c r="F973" s="70"/>
      <c r="G973" s="67"/>
      <c r="H973" s="71"/>
      <c r="I973" s="72"/>
      <c r="J973" s="72"/>
      <c r="K973" s="36"/>
      <c r="L973" s="79"/>
      <c r="M973" s="79"/>
      <c r="N973" s="74"/>
      <c r="O973" s="81" t="s">
        <v>694</v>
      </c>
      <c r="P973" s="83">
        <v>44464.284317129626</v>
      </c>
      <c r="Q973" s="81" t="s">
        <v>802</v>
      </c>
      <c r="R973" s="81"/>
      <c r="S973" s="81"/>
      <c r="T973" s="86" t="s">
        <v>649</v>
      </c>
      <c r="U973" s="84" t="str">
        <f>HYPERLINK("https://pbs.twimg.com/media/FAEa_mFUYAcoKUu.jpg")</f>
        <v>https://pbs.twimg.com/media/FAEa_mFUYAcoKUu.jpg</v>
      </c>
      <c r="V973" s="84" t="str">
        <f>HYPERLINK("https://pbs.twimg.com/media/FAEa_mFUYAcoKUu.jpg")</f>
        <v>https://pbs.twimg.com/media/FAEa_mFUYAcoKUu.jpg</v>
      </c>
      <c r="W973" s="83">
        <v>44464.284317129626</v>
      </c>
      <c r="X973" s="89">
        <v>44464</v>
      </c>
      <c r="Y973" s="86" t="s">
        <v>1310</v>
      </c>
      <c r="Z973" s="84" t="str">
        <f>HYPERLINK("https://twitter.com/piwpiwjoon/status/1441656068090646535")</f>
        <v>https://twitter.com/piwpiwjoon/status/1441656068090646535</v>
      </c>
      <c r="AA973" s="81"/>
      <c r="AB973" s="81"/>
      <c r="AC973" s="86" t="s">
        <v>1805</v>
      </c>
      <c r="AD973" s="81"/>
      <c r="AE973" s="81" t="b">
        <v>0</v>
      </c>
      <c r="AF973" s="81">
        <v>0</v>
      </c>
      <c r="AG973" s="86" t="s">
        <v>2084</v>
      </c>
      <c r="AH973" s="81" t="b">
        <v>0</v>
      </c>
      <c r="AI973" s="81" t="s">
        <v>2168</v>
      </c>
      <c r="AJ973" s="81"/>
      <c r="AK973" s="86" t="s">
        <v>2084</v>
      </c>
      <c r="AL973" s="81" t="b">
        <v>0</v>
      </c>
      <c r="AM973" s="81">
        <v>24</v>
      </c>
      <c r="AN973" s="86" t="s">
        <v>1848</v>
      </c>
      <c r="AO973" s="86" t="s">
        <v>2178</v>
      </c>
      <c r="AP973" s="81" t="b">
        <v>0</v>
      </c>
      <c r="AQ973" s="86" t="s">
        <v>1848</v>
      </c>
      <c r="AR973" s="81" t="s">
        <v>179</v>
      </c>
      <c r="AS973" s="81">
        <v>0</v>
      </c>
      <c r="AT973" s="81">
        <v>0</v>
      </c>
      <c r="AU973" s="81"/>
      <c r="AV973" s="81"/>
      <c r="AW973" s="81"/>
      <c r="AX973" s="81"/>
      <c r="AY973" s="81"/>
      <c r="AZ973" s="81"/>
      <c r="BA973" s="81"/>
      <c r="BB973" s="81"/>
    </row>
    <row r="974" spans="1:54" x14ac:dyDescent="0.35">
      <c r="A974" s="66" t="s">
        <v>460</v>
      </c>
      <c r="B974" s="66" t="s">
        <v>649</v>
      </c>
      <c r="C974" s="67"/>
      <c r="D974" s="68"/>
      <c r="E974" s="69"/>
      <c r="F974" s="70"/>
      <c r="G974" s="67"/>
      <c r="H974" s="71"/>
      <c r="I974" s="72"/>
      <c r="J974" s="72"/>
      <c r="K974" s="36"/>
      <c r="L974" s="79"/>
      <c r="M974" s="79"/>
      <c r="N974" s="74"/>
      <c r="O974" s="81" t="s">
        <v>694</v>
      </c>
      <c r="P974" s="83">
        <v>44464.284317129626</v>
      </c>
      <c r="Q974" s="81" t="s">
        <v>802</v>
      </c>
      <c r="R974" s="81"/>
      <c r="S974" s="81"/>
      <c r="T974" s="86" t="s">
        <v>649</v>
      </c>
      <c r="U974" s="84" t="str">
        <f>HYPERLINK("https://pbs.twimg.com/media/FAEa_mFUYAcoKUu.jpg")</f>
        <v>https://pbs.twimg.com/media/FAEa_mFUYAcoKUu.jpg</v>
      </c>
      <c r="V974" s="84" t="str">
        <f>HYPERLINK("https://pbs.twimg.com/media/FAEa_mFUYAcoKUu.jpg")</f>
        <v>https://pbs.twimg.com/media/FAEa_mFUYAcoKUu.jpg</v>
      </c>
      <c r="W974" s="83">
        <v>44464.284317129626</v>
      </c>
      <c r="X974" s="89">
        <v>44464</v>
      </c>
      <c r="Y974" s="86" t="s">
        <v>1310</v>
      </c>
      <c r="Z974" s="84" t="str">
        <f>HYPERLINK("https://twitter.com/piwpiwjoon/status/1441656068090646535")</f>
        <v>https://twitter.com/piwpiwjoon/status/1441656068090646535</v>
      </c>
      <c r="AA974" s="81"/>
      <c r="AB974" s="81"/>
      <c r="AC974" s="86" t="s">
        <v>1805</v>
      </c>
      <c r="AD974" s="81"/>
      <c r="AE974" s="81" t="b">
        <v>0</v>
      </c>
      <c r="AF974" s="81">
        <v>0</v>
      </c>
      <c r="AG974" s="86" t="s">
        <v>2084</v>
      </c>
      <c r="AH974" s="81" t="b">
        <v>0</v>
      </c>
      <c r="AI974" s="81" t="s">
        <v>2168</v>
      </c>
      <c r="AJ974" s="81"/>
      <c r="AK974" s="86" t="s">
        <v>2084</v>
      </c>
      <c r="AL974" s="81" t="b">
        <v>0</v>
      </c>
      <c r="AM974" s="81">
        <v>24</v>
      </c>
      <c r="AN974" s="86" t="s">
        <v>1848</v>
      </c>
      <c r="AO974" s="86" t="s">
        <v>2178</v>
      </c>
      <c r="AP974" s="81" t="b">
        <v>0</v>
      </c>
      <c r="AQ974" s="86" t="s">
        <v>1848</v>
      </c>
      <c r="AR974" s="81" t="s">
        <v>179</v>
      </c>
      <c r="AS974" s="81">
        <v>0</v>
      </c>
      <c r="AT974" s="81">
        <v>0</v>
      </c>
      <c r="AU974" s="81"/>
      <c r="AV974" s="81"/>
      <c r="AW974" s="81"/>
      <c r="AX974" s="81"/>
      <c r="AY974" s="81"/>
      <c r="AZ974" s="81"/>
      <c r="BA974" s="81"/>
      <c r="BB974" s="81"/>
    </row>
    <row r="975" spans="1:54" x14ac:dyDescent="0.35">
      <c r="A975" s="66" t="s">
        <v>460</v>
      </c>
      <c r="B975" s="66" t="s">
        <v>496</v>
      </c>
      <c r="C975" s="67"/>
      <c r="D975" s="68"/>
      <c r="E975" s="69"/>
      <c r="F975" s="70"/>
      <c r="G975" s="67"/>
      <c r="H975" s="71"/>
      <c r="I975" s="72"/>
      <c r="J975" s="72"/>
      <c r="K975" s="36"/>
      <c r="L975" s="79"/>
      <c r="M975" s="79"/>
      <c r="N975" s="74"/>
      <c r="O975" s="81" t="s">
        <v>693</v>
      </c>
      <c r="P975" s="83">
        <v>44464.284317129626</v>
      </c>
      <c r="Q975" s="81" t="s">
        <v>802</v>
      </c>
      <c r="R975" s="81"/>
      <c r="S975" s="81"/>
      <c r="T975" s="86" t="s">
        <v>649</v>
      </c>
      <c r="U975" s="84" t="str">
        <f>HYPERLINK("https://pbs.twimg.com/media/FAEa_mFUYAcoKUu.jpg")</f>
        <v>https://pbs.twimg.com/media/FAEa_mFUYAcoKUu.jpg</v>
      </c>
      <c r="V975" s="84" t="str">
        <f>HYPERLINK("https://pbs.twimg.com/media/FAEa_mFUYAcoKUu.jpg")</f>
        <v>https://pbs.twimg.com/media/FAEa_mFUYAcoKUu.jpg</v>
      </c>
      <c r="W975" s="83">
        <v>44464.284317129626</v>
      </c>
      <c r="X975" s="89">
        <v>44464</v>
      </c>
      <c r="Y975" s="86" t="s">
        <v>1310</v>
      </c>
      <c r="Z975" s="84" t="str">
        <f>HYPERLINK("https://twitter.com/piwpiwjoon/status/1441656068090646535")</f>
        <v>https://twitter.com/piwpiwjoon/status/1441656068090646535</v>
      </c>
      <c r="AA975" s="81"/>
      <c r="AB975" s="81"/>
      <c r="AC975" s="86" t="s">
        <v>1805</v>
      </c>
      <c r="AD975" s="81"/>
      <c r="AE975" s="81" t="b">
        <v>0</v>
      </c>
      <c r="AF975" s="81">
        <v>0</v>
      </c>
      <c r="AG975" s="86" t="s">
        <v>2084</v>
      </c>
      <c r="AH975" s="81" t="b">
        <v>0</v>
      </c>
      <c r="AI975" s="81" t="s">
        <v>2168</v>
      </c>
      <c r="AJ975" s="81"/>
      <c r="AK975" s="86" t="s">
        <v>2084</v>
      </c>
      <c r="AL975" s="81" t="b">
        <v>0</v>
      </c>
      <c r="AM975" s="81">
        <v>24</v>
      </c>
      <c r="AN975" s="86" t="s">
        <v>1848</v>
      </c>
      <c r="AO975" s="86" t="s">
        <v>2178</v>
      </c>
      <c r="AP975" s="81" t="b">
        <v>0</v>
      </c>
      <c r="AQ975" s="86" t="s">
        <v>1848</v>
      </c>
      <c r="AR975" s="81" t="s">
        <v>179</v>
      </c>
      <c r="AS975" s="81">
        <v>0</v>
      </c>
      <c r="AT975" s="81">
        <v>0</v>
      </c>
      <c r="AU975" s="81"/>
      <c r="AV975" s="81"/>
      <c r="AW975" s="81"/>
      <c r="AX975" s="81"/>
      <c r="AY975" s="81"/>
      <c r="AZ975" s="81"/>
      <c r="BA975" s="81"/>
      <c r="BB975" s="81"/>
    </row>
    <row r="976" spans="1:54" x14ac:dyDescent="0.35">
      <c r="A976" s="66" t="s">
        <v>461</v>
      </c>
      <c r="B976" s="66" t="s">
        <v>461</v>
      </c>
      <c r="C976" s="67"/>
      <c r="D976" s="68"/>
      <c r="E976" s="69"/>
      <c r="F976" s="70"/>
      <c r="G976" s="67"/>
      <c r="H976" s="71"/>
      <c r="I976" s="72"/>
      <c r="J976" s="72"/>
      <c r="K976" s="36"/>
      <c r="L976" s="79"/>
      <c r="M976" s="79"/>
      <c r="N976" s="74"/>
      <c r="O976" s="81" t="s">
        <v>179</v>
      </c>
      <c r="P976" s="83">
        <v>44463.512071759258</v>
      </c>
      <c r="Q976" s="81" t="s">
        <v>794</v>
      </c>
      <c r="R976" s="81"/>
      <c r="S976" s="81"/>
      <c r="T976" s="86" t="s">
        <v>972</v>
      </c>
      <c r="U976" s="84" t="str">
        <f>HYPERLINK("https://pbs.twimg.com/media/FADMBqAUUAAn8ca.jpg")</f>
        <v>https://pbs.twimg.com/media/FADMBqAUUAAn8ca.jpg</v>
      </c>
      <c r="V976" s="84" t="str">
        <f>HYPERLINK("https://pbs.twimg.com/media/FADMBqAUUAAn8ca.jpg")</f>
        <v>https://pbs.twimg.com/media/FADMBqAUUAAn8ca.jpg</v>
      </c>
      <c r="W976" s="83">
        <v>44463.512071759258</v>
      </c>
      <c r="X976" s="89">
        <v>44463</v>
      </c>
      <c r="Y976" s="86" t="s">
        <v>1311</v>
      </c>
      <c r="Z976" s="84" t="str">
        <f>HYPERLINK("https://twitter.com/seungvocado22/status/1441376213688205315")</f>
        <v>https://twitter.com/seungvocado22/status/1441376213688205315</v>
      </c>
      <c r="AA976" s="81"/>
      <c r="AB976" s="81"/>
      <c r="AC976" s="86" t="s">
        <v>1806</v>
      </c>
      <c r="AD976" s="81"/>
      <c r="AE976" s="81" t="b">
        <v>0</v>
      </c>
      <c r="AF976" s="81">
        <v>8</v>
      </c>
      <c r="AG976" s="86" t="s">
        <v>2084</v>
      </c>
      <c r="AH976" s="81" t="b">
        <v>0</v>
      </c>
      <c r="AI976" s="81" t="s">
        <v>2168</v>
      </c>
      <c r="AJ976" s="81"/>
      <c r="AK976" s="86" t="s">
        <v>2084</v>
      </c>
      <c r="AL976" s="81" t="b">
        <v>0</v>
      </c>
      <c r="AM976" s="81">
        <v>9</v>
      </c>
      <c r="AN976" s="86" t="s">
        <v>2084</v>
      </c>
      <c r="AO976" s="86" t="s">
        <v>2178</v>
      </c>
      <c r="AP976" s="81" t="b">
        <v>0</v>
      </c>
      <c r="AQ976" s="86" t="s">
        <v>1806</v>
      </c>
      <c r="AR976" s="81" t="s">
        <v>179</v>
      </c>
      <c r="AS976" s="81">
        <v>0</v>
      </c>
      <c r="AT976" s="81">
        <v>0</v>
      </c>
      <c r="AU976" s="81"/>
      <c r="AV976" s="81"/>
      <c r="AW976" s="81"/>
      <c r="AX976" s="81"/>
      <c r="AY976" s="81"/>
      <c r="AZ976" s="81"/>
      <c r="BA976" s="81"/>
      <c r="BB976" s="81"/>
    </row>
    <row r="977" spans="1:54" x14ac:dyDescent="0.35">
      <c r="A977" s="66" t="s">
        <v>462</v>
      </c>
      <c r="B977" s="66" t="s">
        <v>461</v>
      </c>
      <c r="C977" s="67"/>
      <c r="D977" s="68"/>
      <c r="E977" s="69"/>
      <c r="F977" s="70"/>
      <c r="G977" s="67"/>
      <c r="H977" s="71"/>
      <c r="I977" s="72"/>
      <c r="J977" s="72"/>
      <c r="K977" s="36"/>
      <c r="L977" s="79"/>
      <c r="M977" s="79"/>
      <c r="N977" s="74"/>
      <c r="O977" s="81" t="s">
        <v>693</v>
      </c>
      <c r="P977" s="83">
        <v>44464.124456018515</v>
      </c>
      <c r="Q977" s="81" t="s">
        <v>794</v>
      </c>
      <c r="R977" s="81"/>
      <c r="S977" s="81"/>
      <c r="T977" s="86" t="s">
        <v>972</v>
      </c>
      <c r="U977" s="84" t="str">
        <f>HYPERLINK("https://pbs.twimg.com/media/FADMBqAUUAAn8ca.jpg")</f>
        <v>https://pbs.twimg.com/media/FADMBqAUUAAn8ca.jpg</v>
      </c>
      <c r="V977" s="84" t="str">
        <f>HYPERLINK("https://pbs.twimg.com/media/FADMBqAUUAAn8ca.jpg")</f>
        <v>https://pbs.twimg.com/media/FADMBqAUUAAn8ca.jpg</v>
      </c>
      <c r="W977" s="83">
        <v>44464.124456018515</v>
      </c>
      <c r="X977" s="89">
        <v>44464</v>
      </c>
      <c r="Y977" s="86" t="s">
        <v>1312</v>
      </c>
      <c r="Z977" s="84" t="str">
        <f>HYPERLINK("https://twitter.com/ffairykoo/status/1441598132769341445")</f>
        <v>https://twitter.com/ffairykoo/status/1441598132769341445</v>
      </c>
      <c r="AA977" s="81"/>
      <c r="AB977" s="81"/>
      <c r="AC977" s="86" t="s">
        <v>1807</v>
      </c>
      <c r="AD977" s="81"/>
      <c r="AE977" s="81" t="b">
        <v>0</v>
      </c>
      <c r="AF977" s="81">
        <v>0</v>
      </c>
      <c r="AG977" s="86" t="s">
        <v>2084</v>
      </c>
      <c r="AH977" s="81" t="b">
        <v>0</v>
      </c>
      <c r="AI977" s="81" t="s">
        <v>2168</v>
      </c>
      <c r="AJ977" s="81"/>
      <c r="AK977" s="86" t="s">
        <v>2084</v>
      </c>
      <c r="AL977" s="81" t="b">
        <v>0</v>
      </c>
      <c r="AM977" s="81">
        <v>9</v>
      </c>
      <c r="AN977" s="86" t="s">
        <v>1806</v>
      </c>
      <c r="AO977" s="86" t="s">
        <v>2178</v>
      </c>
      <c r="AP977" s="81" t="b">
        <v>0</v>
      </c>
      <c r="AQ977" s="86" t="s">
        <v>1806</v>
      </c>
      <c r="AR977" s="81" t="s">
        <v>179</v>
      </c>
      <c r="AS977" s="81">
        <v>0</v>
      </c>
      <c r="AT977" s="81">
        <v>0</v>
      </c>
      <c r="AU977" s="81"/>
      <c r="AV977" s="81"/>
      <c r="AW977" s="81"/>
      <c r="AX977" s="81"/>
      <c r="AY977" s="81"/>
      <c r="AZ977" s="81"/>
      <c r="BA977" s="81"/>
      <c r="BB977" s="81"/>
    </row>
    <row r="978" spans="1:54" x14ac:dyDescent="0.35">
      <c r="A978" s="66" t="s">
        <v>462</v>
      </c>
      <c r="B978" s="66" t="s">
        <v>646</v>
      </c>
      <c r="C978" s="67"/>
      <c r="D978" s="68"/>
      <c r="E978" s="69"/>
      <c r="F978" s="70"/>
      <c r="G978" s="67"/>
      <c r="H978" s="71"/>
      <c r="I978" s="72"/>
      <c r="J978" s="72"/>
      <c r="K978" s="36"/>
      <c r="L978" s="79"/>
      <c r="M978" s="79"/>
      <c r="N978" s="74"/>
      <c r="O978" s="81" t="s">
        <v>694</v>
      </c>
      <c r="P978" s="83">
        <v>44464.284409722219</v>
      </c>
      <c r="Q978" s="81" t="s">
        <v>802</v>
      </c>
      <c r="R978" s="81"/>
      <c r="S978" s="81"/>
      <c r="T978" s="86" t="s">
        <v>649</v>
      </c>
      <c r="U978" s="84" t="str">
        <f>HYPERLINK("https://pbs.twimg.com/media/FAEa_mFUYAcoKUu.jpg")</f>
        <v>https://pbs.twimg.com/media/FAEa_mFUYAcoKUu.jpg</v>
      </c>
      <c r="V978" s="84" t="str">
        <f>HYPERLINK("https://pbs.twimg.com/media/FAEa_mFUYAcoKUu.jpg")</f>
        <v>https://pbs.twimg.com/media/FAEa_mFUYAcoKUu.jpg</v>
      </c>
      <c r="W978" s="83">
        <v>44464.284409722219</v>
      </c>
      <c r="X978" s="89">
        <v>44464</v>
      </c>
      <c r="Y978" s="86" t="s">
        <v>1313</v>
      </c>
      <c r="Z978" s="84" t="str">
        <f>HYPERLINK("https://twitter.com/ffairykoo/status/1441656098386182156")</f>
        <v>https://twitter.com/ffairykoo/status/1441656098386182156</v>
      </c>
      <c r="AA978" s="81"/>
      <c r="AB978" s="81"/>
      <c r="AC978" s="86" t="s">
        <v>1808</v>
      </c>
      <c r="AD978" s="81"/>
      <c r="AE978" s="81" t="b">
        <v>0</v>
      </c>
      <c r="AF978" s="81">
        <v>0</v>
      </c>
      <c r="AG978" s="86" t="s">
        <v>2084</v>
      </c>
      <c r="AH978" s="81" t="b">
        <v>0</v>
      </c>
      <c r="AI978" s="81" t="s">
        <v>2168</v>
      </c>
      <c r="AJ978" s="81"/>
      <c r="AK978" s="86" t="s">
        <v>2084</v>
      </c>
      <c r="AL978" s="81" t="b">
        <v>0</v>
      </c>
      <c r="AM978" s="81">
        <v>24</v>
      </c>
      <c r="AN978" s="86" t="s">
        <v>1848</v>
      </c>
      <c r="AO978" s="86" t="s">
        <v>2178</v>
      </c>
      <c r="AP978" s="81" t="b">
        <v>0</v>
      </c>
      <c r="AQ978" s="86" t="s">
        <v>1848</v>
      </c>
      <c r="AR978" s="81" t="s">
        <v>179</v>
      </c>
      <c r="AS978" s="81">
        <v>0</v>
      </c>
      <c r="AT978" s="81">
        <v>0</v>
      </c>
      <c r="AU978" s="81"/>
      <c r="AV978" s="81"/>
      <c r="AW978" s="81"/>
      <c r="AX978" s="81"/>
      <c r="AY978" s="81"/>
      <c r="AZ978" s="81"/>
      <c r="BA978" s="81"/>
      <c r="BB978" s="81"/>
    </row>
    <row r="979" spans="1:54" x14ac:dyDescent="0.35">
      <c r="A979" s="66" t="s">
        <v>462</v>
      </c>
      <c r="B979" s="66" t="s">
        <v>647</v>
      </c>
      <c r="C979" s="67"/>
      <c r="D979" s="68"/>
      <c r="E979" s="69"/>
      <c r="F979" s="70"/>
      <c r="G979" s="67"/>
      <c r="H979" s="71"/>
      <c r="I979" s="72"/>
      <c r="J979" s="72"/>
      <c r="K979" s="36"/>
      <c r="L979" s="79"/>
      <c r="M979" s="79"/>
      <c r="N979" s="74"/>
      <c r="O979" s="81" t="s">
        <v>694</v>
      </c>
      <c r="P979" s="83">
        <v>44464.284409722219</v>
      </c>
      <c r="Q979" s="81" t="s">
        <v>802</v>
      </c>
      <c r="R979" s="81"/>
      <c r="S979" s="81"/>
      <c r="T979" s="86" t="s">
        <v>649</v>
      </c>
      <c r="U979" s="84" t="str">
        <f>HYPERLINK("https://pbs.twimg.com/media/FAEa_mFUYAcoKUu.jpg")</f>
        <v>https://pbs.twimg.com/media/FAEa_mFUYAcoKUu.jpg</v>
      </c>
      <c r="V979" s="84" t="str">
        <f>HYPERLINK("https://pbs.twimg.com/media/FAEa_mFUYAcoKUu.jpg")</f>
        <v>https://pbs.twimg.com/media/FAEa_mFUYAcoKUu.jpg</v>
      </c>
      <c r="W979" s="83">
        <v>44464.284409722219</v>
      </c>
      <c r="X979" s="89">
        <v>44464</v>
      </c>
      <c r="Y979" s="86" t="s">
        <v>1313</v>
      </c>
      <c r="Z979" s="84" t="str">
        <f>HYPERLINK("https://twitter.com/ffairykoo/status/1441656098386182156")</f>
        <v>https://twitter.com/ffairykoo/status/1441656098386182156</v>
      </c>
      <c r="AA979" s="81"/>
      <c r="AB979" s="81"/>
      <c r="AC979" s="86" t="s">
        <v>1808</v>
      </c>
      <c r="AD979" s="81"/>
      <c r="AE979" s="81" t="b">
        <v>0</v>
      </c>
      <c r="AF979" s="81">
        <v>0</v>
      </c>
      <c r="AG979" s="86" t="s">
        <v>2084</v>
      </c>
      <c r="AH979" s="81" t="b">
        <v>0</v>
      </c>
      <c r="AI979" s="81" t="s">
        <v>2168</v>
      </c>
      <c r="AJ979" s="81"/>
      <c r="AK979" s="86" t="s">
        <v>2084</v>
      </c>
      <c r="AL979" s="81" t="b">
        <v>0</v>
      </c>
      <c r="AM979" s="81">
        <v>24</v>
      </c>
      <c r="AN979" s="86" t="s">
        <v>1848</v>
      </c>
      <c r="AO979" s="86" t="s">
        <v>2178</v>
      </c>
      <c r="AP979" s="81" t="b">
        <v>0</v>
      </c>
      <c r="AQ979" s="86" t="s">
        <v>1848</v>
      </c>
      <c r="AR979" s="81" t="s">
        <v>179</v>
      </c>
      <c r="AS979" s="81">
        <v>0</v>
      </c>
      <c r="AT979" s="81">
        <v>0</v>
      </c>
      <c r="AU979" s="81"/>
      <c r="AV979" s="81"/>
      <c r="AW979" s="81"/>
      <c r="AX979" s="81"/>
      <c r="AY979" s="81"/>
      <c r="AZ979" s="81"/>
      <c r="BA979" s="81"/>
      <c r="BB979" s="81"/>
    </row>
    <row r="980" spans="1:54" x14ac:dyDescent="0.35">
      <c r="A980" s="66" t="s">
        <v>462</v>
      </c>
      <c r="B980" s="66" t="s">
        <v>648</v>
      </c>
      <c r="C980" s="67"/>
      <c r="D980" s="68"/>
      <c r="E980" s="69"/>
      <c r="F980" s="70"/>
      <c r="G980" s="67"/>
      <c r="H980" s="71"/>
      <c r="I980" s="72"/>
      <c r="J980" s="72"/>
      <c r="K980" s="36"/>
      <c r="L980" s="79"/>
      <c r="M980" s="79"/>
      <c r="N980" s="74"/>
      <c r="O980" s="81" t="s">
        <v>694</v>
      </c>
      <c r="P980" s="83">
        <v>44464.284409722219</v>
      </c>
      <c r="Q980" s="81" t="s">
        <v>802</v>
      </c>
      <c r="R980" s="81"/>
      <c r="S980" s="81"/>
      <c r="T980" s="86" t="s">
        <v>649</v>
      </c>
      <c r="U980" s="84" t="str">
        <f>HYPERLINK("https://pbs.twimg.com/media/FAEa_mFUYAcoKUu.jpg")</f>
        <v>https://pbs.twimg.com/media/FAEa_mFUYAcoKUu.jpg</v>
      </c>
      <c r="V980" s="84" t="str">
        <f>HYPERLINK("https://pbs.twimg.com/media/FAEa_mFUYAcoKUu.jpg")</f>
        <v>https://pbs.twimg.com/media/FAEa_mFUYAcoKUu.jpg</v>
      </c>
      <c r="W980" s="83">
        <v>44464.284409722219</v>
      </c>
      <c r="X980" s="89">
        <v>44464</v>
      </c>
      <c r="Y980" s="86" t="s">
        <v>1313</v>
      </c>
      <c r="Z980" s="84" t="str">
        <f>HYPERLINK("https://twitter.com/ffairykoo/status/1441656098386182156")</f>
        <v>https://twitter.com/ffairykoo/status/1441656098386182156</v>
      </c>
      <c r="AA980" s="81"/>
      <c r="AB980" s="81"/>
      <c r="AC980" s="86" t="s">
        <v>1808</v>
      </c>
      <c r="AD980" s="81"/>
      <c r="AE980" s="81" t="b">
        <v>0</v>
      </c>
      <c r="AF980" s="81">
        <v>0</v>
      </c>
      <c r="AG980" s="86" t="s">
        <v>2084</v>
      </c>
      <c r="AH980" s="81" t="b">
        <v>0</v>
      </c>
      <c r="AI980" s="81" t="s">
        <v>2168</v>
      </c>
      <c r="AJ980" s="81"/>
      <c r="AK980" s="86" t="s">
        <v>2084</v>
      </c>
      <c r="AL980" s="81" t="b">
        <v>0</v>
      </c>
      <c r="AM980" s="81">
        <v>24</v>
      </c>
      <c r="AN980" s="86" t="s">
        <v>1848</v>
      </c>
      <c r="AO980" s="86" t="s">
        <v>2178</v>
      </c>
      <c r="AP980" s="81" t="b">
        <v>0</v>
      </c>
      <c r="AQ980" s="86" t="s">
        <v>1848</v>
      </c>
      <c r="AR980" s="81" t="s">
        <v>179</v>
      </c>
      <c r="AS980" s="81">
        <v>0</v>
      </c>
      <c r="AT980" s="81">
        <v>0</v>
      </c>
      <c r="AU980" s="81"/>
      <c r="AV980" s="81"/>
      <c r="AW980" s="81"/>
      <c r="AX980" s="81"/>
      <c r="AY980" s="81"/>
      <c r="AZ980" s="81"/>
      <c r="BA980" s="81"/>
      <c r="BB980" s="81"/>
    </row>
    <row r="981" spans="1:54" x14ac:dyDescent="0.35">
      <c r="A981" s="66" t="s">
        <v>462</v>
      </c>
      <c r="B981" s="66" t="s">
        <v>649</v>
      </c>
      <c r="C981" s="67"/>
      <c r="D981" s="68"/>
      <c r="E981" s="69"/>
      <c r="F981" s="70"/>
      <c r="G981" s="67"/>
      <c r="H981" s="71"/>
      <c r="I981" s="72"/>
      <c r="J981" s="72"/>
      <c r="K981" s="36"/>
      <c r="L981" s="79"/>
      <c r="M981" s="79"/>
      <c r="N981" s="74"/>
      <c r="O981" s="81" t="s">
        <v>694</v>
      </c>
      <c r="P981" s="83">
        <v>44464.284409722219</v>
      </c>
      <c r="Q981" s="81" t="s">
        <v>802</v>
      </c>
      <c r="R981" s="81"/>
      <c r="S981" s="81"/>
      <c r="T981" s="86" t="s">
        <v>649</v>
      </c>
      <c r="U981" s="84" t="str">
        <f>HYPERLINK("https://pbs.twimg.com/media/FAEa_mFUYAcoKUu.jpg")</f>
        <v>https://pbs.twimg.com/media/FAEa_mFUYAcoKUu.jpg</v>
      </c>
      <c r="V981" s="84" t="str">
        <f>HYPERLINK("https://pbs.twimg.com/media/FAEa_mFUYAcoKUu.jpg")</f>
        <v>https://pbs.twimg.com/media/FAEa_mFUYAcoKUu.jpg</v>
      </c>
      <c r="W981" s="83">
        <v>44464.284409722219</v>
      </c>
      <c r="X981" s="89">
        <v>44464</v>
      </c>
      <c r="Y981" s="86" t="s">
        <v>1313</v>
      </c>
      <c r="Z981" s="84" t="str">
        <f>HYPERLINK("https://twitter.com/ffairykoo/status/1441656098386182156")</f>
        <v>https://twitter.com/ffairykoo/status/1441656098386182156</v>
      </c>
      <c r="AA981" s="81"/>
      <c r="AB981" s="81"/>
      <c r="AC981" s="86" t="s">
        <v>1808</v>
      </c>
      <c r="AD981" s="81"/>
      <c r="AE981" s="81" t="b">
        <v>0</v>
      </c>
      <c r="AF981" s="81">
        <v>0</v>
      </c>
      <c r="AG981" s="86" t="s">
        <v>2084</v>
      </c>
      <c r="AH981" s="81" t="b">
        <v>0</v>
      </c>
      <c r="AI981" s="81" t="s">
        <v>2168</v>
      </c>
      <c r="AJ981" s="81"/>
      <c r="AK981" s="86" t="s">
        <v>2084</v>
      </c>
      <c r="AL981" s="81" t="b">
        <v>0</v>
      </c>
      <c r="AM981" s="81">
        <v>24</v>
      </c>
      <c r="AN981" s="86" t="s">
        <v>1848</v>
      </c>
      <c r="AO981" s="86" t="s">
        <v>2178</v>
      </c>
      <c r="AP981" s="81" t="b">
        <v>0</v>
      </c>
      <c r="AQ981" s="86" t="s">
        <v>1848</v>
      </c>
      <c r="AR981" s="81" t="s">
        <v>179</v>
      </c>
      <c r="AS981" s="81">
        <v>0</v>
      </c>
      <c r="AT981" s="81">
        <v>0</v>
      </c>
      <c r="AU981" s="81"/>
      <c r="AV981" s="81"/>
      <c r="AW981" s="81"/>
      <c r="AX981" s="81"/>
      <c r="AY981" s="81"/>
      <c r="AZ981" s="81"/>
      <c r="BA981" s="81"/>
      <c r="BB981" s="81"/>
    </row>
    <row r="982" spans="1:54" x14ac:dyDescent="0.35">
      <c r="A982" s="66" t="s">
        <v>462</v>
      </c>
      <c r="B982" s="66" t="s">
        <v>496</v>
      </c>
      <c r="C982" s="67"/>
      <c r="D982" s="68"/>
      <c r="E982" s="69"/>
      <c r="F982" s="70"/>
      <c r="G982" s="67"/>
      <c r="H982" s="71"/>
      <c r="I982" s="72"/>
      <c r="J982" s="72"/>
      <c r="K982" s="36"/>
      <c r="L982" s="79"/>
      <c r="M982" s="79"/>
      <c r="N982" s="74"/>
      <c r="O982" s="81" t="s">
        <v>693</v>
      </c>
      <c r="P982" s="83">
        <v>44464.284409722219</v>
      </c>
      <c r="Q982" s="81" t="s">
        <v>802</v>
      </c>
      <c r="R982" s="81"/>
      <c r="S982" s="81"/>
      <c r="T982" s="86" t="s">
        <v>649</v>
      </c>
      <c r="U982" s="84" t="str">
        <f>HYPERLINK("https://pbs.twimg.com/media/FAEa_mFUYAcoKUu.jpg")</f>
        <v>https://pbs.twimg.com/media/FAEa_mFUYAcoKUu.jpg</v>
      </c>
      <c r="V982" s="84" t="str">
        <f>HYPERLINK("https://pbs.twimg.com/media/FAEa_mFUYAcoKUu.jpg")</f>
        <v>https://pbs.twimg.com/media/FAEa_mFUYAcoKUu.jpg</v>
      </c>
      <c r="W982" s="83">
        <v>44464.284409722219</v>
      </c>
      <c r="X982" s="89">
        <v>44464</v>
      </c>
      <c r="Y982" s="86" t="s">
        <v>1313</v>
      </c>
      <c r="Z982" s="84" t="str">
        <f>HYPERLINK("https://twitter.com/ffairykoo/status/1441656098386182156")</f>
        <v>https://twitter.com/ffairykoo/status/1441656098386182156</v>
      </c>
      <c r="AA982" s="81"/>
      <c r="AB982" s="81"/>
      <c r="AC982" s="86" t="s">
        <v>1808</v>
      </c>
      <c r="AD982" s="81"/>
      <c r="AE982" s="81" t="b">
        <v>0</v>
      </c>
      <c r="AF982" s="81">
        <v>0</v>
      </c>
      <c r="AG982" s="86" t="s">
        <v>2084</v>
      </c>
      <c r="AH982" s="81" t="b">
        <v>0</v>
      </c>
      <c r="AI982" s="81" t="s">
        <v>2168</v>
      </c>
      <c r="AJ982" s="81"/>
      <c r="AK982" s="86" t="s">
        <v>2084</v>
      </c>
      <c r="AL982" s="81" t="b">
        <v>0</v>
      </c>
      <c r="AM982" s="81">
        <v>24</v>
      </c>
      <c r="AN982" s="86" t="s">
        <v>1848</v>
      </c>
      <c r="AO982" s="86" t="s">
        <v>2178</v>
      </c>
      <c r="AP982" s="81" t="b">
        <v>0</v>
      </c>
      <c r="AQ982" s="86" t="s">
        <v>1848</v>
      </c>
      <c r="AR982" s="81" t="s">
        <v>179</v>
      </c>
      <c r="AS982" s="81">
        <v>0</v>
      </c>
      <c r="AT982" s="81">
        <v>0</v>
      </c>
      <c r="AU982" s="81"/>
      <c r="AV982" s="81"/>
      <c r="AW982" s="81"/>
      <c r="AX982" s="81"/>
      <c r="AY982" s="81"/>
      <c r="AZ982" s="81"/>
      <c r="BA982" s="81"/>
      <c r="BB982" s="81"/>
    </row>
    <row r="983" spans="1:54" x14ac:dyDescent="0.35">
      <c r="A983" s="66" t="s">
        <v>463</v>
      </c>
      <c r="B983" s="66" t="s">
        <v>646</v>
      </c>
      <c r="C983" s="67"/>
      <c r="D983" s="68"/>
      <c r="E983" s="69"/>
      <c r="F983" s="70"/>
      <c r="G983" s="67"/>
      <c r="H983" s="71"/>
      <c r="I983" s="72"/>
      <c r="J983" s="72"/>
      <c r="K983" s="36"/>
      <c r="L983" s="79"/>
      <c r="M983" s="79"/>
      <c r="N983" s="74"/>
      <c r="O983" s="81" t="s">
        <v>694</v>
      </c>
      <c r="P983" s="83">
        <v>44464.284479166665</v>
      </c>
      <c r="Q983" s="81" t="s">
        <v>802</v>
      </c>
      <c r="R983" s="81"/>
      <c r="S983" s="81"/>
      <c r="T983" s="86" t="s">
        <v>649</v>
      </c>
      <c r="U983" s="84" t="str">
        <f>HYPERLINK("https://pbs.twimg.com/media/FAEa_mFUYAcoKUu.jpg")</f>
        <v>https://pbs.twimg.com/media/FAEa_mFUYAcoKUu.jpg</v>
      </c>
      <c r="V983" s="84" t="str">
        <f>HYPERLINK("https://pbs.twimg.com/media/FAEa_mFUYAcoKUu.jpg")</f>
        <v>https://pbs.twimg.com/media/FAEa_mFUYAcoKUu.jpg</v>
      </c>
      <c r="W983" s="83">
        <v>44464.284479166665</v>
      </c>
      <c r="X983" s="89">
        <v>44464</v>
      </c>
      <c r="Y983" s="86" t="s">
        <v>1314</v>
      </c>
      <c r="Z983" s="84" t="str">
        <f>HYPERLINK("https://twitter.com/bangtansbaby13/status/1441656123333828612")</f>
        <v>https://twitter.com/bangtansbaby13/status/1441656123333828612</v>
      </c>
      <c r="AA983" s="81"/>
      <c r="AB983" s="81"/>
      <c r="AC983" s="86" t="s">
        <v>1809</v>
      </c>
      <c r="AD983" s="81"/>
      <c r="AE983" s="81" t="b">
        <v>0</v>
      </c>
      <c r="AF983" s="81">
        <v>0</v>
      </c>
      <c r="AG983" s="86" t="s">
        <v>2084</v>
      </c>
      <c r="AH983" s="81" t="b">
        <v>0</v>
      </c>
      <c r="AI983" s="81" t="s">
        <v>2168</v>
      </c>
      <c r="AJ983" s="81"/>
      <c r="AK983" s="86" t="s">
        <v>2084</v>
      </c>
      <c r="AL983" s="81" t="b">
        <v>0</v>
      </c>
      <c r="AM983" s="81">
        <v>24</v>
      </c>
      <c r="AN983" s="86" t="s">
        <v>1848</v>
      </c>
      <c r="AO983" s="86" t="s">
        <v>2178</v>
      </c>
      <c r="AP983" s="81" t="b">
        <v>0</v>
      </c>
      <c r="AQ983" s="86" t="s">
        <v>1848</v>
      </c>
      <c r="AR983" s="81" t="s">
        <v>179</v>
      </c>
      <c r="AS983" s="81">
        <v>0</v>
      </c>
      <c r="AT983" s="81">
        <v>0</v>
      </c>
      <c r="AU983" s="81"/>
      <c r="AV983" s="81"/>
      <c r="AW983" s="81"/>
      <c r="AX983" s="81"/>
      <c r="AY983" s="81"/>
      <c r="AZ983" s="81"/>
      <c r="BA983" s="81"/>
      <c r="BB983" s="81"/>
    </row>
    <row r="984" spans="1:54" x14ac:dyDescent="0.35">
      <c r="A984" s="66" t="s">
        <v>463</v>
      </c>
      <c r="B984" s="66" t="s">
        <v>647</v>
      </c>
      <c r="C984" s="67"/>
      <c r="D984" s="68"/>
      <c r="E984" s="69"/>
      <c r="F984" s="70"/>
      <c r="G984" s="67"/>
      <c r="H984" s="71"/>
      <c r="I984" s="72"/>
      <c r="J984" s="72"/>
      <c r="K984" s="36"/>
      <c r="L984" s="79"/>
      <c r="M984" s="79"/>
      <c r="N984" s="74"/>
      <c r="O984" s="81" t="s">
        <v>694</v>
      </c>
      <c r="P984" s="83">
        <v>44464.284479166665</v>
      </c>
      <c r="Q984" s="81" t="s">
        <v>802</v>
      </c>
      <c r="R984" s="81"/>
      <c r="S984" s="81"/>
      <c r="T984" s="86" t="s">
        <v>649</v>
      </c>
      <c r="U984" s="84" t="str">
        <f>HYPERLINK("https://pbs.twimg.com/media/FAEa_mFUYAcoKUu.jpg")</f>
        <v>https://pbs.twimg.com/media/FAEa_mFUYAcoKUu.jpg</v>
      </c>
      <c r="V984" s="84" t="str">
        <f>HYPERLINK("https://pbs.twimg.com/media/FAEa_mFUYAcoKUu.jpg")</f>
        <v>https://pbs.twimg.com/media/FAEa_mFUYAcoKUu.jpg</v>
      </c>
      <c r="W984" s="83">
        <v>44464.284479166665</v>
      </c>
      <c r="X984" s="89">
        <v>44464</v>
      </c>
      <c r="Y984" s="86" t="s">
        <v>1314</v>
      </c>
      <c r="Z984" s="84" t="str">
        <f>HYPERLINK("https://twitter.com/bangtansbaby13/status/1441656123333828612")</f>
        <v>https://twitter.com/bangtansbaby13/status/1441656123333828612</v>
      </c>
      <c r="AA984" s="81"/>
      <c r="AB984" s="81"/>
      <c r="AC984" s="86" t="s">
        <v>1809</v>
      </c>
      <c r="AD984" s="81"/>
      <c r="AE984" s="81" t="b">
        <v>0</v>
      </c>
      <c r="AF984" s="81">
        <v>0</v>
      </c>
      <c r="AG984" s="86" t="s">
        <v>2084</v>
      </c>
      <c r="AH984" s="81" t="b">
        <v>0</v>
      </c>
      <c r="AI984" s="81" t="s">
        <v>2168</v>
      </c>
      <c r="AJ984" s="81"/>
      <c r="AK984" s="86" t="s">
        <v>2084</v>
      </c>
      <c r="AL984" s="81" t="b">
        <v>0</v>
      </c>
      <c r="AM984" s="81">
        <v>24</v>
      </c>
      <c r="AN984" s="86" t="s">
        <v>1848</v>
      </c>
      <c r="AO984" s="86" t="s">
        <v>2178</v>
      </c>
      <c r="AP984" s="81" t="b">
        <v>0</v>
      </c>
      <c r="AQ984" s="86" t="s">
        <v>1848</v>
      </c>
      <c r="AR984" s="81" t="s">
        <v>179</v>
      </c>
      <c r="AS984" s="81">
        <v>0</v>
      </c>
      <c r="AT984" s="81">
        <v>0</v>
      </c>
      <c r="AU984" s="81"/>
      <c r="AV984" s="81"/>
      <c r="AW984" s="81"/>
      <c r="AX984" s="81"/>
      <c r="AY984" s="81"/>
      <c r="AZ984" s="81"/>
      <c r="BA984" s="81"/>
      <c r="BB984" s="81"/>
    </row>
    <row r="985" spans="1:54" x14ac:dyDescent="0.35">
      <c r="A985" s="66" t="s">
        <v>463</v>
      </c>
      <c r="B985" s="66" t="s">
        <v>648</v>
      </c>
      <c r="C985" s="67"/>
      <c r="D985" s="68"/>
      <c r="E985" s="69"/>
      <c r="F985" s="70"/>
      <c r="G985" s="67"/>
      <c r="H985" s="71"/>
      <c r="I985" s="72"/>
      <c r="J985" s="72"/>
      <c r="K985" s="36"/>
      <c r="L985" s="79"/>
      <c r="M985" s="79"/>
      <c r="N985" s="74"/>
      <c r="O985" s="81" t="s">
        <v>694</v>
      </c>
      <c r="P985" s="83">
        <v>44464.284479166665</v>
      </c>
      <c r="Q985" s="81" t="s">
        <v>802</v>
      </c>
      <c r="R985" s="81"/>
      <c r="S985" s="81"/>
      <c r="T985" s="86" t="s">
        <v>649</v>
      </c>
      <c r="U985" s="84" t="str">
        <f>HYPERLINK("https://pbs.twimg.com/media/FAEa_mFUYAcoKUu.jpg")</f>
        <v>https://pbs.twimg.com/media/FAEa_mFUYAcoKUu.jpg</v>
      </c>
      <c r="V985" s="84" t="str">
        <f>HYPERLINK("https://pbs.twimg.com/media/FAEa_mFUYAcoKUu.jpg")</f>
        <v>https://pbs.twimg.com/media/FAEa_mFUYAcoKUu.jpg</v>
      </c>
      <c r="W985" s="83">
        <v>44464.284479166665</v>
      </c>
      <c r="X985" s="89">
        <v>44464</v>
      </c>
      <c r="Y985" s="86" t="s">
        <v>1314</v>
      </c>
      <c r="Z985" s="84" t="str">
        <f>HYPERLINK("https://twitter.com/bangtansbaby13/status/1441656123333828612")</f>
        <v>https://twitter.com/bangtansbaby13/status/1441656123333828612</v>
      </c>
      <c r="AA985" s="81"/>
      <c r="AB985" s="81"/>
      <c r="AC985" s="86" t="s">
        <v>1809</v>
      </c>
      <c r="AD985" s="81"/>
      <c r="AE985" s="81" t="b">
        <v>0</v>
      </c>
      <c r="AF985" s="81">
        <v>0</v>
      </c>
      <c r="AG985" s="86" t="s">
        <v>2084</v>
      </c>
      <c r="AH985" s="81" t="b">
        <v>0</v>
      </c>
      <c r="AI985" s="81" t="s">
        <v>2168</v>
      </c>
      <c r="AJ985" s="81"/>
      <c r="AK985" s="86" t="s">
        <v>2084</v>
      </c>
      <c r="AL985" s="81" t="b">
        <v>0</v>
      </c>
      <c r="AM985" s="81">
        <v>24</v>
      </c>
      <c r="AN985" s="86" t="s">
        <v>1848</v>
      </c>
      <c r="AO985" s="86" t="s">
        <v>2178</v>
      </c>
      <c r="AP985" s="81" t="b">
        <v>0</v>
      </c>
      <c r="AQ985" s="86" t="s">
        <v>1848</v>
      </c>
      <c r="AR985" s="81" t="s">
        <v>179</v>
      </c>
      <c r="AS985" s="81">
        <v>0</v>
      </c>
      <c r="AT985" s="81">
        <v>0</v>
      </c>
      <c r="AU985" s="81"/>
      <c r="AV985" s="81"/>
      <c r="AW985" s="81"/>
      <c r="AX985" s="81"/>
      <c r="AY985" s="81"/>
      <c r="AZ985" s="81"/>
      <c r="BA985" s="81"/>
      <c r="BB985" s="81"/>
    </row>
    <row r="986" spans="1:54" x14ac:dyDescent="0.35">
      <c r="A986" s="66" t="s">
        <v>463</v>
      </c>
      <c r="B986" s="66" t="s">
        <v>649</v>
      </c>
      <c r="C986" s="67"/>
      <c r="D986" s="68"/>
      <c r="E986" s="69"/>
      <c r="F986" s="70"/>
      <c r="G986" s="67"/>
      <c r="H986" s="71"/>
      <c r="I986" s="72"/>
      <c r="J986" s="72"/>
      <c r="K986" s="36"/>
      <c r="L986" s="79"/>
      <c r="M986" s="79"/>
      <c r="N986" s="74"/>
      <c r="O986" s="81" t="s">
        <v>694</v>
      </c>
      <c r="P986" s="83">
        <v>44464.284479166665</v>
      </c>
      <c r="Q986" s="81" t="s">
        <v>802</v>
      </c>
      <c r="R986" s="81"/>
      <c r="S986" s="81"/>
      <c r="T986" s="86" t="s">
        <v>649</v>
      </c>
      <c r="U986" s="84" t="str">
        <f>HYPERLINK("https://pbs.twimg.com/media/FAEa_mFUYAcoKUu.jpg")</f>
        <v>https://pbs.twimg.com/media/FAEa_mFUYAcoKUu.jpg</v>
      </c>
      <c r="V986" s="84" t="str">
        <f>HYPERLINK("https://pbs.twimg.com/media/FAEa_mFUYAcoKUu.jpg")</f>
        <v>https://pbs.twimg.com/media/FAEa_mFUYAcoKUu.jpg</v>
      </c>
      <c r="W986" s="83">
        <v>44464.284479166665</v>
      </c>
      <c r="X986" s="89">
        <v>44464</v>
      </c>
      <c r="Y986" s="86" t="s">
        <v>1314</v>
      </c>
      <c r="Z986" s="84" t="str">
        <f>HYPERLINK("https://twitter.com/bangtansbaby13/status/1441656123333828612")</f>
        <v>https://twitter.com/bangtansbaby13/status/1441656123333828612</v>
      </c>
      <c r="AA986" s="81"/>
      <c r="AB986" s="81"/>
      <c r="AC986" s="86" t="s">
        <v>1809</v>
      </c>
      <c r="AD986" s="81"/>
      <c r="AE986" s="81" t="b">
        <v>0</v>
      </c>
      <c r="AF986" s="81">
        <v>0</v>
      </c>
      <c r="AG986" s="86" t="s">
        <v>2084</v>
      </c>
      <c r="AH986" s="81" t="b">
        <v>0</v>
      </c>
      <c r="AI986" s="81" t="s">
        <v>2168</v>
      </c>
      <c r="AJ986" s="81"/>
      <c r="AK986" s="86" t="s">
        <v>2084</v>
      </c>
      <c r="AL986" s="81" t="b">
        <v>0</v>
      </c>
      <c r="AM986" s="81">
        <v>24</v>
      </c>
      <c r="AN986" s="86" t="s">
        <v>1848</v>
      </c>
      <c r="AO986" s="86" t="s">
        <v>2178</v>
      </c>
      <c r="AP986" s="81" t="b">
        <v>0</v>
      </c>
      <c r="AQ986" s="86" t="s">
        <v>1848</v>
      </c>
      <c r="AR986" s="81" t="s">
        <v>179</v>
      </c>
      <c r="AS986" s="81">
        <v>0</v>
      </c>
      <c r="AT986" s="81">
        <v>0</v>
      </c>
      <c r="AU986" s="81"/>
      <c r="AV986" s="81"/>
      <c r="AW986" s="81"/>
      <c r="AX986" s="81"/>
      <c r="AY986" s="81"/>
      <c r="AZ986" s="81"/>
      <c r="BA986" s="81"/>
      <c r="BB986" s="81"/>
    </row>
    <row r="987" spans="1:54" x14ac:dyDescent="0.35">
      <c r="A987" s="66" t="s">
        <v>463</v>
      </c>
      <c r="B987" s="66" t="s">
        <v>496</v>
      </c>
      <c r="C987" s="67"/>
      <c r="D987" s="68"/>
      <c r="E987" s="69"/>
      <c r="F987" s="70"/>
      <c r="G987" s="67"/>
      <c r="H987" s="71"/>
      <c r="I987" s="72"/>
      <c r="J987" s="72"/>
      <c r="K987" s="36"/>
      <c r="L987" s="79"/>
      <c r="M987" s="79"/>
      <c r="N987" s="74"/>
      <c r="O987" s="81" t="s">
        <v>693</v>
      </c>
      <c r="P987" s="83">
        <v>44464.284479166665</v>
      </c>
      <c r="Q987" s="81" t="s">
        <v>802</v>
      </c>
      <c r="R987" s="81"/>
      <c r="S987" s="81"/>
      <c r="T987" s="86" t="s">
        <v>649</v>
      </c>
      <c r="U987" s="84" t="str">
        <f>HYPERLINK("https://pbs.twimg.com/media/FAEa_mFUYAcoKUu.jpg")</f>
        <v>https://pbs.twimg.com/media/FAEa_mFUYAcoKUu.jpg</v>
      </c>
      <c r="V987" s="84" t="str">
        <f>HYPERLINK("https://pbs.twimg.com/media/FAEa_mFUYAcoKUu.jpg")</f>
        <v>https://pbs.twimg.com/media/FAEa_mFUYAcoKUu.jpg</v>
      </c>
      <c r="W987" s="83">
        <v>44464.284479166665</v>
      </c>
      <c r="X987" s="89">
        <v>44464</v>
      </c>
      <c r="Y987" s="86" t="s">
        <v>1314</v>
      </c>
      <c r="Z987" s="84" t="str">
        <f>HYPERLINK("https://twitter.com/bangtansbaby13/status/1441656123333828612")</f>
        <v>https://twitter.com/bangtansbaby13/status/1441656123333828612</v>
      </c>
      <c r="AA987" s="81"/>
      <c r="AB987" s="81"/>
      <c r="AC987" s="86" t="s">
        <v>1809</v>
      </c>
      <c r="AD987" s="81"/>
      <c r="AE987" s="81" t="b">
        <v>0</v>
      </c>
      <c r="AF987" s="81">
        <v>0</v>
      </c>
      <c r="AG987" s="86" t="s">
        <v>2084</v>
      </c>
      <c r="AH987" s="81" t="b">
        <v>0</v>
      </c>
      <c r="AI987" s="81" t="s">
        <v>2168</v>
      </c>
      <c r="AJ987" s="81"/>
      <c r="AK987" s="86" t="s">
        <v>2084</v>
      </c>
      <c r="AL987" s="81" t="b">
        <v>0</v>
      </c>
      <c r="AM987" s="81">
        <v>24</v>
      </c>
      <c r="AN987" s="86" t="s">
        <v>1848</v>
      </c>
      <c r="AO987" s="86" t="s">
        <v>2178</v>
      </c>
      <c r="AP987" s="81" t="b">
        <v>0</v>
      </c>
      <c r="AQ987" s="86" t="s">
        <v>1848</v>
      </c>
      <c r="AR987" s="81" t="s">
        <v>179</v>
      </c>
      <c r="AS987" s="81">
        <v>0</v>
      </c>
      <c r="AT987" s="81">
        <v>0</v>
      </c>
      <c r="AU987" s="81"/>
      <c r="AV987" s="81"/>
      <c r="AW987" s="81"/>
      <c r="AX987" s="81"/>
      <c r="AY987" s="81"/>
      <c r="AZ987" s="81"/>
      <c r="BA987" s="81"/>
      <c r="BB987" s="81"/>
    </row>
    <row r="988" spans="1:54" x14ac:dyDescent="0.35">
      <c r="A988" s="66" t="s">
        <v>464</v>
      </c>
      <c r="B988" s="66" t="s">
        <v>646</v>
      </c>
      <c r="C988" s="67"/>
      <c r="D988" s="68"/>
      <c r="E988" s="69"/>
      <c r="F988" s="70"/>
      <c r="G988" s="67"/>
      <c r="H988" s="71"/>
      <c r="I988" s="72"/>
      <c r="J988" s="72"/>
      <c r="K988" s="36"/>
      <c r="L988" s="79"/>
      <c r="M988" s="79"/>
      <c r="N988" s="74"/>
      <c r="O988" s="81" t="s">
        <v>694</v>
      </c>
      <c r="P988" s="83">
        <v>44464.288078703707</v>
      </c>
      <c r="Q988" s="81" t="s">
        <v>802</v>
      </c>
      <c r="R988" s="81"/>
      <c r="S988" s="81"/>
      <c r="T988" s="86" t="s">
        <v>649</v>
      </c>
      <c r="U988" s="84" t="str">
        <f>HYPERLINK("https://pbs.twimg.com/media/FAEa_mFUYAcoKUu.jpg")</f>
        <v>https://pbs.twimg.com/media/FAEa_mFUYAcoKUu.jpg</v>
      </c>
      <c r="V988" s="84" t="str">
        <f>HYPERLINK("https://pbs.twimg.com/media/FAEa_mFUYAcoKUu.jpg")</f>
        <v>https://pbs.twimg.com/media/FAEa_mFUYAcoKUu.jpg</v>
      </c>
      <c r="W988" s="83">
        <v>44464.288078703707</v>
      </c>
      <c r="X988" s="89">
        <v>44464</v>
      </c>
      <c r="Y988" s="86" t="s">
        <v>1315</v>
      </c>
      <c r="Z988" s="84" t="str">
        <f>HYPERLINK("https://twitter.com/bangpdwife/status/1441657429305950211")</f>
        <v>https://twitter.com/bangpdwife/status/1441657429305950211</v>
      </c>
      <c r="AA988" s="81"/>
      <c r="AB988" s="81"/>
      <c r="AC988" s="86" t="s">
        <v>1810</v>
      </c>
      <c r="AD988" s="81"/>
      <c r="AE988" s="81" t="b">
        <v>0</v>
      </c>
      <c r="AF988" s="81">
        <v>0</v>
      </c>
      <c r="AG988" s="86" t="s">
        <v>2084</v>
      </c>
      <c r="AH988" s="81" t="b">
        <v>0</v>
      </c>
      <c r="AI988" s="81" t="s">
        <v>2168</v>
      </c>
      <c r="AJ988" s="81"/>
      <c r="AK988" s="86" t="s">
        <v>2084</v>
      </c>
      <c r="AL988" s="81" t="b">
        <v>0</v>
      </c>
      <c r="AM988" s="81">
        <v>24</v>
      </c>
      <c r="AN988" s="86" t="s">
        <v>1848</v>
      </c>
      <c r="AO988" s="86" t="s">
        <v>2178</v>
      </c>
      <c r="AP988" s="81" t="b">
        <v>0</v>
      </c>
      <c r="AQ988" s="86" t="s">
        <v>1848</v>
      </c>
      <c r="AR988" s="81" t="s">
        <v>179</v>
      </c>
      <c r="AS988" s="81">
        <v>0</v>
      </c>
      <c r="AT988" s="81">
        <v>0</v>
      </c>
      <c r="AU988" s="81"/>
      <c r="AV988" s="81"/>
      <c r="AW988" s="81"/>
      <c r="AX988" s="81"/>
      <c r="AY988" s="81"/>
      <c r="AZ988" s="81"/>
      <c r="BA988" s="81"/>
      <c r="BB988" s="81"/>
    </row>
    <row r="989" spans="1:54" x14ac:dyDescent="0.35">
      <c r="A989" s="66" t="s">
        <v>464</v>
      </c>
      <c r="B989" s="66" t="s">
        <v>647</v>
      </c>
      <c r="C989" s="67"/>
      <c r="D989" s="68"/>
      <c r="E989" s="69"/>
      <c r="F989" s="70"/>
      <c r="G989" s="67"/>
      <c r="H989" s="71"/>
      <c r="I989" s="72"/>
      <c r="J989" s="72"/>
      <c r="K989" s="36"/>
      <c r="L989" s="79"/>
      <c r="M989" s="79"/>
      <c r="N989" s="74"/>
      <c r="O989" s="81" t="s">
        <v>694</v>
      </c>
      <c r="P989" s="83">
        <v>44464.288078703707</v>
      </c>
      <c r="Q989" s="81" t="s">
        <v>802</v>
      </c>
      <c r="R989" s="81"/>
      <c r="S989" s="81"/>
      <c r="T989" s="86" t="s">
        <v>649</v>
      </c>
      <c r="U989" s="84" t="str">
        <f>HYPERLINK("https://pbs.twimg.com/media/FAEa_mFUYAcoKUu.jpg")</f>
        <v>https://pbs.twimg.com/media/FAEa_mFUYAcoKUu.jpg</v>
      </c>
      <c r="V989" s="84" t="str">
        <f>HYPERLINK("https://pbs.twimg.com/media/FAEa_mFUYAcoKUu.jpg")</f>
        <v>https://pbs.twimg.com/media/FAEa_mFUYAcoKUu.jpg</v>
      </c>
      <c r="W989" s="83">
        <v>44464.288078703707</v>
      </c>
      <c r="X989" s="89">
        <v>44464</v>
      </c>
      <c r="Y989" s="86" t="s">
        <v>1315</v>
      </c>
      <c r="Z989" s="84" t="str">
        <f>HYPERLINK("https://twitter.com/bangpdwife/status/1441657429305950211")</f>
        <v>https://twitter.com/bangpdwife/status/1441657429305950211</v>
      </c>
      <c r="AA989" s="81"/>
      <c r="AB989" s="81"/>
      <c r="AC989" s="86" t="s">
        <v>1810</v>
      </c>
      <c r="AD989" s="81"/>
      <c r="AE989" s="81" t="b">
        <v>0</v>
      </c>
      <c r="AF989" s="81">
        <v>0</v>
      </c>
      <c r="AG989" s="86" t="s">
        <v>2084</v>
      </c>
      <c r="AH989" s="81" t="b">
        <v>0</v>
      </c>
      <c r="AI989" s="81" t="s">
        <v>2168</v>
      </c>
      <c r="AJ989" s="81"/>
      <c r="AK989" s="86" t="s">
        <v>2084</v>
      </c>
      <c r="AL989" s="81" t="b">
        <v>0</v>
      </c>
      <c r="AM989" s="81">
        <v>24</v>
      </c>
      <c r="AN989" s="86" t="s">
        <v>1848</v>
      </c>
      <c r="AO989" s="86" t="s">
        <v>2178</v>
      </c>
      <c r="AP989" s="81" t="b">
        <v>0</v>
      </c>
      <c r="AQ989" s="86" t="s">
        <v>1848</v>
      </c>
      <c r="AR989" s="81" t="s">
        <v>179</v>
      </c>
      <c r="AS989" s="81">
        <v>0</v>
      </c>
      <c r="AT989" s="81">
        <v>0</v>
      </c>
      <c r="AU989" s="81"/>
      <c r="AV989" s="81"/>
      <c r="AW989" s="81"/>
      <c r="AX989" s="81"/>
      <c r="AY989" s="81"/>
      <c r="AZ989" s="81"/>
      <c r="BA989" s="81"/>
      <c r="BB989" s="81"/>
    </row>
    <row r="990" spans="1:54" x14ac:dyDescent="0.35">
      <c r="A990" s="66" t="s">
        <v>464</v>
      </c>
      <c r="B990" s="66" t="s">
        <v>648</v>
      </c>
      <c r="C990" s="67"/>
      <c r="D990" s="68"/>
      <c r="E990" s="69"/>
      <c r="F990" s="70"/>
      <c r="G990" s="67"/>
      <c r="H990" s="71"/>
      <c r="I990" s="72"/>
      <c r="J990" s="72"/>
      <c r="K990" s="36"/>
      <c r="L990" s="79"/>
      <c r="M990" s="79"/>
      <c r="N990" s="74"/>
      <c r="O990" s="81" t="s">
        <v>694</v>
      </c>
      <c r="P990" s="83">
        <v>44464.288078703707</v>
      </c>
      <c r="Q990" s="81" t="s">
        <v>802</v>
      </c>
      <c r="R990" s="81"/>
      <c r="S990" s="81"/>
      <c r="T990" s="86" t="s">
        <v>649</v>
      </c>
      <c r="U990" s="84" t="str">
        <f>HYPERLINK("https://pbs.twimg.com/media/FAEa_mFUYAcoKUu.jpg")</f>
        <v>https://pbs.twimg.com/media/FAEa_mFUYAcoKUu.jpg</v>
      </c>
      <c r="V990" s="84" t="str">
        <f>HYPERLINK("https://pbs.twimg.com/media/FAEa_mFUYAcoKUu.jpg")</f>
        <v>https://pbs.twimg.com/media/FAEa_mFUYAcoKUu.jpg</v>
      </c>
      <c r="W990" s="83">
        <v>44464.288078703707</v>
      </c>
      <c r="X990" s="89">
        <v>44464</v>
      </c>
      <c r="Y990" s="86" t="s">
        <v>1315</v>
      </c>
      <c r="Z990" s="84" t="str">
        <f>HYPERLINK("https://twitter.com/bangpdwife/status/1441657429305950211")</f>
        <v>https://twitter.com/bangpdwife/status/1441657429305950211</v>
      </c>
      <c r="AA990" s="81"/>
      <c r="AB990" s="81"/>
      <c r="AC990" s="86" t="s">
        <v>1810</v>
      </c>
      <c r="AD990" s="81"/>
      <c r="AE990" s="81" t="b">
        <v>0</v>
      </c>
      <c r="AF990" s="81">
        <v>0</v>
      </c>
      <c r="AG990" s="86" t="s">
        <v>2084</v>
      </c>
      <c r="AH990" s="81" t="b">
        <v>0</v>
      </c>
      <c r="AI990" s="81" t="s">
        <v>2168</v>
      </c>
      <c r="AJ990" s="81"/>
      <c r="AK990" s="86" t="s">
        <v>2084</v>
      </c>
      <c r="AL990" s="81" t="b">
        <v>0</v>
      </c>
      <c r="AM990" s="81">
        <v>24</v>
      </c>
      <c r="AN990" s="86" t="s">
        <v>1848</v>
      </c>
      <c r="AO990" s="86" t="s">
        <v>2178</v>
      </c>
      <c r="AP990" s="81" t="b">
        <v>0</v>
      </c>
      <c r="AQ990" s="86" t="s">
        <v>1848</v>
      </c>
      <c r="AR990" s="81" t="s">
        <v>179</v>
      </c>
      <c r="AS990" s="81">
        <v>0</v>
      </c>
      <c r="AT990" s="81">
        <v>0</v>
      </c>
      <c r="AU990" s="81"/>
      <c r="AV990" s="81"/>
      <c r="AW990" s="81"/>
      <c r="AX990" s="81"/>
      <c r="AY990" s="81"/>
      <c r="AZ990" s="81"/>
      <c r="BA990" s="81"/>
      <c r="BB990" s="81"/>
    </row>
    <row r="991" spans="1:54" x14ac:dyDescent="0.35">
      <c r="A991" s="66" t="s">
        <v>464</v>
      </c>
      <c r="B991" s="66" t="s">
        <v>649</v>
      </c>
      <c r="C991" s="67"/>
      <c r="D991" s="68"/>
      <c r="E991" s="69"/>
      <c r="F991" s="70"/>
      <c r="G991" s="67"/>
      <c r="H991" s="71"/>
      <c r="I991" s="72"/>
      <c r="J991" s="72"/>
      <c r="K991" s="36"/>
      <c r="L991" s="79"/>
      <c r="M991" s="79"/>
      <c r="N991" s="74"/>
      <c r="O991" s="81" t="s">
        <v>694</v>
      </c>
      <c r="P991" s="83">
        <v>44464.288078703707</v>
      </c>
      <c r="Q991" s="81" t="s">
        <v>802</v>
      </c>
      <c r="R991" s="81"/>
      <c r="S991" s="81"/>
      <c r="T991" s="86" t="s">
        <v>649</v>
      </c>
      <c r="U991" s="84" t="str">
        <f>HYPERLINK("https://pbs.twimg.com/media/FAEa_mFUYAcoKUu.jpg")</f>
        <v>https://pbs.twimg.com/media/FAEa_mFUYAcoKUu.jpg</v>
      </c>
      <c r="V991" s="84" t="str">
        <f>HYPERLINK("https://pbs.twimg.com/media/FAEa_mFUYAcoKUu.jpg")</f>
        <v>https://pbs.twimg.com/media/FAEa_mFUYAcoKUu.jpg</v>
      </c>
      <c r="W991" s="83">
        <v>44464.288078703707</v>
      </c>
      <c r="X991" s="89">
        <v>44464</v>
      </c>
      <c r="Y991" s="86" t="s">
        <v>1315</v>
      </c>
      <c r="Z991" s="84" t="str">
        <f>HYPERLINK("https://twitter.com/bangpdwife/status/1441657429305950211")</f>
        <v>https://twitter.com/bangpdwife/status/1441657429305950211</v>
      </c>
      <c r="AA991" s="81"/>
      <c r="AB991" s="81"/>
      <c r="AC991" s="86" t="s">
        <v>1810</v>
      </c>
      <c r="AD991" s="81"/>
      <c r="AE991" s="81" t="b">
        <v>0</v>
      </c>
      <c r="AF991" s="81">
        <v>0</v>
      </c>
      <c r="AG991" s="86" t="s">
        <v>2084</v>
      </c>
      <c r="AH991" s="81" t="b">
        <v>0</v>
      </c>
      <c r="AI991" s="81" t="s">
        <v>2168</v>
      </c>
      <c r="AJ991" s="81"/>
      <c r="AK991" s="86" t="s">
        <v>2084</v>
      </c>
      <c r="AL991" s="81" t="b">
        <v>0</v>
      </c>
      <c r="AM991" s="81">
        <v>24</v>
      </c>
      <c r="AN991" s="86" t="s">
        <v>1848</v>
      </c>
      <c r="AO991" s="86" t="s">
        <v>2178</v>
      </c>
      <c r="AP991" s="81" t="b">
        <v>0</v>
      </c>
      <c r="AQ991" s="86" t="s">
        <v>1848</v>
      </c>
      <c r="AR991" s="81" t="s">
        <v>179</v>
      </c>
      <c r="AS991" s="81">
        <v>0</v>
      </c>
      <c r="AT991" s="81">
        <v>0</v>
      </c>
      <c r="AU991" s="81"/>
      <c r="AV991" s="81"/>
      <c r="AW991" s="81"/>
      <c r="AX991" s="81"/>
      <c r="AY991" s="81"/>
      <c r="AZ991" s="81"/>
      <c r="BA991" s="81"/>
      <c r="BB991" s="81"/>
    </row>
    <row r="992" spans="1:54" x14ac:dyDescent="0.35">
      <c r="A992" s="66" t="s">
        <v>464</v>
      </c>
      <c r="B992" s="66" t="s">
        <v>496</v>
      </c>
      <c r="C992" s="67"/>
      <c r="D992" s="68"/>
      <c r="E992" s="69"/>
      <c r="F992" s="70"/>
      <c r="G992" s="67"/>
      <c r="H992" s="71"/>
      <c r="I992" s="72"/>
      <c r="J992" s="72"/>
      <c r="K992" s="36"/>
      <c r="L992" s="79"/>
      <c r="M992" s="79"/>
      <c r="N992" s="74"/>
      <c r="O992" s="81" t="s">
        <v>693</v>
      </c>
      <c r="P992" s="83">
        <v>44464.288078703707</v>
      </c>
      <c r="Q992" s="81" t="s">
        <v>802</v>
      </c>
      <c r="R992" s="81"/>
      <c r="S992" s="81"/>
      <c r="T992" s="86" t="s">
        <v>649</v>
      </c>
      <c r="U992" s="84" t="str">
        <f>HYPERLINK("https://pbs.twimg.com/media/FAEa_mFUYAcoKUu.jpg")</f>
        <v>https://pbs.twimg.com/media/FAEa_mFUYAcoKUu.jpg</v>
      </c>
      <c r="V992" s="84" t="str">
        <f>HYPERLINK("https://pbs.twimg.com/media/FAEa_mFUYAcoKUu.jpg")</f>
        <v>https://pbs.twimg.com/media/FAEa_mFUYAcoKUu.jpg</v>
      </c>
      <c r="W992" s="83">
        <v>44464.288078703707</v>
      </c>
      <c r="X992" s="89">
        <v>44464</v>
      </c>
      <c r="Y992" s="86" t="s">
        <v>1315</v>
      </c>
      <c r="Z992" s="84" t="str">
        <f>HYPERLINK("https://twitter.com/bangpdwife/status/1441657429305950211")</f>
        <v>https://twitter.com/bangpdwife/status/1441657429305950211</v>
      </c>
      <c r="AA992" s="81"/>
      <c r="AB992" s="81"/>
      <c r="AC992" s="86" t="s">
        <v>1810</v>
      </c>
      <c r="AD992" s="81"/>
      <c r="AE992" s="81" t="b">
        <v>0</v>
      </c>
      <c r="AF992" s="81">
        <v>0</v>
      </c>
      <c r="AG992" s="86" t="s">
        <v>2084</v>
      </c>
      <c r="AH992" s="81" t="b">
        <v>0</v>
      </c>
      <c r="AI992" s="81" t="s">
        <v>2168</v>
      </c>
      <c r="AJ992" s="81"/>
      <c r="AK992" s="86" t="s">
        <v>2084</v>
      </c>
      <c r="AL992" s="81" t="b">
        <v>0</v>
      </c>
      <c r="AM992" s="81">
        <v>24</v>
      </c>
      <c r="AN992" s="86" t="s">
        <v>1848</v>
      </c>
      <c r="AO992" s="86" t="s">
        <v>2178</v>
      </c>
      <c r="AP992" s="81" t="b">
        <v>0</v>
      </c>
      <c r="AQ992" s="86" t="s">
        <v>1848</v>
      </c>
      <c r="AR992" s="81" t="s">
        <v>179</v>
      </c>
      <c r="AS992" s="81">
        <v>0</v>
      </c>
      <c r="AT992" s="81">
        <v>0</v>
      </c>
      <c r="AU992" s="81"/>
      <c r="AV992" s="81"/>
      <c r="AW992" s="81"/>
      <c r="AX992" s="81"/>
      <c r="AY992" s="81"/>
      <c r="AZ992" s="81"/>
      <c r="BA992" s="81"/>
      <c r="BB992" s="81"/>
    </row>
    <row r="993" spans="1:54" x14ac:dyDescent="0.35">
      <c r="A993" s="66" t="s">
        <v>465</v>
      </c>
      <c r="B993" s="66" t="s">
        <v>646</v>
      </c>
      <c r="C993" s="67"/>
      <c r="D993" s="68"/>
      <c r="E993" s="69"/>
      <c r="F993" s="70"/>
      <c r="G993" s="67"/>
      <c r="H993" s="71"/>
      <c r="I993" s="72"/>
      <c r="J993" s="72"/>
      <c r="K993" s="36"/>
      <c r="L993" s="79"/>
      <c r="M993" s="79"/>
      <c r="N993" s="74"/>
      <c r="O993" s="81" t="s">
        <v>694</v>
      </c>
      <c r="P993" s="83">
        <v>44464.236157407409</v>
      </c>
      <c r="Q993" s="81" t="s">
        <v>804</v>
      </c>
      <c r="R993" s="81"/>
      <c r="S993" s="81"/>
      <c r="T993" s="86" t="s">
        <v>649</v>
      </c>
      <c r="U993" s="84" t="str">
        <f>HYPERLINK("https://pbs.twimg.com/media/FAEaAdPVgAgaH2z.jpg")</f>
        <v>https://pbs.twimg.com/media/FAEaAdPVgAgaH2z.jpg</v>
      </c>
      <c r="V993" s="84" t="str">
        <f>HYPERLINK("https://pbs.twimg.com/media/FAEaAdPVgAgaH2z.jpg")</f>
        <v>https://pbs.twimg.com/media/FAEaAdPVgAgaH2z.jpg</v>
      </c>
      <c r="W993" s="83">
        <v>44464.236157407409</v>
      </c>
      <c r="X993" s="89">
        <v>44464</v>
      </c>
      <c r="Y993" s="86" t="s">
        <v>1316</v>
      </c>
      <c r="Z993" s="84" t="str">
        <f>HYPERLINK("https://twitter.com/pjmnjjkk/status/1441638614023114752")</f>
        <v>https://twitter.com/pjmnjjkk/status/1441638614023114752</v>
      </c>
      <c r="AA993" s="81"/>
      <c r="AB993" s="81"/>
      <c r="AC993" s="86" t="s">
        <v>1811</v>
      </c>
      <c r="AD993" s="81"/>
      <c r="AE993" s="81" t="b">
        <v>0</v>
      </c>
      <c r="AF993" s="81">
        <v>0</v>
      </c>
      <c r="AG993" s="86" t="s">
        <v>2084</v>
      </c>
      <c r="AH993" s="81" t="b">
        <v>0</v>
      </c>
      <c r="AI993" s="81" t="s">
        <v>2168</v>
      </c>
      <c r="AJ993" s="81"/>
      <c r="AK993" s="86" t="s">
        <v>2084</v>
      </c>
      <c r="AL993" s="81" t="b">
        <v>0</v>
      </c>
      <c r="AM993" s="81">
        <v>22</v>
      </c>
      <c r="AN993" s="86" t="s">
        <v>1846</v>
      </c>
      <c r="AO993" s="86" t="s">
        <v>2181</v>
      </c>
      <c r="AP993" s="81" t="b">
        <v>0</v>
      </c>
      <c r="AQ993" s="86" t="s">
        <v>1846</v>
      </c>
      <c r="AR993" s="81" t="s">
        <v>179</v>
      </c>
      <c r="AS993" s="81">
        <v>0</v>
      </c>
      <c r="AT993" s="81">
        <v>0</v>
      </c>
      <c r="AU993" s="81"/>
      <c r="AV993" s="81"/>
      <c r="AW993" s="81"/>
      <c r="AX993" s="81"/>
      <c r="AY993" s="81"/>
      <c r="AZ993" s="81"/>
      <c r="BA993" s="81"/>
      <c r="BB993" s="81"/>
    </row>
    <row r="994" spans="1:54" x14ac:dyDescent="0.35">
      <c r="A994" s="66" t="s">
        <v>465</v>
      </c>
      <c r="B994" s="66" t="s">
        <v>647</v>
      </c>
      <c r="C994" s="67"/>
      <c r="D994" s="68"/>
      <c r="E994" s="69"/>
      <c r="F994" s="70"/>
      <c r="G994" s="67"/>
      <c r="H994" s="71"/>
      <c r="I994" s="72"/>
      <c r="J994" s="72"/>
      <c r="K994" s="36"/>
      <c r="L994" s="79"/>
      <c r="M994" s="79"/>
      <c r="N994" s="74"/>
      <c r="O994" s="81" t="s">
        <v>694</v>
      </c>
      <c r="P994" s="83">
        <v>44464.236157407409</v>
      </c>
      <c r="Q994" s="81" t="s">
        <v>804</v>
      </c>
      <c r="R994" s="81"/>
      <c r="S994" s="81"/>
      <c r="T994" s="86" t="s">
        <v>649</v>
      </c>
      <c r="U994" s="84" t="str">
        <f>HYPERLINK("https://pbs.twimg.com/media/FAEaAdPVgAgaH2z.jpg")</f>
        <v>https://pbs.twimg.com/media/FAEaAdPVgAgaH2z.jpg</v>
      </c>
      <c r="V994" s="84" t="str">
        <f>HYPERLINK("https://pbs.twimg.com/media/FAEaAdPVgAgaH2z.jpg")</f>
        <v>https://pbs.twimg.com/media/FAEaAdPVgAgaH2z.jpg</v>
      </c>
      <c r="W994" s="83">
        <v>44464.236157407409</v>
      </c>
      <c r="X994" s="89">
        <v>44464</v>
      </c>
      <c r="Y994" s="86" t="s">
        <v>1316</v>
      </c>
      <c r="Z994" s="84" t="str">
        <f>HYPERLINK("https://twitter.com/pjmnjjkk/status/1441638614023114752")</f>
        <v>https://twitter.com/pjmnjjkk/status/1441638614023114752</v>
      </c>
      <c r="AA994" s="81"/>
      <c r="AB994" s="81"/>
      <c r="AC994" s="86" t="s">
        <v>1811</v>
      </c>
      <c r="AD994" s="81"/>
      <c r="AE994" s="81" t="b">
        <v>0</v>
      </c>
      <c r="AF994" s="81">
        <v>0</v>
      </c>
      <c r="AG994" s="86" t="s">
        <v>2084</v>
      </c>
      <c r="AH994" s="81" t="b">
        <v>0</v>
      </c>
      <c r="AI994" s="81" t="s">
        <v>2168</v>
      </c>
      <c r="AJ994" s="81"/>
      <c r="AK994" s="86" t="s">
        <v>2084</v>
      </c>
      <c r="AL994" s="81" t="b">
        <v>0</v>
      </c>
      <c r="AM994" s="81">
        <v>22</v>
      </c>
      <c r="AN994" s="86" t="s">
        <v>1846</v>
      </c>
      <c r="AO994" s="86" t="s">
        <v>2181</v>
      </c>
      <c r="AP994" s="81" t="b">
        <v>0</v>
      </c>
      <c r="AQ994" s="86" t="s">
        <v>1846</v>
      </c>
      <c r="AR994" s="81" t="s">
        <v>179</v>
      </c>
      <c r="AS994" s="81">
        <v>0</v>
      </c>
      <c r="AT994" s="81">
        <v>0</v>
      </c>
      <c r="AU994" s="81"/>
      <c r="AV994" s="81"/>
      <c r="AW994" s="81"/>
      <c r="AX994" s="81"/>
      <c r="AY994" s="81"/>
      <c r="AZ994" s="81"/>
      <c r="BA994" s="81"/>
      <c r="BB994" s="81"/>
    </row>
    <row r="995" spans="1:54" x14ac:dyDescent="0.35">
      <c r="A995" s="66" t="s">
        <v>465</v>
      </c>
      <c r="B995" s="66" t="s">
        <v>648</v>
      </c>
      <c r="C995" s="67"/>
      <c r="D995" s="68"/>
      <c r="E995" s="69"/>
      <c r="F995" s="70"/>
      <c r="G995" s="67"/>
      <c r="H995" s="71"/>
      <c r="I995" s="72"/>
      <c r="J995" s="72"/>
      <c r="K995" s="36"/>
      <c r="L995" s="79"/>
      <c r="M995" s="79"/>
      <c r="N995" s="74"/>
      <c r="O995" s="81" t="s">
        <v>694</v>
      </c>
      <c r="P995" s="83">
        <v>44464.236157407409</v>
      </c>
      <c r="Q995" s="81" t="s">
        <v>804</v>
      </c>
      <c r="R995" s="81"/>
      <c r="S995" s="81"/>
      <c r="T995" s="86" t="s">
        <v>649</v>
      </c>
      <c r="U995" s="84" t="str">
        <f>HYPERLINK("https://pbs.twimg.com/media/FAEaAdPVgAgaH2z.jpg")</f>
        <v>https://pbs.twimg.com/media/FAEaAdPVgAgaH2z.jpg</v>
      </c>
      <c r="V995" s="84" t="str">
        <f>HYPERLINK("https://pbs.twimg.com/media/FAEaAdPVgAgaH2z.jpg")</f>
        <v>https://pbs.twimg.com/media/FAEaAdPVgAgaH2z.jpg</v>
      </c>
      <c r="W995" s="83">
        <v>44464.236157407409</v>
      </c>
      <c r="X995" s="89">
        <v>44464</v>
      </c>
      <c r="Y995" s="86" t="s">
        <v>1316</v>
      </c>
      <c r="Z995" s="84" t="str">
        <f>HYPERLINK("https://twitter.com/pjmnjjkk/status/1441638614023114752")</f>
        <v>https://twitter.com/pjmnjjkk/status/1441638614023114752</v>
      </c>
      <c r="AA995" s="81"/>
      <c r="AB995" s="81"/>
      <c r="AC995" s="86" t="s">
        <v>1811</v>
      </c>
      <c r="AD995" s="81"/>
      <c r="AE995" s="81" t="b">
        <v>0</v>
      </c>
      <c r="AF995" s="81">
        <v>0</v>
      </c>
      <c r="AG995" s="86" t="s">
        <v>2084</v>
      </c>
      <c r="AH995" s="81" t="b">
        <v>0</v>
      </c>
      <c r="AI995" s="81" t="s">
        <v>2168</v>
      </c>
      <c r="AJ995" s="81"/>
      <c r="AK995" s="86" t="s">
        <v>2084</v>
      </c>
      <c r="AL995" s="81" t="b">
        <v>0</v>
      </c>
      <c r="AM995" s="81">
        <v>22</v>
      </c>
      <c r="AN995" s="86" t="s">
        <v>1846</v>
      </c>
      <c r="AO995" s="86" t="s">
        <v>2181</v>
      </c>
      <c r="AP995" s="81" t="b">
        <v>0</v>
      </c>
      <c r="AQ995" s="86" t="s">
        <v>1846</v>
      </c>
      <c r="AR995" s="81" t="s">
        <v>179</v>
      </c>
      <c r="AS995" s="81">
        <v>0</v>
      </c>
      <c r="AT995" s="81">
        <v>0</v>
      </c>
      <c r="AU995" s="81"/>
      <c r="AV995" s="81"/>
      <c r="AW995" s="81"/>
      <c r="AX995" s="81"/>
      <c r="AY995" s="81"/>
      <c r="AZ995" s="81"/>
      <c r="BA995" s="81"/>
      <c r="BB995" s="81"/>
    </row>
    <row r="996" spans="1:54" x14ac:dyDescent="0.35">
      <c r="A996" s="66" t="s">
        <v>465</v>
      </c>
      <c r="B996" s="66" t="s">
        <v>649</v>
      </c>
      <c r="C996" s="67"/>
      <c r="D996" s="68"/>
      <c r="E996" s="69"/>
      <c r="F996" s="70"/>
      <c r="G996" s="67"/>
      <c r="H996" s="71"/>
      <c r="I996" s="72"/>
      <c r="J996" s="72"/>
      <c r="K996" s="36"/>
      <c r="L996" s="79"/>
      <c r="M996" s="79"/>
      <c r="N996" s="74"/>
      <c r="O996" s="81" t="s">
        <v>694</v>
      </c>
      <c r="P996" s="83">
        <v>44464.236157407409</v>
      </c>
      <c r="Q996" s="81" t="s">
        <v>804</v>
      </c>
      <c r="R996" s="81"/>
      <c r="S996" s="81"/>
      <c r="T996" s="86" t="s">
        <v>649</v>
      </c>
      <c r="U996" s="84" t="str">
        <f>HYPERLINK("https://pbs.twimg.com/media/FAEaAdPVgAgaH2z.jpg")</f>
        <v>https://pbs.twimg.com/media/FAEaAdPVgAgaH2z.jpg</v>
      </c>
      <c r="V996" s="84" t="str">
        <f>HYPERLINK("https://pbs.twimg.com/media/FAEaAdPVgAgaH2z.jpg")</f>
        <v>https://pbs.twimg.com/media/FAEaAdPVgAgaH2z.jpg</v>
      </c>
      <c r="W996" s="83">
        <v>44464.236157407409</v>
      </c>
      <c r="X996" s="89">
        <v>44464</v>
      </c>
      <c r="Y996" s="86" t="s">
        <v>1316</v>
      </c>
      <c r="Z996" s="84" t="str">
        <f>HYPERLINK("https://twitter.com/pjmnjjkk/status/1441638614023114752")</f>
        <v>https://twitter.com/pjmnjjkk/status/1441638614023114752</v>
      </c>
      <c r="AA996" s="81"/>
      <c r="AB996" s="81"/>
      <c r="AC996" s="86" t="s">
        <v>1811</v>
      </c>
      <c r="AD996" s="81"/>
      <c r="AE996" s="81" t="b">
        <v>0</v>
      </c>
      <c r="AF996" s="81">
        <v>0</v>
      </c>
      <c r="AG996" s="86" t="s">
        <v>2084</v>
      </c>
      <c r="AH996" s="81" t="b">
        <v>0</v>
      </c>
      <c r="AI996" s="81" t="s">
        <v>2168</v>
      </c>
      <c r="AJ996" s="81"/>
      <c r="AK996" s="86" t="s">
        <v>2084</v>
      </c>
      <c r="AL996" s="81" t="b">
        <v>0</v>
      </c>
      <c r="AM996" s="81">
        <v>22</v>
      </c>
      <c r="AN996" s="86" t="s">
        <v>1846</v>
      </c>
      <c r="AO996" s="86" t="s">
        <v>2181</v>
      </c>
      <c r="AP996" s="81" t="b">
        <v>0</v>
      </c>
      <c r="AQ996" s="86" t="s">
        <v>1846</v>
      </c>
      <c r="AR996" s="81" t="s">
        <v>179</v>
      </c>
      <c r="AS996" s="81">
        <v>0</v>
      </c>
      <c r="AT996" s="81">
        <v>0</v>
      </c>
      <c r="AU996" s="81"/>
      <c r="AV996" s="81"/>
      <c r="AW996" s="81"/>
      <c r="AX996" s="81"/>
      <c r="AY996" s="81"/>
      <c r="AZ996" s="81"/>
      <c r="BA996" s="81"/>
      <c r="BB996" s="81"/>
    </row>
    <row r="997" spans="1:54" x14ac:dyDescent="0.35">
      <c r="A997" s="66" t="s">
        <v>465</v>
      </c>
      <c r="B997" s="66" t="s">
        <v>496</v>
      </c>
      <c r="C997" s="67"/>
      <c r="D997" s="68"/>
      <c r="E997" s="69"/>
      <c r="F997" s="70"/>
      <c r="G997" s="67"/>
      <c r="H997" s="71"/>
      <c r="I997" s="72"/>
      <c r="J997" s="72"/>
      <c r="K997" s="36"/>
      <c r="L997" s="79"/>
      <c r="M997" s="79"/>
      <c r="N997" s="74"/>
      <c r="O997" s="81" t="s">
        <v>693</v>
      </c>
      <c r="P997" s="83">
        <v>44464.236157407409</v>
      </c>
      <c r="Q997" s="81" t="s">
        <v>804</v>
      </c>
      <c r="R997" s="81"/>
      <c r="S997" s="81"/>
      <c r="T997" s="86" t="s">
        <v>649</v>
      </c>
      <c r="U997" s="84" t="str">
        <f>HYPERLINK("https://pbs.twimg.com/media/FAEaAdPVgAgaH2z.jpg")</f>
        <v>https://pbs.twimg.com/media/FAEaAdPVgAgaH2z.jpg</v>
      </c>
      <c r="V997" s="84" t="str">
        <f>HYPERLINK("https://pbs.twimg.com/media/FAEaAdPVgAgaH2z.jpg")</f>
        <v>https://pbs.twimg.com/media/FAEaAdPVgAgaH2z.jpg</v>
      </c>
      <c r="W997" s="83">
        <v>44464.236157407409</v>
      </c>
      <c r="X997" s="89">
        <v>44464</v>
      </c>
      <c r="Y997" s="86" t="s">
        <v>1316</v>
      </c>
      <c r="Z997" s="84" t="str">
        <f>HYPERLINK("https://twitter.com/pjmnjjkk/status/1441638614023114752")</f>
        <v>https://twitter.com/pjmnjjkk/status/1441638614023114752</v>
      </c>
      <c r="AA997" s="81"/>
      <c r="AB997" s="81"/>
      <c r="AC997" s="86" t="s">
        <v>1811</v>
      </c>
      <c r="AD997" s="81"/>
      <c r="AE997" s="81" t="b">
        <v>0</v>
      </c>
      <c r="AF997" s="81">
        <v>0</v>
      </c>
      <c r="AG997" s="86" t="s">
        <v>2084</v>
      </c>
      <c r="AH997" s="81" t="b">
        <v>0</v>
      </c>
      <c r="AI997" s="81" t="s">
        <v>2168</v>
      </c>
      <c r="AJ997" s="81"/>
      <c r="AK997" s="86" t="s">
        <v>2084</v>
      </c>
      <c r="AL997" s="81" t="b">
        <v>0</v>
      </c>
      <c r="AM997" s="81">
        <v>22</v>
      </c>
      <c r="AN997" s="86" t="s">
        <v>1846</v>
      </c>
      <c r="AO997" s="86" t="s">
        <v>2181</v>
      </c>
      <c r="AP997" s="81" t="b">
        <v>0</v>
      </c>
      <c r="AQ997" s="86" t="s">
        <v>1846</v>
      </c>
      <c r="AR997" s="81" t="s">
        <v>179</v>
      </c>
      <c r="AS997" s="81">
        <v>0</v>
      </c>
      <c r="AT997" s="81">
        <v>0</v>
      </c>
      <c r="AU997" s="81"/>
      <c r="AV997" s="81"/>
      <c r="AW997" s="81"/>
      <c r="AX997" s="81"/>
      <c r="AY997" s="81"/>
      <c r="AZ997" s="81"/>
      <c r="BA997" s="81"/>
      <c r="BB997" s="81"/>
    </row>
    <row r="998" spans="1:54" x14ac:dyDescent="0.35">
      <c r="A998" s="66" t="s">
        <v>465</v>
      </c>
      <c r="B998" s="66" t="s">
        <v>646</v>
      </c>
      <c r="C998" s="67"/>
      <c r="D998" s="68"/>
      <c r="E998" s="69"/>
      <c r="F998" s="70"/>
      <c r="G998" s="67"/>
      <c r="H998" s="71"/>
      <c r="I998" s="72"/>
      <c r="J998" s="72"/>
      <c r="K998" s="36"/>
      <c r="L998" s="79"/>
      <c r="M998" s="79"/>
      <c r="N998" s="74"/>
      <c r="O998" s="81" t="s">
        <v>694</v>
      </c>
      <c r="P998" s="83">
        <v>44464.289097222223</v>
      </c>
      <c r="Q998" s="81" t="s">
        <v>802</v>
      </c>
      <c r="R998" s="81"/>
      <c r="S998" s="81"/>
      <c r="T998" s="86" t="s">
        <v>649</v>
      </c>
      <c r="U998" s="84" t="str">
        <f>HYPERLINK("https://pbs.twimg.com/media/FAEa_mFUYAcoKUu.jpg")</f>
        <v>https://pbs.twimg.com/media/FAEa_mFUYAcoKUu.jpg</v>
      </c>
      <c r="V998" s="84" t="str">
        <f>HYPERLINK("https://pbs.twimg.com/media/FAEa_mFUYAcoKUu.jpg")</f>
        <v>https://pbs.twimg.com/media/FAEa_mFUYAcoKUu.jpg</v>
      </c>
      <c r="W998" s="83">
        <v>44464.289097222223</v>
      </c>
      <c r="X998" s="89">
        <v>44464</v>
      </c>
      <c r="Y998" s="86" t="s">
        <v>1317</v>
      </c>
      <c r="Z998" s="84" t="str">
        <f>HYPERLINK("https://twitter.com/pjmnjjkk/status/1441657797288992771")</f>
        <v>https://twitter.com/pjmnjjkk/status/1441657797288992771</v>
      </c>
      <c r="AA998" s="81"/>
      <c r="AB998" s="81"/>
      <c r="AC998" s="86" t="s">
        <v>1812</v>
      </c>
      <c r="AD998" s="81"/>
      <c r="AE998" s="81" t="b">
        <v>0</v>
      </c>
      <c r="AF998" s="81">
        <v>0</v>
      </c>
      <c r="AG998" s="86" t="s">
        <v>2084</v>
      </c>
      <c r="AH998" s="81" t="b">
        <v>0</v>
      </c>
      <c r="AI998" s="81" t="s">
        <v>2168</v>
      </c>
      <c r="AJ998" s="81"/>
      <c r="AK998" s="86" t="s">
        <v>2084</v>
      </c>
      <c r="AL998" s="81" t="b">
        <v>0</v>
      </c>
      <c r="AM998" s="81">
        <v>24</v>
      </c>
      <c r="AN998" s="86" t="s">
        <v>1848</v>
      </c>
      <c r="AO998" s="86" t="s">
        <v>2181</v>
      </c>
      <c r="AP998" s="81" t="b">
        <v>0</v>
      </c>
      <c r="AQ998" s="86" t="s">
        <v>1848</v>
      </c>
      <c r="AR998" s="81" t="s">
        <v>179</v>
      </c>
      <c r="AS998" s="81">
        <v>0</v>
      </c>
      <c r="AT998" s="81">
        <v>0</v>
      </c>
      <c r="AU998" s="81"/>
      <c r="AV998" s="81"/>
      <c r="AW998" s="81"/>
      <c r="AX998" s="81"/>
      <c r="AY998" s="81"/>
      <c r="AZ998" s="81"/>
      <c r="BA998" s="81"/>
      <c r="BB998" s="81"/>
    </row>
    <row r="999" spans="1:54" x14ac:dyDescent="0.35">
      <c r="A999" s="66" t="s">
        <v>465</v>
      </c>
      <c r="B999" s="66" t="s">
        <v>647</v>
      </c>
      <c r="C999" s="67"/>
      <c r="D999" s="68"/>
      <c r="E999" s="69"/>
      <c r="F999" s="70"/>
      <c r="G999" s="67"/>
      <c r="H999" s="71"/>
      <c r="I999" s="72"/>
      <c r="J999" s="72"/>
      <c r="K999" s="36"/>
      <c r="L999" s="79"/>
      <c r="M999" s="79"/>
      <c r="N999" s="74"/>
      <c r="O999" s="81" t="s">
        <v>694</v>
      </c>
      <c r="P999" s="83">
        <v>44464.289097222223</v>
      </c>
      <c r="Q999" s="81" t="s">
        <v>802</v>
      </c>
      <c r="R999" s="81"/>
      <c r="S999" s="81"/>
      <c r="T999" s="86" t="s">
        <v>649</v>
      </c>
      <c r="U999" s="84" t="str">
        <f>HYPERLINK("https://pbs.twimg.com/media/FAEa_mFUYAcoKUu.jpg")</f>
        <v>https://pbs.twimg.com/media/FAEa_mFUYAcoKUu.jpg</v>
      </c>
      <c r="V999" s="84" t="str">
        <f>HYPERLINK("https://pbs.twimg.com/media/FAEa_mFUYAcoKUu.jpg")</f>
        <v>https://pbs.twimg.com/media/FAEa_mFUYAcoKUu.jpg</v>
      </c>
      <c r="W999" s="83">
        <v>44464.289097222223</v>
      </c>
      <c r="X999" s="89">
        <v>44464</v>
      </c>
      <c r="Y999" s="86" t="s">
        <v>1317</v>
      </c>
      <c r="Z999" s="84" t="str">
        <f>HYPERLINK("https://twitter.com/pjmnjjkk/status/1441657797288992771")</f>
        <v>https://twitter.com/pjmnjjkk/status/1441657797288992771</v>
      </c>
      <c r="AA999" s="81"/>
      <c r="AB999" s="81"/>
      <c r="AC999" s="86" t="s">
        <v>1812</v>
      </c>
      <c r="AD999" s="81"/>
      <c r="AE999" s="81" t="b">
        <v>0</v>
      </c>
      <c r="AF999" s="81">
        <v>0</v>
      </c>
      <c r="AG999" s="86" t="s">
        <v>2084</v>
      </c>
      <c r="AH999" s="81" t="b">
        <v>0</v>
      </c>
      <c r="AI999" s="81" t="s">
        <v>2168</v>
      </c>
      <c r="AJ999" s="81"/>
      <c r="AK999" s="86" t="s">
        <v>2084</v>
      </c>
      <c r="AL999" s="81" t="b">
        <v>0</v>
      </c>
      <c r="AM999" s="81">
        <v>24</v>
      </c>
      <c r="AN999" s="86" t="s">
        <v>1848</v>
      </c>
      <c r="AO999" s="86" t="s">
        <v>2181</v>
      </c>
      <c r="AP999" s="81" t="b">
        <v>0</v>
      </c>
      <c r="AQ999" s="86" t="s">
        <v>1848</v>
      </c>
      <c r="AR999" s="81" t="s">
        <v>179</v>
      </c>
      <c r="AS999" s="81">
        <v>0</v>
      </c>
      <c r="AT999" s="81">
        <v>0</v>
      </c>
      <c r="AU999" s="81"/>
      <c r="AV999" s="81"/>
      <c r="AW999" s="81"/>
      <c r="AX999" s="81"/>
      <c r="AY999" s="81"/>
      <c r="AZ999" s="81"/>
      <c r="BA999" s="81"/>
      <c r="BB999" s="81"/>
    </row>
    <row r="1000" spans="1:54" x14ac:dyDescent="0.35">
      <c r="A1000" s="66" t="s">
        <v>465</v>
      </c>
      <c r="B1000" s="66" t="s">
        <v>648</v>
      </c>
      <c r="C1000" s="67"/>
      <c r="D1000" s="68"/>
      <c r="E1000" s="69"/>
      <c r="F1000" s="70"/>
      <c r="G1000" s="67"/>
      <c r="H1000" s="71"/>
      <c r="I1000" s="72"/>
      <c r="J1000" s="72"/>
      <c r="K1000" s="36"/>
      <c r="L1000" s="79"/>
      <c r="M1000" s="79"/>
      <c r="N1000" s="74"/>
      <c r="O1000" s="81" t="s">
        <v>694</v>
      </c>
      <c r="P1000" s="83">
        <v>44464.289097222223</v>
      </c>
      <c r="Q1000" s="81" t="s">
        <v>802</v>
      </c>
      <c r="R1000" s="81"/>
      <c r="S1000" s="81"/>
      <c r="T1000" s="86" t="s">
        <v>649</v>
      </c>
      <c r="U1000" s="84" t="str">
        <f>HYPERLINK("https://pbs.twimg.com/media/FAEa_mFUYAcoKUu.jpg")</f>
        <v>https://pbs.twimg.com/media/FAEa_mFUYAcoKUu.jpg</v>
      </c>
      <c r="V1000" s="84" t="str">
        <f>HYPERLINK("https://pbs.twimg.com/media/FAEa_mFUYAcoKUu.jpg")</f>
        <v>https://pbs.twimg.com/media/FAEa_mFUYAcoKUu.jpg</v>
      </c>
      <c r="W1000" s="83">
        <v>44464.289097222223</v>
      </c>
      <c r="X1000" s="89">
        <v>44464</v>
      </c>
      <c r="Y1000" s="86" t="s">
        <v>1317</v>
      </c>
      <c r="Z1000" s="84" t="str">
        <f>HYPERLINK("https://twitter.com/pjmnjjkk/status/1441657797288992771")</f>
        <v>https://twitter.com/pjmnjjkk/status/1441657797288992771</v>
      </c>
      <c r="AA1000" s="81"/>
      <c r="AB1000" s="81"/>
      <c r="AC1000" s="86" t="s">
        <v>1812</v>
      </c>
      <c r="AD1000" s="81"/>
      <c r="AE1000" s="81" t="b">
        <v>0</v>
      </c>
      <c r="AF1000" s="81">
        <v>0</v>
      </c>
      <c r="AG1000" s="86" t="s">
        <v>2084</v>
      </c>
      <c r="AH1000" s="81" t="b">
        <v>0</v>
      </c>
      <c r="AI1000" s="81" t="s">
        <v>2168</v>
      </c>
      <c r="AJ1000" s="81"/>
      <c r="AK1000" s="86" t="s">
        <v>2084</v>
      </c>
      <c r="AL1000" s="81" t="b">
        <v>0</v>
      </c>
      <c r="AM1000" s="81">
        <v>24</v>
      </c>
      <c r="AN1000" s="86" t="s">
        <v>1848</v>
      </c>
      <c r="AO1000" s="86" t="s">
        <v>2181</v>
      </c>
      <c r="AP1000" s="81" t="b">
        <v>0</v>
      </c>
      <c r="AQ1000" s="86" t="s">
        <v>1848</v>
      </c>
      <c r="AR1000" s="81" t="s">
        <v>179</v>
      </c>
      <c r="AS1000" s="81">
        <v>0</v>
      </c>
      <c r="AT1000" s="81">
        <v>0</v>
      </c>
      <c r="AU1000" s="81"/>
      <c r="AV1000" s="81"/>
      <c r="AW1000" s="81"/>
      <c r="AX1000" s="81"/>
      <c r="AY1000" s="81"/>
      <c r="AZ1000" s="81"/>
      <c r="BA1000" s="81"/>
      <c r="BB1000" s="81"/>
    </row>
    <row r="1001" spans="1:54" x14ac:dyDescent="0.35">
      <c r="A1001" s="66" t="s">
        <v>465</v>
      </c>
      <c r="B1001" s="66" t="s">
        <v>649</v>
      </c>
      <c r="C1001" s="67"/>
      <c r="D1001" s="68"/>
      <c r="E1001" s="69"/>
      <c r="F1001" s="70"/>
      <c r="G1001" s="67"/>
      <c r="H1001" s="71"/>
      <c r="I1001" s="72"/>
      <c r="J1001" s="72"/>
      <c r="K1001" s="36"/>
      <c r="L1001" s="79"/>
      <c r="M1001" s="79"/>
      <c r="N1001" s="74"/>
      <c r="O1001" s="81" t="s">
        <v>694</v>
      </c>
      <c r="P1001" s="83">
        <v>44464.289097222223</v>
      </c>
      <c r="Q1001" s="81" t="s">
        <v>802</v>
      </c>
      <c r="R1001" s="81"/>
      <c r="S1001" s="81"/>
      <c r="T1001" s="86" t="s">
        <v>649</v>
      </c>
      <c r="U1001" s="84" t="str">
        <f>HYPERLINK("https://pbs.twimg.com/media/FAEa_mFUYAcoKUu.jpg")</f>
        <v>https://pbs.twimg.com/media/FAEa_mFUYAcoKUu.jpg</v>
      </c>
      <c r="V1001" s="84" t="str">
        <f>HYPERLINK("https://pbs.twimg.com/media/FAEa_mFUYAcoKUu.jpg")</f>
        <v>https://pbs.twimg.com/media/FAEa_mFUYAcoKUu.jpg</v>
      </c>
      <c r="W1001" s="83">
        <v>44464.289097222223</v>
      </c>
      <c r="X1001" s="89">
        <v>44464</v>
      </c>
      <c r="Y1001" s="86" t="s">
        <v>1317</v>
      </c>
      <c r="Z1001" s="84" t="str">
        <f>HYPERLINK("https://twitter.com/pjmnjjkk/status/1441657797288992771")</f>
        <v>https://twitter.com/pjmnjjkk/status/1441657797288992771</v>
      </c>
      <c r="AA1001" s="81"/>
      <c r="AB1001" s="81"/>
      <c r="AC1001" s="86" t="s">
        <v>1812</v>
      </c>
      <c r="AD1001" s="81"/>
      <c r="AE1001" s="81" t="b">
        <v>0</v>
      </c>
      <c r="AF1001" s="81">
        <v>0</v>
      </c>
      <c r="AG1001" s="86" t="s">
        <v>2084</v>
      </c>
      <c r="AH1001" s="81" t="b">
        <v>0</v>
      </c>
      <c r="AI1001" s="81" t="s">
        <v>2168</v>
      </c>
      <c r="AJ1001" s="81"/>
      <c r="AK1001" s="86" t="s">
        <v>2084</v>
      </c>
      <c r="AL1001" s="81" t="b">
        <v>0</v>
      </c>
      <c r="AM1001" s="81">
        <v>24</v>
      </c>
      <c r="AN1001" s="86" t="s">
        <v>1848</v>
      </c>
      <c r="AO1001" s="86" t="s">
        <v>2181</v>
      </c>
      <c r="AP1001" s="81" t="b">
        <v>0</v>
      </c>
      <c r="AQ1001" s="86" t="s">
        <v>1848</v>
      </c>
      <c r="AR1001" s="81" t="s">
        <v>179</v>
      </c>
      <c r="AS1001" s="81">
        <v>0</v>
      </c>
      <c r="AT1001" s="81">
        <v>0</v>
      </c>
      <c r="AU1001" s="81"/>
      <c r="AV1001" s="81"/>
      <c r="AW1001" s="81"/>
      <c r="AX1001" s="81"/>
      <c r="AY1001" s="81"/>
      <c r="AZ1001" s="81"/>
      <c r="BA1001" s="81"/>
      <c r="BB1001" s="81"/>
    </row>
    <row r="1002" spans="1:54" x14ac:dyDescent="0.35">
      <c r="A1002" s="66" t="s">
        <v>465</v>
      </c>
      <c r="B1002" s="66" t="s">
        <v>496</v>
      </c>
      <c r="C1002" s="67"/>
      <c r="D1002" s="68"/>
      <c r="E1002" s="69"/>
      <c r="F1002" s="70"/>
      <c r="G1002" s="67"/>
      <c r="H1002" s="71"/>
      <c r="I1002" s="72"/>
      <c r="J1002" s="72"/>
      <c r="K1002" s="36"/>
      <c r="L1002" s="79"/>
      <c r="M1002" s="79"/>
      <c r="N1002" s="74"/>
      <c r="O1002" s="81" t="s">
        <v>693</v>
      </c>
      <c r="P1002" s="83">
        <v>44464.289097222223</v>
      </c>
      <c r="Q1002" s="81" t="s">
        <v>802</v>
      </c>
      <c r="R1002" s="81"/>
      <c r="S1002" s="81"/>
      <c r="T1002" s="86" t="s">
        <v>649</v>
      </c>
      <c r="U1002" s="84" t="str">
        <f>HYPERLINK("https://pbs.twimg.com/media/FAEa_mFUYAcoKUu.jpg")</f>
        <v>https://pbs.twimg.com/media/FAEa_mFUYAcoKUu.jpg</v>
      </c>
      <c r="V1002" s="84" t="str">
        <f>HYPERLINK("https://pbs.twimg.com/media/FAEa_mFUYAcoKUu.jpg")</f>
        <v>https://pbs.twimg.com/media/FAEa_mFUYAcoKUu.jpg</v>
      </c>
      <c r="W1002" s="83">
        <v>44464.289097222223</v>
      </c>
      <c r="X1002" s="89">
        <v>44464</v>
      </c>
      <c r="Y1002" s="86" t="s">
        <v>1317</v>
      </c>
      <c r="Z1002" s="84" t="str">
        <f>HYPERLINK("https://twitter.com/pjmnjjkk/status/1441657797288992771")</f>
        <v>https://twitter.com/pjmnjjkk/status/1441657797288992771</v>
      </c>
      <c r="AA1002" s="81"/>
      <c r="AB1002" s="81"/>
      <c r="AC1002" s="86" t="s">
        <v>1812</v>
      </c>
      <c r="AD1002" s="81"/>
      <c r="AE1002" s="81" t="b">
        <v>0</v>
      </c>
      <c r="AF1002" s="81">
        <v>0</v>
      </c>
      <c r="AG1002" s="86" t="s">
        <v>2084</v>
      </c>
      <c r="AH1002" s="81" t="b">
        <v>0</v>
      </c>
      <c r="AI1002" s="81" t="s">
        <v>2168</v>
      </c>
      <c r="AJ1002" s="81"/>
      <c r="AK1002" s="86" t="s">
        <v>2084</v>
      </c>
      <c r="AL1002" s="81" t="b">
        <v>0</v>
      </c>
      <c r="AM1002" s="81">
        <v>24</v>
      </c>
      <c r="AN1002" s="86" t="s">
        <v>1848</v>
      </c>
      <c r="AO1002" s="86" t="s">
        <v>2181</v>
      </c>
      <c r="AP1002" s="81" t="b">
        <v>0</v>
      </c>
      <c r="AQ1002" s="86" t="s">
        <v>1848</v>
      </c>
      <c r="AR1002" s="81" t="s">
        <v>179</v>
      </c>
      <c r="AS1002" s="81">
        <v>0</v>
      </c>
      <c r="AT1002" s="81">
        <v>0</v>
      </c>
      <c r="AU1002" s="81"/>
      <c r="AV1002" s="81"/>
      <c r="AW1002" s="81"/>
      <c r="AX1002" s="81"/>
      <c r="AY1002" s="81"/>
      <c r="AZ1002" s="81"/>
      <c r="BA1002" s="81"/>
      <c r="BB1002" s="81"/>
    </row>
    <row r="1003" spans="1:54" x14ac:dyDescent="0.35">
      <c r="A1003" s="66" t="s">
        <v>466</v>
      </c>
      <c r="B1003" s="66" t="s">
        <v>646</v>
      </c>
      <c r="C1003" s="67"/>
      <c r="D1003" s="68"/>
      <c r="E1003" s="69"/>
      <c r="F1003" s="70"/>
      <c r="G1003" s="67"/>
      <c r="H1003" s="71"/>
      <c r="I1003" s="72"/>
      <c r="J1003" s="72"/>
      <c r="K1003" s="36"/>
      <c r="L1003" s="79"/>
      <c r="M1003" s="79"/>
      <c r="N1003" s="74"/>
      <c r="O1003" s="81" t="s">
        <v>694</v>
      </c>
      <c r="P1003" s="83">
        <v>44464.289687500001</v>
      </c>
      <c r="Q1003" s="81" t="s">
        <v>802</v>
      </c>
      <c r="R1003" s="81"/>
      <c r="S1003" s="81"/>
      <c r="T1003" s="86" t="s">
        <v>649</v>
      </c>
      <c r="U1003" s="84" t="str">
        <f>HYPERLINK("https://pbs.twimg.com/media/FAEa_mFUYAcoKUu.jpg")</f>
        <v>https://pbs.twimg.com/media/FAEa_mFUYAcoKUu.jpg</v>
      </c>
      <c r="V1003" s="84" t="str">
        <f>HYPERLINK("https://pbs.twimg.com/media/FAEa_mFUYAcoKUu.jpg")</f>
        <v>https://pbs.twimg.com/media/FAEa_mFUYAcoKUu.jpg</v>
      </c>
      <c r="W1003" s="83">
        <v>44464.289687500001</v>
      </c>
      <c r="X1003" s="89">
        <v>44464</v>
      </c>
      <c r="Y1003" s="86" t="s">
        <v>1318</v>
      </c>
      <c r="Z1003" s="84" t="str">
        <f>HYPERLINK("https://twitter.com/jiminiekiyowoo/status/1441658013945786368")</f>
        <v>https://twitter.com/jiminiekiyowoo/status/1441658013945786368</v>
      </c>
      <c r="AA1003" s="81"/>
      <c r="AB1003" s="81"/>
      <c r="AC1003" s="86" t="s">
        <v>1813</v>
      </c>
      <c r="AD1003" s="81"/>
      <c r="AE1003" s="81" t="b">
        <v>0</v>
      </c>
      <c r="AF1003" s="81">
        <v>0</v>
      </c>
      <c r="AG1003" s="86" t="s">
        <v>2084</v>
      </c>
      <c r="AH1003" s="81" t="b">
        <v>0</v>
      </c>
      <c r="AI1003" s="81" t="s">
        <v>2168</v>
      </c>
      <c r="AJ1003" s="81"/>
      <c r="AK1003" s="86" t="s">
        <v>2084</v>
      </c>
      <c r="AL1003" s="81" t="b">
        <v>0</v>
      </c>
      <c r="AM1003" s="81">
        <v>24</v>
      </c>
      <c r="AN1003" s="86" t="s">
        <v>1848</v>
      </c>
      <c r="AO1003" s="86" t="s">
        <v>2178</v>
      </c>
      <c r="AP1003" s="81" t="b">
        <v>0</v>
      </c>
      <c r="AQ1003" s="86" t="s">
        <v>1848</v>
      </c>
      <c r="AR1003" s="81" t="s">
        <v>179</v>
      </c>
      <c r="AS1003" s="81">
        <v>0</v>
      </c>
      <c r="AT1003" s="81">
        <v>0</v>
      </c>
      <c r="AU1003" s="81"/>
      <c r="AV1003" s="81"/>
      <c r="AW1003" s="81"/>
      <c r="AX1003" s="81"/>
      <c r="AY1003" s="81"/>
      <c r="AZ1003" s="81"/>
      <c r="BA1003" s="81"/>
      <c r="BB1003" s="81"/>
    </row>
    <row r="1004" spans="1:54" x14ac:dyDescent="0.35">
      <c r="A1004" s="66" t="s">
        <v>466</v>
      </c>
      <c r="B1004" s="66" t="s">
        <v>647</v>
      </c>
      <c r="C1004" s="67"/>
      <c r="D1004" s="68"/>
      <c r="E1004" s="69"/>
      <c r="F1004" s="70"/>
      <c r="G1004" s="67"/>
      <c r="H1004" s="71"/>
      <c r="I1004" s="72"/>
      <c r="J1004" s="72"/>
      <c r="K1004" s="36"/>
      <c r="L1004" s="79"/>
      <c r="M1004" s="79"/>
      <c r="N1004" s="74"/>
      <c r="O1004" s="81" t="s">
        <v>694</v>
      </c>
      <c r="P1004" s="83">
        <v>44464.289687500001</v>
      </c>
      <c r="Q1004" s="81" t="s">
        <v>802</v>
      </c>
      <c r="R1004" s="81"/>
      <c r="S1004" s="81"/>
      <c r="T1004" s="86" t="s">
        <v>649</v>
      </c>
      <c r="U1004" s="84" t="str">
        <f>HYPERLINK("https://pbs.twimg.com/media/FAEa_mFUYAcoKUu.jpg")</f>
        <v>https://pbs.twimg.com/media/FAEa_mFUYAcoKUu.jpg</v>
      </c>
      <c r="V1004" s="84" t="str">
        <f>HYPERLINK("https://pbs.twimg.com/media/FAEa_mFUYAcoKUu.jpg")</f>
        <v>https://pbs.twimg.com/media/FAEa_mFUYAcoKUu.jpg</v>
      </c>
      <c r="W1004" s="83">
        <v>44464.289687500001</v>
      </c>
      <c r="X1004" s="89">
        <v>44464</v>
      </c>
      <c r="Y1004" s="86" t="s">
        <v>1318</v>
      </c>
      <c r="Z1004" s="84" t="str">
        <f>HYPERLINK("https://twitter.com/jiminiekiyowoo/status/1441658013945786368")</f>
        <v>https://twitter.com/jiminiekiyowoo/status/1441658013945786368</v>
      </c>
      <c r="AA1004" s="81"/>
      <c r="AB1004" s="81"/>
      <c r="AC1004" s="86" t="s">
        <v>1813</v>
      </c>
      <c r="AD1004" s="81"/>
      <c r="AE1004" s="81" t="b">
        <v>0</v>
      </c>
      <c r="AF1004" s="81">
        <v>0</v>
      </c>
      <c r="AG1004" s="86" t="s">
        <v>2084</v>
      </c>
      <c r="AH1004" s="81" t="b">
        <v>0</v>
      </c>
      <c r="AI1004" s="81" t="s">
        <v>2168</v>
      </c>
      <c r="AJ1004" s="81"/>
      <c r="AK1004" s="86" t="s">
        <v>2084</v>
      </c>
      <c r="AL1004" s="81" t="b">
        <v>0</v>
      </c>
      <c r="AM1004" s="81">
        <v>24</v>
      </c>
      <c r="AN1004" s="86" t="s">
        <v>1848</v>
      </c>
      <c r="AO1004" s="86" t="s">
        <v>2178</v>
      </c>
      <c r="AP1004" s="81" t="b">
        <v>0</v>
      </c>
      <c r="AQ1004" s="86" t="s">
        <v>1848</v>
      </c>
      <c r="AR1004" s="81" t="s">
        <v>179</v>
      </c>
      <c r="AS1004" s="81">
        <v>0</v>
      </c>
      <c r="AT1004" s="81">
        <v>0</v>
      </c>
      <c r="AU1004" s="81"/>
      <c r="AV1004" s="81"/>
      <c r="AW1004" s="81"/>
      <c r="AX1004" s="81"/>
      <c r="AY1004" s="81"/>
      <c r="AZ1004" s="81"/>
      <c r="BA1004" s="81"/>
      <c r="BB1004" s="81"/>
    </row>
    <row r="1005" spans="1:54" x14ac:dyDescent="0.35">
      <c r="A1005" s="66" t="s">
        <v>466</v>
      </c>
      <c r="B1005" s="66" t="s">
        <v>648</v>
      </c>
      <c r="C1005" s="67"/>
      <c r="D1005" s="68"/>
      <c r="E1005" s="69"/>
      <c r="F1005" s="70"/>
      <c r="G1005" s="67"/>
      <c r="H1005" s="71"/>
      <c r="I1005" s="72"/>
      <c r="J1005" s="72"/>
      <c r="K1005" s="36"/>
      <c r="L1005" s="79"/>
      <c r="M1005" s="79"/>
      <c r="N1005" s="74"/>
      <c r="O1005" s="81" t="s">
        <v>694</v>
      </c>
      <c r="P1005" s="83">
        <v>44464.289687500001</v>
      </c>
      <c r="Q1005" s="81" t="s">
        <v>802</v>
      </c>
      <c r="R1005" s="81"/>
      <c r="S1005" s="81"/>
      <c r="T1005" s="86" t="s">
        <v>649</v>
      </c>
      <c r="U1005" s="84" t="str">
        <f>HYPERLINK("https://pbs.twimg.com/media/FAEa_mFUYAcoKUu.jpg")</f>
        <v>https://pbs.twimg.com/media/FAEa_mFUYAcoKUu.jpg</v>
      </c>
      <c r="V1005" s="84" t="str">
        <f>HYPERLINK("https://pbs.twimg.com/media/FAEa_mFUYAcoKUu.jpg")</f>
        <v>https://pbs.twimg.com/media/FAEa_mFUYAcoKUu.jpg</v>
      </c>
      <c r="W1005" s="83">
        <v>44464.289687500001</v>
      </c>
      <c r="X1005" s="89">
        <v>44464</v>
      </c>
      <c r="Y1005" s="86" t="s">
        <v>1318</v>
      </c>
      <c r="Z1005" s="84" t="str">
        <f>HYPERLINK("https://twitter.com/jiminiekiyowoo/status/1441658013945786368")</f>
        <v>https://twitter.com/jiminiekiyowoo/status/1441658013945786368</v>
      </c>
      <c r="AA1005" s="81"/>
      <c r="AB1005" s="81"/>
      <c r="AC1005" s="86" t="s">
        <v>1813</v>
      </c>
      <c r="AD1005" s="81"/>
      <c r="AE1005" s="81" t="b">
        <v>0</v>
      </c>
      <c r="AF1005" s="81">
        <v>0</v>
      </c>
      <c r="AG1005" s="86" t="s">
        <v>2084</v>
      </c>
      <c r="AH1005" s="81" t="b">
        <v>0</v>
      </c>
      <c r="AI1005" s="81" t="s">
        <v>2168</v>
      </c>
      <c r="AJ1005" s="81"/>
      <c r="AK1005" s="86" t="s">
        <v>2084</v>
      </c>
      <c r="AL1005" s="81" t="b">
        <v>0</v>
      </c>
      <c r="AM1005" s="81">
        <v>24</v>
      </c>
      <c r="AN1005" s="86" t="s">
        <v>1848</v>
      </c>
      <c r="AO1005" s="86" t="s">
        <v>2178</v>
      </c>
      <c r="AP1005" s="81" t="b">
        <v>0</v>
      </c>
      <c r="AQ1005" s="86" t="s">
        <v>1848</v>
      </c>
      <c r="AR1005" s="81" t="s">
        <v>179</v>
      </c>
      <c r="AS1005" s="81">
        <v>0</v>
      </c>
      <c r="AT1005" s="81">
        <v>0</v>
      </c>
      <c r="AU1005" s="81"/>
      <c r="AV1005" s="81"/>
      <c r="AW1005" s="81"/>
      <c r="AX1005" s="81"/>
      <c r="AY1005" s="81"/>
      <c r="AZ1005" s="81"/>
      <c r="BA1005" s="81"/>
      <c r="BB1005" s="81"/>
    </row>
    <row r="1006" spans="1:54" x14ac:dyDescent="0.35">
      <c r="A1006" s="66" t="s">
        <v>466</v>
      </c>
      <c r="B1006" s="66" t="s">
        <v>649</v>
      </c>
      <c r="C1006" s="67"/>
      <c r="D1006" s="68"/>
      <c r="E1006" s="69"/>
      <c r="F1006" s="70"/>
      <c r="G1006" s="67"/>
      <c r="H1006" s="71"/>
      <c r="I1006" s="72"/>
      <c r="J1006" s="72"/>
      <c r="K1006" s="36"/>
      <c r="L1006" s="79"/>
      <c r="M1006" s="79"/>
      <c r="N1006" s="74"/>
      <c r="O1006" s="81" t="s">
        <v>694</v>
      </c>
      <c r="P1006" s="83">
        <v>44464.289687500001</v>
      </c>
      <c r="Q1006" s="81" t="s">
        <v>802</v>
      </c>
      <c r="R1006" s="81"/>
      <c r="S1006" s="81"/>
      <c r="T1006" s="86" t="s">
        <v>649</v>
      </c>
      <c r="U1006" s="84" t="str">
        <f>HYPERLINK("https://pbs.twimg.com/media/FAEa_mFUYAcoKUu.jpg")</f>
        <v>https://pbs.twimg.com/media/FAEa_mFUYAcoKUu.jpg</v>
      </c>
      <c r="V1006" s="84" t="str">
        <f>HYPERLINK("https://pbs.twimg.com/media/FAEa_mFUYAcoKUu.jpg")</f>
        <v>https://pbs.twimg.com/media/FAEa_mFUYAcoKUu.jpg</v>
      </c>
      <c r="W1006" s="83">
        <v>44464.289687500001</v>
      </c>
      <c r="X1006" s="89">
        <v>44464</v>
      </c>
      <c r="Y1006" s="86" t="s">
        <v>1318</v>
      </c>
      <c r="Z1006" s="84" t="str">
        <f>HYPERLINK("https://twitter.com/jiminiekiyowoo/status/1441658013945786368")</f>
        <v>https://twitter.com/jiminiekiyowoo/status/1441658013945786368</v>
      </c>
      <c r="AA1006" s="81"/>
      <c r="AB1006" s="81"/>
      <c r="AC1006" s="86" t="s">
        <v>1813</v>
      </c>
      <c r="AD1006" s="81"/>
      <c r="AE1006" s="81" t="b">
        <v>0</v>
      </c>
      <c r="AF1006" s="81">
        <v>0</v>
      </c>
      <c r="AG1006" s="86" t="s">
        <v>2084</v>
      </c>
      <c r="AH1006" s="81" t="b">
        <v>0</v>
      </c>
      <c r="AI1006" s="81" t="s">
        <v>2168</v>
      </c>
      <c r="AJ1006" s="81"/>
      <c r="AK1006" s="86" t="s">
        <v>2084</v>
      </c>
      <c r="AL1006" s="81" t="b">
        <v>0</v>
      </c>
      <c r="AM1006" s="81">
        <v>24</v>
      </c>
      <c r="AN1006" s="86" t="s">
        <v>1848</v>
      </c>
      <c r="AO1006" s="86" t="s">
        <v>2178</v>
      </c>
      <c r="AP1006" s="81" t="b">
        <v>0</v>
      </c>
      <c r="AQ1006" s="86" t="s">
        <v>1848</v>
      </c>
      <c r="AR1006" s="81" t="s">
        <v>179</v>
      </c>
      <c r="AS1006" s="81">
        <v>0</v>
      </c>
      <c r="AT1006" s="81">
        <v>0</v>
      </c>
      <c r="AU1006" s="81"/>
      <c r="AV1006" s="81"/>
      <c r="AW1006" s="81"/>
      <c r="AX1006" s="81"/>
      <c r="AY1006" s="81"/>
      <c r="AZ1006" s="81"/>
      <c r="BA1006" s="81"/>
      <c r="BB1006" s="81"/>
    </row>
    <row r="1007" spans="1:54" x14ac:dyDescent="0.35">
      <c r="A1007" s="66" t="s">
        <v>466</v>
      </c>
      <c r="B1007" s="66" t="s">
        <v>496</v>
      </c>
      <c r="C1007" s="67"/>
      <c r="D1007" s="68"/>
      <c r="E1007" s="69"/>
      <c r="F1007" s="70"/>
      <c r="G1007" s="67"/>
      <c r="H1007" s="71"/>
      <c r="I1007" s="72"/>
      <c r="J1007" s="72"/>
      <c r="K1007" s="36"/>
      <c r="L1007" s="79"/>
      <c r="M1007" s="79"/>
      <c r="N1007" s="74"/>
      <c r="O1007" s="81" t="s">
        <v>693</v>
      </c>
      <c r="P1007" s="83">
        <v>44464.289687500001</v>
      </c>
      <c r="Q1007" s="81" t="s">
        <v>802</v>
      </c>
      <c r="R1007" s="81"/>
      <c r="S1007" s="81"/>
      <c r="T1007" s="86" t="s">
        <v>649</v>
      </c>
      <c r="U1007" s="84" t="str">
        <f>HYPERLINK("https://pbs.twimg.com/media/FAEa_mFUYAcoKUu.jpg")</f>
        <v>https://pbs.twimg.com/media/FAEa_mFUYAcoKUu.jpg</v>
      </c>
      <c r="V1007" s="84" t="str">
        <f>HYPERLINK("https://pbs.twimg.com/media/FAEa_mFUYAcoKUu.jpg")</f>
        <v>https://pbs.twimg.com/media/FAEa_mFUYAcoKUu.jpg</v>
      </c>
      <c r="W1007" s="83">
        <v>44464.289687500001</v>
      </c>
      <c r="X1007" s="89">
        <v>44464</v>
      </c>
      <c r="Y1007" s="86" t="s">
        <v>1318</v>
      </c>
      <c r="Z1007" s="84" t="str">
        <f>HYPERLINK("https://twitter.com/jiminiekiyowoo/status/1441658013945786368")</f>
        <v>https://twitter.com/jiminiekiyowoo/status/1441658013945786368</v>
      </c>
      <c r="AA1007" s="81"/>
      <c r="AB1007" s="81"/>
      <c r="AC1007" s="86" t="s">
        <v>1813</v>
      </c>
      <c r="AD1007" s="81"/>
      <c r="AE1007" s="81" t="b">
        <v>0</v>
      </c>
      <c r="AF1007" s="81">
        <v>0</v>
      </c>
      <c r="AG1007" s="86" t="s">
        <v>2084</v>
      </c>
      <c r="AH1007" s="81" t="b">
        <v>0</v>
      </c>
      <c r="AI1007" s="81" t="s">
        <v>2168</v>
      </c>
      <c r="AJ1007" s="81"/>
      <c r="AK1007" s="86" t="s">
        <v>2084</v>
      </c>
      <c r="AL1007" s="81" t="b">
        <v>0</v>
      </c>
      <c r="AM1007" s="81">
        <v>24</v>
      </c>
      <c r="AN1007" s="86" t="s">
        <v>1848</v>
      </c>
      <c r="AO1007" s="86" t="s">
        <v>2178</v>
      </c>
      <c r="AP1007" s="81" t="b">
        <v>0</v>
      </c>
      <c r="AQ1007" s="86" t="s">
        <v>1848</v>
      </c>
      <c r="AR1007" s="81" t="s">
        <v>179</v>
      </c>
      <c r="AS1007" s="81">
        <v>0</v>
      </c>
      <c r="AT1007" s="81">
        <v>0</v>
      </c>
      <c r="AU1007" s="81"/>
      <c r="AV1007" s="81"/>
      <c r="AW1007" s="81"/>
      <c r="AX1007" s="81"/>
      <c r="AY1007" s="81"/>
      <c r="AZ1007" s="81"/>
      <c r="BA1007" s="81"/>
      <c r="BB1007" s="81"/>
    </row>
    <row r="1008" spans="1:54" x14ac:dyDescent="0.35">
      <c r="A1008" s="66" t="s">
        <v>4474</v>
      </c>
      <c r="B1008" s="66" t="s">
        <v>4797</v>
      </c>
      <c r="C1008" s="67"/>
      <c r="D1008" s="68"/>
      <c r="E1008" s="69"/>
      <c r="F1008" s="70"/>
      <c r="G1008" s="67"/>
      <c r="H1008" s="71"/>
      <c r="I1008" s="72"/>
      <c r="J1008" s="72"/>
      <c r="K1008" s="36"/>
      <c r="L1008" s="79"/>
      <c r="M1008" s="79"/>
      <c r="N1008" s="74"/>
      <c r="O1008" s="81" t="s">
        <v>693</v>
      </c>
      <c r="P1008" s="83">
        <v>44464.291446759256</v>
      </c>
      <c r="Q1008" s="84" t="str">
        <f>HYPERLINK("https://t.co/t5CziaW0dH")</f>
        <v>https://t.co/t5CziaW0dH</v>
      </c>
      <c r="R100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08" s="81" t="s">
        <v>5686</v>
      </c>
      <c r="T1008" s="81"/>
      <c r="U1008" s="81"/>
      <c r="V1008" s="84" t="str">
        <f>HYPERLINK("https://pbs.twimg.com/profile_images/1435087881152905218/AtmGMxSf_normal.jpg")</f>
        <v>https://pbs.twimg.com/profile_images/1435087881152905218/AtmGMxSf_normal.jpg</v>
      </c>
      <c r="W1008" s="83">
        <v>44464.291446759256</v>
      </c>
      <c r="X1008" s="89">
        <v>44464</v>
      </c>
      <c r="Y1008" s="86" t="s">
        <v>6113</v>
      </c>
      <c r="Z1008" s="84" t="str">
        <f>HYPERLINK("https://twitter.com/antoniocsfilho/status/1441658650179821568")</f>
        <v>https://twitter.com/antoniocsfilho/status/1441658650179821568</v>
      </c>
      <c r="AA1008" s="81"/>
      <c r="AB1008" s="81"/>
      <c r="AC1008" s="86" t="s">
        <v>7019</v>
      </c>
      <c r="AD1008" s="81"/>
      <c r="AE1008" s="81" t="b">
        <v>0</v>
      </c>
      <c r="AF1008" s="81">
        <v>0</v>
      </c>
      <c r="AG1008" s="86" t="s">
        <v>2084</v>
      </c>
      <c r="AH1008" s="81" t="b">
        <v>0</v>
      </c>
      <c r="AI1008" s="81" t="s">
        <v>2173</v>
      </c>
      <c r="AJ1008" s="81"/>
      <c r="AK1008" s="86" t="s">
        <v>2084</v>
      </c>
      <c r="AL1008" s="81" t="b">
        <v>0</v>
      </c>
      <c r="AM1008" s="81">
        <v>50</v>
      </c>
      <c r="AN1008" s="86" t="s">
        <v>7395</v>
      </c>
      <c r="AO1008" s="86" t="s">
        <v>2178</v>
      </c>
      <c r="AP1008" s="81" t="b">
        <v>0</v>
      </c>
      <c r="AQ1008" s="86" t="s">
        <v>7395</v>
      </c>
      <c r="AR1008" s="81" t="s">
        <v>179</v>
      </c>
      <c r="AS1008" s="81">
        <v>0</v>
      </c>
      <c r="AT1008" s="81">
        <v>0</v>
      </c>
      <c r="AU1008" s="81"/>
      <c r="AV1008" s="81"/>
      <c r="AW1008" s="81"/>
      <c r="AX1008" s="81"/>
      <c r="AY1008" s="81"/>
      <c r="AZ1008" s="81"/>
      <c r="BA1008" s="81"/>
      <c r="BB1008" s="81"/>
    </row>
    <row r="1009" spans="1:54" x14ac:dyDescent="0.35">
      <c r="A1009" s="66" t="s">
        <v>4475</v>
      </c>
      <c r="B1009" s="66" t="s">
        <v>5089</v>
      </c>
      <c r="C1009" s="67"/>
      <c r="D1009" s="68"/>
      <c r="E1009" s="69"/>
      <c r="F1009" s="70"/>
      <c r="G1009" s="67"/>
      <c r="H1009" s="71"/>
      <c r="I1009" s="72"/>
      <c r="J1009" s="72"/>
      <c r="K1009" s="36"/>
      <c r="L1009" s="79"/>
      <c r="M1009" s="79"/>
      <c r="N1009" s="74"/>
      <c r="O1009" s="81" t="s">
        <v>695</v>
      </c>
      <c r="P1009" s="83">
        <v>44464.297199074077</v>
      </c>
      <c r="Q1009" s="81" t="s">
        <v>5446</v>
      </c>
      <c r="R1009" s="81"/>
      <c r="S1009" s="81"/>
      <c r="T1009" s="81"/>
      <c r="U1009" s="81"/>
      <c r="V1009" s="84" t="str">
        <f>HYPERLINK("https://pbs.twimg.com/profile_images/886149320843591682/gL4X_fR1_normal.jpg")</f>
        <v>https://pbs.twimg.com/profile_images/886149320843591682/gL4X_fR1_normal.jpg</v>
      </c>
      <c r="W1009" s="83">
        <v>44464.297199074077</v>
      </c>
      <c r="X1009" s="89">
        <v>44464</v>
      </c>
      <c r="Y1009" s="86" t="s">
        <v>6114</v>
      </c>
      <c r="Z1009" s="84" t="str">
        <f>HYPERLINK("https://twitter.com/doctimcook/status/1441660735063527424")</f>
        <v>https://twitter.com/doctimcook/status/1441660735063527424</v>
      </c>
      <c r="AA1009" s="81"/>
      <c r="AB1009" s="81"/>
      <c r="AC1009" s="86" t="s">
        <v>7020</v>
      </c>
      <c r="AD1009" s="86" t="s">
        <v>7686</v>
      </c>
      <c r="AE1009" s="81" t="b">
        <v>0</v>
      </c>
      <c r="AF1009" s="81">
        <v>1</v>
      </c>
      <c r="AG1009" s="86" t="s">
        <v>7863</v>
      </c>
      <c r="AH1009" s="81" t="b">
        <v>0</v>
      </c>
      <c r="AI1009" s="81" t="s">
        <v>2168</v>
      </c>
      <c r="AJ1009" s="81"/>
      <c r="AK1009" s="86" t="s">
        <v>2084</v>
      </c>
      <c r="AL1009" s="81" t="b">
        <v>0</v>
      </c>
      <c r="AM1009" s="81">
        <v>0</v>
      </c>
      <c r="AN1009" s="86" t="s">
        <v>2084</v>
      </c>
      <c r="AO1009" s="86" t="s">
        <v>2179</v>
      </c>
      <c r="AP1009" s="81" t="b">
        <v>0</v>
      </c>
      <c r="AQ1009" s="86" t="s">
        <v>7686</v>
      </c>
      <c r="AR1009" s="81" t="s">
        <v>179</v>
      </c>
      <c r="AS1009" s="81">
        <v>0</v>
      </c>
      <c r="AT1009" s="81">
        <v>0</v>
      </c>
      <c r="AU1009" s="81"/>
      <c r="AV1009" s="81"/>
      <c r="AW1009" s="81"/>
      <c r="AX1009" s="81"/>
      <c r="AY1009" s="81"/>
      <c r="AZ1009" s="81"/>
      <c r="BA1009" s="81"/>
      <c r="BB1009" s="81"/>
    </row>
    <row r="1010" spans="1:54" x14ac:dyDescent="0.35">
      <c r="A1010" s="66" t="s">
        <v>467</v>
      </c>
      <c r="B1010" s="66" t="s">
        <v>646</v>
      </c>
      <c r="C1010" s="67"/>
      <c r="D1010" s="68"/>
      <c r="E1010" s="69"/>
      <c r="F1010" s="70"/>
      <c r="G1010" s="67"/>
      <c r="H1010" s="71"/>
      <c r="I1010" s="72"/>
      <c r="J1010" s="72"/>
      <c r="K1010" s="36"/>
      <c r="L1010" s="79"/>
      <c r="M1010" s="79"/>
      <c r="N1010" s="74"/>
      <c r="O1010" s="81" t="s">
        <v>694</v>
      </c>
      <c r="P1010" s="83">
        <v>44464.302210648151</v>
      </c>
      <c r="Q1010" s="81" t="s">
        <v>802</v>
      </c>
      <c r="R1010" s="81"/>
      <c r="S1010" s="81"/>
      <c r="T1010" s="86" t="s">
        <v>649</v>
      </c>
      <c r="U1010" s="84" t="str">
        <f>HYPERLINK("https://pbs.twimg.com/media/FAEa_mFUYAcoKUu.jpg")</f>
        <v>https://pbs.twimg.com/media/FAEa_mFUYAcoKUu.jpg</v>
      </c>
      <c r="V1010" s="84" t="str">
        <f>HYPERLINK("https://pbs.twimg.com/media/FAEa_mFUYAcoKUu.jpg")</f>
        <v>https://pbs.twimg.com/media/FAEa_mFUYAcoKUu.jpg</v>
      </c>
      <c r="W1010" s="83">
        <v>44464.302210648151</v>
      </c>
      <c r="X1010" s="89">
        <v>44464</v>
      </c>
      <c r="Y1010" s="86" t="s">
        <v>1014</v>
      </c>
      <c r="Z1010" s="84" t="str">
        <f>HYPERLINK("https://twitter.com/yyoongs93/status/1441662551167627267")</f>
        <v>https://twitter.com/yyoongs93/status/1441662551167627267</v>
      </c>
      <c r="AA1010" s="81"/>
      <c r="AB1010" s="81"/>
      <c r="AC1010" s="86" t="s">
        <v>1814</v>
      </c>
      <c r="AD1010" s="81"/>
      <c r="AE1010" s="81" t="b">
        <v>0</v>
      </c>
      <c r="AF1010" s="81">
        <v>0</v>
      </c>
      <c r="AG1010" s="86" t="s">
        <v>2084</v>
      </c>
      <c r="AH1010" s="81" t="b">
        <v>0</v>
      </c>
      <c r="AI1010" s="81" t="s">
        <v>2168</v>
      </c>
      <c r="AJ1010" s="81"/>
      <c r="AK1010" s="86" t="s">
        <v>2084</v>
      </c>
      <c r="AL1010" s="81" t="b">
        <v>0</v>
      </c>
      <c r="AM1010" s="81">
        <v>24</v>
      </c>
      <c r="AN1010" s="86" t="s">
        <v>1848</v>
      </c>
      <c r="AO1010" s="86" t="s">
        <v>2178</v>
      </c>
      <c r="AP1010" s="81" t="b">
        <v>0</v>
      </c>
      <c r="AQ1010" s="86" t="s">
        <v>1848</v>
      </c>
      <c r="AR1010" s="81" t="s">
        <v>179</v>
      </c>
      <c r="AS1010" s="81">
        <v>0</v>
      </c>
      <c r="AT1010" s="81">
        <v>0</v>
      </c>
      <c r="AU1010" s="81"/>
      <c r="AV1010" s="81"/>
      <c r="AW1010" s="81"/>
      <c r="AX1010" s="81"/>
      <c r="AY1010" s="81"/>
      <c r="AZ1010" s="81"/>
      <c r="BA1010" s="81"/>
      <c r="BB1010" s="81"/>
    </row>
    <row r="1011" spans="1:54" x14ac:dyDescent="0.35">
      <c r="A1011" s="66" t="s">
        <v>467</v>
      </c>
      <c r="B1011" s="66" t="s">
        <v>647</v>
      </c>
      <c r="C1011" s="67"/>
      <c r="D1011" s="68"/>
      <c r="E1011" s="69"/>
      <c r="F1011" s="70"/>
      <c r="G1011" s="67"/>
      <c r="H1011" s="71"/>
      <c r="I1011" s="72"/>
      <c r="J1011" s="72"/>
      <c r="K1011" s="36"/>
      <c r="L1011" s="79"/>
      <c r="M1011" s="79"/>
      <c r="N1011" s="74"/>
      <c r="O1011" s="81" t="s">
        <v>694</v>
      </c>
      <c r="P1011" s="83">
        <v>44464.302210648151</v>
      </c>
      <c r="Q1011" s="81" t="s">
        <v>802</v>
      </c>
      <c r="R1011" s="81"/>
      <c r="S1011" s="81"/>
      <c r="T1011" s="86" t="s">
        <v>649</v>
      </c>
      <c r="U1011" s="84" t="str">
        <f>HYPERLINK("https://pbs.twimg.com/media/FAEa_mFUYAcoKUu.jpg")</f>
        <v>https://pbs.twimg.com/media/FAEa_mFUYAcoKUu.jpg</v>
      </c>
      <c r="V1011" s="84" t="str">
        <f>HYPERLINK("https://pbs.twimg.com/media/FAEa_mFUYAcoKUu.jpg")</f>
        <v>https://pbs.twimg.com/media/FAEa_mFUYAcoKUu.jpg</v>
      </c>
      <c r="W1011" s="83">
        <v>44464.302210648151</v>
      </c>
      <c r="X1011" s="89">
        <v>44464</v>
      </c>
      <c r="Y1011" s="86" t="s">
        <v>1014</v>
      </c>
      <c r="Z1011" s="84" t="str">
        <f>HYPERLINK("https://twitter.com/yyoongs93/status/1441662551167627267")</f>
        <v>https://twitter.com/yyoongs93/status/1441662551167627267</v>
      </c>
      <c r="AA1011" s="81"/>
      <c r="AB1011" s="81"/>
      <c r="AC1011" s="86" t="s">
        <v>1814</v>
      </c>
      <c r="AD1011" s="81"/>
      <c r="AE1011" s="81" t="b">
        <v>0</v>
      </c>
      <c r="AF1011" s="81">
        <v>0</v>
      </c>
      <c r="AG1011" s="86" t="s">
        <v>2084</v>
      </c>
      <c r="AH1011" s="81" t="b">
        <v>0</v>
      </c>
      <c r="AI1011" s="81" t="s">
        <v>2168</v>
      </c>
      <c r="AJ1011" s="81"/>
      <c r="AK1011" s="86" t="s">
        <v>2084</v>
      </c>
      <c r="AL1011" s="81" t="b">
        <v>0</v>
      </c>
      <c r="AM1011" s="81">
        <v>24</v>
      </c>
      <c r="AN1011" s="86" t="s">
        <v>1848</v>
      </c>
      <c r="AO1011" s="86" t="s">
        <v>2178</v>
      </c>
      <c r="AP1011" s="81" t="b">
        <v>0</v>
      </c>
      <c r="AQ1011" s="86" t="s">
        <v>1848</v>
      </c>
      <c r="AR1011" s="81" t="s">
        <v>179</v>
      </c>
      <c r="AS1011" s="81">
        <v>0</v>
      </c>
      <c r="AT1011" s="81">
        <v>0</v>
      </c>
      <c r="AU1011" s="81"/>
      <c r="AV1011" s="81"/>
      <c r="AW1011" s="81"/>
      <c r="AX1011" s="81"/>
      <c r="AY1011" s="81"/>
      <c r="AZ1011" s="81"/>
      <c r="BA1011" s="81"/>
      <c r="BB1011" s="81"/>
    </row>
    <row r="1012" spans="1:54" x14ac:dyDescent="0.35">
      <c r="A1012" s="66" t="s">
        <v>467</v>
      </c>
      <c r="B1012" s="66" t="s">
        <v>648</v>
      </c>
      <c r="C1012" s="67"/>
      <c r="D1012" s="68"/>
      <c r="E1012" s="69"/>
      <c r="F1012" s="70"/>
      <c r="G1012" s="67"/>
      <c r="H1012" s="71"/>
      <c r="I1012" s="72"/>
      <c r="J1012" s="72"/>
      <c r="K1012" s="36"/>
      <c r="L1012" s="79"/>
      <c r="M1012" s="79"/>
      <c r="N1012" s="74"/>
      <c r="O1012" s="81" t="s">
        <v>694</v>
      </c>
      <c r="P1012" s="83">
        <v>44464.302210648151</v>
      </c>
      <c r="Q1012" s="81" t="s">
        <v>802</v>
      </c>
      <c r="R1012" s="81"/>
      <c r="S1012" s="81"/>
      <c r="T1012" s="86" t="s">
        <v>649</v>
      </c>
      <c r="U1012" s="84" t="str">
        <f>HYPERLINK("https://pbs.twimg.com/media/FAEa_mFUYAcoKUu.jpg")</f>
        <v>https://pbs.twimg.com/media/FAEa_mFUYAcoKUu.jpg</v>
      </c>
      <c r="V1012" s="84" t="str">
        <f>HYPERLINK("https://pbs.twimg.com/media/FAEa_mFUYAcoKUu.jpg")</f>
        <v>https://pbs.twimg.com/media/FAEa_mFUYAcoKUu.jpg</v>
      </c>
      <c r="W1012" s="83">
        <v>44464.302210648151</v>
      </c>
      <c r="X1012" s="89">
        <v>44464</v>
      </c>
      <c r="Y1012" s="86" t="s">
        <v>1014</v>
      </c>
      <c r="Z1012" s="84" t="str">
        <f>HYPERLINK("https://twitter.com/yyoongs93/status/1441662551167627267")</f>
        <v>https://twitter.com/yyoongs93/status/1441662551167627267</v>
      </c>
      <c r="AA1012" s="81"/>
      <c r="AB1012" s="81"/>
      <c r="AC1012" s="86" t="s">
        <v>1814</v>
      </c>
      <c r="AD1012" s="81"/>
      <c r="AE1012" s="81" t="b">
        <v>0</v>
      </c>
      <c r="AF1012" s="81">
        <v>0</v>
      </c>
      <c r="AG1012" s="86" t="s">
        <v>2084</v>
      </c>
      <c r="AH1012" s="81" t="b">
        <v>0</v>
      </c>
      <c r="AI1012" s="81" t="s">
        <v>2168</v>
      </c>
      <c r="AJ1012" s="81"/>
      <c r="AK1012" s="86" t="s">
        <v>2084</v>
      </c>
      <c r="AL1012" s="81" t="b">
        <v>0</v>
      </c>
      <c r="AM1012" s="81">
        <v>24</v>
      </c>
      <c r="AN1012" s="86" t="s">
        <v>1848</v>
      </c>
      <c r="AO1012" s="86" t="s">
        <v>2178</v>
      </c>
      <c r="AP1012" s="81" t="b">
        <v>0</v>
      </c>
      <c r="AQ1012" s="86" t="s">
        <v>1848</v>
      </c>
      <c r="AR1012" s="81" t="s">
        <v>179</v>
      </c>
      <c r="AS1012" s="81">
        <v>0</v>
      </c>
      <c r="AT1012" s="81">
        <v>0</v>
      </c>
      <c r="AU1012" s="81"/>
      <c r="AV1012" s="81"/>
      <c r="AW1012" s="81"/>
      <c r="AX1012" s="81"/>
      <c r="AY1012" s="81"/>
      <c r="AZ1012" s="81"/>
      <c r="BA1012" s="81"/>
      <c r="BB1012" s="81"/>
    </row>
    <row r="1013" spans="1:54" x14ac:dyDescent="0.35">
      <c r="A1013" s="66" t="s">
        <v>467</v>
      </c>
      <c r="B1013" s="66" t="s">
        <v>649</v>
      </c>
      <c r="C1013" s="67"/>
      <c r="D1013" s="68"/>
      <c r="E1013" s="69"/>
      <c r="F1013" s="70"/>
      <c r="G1013" s="67"/>
      <c r="H1013" s="71"/>
      <c r="I1013" s="72"/>
      <c r="J1013" s="72"/>
      <c r="K1013" s="36"/>
      <c r="L1013" s="79"/>
      <c r="M1013" s="79"/>
      <c r="N1013" s="74"/>
      <c r="O1013" s="81" t="s">
        <v>694</v>
      </c>
      <c r="P1013" s="83">
        <v>44464.302210648151</v>
      </c>
      <c r="Q1013" s="81" t="s">
        <v>802</v>
      </c>
      <c r="R1013" s="81"/>
      <c r="S1013" s="81"/>
      <c r="T1013" s="86" t="s">
        <v>649</v>
      </c>
      <c r="U1013" s="84" t="str">
        <f>HYPERLINK("https://pbs.twimg.com/media/FAEa_mFUYAcoKUu.jpg")</f>
        <v>https://pbs.twimg.com/media/FAEa_mFUYAcoKUu.jpg</v>
      </c>
      <c r="V1013" s="84" t="str">
        <f>HYPERLINK("https://pbs.twimg.com/media/FAEa_mFUYAcoKUu.jpg")</f>
        <v>https://pbs.twimg.com/media/FAEa_mFUYAcoKUu.jpg</v>
      </c>
      <c r="W1013" s="83">
        <v>44464.302210648151</v>
      </c>
      <c r="X1013" s="89">
        <v>44464</v>
      </c>
      <c r="Y1013" s="86" t="s">
        <v>1014</v>
      </c>
      <c r="Z1013" s="84" t="str">
        <f>HYPERLINK("https://twitter.com/yyoongs93/status/1441662551167627267")</f>
        <v>https://twitter.com/yyoongs93/status/1441662551167627267</v>
      </c>
      <c r="AA1013" s="81"/>
      <c r="AB1013" s="81"/>
      <c r="AC1013" s="86" t="s">
        <v>1814</v>
      </c>
      <c r="AD1013" s="81"/>
      <c r="AE1013" s="81" t="b">
        <v>0</v>
      </c>
      <c r="AF1013" s="81">
        <v>0</v>
      </c>
      <c r="AG1013" s="86" t="s">
        <v>2084</v>
      </c>
      <c r="AH1013" s="81" t="b">
        <v>0</v>
      </c>
      <c r="AI1013" s="81" t="s">
        <v>2168</v>
      </c>
      <c r="AJ1013" s="81"/>
      <c r="AK1013" s="86" t="s">
        <v>2084</v>
      </c>
      <c r="AL1013" s="81" t="b">
        <v>0</v>
      </c>
      <c r="AM1013" s="81">
        <v>24</v>
      </c>
      <c r="AN1013" s="86" t="s">
        <v>1848</v>
      </c>
      <c r="AO1013" s="86" t="s">
        <v>2178</v>
      </c>
      <c r="AP1013" s="81" t="b">
        <v>0</v>
      </c>
      <c r="AQ1013" s="86" t="s">
        <v>1848</v>
      </c>
      <c r="AR1013" s="81" t="s">
        <v>179</v>
      </c>
      <c r="AS1013" s="81">
        <v>0</v>
      </c>
      <c r="AT1013" s="81">
        <v>0</v>
      </c>
      <c r="AU1013" s="81"/>
      <c r="AV1013" s="81"/>
      <c r="AW1013" s="81"/>
      <c r="AX1013" s="81"/>
      <c r="AY1013" s="81"/>
      <c r="AZ1013" s="81"/>
      <c r="BA1013" s="81"/>
      <c r="BB1013" s="81"/>
    </row>
    <row r="1014" spans="1:54" x14ac:dyDescent="0.35">
      <c r="A1014" s="66" t="s">
        <v>467</v>
      </c>
      <c r="B1014" s="66" t="s">
        <v>496</v>
      </c>
      <c r="C1014" s="67"/>
      <c r="D1014" s="68"/>
      <c r="E1014" s="69"/>
      <c r="F1014" s="70"/>
      <c r="G1014" s="67"/>
      <c r="H1014" s="71"/>
      <c r="I1014" s="72"/>
      <c r="J1014" s="72"/>
      <c r="K1014" s="36"/>
      <c r="L1014" s="79"/>
      <c r="M1014" s="79"/>
      <c r="N1014" s="74"/>
      <c r="O1014" s="81" t="s">
        <v>693</v>
      </c>
      <c r="P1014" s="83">
        <v>44464.302210648151</v>
      </c>
      <c r="Q1014" s="81" t="s">
        <v>802</v>
      </c>
      <c r="R1014" s="81"/>
      <c r="S1014" s="81"/>
      <c r="T1014" s="86" t="s">
        <v>649</v>
      </c>
      <c r="U1014" s="84" t="str">
        <f>HYPERLINK("https://pbs.twimg.com/media/FAEa_mFUYAcoKUu.jpg")</f>
        <v>https://pbs.twimg.com/media/FAEa_mFUYAcoKUu.jpg</v>
      </c>
      <c r="V1014" s="84" t="str">
        <f>HYPERLINK("https://pbs.twimg.com/media/FAEa_mFUYAcoKUu.jpg")</f>
        <v>https://pbs.twimg.com/media/FAEa_mFUYAcoKUu.jpg</v>
      </c>
      <c r="W1014" s="83">
        <v>44464.302210648151</v>
      </c>
      <c r="X1014" s="89">
        <v>44464</v>
      </c>
      <c r="Y1014" s="86" t="s">
        <v>1014</v>
      </c>
      <c r="Z1014" s="84" t="str">
        <f>HYPERLINK("https://twitter.com/yyoongs93/status/1441662551167627267")</f>
        <v>https://twitter.com/yyoongs93/status/1441662551167627267</v>
      </c>
      <c r="AA1014" s="81"/>
      <c r="AB1014" s="81"/>
      <c r="AC1014" s="86" t="s">
        <v>1814</v>
      </c>
      <c r="AD1014" s="81"/>
      <c r="AE1014" s="81" t="b">
        <v>0</v>
      </c>
      <c r="AF1014" s="81">
        <v>0</v>
      </c>
      <c r="AG1014" s="86" t="s">
        <v>2084</v>
      </c>
      <c r="AH1014" s="81" t="b">
        <v>0</v>
      </c>
      <c r="AI1014" s="81" t="s">
        <v>2168</v>
      </c>
      <c r="AJ1014" s="81"/>
      <c r="AK1014" s="86" t="s">
        <v>2084</v>
      </c>
      <c r="AL1014" s="81" t="b">
        <v>0</v>
      </c>
      <c r="AM1014" s="81">
        <v>24</v>
      </c>
      <c r="AN1014" s="86" t="s">
        <v>1848</v>
      </c>
      <c r="AO1014" s="86" t="s">
        <v>2178</v>
      </c>
      <c r="AP1014" s="81" t="b">
        <v>0</v>
      </c>
      <c r="AQ1014" s="86" t="s">
        <v>1848</v>
      </c>
      <c r="AR1014" s="81" t="s">
        <v>179</v>
      </c>
      <c r="AS1014" s="81">
        <v>0</v>
      </c>
      <c r="AT1014" s="81">
        <v>0</v>
      </c>
      <c r="AU1014" s="81"/>
      <c r="AV1014" s="81"/>
      <c r="AW1014" s="81"/>
      <c r="AX1014" s="81"/>
      <c r="AY1014" s="81"/>
      <c r="AZ1014" s="81"/>
      <c r="BA1014" s="81"/>
      <c r="BB1014" s="81"/>
    </row>
    <row r="1015" spans="1:54" x14ac:dyDescent="0.35">
      <c r="A1015" s="66" t="s">
        <v>4476</v>
      </c>
      <c r="B1015" s="66" t="s">
        <v>4476</v>
      </c>
      <c r="C1015" s="67"/>
      <c r="D1015" s="68"/>
      <c r="E1015" s="69"/>
      <c r="F1015" s="70"/>
      <c r="G1015" s="67"/>
      <c r="H1015" s="71"/>
      <c r="I1015" s="72"/>
      <c r="J1015" s="72"/>
      <c r="K1015" s="36"/>
      <c r="L1015" s="79"/>
      <c r="M1015" s="79"/>
      <c r="N1015" s="74"/>
      <c r="O1015" s="81" t="s">
        <v>179</v>
      </c>
      <c r="P1015" s="83">
        <v>44464.302928240744</v>
      </c>
      <c r="Q1015" s="81" t="s">
        <v>5447</v>
      </c>
      <c r="R1015" s="81"/>
      <c r="S1015" s="81"/>
      <c r="T1015" s="81"/>
      <c r="U1015" s="81"/>
      <c r="V1015" s="84" t="str">
        <f>HYPERLINK("https://pbs.twimg.com/profile_images/1435992062923575297/EKeuUL_p_normal.jpg")</f>
        <v>https://pbs.twimg.com/profile_images/1435992062923575297/EKeuUL_p_normal.jpg</v>
      </c>
      <c r="W1015" s="83">
        <v>44464.302928240744</v>
      </c>
      <c r="X1015" s="89">
        <v>44464</v>
      </c>
      <c r="Y1015" s="86" t="s">
        <v>6115</v>
      </c>
      <c r="Z1015" s="84" t="str">
        <f>HYPERLINK("https://twitter.com/pt_viiannaa/status/1441662808874233856")</f>
        <v>https://twitter.com/pt_viiannaa/status/1441662808874233856</v>
      </c>
      <c r="AA1015" s="81"/>
      <c r="AB1015" s="81"/>
      <c r="AC1015" s="86" t="s">
        <v>7021</v>
      </c>
      <c r="AD1015" s="81"/>
      <c r="AE1015" s="81" t="b">
        <v>0</v>
      </c>
      <c r="AF1015" s="81">
        <v>0</v>
      </c>
      <c r="AG1015" s="86" t="s">
        <v>2084</v>
      </c>
      <c r="AH1015" s="81" t="b">
        <v>0</v>
      </c>
      <c r="AI1015" s="81" t="s">
        <v>2171</v>
      </c>
      <c r="AJ1015" s="81"/>
      <c r="AK1015" s="86" t="s">
        <v>2084</v>
      </c>
      <c r="AL1015" s="81" t="b">
        <v>0</v>
      </c>
      <c r="AM1015" s="81">
        <v>0</v>
      </c>
      <c r="AN1015" s="86" t="s">
        <v>2084</v>
      </c>
      <c r="AO1015" s="86" t="s">
        <v>2178</v>
      </c>
      <c r="AP1015" s="81" t="b">
        <v>0</v>
      </c>
      <c r="AQ1015" s="86" t="s">
        <v>7021</v>
      </c>
      <c r="AR1015" s="81" t="s">
        <v>179</v>
      </c>
      <c r="AS1015" s="81">
        <v>0</v>
      </c>
      <c r="AT1015" s="81">
        <v>0</v>
      </c>
      <c r="AU1015" s="81"/>
      <c r="AV1015" s="81"/>
      <c r="AW1015" s="81"/>
      <c r="AX1015" s="81"/>
      <c r="AY1015" s="81"/>
      <c r="AZ1015" s="81"/>
      <c r="BA1015" s="81"/>
      <c r="BB1015" s="81"/>
    </row>
    <row r="1016" spans="1:54" x14ac:dyDescent="0.35">
      <c r="A1016" s="66" t="s">
        <v>468</v>
      </c>
      <c r="B1016" s="66" t="s">
        <v>646</v>
      </c>
      <c r="C1016" s="67"/>
      <c r="D1016" s="68"/>
      <c r="E1016" s="69"/>
      <c r="F1016" s="70"/>
      <c r="G1016" s="67"/>
      <c r="H1016" s="71"/>
      <c r="I1016" s="72"/>
      <c r="J1016" s="72"/>
      <c r="K1016" s="36"/>
      <c r="L1016" s="79"/>
      <c r="M1016" s="79"/>
      <c r="N1016" s="74"/>
      <c r="O1016" s="81" t="s">
        <v>694</v>
      </c>
      <c r="P1016" s="83">
        <v>44464.309004629627</v>
      </c>
      <c r="Q1016" s="81" t="s">
        <v>802</v>
      </c>
      <c r="R1016" s="81"/>
      <c r="S1016" s="81"/>
      <c r="T1016" s="86" t="s">
        <v>649</v>
      </c>
      <c r="U1016" s="84" t="str">
        <f>HYPERLINK("https://pbs.twimg.com/media/FAEa_mFUYAcoKUu.jpg")</f>
        <v>https://pbs.twimg.com/media/FAEa_mFUYAcoKUu.jpg</v>
      </c>
      <c r="V1016" s="84" t="str">
        <f>HYPERLINK("https://pbs.twimg.com/media/FAEa_mFUYAcoKUu.jpg")</f>
        <v>https://pbs.twimg.com/media/FAEa_mFUYAcoKUu.jpg</v>
      </c>
      <c r="W1016" s="83">
        <v>44464.309004629627</v>
      </c>
      <c r="X1016" s="89">
        <v>44464</v>
      </c>
      <c r="Y1016" s="86" t="s">
        <v>1319</v>
      </c>
      <c r="Z1016" s="84" t="str">
        <f>HYPERLINK("https://twitter.com/lyayae_/status/1441665012087410693")</f>
        <v>https://twitter.com/lyayae_/status/1441665012087410693</v>
      </c>
      <c r="AA1016" s="81"/>
      <c r="AB1016" s="81"/>
      <c r="AC1016" s="86" t="s">
        <v>1815</v>
      </c>
      <c r="AD1016" s="81"/>
      <c r="AE1016" s="81" t="b">
        <v>0</v>
      </c>
      <c r="AF1016" s="81">
        <v>0</v>
      </c>
      <c r="AG1016" s="86" t="s">
        <v>2084</v>
      </c>
      <c r="AH1016" s="81" t="b">
        <v>0</v>
      </c>
      <c r="AI1016" s="81" t="s">
        <v>2168</v>
      </c>
      <c r="AJ1016" s="81"/>
      <c r="AK1016" s="86" t="s">
        <v>2084</v>
      </c>
      <c r="AL1016" s="81" t="b">
        <v>0</v>
      </c>
      <c r="AM1016" s="81">
        <v>24</v>
      </c>
      <c r="AN1016" s="86" t="s">
        <v>1848</v>
      </c>
      <c r="AO1016" s="86" t="s">
        <v>2179</v>
      </c>
      <c r="AP1016" s="81" t="b">
        <v>0</v>
      </c>
      <c r="AQ1016" s="86" t="s">
        <v>1848</v>
      </c>
      <c r="AR1016" s="81" t="s">
        <v>179</v>
      </c>
      <c r="AS1016" s="81">
        <v>0</v>
      </c>
      <c r="AT1016" s="81">
        <v>0</v>
      </c>
      <c r="AU1016" s="81"/>
      <c r="AV1016" s="81"/>
      <c r="AW1016" s="81"/>
      <c r="AX1016" s="81"/>
      <c r="AY1016" s="81"/>
      <c r="AZ1016" s="81"/>
      <c r="BA1016" s="81"/>
      <c r="BB1016" s="81"/>
    </row>
    <row r="1017" spans="1:54" x14ac:dyDescent="0.35">
      <c r="A1017" s="66" t="s">
        <v>468</v>
      </c>
      <c r="B1017" s="66" t="s">
        <v>647</v>
      </c>
      <c r="C1017" s="67"/>
      <c r="D1017" s="68"/>
      <c r="E1017" s="69"/>
      <c r="F1017" s="70"/>
      <c r="G1017" s="67"/>
      <c r="H1017" s="71"/>
      <c r="I1017" s="72"/>
      <c r="J1017" s="72"/>
      <c r="K1017" s="36"/>
      <c r="L1017" s="79"/>
      <c r="M1017" s="79"/>
      <c r="N1017" s="74"/>
      <c r="O1017" s="81" t="s">
        <v>694</v>
      </c>
      <c r="P1017" s="83">
        <v>44464.309004629627</v>
      </c>
      <c r="Q1017" s="81" t="s">
        <v>802</v>
      </c>
      <c r="R1017" s="81"/>
      <c r="S1017" s="81"/>
      <c r="T1017" s="86" t="s">
        <v>649</v>
      </c>
      <c r="U1017" s="84" t="str">
        <f>HYPERLINK("https://pbs.twimg.com/media/FAEa_mFUYAcoKUu.jpg")</f>
        <v>https://pbs.twimg.com/media/FAEa_mFUYAcoKUu.jpg</v>
      </c>
      <c r="V1017" s="84" t="str">
        <f>HYPERLINK("https://pbs.twimg.com/media/FAEa_mFUYAcoKUu.jpg")</f>
        <v>https://pbs.twimg.com/media/FAEa_mFUYAcoKUu.jpg</v>
      </c>
      <c r="W1017" s="83">
        <v>44464.309004629627</v>
      </c>
      <c r="X1017" s="89">
        <v>44464</v>
      </c>
      <c r="Y1017" s="86" t="s">
        <v>1319</v>
      </c>
      <c r="Z1017" s="84" t="str">
        <f>HYPERLINK("https://twitter.com/lyayae_/status/1441665012087410693")</f>
        <v>https://twitter.com/lyayae_/status/1441665012087410693</v>
      </c>
      <c r="AA1017" s="81"/>
      <c r="AB1017" s="81"/>
      <c r="AC1017" s="86" t="s">
        <v>1815</v>
      </c>
      <c r="AD1017" s="81"/>
      <c r="AE1017" s="81" t="b">
        <v>0</v>
      </c>
      <c r="AF1017" s="81">
        <v>0</v>
      </c>
      <c r="AG1017" s="86" t="s">
        <v>2084</v>
      </c>
      <c r="AH1017" s="81" t="b">
        <v>0</v>
      </c>
      <c r="AI1017" s="81" t="s">
        <v>2168</v>
      </c>
      <c r="AJ1017" s="81"/>
      <c r="AK1017" s="86" t="s">
        <v>2084</v>
      </c>
      <c r="AL1017" s="81" t="b">
        <v>0</v>
      </c>
      <c r="AM1017" s="81">
        <v>24</v>
      </c>
      <c r="AN1017" s="86" t="s">
        <v>1848</v>
      </c>
      <c r="AO1017" s="86" t="s">
        <v>2179</v>
      </c>
      <c r="AP1017" s="81" t="b">
        <v>0</v>
      </c>
      <c r="AQ1017" s="86" t="s">
        <v>1848</v>
      </c>
      <c r="AR1017" s="81" t="s">
        <v>179</v>
      </c>
      <c r="AS1017" s="81">
        <v>0</v>
      </c>
      <c r="AT1017" s="81">
        <v>0</v>
      </c>
      <c r="AU1017" s="81"/>
      <c r="AV1017" s="81"/>
      <c r="AW1017" s="81"/>
      <c r="AX1017" s="81"/>
      <c r="AY1017" s="81"/>
      <c r="AZ1017" s="81"/>
      <c r="BA1017" s="81"/>
      <c r="BB1017" s="81"/>
    </row>
    <row r="1018" spans="1:54" x14ac:dyDescent="0.35">
      <c r="A1018" s="66" t="s">
        <v>468</v>
      </c>
      <c r="B1018" s="66" t="s">
        <v>648</v>
      </c>
      <c r="C1018" s="67"/>
      <c r="D1018" s="68"/>
      <c r="E1018" s="69"/>
      <c r="F1018" s="70"/>
      <c r="G1018" s="67"/>
      <c r="H1018" s="71"/>
      <c r="I1018" s="72"/>
      <c r="J1018" s="72"/>
      <c r="K1018" s="36"/>
      <c r="L1018" s="79"/>
      <c r="M1018" s="79"/>
      <c r="N1018" s="74"/>
      <c r="O1018" s="81" t="s">
        <v>694</v>
      </c>
      <c r="P1018" s="83">
        <v>44464.309004629627</v>
      </c>
      <c r="Q1018" s="81" t="s">
        <v>802</v>
      </c>
      <c r="R1018" s="81"/>
      <c r="S1018" s="81"/>
      <c r="T1018" s="86" t="s">
        <v>649</v>
      </c>
      <c r="U1018" s="84" t="str">
        <f>HYPERLINK("https://pbs.twimg.com/media/FAEa_mFUYAcoKUu.jpg")</f>
        <v>https://pbs.twimg.com/media/FAEa_mFUYAcoKUu.jpg</v>
      </c>
      <c r="V1018" s="84" t="str">
        <f>HYPERLINK("https://pbs.twimg.com/media/FAEa_mFUYAcoKUu.jpg")</f>
        <v>https://pbs.twimg.com/media/FAEa_mFUYAcoKUu.jpg</v>
      </c>
      <c r="W1018" s="83">
        <v>44464.309004629627</v>
      </c>
      <c r="X1018" s="89">
        <v>44464</v>
      </c>
      <c r="Y1018" s="86" t="s">
        <v>1319</v>
      </c>
      <c r="Z1018" s="84" t="str">
        <f>HYPERLINK("https://twitter.com/lyayae_/status/1441665012087410693")</f>
        <v>https://twitter.com/lyayae_/status/1441665012087410693</v>
      </c>
      <c r="AA1018" s="81"/>
      <c r="AB1018" s="81"/>
      <c r="AC1018" s="86" t="s">
        <v>1815</v>
      </c>
      <c r="AD1018" s="81"/>
      <c r="AE1018" s="81" t="b">
        <v>0</v>
      </c>
      <c r="AF1018" s="81">
        <v>0</v>
      </c>
      <c r="AG1018" s="86" t="s">
        <v>2084</v>
      </c>
      <c r="AH1018" s="81" t="b">
        <v>0</v>
      </c>
      <c r="AI1018" s="81" t="s">
        <v>2168</v>
      </c>
      <c r="AJ1018" s="81"/>
      <c r="AK1018" s="86" t="s">
        <v>2084</v>
      </c>
      <c r="AL1018" s="81" t="b">
        <v>0</v>
      </c>
      <c r="AM1018" s="81">
        <v>24</v>
      </c>
      <c r="AN1018" s="86" t="s">
        <v>1848</v>
      </c>
      <c r="AO1018" s="86" t="s">
        <v>2179</v>
      </c>
      <c r="AP1018" s="81" t="b">
        <v>0</v>
      </c>
      <c r="AQ1018" s="86" t="s">
        <v>1848</v>
      </c>
      <c r="AR1018" s="81" t="s">
        <v>179</v>
      </c>
      <c r="AS1018" s="81">
        <v>0</v>
      </c>
      <c r="AT1018" s="81">
        <v>0</v>
      </c>
      <c r="AU1018" s="81"/>
      <c r="AV1018" s="81"/>
      <c r="AW1018" s="81"/>
      <c r="AX1018" s="81"/>
      <c r="AY1018" s="81"/>
      <c r="AZ1018" s="81"/>
      <c r="BA1018" s="81"/>
      <c r="BB1018" s="81"/>
    </row>
    <row r="1019" spans="1:54" x14ac:dyDescent="0.35">
      <c r="A1019" s="66" t="s">
        <v>468</v>
      </c>
      <c r="B1019" s="66" t="s">
        <v>649</v>
      </c>
      <c r="C1019" s="67"/>
      <c r="D1019" s="68"/>
      <c r="E1019" s="69"/>
      <c r="F1019" s="70"/>
      <c r="G1019" s="67"/>
      <c r="H1019" s="71"/>
      <c r="I1019" s="72"/>
      <c r="J1019" s="72"/>
      <c r="K1019" s="36"/>
      <c r="L1019" s="79"/>
      <c r="M1019" s="79"/>
      <c r="N1019" s="74"/>
      <c r="O1019" s="81" t="s">
        <v>694</v>
      </c>
      <c r="P1019" s="83">
        <v>44464.309004629627</v>
      </c>
      <c r="Q1019" s="81" t="s">
        <v>802</v>
      </c>
      <c r="R1019" s="81"/>
      <c r="S1019" s="81"/>
      <c r="T1019" s="86" t="s">
        <v>649</v>
      </c>
      <c r="U1019" s="84" t="str">
        <f>HYPERLINK("https://pbs.twimg.com/media/FAEa_mFUYAcoKUu.jpg")</f>
        <v>https://pbs.twimg.com/media/FAEa_mFUYAcoKUu.jpg</v>
      </c>
      <c r="V1019" s="84" t="str">
        <f>HYPERLINK("https://pbs.twimg.com/media/FAEa_mFUYAcoKUu.jpg")</f>
        <v>https://pbs.twimg.com/media/FAEa_mFUYAcoKUu.jpg</v>
      </c>
      <c r="W1019" s="83">
        <v>44464.309004629627</v>
      </c>
      <c r="X1019" s="89">
        <v>44464</v>
      </c>
      <c r="Y1019" s="86" t="s">
        <v>1319</v>
      </c>
      <c r="Z1019" s="84" t="str">
        <f>HYPERLINK("https://twitter.com/lyayae_/status/1441665012087410693")</f>
        <v>https://twitter.com/lyayae_/status/1441665012087410693</v>
      </c>
      <c r="AA1019" s="81"/>
      <c r="AB1019" s="81"/>
      <c r="AC1019" s="86" t="s">
        <v>1815</v>
      </c>
      <c r="AD1019" s="81"/>
      <c r="AE1019" s="81" t="b">
        <v>0</v>
      </c>
      <c r="AF1019" s="81">
        <v>0</v>
      </c>
      <c r="AG1019" s="86" t="s">
        <v>2084</v>
      </c>
      <c r="AH1019" s="81" t="b">
        <v>0</v>
      </c>
      <c r="AI1019" s="81" t="s">
        <v>2168</v>
      </c>
      <c r="AJ1019" s="81"/>
      <c r="AK1019" s="86" t="s">
        <v>2084</v>
      </c>
      <c r="AL1019" s="81" t="b">
        <v>0</v>
      </c>
      <c r="AM1019" s="81">
        <v>24</v>
      </c>
      <c r="AN1019" s="86" t="s">
        <v>1848</v>
      </c>
      <c r="AO1019" s="86" t="s">
        <v>2179</v>
      </c>
      <c r="AP1019" s="81" t="b">
        <v>0</v>
      </c>
      <c r="AQ1019" s="86" t="s">
        <v>1848</v>
      </c>
      <c r="AR1019" s="81" t="s">
        <v>179</v>
      </c>
      <c r="AS1019" s="81">
        <v>0</v>
      </c>
      <c r="AT1019" s="81">
        <v>0</v>
      </c>
      <c r="AU1019" s="81"/>
      <c r="AV1019" s="81"/>
      <c r="AW1019" s="81"/>
      <c r="AX1019" s="81"/>
      <c r="AY1019" s="81"/>
      <c r="AZ1019" s="81"/>
      <c r="BA1019" s="81"/>
      <c r="BB1019" s="81"/>
    </row>
    <row r="1020" spans="1:54" x14ac:dyDescent="0.35">
      <c r="A1020" s="66" t="s">
        <v>468</v>
      </c>
      <c r="B1020" s="66" t="s">
        <v>496</v>
      </c>
      <c r="C1020" s="67"/>
      <c r="D1020" s="68"/>
      <c r="E1020" s="69"/>
      <c r="F1020" s="70"/>
      <c r="G1020" s="67"/>
      <c r="H1020" s="71"/>
      <c r="I1020" s="72"/>
      <c r="J1020" s="72"/>
      <c r="K1020" s="36"/>
      <c r="L1020" s="79"/>
      <c r="M1020" s="79"/>
      <c r="N1020" s="74"/>
      <c r="O1020" s="81" t="s">
        <v>693</v>
      </c>
      <c r="P1020" s="83">
        <v>44464.309004629627</v>
      </c>
      <c r="Q1020" s="81" t="s">
        <v>802</v>
      </c>
      <c r="R1020" s="81"/>
      <c r="S1020" s="81"/>
      <c r="T1020" s="86" t="s">
        <v>649</v>
      </c>
      <c r="U1020" s="84" t="str">
        <f>HYPERLINK("https://pbs.twimg.com/media/FAEa_mFUYAcoKUu.jpg")</f>
        <v>https://pbs.twimg.com/media/FAEa_mFUYAcoKUu.jpg</v>
      </c>
      <c r="V1020" s="84" t="str">
        <f>HYPERLINK("https://pbs.twimg.com/media/FAEa_mFUYAcoKUu.jpg")</f>
        <v>https://pbs.twimg.com/media/FAEa_mFUYAcoKUu.jpg</v>
      </c>
      <c r="W1020" s="83">
        <v>44464.309004629627</v>
      </c>
      <c r="X1020" s="89">
        <v>44464</v>
      </c>
      <c r="Y1020" s="86" t="s">
        <v>1319</v>
      </c>
      <c r="Z1020" s="84" t="str">
        <f>HYPERLINK("https://twitter.com/lyayae_/status/1441665012087410693")</f>
        <v>https://twitter.com/lyayae_/status/1441665012087410693</v>
      </c>
      <c r="AA1020" s="81"/>
      <c r="AB1020" s="81"/>
      <c r="AC1020" s="86" t="s">
        <v>1815</v>
      </c>
      <c r="AD1020" s="81"/>
      <c r="AE1020" s="81" t="b">
        <v>0</v>
      </c>
      <c r="AF1020" s="81">
        <v>0</v>
      </c>
      <c r="AG1020" s="86" t="s">
        <v>2084</v>
      </c>
      <c r="AH1020" s="81" t="b">
        <v>0</v>
      </c>
      <c r="AI1020" s="81" t="s">
        <v>2168</v>
      </c>
      <c r="AJ1020" s="81"/>
      <c r="AK1020" s="86" t="s">
        <v>2084</v>
      </c>
      <c r="AL1020" s="81" t="b">
        <v>0</v>
      </c>
      <c r="AM1020" s="81">
        <v>24</v>
      </c>
      <c r="AN1020" s="86" t="s">
        <v>1848</v>
      </c>
      <c r="AO1020" s="86" t="s">
        <v>2179</v>
      </c>
      <c r="AP1020" s="81" t="b">
        <v>0</v>
      </c>
      <c r="AQ1020" s="86" t="s">
        <v>1848</v>
      </c>
      <c r="AR1020" s="81" t="s">
        <v>179</v>
      </c>
      <c r="AS1020" s="81">
        <v>0</v>
      </c>
      <c r="AT1020" s="81">
        <v>0</v>
      </c>
      <c r="AU1020" s="81"/>
      <c r="AV1020" s="81"/>
      <c r="AW1020" s="81"/>
      <c r="AX1020" s="81"/>
      <c r="AY1020" s="81"/>
      <c r="AZ1020" s="81"/>
      <c r="BA1020" s="81"/>
      <c r="BB1020" s="81"/>
    </row>
    <row r="1021" spans="1:54" x14ac:dyDescent="0.35">
      <c r="A1021" s="66" t="s">
        <v>469</v>
      </c>
      <c r="B1021" s="66" t="s">
        <v>657</v>
      </c>
      <c r="C1021" s="67"/>
      <c r="D1021" s="68"/>
      <c r="E1021" s="69"/>
      <c r="F1021" s="70"/>
      <c r="G1021" s="67"/>
      <c r="H1021" s="71"/>
      <c r="I1021" s="72"/>
      <c r="J1021" s="72"/>
      <c r="K1021" s="36"/>
      <c r="L1021" s="79"/>
      <c r="M1021" s="79"/>
      <c r="N1021" s="74"/>
      <c r="O1021" s="81" t="s">
        <v>695</v>
      </c>
      <c r="P1021" s="83">
        <v>44464.309895833336</v>
      </c>
      <c r="Q1021" s="81" t="s">
        <v>810</v>
      </c>
      <c r="R1021" s="81"/>
      <c r="S1021" s="81"/>
      <c r="T1021" s="81"/>
      <c r="U1021" s="81"/>
      <c r="V1021" s="84" t="str">
        <f>HYPERLINK("https://pbs.twimg.com/profile_images/1406091383543193607/T-Ts9soq_normal.jpg")</f>
        <v>https://pbs.twimg.com/profile_images/1406091383543193607/T-Ts9soq_normal.jpg</v>
      </c>
      <c r="W1021" s="83">
        <v>44464.309895833336</v>
      </c>
      <c r="X1021" s="89">
        <v>44464</v>
      </c>
      <c r="Y1021" s="86" t="s">
        <v>1320</v>
      </c>
      <c r="Z1021" s="84" t="str">
        <f>HYPERLINK("https://twitter.com/sitirdeenaa/status/1441665334478446594")</f>
        <v>https://twitter.com/sitirdeenaa/status/1441665334478446594</v>
      </c>
      <c r="AA1021" s="81"/>
      <c r="AB1021" s="81"/>
      <c r="AC1021" s="86" t="s">
        <v>1816</v>
      </c>
      <c r="AD1021" s="86" t="s">
        <v>2040</v>
      </c>
      <c r="AE1021" s="81" t="b">
        <v>0</v>
      </c>
      <c r="AF1021" s="81">
        <v>0</v>
      </c>
      <c r="AG1021" s="86" t="s">
        <v>2124</v>
      </c>
      <c r="AH1021" s="81" t="b">
        <v>0</v>
      </c>
      <c r="AI1021" s="81" t="s">
        <v>2167</v>
      </c>
      <c r="AJ1021" s="81"/>
      <c r="AK1021" s="86" t="s">
        <v>2084</v>
      </c>
      <c r="AL1021" s="81" t="b">
        <v>0</v>
      </c>
      <c r="AM1021" s="81">
        <v>0</v>
      </c>
      <c r="AN1021" s="86" t="s">
        <v>2084</v>
      </c>
      <c r="AO1021" s="86" t="s">
        <v>2179</v>
      </c>
      <c r="AP1021" s="81" t="b">
        <v>0</v>
      </c>
      <c r="AQ1021" s="86" t="s">
        <v>2040</v>
      </c>
      <c r="AR1021" s="81" t="s">
        <v>179</v>
      </c>
      <c r="AS1021" s="81">
        <v>0</v>
      </c>
      <c r="AT1021" s="81">
        <v>0</v>
      </c>
      <c r="AU1021" s="81"/>
      <c r="AV1021" s="81"/>
      <c r="AW1021" s="81"/>
      <c r="AX1021" s="81"/>
      <c r="AY1021" s="81"/>
      <c r="AZ1021" s="81"/>
      <c r="BA1021" s="81"/>
      <c r="BB1021" s="81"/>
    </row>
    <row r="1022" spans="1:54" x14ac:dyDescent="0.35">
      <c r="A1022" s="66" t="s">
        <v>470</v>
      </c>
      <c r="B1022" s="66" t="s">
        <v>658</v>
      </c>
      <c r="C1022" s="67"/>
      <c r="D1022" s="68"/>
      <c r="E1022" s="69"/>
      <c r="F1022" s="70"/>
      <c r="G1022" s="67"/>
      <c r="H1022" s="71"/>
      <c r="I1022" s="72"/>
      <c r="J1022" s="72"/>
      <c r="K1022" s="36"/>
      <c r="L1022" s="79"/>
      <c r="M1022" s="79"/>
      <c r="N1022" s="74"/>
      <c r="O1022" s="81" t="s">
        <v>695</v>
      </c>
      <c r="P1022" s="83">
        <v>44464.32240740741</v>
      </c>
      <c r="Q1022" s="81" t="s">
        <v>811</v>
      </c>
      <c r="R1022" s="81"/>
      <c r="S1022" s="81"/>
      <c r="T1022" s="81"/>
      <c r="U1022" s="81"/>
      <c r="V1022" s="84" t="str">
        <f>HYPERLINK("https://pbs.twimg.com/profile_images/1433094533198200835/ejGKk1WS_normal.jpg")</f>
        <v>https://pbs.twimg.com/profile_images/1433094533198200835/ejGKk1WS_normal.jpg</v>
      </c>
      <c r="W1022" s="83">
        <v>44464.32240740741</v>
      </c>
      <c r="X1022" s="89">
        <v>44464</v>
      </c>
      <c r="Y1022" s="86" t="s">
        <v>1321</v>
      </c>
      <c r="Z1022" s="84" t="str">
        <f>HYPERLINK("https://twitter.com/jaemdoongiessss/status/1441669871259906048")</f>
        <v>https://twitter.com/jaemdoongiessss/status/1441669871259906048</v>
      </c>
      <c r="AA1022" s="81"/>
      <c r="AB1022" s="81"/>
      <c r="AC1022" s="86" t="s">
        <v>1817</v>
      </c>
      <c r="AD1022" s="86" t="s">
        <v>2041</v>
      </c>
      <c r="AE1022" s="81" t="b">
        <v>0</v>
      </c>
      <c r="AF1022" s="81">
        <v>0</v>
      </c>
      <c r="AG1022" s="86" t="s">
        <v>2125</v>
      </c>
      <c r="AH1022" s="81" t="b">
        <v>0</v>
      </c>
      <c r="AI1022" s="81" t="s">
        <v>2167</v>
      </c>
      <c r="AJ1022" s="81"/>
      <c r="AK1022" s="86" t="s">
        <v>2084</v>
      </c>
      <c r="AL1022" s="81" t="b">
        <v>0</v>
      </c>
      <c r="AM1022" s="81">
        <v>0</v>
      </c>
      <c r="AN1022" s="86" t="s">
        <v>2084</v>
      </c>
      <c r="AO1022" s="86" t="s">
        <v>2179</v>
      </c>
      <c r="AP1022" s="81" t="b">
        <v>0</v>
      </c>
      <c r="AQ1022" s="86" t="s">
        <v>2041</v>
      </c>
      <c r="AR1022" s="81" t="s">
        <v>179</v>
      </c>
      <c r="AS1022" s="81">
        <v>0</v>
      </c>
      <c r="AT1022" s="81">
        <v>0</v>
      </c>
      <c r="AU1022" s="81"/>
      <c r="AV1022" s="81"/>
      <c r="AW1022" s="81"/>
      <c r="AX1022" s="81"/>
      <c r="AY1022" s="81"/>
      <c r="AZ1022" s="81"/>
      <c r="BA1022" s="81"/>
      <c r="BB1022" s="81"/>
    </row>
    <row r="1023" spans="1:54" x14ac:dyDescent="0.35">
      <c r="A1023" s="66" t="s">
        <v>4477</v>
      </c>
      <c r="B1023" s="66" t="s">
        <v>5090</v>
      </c>
      <c r="C1023" s="67"/>
      <c r="D1023" s="68"/>
      <c r="E1023" s="69"/>
      <c r="F1023" s="70"/>
      <c r="G1023" s="67"/>
      <c r="H1023" s="71"/>
      <c r="I1023" s="72"/>
      <c r="J1023" s="72"/>
      <c r="K1023" s="36"/>
      <c r="L1023" s="79"/>
      <c r="M1023" s="79"/>
      <c r="N1023" s="74"/>
      <c r="O1023" s="81" t="s">
        <v>695</v>
      </c>
      <c r="P1023" s="83">
        <v>44464.330983796295</v>
      </c>
      <c r="Q1023" s="81" t="s">
        <v>5448</v>
      </c>
      <c r="R1023" s="81"/>
      <c r="S1023" s="81"/>
      <c r="T1023" s="81"/>
      <c r="U1023" s="81"/>
      <c r="V1023" s="84" t="str">
        <f>HYPERLINK("https://pbs.twimg.com/profile_images/1156661676512616448/qpi0jgnq_normal.jpg")</f>
        <v>https://pbs.twimg.com/profile_images/1156661676512616448/qpi0jgnq_normal.jpg</v>
      </c>
      <c r="W1023" s="83">
        <v>44464.330983796295</v>
      </c>
      <c r="X1023" s="89">
        <v>44464</v>
      </c>
      <c r="Y1023" s="86" t="s">
        <v>6116</v>
      </c>
      <c r="Z1023" s="84" t="str">
        <f>HYPERLINK("https://twitter.com/jhowmitchel/status/1441672979436294157")</f>
        <v>https://twitter.com/jhowmitchel/status/1441672979436294157</v>
      </c>
      <c r="AA1023" s="81"/>
      <c r="AB1023" s="81"/>
      <c r="AC1023" s="86" t="s">
        <v>7022</v>
      </c>
      <c r="AD1023" s="86" t="s">
        <v>7687</v>
      </c>
      <c r="AE1023" s="81" t="b">
        <v>0</v>
      </c>
      <c r="AF1023" s="81">
        <v>0</v>
      </c>
      <c r="AG1023" s="86" t="s">
        <v>7864</v>
      </c>
      <c r="AH1023" s="81" t="b">
        <v>0</v>
      </c>
      <c r="AI1023" s="81" t="s">
        <v>2171</v>
      </c>
      <c r="AJ1023" s="81"/>
      <c r="AK1023" s="86" t="s">
        <v>2084</v>
      </c>
      <c r="AL1023" s="81" t="b">
        <v>0</v>
      </c>
      <c r="AM1023" s="81">
        <v>0</v>
      </c>
      <c r="AN1023" s="86" t="s">
        <v>2084</v>
      </c>
      <c r="AO1023" s="86" t="s">
        <v>2178</v>
      </c>
      <c r="AP1023" s="81" t="b">
        <v>0</v>
      </c>
      <c r="AQ1023" s="86" t="s">
        <v>7687</v>
      </c>
      <c r="AR1023" s="81" t="s">
        <v>179</v>
      </c>
      <c r="AS1023" s="81">
        <v>0</v>
      </c>
      <c r="AT1023" s="81">
        <v>0</v>
      </c>
      <c r="AU1023" s="81"/>
      <c r="AV1023" s="81"/>
      <c r="AW1023" s="81"/>
      <c r="AX1023" s="81"/>
      <c r="AY1023" s="81"/>
      <c r="AZ1023" s="81"/>
      <c r="BA1023" s="81"/>
      <c r="BB1023" s="81"/>
    </row>
    <row r="1024" spans="1:54" x14ac:dyDescent="0.35">
      <c r="A1024" s="66" t="s">
        <v>471</v>
      </c>
      <c r="B1024" s="66" t="s">
        <v>646</v>
      </c>
      <c r="C1024" s="67"/>
      <c r="D1024" s="68"/>
      <c r="E1024" s="69"/>
      <c r="F1024" s="70"/>
      <c r="G1024" s="67"/>
      <c r="H1024" s="71"/>
      <c r="I1024" s="72"/>
      <c r="J1024" s="72"/>
      <c r="K1024" s="36"/>
      <c r="L1024" s="79"/>
      <c r="M1024" s="79"/>
      <c r="N1024" s="74"/>
      <c r="O1024" s="81" t="s">
        <v>694</v>
      </c>
      <c r="P1024" s="83">
        <v>44464.335532407407</v>
      </c>
      <c r="Q1024" s="81" t="s">
        <v>802</v>
      </c>
      <c r="R1024" s="81"/>
      <c r="S1024" s="81"/>
      <c r="T1024" s="86" t="s">
        <v>649</v>
      </c>
      <c r="U1024" s="84" t="str">
        <f>HYPERLINK("https://pbs.twimg.com/media/FAEa_mFUYAcoKUu.jpg")</f>
        <v>https://pbs.twimg.com/media/FAEa_mFUYAcoKUu.jpg</v>
      </c>
      <c r="V1024" s="84" t="str">
        <f>HYPERLINK("https://pbs.twimg.com/media/FAEa_mFUYAcoKUu.jpg")</f>
        <v>https://pbs.twimg.com/media/FAEa_mFUYAcoKUu.jpg</v>
      </c>
      <c r="W1024" s="83">
        <v>44464.335532407407</v>
      </c>
      <c r="X1024" s="89">
        <v>44464</v>
      </c>
      <c r="Y1024" s="86" t="s">
        <v>1322</v>
      </c>
      <c r="Z1024" s="84" t="str">
        <f>HYPERLINK("https://twitter.com/ktaehmybae/status/1441674626317238282")</f>
        <v>https://twitter.com/ktaehmybae/status/1441674626317238282</v>
      </c>
      <c r="AA1024" s="81"/>
      <c r="AB1024" s="81"/>
      <c r="AC1024" s="86" t="s">
        <v>1818</v>
      </c>
      <c r="AD1024" s="81"/>
      <c r="AE1024" s="81" t="b">
        <v>0</v>
      </c>
      <c r="AF1024" s="81">
        <v>0</v>
      </c>
      <c r="AG1024" s="86" t="s">
        <v>2084</v>
      </c>
      <c r="AH1024" s="81" t="b">
        <v>0</v>
      </c>
      <c r="AI1024" s="81" t="s">
        <v>2168</v>
      </c>
      <c r="AJ1024" s="81"/>
      <c r="AK1024" s="86" t="s">
        <v>2084</v>
      </c>
      <c r="AL1024" s="81" t="b">
        <v>0</v>
      </c>
      <c r="AM1024" s="81">
        <v>24</v>
      </c>
      <c r="AN1024" s="86" t="s">
        <v>1848</v>
      </c>
      <c r="AO1024" s="86" t="s">
        <v>2178</v>
      </c>
      <c r="AP1024" s="81" t="b">
        <v>0</v>
      </c>
      <c r="AQ1024" s="86" t="s">
        <v>1848</v>
      </c>
      <c r="AR1024" s="81" t="s">
        <v>179</v>
      </c>
      <c r="AS1024" s="81">
        <v>0</v>
      </c>
      <c r="AT1024" s="81">
        <v>0</v>
      </c>
      <c r="AU1024" s="81"/>
      <c r="AV1024" s="81"/>
      <c r="AW1024" s="81"/>
      <c r="AX1024" s="81"/>
      <c r="AY1024" s="81"/>
      <c r="AZ1024" s="81"/>
      <c r="BA1024" s="81"/>
      <c r="BB1024" s="81"/>
    </row>
    <row r="1025" spans="1:54" x14ac:dyDescent="0.35">
      <c r="A1025" s="66" t="s">
        <v>471</v>
      </c>
      <c r="B1025" s="66" t="s">
        <v>647</v>
      </c>
      <c r="C1025" s="67"/>
      <c r="D1025" s="68"/>
      <c r="E1025" s="69"/>
      <c r="F1025" s="70"/>
      <c r="G1025" s="67"/>
      <c r="H1025" s="71"/>
      <c r="I1025" s="72"/>
      <c r="J1025" s="72"/>
      <c r="K1025" s="36"/>
      <c r="L1025" s="79"/>
      <c r="M1025" s="79"/>
      <c r="N1025" s="74"/>
      <c r="O1025" s="81" t="s">
        <v>694</v>
      </c>
      <c r="P1025" s="83">
        <v>44464.335532407407</v>
      </c>
      <c r="Q1025" s="81" t="s">
        <v>802</v>
      </c>
      <c r="R1025" s="81"/>
      <c r="S1025" s="81"/>
      <c r="T1025" s="86" t="s">
        <v>649</v>
      </c>
      <c r="U1025" s="84" t="str">
        <f>HYPERLINK("https://pbs.twimg.com/media/FAEa_mFUYAcoKUu.jpg")</f>
        <v>https://pbs.twimg.com/media/FAEa_mFUYAcoKUu.jpg</v>
      </c>
      <c r="V1025" s="84" t="str">
        <f>HYPERLINK("https://pbs.twimg.com/media/FAEa_mFUYAcoKUu.jpg")</f>
        <v>https://pbs.twimg.com/media/FAEa_mFUYAcoKUu.jpg</v>
      </c>
      <c r="W1025" s="83">
        <v>44464.335532407407</v>
      </c>
      <c r="X1025" s="89">
        <v>44464</v>
      </c>
      <c r="Y1025" s="86" t="s">
        <v>1322</v>
      </c>
      <c r="Z1025" s="84" t="str">
        <f>HYPERLINK("https://twitter.com/ktaehmybae/status/1441674626317238282")</f>
        <v>https://twitter.com/ktaehmybae/status/1441674626317238282</v>
      </c>
      <c r="AA1025" s="81"/>
      <c r="AB1025" s="81"/>
      <c r="AC1025" s="86" t="s">
        <v>1818</v>
      </c>
      <c r="AD1025" s="81"/>
      <c r="AE1025" s="81" t="b">
        <v>0</v>
      </c>
      <c r="AF1025" s="81">
        <v>0</v>
      </c>
      <c r="AG1025" s="86" t="s">
        <v>2084</v>
      </c>
      <c r="AH1025" s="81" t="b">
        <v>0</v>
      </c>
      <c r="AI1025" s="81" t="s">
        <v>2168</v>
      </c>
      <c r="AJ1025" s="81"/>
      <c r="AK1025" s="86" t="s">
        <v>2084</v>
      </c>
      <c r="AL1025" s="81" t="b">
        <v>0</v>
      </c>
      <c r="AM1025" s="81">
        <v>24</v>
      </c>
      <c r="AN1025" s="86" t="s">
        <v>1848</v>
      </c>
      <c r="AO1025" s="86" t="s">
        <v>2178</v>
      </c>
      <c r="AP1025" s="81" t="b">
        <v>0</v>
      </c>
      <c r="AQ1025" s="86" t="s">
        <v>1848</v>
      </c>
      <c r="AR1025" s="81" t="s">
        <v>179</v>
      </c>
      <c r="AS1025" s="81">
        <v>0</v>
      </c>
      <c r="AT1025" s="81">
        <v>0</v>
      </c>
      <c r="AU1025" s="81"/>
      <c r="AV1025" s="81"/>
      <c r="AW1025" s="81"/>
      <c r="AX1025" s="81"/>
      <c r="AY1025" s="81"/>
      <c r="AZ1025" s="81"/>
      <c r="BA1025" s="81"/>
      <c r="BB1025" s="81"/>
    </row>
    <row r="1026" spans="1:54" x14ac:dyDescent="0.35">
      <c r="A1026" s="66" t="s">
        <v>471</v>
      </c>
      <c r="B1026" s="66" t="s">
        <v>648</v>
      </c>
      <c r="C1026" s="67"/>
      <c r="D1026" s="68"/>
      <c r="E1026" s="69"/>
      <c r="F1026" s="70"/>
      <c r="G1026" s="67"/>
      <c r="H1026" s="71"/>
      <c r="I1026" s="72"/>
      <c r="J1026" s="72"/>
      <c r="K1026" s="36"/>
      <c r="L1026" s="79"/>
      <c r="M1026" s="79"/>
      <c r="N1026" s="74"/>
      <c r="O1026" s="81" t="s">
        <v>694</v>
      </c>
      <c r="P1026" s="83">
        <v>44464.335532407407</v>
      </c>
      <c r="Q1026" s="81" t="s">
        <v>802</v>
      </c>
      <c r="R1026" s="81"/>
      <c r="S1026" s="81"/>
      <c r="T1026" s="86" t="s">
        <v>649</v>
      </c>
      <c r="U1026" s="84" t="str">
        <f>HYPERLINK("https://pbs.twimg.com/media/FAEa_mFUYAcoKUu.jpg")</f>
        <v>https://pbs.twimg.com/media/FAEa_mFUYAcoKUu.jpg</v>
      </c>
      <c r="V1026" s="84" t="str">
        <f>HYPERLINK("https://pbs.twimg.com/media/FAEa_mFUYAcoKUu.jpg")</f>
        <v>https://pbs.twimg.com/media/FAEa_mFUYAcoKUu.jpg</v>
      </c>
      <c r="W1026" s="83">
        <v>44464.335532407407</v>
      </c>
      <c r="X1026" s="89">
        <v>44464</v>
      </c>
      <c r="Y1026" s="86" t="s">
        <v>1322</v>
      </c>
      <c r="Z1026" s="84" t="str">
        <f>HYPERLINK("https://twitter.com/ktaehmybae/status/1441674626317238282")</f>
        <v>https://twitter.com/ktaehmybae/status/1441674626317238282</v>
      </c>
      <c r="AA1026" s="81"/>
      <c r="AB1026" s="81"/>
      <c r="AC1026" s="86" t="s">
        <v>1818</v>
      </c>
      <c r="AD1026" s="81"/>
      <c r="AE1026" s="81" t="b">
        <v>0</v>
      </c>
      <c r="AF1026" s="81">
        <v>0</v>
      </c>
      <c r="AG1026" s="86" t="s">
        <v>2084</v>
      </c>
      <c r="AH1026" s="81" t="b">
        <v>0</v>
      </c>
      <c r="AI1026" s="81" t="s">
        <v>2168</v>
      </c>
      <c r="AJ1026" s="81"/>
      <c r="AK1026" s="86" t="s">
        <v>2084</v>
      </c>
      <c r="AL1026" s="81" t="b">
        <v>0</v>
      </c>
      <c r="AM1026" s="81">
        <v>24</v>
      </c>
      <c r="AN1026" s="86" t="s">
        <v>1848</v>
      </c>
      <c r="AO1026" s="86" t="s">
        <v>2178</v>
      </c>
      <c r="AP1026" s="81" t="b">
        <v>0</v>
      </c>
      <c r="AQ1026" s="86" t="s">
        <v>1848</v>
      </c>
      <c r="AR1026" s="81" t="s">
        <v>179</v>
      </c>
      <c r="AS1026" s="81">
        <v>0</v>
      </c>
      <c r="AT1026" s="81">
        <v>0</v>
      </c>
      <c r="AU1026" s="81"/>
      <c r="AV1026" s="81"/>
      <c r="AW1026" s="81"/>
      <c r="AX1026" s="81"/>
      <c r="AY1026" s="81"/>
      <c r="AZ1026" s="81"/>
      <c r="BA1026" s="81"/>
      <c r="BB1026" s="81"/>
    </row>
    <row r="1027" spans="1:54" x14ac:dyDescent="0.35">
      <c r="A1027" s="66" t="s">
        <v>471</v>
      </c>
      <c r="B1027" s="66" t="s">
        <v>649</v>
      </c>
      <c r="C1027" s="67"/>
      <c r="D1027" s="68"/>
      <c r="E1027" s="69"/>
      <c r="F1027" s="70"/>
      <c r="G1027" s="67"/>
      <c r="H1027" s="71"/>
      <c r="I1027" s="72"/>
      <c r="J1027" s="72"/>
      <c r="K1027" s="36"/>
      <c r="L1027" s="79"/>
      <c r="M1027" s="79"/>
      <c r="N1027" s="74"/>
      <c r="O1027" s="81" t="s">
        <v>694</v>
      </c>
      <c r="P1027" s="83">
        <v>44464.335532407407</v>
      </c>
      <c r="Q1027" s="81" t="s">
        <v>802</v>
      </c>
      <c r="R1027" s="81"/>
      <c r="S1027" s="81"/>
      <c r="T1027" s="86" t="s">
        <v>649</v>
      </c>
      <c r="U1027" s="84" t="str">
        <f>HYPERLINK("https://pbs.twimg.com/media/FAEa_mFUYAcoKUu.jpg")</f>
        <v>https://pbs.twimg.com/media/FAEa_mFUYAcoKUu.jpg</v>
      </c>
      <c r="V1027" s="84" t="str">
        <f>HYPERLINK("https://pbs.twimg.com/media/FAEa_mFUYAcoKUu.jpg")</f>
        <v>https://pbs.twimg.com/media/FAEa_mFUYAcoKUu.jpg</v>
      </c>
      <c r="W1027" s="83">
        <v>44464.335532407407</v>
      </c>
      <c r="X1027" s="89">
        <v>44464</v>
      </c>
      <c r="Y1027" s="86" t="s">
        <v>1322</v>
      </c>
      <c r="Z1027" s="84" t="str">
        <f>HYPERLINK("https://twitter.com/ktaehmybae/status/1441674626317238282")</f>
        <v>https://twitter.com/ktaehmybae/status/1441674626317238282</v>
      </c>
      <c r="AA1027" s="81"/>
      <c r="AB1027" s="81"/>
      <c r="AC1027" s="86" t="s">
        <v>1818</v>
      </c>
      <c r="AD1027" s="81"/>
      <c r="AE1027" s="81" t="b">
        <v>0</v>
      </c>
      <c r="AF1027" s="81">
        <v>0</v>
      </c>
      <c r="AG1027" s="86" t="s">
        <v>2084</v>
      </c>
      <c r="AH1027" s="81" t="b">
        <v>0</v>
      </c>
      <c r="AI1027" s="81" t="s">
        <v>2168</v>
      </c>
      <c r="AJ1027" s="81"/>
      <c r="AK1027" s="86" t="s">
        <v>2084</v>
      </c>
      <c r="AL1027" s="81" t="b">
        <v>0</v>
      </c>
      <c r="AM1027" s="81">
        <v>24</v>
      </c>
      <c r="AN1027" s="86" t="s">
        <v>1848</v>
      </c>
      <c r="AO1027" s="86" t="s">
        <v>2178</v>
      </c>
      <c r="AP1027" s="81" t="b">
        <v>0</v>
      </c>
      <c r="AQ1027" s="86" t="s">
        <v>1848</v>
      </c>
      <c r="AR1027" s="81" t="s">
        <v>179</v>
      </c>
      <c r="AS1027" s="81">
        <v>0</v>
      </c>
      <c r="AT1027" s="81">
        <v>0</v>
      </c>
      <c r="AU1027" s="81"/>
      <c r="AV1027" s="81"/>
      <c r="AW1027" s="81"/>
      <c r="AX1027" s="81"/>
      <c r="AY1027" s="81"/>
      <c r="AZ1027" s="81"/>
      <c r="BA1027" s="81"/>
      <c r="BB1027" s="81"/>
    </row>
    <row r="1028" spans="1:54" x14ac:dyDescent="0.35">
      <c r="A1028" s="66" t="s">
        <v>471</v>
      </c>
      <c r="B1028" s="66" t="s">
        <v>496</v>
      </c>
      <c r="C1028" s="67"/>
      <c r="D1028" s="68"/>
      <c r="E1028" s="69"/>
      <c r="F1028" s="70"/>
      <c r="G1028" s="67"/>
      <c r="H1028" s="71"/>
      <c r="I1028" s="72"/>
      <c r="J1028" s="72"/>
      <c r="K1028" s="36"/>
      <c r="L1028" s="79"/>
      <c r="M1028" s="79"/>
      <c r="N1028" s="74"/>
      <c r="O1028" s="81" t="s">
        <v>693</v>
      </c>
      <c r="P1028" s="83">
        <v>44464.335532407407</v>
      </c>
      <c r="Q1028" s="81" t="s">
        <v>802</v>
      </c>
      <c r="R1028" s="81"/>
      <c r="S1028" s="81"/>
      <c r="T1028" s="86" t="s">
        <v>649</v>
      </c>
      <c r="U1028" s="84" t="str">
        <f>HYPERLINK("https://pbs.twimg.com/media/FAEa_mFUYAcoKUu.jpg")</f>
        <v>https://pbs.twimg.com/media/FAEa_mFUYAcoKUu.jpg</v>
      </c>
      <c r="V1028" s="84" t="str">
        <f>HYPERLINK("https://pbs.twimg.com/media/FAEa_mFUYAcoKUu.jpg")</f>
        <v>https://pbs.twimg.com/media/FAEa_mFUYAcoKUu.jpg</v>
      </c>
      <c r="W1028" s="83">
        <v>44464.335532407407</v>
      </c>
      <c r="X1028" s="89">
        <v>44464</v>
      </c>
      <c r="Y1028" s="86" t="s">
        <v>1322</v>
      </c>
      <c r="Z1028" s="84" t="str">
        <f>HYPERLINK("https://twitter.com/ktaehmybae/status/1441674626317238282")</f>
        <v>https://twitter.com/ktaehmybae/status/1441674626317238282</v>
      </c>
      <c r="AA1028" s="81"/>
      <c r="AB1028" s="81"/>
      <c r="AC1028" s="86" t="s">
        <v>1818</v>
      </c>
      <c r="AD1028" s="81"/>
      <c r="AE1028" s="81" t="b">
        <v>0</v>
      </c>
      <c r="AF1028" s="81">
        <v>0</v>
      </c>
      <c r="AG1028" s="86" t="s">
        <v>2084</v>
      </c>
      <c r="AH1028" s="81" t="b">
        <v>0</v>
      </c>
      <c r="AI1028" s="81" t="s">
        <v>2168</v>
      </c>
      <c r="AJ1028" s="81"/>
      <c r="AK1028" s="86" t="s">
        <v>2084</v>
      </c>
      <c r="AL1028" s="81" t="b">
        <v>0</v>
      </c>
      <c r="AM1028" s="81">
        <v>24</v>
      </c>
      <c r="AN1028" s="86" t="s">
        <v>1848</v>
      </c>
      <c r="AO1028" s="86" t="s">
        <v>2178</v>
      </c>
      <c r="AP1028" s="81" t="b">
        <v>0</v>
      </c>
      <c r="AQ1028" s="86" t="s">
        <v>1848</v>
      </c>
      <c r="AR1028" s="81" t="s">
        <v>179</v>
      </c>
      <c r="AS1028" s="81">
        <v>0</v>
      </c>
      <c r="AT1028" s="81">
        <v>0</v>
      </c>
      <c r="AU1028" s="81"/>
      <c r="AV1028" s="81"/>
      <c r="AW1028" s="81"/>
      <c r="AX1028" s="81"/>
      <c r="AY1028" s="81"/>
      <c r="AZ1028" s="81"/>
      <c r="BA1028" s="81"/>
      <c r="BB1028" s="81"/>
    </row>
    <row r="1029" spans="1:54" x14ac:dyDescent="0.35">
      <c r="A1029" s="66" t="s">
        <v>472</v>
      </c>
      <c r="B1029" s="66" t="s">
        <v>646</v>
      </c>
      <c r="C1029" s="67"/>
      <c r="D1029" s="68"/>
      <c r="E1029" s="69"/>
      <c r="F1029" s="70"/>
      <c r="G1029" s="67"/>
      <c r="H1029" s="71"/>
      <c r="I1029" s="72"/>
      <c r="J1029" s="72"/>
      <c r="K1029" s="36"/>
      <c r="L1029" s="79"/>
      <c r="M1029" s="79"/>
      <c r="N1029" s="74"/>
      <c r="O1029" s="81" t="s">
        <v>694</v>
      </c>
      <c r="P1029" s="83">
        <v>44464.337395833332</v>
      </c>
      <c r="Q1029" s="81" t="s">
        <v>802</v>
      </c>
      <c r="R1029" s="81"/>
      <c r="S1029" s="81"/>
      <c r="T1029" s="86" t="s">
        <v>649</v>
      </c>
      <c r="U1029" s="84" t="str">
        <f>HYPERLINK("https://pbs.twimg.com/media/FAEa_mFUYAcoKUu.jpg")</f>
        <v>https://pbs.twimg.com/media/FAEa_mFUYAcoKUu.jpg</v>
      </c>
      <c r="V1029" s="84" t="str">
        <f>HYPERLINK("https://pbs.twimg.com/media/FAEa_mFUYAcoKUu.jpg")</f>
        <v>https://pbs.twimg.com/media/FAEa_mFUYAcoKUu.jpg</v>
      </c>
      <c r="W1029" s="83">
        <v>44464.337395833332</v>
      </c>
      <c r="X1029" s="89">
        <v>44464</v>
      </c>
      <c r="Y1029" s="86" t="s">
        <v>1323</v>
      </c>
      <c r="Z1029" s="84" t="str">
        <f>HYPERLINK("https://twitter.com/skylova2/status/1441675302405476353")</f>
        <v>https://twitter.com/skylova2/status/1441675302405476353</v>
      </c>
      <c r="AA1029" s="81"/>
      <c r="AB1029" s="81"/>
      <c r="AC1029" s="86" t="s">
        <v>1819</v>
      </c>
      <c r="AD1029" s="81"/>
      <c r="AE1029" s="81" t="b">
        <v>0</v>
      </c>
      <c r="AF1029" s="81">
        <v>0</v>
      </c>
      <c r="AG1029" s="86" t="s">
        <v>2084</v>
      </c>
      <c r="AH1029" s="81" t="b">
        <v>0</v>
      </c>
      <c r="AI1029" s="81" t="s">
        <v>2168</v>
      </c>
      <c r="AJ1029" s="81"/>
      <c r="AK1029" s="86" t="s">
        <v>2084</v>
      </c>
      <c r="AL1029" s="81" t="b">
        <v>0</v>
      </c>
      <c r="AM1029" s="81">
        <v>24</v>
      </c>
      <c r="AN1029" s="86" t="s">
        <v>1848</v>
      </c>
      <c r="AO1029" s="86" t="s">
        <v>2178</v>
      </c>
      <c r="AP1029" s="81" t="b">
        <v>0</v>
      </c>
      <c r="AQ1029" s="86" t="s">
        <v>1848</v>
      </c>
      <c r="AR1029" s="81" t="s">
        <v>179</v>
      </c>
      <c r="AS1029" s="81">
        <v>0</v>
      </c>
      <c r="AT1029" s="81">
        <v>0</v>
      </c>
      <c r="AU1029" s="81"/>
      <c r="AV1029" s="81"/>
      <c r="AW1029" s="81"/>
      <c r="AX1029" s="81"/>
      <c r="AY1029" s="81"/>
      <c r="AZ1029" s="81"/>
      <c r="BA1029" s="81"/>
      <c r="BB1029" s="81"/>
    </row>
    <row r="1030" spans="1:54" x14ac:dyDescent="0.35">
      <c r="A1030" s="66" t="s">
        <v>472</v>
      </c>
      <c r="B1030" s="66" t="s">
        <v>647</v>
      </c>
      <c r="C1030" s="67"/>
      <c r="D1030" s="68"/>
      <c r="E1030" s="69"/>
      <c r="F1030" s="70"/>
      <c r="G1030" s="67"/>
      <c r="H1030" s="71"/>
      <c r="I1030" s="72"/>
      <c r="J1030" s="72"/>
      <c r="K1030" s="36"/>
      <c r="L1030" s="79"/>
      <c r="M1030" s="79"/>
      <c r="N1030" s="74"/>
      <c r="O1030" s="81" t="s">
        <v>694</v>
      </c>
      <c r="P1030" s="83">
        <v>44464.337395833332</v>
      </c>
      <c r="Q1030" s="81" t="s">
        <v>802</v>
      </c>
      <c r="R1030" s="81"/>
      <c r="S1030" s="81"/>
      <c r="T1030" s="86" t="s">
        <v>649</v>
      </c>
      <c r="U1030" s="84" t="str">
        <f>HYPERLINK("https://pbs.twimg.com/media/FAEa_mFUYAcoKUu.jpg")</f>
        <v>https://pbs.twimg.com/media/FAEa_mFUYAcoKUu.jpg</v>
      </c>
      <c r="V1030" s="84" t="str">
        <f>HYPERLINK("https://pbs.twimg.com/media/FAEa_mFUYAcoKUu.jpg")</f>
        <v>https://pbs.twimg.com/media/FAEa_mFUYAcoKUu.jpg</v>
      </c>
      <c r="W1030" s="83">
        <v>44464.337395833332</v>
      </c>
      <c r="X1030" s="89">
        <v>44464</v>
      </c>
      <c r="Y1030" s="86" t="s">
        <v>1323</v>
      </c>
      <c r="Z1030" s="84" t="str">
        <f>HYPERLINK("https://twitter.com/skylova2/status/1441675302405476353")</f>
        <v>https://twitter.com/skylova2/status/1441675302405476353</v>
      </c>
      <c r="AA1030" s="81"/>
      <c r="AB1030" s="81"/>
      <c r="AC1030" s="86" t="s">
        <v>1819</v>
      </c>
      <c r="AD1030" s="81"/>
      <c r="AE1030" s="81" t="b">
        <v>0</v>
      </c>
      <c r="AF1030" s="81">
        <v>0</v>
      </c>
      <c r="AG1030" s="86" t="s">
        <v>2084</v>
      </c>
      <c r="AH1030" s="81" t="b">
        <v>0</v>
      </c>
      <c r="AI1030" s="81" t="s">
        <v>2168</v>
      </c>
      <c r="AJ1030" s="81"/>
      <c r="AK1030" s="86" t="s">
        <v>2084</v>
      </c>
      <c r="AL1030" s="81" t="b">
        <v>0</v>
      </c>
      <c r="AM1030" s="81">
        <v>24</v>
      </c>
      <c r="AN1030" s="86" t="s">
        <v>1848</v>
      </c>
      <c r="AO1030" s="86" t="s">
        <v>2178</v>
      </c>
      <c r="AP1030" s="81" t="b">
        <v>0</v>
      </c>
      <c r="AQ1030" s="86" t="s">
        <v>1848</v>
      </c>
      <c r="AR1030" s="81" t="s">
        <v>179</v>
      </c>
      <c r="AS1030" s="81">
        <v>0</v>
      </c>
      <c r="AT1030" s="81">
        <v>0</v>
      </c>
      <c r="AU1030" s="81"/>
      <c r="AV1030" s="81"/>
      <c r="AW1030" s="81"/>
      <c r="AX1030" s="81"/>
      <c r="AY1030" s="81"/>
      <c r="AZ1030" s="81"/>
      <c r="BA1030" s="81"/>
      <c r="BB1030" s="81"/>
    </row>
    <row r="1031" spans="1:54" x14ac:dyDescent="0.35">
      <c r="A1031" s="66" t="s">
        <v>472</v>
      </c>
      <c r="B1031" s="66" t="s">
        <v>648</v>
      </c>
      <c r="C1031" s="67"/>
      <c r="D1031" s="68"/>
      <c r="E1031" s="69"/>
      <c r="F1031" s="70"/>
      <c r="G1031" s="67"/>
      <c r="H1031" s="71"/>
      <c r="I1031" s="72"/>
      <c r="J1031" s="72"/>
      <c r="K1031" s="36"/>
      <c r="L1031" s="79"/>
      <c r="M1031" s="79"/>
      <c r="N1031" s="74"/>
      <c r="O1031" s="81" t="s">
        <v>694</v>
      </c>
      <c r="P1031" s="83">
        <v>44464.337395833332</v>
      </c>
      <c r="Q1031" s="81" t="s">
        <v>802</v>
      </c>
      <c r="R1031" s="81"/>
      <c r="S1031" s="81"/>
      <c r="T1031" s="86" t="s">
        <v>649</v>
      </c>
      <c r="U1031" s="84" t="str">
        <f>HYPERLINK("https://pbs.twimg.com/media/FAEa_mFUYAcoKUu.jpg")</f>
        <v>https://pbs.twimg.com/media/FAEa_mFUYAcoKUu.jpg</v>
      </c>
      <c r="V1031" s="84" t="str">
        <f>HYPERLINK("https://pbs.twimg.com/media/FAEa_mFUYAcoKUu.jpg")</f>
        <v>https://pbs.twimg.com/media/FAEa_mFUYAcoKUu.jpg</v>
      </c>
      <c r="W1031" s="83">
        <v>44464.337395833332</v>
      </c>
      <c r="X1031" s="89">
        <v>44464</v>
      </c>
      <c r="Y1031" s="86" t="s">
        <v>1323</v>
      </c>
      <c r="Z1031" s="84" t="str">
        <f>HYPERLINK("https://twitter.com/skylova2/status/1441675302405476353")</f>
        <v>https://twitter.com/skylova2/status/1441675302405476353</v>
      </c>
      <c r="AA1031" s="81"/>
      <c r="AB1031" s="81"/>
      <c r="AC1031" s="86" t="s">
        <v>1819</v>
      </c>
      <c r="AD1031" s="81"/>
      <c r="AE1031" s="81" t="b">
        <v>0</v>
      </c>
      <c r="AF1031" s="81">
        <v>0</v>
      </c>
      <c r="AG1031" s="86" t="s">
        <v>2084</v>
      </c>
      <c r="AH1031" s="81" t="b">
        <v>0</v>
      </c>
      <c r="AI1031" s="81" t="s">
        <v>2168</v>
      </c>
      <c r="AJ1031" s="81"/>
      <c r="AK1031" s="86" t="s">
        <v>2084</v>
      </c>
      <c r="AL1031" s="81" t="b">
        <v>0</v>
      </c>
      <c r="AM1031" s="81">
        <v>24</v>
      </c>
      <c r="AN1031" s="86" t="s">
        <v>1848</v>
      </c>
      <c r="AO1031" s="86" t="s">
        <v>2178</v>
      </c>
      <c r="AP1031" s="81" t="b">
        <v>0</v>
      </c>
      <c r="AQ1031" s="86" t="s">
        <v>1848</v>
      </c>
      <c r="AR1031" s="81" t="s">
        <v>179</v>
      </c>
      <c r="AS1031" s="81">
        <v>0</v>
      </c>
      <c r="AT1031" s="81">
        <v>0</v>
      </c>
      <c r="AU1031" s="81"/>
      <c r="AV1031" s="81"/>
      <c r="AW1031" s="81"/>
      <c r="AX1031" s="81"/>
      <c r="AY1031" s="81"/>
      <c r="AZ1031" s="81"/>
      <c r="BA1031" s="81"/>
      <c r="BB1031" s="81"/>
    </row>
    <row r="1032" spans="1:54" x14ac:dyDescent="0.35">
      <c r="A1032" s="66" t="s">
        <v>472</v>
      </c>
      <c r="B1032" s="66" t="s">
        <v>649</v>
      </c>
      <c r="C1032" s="67"/>
      <c r="D1032" s="68"/>
      <c r="E1032" s="69"/>
      <c r="F1032" s="70"/>
      <c r="G1032" s="67"/>
      <c r="H1032" s="71"/>
      <c r="I1032" s="72"/>
      <c r="J1032" s="72"/>
      <c r="K1032" s="36"/>
      <c r="L1032" s="79"/>
      <c r="M1032" s="79"/>
      <c r="N1032" s="74"/>
      <c r="O1032" s="81" t="s">
        <v>694</v>
      </c>
      <c r="P1032" s="83">
        <v>44464.337395833332</v>
      </c>
      <c r="Q1032" s="81" t="s">
        <v>802</v>
      </c>
      <c r="R1032" s="81"/>
      <c r="S1032" s="81"/>
      <c r="T1032" s="86" t="s">
        <v>649</v>
      </c>
      <c r="U1032" s="84" t="str">
        <f>HYPERLINK("https://pbs.twimg.com/media/FAEa_mFUYAcoKUu.jpg")</f>
        <v>https://pbs.twimg.com/media/FAEa_mFUYAcoKUu.jpg</v>
      </c>
      <c r="V1032" s="84" t="str">
        <f>HYPERLINK("https://pbs.twimg.com/media/FAEa_mFUYAcoKUu.jpg")</f>
        <v>https://pbs.twimg.com/media/FAEa_mFUYAcoKUu.jpg</v>
      </c>
      <c r="W1032" s="83">
        <v>44464.337395833332</v>
      </c>
      <c r="X1032" s="89">
        <v>44464</v>
      </c>
      <c r="Y1032" s="86" t="s">
        <v>1323</v>
      </c>
      <c r="Z1032" s="84" t="str">
        <f>HYPERLINK("https://twitter.com/skylova2/status/1441675302405476353")</f>
        <v>https://twitter.com/skylova2/status/1441675302405476353</v>
      </c>
      <c r="AA1032" s="81"/>
      <c r="AB1032" s="81"/>
      <c r="AC1032" s="86" t="s">
        <v>1819</v>
      </c>
      <c r="AD1032" s="81"/>
      <c r="AE1032" s="81" t="b">
        <v>0</v>
      </c>
      <c r="AF1032" s="81">
        <v>0</v>
      </c>
      <c r="AG1032" s="86" t="s">
        <v>2084</v>
      </c>
      <c r="AH1032" s="81" t="b">
        <v>0</v>
      </c>
      <c r="AI1032" s="81" t="s">
        <v>2168</v>
      </c>
      <c r="AJ1032" s="81"/>
      <c r="AK1032" s="86" t="s">
        <v>2084</v>
      </c>
      <c r="AL1032" s="81" t="b">
        <v>0</v>
      </c>
      <c r="AM1032" s="81">
        <v>24</v>
      </c>
      <c r="AN1032" s="86" t="s">
        <v>1848</v>
      </c>
      <c r="AO1032" s="86" t="s">
        <v>2178</v>
      </c>
      <c r="AP1032" s="81" t="b">
        <v>0</v>
      </c>
      <c r="AQ1032" s="86" t="s">
        <v>1848</v>
      </c>
      <c r="AR1032" s="81" t="s">
        <v>179</v>
      </c>
      <c r="AS1032" s="81">
        <v>0</v>
      </c>
      <c r="AT1032" s="81">
        <v>0</v>
      </c>
      <c r="AU1032" s="81"/>
      <c r="AV1032" s="81"/>
      <c r="AW1032" s="81"/>
      <c r="AX1032" s="81"/>
      <c r="AY1032" s="81"/>
      <c r="AZ1032" s="81"/>
      <c r="BA1032" s="81"/>
      <c r="BB1032" s="81"/>
    </row>
    <row r="1033" spans="1:54" x14ac:dyDescent="0.35">
      <c r="A1033" s="66" t="s">
        <v>472</v>
      </c>
      <c r="B1033" s="66" t="s">
        <v>496</v>
      </c>
      <c r="C1033" s="67"/>
      <c r="D1033" s="68"/>
      <c r="E1033" s="69"/>
      <c r="F1033" s="70"/>
      <c r="G1033" s="67"/>
      <c r="H1033" s="71"/>
      <c r="I1033" s="72"/>
      <c r="J1033" s="72"/>
      <c r="K1033" s="36"/>
      <c r="L1033" s="79"/>
      <c r="M1033" s="79"/>
      <c r="N1033" s="74"/>
      <c r="O1033" s="81" t="s">
        <v>693</v>
      </c>
      <c r="P1033" s="83">
        <v>44464.337395833332</v>
      </c>
      <c r="Q1033" s="81" t="s">
        <v>802</v>
      </c>
      <c r="R1033" s="81"/>
      <c r="S1033" s="81"/>
      <c r="T1033" s="86" t="s">
        <v>649</v>
      </c>
      <c r="U1033" s="84" t="str">
        <f>HYPERLINK("https://pbs.twimg.com/media/FAEa_mFUYAcoKUu.jpg")</f>
        <v>https://pbs.twimg.com/media/FAEa_mFUYAcoKUu.jpg</v>
      </c>
      <c r="V1033" s="84" t="str">
        <f>HYPERLINK("https://pbs.twimg.com/media/FAEa_mFUYAcoKUu.jpg")</f>
        <v>https://pbs.twimg.com/media/FAEa_mFUYAcoKUu.jpg</v>
      </c>
      <c r="W1033" s="83">
        <v>44464.337395833332</v>
      </c>
      <c r="X1033" s="89">
        <v>44464</v>
      </c>
      <c r="Y1033" s="86" t="s">
        <v>1323</v>
      </c>
      <c r="Z1033" s="84" t="str">
        <f>HYPERLINK("https://twitter.com/skylova2/status/1441675302405476353")</f>
        <v>https://twitter.com/skylova2/status/1441675302405476353</v>
      </c>
      <c r="AA1033" s="81"/>
      <c r="AB1033" s="81"/>
      <c r="AC1033" s="86" t="s">
        <v>1819</v>
      </c>
      <c r="AD1033" s="81"/>
      <c r="AE1033" s="81" t="b">
        <v>0</v>
      </c>
      <c r="AF1033" s="81">
        <v>0</v>
      </c>
      <c r="AG1033" s="86" t="s">
        <v>2084</v>
      </c>
      <c r="AH1033" s="81" t="b">
        <v>0</v>
      </c>
      <c r="AI1033" s="81" t="s">
        <v>2168</v>
      </c>
      <c r="AJ1033" s="81"/>
      <c r="AK1033" s="86" t="s">
        <v>2084</v>
      </c>
      <c r="AL1033" s="81" t="b">
        <v>0</v>
      </c>
      <c r="AM1033" s="81">
        <v>24</v>
      </c>
      <c r="AN1033" s="86" t="s">
        <v>1848</v>
      </c>
      <c r="AO1033" s="86" t="s">
        <v>2178</v>
      </c>
      <c r="AP1033" s="81" t="b">
        <v>0</v>
      </c>
      <c r="AQ1033" s="86" t="s">
        <v>1848</v>
      </c>
      <c r="AR1033" s="81" t="s">
        <v>179</v>
      </c>
      <c r="AS1033" s="81">
        <v>0</v>
      </c>
      <c r="AT1033" s="81">
        <v>0</v>
      </c>
      <c r="AU1033" s="81"/>
      <c r="AV1033" s="81"/>
      <c r="AW1033" s="81"/>
      <c r="AX1033" s="81"/>
      <c r="AY1033" s="81"/>
      <c r="AZ1033" s="81"/>
      <c r="BA1033" s="81"/>
      <c r="BB1033" s="81"/>
    </row>
    <row r="1034" spans="1:54" x14ac:dyDescent="0.35">
      <c r="A1034" s="66" t="s">
        <v>4478</v>
      </c>
      <c r="B1034" s="66" t="s">
        <v>4797</v>
      </c>
      <c r="C1034" s="67"/>
      <c r="D1034" s="68"/>
      <c r="E1034" s="69"/>
      <c r="F1034" s="70"/>
      <c r="G1034" s="67"/>
      <c r="H1034" s="71"/>
      <c r="I1034" s="72"/>
      <c r="J1034" s="72"/>
      <c r="K1034" s="36"/>
      <c r="L1034" s="79"/>
      <c r="M1034" s="79"/>
      <c r="N1034" s="74"/>
      <c r="O1034" s="81" t="s">
        <v>693</v>
      </c>
      <c r="P1034" s="83">
        <v>44464.338738425926</v>
      </c>
      <c r="Q1034" s="84" t="str">
        <f>HYPERLINK("https://t.co/t5CziaW0dH")</f>
        <v>https://t.co/t5CziaW0dH</v>
      </c>
      <c r="R103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34" s="81" t="s">
        <v>5686</v>
      </c>
      <c r="T1034" s="81"/>
      <c r="U1034" s="81"/>
      <c r="V1034" s="84" t="str">
        <f>HYPERLINK("https://pbs.twimg.com/profile_images/1067731317062860802/91Qpa1WQ_normal.jpg")</f>
        <v>https://pbs.twimg.com/profile_images/1067731317062860802/91Qpa1WQ_normal.jpg</v>
      </c>
      <c r="W1034" s="83">
        <v>44464.338738425926</v>
      </c>
      <c r="X1034" s="89">
        <v>44464</v>
      </c>
      <c r="Y1034" s="86" t="s">
        <v>6117</v>
      </c>
      <c r="Z1034" s="84" t="str">
        <f>HYPERLINK("https://twitter.com/ricoricar1/status/1441675785954160644")</f>
        <v>https://twitter.com/ricoricar1/status/1441675785954160644</v>
      </c>
      <c r="AA1034" s="81"/>
      <c r="AB1034" s="81"/>
      <c r="AC1034" s="86" t="s">
        <v>7023</v>
      </c>
      <c r="AD1034" s="81"/>
      <c r="AE1034" s="81" t="b">
        <v>0</v>
      </c>
      <c r="AF1034" s="81">
        <v>0</v>
      </c>
      <c r="AG1034" s="86" t="s">
        <v>2084</v>
      </c>
      <c r="AH1034" s="81" t="b">
        <v>0</v>
      </c>
      <c r="AI1034" s="81" t="s">
        <v>2173</v>
      </c>
      <c r="AJ1034" s="81"/>
      <c r="AK1034" s="86" t="s">
        <v>2084</v>
      </c>
      <c r="AL1034" s="81" t="b">
        <v>0</v>
      </c>
      <c r="AM1034" s="81">
        <v>50</v>
      </c>
      <c r="AN1034" s="86" t="s">
        <v>7395</v>
      </c>
      <c r="AO1034" s="86" t="s">
        <v>2178</v>
      </c>
      <c r="AP1034" s="81" t="b">
        <v>0</v>
      </c>
      <c r="AQ1034" s="86" t="s">
        <v>7395</v>
      </c>
      <c r="AR1034" s="81" t="s">
        <v>179</v>
      </c>
      <c r="AS1034" s="81">
        <v>0</v>
      </c>
      <c r="AT1034" s="81">
        <v>0</v>
      </c>
      <c r="AU1034" s="81"/>
      <c r="AV1034" s="81"/>
      <c r="AW1034" s="81"/>
      <c r="AX1034" s="81"/>
      <c r="AY1034" s="81"/>
      <c r="AZ1034" s="81"/>
      <c r="BA1034" s="81"/>
      <c r="BB1034" s="81"/>
    </row>
    <row r="1035" spans="1:54" x14ac:dyDescent="0.35">
      <c r="A1035" s="66" t="s">
        <v>473</v>
      </c>
      <c r="B1035" s="66" t="s">
        <v>473</v>
      </c>
      <c r="C1035" s="67"/>
      <c r="D1035" s="68"/>
      <c r="E1035" s="69"/>
      <c r="F1035" s="70"/>
      <c r="G1035" s="67"/>
      <c r="H1035" s="71"/>
      <c r="I1035" s="72"/>
      <c r="J1035" s="72"/>
      <c r="K1035" s="36"/>
      <c r="L1035" s="79"/>
      <c r="M1035" s="79"/>
      <c r="N1035" s="74"/>
      <c r="O1035" s="81" t="s">
        <v>179</v>
      </c>
      <c r="P1035" s="83">
        <v>44464.353101851855</v>
      </c>
      <c r="Q1035" s="81" t="s">
        <v>812</v>
      </c>
      <c r="R1035" s="81"/>
      <c r="S1035" s="81"/>
      <c r="T1035" s="81"/>
      <c r="U1035" s="81"/>
      <c r="V1035" s="84" t="str">
        <f>HYPERLINK("https://pbs.twimg.com/profile_images/1430885201220018180/VpAfCrSh_normal.jpg")</f>
        <v>https://pbs.twimg.com/profile_images/1430885201220018180/VpAfCrSh_normal.jpg</v>
      </c>
      <c r="W1035" s="83">
        <v>44464.353101851855</v>
      </c>
      <c r="X1035" s="89">
        <v>44464</v>
      </c>
      <c r="Y1035" s="86" t="s">
        <v>1324</v>
      </c>
      <c r="Z1035" s="84" t="str">
        <f>HYPERLINK("https://twitter.com/wanshaidin1/status/1441680994797428742")</f>
        <v>https://twitter.com/wanshaidin1/status/1441680994797428742</v>
      </c>
      <c r="AA1035" s="81"/>
      <c r="AB1035" s="81"/>
      <c r="AC1035" s="86" t="s">
        <v>1820</v>
      </c>
      <c r="AD1035" s="81"/>
      <c r="AE1035" s="81" t="b">
        <v>0</v>
      </c>
      <c r="AF1035" s="81">
        <v>0</v>
      </c>
      <c r="AG1035" s="86" t="s">
        <v>2084</v>
      </c>
      <c r="AH1035" s="81" t="b">
        <v>0</v>
      </c>
      <c r="AI1035" s="81" t="s">
        <v>2167</v>
      </c>
      <c r="AJ1035" s="81"/>
      <c r="AK1035" s="86" t="s">
        <v>2084</v>
      </c>
      <c r="AL1035" s="81" t="b">
        <v>0</v>
      </c>
      <c r="AM1035" s="81">
        <v>0</v>
      </c>
      <c r="AN1035" s="86" t="s">
        <v>2084</v>
      </c>
      <c r="AO1035" s="86" t="s">
        <v>2179</v>
      </c>
      <c r="AP1035" s="81" t="b">
        <v>0</v>
      </c>
      <c r="AQ1035" s="86" t="s">
        <v>1820</v>
      </c>
      <c r="AR1035" s="81" t="s">
        <v>179</v>
      </c>
      <c r="AS1035" s="81">
        <v>0</v>
      </c>
      <c r="AT1035" s="81">
        <v>0</v>
      </c>
      <c r="AU1035" s="81"/>
      <c r="AV1035" s="81"/>
      <c r="AW1035" s="81"/>
      <c r="AX1035" s="81"/>
      <c r="AY1035" s="81"/>
      <c r="AZ1035" s="81"/>
      <c r="BA1035" s="81"/>
      <c r="BB1035" s="81"/>
    </row>
    <row r="1036" spans="1:54" x14ac:dyDescent="0.35">
      <c r="A1036" s="66" t="s">
        <v>474</v>
      </c>
      <c r="B1036" s="66" t="s">
        <v>646</v>
      </c>
      <c r="C1036" s="67"/>
      <c r="D1036" s="68"/>
      <c r="E1036" s="69"/>
      <c r="F1036" s="70"/>
      <c r="G1036" s="67"/>
      <c r="H1036" s="71"/>
      <c r="I1036" s="72"/>
      <c r="J1036" s="72"/>
      <c r="K1036" s="36"/>
      <c r="L1036" s="79"/>
      <c r="M1036" s="79"/>
      <c r="N1036" s="74"/>
      <c r="O1036" s="81" t="s">
        <v>694</v>
      </c>
      <c r="P1036" s="83">
        <v>44464.378472222219</v>
      </c>
      <c r="Q1036" s="81" t="s">
        <v>801</v>
      </c>
      <c r="R1036" s="81"/>
      <c r="S1036" s="81"/>
      <c r="T1036" s="86" t="s">
        <v>649</v>
      </c>
      <c r="U1036" s="84" t="str">
        <f>HYPERLINK("https://pbs.twimg.com/media/FAEbDOhVUAIE92y.jpg")</f>
        <v>https://pbs.twimg.com/media/FAEbDOhVUAIE92y.jpg</v>
      </c>
      <c r="V1036" s="84" t="str">
        <f>HYPERLINK("https://pbs.twimg.com/media/FAEbDOhVUAIE92y.jpg")</f>
        <v>https://pbs.twimg.com/media/FAEbDOhVUAIE92y.jpg</v>
      </c>
      <c r="W1036" s="83">
        <v>44464.378472222219</v>
      </c>
      <c r="X1036" s="89">
        <v>44464</v>
      </c>
      <c r="Y1036" s="86" t="s">
        <v>1325</v>
      </c>
      <c r="Z1036" s="84" t="str">
        <f>HYPERLINK("https://twitter.com/imnicekeepgoing/status/1441690186623041539")</f>
        <v>https://twitter.com/imnicekeepgoing/status/1441690186623041539</v>
      </c>
      <c r="AA1036" s="81"/>
      <c r="AB1036" s="81"/>
      <c r="AC1036" s="86" t="s">
        <v>1821</v>
      </c>
      <c r="AD1036" s="81"/>
      <c r="AE1036" s="81" t="b">
        <v>0</v>
      </c>
      <c r="AF1036" s="81">
        <v>0</v>
      </c>
      <c r="AG1036" s="86" t="s">
        <v>2084</v>
      </c>
      <c r="AH1036" s="81" t="b">
        <v>0</v>
      </c>
      <c r="AI1036" s="81" t="s">
        <v>2168</v>
      </c>
      <c r="AJ1036" s="81"/>
      <c r="AK1036" s="86" t="s">
        <v>2084</v>
      </c>
      <c r="AL1036" s="81" t="b">
        <v>0</v>
      </c>
      <c r="AM1036" s="81">
        <v>6</v>
      </c>
      <c r="AN1036" s="86" t="s">
        <v>1849</v>
      </c>
      <c r="AO1036" s="86" t="s">
        <v>2178</v>
      </c>
      <c r="AP1036" s="81" t="b">
        <v>0</v>
      </c>
      <c r="AQ1036" s="86" t="s">
        <v>1849</v>
      </c>
      <c r="AR1036" s="81" t="s">
        <v>179</v>
      </c>
      <c r="AS1036" s="81">
        <v>0</v>
      </c>
      <c r="AT1036" s="81">
        <v>0</v>
      </c>
      <c r="AU1036" s="81"/>
      <c r="AV1036" s="81"/>
      <c r="AW1036" s="81"/>
      <c r="AX1036" s="81"/>
      <c r="AY1036" s="81"/>
      <c r="AZ1036" s="81"/>
      <c r="BA1036" s="81"/>
      <c r="BB1036" s="81"/>
    </row>
    <row r="1037" spans="1:54" x14ac:dyDescent="0.35">
      <c r="A1037" s="66" t="s">
        <v>474</v>
      </c>
      <c r="B1037" s="66" t="s">
        <v>647</v>
      </c>
      <c r="C1037" s="67"/>
      <c r="D1037" s="68"/>
      <c r="E1037" s="69"/>
      <c r="F1037" s="70"/>
      <c r="G1037" s="67"/>
      <c r="H1037" s="71"/>
      <c r="I1037" s="72"/>
      <c r="J1037" s="72"/>
      <c r="K1037" s="36"/>
      <c r="L1037" s="79"/>
      <c r="M1037" s="79"/>
      <c r="N1037" s="74"/>
      <c r="O1037" s="81" t="s">
        <v>694</v>
      </c>
      <c r="P1037" s="83">
        <v>44464.378472222219</v>
      </c>
      <c r="Q1037" s="81" t="s">
        <v>801</v>
      </c>
      <c r="R1037" s="81"/>
      <c r="S1037" s="81"/>
      <c r="T1037" s="86" t="s">
        <v>649</v>
      </c>
      <c r="U1037" s="84" t="str">
        <f>HYPERLINK("https://pbs.twimg.com/media/FAEbDOhVUAIE92y.jpg")</f>
        <v>https://pbs.twimg.com/media/FAEbDOhVUAIE92y.jpg</v>
      </c>
      <c r="V1037" s="84" t="str">
        <f>HYPERLINK("https://pbs.twimg.com/media/FAEbDOhVUAIE92y.jpg")</f>
        <v>https://pbs.twimg.com/media/FAEbDOhVUAIE92y.jpg</v>
      </c>
      <c r="W1037" s="83">
        <v>44464.378472222219</v>
      </c>
      <c r="X1037" s="89">
        <v>44464</v>
      </c>
      <c r="Y1037" s="86" t="s">
        <v>1325</v>
      </c>
      <c r="Z1037" s="84" t="str">
        <f>HYPERLINK("https://twitter.com/imnicekeepgoing/status/1441690186623041539")</f>
        <v>https://twitter.com/imnicekeepgoing/status/1441690186623041539</v>
      </c>
      <c r="AA1037" s="81"/>
      <c r="AB1037" s="81"/>
      <c r="AC1037" s="86" t="s">
        <v>1821</v>
      </c>
      <c r="AD1037" s="81"/>
      <c r="AE1037" s="81" t="b">
        <v>0</v>
      </c>
      <c r="AF1037" s="81">
        <v>0</v>
      </c>
      <c r="AG1037" s="86" t="s">
        <v>2084</v>
      </c>
      <c r="AH1037" s="81" t="b">
        <v>0</v>
      </c>
      <c r="AI1037" s="81" t="s">
        <v>2168</v>
      </c>
      <c r="AJ1037" s="81"/>
      <c r="AK1037" s="86" t="s">
        <v>2084</v>
      </c>
      <c r="AL1037" s="81" t="b">
        <v>0</v>
      </c>
      <c r="AM1037" s="81">
        <v>6</v>
      </c>
      <c r="AN1037" s="86" t="s">
        <v>1849</v>
      </c>
      <c r="AO1037" s="86" t="s">
        <v>2178</v>
      </c>
      <c r="AP1037" s="81" t="b">
        <v>0</v>
      </c>
      <c r="AQ1037" s="86" t="s">
        <v>1849</v>
      </c>
      <c r="AR1037" s="81" t="s">
        <v>179</v>
      </c>
      <c r="AS1037" s="81">
        <v>0</v>
      </c>
      <c r="AT1037" s="81">
        <v>0</v>
      </c>
      <c r="AU1037" s="81"/>
      <c r="AV1037" s="81"/>
      <c r="AW1037" s="81"/>
      <c r="AX1037" s="81"/>
      <c r="AY1037" s="81"/>
      <c r="AZ1037" s="81"/>
      <c r="BA1037" s="81"/>
      <c r="BB1037" s="81"/>
    </row>
    <row r="1038" spans="1:54" x14ac:dyDescent="0.35">
      <c r="A1038" s="66" t="s">
        <v>474</v>
      </c>
      <c r="B1038" s="66" t="s">
        <v>648</v>
      </c>
      <c r="C1038" s="67"/>
      <c r="D1038" s="68"/>
      <c r="E1038" s="69"/>
      <c r="F1038" s="70"/>
      <c r="G1038" s="67"/>
      <c r="H1038" s="71"/>
      <c r="I1038" s="72"/>
      <c r="J1038" s="72"/>
      <c r="K1038" s="36"/>
      <c r="L1038" s="79"/>
      <c r="M1038" s="79"/>
      <c r="N1038" s="74"/>
      <c r="O1038" s="81" t="s">
        <v>694</v>
      </c>
      <c r="P1038" s="83">
        <v>44464.378472222219</v>
      </c>
      <c r="Q1038" s="81" t="s">
        <v>801</v>
      </c>
      <c r="R1038" s="81"/>
      <c r="S1038" s="81"/>
      <c r="T1038" s="86" t="s">
        <v>649</v>
      </c>
      <c r="U1038" s="84" t="str">
        <f>HYPERLINK("https://pbs.twimg.com/media/FAEbDOhVUAIE92y.jpg")</f>
        <v>https://pbs.twimg.com/media/FAEbDOhVUAIE92y.jpg</v>
      </c>
      <c r="V1038" s="84" t="str">
        <f>HYPERLINK("https://pbs.twimg.com/media/FAEbDOhVUAIE92y.jpg")</f>
        <v>https://pbs.twimg.com/media/FAEbDOhVUAIE92y.jpg</v>
      </c>
      <c r="W1038" s="83">
        <v>44464.378472222219</v>
      </c>
      <c r="X1038" s="89">
        <v>44464</v>
      </c>
      <c r="Y1038" s="86" t="s">
        <v>1325</v>
      </c>
      <c r="Z1038" s="84" t="str">
        <f>HYPERLINK("https://twitter.com/imnicekeepgoing/status/1441690186623041539")</f>
        <v>https://twitter.com/imnicekeepgoing/status/1441690186623041539</v>
      </c>
      <c r="AA1038" s="81"/>
      <c r="AB1038" s="81"/>
      <c r="AC1038" s="86" t="s">
        <v>1821</v>
      </c>
      <c r="AD1038" s="81"/>
      <c r="AE1038" s="81" t="b">
        <v>0</v>
      </c>
      <c r="AF1038" s="81">
        <v>0</v>
      </c>
      <c r="AG1038" s="86" t="s">
        <v>2084</v>
      </c>
      <c r="AH1038" s="81" t="b">
        <v>0</v>
      </c>
      <c r="AI1038" s="81" t="s">
        <v>2168</v>
      </c>
      <c r="AJ1038" s="81"/>
      <c r="AK1038" s="86" t="s">
        <v>2084</v>
      </c>
      <c r="AL1038" s="81" t="b">
        <v>0</v>
      </c>
      <c r="AM1038" s="81">
        <v>6</v>
      </c>
      <c r="AN1038" s="86" t="s">
        <v>1849</v>
      </c>
      <c r="AO1038" s="86" t="s">
        <v>2178</v>
      </c>
      <c r="AP1038" s="81" t="b">
        <v>0</v>
      </c>
      <c r="AQ1038" s="86" t="s">
        <v>1849</v>
      </c>
      <c r="AR1038" s="81" t="s">
        <v>179</v>
      </c>
      <c r="AS1038" s="81">
        <v>0</v>
      </c>
      <c r="AT1038" s="81">
        <v>0</v>
      </c>
      <c r="AU1038" s="81"/>
      <c r="AV1038" s="81"/>
      <c r="AW1038" s="81"/>
      <c r="AX1038" s="81"/>
      <c r="AY1038" s="81"/>
      <c r="AZ1038" s="81"/>
      <c r="BA1038" s="81"/>
      <c r="BB1038" s="81"/>
    </row>
    <row r="1039" spans="1:54" x14ac:dyDescent="0.35">
      <c r="A1039" s="66" t="s">
        <v>474</v>
      </c>
      <c r="B1039" s="66" t="s">
        <v>649</v>
      </c>
      <c r="C1039" s="67"/>
      <c r="D1039" s="68"/>
      <c r="E1039" s="69"/>
      <c r="F1039" s="70"/>
      <c r="G1039" s="67"/>
      <c r="H1039" s="71"/>
      <c r="I1039" s="72"/>
      <c r="J1039" s="72"/>
      <c r="K1039" s="36"/>
      <c r="L1039" s="79"/>
      <c r="M1039" s="79"/>
      <c r="N1039" s="74"/>
      <c r="O1039" s="81" t="s">
        <v>694</v>
      </c>
      <c r="P1039" s="83">
        <v>44464.378472222219</v>
      </c>
      <c r="Q1039" s="81" t="s">
        <v>801</v>
      </c>
      <c r="R1039" s="81"/>
      <c r="S1039" s="81"/>
      <c r="T1039" s="86" t="s">
        <v>649</v>
      </c>
      <c r="U1039" s="84" t="str">
        <f>HYPERLINK("https://pbs.twimg.com/media/FAEbDOhVUAIE92y.jpg")</f>
        <v>https://pbs.twimg.com/media/FAEbDOhVUAIE92y.jpg</v>
      </c>
      <c r="V1039" s="84" t="str">
        <f>HYPERLINK("https://pbs.twimg.com/media/FAEbDOhVUAIE92y.jpg")</f>
        <v>https://pbs.twimg.com/media/FAEbDOhVUAIE92y.jpg</v>
      </c>
      <c r="W1039" s="83">
        <v>44464.378472222219</v>
      </c>
      <c r="X1039" s="89">
        <v>44464</v>
      </c>
      <c r="Y1039" s="86" t="s">
        <v>1325</v>
      </c>
      <c r="Z1039" s="84" t="str">
        <f>HYPERLINK("https://twitter.com/imnicekeepgoing/status/1441690186623041539")</f>
        <v>https://twitter.com/imnicekeepgoing/status/1441690186623041539</v>
      </c>
      <c r="AA1039" s="81"/>
      <c r="AB1039" s="81"/>
      <c r="AC1039" s="86" t="s">
        <v>1821</v>
      </c>
      <c r="AD1039" s="81"/>
      <c r="AE1039" s="81" t="b">
        <v>0</v>
      </c>
      <c r="AF1039" s="81">
        <v>0</v>
      </c>
      <c r="AG1039" s="86" t="s">
        <v>2084</v>
      </c>
      <c r="AH1039" s="81" t="b">
        <v>0</v>
      </c>
      <c r="AI1039" s="81" t="s">
        <v>2168</v>
      </c>
      <c r="AJ1039" s="81"/>
      <c r="AK1039" s="86" t="s">
        <v>2084</v>
      </c>
      <c r="AL1039" s="81" t="b">
        <v>0</v>
      </c>
      <c r="AM1039" s="81">
        <v>6</v>
      </c>
      <c r="AN1039" s="86" t="s">
        <v>1849</v>
      </c>
      <c r="AO1039" s="86" t="s">
        <v>2178</v>
      </c>
      <c r="AP1039" s="81" t="b">
        <v>0</v>
      </c>
      <c r="AQ1039" s="86" t="s">
        <v>1849</v>
      </c>
      <c r="AR1039" s="81" t="s">
        <v>179</v>
      </c>
      <c r="AS1039" s="81">
        <v>0</v>
      </c>
      <c r="AT1039" s="81">
        <v>0</v>
      </c>
      <c r="AU1039" s="81"/>
      <c r="AV1039" s="81"/>
      <c r="AW1039" s="81"/>
      <c r="AX1039" s="81"/>
      <c r="AY1039" s="81"/>
      <c r="AZ1039" s="81"/>
      <c r="BA1039" s="81"/>
      <c r="BB1039" s="81"/>
    </row>
    <row r="1040" spans="1:54" x14ac:dyDescent="0.35">
      <c r="A1040" s="66" t="s">
        <v>474</v>
      </c>
      <c r="B1040" s="66" t="s">
        <v>496</v>
      </c>
      <c r="C1040" s="67"/>
      <c r="D1040" s="68"/>
      <c r="E1040" s="69"/>
      <c r="F1040" s="70"/>
      <c r="G1040" s="67"/>
      <c r="H1040" s="71"/>
      <c r="I1040" s="72"/>
      <c r="J1040" s="72"/>
      <c r="K1040" s="36"/>
      <c r="L1040" s="79"/>
      <c r="M1040" s="79"/>
      <c r="N1040" s="74"/>
      <c r="O1040" s="81" t="s">
        <v>693</v>
      </c>
      <c r="P1040" s="83">
        <v>44464.378472222219</v>
      </c>
      <c r="Q1040" s="81" t="s">
        <v>801</v>
      </c>
      <c r="R1040" s="81"/>
      <c r="S1040" s="81"/>
      <c r="T1040" s="86" t="s">
        <v>649</v>
      </c>
      <c r="U1040" s="84" t="str">
        <f>HYPERLINK("https://pbs.twimg.com/media/FAEbDOhVUAIE92y.jpg")</f>
        <v>https://pbs.twimg.com/media/FAEbDOhVUAIE92y.jpg</v>
      </c>
      <c r="V1040" s="84" t="str">
        <f>HYPERLINK("https://pbs.twimg.com/media/FAEbDOhVUAIE92y.jpg")</f>
        <v>https://pbs.twimg.com/media/FAEbDOhVUAIE92y.jpg</v>
      </c>
      <c r="W1040" s="83">
        <v>44464.378472222219</v>
      </c>
      <c r="X1040" s="89">
        <v>44464</v>
      </c>
      <c r="Y1040" s="86" t="s">
        <v>1325</v>
      </c>
      <c r="Z1040" s="84" t="str">
        <f>HYPERLINK("https://twitter.com/imnicekeepgoing/status/1441690186623041539")</f>
        <v>https://twitter.com/imnicekeepgoing/status/1441690186623041539</v>
      </c>
      <c r="AA1040" s="81"/>
      <c r="AB1040" s="81"/>
      <c r="AC1040" s="86" t="s">
        <v>1821</v>
      </c>
      <c r="AD1040" s="81"/>
      <c r="AE1040" s="81" t="b">
        <v>0</v>
      </c>
      <c r="AF1040" s="81">
        <v>0</v>
      </c>
      <c r="AG1040" s="86" t="s">
        <v>2084</v>
      </c>
      <c r="AH1040" s="81" t="b">
        <v>0</v>
      </c>
      <c r="AI1040" s="81" t="s">
        <v>2168</v>
      </c>
      <c r="AJ1040" s="81"/>
      <c r="AK1040" s="86" t="s">
        <v>2084</v>
      </c>
      <c r="AL1040" s="81" t="b">
        <v>0</v>
      </c>
      <c r="AM1040" s="81">
        <v>6</v>
      </c>
      <c r="AN1040" s="86" t="s">
        <v>1849</v>
      </c>
      <c r="AO1040" s="86" t="s">
        <v>2178</v>
      </c>
      <c r="AP1040" s="81" t="b">
        <v>0</v>
      </c>
      <c r="AQ1040" s="86" t="s">
        <v>1849</v>
      </c>
      <c r="AR1040" s="81" t="s">
        <v>179</v>
      </c>
      <c r="AS1040" s="81">
        <v>0</v>
      </c>
      <c r="AT1040" s="81">
        <v>0</v>
      </c>
      <c r="AU1040" s="81"/>
      <c r="AV1040" s="81"/>
      <c r="AW1040" s="81"/>
      <c r="AX1040" s="81"/>
      <c r="AY1040" s="81"/>
      <c r="AZ1040" s="81"/>
      <c r="BA1040" s="81"/>
      <c r="BB1040" s="81"/>
    </row>
    <row r="1041" spans="1:54" x14ac:dyDescent="0.35">
      <c r="A1041" s="66" t="s">
        <v>474</v>
      </c>
      <c r="B1041" s="66" t="s">
        <v>646</v>
      </c>
      <c r="C1041" s="67"/>
      <c r="D1041" s="68"/>
      <c r="E1041" s="69"/>
      <c r="F1041" s="70"/>
      <c r="G1041" s="67"/>
      <c r="H1041" s="71"/>
      <c r="I1041" s="72"/>
      <c r="J1041" s="72"/>
      <c r="K1041" s="36"/>
      <c r="L1041" s="79"/>
      <c r="M1041" s="79"/>
      <c r="N1041" s="74"/>
      <c r="O1041" s="81" t="s">
        <v>694</v>
      </c>
      <c r="P1041" s="83">
        <v>44464.378912037035</v>
      </c>
      <c r="Q1041" s="81" t="s">
        <v>800</v>
      </c>
      <c r="R1041" s="81"/>
      <c r="S1041" s="81"/>
      <c r="T1041" s="86" t="s">
        <v>649</v>
      </c>
      <c r="U1041" s="84" t="str">
        <f>HYPERLINK("https://pbs.twimg.com/media/FAEbG8nUcA0oIOp.jpg")</f>
        <v>https://pbs.twimg.com/media/FAEbG8nUcA0oIOp.jpg</v>
      </c>
      <c r="V1041" s="84" t="str">
        <f>HYPERLINK("https://pbs.twimg.com/media/FAEbG8nUcA0oIOp.jpg")</f>
        <v>https://pbs.twimg.com/media/FAEbG8nUcA0oIOp.jpg</v>
      </c>
      <c r="W1041" s="83">
        <v>44464.378912037035</v>
      </c>
      <c r="X1041" s="89">
        <v>44464</v>
      </c>
      <c r="Y1041" s="86" t="s">
        <v>1326</v>
      </c>
      <c r="Z1041" s="84" t="str">
        <f>HYPERLINK("https://twitter.com/imnicekeepgoing/status/1441690346426023939")</f>
        <v>https://twitter.com/imnicekeepgoing/status/1441690346426023939</v>
      </c>
      <c r="AA1041" s="81"/>
      <c r="AB1041" s="81"/>
      <c r="AC1041" s="86" t="s">
        <v>1822</v>
      </c>
      <c r="AD1041" s="81"/>
      <c r="AE1041" s="81" t="b">
        <v>0</v>
      </c>
      <c r="AF1041" s="81">
        <v>0</v>
      </c>
      <c r="AG1041" s="86" t="s">
        <v>2084</v>
      </c>
      <c r="AH1041" s="81" t="b">
        <v>0</v>
      </c>
      <c r="AI1041" s="81" t="s">
        <v>2168</v>
      </c>
      <c r="AJ1041" s="81"/>
      <c r="AK1041" s="86" t="s">
        <v>2084</v>
      </c>
      <c r="AL1041" s="81" t="b">
        <v>0</v>
      </c>
      <c r="AM1041" s="81">
        <v>6</v>
      </c>
      <c r="AN1041" s="86" t="s">
        <v>1850</v>
      </c>
      <c r="AO1041" s="86" t="s">
        <v>2178</v>
      </c>
      <c r="AP1041" s="81" t="b">
        <v>0</v>
      </c>
      <c r="AQ1041" s="86" t="s">
        <v>1850</v>
      </c>
      <c r="AR1041" s="81" t="s">
        <v>179</v>
      </c>
      <c r="AS1041" s="81">
        <v>0</v>
      </c>
      <c r="AT1041" s="81">
        <v>0</v>
      </c>
      <c r="AU1041" s="81"/>
      <c r="AV1041" s="81"/>
      <c r="AW1041" s="81"/>
      <c r="AX1041" s="81"/>
      <c r="AY1041" s="81"/>
      <c r="AZ1041" s="81"/>
      <c r="BA1041" s="81"/>
      <c r="BB1041" s="81"/>
    </row>
    <row r="1042" spans="1:54" x14ac:dyDescent="0.35">
      <c r="A1042" s="66" t="s">
        <v>474</v>
      </c>
      <c r="B1042" s="66" t="s">
        <v>647</v>
      </c>
      <c r="C1042" s="67"/>
      <c r="D1042" s="68"/>
      <c r="E1042" s="69"/>
      <c r="F1042" s="70"/>
      <c r="G1042" s="67"/>
      <c r="H1042" s="71"/>
      <c r="I1042" s="72"/>
      <c r="J1042" s="72"/>
      <c r="K1042" s="36"/>
      <c r="L1042" s="79"/>
      <c r="M1042" s="79"/>
      <c r="N1042" s="74"/>
      <c r="O1042" s="81" t="s">
        <v>694</v>
      </c>
      <c r="P1042" s="83">
        <v>44464.378912037035</v>
      </c>
      <c r="Q1042" s="81" t="s">
        <v>800</v>
      </c>
      <c r="R1042" s="81"/>
      <c r="S1042" s="81"/>
      <c r="T1042" s="86" t="s">
        <v>649</v>
      </c>
      <c r="U1042" s="84" t="str">
        <f>HYPERLINK("https://pbs.twimg.com/media/FAEbG8nUcA0oIOp.jpg")</f>
        <v>https://pbs.twimg.com/media/FAEbG8nUcA0oIOp.jpg</v>
      </c>
      <c r="V1042" s="84" t="str">
        <f>HYPERLINK("https://pbs.twimg.com/media/FAEbG8nUcA0oIOp.jpg")</f>
        <v>https://pbs.twimg.com/media/FAEbG8nUcA0oIOp.jpg</v>
      </c>
      <c r="W1042" s="83">
        <v>44464.378912037035</v>
      </c>
      <c r="X1042" s="89">
        <v>44464</v>
      </c>
      <c r="Y1042" s="86" t="s">
        <v>1326</v>
      </c>
      <c r="Z1042" s="84" t="str">
        <f>HYPERLINK("https://twitter.com/imnicekeepgoing/status/1441690346426023939")</f>
        <v>https://twitter.com/imnicekeepgoing/status/1441690346426023939</v>
      </c>
      <c r="AA1042" s="81"/>
      <c r="AB1042" s="81"/>
      <c r="AC1042" s="86" t="s">
        <v>1822</v>
      </c>
      <c r="AD1042" s="81"/>
      <c r="AE1042" s="81" t="b">
        <v>0</v>
      </c>
      <c r="AF1042" s="81">
        <v>0</v>
      </c>
      <c r="AG1042" s="86" t="s">
        <v>2084</v>
      </c>
      <c r="AH1042" s="81" t="b">
        <v>0</v>
      </c>
      <c r="AI1042" s="81" t="s">
        <v>2168</v>
      </c>
      <c r="AJ1042" s="81"/>
      <c r="AK1042" s="86" t="s">
        <v>2084</v>
      </c>
      <c r="AL1042" s="81" t="b">
        <v>0</v>
      </c>
      <c r="AM1042" s="81">
        <v>6</v>
      </c>
      <c r="AN1042" s="86" t="s">
        <v>1850</v>
      </c>
      <c r="AO1042" s="86" t="s">
        <v>2178</v>
      </c>
      <c r="AP1042" s="81" t="b">
        <v>0</v>
      </c>
      <c r="AQ1042" s="86" t="s">
        <v>1850</v>
      </c>
      <c r="AR1042" s="81" t="s">
        <v>179</v>
      </c>
      <c r="AS1042" s="81">
        <v>0</v>
      </c>
      <c r="AT1042" s="81">
        <v>0</v>
      </c>
      <c r="AU1042" s="81"/>
      <c r="AV1042" s="81"/>
      <c r="AW1042" s="81"/>
      <c r="AX1042" s="81"/>
      <c r="AY1042" s="81"/>
      <c r="AZ1042" s="81"/>
      <c r="BA1042" s="81"/>
      <c r="BB1042" s="81"/>
    </row>
    <row r="1043" spans="1:54" x14ac:dyDescent="0.35">
      <c r="A1043" s="66" t="s">
        <v>474</v>
      </c>
      <c r="B1043" s="66" t="s">
        <v>648</v>
      </c>
      <c r="C1043" s="67"/>
      <c r="D1043" s="68"/>
      <c r="E1043" s="69"/>
      <c r="F1043" s="70"/>
      <c r="G1043" s="67"/>
      <c r="H1043" s="71"/>
      <c r="I1043" s="72"/>
      <c r="J1043" s="72"/>
      <c r="K1043" s="36"/>
      <c r="L1043" s="79"/>
      <c r="M1043" s="79"/>
      <c r="N1043" s="74"/>
      <c r="O1043" s="81" t="s">
        <v>694</v>
      </c>
      <c r="P1043" s="83">
        <v>44464.378912037035</v>
      </c>
      <c r="Q1043" s="81" t="s">
        <v>800</v>
      </c>
      <c r="R1043" s="81"/>
      <c r="S1043" s="81"/>
      <c r="T1043" s="86" t="s">
        <v>649</v>
      </c>
      <c r="U1043" s="84" t="str">
        <f>HYPERLINK("https://pbs.twimg.com/media/FAEbG8nUcA0oIOp.jpg")</f>
        <v>https://pbs.twimg.com/media/FAEbG8nUcA0oIOp.jpg</v>
      </c>
      <c r="V1043" s="84" t="str">
        <f>HYPERLINK("https://pbs.twimg.com/media/FAEbG8nUcA0oIOp.jpg")</f>
        <v>https://pbs.twimg.com/media/FAEbG8nUcA0oIOp.jpg</v>
      </c>
      <c r="W1043" s="83">
        <v>44464.378912037035</v>
      </c>
      <c r="X1043" s="89">
        <v>44464</v>
      </c>
      <c r="Y1043" s="86" t="s">
        <v>1326</v>
      </c>
      <c r="Z1043" s="84" t="str">
        <f>HYPERLINK("https://twitter.com/imnicekeepgoing/status/1441690346426023939")</f>
        <v>https://twitter.com/imnicekeepgoing/status/1441690346426023939</v>
      </c>
      <c r="AA1043" s="81"/>
      <c r="AB1043" s="81"/>
      <c r="AC1043" s="86" t="s">
        <v>1822</v>
      </c>
      <c r="AD1043" s="81"/>
      <c r="AE1043" s="81" t="b">
        <v>0</v>
      </c>
      <c r="AF1043" s="81">
        <v>0</v>
      </c>
      <c r="AG1043" s="86" t="s">
        <v>2084</v>
      </c>
      <c r="AH1043" s="81" t="b">
        <v>0</v>
      </c>
      <c r="AI1043" s="81" t="s">
        <v>2168</v>
      </c>
      <c r="AJ1043" s="81"/>
      <c r="AK1043" s="86" t="s">
        <v>2084</v>
      </c>
      <c r="AL1043" s="81" t="b">
        <v>0</v>
      </c>
      <c r="AM1043" s="81">
        <v>6</v>
      </c>
      <c r="AN1043" s="86" t="s">
        <v>1850</v>
      </c>
      <c r="AO1043" s="86" t="s">
        <v>2178</v>
      </c>
      <c r="AP1043" s="81" t="b">
        <v>0</v>
      </c>
      <c r="AQ1043" s="86" t="s">
        <v>1850</v>
      </c>
      <c r="AR1043" s="81" t="s">
        <v>179</v>
      </c>
      <c r="AS1043" s="81">
        <v>0</v>
      </c>
      <c r="AT1043" s="81">
        <v>0</v>
      </c>
      <c r="AU1043" s="81"/>
      <c r="AV1043" s="81"/>
      <c r="AW1043" s="81"/>
      <c r="AX1043" s="81"/>
      <c r="AY1043" s="81"/>
      <c r="AZ1043" s="81"/>
      <c r="BA1043" s="81"/>
      <c r="BB1043" s="81"/>
    </row>
    <row r="1044" spans="1:54" x14ac:dyDescent="0.35">
      <c r="A1044" s="66" t="s">
        <v>474</v>
      </c>
      <c r="B1044" s="66" t="s">
        <v>649</v>
      </c>
      <c r="C1044" s="67"/>
      <c r="D1044" s="68"/>
      <c r="E1044" s="69"/>
      <c r="F1044" s="70"/>
      <c r="G1044" s="67"/>
      <c r="H1044" s="71"/>
      <c r="I1044" s="72"/>
      <c r="J1044" s="72"/>
      <c r="K1044" s="36"/>
      <c r="L1044" s="79"/>
      <c r="M1044" s="79"/>
      <c r="N1044" s="74"/>
      <c r="O1044" s="81" t="s">
        <v>694</v>
      </c>
      <c r="P1044" s="83">
        <v>44464.378912037035</v>
      </c>
      <c r="Q1044" s="81" t="s">
        <v>800</v>
      </c>
      <c r="R1044" s="81"/>
      <c r="S1044" s="81"/>
      <c r="T1044" s="86" t="s">
        <v>649</v>
      </c>
      <c r="U1044" s="84" t="str">
        <f>HYPERLINK("https://pbs.twimg.com/media/FAEbG8nUcA0oIOp.jpg")</f>
        <v>https://pbs.twimg.com/media/FAEbG8nUcA0oIOp.jpg</v>
      </c>
      <c r="V1044" s="84" t="str">
        <f>HYPERLINK("https://pbs.twimg.com/media/FAEbG8nUcA0oIOp.jpg")</f>
        <v>https://pbs.twimg.com/media/FAEbG8nUcA0oIOp.jpg</v>
      </c>
      <c r="W1044" s="83">
        <v>44464.378912037035</v>
      </c>
      <c r="X1044" s="89">
        <v>44464</v>
      </c>
      <c r="Y1044" s="86" t="s">
        <v>1326</v>
      </c>
      <c r="Z1044" s="84" t="str">
        <f>HYPERLINK("https://twitter.com/imnicekeepgoing/status/1441690346426023939")</f>
        <v>https://twitter.com/imnicekeepgoing/status/1441690346426023939</v>
      </c>
      <c r="AA1044" s="81"/>
      <c r="AB1044" s="81"/>
      <c r="AC1044" s="86" t="s">
        <v>1822</v>
      </c>
      <c r="AD1044" s="81"/>
      <c r="AE1044" s="81" t="b">
        <v>0</v>
      </c>
      <c r="AF1044" s="81">
        <v>0</v>
      </c>
      <c r="AG1044" s="86" t="s">
        <v>2084</v>
      </c>
      <c r="AH1044" s="81" t="b">
        <v>0</v>
      </c>
      <c r="AI1044" s="81" t="s">
        <v>2168</v>
      </c>
      <c r="AJ1044" s="81"/>
      <c r="AK1044" s="86" t="s">
        <v>2084</v>
      </c>
      <c r="AL1044" s="81" t="b">
        <v>0</v>
      </c>
      <c r="AM1044" s="81">
        <v>6</v>
      </c>
      <c r="AN1044" s="86" t="s">
        <v>1850</v>
      </c>
      <c r="AO1044" s="86" t="s">
        <v>2178</v>
      </c>
      <c r="AP1044" s="81" t="b">
        <v>0</v>
      </c>
      <c r="AQ1044" s="86" t="s">
        <v>1850</v>
      </c>
      <c r="AR1044" s="81" t="s">
        <v>179</v>
      </c>
      <c r="AS1044" s="81">
        <v>0</v>
      </c>
      <c r="AT1044" s="81">
        <v>0</v>
      </c>
      <c r="AU1044" s="81"/>
      <c r="AV1044" s="81"/>
      <c r="AW1044" s="81"/>
      <c r="AX1044" s="81"/>
      <c r="AY1044" s="81"/>
      <c r="AZ1044" s="81"/>
      <c r="BA1044" s="81"/>
      <c r="BB1044" s="81"/>
    </row>
    <row r="1045" spans="1:54" x14ac:dyDescent="0.35">
      <c r="A1045" s="66" t="s">
        <v>474</v>
      </c>
      <c r="B1045" s="66" t="s">
        <v>496</v>
      </c>
      <c r="C1045" s="67"/>
      <c r="D1045" s="68"/>
      <c r="E1045" s="69"/>
      <c r="F1045" s="70"/>
      <c r="G1045" s="67"/>
      <c r="H1045" s="71"/>
      <c r="I1045" s="72"/>
      <c r="J1045" s="72"/>
      <c r="K1045" s="36"/>
      <c r="L1045" s="79"/>
      <c r="M1045" s="79"/>
      <c r="N1045" s="74"/>
      <c r="O1045" s="81" t="s">
        <v>693</v>
      </c>
      <c r="P1045" s="83">
        <v>44464.378912037035</v>
      </c>
      <c r="Q1045" s="81" t="s">
        <v>800</v>
      </c>
      <c r="R1045" s="81"/>
      <c r="S1045" s="81"/>
      <c r="T1045" s="86" t="s">
        <v>649</v>
      </c>
      <c r="U1045" s="84" t="str">
        <f>HYPERLINK("https://pbs.twimg.com/media/FAEbG8nUcA0oIOp.jpg")</f>
        <v>https://pbs.twimg.com/media/FAEbG8nUcA0oIOp.jpg</v>
      </c>
      <c r="V1045" s="84" t="str">
        <f>HYPERLINK("https://pbs.twimg.com/media/FAEbG8nUcA0oIOp.jpg")</f>
        <v>https://pbs.twimg.com/media/FAEbG8nUcA0oIOp.jpg</v>
      </c>
      <c r="W1045" s="83">
        <v>44464.378912037035</v>
      </c>
      <c r="X1045" s="89">
        <v>44464</v>
      </c>
      <c r="Y1045" s="86" t="s">
        <v>1326</v>
      </c>
      <c r="Z1045" s="84" t="str">
        <f>HYPERLINK("https://twitter.com/imnicekeepgoing/status/1441690346426023939")</f>
        <v>https://twitter.com/imnicekeepgoing/status/1441690346426023939</v>
      </c>
      <c r="AA1045" s="81"/>
      <c r="AB1045" s="81"/>
      <c r="AC1045" s="86" t="s">
        <v>1822</v>
      </c>
      <c r="AD1045" s="81"/>
      <c r="AE1045" s="81" t="b">
        <v>0</v>
      </c>
      <c r="AF1045" s="81">
        <v>0</v>
      </c>
      <c r="AG1045" s="86" t="s">
        <v>2084</v>
      </c>
      <c r="AH1045" s="81" t="b">
        <v>0</v>
      </c>
      <c r="AI1045" s="81" t="s">
        <v>2168</v>
      </c>
      <c r="AJ1045" s="81"/>
      <c r="AK1045" s="86" t="s">
        <v>2084</v>
      </c>
      <c r="AL1045" s="81" t="b">
        <v>0</v>
      </c>
      <c r="AM1045" s="81">
        <v>6</v>
      </c>
      <c r="AN1045" s="86" t="s">
        <v>1850</v>
      </c>
      <c r="AO1045" s="86" t="s">
        <v>2178</v>
      </c>
      <c r="AP1045" s="81" t="b">
        <v>0</v>
      </c>
      <c r="AQ1045" s="86" t="s">
        <v>1850</v>
      </c>
      <c r="AR1045" s="81" t="s">
        <v>179</v>
      </c>
      <c r="AS1045" s="81">
        <v>0</v>
      </c>
      <c r="AT1045" s="81">
        <v>0</v>
      </c>
      <c r="AU1045" s="81"/>
      <c r="AV1045" s="81"/>
      <c r="AW1045" s="81"/>
      <c r="AX1045" s="81"/>
      <c r="AY1045" s="81"/>
      <c r="AZ1045" s="81"/>
      <c r="BA1045" s="81"/>
      <c r="BB1045" s="81"/>
    </row>
    <row r="1046" spans="1:54" x14ac:dyDescent="0.35">
      <c r="A1046" s="66" t="s">
        <v>4479</v>
      </c>
      <c r="B1046" s="66" t="s">
        <v>4567</v>
      </c>
      <c r="C1046" s="67"/>
      <c r="D1046" s="68"/>
      <c r="E1046" s="69"/>
      <c r="F1046" s="70"/>
      <c r="G1046" s="67"/>
      <c r="H1046" s="71"/>
      <c r="I1046" s="72"/>
      <c r="J1046" s="72"/>
      <c r="K1046" s="36"/>
      <c r="L1046" s="79"/>
      <c r="M1046" s="79"/>
      <c r="N1046" s="74"/>
      <c r="O1046" s="81" t="s">
        <v>693</v>
      </c>
      <c r="P1046" s="83">
        <v>44464.38354166667</v>
      </c>
      <c r="Q1046" s="81" t="s">
        <v>5449</v>
      </c>
      <c r="R1046" s="81"/>
      <c r="S1046" s="81"/>
      <c r="T1046" s="81"/>
      <c r="U1046" s="81"/>
      <c r="V1046" s="84" t="str">
        <f>HYPERLINK("https://pbs.twimg.com/profile_images/1438290435265421319/3S1zFgc4_normal.jpg")</f>
        <v>https://pbs.twimg.com/profile_images/1438290435265421319/3S1zFgc4_normal.jpg</v>
      </c>
      <c r="W1046" s="83">
        <v>44464.38354166667</v>
      </c>
      <c r="X1046" s="89">
        <v>44464</v>
      </c>
      <c r="Y1046" s="86" t="s">
        <v>6118</v>
      </c>
      <c r="Z1046" s="84" t="str">
        <f>HYPERLINK("https://twitter.com/ingamiro/status/1441692025590456321")</f>
        <v>https://twitter.com/ingamiro/status/1441692025590456321</v>
      </c>
      <c r="AA1046" s="81"/>
      <c r="AB1046" s="81"/>
      <c r="AC1046" s="86" t="s">
        <v>7024</v>
      </c>
      <c r="AD1046" s="81"/>
      <c r="AE1046" s="81" t="b">
        <v>0</v>
      </c>
      <c r="AF1046" s="81">
        <v>0</v>
      </c>
      <c r="AG1046" s="86" t="s">
        <v>2084</v>
      </c>
      <c r="AH1046" s="81" t="b">
        <v>0</v>
      </c>
      <c r="AI1046" s="81" t="s">
        <v>2171</v>
      </c>
      <c r="AJ1046" s="81"/>
      <c r="AK1046" s="86" t="s">
        <v>2084</v>
      </c>
      <c r="AL1046" s="81" t="b">
        <v>0</v>
      </c>
      <c r="AM1046" s="81">
        <v>5</v>
      </c>
      <c r="AN1046" s="86" t="s">
        <v>7126</v>
      </c>
      <c r="AO1046" s="86" t="s">
        <v>2178</v>
      </c>
      <c r="AP1046" s="81" t="b">
        <v>0</v>
      </c>
      <c r="AQ1046" s="86" t="s">
        <v>7126</v>
      </c>
      <c r="AR1046" s="81" t="s">
        <v>179</v>
      </c>
      <c r="AS1046" s="81">
        <v>0</v>
      </c>
      <c r="AT1046" s="81">
        <v>0</v>
      </c>
      <c r="AU1046" s="81"/>
      <c r="AV1046" s="81"/>
      <c r="AW1046" s="81"/>
      <c r="AX1046" s="81"/>
      <c r="AY1046" s="81"/>
      <c r="AZ1046" s="81"/>
      <c r="BA1046" s="81"/>
      <c r="BB1046" s="81"/>
    </row>
    <row r="1047" spans="1:54" x14ac:dyDescent="0.35">
      <c r="A1047" s="66" t="s">
        <v>4479</v>
      </c>
      <c r="B1047" s="66" t="s">
        <v>5091</v>
      </c>
      <c r="C1047" s="67"/>
      <c r="D1047" s="68"/>
      <c r="E1047" s="69"/>
      <c r="F1047" s="70"/>
      <c r="G1047" s="67"/>
      <c r="H1047" s="71"/>
      <c r="I1047" s="72"/>
      <c r="J1047" s="72"/>
      <c r="K1047" s="36"/>
      <c r="L1047" s="79"/>
      <c r="M1047" s="79"/>
      <c r="N1047" s="74"/>
      <c r="O1047" s="81" t="s">
        <v>695</v>
      </c>
      <c r="P1047" s="83">
        <v>44464.38354166667</v>
      </c>
      <c r="Q1047" s="81" t="s">
        <v>5449</v>
      </c>
      <c r="R1047" s="81"/>
      <c r="S1047" s="81"/>
      <c r="T1047" s="81"/>
      <c r="U1047" s="81"/>
      <c r="V1047" s="84" t="str">
        <f>HYPERLINK("https://pbs.twimg.com/profile_images/1438290435265421319/3S1zFgc4_normal.jpg")</f>
        <v>https://pbs.twimg.com/profile_images/1438290435265421319/3S1zFgc4_normal.jpg</v>
      </c>
      <c r="W1047" s="83">
        <v>44464.38354166667</v>
      </c>
      <c r="X1047" s="89">
        <v>44464</v>
      </c>
      <c r="Y1047" s="86" t="s">
        <v>6118</v>
      </c>
      <c r="Z1047" s="84" t="str">
        <f>HYPERLINK("https://twitter.com/ingamiro/status/1441692025590456321")</f>
        <v>https://twitter.com/ingamiro/status/1441692025590456321</v>
      </c>
      <c r="AA1047" s="81"/>
      <c r="AB1047" s="81"/>
      <c r="AC1047" s="86" t="s">
        <v>7024</v>
      </c>
      <c r="AD1047" s="81"/>
      <c r="AE1047" s="81" t="b">
        <v>0</v>
      </c>
      <c r="AF1047" s="81">
        <v>0</v>
      </c>
      <c r="AG1047" s="86" t="s">
        <v>2084</v>
      </c>
      <c r="AH1047" s="81" t="b">
        <v>0</v>
      </c>
      <c r="AI1047" s="81" t="s">
        <v>2171</v>
      </c>
      <c r="AJ1047" s="81"/>
      <c r="AK1047" s="86" t="s">
        <v>2084</v>
      </c>
      <c r="AL1047" s="81" t="b">
        <v>0</v>
      </c>
      <c r="AM1047" s="81">
        <v>5</v>
      </c>
      <c r="AN1047" s="86" t="s">
        <v>7126</v>
      </c>
      <c r="AO1047" s="86" t="s">
        <v>2178</v>
      </c>
      <c r="AP1047" s="81" t="b">
        <v>0</v>
      </c>
      <c r="AQ1047" s="86" t="s">
        <v>7126</v>
      </c>
      <c r="AR1047" s="81" t="s">
        <v>179</v>
      </c>
      <c r="AS1047" s="81">
        <v>0</v>
      </c>
      <c r="AT1047" s="81">
        <v>0</v>
      </c>
      <c r="AU1047" s="81"/>
      <c r="AV1047" s="81"/>
      <c r="AW1047" s="81"/>
      <c r="AX1047" s="81"/>
      <c r="AY1047" s="81"/>
      <c r="AZ1047" s="81"/>
      <c r="BA1047" s="81"/>
      <c r="BB1047" s="81"/>
    </row>
    <row r="1048" spans="1:54" x14ac:dyDescent="0.35">
      <c r="A1048" s="66" t="s">
        <v>475</v>
      </c>
      <c r="B1048" s="66" t="s">
        <v>475</v>
      </c>
      <c r="C1048" s="67"/>
      <c r="D1048" s="68"/>
      <c r="E1048" s="69"/>
      <c r="F1048" s="70"/>
      <c r="G1048" s="67"/>
      <c r="H1048" s="71"/>
      <c r="I1048" s="72"/>
      <c r="J1048" s="72"/>
      <c r="K1048" s="36"/>
      <c r="L1048" s="79"/>
      <c r="M1048" s="79"/>
      <c r="N1048" s="74"/>
      <c r="O1048" s="81" t="s">
        <v>179</v>
      </c>
      <c r="P1048" s="83">
        <v>44464.396840277775</v>
      </c>
      <c r="Q1048" s="81" t="s">
        <v>813</v>
      </c>
      <c r="R1048" s="81"/>
      <c r="S1048" s="81"/>
      <c r="T1048" s="81"/>
      <c r="U1048" s="81"/>
      <c r="V1048" s="84" t="str">
        <f>HYPERLINK("https://pbs.twimg.com/profile_images/1381215166876946437/8k3OnihW_normal.jpg")</f>
        <v>https://pbs.twimg.com/profile_images/1381215166876946437/8k3OnihW_normal.jpg</v>
      </c>
      <c r="W1048" s="83">
        <v>44464.396840277775</v>
      </c>
      <c r="X1048" s="89">
        <v>44464</v>
      </c>
      <c r="Y1048" s="86" t="s">
        <v>1327</v>
      </c>
      <c r="Z1048" s="84" t="str">
        <f>HYPERLINK("https://twitter.com/qilahshafie69/status/1441696843558096897")</f>
        <v>https://twitter.com/qilahshafie69/status/1441696843558096897</v>
      </c>
      <c r="AA1048" s="81"/>
      <c r="AB1048" s="81"/>
      <c r="AC1048" s="86" t="s">
        <v>1823</v>
      </c>
      <c r="AD1048" s="81"/>
      <c r="AE1048" s="81" t="b">
        <v>0</v>
      </c>
      <c r="AF1048" s="81">
        <v>0</v>
      </c>
      <c r="AG1048" s="86" t="s">
        <v>2084</v>
      </c>
      <c r="AH1048" s="81" t="b">
        <v>0</v>
      </c>
      <c r="AI1048" s="81" t="s">
        <v>2167</v>
      </c>
      <c r="AJ1048" s="81"/>
      <c r="AK1048" s="86" t="s">
        <v>2084</v>
      </c>
      <c r="AL1048" s="81" t="b">
        <v>0</v>
      </c>
      <c r="AM1048" s="81">
        <v>0</v>
      </c>
      <c r="AN1048" s="86" t="s">
        <v>2084</v>
      </c>
      <c r="AO1048" s="86" t="s">
        <v>2179</v>
      </c>
      <c r="AP1048" s="81" t="b">
        <v>0</v>
      </c>
      <c r="AQ1048" s="86" t="s">
        <v>1823</v>
      </c>
      <c r="AR1048" s="81" t="s">
        <v>179</v>
      </c>
      <c r="AS1048" s="81">
        <v>0</v>
      </c>
      <c r="AT1048" s="81">
        <v>0</v>
      </c>
      <c r="AU1048" s="81"/>
      <c r="AV1048" s="81"/>
      <c r="AW1048" s="81"/>
      <c r="AX1048" s="81"/>
      <c r="AY1048" s="81"/>
      <c r="AZ1048" s="81"/>
      <c r="BA1048" s="81"/>
      <c r="BB1048" s="81"/>
    </row>
    <row r="1049" spans="1:54" x14ac:dyDescent="0.35">
      <c r="A1049" s="66" t="s">
        <v>476</v>
      </c>
      <c r="B1049" s="66" t="s">
        <v>646</v>
      </c>
      <c r="C1049" s="67"/>
      <c r="D1049" s="68"/>
      <c r="E1049" s="69"/>
      <c r="F1049" s="70"/>
      <c r="G1049" s="67"/>
      <c r="H1049" s="71"/>
      <c r="I1049" s="72"/>
      <c r="J1049" s="72"/>
      <c r="K1049" s="36"/>
      <c r="L1049" s="79"/>
      <c r="M1049" s="79"/>
      <c r="N1049" s="74"/>
      <c r="O1049" s="81" t="s">
        <v>694</v>
      </c>
      <c r="P1049" s="83">
        <v>44463.779374999998</v>
      </c>
      <c r="Q1049" s="81" t="s">
        <v>803</v>
      </c>
      <c r="R1049" s="81"/>
      <c r="S1049" s="81"/>
      <c r="T1049" s="86" t="s">
        <v>649</v>
      </c>
      <c r="U1049" s="84" t="str">
        <f>HYPERLINK("https://pbs.twimg.com/media/FAEa7dXVkAcjbKg.jpg")</f>
        <v>https://pbs.twimg.com/media/FAEa7dXVkAcjbKg.jpg</v>
      </c>
      <c r="V1049" s="84" t="str">
        <f>HYPERLINK("https://pbs.twimg.com/media/FAEa7dXVkAcjbKg.jpg")</f>
        <v>https://pbs.twimg.com/media/FAEa7dXVkAcjbKg.jpg</v>
      </c>
      <c r="W1049" s="83">
        <v>44463.779374999998</v>
      </c>
      <c r="X1049" s="89">
        <v>44463</v>
      </c>
      <c r="Y1049" s="86" t="s">
        <v>1328</v>
      </c>
      <c r="Z1049" s="84" t="str">
        <f>HYPERLINK("https://twitter.com/shrfhbgtn/status/1441473079809478657")</f>
        <v>https://twitter.com/shrfhbgtn/status/1441473079809478657</v>
      </c>
      <c r="AA1049" s="81"/>
      <c r="AB1049" s="81"/>
      <c r="AC1049" s="86" t="s">
        <v>1824</v>
      </c>
      <c r="AD1049" s="81"/>
      <c r="AE1049" s="81" t="b">
        <v>0</v>
      </c>
      <c r="AF1049" s="81">
        <v>0</v>
      </c>
      <c r="AG1049" s="86" t="s">
        <v>2084</v>
      </c>
      <c r="AH1049" s="81" t="b">
        <v>0</v>
      </c>
      <c r="AI1049" s="81" t="s">
        <v>2168</v>
      </c>
      <c r="AJ1049" s="81"/>
      <c r="AK1049" s="86" t="s">
        <v>2084</v>
      </c>
      <c r="AL1049" s="81" t="b">
        <v>0</v>
      </c>
      <c r="AM1049" s="81">
        <v>21</v>
      </c>
      <c r="AN1049" s="86" t="s">
        <v>1847</v>
      </c>
      <c r="AO1049" s="86" t="s">
        <v>2179</v>
      </c>
      <c r="AP1049" s="81" t="b">
        <v>0</v>
      </c>
      <c r="AQ1049" s="86" t="s">
        <v>1847</v>
      </c>
      <c r="AR1049" s="81" t="s">
        <v>179</v>
      </c>
      <c r="AS1049" s="81">
        <v>0</v>
      </c>
      <c r="AT1049" s="81">
        <v>0</v>
      </c>
      <c r="AU1049" s="81"/>
      <c r="AV1049" s="81"/>
      <c r="AW1049" s="81"/>
      <c r="AX1049" s="81"/>
      <c r="AY1049" s="81"/>
      <c r="AZ1049" s="81"/>
      <c r="BA1049" s="81"/>
      <c r="BB1049" s="81"/>
    </row>
    <row r="1050" spans="1:54" x14ac:dyDescent="0.35">
      <c r="A1050" s="66" t="s">
        <v>476</v>
      </c>
      <c r="B1050" s="66" t="s">
        <v>647</v>
      </c>
      <c r="C1050" s="67"/>
      <c r="D1050" s="68"/>
      <c r="E1050" s="69"/>
      <c r="F1050" s="70"/>
      <c r="G1050" s="67"/>
      <c r="H1050" s="71"/>
      <c r="I1050" s="72"/>
      <c r="J1050" s="72"/>
      <c r="K1050" s="36"/>
      <c r="L1050" s="79"/>
      <c r="M1050" s="79"/>
      <c r="N1050" s="74"/>
      <c r="O1050" s="81" t="s">
        <v>694</v>
      </c>
      <c r="P1050" s="83">
        <v>44463.779374999998</v>
      </c>
      <c r="Q1050" s="81" t="s">
        <v>803</v>
      </c>
      <c r="R1050" s="81"/>
      <c r="S1050" s="81"/>
      <c r="T1050" s="86" t="s">
        <v>649</v>
      </c>
      <c r="U1050" s="84" t="str">
        <f>HYPERLINK("https://pbs.twimg.com/media/FAEa7dXVkAcjbKg.jpg")</f>
        <v>https://pbs.twimg.com/media/FAEa7dXVkAcjbKg.jpg</v>
      </c>
      <c r="V1050" s="84" t="str">
        <f>HYPERLINK("https://pbs.twimg.com/media/FAEa7dXVkAcjbKg.jpg")</f>
        <v>https://pbs.twimg.com/media/FAEa7dXVkAcjbKg.jpg</v>
      </c>
      <c r="W1050" s="83">
        <v>44463.779374999998</v>
      </c>
      <c r="X1050" s="89">
        <v>44463</v>
      </c>
      <c r="Y1050" s="86" t="s">
        <v>1328</v>
      </c>
      <c r="Z1050" s="84" t="str">
        <f>HYPERLINK("https://twitter.com/shrfhbgtn/status/1441473079809478657")</f>
        <v>https://twitter.com/shrfhbgtn/status/1441473079809478657</v>
      </c>
      <c r="AA1050" s="81"/>
      <c r="AB1050" s="81"/>
      <c r="AC1050" s="86" t="s">
        <v>1824</v>
      </c>
      <c r="AD1050" s="81"/>
      <c r="AE1050" s="81" t="b">
        <v>0</v>
      </c>
      <c r="AF1050" s="81">
        <v>0</v>
      </c>
      <c r="AG1050" s="86" t="s">
        <v>2084</v>
      </c>
      <c r="AH1050" s="81" t="b">
        <v>0</v>
      </c>
      <c r="AI1050" s="81" t="s">
        <v>2168</v>
      </c>
      <c r="AJ1050" s="81"/>
      <c r="AK1050" s="86" t="s">
        <v>2084</v>
      </c>
      <c r="AL1050" s="81" t="b">
        <v>0</v>
      </c>
      <c r="AM1050" s="81">
        <v>21</v>
      </c>
      <c r="AN1050" s="86" t="s">
        <v>1847</v>
      </c>
      <c r="AO1050" s="86" t="s">
        <v>2179</v>
      </c>
      <c r="AP1050" s="81" t="b">
        <v>0</v>
      </c>
      <c r="AQ1050" s="86" t="s">
        <v>1847</v>
      </c>
      <c r="AR1050" s="81" t="s">
        <v>179</v>
      </c>
      <c r="AS1050" s="81">
        <v>0</v>
      </c>
      <c r="AT1050" s="81">
        <v>0</v>
      </c>
      <c r="AU1050" s="81"/>
      <c r="AV1050" s="81"/>
      <c r="AW1050" s="81"/>
      <c r="AX1050" s="81"/>
      <c r="AY1050" s="81"/>
      <c r="AZ1050" s="81"/>
      <c r="BA1050" s="81"/>
      <c r="BB1050" s="81"/>
    </row>
    <row r="1051" spans="1:54" x14ac:dyDescent="0.35">
      <c r="A1051" s="66" t="s">
        <v>476</v>
      </c>
      <c r="B1051" s="66" t="s">
        <v>648</v>
      </c>
      <c r="C1051" s="67"/>
      <c r="D1051" s="68"/>
      <c r="E1051" s="69"/>
      <c r="F1051" s="70"/>
      <c r="G1051" s="67"/>
      <c r="H1051" s="71"/>
      <c r="I1051" s="72"/>
      <c r="J1051" s="72"/>
      <c r="K1051" s="36"/>
      <c r="L1051" s="79"/>
      <c r="M1051" s="79"/>
      <c r="N1051" s="74"/>
      <c r="O1051" s="81" t="s">
        <v>694</v>
      </c>
      <c r="P1051" s="83">
        <v>44463.779374999998</v>
      </c>
      <c r="Q1051" s="81" t="s">
        <v>803</v>
      </c>
      <c r="R1051" s="81"/>
      <c r="S1051" s="81"/>
      <c r="T1051" s="86" t="s">
        <v>649</v>
      </c>
      <c r="U1051" s="84" t="str">
        <f>HYPERLINK("https://pbs.twimg.com/media/FAEa7dXVkAcjbKg.jpg")</f>
        <v>https://pbs.twimg.com/media/FAEa7dXVkAcjbKg.jpg</v>
      </c>
      <c r="V1051" s="84" t="str">
        <f>HYPERLINK("https://pbs.twimg.com/media/FAEa7dXVkAcjbKg.jpg")</f>
        <v>https://pbs.twimg.com/media/FAEa7dXVkAcjbKg.jpg</v>
      </c>
      <c r="W1051" s="83">
        <v>44463.779374999998</v>
      </c>
      <c r="X1051" s="89">
        <v>44463</v>
      </c>
      <c r="Y1051" s="86" t="s">
        <v>1328</v>
      </c>
      <c r="Z1051" s="84" t="str">
        <f>HYPERLINK("https://twitter.com/shrfhbgtn/status/1441473079809478657")</f>
        <v>https://twitter.com/shrfhbgtn/status/1441473079809478657</v>
      </c>
      <c r="AA1051" s="81"/>
      <c r="AB1051" s="81"/>
      <c r="AC1051" s="86" t="s">
        <v>1824</v>
      </c>
      <c r="AD1051" s="81"/>
      <c r="AE1051" s="81" t="b">
        <v>0</v>
      </c>
      <c r="AF1051" s="81">
        <v>0</v>
      </c>
      <c r="AG1051" s="86" t="s">
        <v>2084</v>
      </c>
      <c r="AH1051" s="81" t="b">
        <v>0</v>
      </c>
      <c r="AI1051" s="81" t="s">
        <v>2168</v>
      </c>
      <c r="AJ1051" s="81"/>
      <c r="AK1051" s="86" t="s">
        <v>2084</v>
      </c>
      <c r="AL1051" s="81" t="b">
        <v>0</v>
      </c>
      <c r="AM1051" s="81">
        <v>21</v>
      </c>
      <c r="AN1051" s="86" t="s">
        <v>1847</v>
      </c>
      <c r="AO1051" s="86" t="s">
        <v>2179</v>
      </c>
      <c r="AP1051" s="81" t="b">
        <v>0</v>
      </c>
      <c r="AQ1051" s="86" t="s">
        <v>1847</v>
      </c>
      <c r="AR1051" s="81" t="s">
        <v>179</v>
      </c>
      <c r="AS1051" s="81">
        <v>0</v>
      </c>
      <c r="AT1051" s="81">
        <v>0</v>
      </c>
      <c r="AU1051" s="81"/>
      <c r="AV1051" s="81"/>
      <c r="AW1051" s="81"/>
      <c r="AX1051" s="81"/>
      <c r="AY1051" s="81"/>
      <c r="AZ1051" s="81"/>
      <c r="BA1051" s="81"/>
      <c r="BB1051" s="81"/>
    </row>
    <row r="1052" spans="1:54" x14ac:dyDescent="0.35">
      <c r="A1052" s="66" t="s">
        <v>476</v>
      </c>
      <c r="B1052" s="66" t="s">
        <v>649</v>
      </c>
      <c r="C1052" s="67"/>
      <c r="D1052" s="68"/>
      <c r="E1052" s="69"/>
      <c r="F1052" s="70"/>
      <c r="G1052" s="67"/>
      <c r="H1052" s="71"/>
      <c r="I1052" s="72"/>
      <c r="J1052" s="72"/>
      <c r="K1052" s="36"/>
      <c r="L1052" s="79"/>
      <c r="M1052" s="79"/>
      <c r="N1052" s="74"/>
      <c r="O1052" s="81" t="s">
        <v>694</v>
      </c>
      <c r="P1052" s="83">
        <v>44463.779374999998</v>
      </c>
      <c r="Q1052" s="81" t="s">
        <v>803</v>
      </c>
      <c r="R1052" s="81"/>
      <c r="S1052" s="81"/>
      <c r="T1052" s="86" t="s">
        <v>649</v>
      </c>
      <c r="U1052" s="84" t="str">
        <f>HYPERLINK("https://pbs.twimg.com/media/FAEa7dXVkAcjbKg.jpg")</f>
        <v>https://pbs.twimg.com/media/FAEa7dXVkAcjbKg.jpg</v>
      </c>
      <c r="V1052" s="84" t="str">
        <f>HYPERLINK("https://pbs.twimg.com/media/FAEa7dXVkAcjbKg.jpg")</f>
        <v>https://pbs.twimg.com/media/FAEa7dXVkAcjbKg.jpg</v>
      </c>
      <c r="W1052" s="83">
        <v>44463.779374999998</v>
      </c>
      <c r="X1052" s="89">
        <v>44463</v>
      </c>
      <c r="Y1052" s="86" t="s">
        <v>1328</v>
      </c>
      <c r="Z1052" s="84" t="str">
        <f>HYPERLINK("https://twitter.com/shrfhbgtn/status/1441473079809478657")</f>
        <v>https://twitter.com/shrfhbgtn/status/1441473079809478657</v>
      </c>
      <c r="AA1052" s="81"/>
      <c r="AB1052" s="81"/>
      <c r="AC1052" s="86" t="s">
        <v>1824</v>
      </c>
      <c r="AD1052" s="81"/>
      <c r="AE1052" s="81" t="b">
        <v>0</v>
      </c>
      <c r="AF1052" s="81">
        <v>0</v>
      </c>
      <c r="AG1052" s="86" t="s">
        <v>2084</v>
      </c>
      <c r="AH1052" s="81" t="b">
        <v>0</v>
      </c>
      <c r="AI1052" s="81" t="s">
        <v>2168</v>
      </c>
      <c r="AJ1052" s="81"/>
      <c r="AK1052" s="86" t="s">
        <v>2084</v>
      </c>
      <c r="AL1052" s="81" t="b">
        <v>0</v>
      </c>
      <c r="AM1052" s="81">
        <v>21</v>
      </c>
      <c r="AN1052" s="86" t="s">
        <v>1847</v>
      </c>
      <c r="AO1052" s="86" t="s">
        <v>2179</v>
      </c>
      <c r="AP1052" s="81" t="b">
        <v>0</v>
      </c>
      <c r="AQ1052" s="86" t="s">
        <v>1847</v>
      </c>
      <c r="AR1052" s="81" t="s">
        <v>179</v>
      </c>
      <c r="AS1052" s="81">
        <v>0</v>
      </c>
      <c r="AT1052" s="81">
        <v>0</v>
      </c>
      <c r="AU1052" s="81"/>
      <c r="AV1052" s="81"/>
      <c r="AW1052" s="81"/>
      <c r="AX1052" s="81"/>
      <c r="AY1052" s="81"/>
      <c r="AZ1052" s="81"/>
      <c r="BA1052" s="81"/>
      <c r="BB1052" s="81"/>
    </row>
    <row r="1053" spans="1:54" x14ac:dyDescent="0.35">
      <c r="A1053" s="66" t="s">
        <v>476</v>
      </c>
      <c r="B1053" s="66" t="s">
        <v>496</v>
      </c>
      <c r="C1053" s="67"/>
      <c r="D1053" s="68"/>
      <c r="E1053" s="69"/>
      <c r="F1053" s="70"/>
      <c r="G1053" s="67"/>
      <c r="H1053" s="71"/>
      <c r="I1053" s="72"/>
      <c r="J1053" s="72"/>
      <c r="K1053" s="36"/>
      <c r="L1053" s="79"/>
      <c r="M1053" s="79"/>
      <c r="N1053" s="74"/>
      <c r="O1053" s="81" t="s">
        <v>693</v>
      </c>
      <c r="P1053" s="83">
        <v>44463.779374999998</v>
      </c>
      <c r="Q1053" s="81" t="s">
        <v>803</v>
      </c>
      <c r="R1053" s="81"/>
      <c r="S1053" s="81"/>
      <c r="T1053" s="86" t="s">
        <v>649</v>
      </c>
      <c r="U1053" s="84" t="str">
        <f>HYPERLINK("https://pbs.twimg.com/media/FAEa7dXVkAcjbKg.jpg")</f>
        <v>https://pbs.twimg.com/media/FAEa7dXVkAcjbKg.jpg</v>
      </c>
      <c r="V1053" s="84" t="str">
        <f>HYPERLINK("https://pbs.twimg.com/media/FAEa7dXVkAcjbKg.jpg")</f>
        <v>https://pbs.twimg.com/media/FAEa7dXVkAcjbKg.jpg</v>
      </c>
      <c r="W1053" s="83">
        <v>44463.779374999998</v>
      </c>
      <c r="X1053" s="89">
        <v>44463</v>
      </c>
      <c r="Y1053" s="86" t="s">
        <v>1328</v>
      </c>
      <c r="Z1053" s="84" t="str">
        <f>HYPERLINK("https://twitter.com/shrfhbgtn/status/1441473079809478657")</f>
        <v>https://twitter.com/shrfhbgtn/status/1441473079809478657</v>
      </c>
      <c r="AA1053" s="81"/>
      <c r="AB1053" s="81"/>
      <c r="AC1053" s="86" t="s">
        <v>1824</v>
      </c>
      <c r="AD1053" s="81"/>
      <c r="AE1053" s="81" t="b">
        <v>0</v>
      </c>
      <c r="AF1053" s="81">
        <v>0</v>
      </c>
      <c r="AG1053" s="86" t="s">
        <v>2084</v>
      </c>
      <c r="AH1053" s="81" t="b">
        <v>0</v>
      </c>
      <c r="AI1053" s="81" t="s">
        <v>2168</v>
      </c>
      <c r="AJ1053" s="81"/>
      <c r="AK1053" s="86" t="s">
        <v>2084</v>
      </c>
      <c r="AL1053" s="81" t="b">
        <v>0</v>
      </c>
      <c r="AM1053" s="81">
        <v>21</v>
      </c>
      <c r="AN1053" s="86" t="s">
        <v>1847</v>
      </c>
      <c r="AO1053" s="86" t="s">
        <v>2179</v>
      </c>
      <c r="AP1053" s="81" t="b">
        <v>0</v>
      </c>
      <c r="AQ1053" s="86" t="s">
        <v>1847</v>
      </c>
      <c r="AR1053" s="81" t="s">
        <v>179</v>
      </c>
      <c r="AS1053" s="81">
        <v>0</v>
      </c>
      <c r="AT1053" s="81">
        <v>0</v>
      </c>
      <c r="AU1053" s="81"/>
      <c r="AV1053" s="81"/>
      <c r="AW1053" s="81"/>
      <c r="AX1053" s="81"/>
      <c r="AY1053" s="81"/>
      <c r="AZ1053" s="81"/>
      <c r="BA1053" s="81"/>
      <c r="BB1053" s="81"/>
    </row>
    <row r="1054" spans="1:54" x14ac:dyDescent="0.35">
      <c r="A1054" s="66" t="s">
        <v>476</v>
      </c>
      <c r="B1054" s="66" t="s">
        <v>646</v>
      </c>
      <c r="C1054" s="67"/>
      <c r="D1054" s="68"/>
      <c r="E1054" s="69"/>
      <c r="F1054" s="70"/>
      <c r="G1054" s="67"/>
      <c r="H1054" s="71"/>
      <c r="I1054" s="72"/>
      <c r="J1054" s="72"/>
      <c r="K1054" s="36"/>
      <c r="L1054" s="79"/>
      <c r="M1054" s="79"/>
      <c r="N1054" s="74"/>
      <c r="O1054" s="81" t="s">
        <v>694</v>
      </c>
      <c r="P1054" s="83">
        <v>44464.399259259262</v>
      </c>
      <c r="Q1054" s="81" t="s">
        <v>802</v>
      </c>
      <c r="R1054" s="81"/>
      <c r="S1054" s="81"/>
      <c r="T1054" s="86" t="s">
        <v>649</v>
      </c>
      <c r="U1054" s="84" t="str">
        <f>HYPERLINK("https://pbs.twimg.com/media/FAEa_mFUYAcoKUu.jpg")</f>
        <v>https://pbs.twimg.com/media/FAEa_mFUYAcoKUu.jpg</v>
      </c>
      <c r="V1054" s="84" t="str">
        <f>HYPERLINK("https://pbs.twimg.com/media/FAEa_mFUYAcoKUu.jpg")</f>
        <v>https://pbs.twimg.com/media/FAEa_mFUYAcoKUu.jpg</v>
      </c>
      <c r="W1054" s="83">
        <v>44464.399259259262</v>
      </c>
      <c r="X1054" s="89">
        <v>44464</v>
      </c>
      <c r="Y1054" s="86" t="s">
        <v>1329</v>
      </c>
      <c r="Z1054" s="84" t="str">
        <f>HYPERLINK("https://twitter.com/shrfhbgtn/status/1441697721211973640")</f>
        <v>https://twitter.com/shrfhbgtn/status/1441697721211973640</v>
      </c>
      <c r="AA1054" s="81"/>
      <c r="AB1054" s="81"/>
      <c r="AC1054" s="86" t="s">
        <v>1825</v>
      </c>
      <c r="AD1054" s="81"/>
      <c r="AE1054" s="81" t="b">
        <v>0</v>
      </c>
      <c r="AF1054" s="81">
        <v>0</v>
      </c>
      <c r="AG1054" s="86" t="s">
        <v>2084</v>
      </c>
      <c r="AH1054" s="81" t="b">
        <v>0</v>
      </c>
      <c r="AI1054" s="81" t="s">
        <v>2168</v>
      </c>
      <c r="AJ1054" s="81"/>
      <c r="AK1054" s="86" t="s">
        <v>2084</v>
      </c>
      <c r="AL1054" s="81" t="b">
        <v>0</v>
      </c>
      <c r="AM1054" s="81">
        <v>24</v>
      </c>
      <c r="AN1054" s="86" t="s">
        <v>1848</v>
      </c>
      <c r="AO1054" s="86" t="s">
        <v>2179</v>
      </c>
      <c r="AP1054" s="81" t="b">
        <v>0</v>
      </c>
      <c r="AQ1054" s="86" t="s">
        <v>1848</v>
      </c>
      <c r="AR1054" s="81" t="s">
        <v>179</v>
      </c>
      <c r="AS1054" s="81">
        <v>0</v>
      </c>
      <c r="AT1054" s="81">
        <v>0</v>
      </c>
      <c r="AU1054" s="81"/>
      <c r="AV1054" s="81"/>
      <c r="AW1054" s="81"/>
      <c r="AX1054" s="81"/>
      <c r="AY1054" s="81"/>
      <c r="AZ1054" s="81"/>
      <c r="BA1054" s="81"/>
      <c r="BB1054" s="81"/>
    </row>
    <row r="1055" spans="1:54" x14ac:dyDescent="0.35">
      <c r="A1055" s="66" t="s">
        <v>476</v>
      </c>
      <c r="B1055" s="66" t="s">
        <v>647</v>
      </c>
      <c r="C1055" s="67"/>
      <c r="D1055" s="68"/>
      <c r="E1055" s="69"/>
      <c r="F1055" s="70"/>
      <c r="G1055" s="67"/>
      <c r="H1055" s="71"/>
      <c r="I1055" s="72"/>
      <c r="J1055" s="72"/>
      <c r="K1055" s="36"/>
      <c r="L1055" s="79"/>
      <c r="M1055" s="79"/>
      <c r="N1055" s="74"/>
      <c r="O1055" s="81" t="s">
        <v>694</v>
      </c>
      <c r="P1055" s="83">
        <v>44464.399259259262</v>
      </c>
      <c r="Q1055" s="81" t="s">
        <v>802</v>
      </c>
      <c r="R1055" s="81"/>
      <c r="S1055" s="81"/>
      <c r="T1055" s="86" t="s">
        <v>649</v>
      </c>
      <c r="U1055" s="84" t="str">
        <f>HYPERLINK("https://pbs.twimg.com/media/FAEa_mFUYAcoKUu.jpg")</f>
        <v>https://pbs.twimg.com/media/FAEa_mFUYAcoKUu.jpg</v>
      </c>
      <c r="V1055" s="84" t="str">
        <f>HYPERLINK("https://pbs.twimg.com/media/FAEa_mFUYAcoKUu.jpg")</f>
        <v>https://pbs.twimg.com/media/FAEa_mFUYAcoKUu.jpg</v>
      </c>
      <c r="W1055" s="83">
        <v>44464.399259259262</v>
      </c>
      <c r="X1055" s="89">
        <v>44464</v>
      </c>
      <c r="Y1055" s="86" t="s">
        <v>1329</v>
      </c>
      <c r="Z1055" s="84" t="str">
        <f>HYPERLINK("https://twitter.com/shrfhbgtn/status/1441697721211973640")</f>
        <v>https://twitter.com/shrfhbgtn/status/1441697721211973640</v>
      </c>
      <c r="AA1055" s="81"/>
      <c r="AB1055" s="81"/>
      <c r="AC1055" s="86" t="s">
        <v>1825</v>
      </c>
      <c r="AD1055" s="81"/>
      <c r="AE1055" s="81" t="b">
        <v>0</v>
      </c>
      <c r="AF1055" s="81">
        <v>0</v>
      </c>
      <c r="AG1055" s="86" t="s">
        <v>2084</v>
      </c>
      <c r="AH1055" s="81" t="b">
        <v>0</v>
      </c>
      <c r="AI1055" s="81" t="s">
        <v>2168</v>
      </c>
      <c r="AJ1055" s="81"/>
      <c r="AK1055" s="86" t="s">
        <v>2084</v>
      </c>
      <c r="AL1055" s="81" t="b">
        <v>0</v>
      </c>
      <c r="AM1055" s="81">
        <v>24</v>
      </c>
      <c r="AN1055" s="86" t="s">
        <v>1848</v>
      </c>
      <c r="AO1055" s="86" t="s">
        <v>2179</v>
      </c>
      <c r="AP1055" s="81" t="b">
        <v>0</v>
      </c>
      <c r="AQ1055" s="86" t="s">
        <v>1848</v>
      </c>
      <c r="AR1055" s="81" t="s">
        <v>179</v>
      </c>
      <c r="AS1055" s="81">
        <v>0</v>
      </c>
      <c r="AT1055" s="81">
        <v>0</v>
      </c>
      <c r="AU1055" s="81"/>
      <c r="AV1055" s="81"/>
      <c r="AW1055" s="81"/>
      <c r="AX1055" s="81"/>
      <c r="AY1055" s="81"/>
      <c r="AZ1055" s="81"/>
      <c r="BA1055" s="81"/>
      <c r="BB1055" s="81"/>
    </row>
    <row r="1056" spans="1:54" x14ac:dyDescent="0.35">
      <c r="A1056" s="66" t="s">
        <v>476</v>
      </c>
      <c r="B1056" s="66" t="s">
        <v>648</v>
      </c>
      <c r="C1056" s="67"/>
      <c r="D1056" s="68"/>
      <c r="E1056" s="69"/>
      <c r="F1056" s="70"/>
      <c r="G1056" s="67"/>
      <c r="H1056" s="71"/>
      <c r="I1056" s="72"/>
      <c r="J1056" s="72"/>
      <c r="K1056" s="36"/>
      <c r="L1056" s="79"/>
      <c r="M1056" s="79"/>
      <c r="N1056" s="74"/>
      <c r="O1056" s="81" t="s">
        <v>694</v>
      </c>
      <c r="P1056" s="83">
        <v>44464.399259259262</v>
      </c>
      <c r="Q1056" s="81" t="s">
        <v>802</v>
      </c>
      <c r="R1056" s="81"/>
      <c r="S1056" s="81"/>
      <c r="T1056" s="86" t="s">
        <v>649</v>
      </c>
      <c r="U1056" s="84" t="str">
        <f>HYPERLINK("https://pbs.twimg.com/media/FAEa_mFUYAcoKUu.jpg")</f>
        <v>https://pbs.twimg.com/media/FAEa_mFUYAcoKUu.jpg</v>
      </c>
      <c r="V1056" s="84" t="str">
        <f>HYPERLINK("https://pbs.twimg.com/media/FAEa_mFUYAcoKUu.jpg")</f>
        <v>https://pbs.twimg.com/media/FAEa_mFUYAcoKUu.jpg</v>
      </c>
      <c r="W1056" s="83">
        <v>44464.399259259262</v>
      </c>
      <c r="X1056" s="89">
        <v>44464</v>
      </c>
      <c r="Y1056" s="86" t="s">
        <v>1329</v>
      </c>
      <c r="Z1056" s="84" t="str">
        <f>HYPERLINK("https://twitter.com/shrfhbgtn/status/1441697721211973640")</f>
        <v>https://twitter.com/shrfhbgtn/status/1441697721211973640</v>
      </c>
      <c r="AA1056" s="81"/>
      <c r="AB1056" s="81"/>
      <c r="AC1056" s="86" t="s">
        <v>1825</v>
      </c>
      <c r="AD1056" s="81"/>
      <c r="AE1056" s="81" t="b">
        <v>0</v>
      </c>
      <c r="AF1056" s="81">
        <v>0</v>
      </c>
      <c r="AG1056" s="86" t="s">
        <v>2084</v>
      </c>
      <c r="AH1056" s="81" t="b">
        <v>0</v>
      </c>
      <c r="AI1056" s="81" t="s">
        <v>2168</v>
      </c>
      <c r="AJ1056" s="81"/>
      <c r="AK1056" s="86" t="s">
        <v>2084</v>
      </c>
      <c r="AL1056" s="81" t="b">
        <v>0</v>
      </c>
      <c r="AM1056" s="81">
        <v>24</v>
      </c>
      <c r="AN1056" s="86" t="s">
        <v>1848</v>
      </c>
      <c r="AO1056" s="86" t="s">
        <v>2179</v>
      </c>
      <c r="AP1056" s="81" t="b">
        <v>0</v>
      </c>
      <c r="AQ1056" s="86" t="s">
        <v>1848</v>
      </c>
      <c r="AR1056" s="81" t="s">
        <v>179</v>
      </c>
      <c r="AS1056" s="81">
        <v>0</v>
      </c>
      <c r="AT1056" s="81">
        <v>0</v>
      </c>
      <c r="AU1056" s="81"/>
      <c r="AV1056" s="81"/>
      <c r="AW1056" s="81"/>
      <c r="AX1056" s="81"/>
      <c r="AY1056" s="81"/>
      <c r="AZ1056" s="81"/>
      <c r="BA1056" s="81"/>
      <c r="BB1056" s="81"/>
    </row>
    <row r="1057" spans="1:54" x14ac:dyDescent="0.35">
      <c r="A1057" s="66" t="s">
        <v>476</v>
      </c>
      <c r="B1057" s="66" t="s">
        <v>649</v>
      </c>
      <c r="C1057" s="67"/>
      <c r="D1057" s="68"/>
      <c r="E1057" s="69"/>
      <c r="F1057" s="70"/>
      <c r="G1057" s="67"/>
      <c r="H1057" s="71"/>
      <c r="I1057" s="72"/>
      <c r="J1057" s="72"/>
      <c r="K1057" s="36"/>
      <c r="L1057" s="79"/>
      <c r="M1057" s="79"/>
      <c r="N1057" s="74"/>
      <c r="O1057" s="81" t="s">
        <v>694</v>
      </c>
      <c r="P1057" s="83">
        <v>44464.399259259262</v>
      </c>
      <c r="Q1057" s="81" t="s">
        <v>802</v>
      </c>
      <c r="R1057" s="81"/>
      <c r="S1057" s="81"/>
      <c r="T1057" s="86" t="s">
        <v>649</v>
      </c>
      <c r="U1057" s="84" t="str">
        <f>HYPERLINK("https://pbs.twimg.com/media/FAEa_mFUYAcoKUu.jpg")</f>
        <v>https://pbs.twimg.com/media/FAEa_mFUYAcoKUu.jpg</v>
      </c>
      <c r="V1057" s="84" t="str">
        <f>HYPERLINK("https://pbs.twimg.com/media/FAEa_mFUYAcoKUu.jpg")</f>
        <v>https://pbs.twimg.com/media/FAEa_mFUYAcoKUu.jpg</v>
      </c>
      <c r="W1057" s="83">
        <v>44464.399259259262</v>
      </c>
      <c r="X1057" s="89">
        <v>44464</v>
      </c>
      <c r="Y1057" s="86" t="s">
        <v>1329</v>
      </c>
      <c r="Z1057" s="84" t="str">
        <f>HYPERLINK("https://twitter.com/shrfhbgtn/status/1441697721211973640")</f>
        <v>https://twitter.com/shrfhbgtn/status/1441697721211973640</v>
      </c>
      <c r="AA1057" s="81"/>
      <c r="AB1057" s="81"/>
      <c r="AC1057" s="86" t="s">
        <v>1825</v>
      </c>
      <c r="AD1057" s="81"/>
      <c r="AE1057" s="81" t="b">
        <v>0</v>
      </c>
      <c r="AF1057" s="81">
        <v>0</v>
      </c>
      <c r="AG1057" s="86" t="s">
        <v>2084</v>
      </c>
      <c r="AH1057" s="81" t="b">
        <v>0</v>
      </c>
      <c r="AI1057" s="81" t="s">
        <v>2168</v>
      </c>
      <c r="AJ1057" s="81"/>
      <c r="AK1057" s="86" t="s">
        <v>2084</v>
      </c>
      <c r="AL1057" s="81" t="b">
        <v>0</v>
      </c>
      <c r="AM1057" s="81">
        <v>24</v>
      </c>
      <c r="AN1057" s="86" t="s">
        <v>1848</v>
      </c>
      <c r="AO1057" s="86" t="s">
        <v>2179</v>
      </c>
      <c r="AP1057" s="81" t="b">
        <v>0</v>
      </c>
      <c r="AQ1057" s="86" t="s">
        <v>1848</v>
      </c>
      <c r="AR1057" s="81" t="s">
        <v>179</v>
      </c>
      <c r="AS1057" s="81">
        <v>0</v>
      </c>
      <c r="AT1057" s="81">
        <v>0</v>
      </c>
      <c r="AU1057" s="81"/>
      <c r="AV1057" s="81"/>
      <c r="AW1057" s="81"/>
      <c r="AX1057" s="81"/>
      <c r="AY1057" s="81"/>
      <c r="AZ1057" s="81"/>
      <c r="BA1057" s="81"/>
      <c r="BB1057" s="81"/>
    </row>
    <row r="1058" spans="1:54" x14ac:dyDescent="0.35">
      <c r="A1058" s="66" t="s">
        <v>476</v>
      </c>
      <c r="B1058" s="66" t="s">
        <v>496</v>
      </c>
      <c r="C1058" s="67"/>
      <c r="D1058" s="68"/>
      <c r="E1058" s="69"/>
      <c r="F1058" s="70"/>
      <c r="G1058" s="67"/>
      <c r="H1058" s="71"/>
      <c r="I1058" s="72"/>
      <c r="J1058" s="72"/>
      <c r="K1058" s="36"/>
      <c r="L1058" s="79"/>
      <c r="M1058" s="79"/>
      <c r="N1058" s="74"/>
      <c r="O1058" s="81" t="s">
        <v>693</v>
      </c>
      <c r="P1058" s="83">
        <v>44464.399259259262</v>
      </c>
      <c r="Q1058" s="81" t="s">
        <v>802</v>
      </c>
      <c r="R1058" s="81"/>
      <c r="S1058" s="81"/>
      <c r="T1058" s="86" t="s">
        <v>649</v>
      </c>
      <c r="U1058" s="84" t="str">
        <f>HYPERLINK("https://pbs.twimg.com/media/FAEa_mFUYAcoKUu.jpg")</f>
        <v>https://pbs.twimg.com/media/FAEa_mFUYAcoKUu.jpg</v>
      </c>
      <c r="V1058" s="84" t="str">
        <f>HYPERLINK("https://pbs.twimg.com/media/FAEa_mFUYAcoKUu.jpg")</f>
        <v>https://pbs.twimg.com/media/FAEa_mFUYAcoKUu.jpg</v>
      </c>
      <c r="W1058" s="83">
        <v>44464.399259259262</v>
      </c>
      <c r="X1058" s="89">
        <v>44464</v>
      </c>
      <c r="Y1058" s="86" t="s">
        <v>1329</v>
      </c>
      <c r="Z1058" s="84" t="str">
        <f>HYPERLINK("https://twitter.com/shrfhbgtn/status/1441697721211973640")</f>
        <v>https://twitter.com/shrfhbgtn/status/1441697721211973640</v>
      </c>
      <c r="AA1058" s="81"/>
      <c r="AB1058" s="81"/>
      <c r="AC1058" s="86" t="s">
        <v>1825</v>
      </c>
      <c r="AD1058" s="81"/>
      <c r="AE1058" s="81" t="b">
        <v>0</v>
      </c>
      <c r="AF1058" s="81">
        <v>0</v>
      </c>
      <c r="AG1058" s="86" t="s">
        <v>2084</v>
      </c>
      <c r="AH1058" s="81" t="b">
        <v>0</v>
      </c>
      <c r="AI1058" s="81" t="s">
        <v>2168</v>
      </c>
      <c r="AJ1058" s="81"/>
      <c r="AK1058" s="86" t="s">
        <v>2084</v>
      </c>
      <c r="AL1058" s="81" t="b">
        <v>0</v>
      </c>
      <c r="AM1058" s="81">
        <v>24</v>
      </c>
      <c r="AN1058" s="86" t="s">
        <v>1848</v>
      </c>
      <c r="AO1058" s="86" t="s">
        <v>2179</v>
      </c>
      <c r="AP1058" s="81" t="b">
        <v>0</v>
      </c>
      <c r="AQ1058" s="86" t="s">
        <v>1848</v>
      </c>
      <c r="AR1058" s="81" t="s">
        <v>179</v>
      </c>
      <c r="AS1058" s="81">
        <v>0</v>
      </c>
      <c r="AT1058" s="81">
        <v>0</v>
      </c>
      <c r="AU1058" s="81"/>
      <c r="AV1058" s="81"/>
      <c r="AW1058" s="81"/>
      <c r="AX1058" s="81"/>
      <c r="AY1058" s="81"/>
      <c r="AZ1058" s="81"/>
      <c r="BA1058" s="81"/>
      <c r="BB1058" s="81"/>
    </row>
    <row r="1059" spans="1:54" x14ac:dyDescent="0.35">
      <c r="A1059" s="66" t="s">
        <v>4480</v>
      </c>
      <c r="B1059" s="66" t="s">
        <v>4480</v>
      </c>
      <c r="C1059" s="67"/>
      <c r="D1059" s="68"/>
      <c r="E1059" s="69"/>
      <c r="F1059" s="70"/>
      <c r="G1059" s="67"/>
      <c r="H1059" s="71"/>
      <c r="I1059" s="72"/>
      <c r="J1059" s="72"/>
      <c r="K1059" s="36"/>
      <c r="L1059" s="79"/>
      <c r="M1059" s="79"/>
      <c r="N1059" s="74"/>
      <c r="O1059" s="81" t="s">
        <v>179</v>
      </c>
      <c r="P1059" s="83">
        <v>44464.409895833334</v>
      </c>
      <c r="Q1059" s="81" t="s">
        <v>5450</v>
      </c>
      <c r="R1059" s="81"/>
      <c r="S1059" s="81"/>
      <c r="T1059" s="86" t="s">
        <v>5777</v>
      </c>
      <c r="U1059" s="84" t="str">
        <f>HYPERLINK("https://pbs.twimg.com/ext_tw_video_thumb/1441701237066395658/pu/img/O8OLGqALTqZZpU4Z.jpg")</f>
        <v>https://pbs.twimg.com/ext_tw_video_thumb/1441701237066395658/pu/img/O8OLGqALTqZZpU4Z.jpg</v>
      </c>
      <c r="V1059" s="84" t="str">
        <f>HYPERLINK("https://pbs.twimg.com/ext_tw_video_thumb/1441701237066395658/pu/img/O8OLGqALTqZZpU4Z.jpg")</f>
        <v>https://pbs.twimg.com/ext_tw_video_thumb/1441701237066395658/pu/img/O8OLGqALTqZZpU4Z.jpg</v>
      </c>
      <c r="W1059" s="83">
        <v>44464.409895833334</v>
      </c>
      <c r="X1059" s="89">
        <v>44464</v>
      </c>
      <c r="Y1059" s="86" t="s">
        <v>6119</v>
      </c>
      <c r="Z1059" s="84" t="str">
        <f>HYPERLINK("https://twitter.com/timbul_suryanto/status/1441701573009104898")</f>
        <v>https://twitter.com/timbul_suryanto/status/1441701573009104898</v>
      </c>
      <c r="AA1059" s="81"/>
      <c r="AB1059" s="81"/>
      <c r="AC1059" s="86" t="s">
        <v>7025</v>
      </c>
      <c r="AD1059" s="81"/>
      <c r="AE1059" s="81" t="b">
        <v>0</v>
      </c>
      <c r="AF1059" s="81">
        <v>0</v>
      </c>
      <c r="AG1059" s="86" t="s">
        <v>2084</v>
      </c>
      <c r="AH1059" s="81" t="b">
        <v>0</v>
      </c>
      <c r="AI1059" s="81" t="s">
        <v>2167</v>
      </c>
      <c r="AJ1059" s="81"/>
      <c r="AK1059" s="86" t="s">
        <v>2084</v>
      </c>
      <c r="AL1059" s="81" t="b">
        <v>0</v>
      </c>
      <c r="AM1059" s="81">
        <v>0</v>
      </c>
      <c r="AN1059" s="86" t="s">
        <v>2084</v>
      </c>
      <c r="AO1059" s="86" t="s">
        <v>2178</v>
      </c>
      <c r="AP1059" s="81" t="b">
        <v>0</v>
      </c>
      <c r="AQ1059" s="86" t="s">
        <v>7025</v>
      </c>
      <c r="AR1059" s="81" t="s">
        <v>179</v>
      </c>
      <c r="AS1059" s="81">
        <v>0</v>
      </c>
      <c r="AT1059" s="81">
        <v>0</v>
      </c>
      <c r="AU1059" s="81"/>
      <c r="AV1059" s="81"/>
      <c r="AW1059" s="81"/>
      <c r="AX1059" s="81"/>
      <c r="AY1059" s="81"/>
      <c r="AZ1059" s="81"/>
      <c r="BA1059" s="81"/>
      <c r="BB1059" s="81"/>
    </row>
    <row r="1060" spans="1:54" x14ac:dyDescent="0.35">
      <c r="A1060" s="66" t="s">
        <v>4481</v>
      </c>
      <c r="B1060" s="66" t="s">
        <v>4797</v>
      </c>
      <c r="C1060" s="67"/>
      <c r="D1060" s="68"/>
      <c r="E1060" s="69"/>
      <c r="F1060" s="70"/>
      <c r="G1060" s="67"/>
      <c r="H1060" s="71"/>
      <c r="I1060" s="72"/>
      <c r="J1060" s="72"/>
      <c r="K1060" s="36"/>
      <c r="L1060" s="79"/>
      <c r="M1060" s="79"/>
      <c r="N1060" s="74"/>
      <c r="O1060" s="81" t="s">
        <v>693</v>
      </c>
      <c r="P1060" s="83">
        <v>44464.417314814818</v>
      </c>
      <c r="Q1060" s="84" t="str">
        <f>HYPERLINK("https://t.co/t5CziaW0dH")</f>
        <v>https://t.co/t5CziaW0dH</v>
      </c>
      <c r="R106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60" s="81" t="s">
        <v>5686</v>
      </c>
      <c r="T1060" s="81"/>
      <c r="U1060" s="81"/>
      <c r="V1060" s="84" t="str">
        <f>HYPERLINK("https://pbs.twimg.com/profile_images/1364886447631851521/YptQcZOr_normal.jpg")</f>
        <v>https://pbs.twimg.com/profile_images/1364886447631851521/YptQcZOr_normal.jpg</v>
      </c>
      <c r="W1060" s="83">
        <v>44464.417314814818</v>
      </c>
      <c r="X1060" s="89">
        <v>44464</v>
      </c>
      <c r="Y1060" s="86" t="s">
        <v>6120</v>
      </c>
      <c r="Z1060" s="84" t="str">
        <f>HYPERLINK("https://twitter.com/margarethgoes4/status/1441704264506691584")</f>
        <v>https://twitter.com/margarethgoes4/status/1441704264506691584</v>
      </c>
      <c r="AA1060" s="81"/>
      <c r="AB1060" s="81"/>
      <c r="AC1060" s="86" t="s">
        <v>7026</v>
      </c>
      <c r="AD1060" s="81"/>
      <c r="AE1060" s="81" t="b">
        <v>0</v>
      </c>
      <c r="AF1060" s="81">
        <v>0</v>
      </c>
      <c r="AG1060" s="86" t="s">
        <v>2084</v>
      </c>
      <c r="AH1060" s="81" t="b">
        <v>0</v>
      </c>
      <c r="AI1060" s="81" t="s">
        <v>2173</v>
      </c>
      <c r="AJ1060" s="81"/>
      <c r="AK1060" s="86" t="s">
        <v>2084</v>
      </c>
      <c r="AL1060" s="81" t="b">
        <v>0</v>
      </c>
      <c r="AM1060" s="81">
        <v>50</v>
      </c>
      <c r="AN1060" s="86" t="s">
        <v>7395</v>
      </c>
      <c r="AO1060" s="86" t="s">
        <v>2178</v>
      </c>
      <c r="AP1060" s="81" t="b">
        <v>0</v>
      </c>
      <c r="AQ1060" s="86" t="s">
        <v>7395</v>
      </c>
      <c r="AR1060" s="81" t="s">
        <v>179</v>
      </c>
      <c r="AS1060" s="81">
        <v>0</v>
      </c>
      <c r="AT1060" s="81">
        <v>0</v>
      </c>
      <c r="AU1060" s="81"/>
      <c r="AV1060" s="81"/>
      <c r="AW1060" s="81"/>
      <c r="AX1060" s="81"/>
      <c r="AY1060" s="81"/>
      <c r="AZ1060" s="81"/>
      <c r="BA1060" s="81"/>
      <c r="BB1060" s="81"/>
    </row>
    <row r="1061" spans="1:54" x14ac:dyDescent="0.35">
      <c r="A1061" s="66" t="s">
        <v>4482</v>
      </c>
      <c r="B1061" s="66" t="s">
        <v>4482</v>
      </c>
      <c r="C1061" s="67"/>
      <c r="D1061" s="68"/>
      <c r="E1061" s="69"/>
      <c r="F1061" s="70"/>
      <c r="G1061" s="67"/>
      <c r="H1061" s="71"/>
      <c r="I1061" s="72"/>
      <c r="J1061" s="72"/>
      <c r="K1061" s="36"/>
      <c r="L1061" s="79"/>
      <c r="M1061" s="79"/>
      <c r="N1061" s="74"/>
      <c r="O1061" s="81" t="s">
        <v>179</v>
      </c>
      <c r="P1061" s="83">
        <v>44459.910081018519</v>
      </c>
      <c r="Q1061" s="81" t="s">
        <v>5451</v>
      </c>
      <c r="R1061" s="84" t="str">
        <f>HYPERLINK("https://observador.pt/2021/09/20/goncalo-lopes-quer-colocar-cultura-como-fator-de-desenvolvimento-em-leiria-no-pos-pandemia/?utm_source=feedburner&amp;utm_medium=feed&amp;utm_campaign=Feed%3A+obs-ultimas+%28Observador+-+%C3%9Altimas%29")</f>
        <v>https://observador.pt/2021/09/20/goncalo-lopes-quer-colocar-cultura-como-fator-de-desenvolvimento-em-leiria-no-pos-pandemia/?utm_source=feedburner&amp;utm_medium=feed&amp;utm_campaign=Feed%3A+obs-ultimas+%28Observador+-+%C3%9Altimas%29</v>
      </c>
      <c r="S1061" s="81" t="s">
        <v>5714</v>
      </c>
      <c r="T1061" s="81"/>
      <c r="U1061" s="81"/>
      <c r="V1061" s="84" t="str">
        <f>HYPERLINK("https://pbs.twimg.com/profile_images/1238209221365284881/15cDar2Q_normal.jpg")</f>
        <v>https://pbs.twimg.com/profile_images/1238209221365284881/15cDar2Q_normal.jpg</v>
      </c>
      <c r="W1061" s="83">
        <v>44459.910081018519</v>
      </c>
      <c r="X1061" s="89">
        <v>44459</v>
      </c>
      <c r="Y1061" s="86" t="s">
        <v>6121</v>
      </c>
      <c r="Z1061" s="84" t="str">
        <f>HYPERLINK("https://twitter.com/observadorpt/status/1440070896115326979")</f>
        <v>https://twitter.com/observadorpt/status/1440070896115326979</v>
      </c>
      <c r="AA1061" s="81"/>
      <c r="AB1061" s="81"/>
      <c r="AC1061" s="86" t="s">
        <v>7027</v>
      </c>
      <c r="AD1061" s="81"/>
      <c r="AE1061" s="81" t="b">
        <v>0</v>
      </c>
      <c r="AF1061" s="81">
        <v>2</v>
      </c>
      <c r="AG1061" s="86" t="s">
        <v>2084</v>
      </c>
      <c r="AH1061" s="81" t="b">
        <v>0</v>
      </c>
      <c r="AI1061" s="81" t="s">
        <v>2171</v>
      </c>
      <c r="AJ1061" s="81"/>
      <c r="AK1061" s="86" t="s">
        <v>2084</v>
      </c>
      <c r="AL1061" s="81" t="b">
        <v>0</v>
      </c>
      <c r="AM1061" s="81">
        <v>0</v>
      </c>
      <c r="AN1061" s="86" t="s">
        <v>2084</v>
      </c>
      <c r="AO1061" s="86" t="s">
        <v>7976</v>
      </c>
      <c r="AP1061" s="81" t="b">
        <v>0</v>
      </c>
      <c r="AQ1061" s="86" t="s">
        <v>7027</v>
      </c>
      <c r="AR1061" s="81" t="s">
        <v>179</v>
      </c>
      <c r="AS1061" s="81">
        <v>0</v>
      </c>
      <c r="AT1061" s="81">
        <v>0</v>
      </c>
      <c r="AU1061" s="81"/>
      <c r="AV1061" s="81"/>
      <c r="AW1061" s="81"/>
      <c r="AX1061" s="81"/>
      <c r="AY1061" s="81"/>
      <c r="AZ1061" s="81"/>
      <c r="BA1061" s="81"/>
      <c r="BB1061" s="81"/>
    </row>
    <row r="1062" spans="1:54" x14ac:dyDescent="0.35">
      <c r="A1062" s="66" t="s">
        <v>4482</v>
      </c>
      <c r="B1062" s="66" t="s">
        <v>4482</v>
      </c>
      <c r="C1062" s="67"/>
      <c r="D1062" s="68"/>
      <c r="E1062" s="69"/>
      <c r="F1062" s="70"/>
      <c r="G1062" s="67"/>
      <c r="H1062" s="71"/>
      <c r="I1062" s="72"/>
      <c r="J1062" s="72"/>
      <c r="K1062" s="36"/>
      <c r="L1062" s="79"/>
      <c r="M1062" s="79"/>
      <c r="N1062" s="74"/>
      <c r="O1062" s="81" t="s">
        <v>179</v>
      </c>
      <c r="P1062" s="83">
        <v>44461.54546296296</v>
      </c>
      <c r="Q1062" s="81" t="s">
        <v>5452</v>
      </c>
      <c r="R1062" s="84" t="str">
        <f>HYPERLINK("https://observador.pt/2021/09/22/jeronimo-alerta-que-apoios-tem-de-continuar-no-pos-pandemia/?utm_source=feedburner&amp;utm_medium=feed&amp;utm_campaign=Feed%3A+obs-ultimas+%28Observador+-+%C3%9Altimas%29")</f>
        <v>https://observador.pt/2021/09/22/jeronimo-alerta-que-apoios-tem-de-continuar-no-pos-pandemia/?utm_source=feedburner&amp;utm_medium=feed&amp;utm_campaign=Feed%3A+obs-ultimas+%28Observador+-+%C3%9Altimas%29</v>
      </c>
      <c r="S1062" s="81" t="s">
        <v>5714</v>
      </c>
      <c r="T1062" s="81"/>
      <c r="U1062" s="81"/>
      <c r="V1062" s="84" t="str">
        <f>HYPERLINK("https://pbs.twimg.com/profile_images/1238209221365284881/15cDar2Q_normal.jpg")</f>
        <v>https://pbs.twimg.com/profile_images/1238209221365284881/15cDar2Q_normal.jpg</v>
      </c>
      <c r="W1062" s="83">
        <v>44461.54546296296</v>
      </c>
      <c r="X1062" s="89">
        <v>44461</v>
      </c>
      <c r="Y1062" s="86" t="s">
        <v>6122</v>
      </c>
      <c r="Z1062" s="84" t="str">
        <f>HYPERLINK("https://twitter.com/observadorpt/status/1440663537186050048")</f>
        <v>https://twitter.com/observadorpt/status/1440663537186050048</v>
      </c>
      <c r="AA1062" s="81"/>
      <c r="AB1062" s="81"/>
      <c r="AC1062" s="86" t="s">
        <v>7028</v>
      </c>
      <c r="AD1062" s="81"/>
      <c r="AE1062" s="81" t="b">
        <v>0</v>
      </c>
      <c r="AF1062" s="81">
        <v>1</v>
      </c>
      <c r="AG1062" s="86" t="s">
        <v>2084</v>
      </c>
      <c r="AH1062" s="81" t="b">
        <v>0</v>
      </c>
      <c r="AI1062" s="81" t="s">
        <v>2171</v>
      </c>
      <c r="AJ1062" s="81"/>
      <c r="AK1062" s="86" t="s">
        <v>2084</v>
      </c>
      <c r="AL1062" s="81" t="b">
        <v>0</v>
      </c>
      <c r="AM1062" s="81">
        <v>0</v>
      </c>
      <c r="AN1062" s="86" t="s">
        <v>2084</v>
      </c>
      <c r="AO1062" s="86" t="s">
        <v>7976</v>
      </c>
      <c r="AP1062" s="81" t="b">
        <v>0</v>
      </c>
      <c r="AQ1062" s="86" t="s">
        <v>7028</v>
      </c>
      <c r="AR1062" s="81" t="s">
        <v>179</v>
      </c>
      <c r="AS1062" s="81">
        <v>0</v>
      </c>
      <c r="AT1062" s="81">
        <v>0</v>
      </c>
      <c r="AU1062" s="81"/>
      <c r="AV1062" s="81"/>
      <c r="AW1062" s="81"/>
      <c r="AX1062" s="81"/>
      <c r="AY1062" s="81"/>
      <c r="AZ1062" s="81"/>
      <c r="BA1062" s="81"/>
      <c r="BB1062" s="81"/>
    </row>
    <row r="1063" spans="1:54" x14ac:dyDescent="0.35">
      <c r="A1063" s="66" t="s">
        <v>4482</v>
      </c>
      <c r="B1063" s="66" t="s">
        <v>4482</v>
      </c>
      <c r="C1063" s="67"/>
      <c r="D1063" s="68"/>
      <c r="E1063" s="69"/>
      <c r="F1063" s="70"/>
      <c r="G1063" s="67"/>
      <c r="H1063" s="71"/>
      <c r="I1063" s="72"/>
      <c r="J1063" s="72"/>
      <c r="K1063" s="36"/>
      <c r="L1063" s="79"/>
      <c r="M1063" s="79"/>
      <c r="N1063" s="74"/>
      <c r="O1063" s="81" t="s">
        <v>179</v>
      </c>
      <c r="P1063" s="83">
        <v>44461.677673611113</v>
      </c>
      <c r="Q1063" s="81" t="s">
        <v>5453</v>
      </c>
      <c r="R1063" s="84" t="str">
        <f>HYPERLINK("https://observador.pt/2021/09/22/be-diz-que-fecho-da-refinaria-em-matosinhos-pos-a-nu-falta-de-planeamento/?utm_source=feedburner&amp;utm_medium=feed&amp;utm_campaign=Feed%3A+obs-ultimas+%28Observador+-+%C3%9Altimas%29")</f>
        <v>https://observador.pt/2021/09/22/be-diz-que-fecho-da-refinaria-em-matosinhos-pos-a-nu-falta-de-planeamento/?utm_source=feedburner&amp;utm_medium=feed&amp;utm_campaign=Feed%3A+obs-ultimas+%28Observador+-+%C3%9Altimas%29</v>
      </c>
      <c r="S1063" s="81" t="s">
        <v>5714</v>
      </c>
      <c r="T1063" s="81"/>
      <c r="U1063" s="81"/>
      <c r="V1063" s="84" t="str">
        <f>HYPERLINK("https://pbs.twimg.com/profile_images/1238209221365284881/15cDar2Q_normal.jpg")</f>
        <v>https://pbs.twimg.com/profile_images/1238209221365284881/15cDar2Q_normal.jpg</v>
      </c>
      <c r="W1063" s="83">
        <v>44461.677673611113</v>
      </c>
      <c r="X1063" s="89">
        <v>44461</v>
      </c>
      <c r="Y1063" s="86" t="s">
        <v>6123</v>
      </c>
      <c r="Z1063" s="84" t="str">
        <f>HYPERLINK("https://twitter.com/observadorpt/status/1440711451509809157")</f>
        <v>https://twitter.com/observadorpt/status/1440711451509809157</v>
      </c>
      <c r="AA1063" s="81"/>
      <c r="AB1063" s="81"/>
      <c r="AC1063" s="86" t="s">
        <v>7029</v>
      </c>
      <c r="AD1063" s="81"/>
      <c r="AE1063" s="81" t="b">
        <v>0</v>
      </c>
      <c r="AF1063" s="81">
        <v>2</v>
      </c>
      <c r="AG1063" s="86" t="s">
        <v>2084</v>
      </c>
      <c r="AH1063" s="81" t="b">
        <v>0</v>
      </c>
      <c r="AI1063" s="81" t="s">
        <v>2171</v>
      </c>
      <c r="AJ1063" s="81"/>
      <c r="AK1063" s="86" t="s">
        <v>2084</v>
      </c>
      <c r="AL1063" s="81" t="b">
        <v>0</v>
      </c>
      <c r="AM1063" s="81">
        <v>0</v>
      </c>
      <c r="AN1063" s="86" t="s">
        <v>2084</v>
      </c>
      <c r="AO1063" s="86" t="s">
        <v>7976</v>
      </c>
      <c r="AP1063" s="81" t="b">
        <v>0</v>
      </c>
      <c r="AQ1063" s="86" t="s">
        <v>7029</v>
      </c>
      <c r="AR1063" s="81" t="s">
        <v>179</v>
      </c>
      <c r="AS1063" s="81">
        <v>0</v>
      </c>
      <c r="AT1063" s="81">
        <v>0</v>
      </c>
      <c r="AU1063" s="81"/>
      <c r="AV1063" s="81"/>
      <c r="AW1063" s="81"/>
      <c r="AX1063" s="81"/>
      <c r="AY1063" s="81"/>
      <c r="AZ1063" s="81"/>
      <c r="BA1063" s="81"/>
      <c r="BB1063" s="81"/>
    </row>
    <row r="1064" spans="1:54" x14ac:dyDescent="0.35">
      <c r="A1064" s="66" t="s">
        <v>4482</v>
      </c>
      <c r="B1064" s="66" t="s">
        <v>4482</v>
      </c>
      <c r="C1064" s="67"/>
      <c r="D1064" s="68"/>
      <c r="E1064" s="69"/>
      <c r="F1064" s="70"/>
      <c r="G1064" s="67"/>
      <c r="H1064" s="71"/>
      <c r="I1064" s="72"/>
      <c r="J1064" s="72"/>
      <c r="K1064" s="36"/>
      <c r="L1064" s="79"/>
      <c r="M1064" s="79"/>
      <c r="N1064" s="74"/>
      <c r="O1064" s="81" t="s">
        <v>179</v>
      </c>
      <c r="P1064" s="83">
        <v>44462.025520833333</v>
      </c>
      <c r="Q1064" s="81" t="s">
        <v>5454</v>
      </c>
      <c r="R1064" s="84" t="str">
        <f>HYPERLINK("https://observador.pt/especiais/a-noite-em-que-rangel-e-pinto-luz-deram-o-tiro-de-partida-para-o-pos-autarquicas/?utm_source=feedburner&amp;utm_medium=feed&amp;utm_campaign=Feed%3A+obs-ultimas+%28Observador+-+%C3%9Altimas%29")</f>
        <v>https://observador.pt/especiais/a-noite-em-que-rangel-e-pinto-luz-deram-o-tiro-de-partida-para-o-pos-autarquicas/?utm_source=feedburner&amp;utm_medium=feed&amp;utm_campaign=Feed%3A+obs-ultimas+%28Observador+-+%C3%9Altimas%29</v>
      </c>
      <c r="S1064" s="81" t="s">
        <v>5714</v>
      </c>
      <c r="T1064" s="81"/>
      <c r="U1064" s="81"/>
      <c r="V1064" s="84" t="str">
        <f>HYPERLINK("https://pbs.twimg.com/profile_images/1238209221365284881/15cDar2Q_normal.jpg")</f>
        <v>https://pbs.twimg.com/profile_images/1238209221365284881/15cDar2Q_normal.jpg</v>
      </c>
      <c r="W1064" s="83">
        <v>44462.025520833333</v>
      </c>
      <c r="X1064" s="89">
        <v>44462</v>
      </c>
      <c r="Y1064" s="86" t="s">
        <v>6124</v>
      </c>
      <c r="Z1064" s="84" t="str">
        <f>HYPERLINK("https://twitter.com/observadorpt/status/1440837504572166152")</f>
        <v>https://twitter.com/observadorpt/status/1440837504572166152</v>
      </c>
      <c r="AA1064" s="81"/>
      <c r="AB1064" s="81"/>
      <c r="AC1064" s="86" t="s">
        <v>7030</v>
      </c>
      <c r="AD1064" s="81"/>
      <c r="AE1064" s="81" t="b">
        <v>0</v>
      </c>
      <c r="AF1064" s="81">
        <v>1</v>
      </c>
      <c r="AG1064" s="86" t="s">
        <v>2084</v>
      </c>
      <c r="AH1064" s="81" t="b">
        <v>0</v>
      </c>
      <c r="AI1064" s="81" t="s">
        <v>2171</v>
      </c>
      <c r="AJ1064" s="81"/>
      <c r="AK1064" s="86" t="s">
        <v>2084</v>
      </c>
      <c r="AL1064" s="81" t="b">
        <v>0</v>
      </c>
      <c r="AM1064" s="81">
        <v>0</v>
      </c>
      <c r="AN1064" s="86" t="s">
        <v>2084</v>
      </c>
      <c r="AO1064" s="86" t="s">
        <v>7976</v>
      </c>
      <c r="AP1064" s="81" t="b">
        <v>0</v>
      </c>
      <c r="AQ1064" s="86" t="s">
        <v>7030</v>
      </c>
      <c r="AR1064" s="81" t="s">
        <v>179</v>
      </c>
      <c r="AS1064" s="81">
        <v>0</v>
      </c>
      <c r="AT1064" s="81">
        <v>0</v>
      </c>
      <c r="AU1064" s="81"/>
      <c r="AV1064" s="81"/>
      <c r="AW1064" s="81"/>
      <c r="AX1064" s="81"/>
      <c r="AY1064" s="81"/>
      <c r="AZ1064" s="81"/>
      <c r="BA1064" s="81"/>
      <c r="BB1064" s="81"/>
    </row>
    <row r="1065" spans="1:54" x14ac:dyDescent="0.35">
      <c r="A1065" s="66" t="s">
        <v>4482</v>
      </c>
      <c r="B1065" s="66" t="s">
        <v>4482</v>
      </c>
      <c r="C1065" s="67"/>
      <c r="D1065" s="68"/>
      <c r="E1065" s="69"/>
      <c r="F1065" s="70"/>
      <c r="G1065" s="67"/>
      <c r="H1065" s="71"/>
      <c r="I1065" s="72"/>
      <c r="J1065" s="72"/>
      <c r="K1065" s="36"/>
      <c r="L1065" s="79"/>
      <c r="M1065" s="79"/>
      <c r="N1065" s="74"/>
      <c r="O1065" s="81" t="s">
        <v>179</v>
      </c>
      <c r="P1065" s="83">
        <v>44463.639189814814</v>
      </c>
      <c r="Q1065" s="81" t="s">
        <v>5455</v>
      </c>
      <c r="R1065" s="84" t="str">
        <f>HYPERLINK("https://observador.pt/programas/zoom/cenario-pos-eleitoral-na-alemanha-ha-pelo-menos-2/?utm_source=feedburner&amp;utm_medium=feed&amp;utm_campaign=Feed%3A+obs-ultimas+%28Observador+-+%C3%9Altimas%29")</f>
        <v>https://observador.pt/programas/zoom/cenario-pos-eleitoral-na-alemanha-ha-pelo-menos-2/?utm_source=feedburner&amp;utm_medium=feed&amp;utm_campaign=Feed%3A+obs-ultimas+%28Observador+-+%C3%9Altimas%29</v>
      </c>
      <c r="S1065" s="81" t="s">
        <v>5714</v>
      </c>
      <c r="T1065" s="81"/>
      <c r="U1065" s="81"/>
      <c r="V1065" s="84" t="str">
        <f>HYPERLINK("https://pbs.twimg.com/profile_images/1238209221365284881/15cDar2Q_normal.jpg")</f>
        <v>https://pbs.twimg.com/profile_images/1238209221365284881/15cDar2Q_normal.jpg</v>
      </c>
      <c r="W1065" s="83">
        <v>44463.639189814814</v>
      </c>
      <c r="X1065" s="89">
        <v>44463</v>
      </c>
      <c r="Y1065" s="86" t="s">
        <v>6125</v>
      </c>
      <c r="Z1065" s="84" t="str">
        <f>HYPERLINK("https://twitter.com/observadorpt/status/1441422280408461325")</f>
        <v>https://twitter.com/observadorpt/status/1441422280408461325</v>
      </c>
      <c r="AA1065" s="81"/>
      <c r="AB1065" s="81"/>
      <c r="AC1065" s="86" t="s">
        <v>7031</v>
      </c>
      <c r="AD1065" s="81"/>
      <c r="AE1065" s="81" t="b">
        <v>0</v>
      </c>
      <c r="AF1065" s="81">
        <v>1</v>
      </c>
      <c r="AG1065" s="86" t="s">
        <v>2084</v>
      </c>
      <c r="AH1065" s="81" t="b">
        <v>0</v>
      </c>
      <c r="AI1065" s="81" t="s">
        <v>2171</v>
      </c>
      <c r="AJ1065" s="81"/>
      <c r="AK1065" s="86" t="s">
        <v>2084</v>
      </c>
      <c r="AL1065" s="81" t="b">
        <v>0</v>
      </c>
      <c r="AM1065" s="81">
        <v>0</v>
      </c>
      <c r="AN1065" s="86" t="s">
        <v>2084</v>
      </c>
      <c r="AO1065" s="86" t="s">
        <v>7976</v>
      </c>
      <c r="AP1065" s="81" t="b">
        <v>0</v>
      </c>
      <c r="AQ1065" s="86" t="s">
        <v>7031</v>
      </c>
      <c r="AR1065" s="81" t="s">
        <v>179</v>
      </c>
      <c r="AS1065" s="81">
        <v>0</v>
      </c>
      <c r="AT1065" s="81">
        <v>0</v>
      </c>
      <c r="AU1065" s="81"/>
      <c r="AV1065" s="81"/>
      <c r="AW1065" s="81"/>
      <c r="AX1065" s="81"/>
      <c r="AY1065" s="81"/>
      <c r="AZ1065" s="81"/>
      <c r="BA1065" s="81"/>
      <c r="BB1065" s="81"/>
    </row>
    <row r="1066" spans="1:54" x14ac:dyDescent="0.35">
      <c r="A1066" s="66" t="s">
        <v>4482</v>
      </c>
      <c r="B1066" s="66" t="s">
        <v>4482</v>
      </c>
      <c r="C1066" s="67"/>
      <c r="D1066" s="68"/>
      <c r="E1066" s="69"/>
      <c r="F1066" s="70"/>
      <c r="G1066" s="67"/>
      <c r="H1066" s="71"/>
      <c r="I1066" s="72"/>
      <c r="J1066" s="72"/>
      <c r="K1066" s="36"/>
      <c r="L1066" s="79"/>
      <c r="M1066" s="79"/>
      <c r="N1066" s="74"/>
      <c r="O1066" s="81" t="s">
        <v>179</v>
      </c>
      <c r="P1066" s="83">
        <v>44464.431157407409</v>
      </c>
      <c r="Q1066" s="81" t="s">
        <v>5456</v>
      </c>
      <c r="R1066" s="84" t="str">
        <f>HYPERLINK("https://observador.pt/2021/09/25/forum-do-bce-debate-online-o-futuro-pos-pandemia-da-politica-monetaria/?utm_source=feedburner&amp;utm_medium=feed&amp;utm_campaign=Feed%3A+obs-ultimas+%28Observador+-+%C3%9Altimas%29")</f>
        <v>https://observador.pt/2021/09/25/forum-do-bce-debate-online-o-futuro-pos-pandemia-da-politica-monetaria/?utm_source=feedburner&amp;utm_medium=feed&amp;utm_campaign=Feed%3A+obs-ultimas+%28Observador+-+%C3%9Altimas%29</v>
      </c>
      <c r="S1066" s="81" t="s">
        <v>5714</v>
      </c>
      <c r="T1066" s="81"/>
      <c r="U1066" s="81"/>
      <c r="V1066" s="84" t="str">
        <f>HYPERLINK("https://pbs.twimg.com/profile_images/1238209221365284881/15cDar2Q_normal.jpg")</f>
        <v>https://pbs.twimg.com/profile_images/1238209221365284881/15cDar2Q_normal.jpg</v>
      </c>
      <c r="W1066" s="83">
        <v>44464.431157407409</v>
      </c>
      <c r="X1066" s="89">
        <v>44464</v>
      </c>
      <c r="Y1066" s="86" t="s">
        <v>6126</v>
      </c>
      <c r="Z1066" s="84" t="str">
        <f>HYPERLINK("https://twitter.com/observadorpt/status/1441709281166778376")</f>
        <v>https://twitter.com/observadorpt/status/1441709281166778376</v>
      </c>
      <c r="AA1066" s="81"/>
      <c r="AB1066" s="81"/>
      <c r="AC1066" s="86" t="s">
        <v>7032</v>
      </c>
      <c r="AD1066" s="81"/>
      <c r="AE1066" s="81" t="b">
        <v>0</v>
      </c>
      <c r="AF1066" s="81">
        <v>1</v>
      </c>
      <c r="AG1066" s="86" t="s">
        <v>2084</v>
      </c>
      <c r="AH1066" s="81" t="b">
        <v>0</v>
      </c>
      <c r="AI1066" s="81" t="s">
        <v>2171</v>
      </c>
      <c r="AJ1066" s="81"/>
      <c r="AK1066" s="86" t="s">
        <v>2084</v>
      </c>
      <c r="AL1066" s="81" t="b">
        <v>0</v>
      </c>
      <c r="AM1066" s="81">
        <v>0</v>
      </c>
      <c r="AN1066" s="86" t="s">
        <v>2084</v>
      </c>
      <c r="AO1066" s="86" t="s">
        <v>7976</v>
      </c>
      <c r="AP1066" s="81" t="b">
        <v>0</v>
      </c>
      <c r="AQ1066" s="86" t="s">
        <v>7032</v>
      </c>
      <c r="AR1066" s="81" t="s">
        <v>179</v>
      </c>
      <c r="AS1066" s="81">
        <v>0</v>
      </c>
      <c r="AT1066" s="81">
        <v>0</v>
      </c>
      <c r="AU1066" s="81"/>
      <c r="AV1066" s="81"/>
      <c r="AW1066" s="81"/>
      <c r="AX1066" s="81"/>
      <c r="AY1066" s="81"/>
      <c r="AZ1066" s="81"/>
      <c r="BA1066" s="81"/>
      <c r="BB1066" s="81"/>
    </row>
    <row r="1067" spans="1:54" x14ac:dyDescent="0.35">
      <c r="A1067" s="66" t="s">
        <v>4483</v>
      </c>
      <c r="B1067" s="66" t="s">
        <v>4797</v>
      </c>
      <c r="C1067" s="67"/>
      <c r="D1067" s="68"/>
      <c r="E1067" s="69"/>
      <c r="F1067" s="70"/>
      <c r="G1067" s="67"/>
      <c r="H1067" s="71"/>
      <c r="I1067" s="72"/>
      <c r="J1067" s="72"/>
      <c r="K1067" s="36"/>
      <c r="L1067" s="79"/>
      <c r="M1067" s="79"/>
      <c r="N1067" s="74"/>
      <c r="O1067" s="81" t="s">
        <v>693</v>
      </c>
      <c r="P1067" s="83">
        <v>44464.449212962965</v>
      </c>
      <c r="Q1067" s="84" t="str">
        <f>HYPERLINK("https://t.co/t5CziaW0dH")</f>
        <v>https://t.co/t5CziaW0dH</v>
      </c>
      <c r="R106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67" s="81" t="s">
        <v>5686</v>
      </c>
      <c r="T1067" s="81"/>
      <c r="U1067" s="81"/>
      <c r="V1067" s="84" t="str">
        <f>HYPERLINK("https://pbs.twimg.com/profile_images/1406413825814020100/uO8ZhU7o_normal.jpg")</f>
        <v>https://pbs.twimg.com/profile_images/1406413825814020100/uO8ZhU7o_normal.jpg</v>
      </c>
      <c r="W1067" s="83">
        <v>44464.449212962965</v>
      </c>
      <c r="X1067" s="89">
        <v>44464</v>
      </c>
      <c r="Y1067" s="86" t="s">
        <v>6127</v>
      </c>
      <c r="Z1067" s="84" t="str">
        <f>HYPERLINK("https://twitter.com/tuliohe95287973/status/1441715824084103171")</f>
        <v>https://twitter.com/tuliohe95287973/status/1441715824084103171</v>
      </c>
      <c r="AA1067" s="81"/>
      <c r="AB1067" s="81"/>
      <c r="AC1067" s="86" t="s">
        <v>7033</v>
      </c>
      <c r="AD1067" s="81"/>
      <c r="AE1067" s="81" t="b">
        <v>0</v>
      </c>
      <c r="AF1067" s="81">
        <v>0</v>
      </c>
      <c r="AG1067" s="86" t="s">
        <v>2084</v>
      </c>
      <c r="AH1067" s="81" t="b">
        <v>0</v>
      </c>
      <c r="AI1067" s="81" t="s">
        <v>2173</v>
      </c>
      <c r="AJ1067" s="81"/>
      <c r="AK1067" s="86" t="s">
        <v>2084</v>
      </c>
      <c r="AL1067" s="81" t="b">
        <v>0</v>
      </c>
      <c r="AM1067" s="81">
        <v>50</v>
      </c>
      <c r="AN1067" s="86" t="s">
        <v>7395</v>
      </c>
      <c r="AO1067" s="86" t="s">
        <v>2178</v>
      </c>
      <c r="AP1067" s="81" t="b">
        <v>0</v>
      </c>
      <c r="AQ1067" s="86" t="s">
        <v>7395</v>
      </c>
      <c r="AR1067" s="81" t="s">
        <v>179</v>
      </c>
      <c r="AS1067" s="81">
        <v>0</v>
      </c>
      <c r="AT1067" s="81">
        <v>0</v>
      </c>
      <c r="AU1067" s="81"/>
      <c r="AV1067" s="81"/>
      <c r="AW1067" s="81"/>
      <c r="AX1067" s="81"/>
      <c r="AY1067" s="81"/>
      <c r="AZ1067" s="81"/>
      <c r="BA1067" s="81"/>
      <c r="BB1067" s="81"/>
    </row>
    <row r="1068" spans="1:54" x14ac:dyDescent="0.35">
      <c r="A1068" s="66" t="s">
        <v>4484</v>
      </c>
      <c r="B1068" s="66" t="s">
        <v>4484</v>
      </c>
      <c r="C1068" s="67"/>
      <c r="D1068" s="68"/>
      <c r="E1068" s="69"/>
      <c r="F1068" s="70"/>
      <c r="G1068" s="67"/>
      <c r="H1068" s="71"/>
      <c r="I1068" s="72"/>
      <c r="J1068" s="72"/>
      <c r="K1068" s="36"/>
      <c r="L1068" s="79"/>
      <c r="M1068" s="79"/>
      <c r="N1068" s="74"/>
      <c r="O1068" s="81" t="s">
        <v>179</v>
      </c>
      <c r="P1068" s="83">
        <v>44464.451793981483</v>
      </c>
      <c r="Q1068" s="81" t="s">
        <v>5457</v>
      </c>
      <c r="R1068" s="84" t="str">
        <f>HYPERLINK("https://www.dinheirovivo.pt/economia/forum-do-bce-debate-online-o-futuro-pos-pandemia-da-politica-monetaria-14158461.html?utm_source=dlvr.it&amp;utm_medium=twitter")</f>
        <v>https://www.dinheirovivo.pt/economia/forum-do-bce-debate-online-o-futuro-pos-pandemia-da-politica-monetaria-14158461.html?utm_source=dlvr.it&amp;utm_medium=twitter</v>
      </c>
      <c r="S1068" s="81" t="s">
        <v>5730</v>
      </c>
      <c r="T1068" s="81"/>
      <c r="U1068" s="84" t="str">
        <f>HYPERLINK("https://pbs.twimg.com/media/FAIBwAyVIAon63s.jpg")</f>
        <v>https://pbs.twimg.com/media/FAIBwAyVIAon63s.jpg</v>
      </c>
      <c r="V1068" s="84" t="str">
        <f>HYPERLINK("https://pbs.twimg.com/media/FAIBwAyVIAon63s.jpg")</f>
        <v>https://pbs.twimg.com/media/FAIBwAyVIAon63s.jpg</v>
      </c>
      <c r="W1068" s="83">
        <v>44464.451793981483</v>
      </c>
      <c r="X1068" s="89">
        <v>44464</v>
      </c>
      <c r="Y1068" s="86" t="s">
        <v>6128</v>
      </c>
      <c r="Z1068" s="84" t="str">
        <f>HYPERLINK("https://twitter.com/gepesmi/status/1441716757182382080")</f>
        <v>https://twitter.com/gepesmi/status/1441716757182382080</v>
      </c>
      <c r="AA1068" s="81"/>
      <c r="AB1068" s="81"/>
      <c r="AC1068" s="86" t="s">
        <v>7034</v>
      </c>
      <c r="AD1068" s="81"/>
      <c r="AE1068" s="81" t="b">
        <v>0</v>
      </c>
      <c r="AF1068" s="81">
        <v>0</v>
      </c>
      <c r="AG1068" s="86" t="s">
        <v>2084</v>
      </c>
      <c r="AH1068" s="81" t="b">
        <v>0</v>
      </c>
      <c r="AI1068" s="81" t="s">
        <v>2171</v>
      </c>
      <c r="AJ1068" s="81"/>
      <c r="AK1068" s="86" t="s">
        <v>2084</v>
      </c>
      <c r="AL1068" s="81" t="b">
        <v>0</v>
      </c>
      <c r="AM1068" s="81">
        <v>0</v>
      </c>
      <c r="AN1068" s="86" t="s">
        <v>2084</v>
      </c>
      <c r="AO1068" s="86" t="s">
        <v>2188</v>
      </c>
      <c r="AP1068" s="81" t="b">
        <v>0</v>
      </c>
      <c r="AQ1068" s="86" t="s">
        <v>7034</v>
      </c>
      <c r="AR1068" s="81" t="s">
        <v>179</v>
      </c>
      <c r="AS1068" s="81">
        <v>0</v>
      </c>
      <c r="AT1068" s="81">
        <v>0</v>
      </c>
      <c r="AU1068" s="81"/>
      <c r="AV1068" s="81"/>
      <c r="AW1068" s="81"/>
      <c r="AX1068" s="81"/>
      <c r="AY1068" s="81"/>
      <c r="AZ1068" s="81"/>
      <c r="BA1068" s="81"/>
      <c r="BB1068" s="81"/>
    </row>
    <row r="1069" spans="1:54" x14ac:dyDescent="0.35">
      <c r="A1069" s="66" t="s">
        <v>4485</v>
      </c>
      <c r="B1069" s="66" t="s">
        <v>4797</v>
      </c>
      <c r="C1069" s="67"/>
      <c r="D1069" s="68"/>
      <c r="E1069" s="69"/>
      <c r="F1069" s="70"/>
      <c r="G1069" s="67"/>
      <c r="H1069" s="71"/>
      <c r="I1069" s="72"/>
      <c r="J1069" s="72"/>
      <c r="K1069" s="36"/>
      <c r="L1069" s="79"/>
      <c r="M1069" s="79"/>
      <c r="N1069" s="74"/>
      <c r="O1069" s="81" t="s">
        <v>693</v>
      </c>
      <c r="P1069" s="83">
        <v>44464.456250000003</v>
      </c>
      <c r="Q1069" s="84" t="str">
        <f>HYPERLINK("https://t.co/t5CziaW0dH")</f>
        <v>https://t.co/t5CziaW0dH</v>
      </c>
      <c r="R106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69" s="81" t="s">
        <v>5686</v>
      </c>
      <c r="T1069" s="81"/>
      <c r="U1069" s="81"/>
      <c r="V1069" s="84" t="str">
        <f>HYPERLINK("https://pbs.twimg.com/profile_images/1441432691333902337/6WWx4P8m_normal.jpg")</f>
        <v>https://pbs.twimg.com/profile_images/1441432691333902337/6WWx4P8m_normal.jpg</v>
      </c>
      <c r="W1069" s="83">
        <v>44464.456250000003</v>
      </c>
      <c r="X1069" s="89">
        <v>44464</v>
      </c>
      <c r="Y1069" s="86" t="s">
        <v>6129</v>
      </c>
      <c r="Z1069" s="84" t="str">
        <f>HYPERLINK("https://twitter.com/alexsonaro17/status/1441718372568379392")</f>
        <v>https://twitter.com/alexsonaro17/status/1441718372568379392</v>
      </c>
      <c r="AA1069" s="81"/>
      <c r="AB1069" s="81"/>
      <c r="AC1069" s="86" t="s">
        <v>7035</v>
      </c>
      <c r="AD1069" s="81"/>
      <c r="AE1069" s="81" t="b">
        <v>0</v>
      </c>
      <c r="AF1069" s="81">
        <v>0</v>
      </c>
      <c r="AG1069" s="86" t="s">
        <v>2084</v>
      </c>
      <c r="AH1069" s="81" t="b">
        <v>0</v>
      </c>
      <c r="AI1069" s="81" t="s">
        <v>2173</v>
      </c>
      <c r="AJ1069" s="81"/>
      <c r="AK1069" s="86" t="s">
        <v>2084</v>
      </c>
      <c r="AL1069" s="81" t="b">
        <v>0</v>
      </c>
      <c r="AM1069" s="81">
        <v>50</v>
      </c>
      <c r="AN1069" s="86" t="s">
        <v>7395</v>
      </c>
      <c r="AO1069" s="86" t="s">
        <v>2178</v>
      </c>
      <c r="AP1069" s="81" t="b">
        <v>0</v>
      </c>
      <c r="AQ1069" s="86" t="s">
        <v>7395</v>
      </c>
      <c r="AR1069" s="81" t="s">
        <v>179</v>
      </c>
      <c r="AS1069" s="81">
        <v>0</v>
      </c>
      <c r="AT1069" s="81">
        <v>0</v>
      </c>
      <c r="AU1069" s="81"/>
      <c r="AV1069" s="81"/>
      <c r="AW1069" s="81"/>
      <c r="AX1069" s="81"/>
      <c r="AY1069" s="81"/>
      <c r="AZ1069" s="81"/>
      <c r="BA1069" s="81"/>
      <c r="BB1069" s="81"/>
    </row>
    <row r="1070" spans="1:54" x14ac:dyDescent="0.35">
      <c r="A1070" s="66" t="s">
        <v>4486</v>
      </c>
      <c r="B1070" s="66" t="s">
        <v>4486</v>
      </c>
      <c r="C1070" s="67"/>
      <c r="D1070" s="68"/>
      <c r="E1070" s="69"/>
      <c r="F1070" s="70"/>
      <c r="G1070" s="67"/>
      <c r="H1070" s="71"/>
      <c r="I1070" s="72"/>
      <c r="J1070" s="72"/>
      <c r="K1070" s="36"/>
      <c r="L1070" s="79"/>
      <c r="M1070" s="79"/>
      <c r="N1070" s="74"/>
      <c r="O1070" s="81" t="s">
        <v>179</v>
      </c>
      <c r="P1070" s="83">
        <v>44462.377939814818</v>
      </c>
      <c r="Q1070" s="81" t="s">
        <v>5458</v>
      </c>
      <c r="R1070" s="84" t="str">
        <f>HYPERLINK("https://mag.sapo.pt/cinema/atualidade-cinema/artigos/popcorner-o-regresso-de-matrix-o-mundo-pos-apocaliptico-de-y-o-ultimo-homem-e-novidades-da-comic-con-portugal?utm_source=twitter_sapo&amp;utm_medium=social&amp;utm_campaign=social_sapo")</f>
        <v>https://mag.sapo.pt/cinema/atualidade-cinema/artigos/popcorner-o-regresso-de-matrix-o-mundo-pos-apocaliptico-de-y-o-ultimo-homem-e-novidades-da-comic-con-portugal?utm_source=twitter_sapo&amp;utm_medium=social&amp;utm_campaign=social_sapo</v>
      </c>
      <c r="S1070" s="81" t="s">
        <v>5689</v>
      </c>
      <c r="T1070" s="81"/>
      <c r="U1070" s="84" t="str">
        <f>HYPERLINK("https://pbs.twimg.com/media/E_9WOstWQAAAsSB.jpg")</f>
        <v>https://pbs.twimg.com/media/E_9WOstWQAAAsSB.jpg</v>
      </c>
      <c r="V1070" s="84" t="str">
        <f>HYPERLINK("https://pbs.twimg.com/media/E_9WOstWQAAAsSB.jpg")</f>
        <v>https://pbs.twimg.com/media/E_9WOstWQAAAsSB.jpg</v>
      </c>
      <c r="W1070" s="83">
        <v>44462.377939814818</v>
      </c>
      <c r="X1070" s="89">
        <v>44462</v>
      </c>
      <c r="Y1070" s="86" t="s">
        <v>6130</v>
      </c>
      <c r="Z1070" s="84" t="str">
        <f>HYPERLINK("https://twitter.com/sapo/status/1440965218851606529")</f>
        <v>https://twitter.com/sapo/status/1440965218851606529</v>
      </c>
      <c r="AA1070" s="81"/>
      <c r="AB1070" s="81"/>
      <c r="AC1070" s="86" t="s">
        <v>7036</v>
      </c>
      <c r="AD1070" s="81"/>
      <c r="AE1070" s="81" t="b">
        <v>0</v>
      </c>
      <c r="AF1070" s="81">
        <v>0</v>
      </c>
      <c r="AG1070" s="86" t="s">
        <v>2084</v>
      </c>
      <c r="AH1070" s="81" t="b">
        <v>0</v>
      </c>
      <c r="AI1070" s="81" t="s">
        <v>2172</v>
      </c>
      <c r="AJ1070" s="81"/>
      <c r="AK1070" s="86" t="s">
        <v>2084</v>
      </c>
      <c r="AL1070" s="81" t="b">
        <v>0</v>
      </c>
      <c r="AM1070" s="81">
        <v>0</v>
      </c>
      <c r="AN1070" s="86" t="s">
        <v>2084</v>
      </c>
      <c r="AO1070" s="86" t="s">
        <v>7976</v>
      </c>
      <c r="AP1070" s="81" t="b">
        <v>0</v>
      </c>
      <c r="AQ1070" s="86" t="s">
        <v>7036</v>
      </c>
      <c r="AR1070" s="81" t="s">
        <v>179</v>
      </c>
      <c r="AS1070" s="81">
        <v>0</v>
      </c>
      <c r="AT1070" s="81">
        <v>0</v>
      </c>
      <c r="AU1070" s="81"/>
      <c r="AV1070" s="81"/>
      <c r="AW1070" s="81"/>
      <c r="AX1070" s="81"/>
      <c r="AY1070" s="81"/>
      <c r="AZ1070" s="81"/>
      <c r="BA1070" s="81"/>
      <c r="BB1070" s="81"/>
    </row>
    <row r="1071" spans="1:54" x14ac:dyDescent="0.35">
      <c r="A1071" s="66" t="s">
        <v>4486</v>
      </c>
      <c r="B1071" s="66" t="s">
        <v>4486</v>
      </c>
      <c r="C1071" s="67"/>
      <c r="D1071" s="68"/>
      <c r="E1071" s="69"/>
      <c r="F1071" s="70"/>
      <c r="G1071" s="67"/>
      <c r="H1071" s="71"/>
      <c r="I1071" s="72"/>
      <c r="J1071" s="72"/>
      <c r="K1071" s="36"/>
      <c r="L1071" s="79"/>
      <c r="M1071" s="79"/>
      <c r="N1071" s="74"/>
      <c r="O1071" s="81" t="s">
        <v>179</v>
      </c>
      <c r="P1071" s="83">
        <v>44464.457986111112</v>
      </c>
      <c r="Q1071" s="81" t="s">
        <v>5459</v>
      </c>
      <c r="R1071" s="84" t="str">
        <f>HYPERLINK("https://mag.sapo.pt/cinema/atualidade-cinema/artigos/popcorner-o-regresso-de-matrix-o-mundo-pos-apocaliptico-de-y-o-ultimo-homem-e-novidades-da-comic-con-portugal?utm_source=twitter_sapo&amp;utm_medium=social&amp;utm_campaign=social_sapo")</f>
        <v>https://mag.sapo.pt/cinema/atualidade-cinema/artigos/popcorner-o-regresso-de-matrix-o-mundo-pos-apocaliptico-de-y-o-ultimo-homem-e-novidades-da-comic-con-portugal?utm_source=twitter_sapo&amp;utm_medium=social&amp;utm_campaign=social_sapo</v>
      </c>
      <c r="S1071" s="81" t="s">
        <v>5689</v>
      </c>
      <c r="T1071" s="81"/>
      <c r="U1071" s="84" t="str">
        <f>HYPERLINK("https://pbs.twimg.com/media/FAIDyt7XMAQfQsY.jpg")</f>
        <v>https://pbs.twimg.com/media/FAIDyt7XMAQfQsY.jpg</v>
      </c>
      <c r="V1071" s="84" t="str">
        <f>HYPERLINK("https://pbs.twimg.com/media/FAIDyt7XMAQfQsY.jpg")</f>
        <v>https://pbs.twimg.com/media/FAIDyt7XMAQfQsY.jpg</v>
      </c>
      <c r="W1071" s="83">
        <v>44464.457986111112</v>
      </c>
      <c r="X1071" s="89">
        <v>44464</v>
      </c>
      <c r="Y1071" s="86" t="s">
        <v>6131</v>
      </c>
      <c r="Z1071" s="84" t="str">
        <f>HYPERLINK("https://twitter.com/sapo/status/1441719003286622216")</f>
        <v>https://twitter.com/sapo/status/1441719003286622216</v>
      </c>
      <c r="AA1071" s="81"/>
      <c r="AB1071" s="81"/>
      <c r="AC1071" s="86" t="s">
        <v>7037</v>
      </c>
      <c r="AD1071" s="81"/>
      <c r="AE1071" s="81" t="b">
        <v>0</v>
      </c>
      <c r="AF1071" s="81">
        <v>1</v>
      </c>
      <c r="AG1071" s="86" t="s">
        <v>2084</v>
      </c>
      <c r="AH1071" s="81" t="b">
        <v>0</v>
      </c>
      <c r="AI1071" s="81" t="s">
        <v>2171</v>
      </c>
      <c r="AJ1071" s="81"/>
      <c r="AK1071" s="86" t="s">
        <v>2084</v>
      </c>
      <c r="AL1071" s="81" t="b">
        <v>0</v>
      </c>
      <c r="AM1071" s="81">
        <v>0</v>
      </c>
      <c r="AN1071" s="86" t="s">
        <v>2084</v>
      </c>
      <c r="AO1071" s="86" t="s">
        <v>7976</v>
      </c>
      <c r="AP1071" s="81" t="b">
        <v>0</v>
      </c>
      <c r="AQ1071" s="86" t="s">
        <v>7037</v>
      </c>
      <c r="AR1071" s="81" t="s">
        <v>179</v>
      </c>
      <c r="AS1071" s="81">
        <v>0</v>
      </c>
      <c r="AT1071" s="81">
        <v>0</v>
      </c>
      <c r="AU1071" s="81"/>
      <c r="AV1071" s="81"/>
      <c r="AW1071" s="81"/>
      <c r="AX1071" s="81"/>
      <c r="AY1071" s="81"/>
      <c r="AZ1071" s="81"/>
      <c r="BA1071" s="81"/>
      <c r="BB1071" s="81"/>
    </row>
    <row r="1072" spans="1:54" x14ac:dyDescent="0.35">
      <c r="A1072" s="66" t="s">
        <v>477</v>
      </c>
      <c r="B1072" s="66" t="s">
        <v>660</v>
      </c>
      <c r="C1072" s="67"/>
      <c r="D1072" s="68"/>
      <c r="E1072" s="69"/>
      <c r="F1072" s="70"/>
      <c r="G1072" s="67"/>
      <c r="H1072" s="71"/>
      <c r="I1072" s="72"/>
      <c r="J1072" s="72"/>
      <c r="K1072" s="36"/>
      <c r="L1072" s="79"/>
      <c r="M1072" s="79"/>
      <c r="N1072" s="74"/>
      <c r="O1072" s="81" t="s">
        <v>696</v>
      </c>
      <c r="P1072" s="83">
        <v>44464.468032407407</v>
      </c>
      <c r="Q1072" s="81" t="s">
        <v>814</v>
      </c>
      <c r="R1072" s="81"/>
      <c r="S1072" s="81"/>
      <c r="T1072" s="81"/>
      <c r="U1072" s="81"/>
      <c r="V1072" s="84" t="str">
        <f>HYPERLINK("https://pbs.twimg.com/profile_images/1081064343578394624/XDncZ7yI_normal.jpg")</f>
        <v>https://pbs.twimg.com/profile_images/1081064343578394624/XDncZ7yI_normal.jpg</v>
      </c>
      <c r="W1072" s="83">
        <v>44464.468032407407</v>
      </c>
      <c r="X1072" s="89">
        <v>44464</v>
      </c>
      <c r="Y1072" s="86" t="s">
        <v>1330</v>
      </c>
      <c r="Z1072" s="84" t="str">
        <f>HYPERLINK("https://twitter.com/faeezah01774194/status/1441722640486391813")</f>
        <v>https://twitter.com/faeezah01774194/status/1441722640486391813</v>
      </c>
      <c r="AA1072" s="81"/>
      <c r="AB1072" s="81"/>
      <c r="AC1072" s="86" t="s">
        <v>1826</v>
      </c>
      <c r="AD1072" s="86" t="s">
        <v>2042</v>
      </c>
      <c r="AE1072" s="81" t="b">
        <v>0</v>
      </c>
      <c r="AF1072" s="81">
        <v>0</v>
      </c>
      <c r="AG1072" s="86" t="s">
        <v>2127</v>
      </c>
      <c r="AH1072" s="81" t="b">
        <v>0</v>
      </c>
      <c r="AI1072" s="81" t="s">
        <v>2167</v>
      </c>
      <c r="AJ1072" s="81"/>
      <c r="AK1072" s="86" t="s">
        <v>2084</v>
      </c>
      <c r="AL1072" s="81" t="b">
        <v>0</v>
      </c>
      <c r="AM1072" s="81">
        <v>0</v>
      </c>
      <c r="AN1072" s="86" t="s">
        <v>2084</v>
      </c>
      <c r="AO1072" s="86" t="s">
        <v>2178</v>
      </c>
      <c r="AP1072" s="81" t="b">
        <v>0</v>
      </c>
      <c r="AQ1072" s="86" t="s">
        <v>2042</v>
      </c>
      <c r="AR1072" s="81" t="s">
        <v>179</v>
      </c>
      <c r="AS1072" s="81">
        <v>0</v>
      </c>
      <c r="AT1072" s="81">
        <v>0</v>
      </c>
      <c r="AU1072" s="81"/>
      <c r="AV1072" s="81"/>
      <c r="AW1072" s="81"/>
      <c r="AX1072" s="81"/>
      <c r="AY1072" s="81"/>
      <c r="AZ1072" s="81"/>
      <c r="BA1072" s="81"/>
      <c r="BB1072" s="81"/>
    </row>
    <row r="1073" spans="1:54" x14ac:dyDescent="0.35">
      <c r="A1073" s="66" t="s">
        <v>477</v>
      </c>
      <c r="B1073" s="66" t="s">
        <v>661</v>
      </c>
      <c r="C1073" s="67"/>
      <c r="D1073" s="68"/>
      <c r="E1073" s="69"/>
      <c r="F1073" s="70"/>
      <c r="G1073" s="67"/>
      <c r="H1073" s="71"/>
      <c r="I1073" s="72"/>
      <c r="J1073" s="72"/>
      <c r="K1073" s="36"/>
      <c r="L1073" s="79"/>
      <c r="M1073" s="79"/>
      <c r="N1073" s="74"/>
      <c r="O1073" s="81" t="s">
        <v>695</v>
      </c>
      <c r="P1073" s="83">
        <v>44464.468032407407</v>
      </c>
      <c r="Q1073" s="81" t="s">
        <v>814</v>
      </c>
      <c r="R1073" s="81"/>
      <c r="S1073" s="81"/>
      <c r="T1073" s="81"/>
      <c r="U1073" s="81"/>
      <c r="V1073" s="84" t="str">
        <f>HYPERLINK("https://pbs.twimg.com/profile_images/1081064343578394624/XDncZ7yI_normal.jpg")</f>
        <v>https://pbs.twimg.com/profile_images/1081064343578394624/XDncZ7yI_normal.jpg</v>
      </c>
      <c r="W1073" s="83">
        <v>44464.468032407407</v>
      </c>
      <c r="X1073" s="89">
        <v>44464</v>
      </c>
      <c r="Y1073" s="86" t="s">
        <v>1330</v>
      </c>
      <c r="Z1073" s="84" t="str">
        <f>HYPERLINK("https://twitter.com/faeezah01774194/status/1441722640486391813")</f>
        <v>https://twitter.com/faeezah01774194/status/1441722640486391813</v>
      </c>
      <c r="AA1073" s="81"/>
      <c r="AB1073" s="81"/>
      <c r="AC1073" s="86" t="s">
        <v>1826</v>
      </c>
      <c r="AD1073" s="86" t="s">
        <v>2042</v>
      </c>
      <c r="AE1073" s="81" t="b">
        <v>0</v>
      </c>
      <c r="AF1073" s="81">
        <v>0</v>
      </c>
      <c r="AG1073" s="86" t="s">
        <v>2127</v>
      </c>
      <c r="AH1073" s="81" t="b">
        <v>0</v>
      </c>
      <c r="AI1073" s="81" t="s">
        <v>2167</v>
      </c>
      <c r="AJ1073" s="81"/>
      <c r="AK1073" s="86" t="s">
        <v>2084</v>
      </c>
      <c r="AL1073" s="81" t="b">
        <v>0</v>
      </c>
      <c r="AM1073" s="81">
        <v>0</v>
      </c>
      <c r="AN1073" s="86" t="s">
        <v>2084</v>
      </c>
      <c r="AO1073" s="86" t="s">
        <v>2178</v>
      </c>
      <c r="AP1073" s="81" t="b">
        <v>0</v>
      </c>
      <c r="AQ1073" s="86" t="s">
        <v>2042</v>
      </c>
      <c r="AR1073" s="81" t="s">
        <v>179</v>
      </c>
      <c r="AS1073" s="81">
        <v>0</v>
      </c>
      <c r="AT1073" s="81">
        <v>0</v>
      </c>
      <c r="AU1073" s="81"/>
      <c r="AV1073" s="81"/>
      <c r="AW1073" s="81"/>
      <c r="AX1073" s="81"/>
      <c r="AY1073" s="81"/>
      <c r="AZ1073" s="81"/>
      <c r="BA1073" s="81"/>
      <c r="BB1073" s="81"/>
    </row>
    <row r="1074" spans="1:54" x14ac:dyDescent="0.35">
      <c r="A1074" s="66" t="s">
        <v>4487</v>
      </c>
      <c r="B1074" s="66" t="s">
        <v>4487</v>
      </c>
      <c r="C1074" s="67"/>
      <c r="D1074" s="68"/>
      <c r="E1074" s="69"/>
      <c r="F1074" s="70"/>
      <c r="G1074" s="67"/>
      <c r="H1074" s="71"/>
      <c r="I1074" s="72"/>
      <c r="J1074" s="72"/>
      <c r="K1074" s="36"/>
      <c r="L1074" s="79"/>
      <c r="M1074" s="79"/>
      <c r="N1074" s="74"/>
      <c r="O1074" s="81" t="s">
        <v>179</v>
      </c>
      <c r="P1074" s="83">
        <v>44464.468194444446</v>
      </c>
      <c r="Q1074" s="81" t="s">
        <v>5460</v>
      </c>
      <c r="R1074" s="84" t="str">
        <f>HYPERLINK("https://www.dinheirovivo.pt/economia/forum-do-bce-debate-online-o-futuro-pos-pandemia-da-politica-monetaria-14158461.html?utm_source=dlvr.it&amp;utm_medium=twitter")</f>
        <v>https://www.dinheirovivo.pt/economia/forum-do-bce-debate-online-o-futuro-pos-pandemia-da-politica-monetaria-14158461.html?utm_source=dlvr.it&amp;utm_medium=twitter</v>
      </c>
      <c r="S1074" s="81" t="s">
        <v>5730</v>
      </c>
      <c r="T1074" s="81"/>
      <c r="U1074" s="84" t="str">
        <f>HYPERLINK("https://pbs.twimg.com/media/FAIHKHxVkAQRYAr.jpg")</f>
        <v>https://pbs.twimg.com/media/FAIHKHxVkAQRYAr.jpg</v>
      </c>
      <c r="V1074" s="84" t="str">
        <f>HYPERLINK("https://pbs.twimg.com/media/FAIHKHxVkAQRYAr.jpg")</f>
        <v>https://pbs.twimg.com/media/FAIHKHxVkAQRYAr.jpg</v>
      </c>
      <c r="W1074" s="83">
        <v>44464.468194444446</v>
      </c>
      <c r="X1074" s="89">
        <v>44464</v>
      </c>
      <c r="Y1074" s="86" t="s">
        <v>6132</v>
      </c>
      <c r="Z1074" s="84" t="str">
        <f>HYPERLINK("https://twitter.com/obilonbeta/status/1441722702654414857")</f>
        <v>https://twitter.com/obilonbeta/status/1441722702654414857</v>
      </c>
      <c r="AA1074" s="81"/>
      <c r="AB1074" s="81"/>
      <c r="AC1074" s="86" t="s">
        <v>7038</v>
      </c>
      <c r="AD1074" s="81"/>
      <c r="AE1074" s="81" t="b">
        <v>0</v>
      </c>
      <c r="AF1074" s="81">
        <v>0</v>
      </c>
      <c r="AG1074" s="86" t="s">
        <v>2084</v>
      </c>
      <c r="AH1074" s="81" t="b">
        <v>0</v>
      </c>
      <c r="AI1074" s="81" t="s">
        <v>2171</v>
      </c>
      <c r="AJ1074" s="81"/>
      <c r="AK1074" s="86" t="s">
        <v>2084</v>
      </c>
      <c r="AL1074" s="81" t="b">
        <v>0</v>
      </c>
      <c r="AM1074" s="81">
        <v>0</v>
      </c>
      <c r="AN1074" s="86" t="s">
        <v>2084</v>
      </c>
      <c r="AO1074" s="86" t="s">
        <v>2188</v>
      </c>
      <c r="AP1074" s="81" t="b">
        <v>0</v>
      </c>
      <c r="AQ1074" s="86" t="s">
        <v>7038</v>
      </c>
      <c r="AR1074" s="81" t="s">
        <v>179</v>
      </c>
      <c r="AS1074" s="81">
        <v>0</v>
      </c>
      <c r="AT1074" s="81">
        <v>0</v>
      </c>
      <c r="AU1074" s="81"/>
      <c r="AV1074" s="81"/>
      <c r="AW1074" s="81"/>
      <c r="AX1074" s="81"/>
      <c r="AY1074" s="81"/>
      <c r="AZ1074" s="81"/>
      <c r="BA1074" s="81"/>
      <c r="BB1074" s="81"/>
    </row>
    <row r="1075" spans="1:54" x14ac:dyDescent="0.35">
      <c r="A1075" s="66" t="s">
        <v>4488</v>
      </c>
      <c r="B1075" s="66" t="s">
        <v>5092</v>
      </c>
      <c r="C1075" s="67"/>
      <c r="D1075" s="68"/>
      <c r="E1075" s="69"/>
      <c r="F1075" s="70"/>
      <c r="G1075" s="67"/>
      <c r="H1075" s="71"/>
      <c r="I1075" s="72"/>
      <c r="J1075" s="72"/>
      <c r="K1075" s="36"/>
      <c r="L1075" s="79"/>
      <c r="M1075" s="79"/>
      <c r="N1075" s="74"/>
      <c r="O1075" s="81" t="s">
        <v>696</v>
      </c>
      <c r="P1075" s="83">
        <v>44464.493842592594</v>
      </c>
      <c r="Q1075" s="81" t="s">
        <v>5461</v>
      </c>
      <c r="R1075" s="81"/>
      <c r="S1075" s="81"/>
      <c r="T1075" s="81"/>
      <c r="U1075" s="81"/>
      <c r="V1075" s="84" t="str">
        <f>HYPERLINK("https://pbs.twimg.com/profile_images/1432345857278492679/ITgFnT-x_normal.jpg")</f>
        <v>https://pbs.twimg.com/profile_images/1432345857278492679/ITgFnT-x_normal.jpg</v>
      </c>
      <c r="W1075" s="83">
        <v>44464.493842592594</v>
      </c>
      <c r="X1075" s="89">
        <v>44464</v>
      </c>
      <c r="Y1075" s="86" t="s">
        <v>6133</v>
      </c>
      <c r="Z1075" s="84" t="str">
        <f>HYPERLINK("https://twitter.com/opeugusmao/status/1441731997286629390")</f>
        <v>https://twitter.com/opeugusmao/status/1441731997286629390</v>
      </c>
      <c r="AA1075" s="81"/>
      <c r="AB1075" s="81"/>
      <c r="AC1075" s="86" t="s">
        <v>7039</v>
      </c>
      <c r="AD1075" s="86" t="s">
        <v>7688</v>
      </c>
      <c r="AE1075" s="81" t="b">
        <v>0</v>
      </c>
      <c r="AF1075" s="81">
        <v>3</v>
      </c>
      <c r="AG1075" s="86" t="s">
        <v>7865</v>
      </c>
      <c r="AH1075" s="81" t="b">
        <v>0</v>
      </c>
      <c r="AI1075" s="81" t="s">
        <v>2171</v>
      </c>
      <c r="AJ1075" s="81"/>
      <c r="AK1075" s="86" t="s">
        <v>2084</v>
      </c>
      <c r="AL1075" s="81" t="b">
        <v>0</v>
      </c>
      <c r="AM1075" s="81">
        <v>0</v>
      </c>
      <c r="AN1075" s="86" t="s">
        <v>2084</v>
      </c>
      <c r="AO1075" s="86" t="s">
        <v>2179</v>
      </c>
      <c r="AP1075" s="81" t="b">
        <v>0</v>
      </c>
      <c r="AQ1075" s="86" t="s">
        <v>7688</v>
      </c>
      <c r="AR1075" s="81" t="s">
        <v>179</v>
      </c>
      <c r="AS1075" s="81">
        <v>0</v>
      </c>
      <c r="AT1075" s="81">
        <v>0</v>
      </c>
      <c r="AU1075" s="81"/>
      <c r="AV1075" s="81"/>
      <c r="AW1075" s="81"/>
      <c r="AX1075" s="81"/>
      <c r="AY1075" s="81"/>
      <c r="AZ1075" s="81"/>
      <c r="BA1075" s="81"/>
      <c r="BB1075" s="81"/>
    </row>
    <row r="1076" spans="1:54" x14ac:dyDescent="0.35">
      <c r="A1076" s="66" t="s">
        <v>4488</v>
      </c>
      <c r="B1076" s="66" t="s">
        <v>5093</v>
      </c>
      <c r="C1076" s="67"/>
      <c r="D1076" s="68"/>
      <c r="E1076" s="69"/>
      <c r="F1076" s="70"/>
      <c r="G1076" s="67"/>
      <c r="H1076" s="71"/>
      <c r="I1076" s="72"/>
      <c r="J1076" s="72"/>
      <c r="K1076" s="36"/>
      <c r="L1076" s="79"/>
      <c r="M1076" s="79"/>
      <c r="N1076" s="74"/>
      <c r="O1076" s="81" t="s">
        <v>695</v>
      </c>
      <c r="P1076" s="83">
        <v>44464.493842592594</v>
      </c>
      <c r="Q1076" s="81" t="s">
        <v>5461</v>
      </c>
      <c r="R1076" s="81"/>
      <c r="S1076" s="81"/>
      <c r="T1076" s="81"/>
      <c r="U1076" s="81"/>
      <c r="V1076" s="84" t="str">
        <f>HYPERLINK("https://pbs.twimg.com/profile_images/1432345857278492679/ITgFnT-x_normal.jpg")</f>
        <v>https://pbs.twimg.com/profile_images/1432345857278492679/ITgFnT-x_normal.jpg</v>
      </c>
      <c r="W1076" s="83">
        <v>44464.493842592594</v>
      </c>
      <c r="X1076" s="89">
        <v>44464</v>
      </c>
      <c r="Y1076" s="86" t="s">
        <v>6133</v>
      </c>
      <c r="Z1076" s="84" t="str">
        <f>HYPERLINK("https://twitter.com/opeugusmao/status/1441731997286629390")</f>
        <v>https://twitter.com/opeugusmao/status/1441731997286629390</v>
      </c>
      <c r="AA1076" s="81"/>
      <c r="AB1076" s="81"/>
      <c r="AC1076" s="86" t="s">
        <v>7039</v>
      </c>
      <c r="AD1076" s="86" t="s">
        <v>7688</v>
      </c>
      <c r="AE1076" s="81" t="b">
        <v>0</v>
      </c>
      <c r="AF1076" s="81">
        <v>3</v>
      </c>
      <c r="AG1076" s="86" t="s">
        <v>7865</v>
      </c>
      <c r="AH1076" s="81" t="b">
        <v>0</v>
      </c>
      <c r="AI1076" s="81" t="s">
        <v>2171</v>
      </c>
      <c r="AJ1076" s="81"/>
      <c r="AK1076" s="86" t="s">
        <v>2084</v>
      </c>
      <c r="AL1076" s="81" t="b">
        <v>0</v>
      </c>
      <c r="AM1076" s="81">
        <v>0</v>
      </c>
      <c r="AN1076" s="86" t="s">
        <v>2084</v>
      </c>
      <c r="AO1076" s="86" t="s">
        <v>2179</v>
      </c>
      <c r="AP1076" s="81" t="b">
        <v>0</v>
      </c>
      <c r="AQ1076" s="86" t="s">
        <v>7688</v>
      </c>
      <c r="AR1076" s="81" t="s">
        <v>179</v>
      </c>
      <c r="AS1076" s="81">
        <v>0</v>
      </c>
      <c r="AT1076" s="81">
        <v>0</v>
      </c>
      <c r="AU1076" s="81"/>
      <c r="AV1076" s="81"/>
      <c r="AW1076" s="81"/>
      <c r="AX1076" s="81"/>
      <c r="AY1076" s="81"/>
      <c r="AZ1076" s="81"/>
      <c r="BA1076" s="81"/>
      <c r="BB1076" s="81"/>
    </row>
    <row r="1077" spans="1:54" x14ac:dyDescent="0.35">
      <c r="A1077" s="66" t="s">
        <v>4489</v>
      </c>
      <c r="B1077" s="66" t="s">
        <v>4489</v>
      </c>
      <c r="C1077" s="67"/>
      <c r="D1077" s="68"/>
      <c r="E1077" s="69"/>
      <c r="F1077" s="70"/>
      <c r="G1077" s="67"/>
      <c r="H1077" s="71"/>
      <c r="I1077" s="72"/>
      <c r="J1077" s="72"/>
      <c r="K1077" s="36"/>
      <c r="L1077" s="79"/>
      <c r="M1077" s="79"/>
      <c r="N1077" s="74"/>
      <c r="O1077" s="81" t="s">
        <v>179</v>
      </c>
      <c r="P1077" s="83">
        <v>44464.503680555557</v>
      </c>
      <c r="Q1077" s="81" t="s">
        <v>5462</v>
      </c>
      <c r="R1077" s="84" t="str">
        <f>HYPERLINK("https://pt.jooble.org/desc/-5739923071386329324?ckey=camionista+pesados&amp;rgn=-1&amp;pos=2&amp;elckey=-4477896473426168942&amp;p=1&amp;sid=-6165271041033233218&amp;age=1028&amp;relb=115&amp;brelb=115&amp;bscr=55186.18485461722&amp;scr=55186.18485461722&amp;iid=-2362167468730766691")</f>
        <v>https://pt.jooble.org/desc/-5739923071386329324?ckey=camionista+pesados&amp;rgn=-1&amp;pos=2&amp;elckey=-4477896473426168942&amp;p=1&amp;sid=-6165271041033233218&amp;age=1028&amp;relb=115&amp;brelb=115&amp;bscr=55186.18485461722&amp;scr=55186.18485461722&amp;iid=-2362167468730766691</v>
      </c>
      <c r="S1077" s="81" t="s">
        <v>5731</v>
      </c>
      <c r="T1077" s="81"/>
      <c r="U1077" s="81"/>
      <c r="V1077" s="84" t="str">
        <f>HYPERLINK("https://pbs.twimg.com/profile_images/1373724320191688709/h_W9klYP_normal.jpg")</f>
        <v>https://pbs.twimg.com/profile_images/1373724320191688709/h_W9klYP_normal.jpg</v>
      </c>
      <c r="W1077" s="83">
        <v>44464.503680555557</v>
      </c>
      <c r="X1077" s="89">
        <v>44464</v>
      </c>
      <c r="Y1077" s="86" t="s">
        <v>1192</v>
      </c>
      <c r="Z1077" s="84" t="str">
        <f>HYPERLINK("https://twitter.com/weayl/status/1441735560482148355")</f>
        <v>https://twitter.com/weayl/status/1441735560482148355</v>
      </c>
      <c r="AA1077" s="81"/>
      <c r="AB1077" s="81"/>
      <c r="AC1077" s="86" t="s">
        <v>7040</v>
      </c>
      <c r="AD1077" s="86" t="s">
        <v>7689</v>
      </c>
      <c r="AE1077" s="81" t="b">
        <v>0</v>
      </c>
      <c r="AF1077" s="81">
        <v>0</v>
      </c>
      <c r="AG1077" s="86" t="s">
        <v>7866</v>
      </c>
      <c r="AH1077" s="81" t="b">
        <v>0</v>
      </c>
      <c r="AI1077" s="81" t="s">
        <v>2168</v>
      </c>
      <c r="AJ1077" s="81"/>
      <c r="AK1077" s="86" t="s">
        <v>2084</v>
      </c>
      <c r="AL1077" s="81" t="b">
        <v>0</v>
      </c>
      <c r="AM1077" s="81">
        <v>0</v>
      </c>
      <c r="AN1077" s="86" t="s">
        <v>2084</v>
      </c>
      <c r="AO1077" s="86" t="s">
        <v>2181</v>
      </c>
      <c r="AP1077" s="81" t="b">
        <v>0</v>
      </c>
      <c r="AQ1077" s="86" t="s">
        <v>7689</v>
      </c>
      <c r="AR1077" s="81" t="s">
        <v>179</v>
      </c>
      <c r="AS1077" s="81">
        <v>0</v>
      </c>
      <c r="AT1077" s="81">
        <v>0</v>
      </c>
      <c r="AU1077" s="81"/>
      <c r="AV1077" s="81"/>
      <c r="AW1077" s="81"/>
      <c r="AX1077" s="81"/>
      <c r="AY1077" s="81"/>
      <c r="AZ1077" s="81"/>
      <c r="BA1077" s="81"/>
      <c r="BB1077" s="81"/>
    </row>
    <row r="1078" spans="1:54" x14ac:dyDescent="0.35">
      <c r="A1078" s="66" t="s">
        <v>4489</v>
      </c>
      <c r="B1078" s="66" t="s">
        <v>4489</v>
      </c>
      <c r="C1078" s="67"/>
      <c r="D1078" s="68"/>
      <c r="E1078" s="69"/>
      <c r="F1078" s="70"/>
      <c r="G1078" s="67"/>
      <c r="H1078" s="71"/>
      <c r="I1078" s="72"/>
      <c r="J1078" s="72"/>
      <c r="K1078" s="36"/>
      <c r="L1078" s="79"/>
      <c r="M1078" s="79"/>
      <c r="N1078" s="74"/>
      <c r="O1078" s="81" t="s">
        <v>179</v>
      </c>
      <c r="P1078" s="83">
        <v>44464.503969907404</v>
      </c>
      <c r="Q1078" s="84" t="str">
        <f>HYPERLINK("https://t.co/b9oI8bF9a4")</f>
        <v>https://t.co/b9oI8bF9a4</v>
      </c>
      <c r="R1078" s="84" t="str">
        <f>HYPERLINK("https://pt.jooble.org/desc/794785698111846367?ckey=camionista+pesados&amp;rgn=-1&amp;pos=4&amp;elckey=-4477896473426168942&amp;p=1&amp;sid=-6165271041033233218&amp;age=669&amp;relb=115&amp;brelb=115&amp;bscr=53028.94420218393&amp;scr=53028.94420218393&amp;iid=7235017626129728086")</f>
        <v>https://pt.jooble.org/desc/794785698111846367?ckey=camionista+pesados&amp;rgn=-1&amp;pos=4&amp;elckey=-4477896473426168942&amp;p=1&amp;sid=-6165271041033233218&amp;age=669&amp;relb=115&amp;brelb=115&amp;bscr=53028.94420218393&amp;scr=53028.94420218393&amp;iid=7235017626129728086</v>
      </c>
      <c r="S1078" s="81" t="s">
        <v>5731</v>
      </c>
      <c r="T1078" s="81"/>
      <c r="U1078" s="81"/>
      <c r="V1078" s="84" t="str">
        <f>HYPERLINK("https://pbs.twimg.com/profile_images/1373724320191688709/h_W9klYP_normal.jpg")</f>
        <v>https://pbs.twimg.com/profile_images/1373724320191688709/h_W9klYP_normal.jpg</v>
      </c>
      <c r="W1078" s="83">
        <v>44464.503969907404</v>
      </c>
      <c r="X1078" s="89">
        <v>44464</v>
      </c>
      <c r="Y1078" s="86" t="s">
        <v>6134</v>
      </c>
      <c r="Z1078" s="84" t="str">
        <f>HYPERLINK("https://twitter.com/weayl/status/1441735665159389189")</f>
        <v>https://twitter.com/weayl/status/1441735665159389189</v>
      </c>
      <c r="AA1078" s="81"/>
      <c r="AB1078" s="81"/>
      <c r="AC1078" s="86" t="s">
        <v>7041</v>
      </c>
      <c r="AD1078" s="86" t="s">
        <v>7040</v>
      </c>
      <c r="AE1078" s="81" t="b">
        <v>0</v>
      </c>
      <c r="AF1078" s="81">
        <v>0</v>
      </c>
      <c r="AG1078" s="86" t="s">
        <v>7866</v>
      </c>
      <c r="AH1078" s="81" t="b">
        <v>0</v>
      </c>
      <c r="AI1078" s="81" t="s">
        <v>2173</v>
      </c>
      <c r="AJ1078" s="81"/>
      <c r="AK1078" s="86" t="s">
        <v>2084</v>
      </c>
      <c r="AL1078" s="81" t="b">
        <v>0</v>
      </c>
      <c r="AM1078" s="81">
        <v>0</v>
      </c>
      <c r="AN1078" s="86" t="s">
        <v>2084</v>
      </c>
      <c r="AO1078" s="86" t="s">
        <v>2181</v>
      </c>
      <c r="AP1078" s="81" t="b">
        <v>0</v>
      </c>
      <c r="AQ1078" s="86" t="s">
        <v>7040</v>
      </c>
      <c r="AR1078" s="81" t="s">
        <v>179</v>
      </c>
      <c r="AS1078" s="81">
        <v>0</v>
      </c>
      <c r="AT1078" s="81">
        <v>0</v>
      </c>
      <c r="AU1078" s="81"/>
      <c r="AV1078" s="81"/>
      <c r="AW1078" s="81"/>
      <c r="AX1078" s="81"/>
      <c r="AY1078" s="81"/>
      <c r="AZ1078" s="81"/>
      <c r="BA1078" s="81"/>
      <c r="BB1078" s="81"/>
    </row>
    <row r="1079" spans="1:54" x14ac:dyDescent="0.35">
      <c r="A1079" s="66" t="s">
        <v>4490</v>
      </c>
      <c r="B1079" s="66" t="s">
        <v>4797</v>
      </c>
      <c r="C1079" s="67"/>
      <c r="D1079" s="68"/>
      <c r="E1079" s="69"/>
      <c r="F1079" s="70"/>
      <c r="G1079" s="67"/>
      <c r="H1079" s="71"/>
      <c r="I1079" s="72"/>
      <c r="J1079" s="72"/>
      <c r="K1079" s="36"/>
      <c r="L1079" s="79"/>
      <c r="M1079" s="79"/>
      <c r="N1079" s="74"/>
      <c r="O1079" s="81" t="s">
        <v>693</v>
      </c>
      <c r="P1079" s="83">
        <v>44464.504328703704</v>
      </c>
      <c r="Q1079" s="84" t="str">
        <f>HYPERLINK("https://t.co/t5CziaW0dH")</f>
        <v>https://t.co/t5CziaW0dH</v>
      </c>
      <c r="R107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79" s="81" t="s">
        <v>5686</v>
      </c>
      <c r="T1079" s="81"/>
      <c r="U1079" s="81"/>
      <c r="V1079" s="84" t="str">
        <f>HYPERLINK("https://pbs.twimg.com/profile_images/1370417212440375298/uIwSrC9V_normal.jpg")</f>
        <v>https://pbs.twimg.com/profile_images/1370417212440375298/uIwSrC9V_normal.jpg</v>
      </c>
      <c r="W1079" s="83">
        <v>44464.504328703704</v>
      </c>
      <c r="X1079" s="89">
        <v>44464</v>
      </c>
      <c r="Y1079" s="86" t="s">
        <v>6135</v>
      </c>
      <c r="Z1079" s="84" t="str">
        <f>HYPERLINK("https://twitter.com/aspasia_maria/status/1441735795375706115")</f>
        <v>https://twitter.com/aspasia_maria/status/1441735795375706115</v>
      </c>
      <c r="AA1079" s="81"/>
      <c r="AB1079" s="81"/>
      <c r="AC1079" s="86" t="s">
        <v>7042</v>
      </c>
      <c r="AD1079" s="81"/>
      <c r="AE1079" s="81" t="b">
        <v>0</v>
      </c>
      <c r="AF1079" s="81">
        <v>0</v>
      </c>
      <c r="AG1079" s="86" t="s">
        <v>2084</v>
      </c>
      <c r="AH1079" s="81" t="b">
        <v>0</v>
      </c>
      <c r="AI1079" s="81" t="s">
        <v>2173</v>
      </c>
      <c r="AJ1079" s="81"/>
      <c r="AK1079" s="86" t="s">
        <v>2084</v>
      </c>
      <c r="AL1079" s="81" t="b">
        <v>0</v>
      </c>
      <c r="AM1079" s="81">
        <v>50</v>
      </c>
      <c r="AN1079" s="86" t="s">
        <v>7395</v>
      </c>
      <c r="AO1079" s="86" t="s">
        <v>2179</v>
      </c>
      <c r="AP1079" s="81" t="b">
        <v>0</v>
      </c>
      <c r="AQ1079" s="86" t="s">
        <v>7395</v>
      </c>
      <c r="AR1079" s="81" t="s">
        <v>179</v>
      </c>
      <c r="AS1079" s="81">
        <v>0</v>
      </c>
      <c r="AT1079" s="81">
        <v>0</v>
      </c>
      <c r="AU1079" s="81"/>
      <c r="AV1079" s="81"/>
      <c r="AW1079" s="81"/>
      <c r="AX1079" s="81"/>
      <c r="AY1079" s="81"/>
      <c r="AZ1079" s="81"/>
      <c r="BA1079" s="81"/>
      <c r="BB1079" s="81"/>
    </row>
    <row r="1080" spans="1:54" x14ac:dyDescent="0.35">
      <c r="A1080" s="66" t="s">
        <v>4491</v>
      </c>
      <c r="B1080" s="66" t="s">
        <v>4491</v>
      </c>
      <c r="C1080" s="67"/>
      <c r="D1080" s="68"/>
      <c r="E1080" s="69"/>
      <c r="F1080" s="70"/>
      <c r="G1080" s="67"/>
      <c r="H1080" s="71"/>
      <c r="I1080" s="72"/>
      <c r="J1080" s="72"/>
      <c r="K1080" s="36"/>
      <c r="L1080" s="79"/>
      <c r="M1080" s="79"/>
      <c r="N1080" s="74"/>
      <c r="O1080" s="81" t="s">
        <v>179</v>
      </c>
      <c r="P1080" s="83">
        <v>44464.509432870371</v>
      </c>
      <c r="Q1080" s="81" t="s">
        <v>5463</v>
      </c>
      <c r="R1080" s="81"/>
      <c r="S1080" s="81"/>
      <c r="T1080" s="81"/>
      <c r="U1080" s="81"/>
      <c r="V1080" s="84" t="str">
        <f>HYPERLINK("https://pbs.twimg.com/profile_images/1441624269809586177/oivipmhE_normal.jpg")</f>
        <v>https://pbs.twimg.com/profile_images/1441624269809586177/oivipmhE_normal.jpg</v>
      </c>
      <c r="W1080" s="83">
        <v>44464.509432870371</v>
      </c>
      <c r="X1080" s="89">
        <v>44464</v>
      </c>
      <c r="Y1080" s="86" t="s">
        <v>6136</v>
      </c>
      <c r="Z1080" s="84" t="str">
        <f>HYPERLINK("https://twitter.com/33poryx/status/1441737646238097412")</f>
        <v>https://twitter.com/33poryx/status/1441737646238097412</v>
      </c>
      <c r="AA1080" s="81"/>
      <c r="AB1080" s="81"/>
      <c r="AC1080" s="86" t="s">
        <v>7043</v>
      </c>
      <c r="AD1080" s="81"/>
      <c r="AE1080" s="81" t="b">
        <v>0</v>
      </c>
      <c r="AF1080" s="81">
        <v>0</v>
      </c>
      <c r="AG1080" s="86" t="s">
        <v>2084</v>
      </c>
      <c r="AH1080" s="81" t="b">
        <v>0</v>
      </c>
      <c r="AI1080" s="81" t="s">
        <v>7960</v>
      </c>
      <c r="AJ1080" s="81"/>
      <c r="AK1080" s="86" t="s">
        <v>2084</v>
      </c>
      <c r="AL1080" s="81" t="b">
        <v>0</v>
      </c>
      <c r="AM1080" s="81">
        <v>0</v>
      </c>
      <c r="AN1080" s="86" t="s">
        <v>2084</v>
      </c>
      <c r="AO1080" s="86" t="s">
        <v>2182</v>
      </c>
      <c r="AP1080" s="81" t="b">
        <v>0</v>
      </c>
      <c r="AQ1080" s="86" t="s">
        <v>7043</v>
      </c>
      <c r="AR1080" s="81" t="s">
        <v>179</v>
      </c>
      <c r="AS1080" s="81">
        <v>0</v>
      </c>
      <c r="AT1080" s="81">
        <v>0</v>
      </c>
      <c r="AU1080" s="81"/>
      <c r="AV1080" s="81"/>
      <c r="AW1080" s="81"/>
      <c r="AX1080" s="81"/>
      <c r="AY1080" s="81"/>
      <c r="AZ1080" s="81"/>
      <c r="BA1080" s="81"/>
      <c r="BB1080" s="81"/>
    </row>
    <row r="1081" spans="1:54" x14ac:dyDescent="0.35">
      <c r="A1081" s="66" t="s">
        <v>4492</v>
      </c>
      <c r="B1081" s="66" t="s">
        <v>5094</v>
      </c>
      <c r="C1081" s="67"/>
      <c r="D1081" s="68"/>
      <c r="E1081" s="69"/>
      <c r="F1081" s="70"/>
      <c r="G1081" s="67"/>
      <c r="H1081" s="71"/>
      <c r="I1081" s="72"/>
      <c r="J1081" s="72"/>
      <c r="K1081" s="36"/>
      <c r="L1081" s="79"/>
      <c r="M1081" s="79"/>
      <c r="N1081" s="74"/>
      <c r="O1081" s="81" t="s">
        <v>696</v>
      </c>
      <c r="P1081" s="83">
        <v>44464.54346064815</v>
      </c>
      <c r="Q1081" s="81" t="s">
        <v>5464</v>
      </c>
      <c r="R1081" s="81"/>
      <c r="S1081" s="81"/>
      <c r="T1081" s="81"/>
      <c r="U1081" s="84" t="str">
        <f>HYPERLINK("https://pbs.twimg.com/media/FAIf9ZaXoAA57-x.jpg")</f>
        <v>https://pbs.twimg.com/media/FAIf9ZaXoAA57-x.jpg</v>
      </c>
      <c r="V1081" s="84" t="str">
        <f>HYPERLINK("https://pbs.twimg.com/media/FAIf9ZaXoAA57-x.jpg")</f>
        <v>https://pbs.twimg.com/media/FAIf9ZaXoAA57-x.jpg</v>
      </c>
      <c r="W1081" s="83">
        <v>44464.54346064815</v>
      </c>
      <c r="X1081" s="89">
        <v>44464</v>
      </c>
      <c r="Y1081" s="86" t="s">
        <v>6137</v>
      </c>
      <c r="Z1081" s="84" t="str">
        <f>HYPERLINK("https://twitter.com/nestrangeiro_pt/status/1441749976564977679")</f>
        <v>https://twitter.com/nestrangeiro_pt/status/1441749976564977679</v>
      </c>
      <c r="AA1081" s="81"/>
      <c r="AB1081" s="81"/>
      <c r="AC1081" s="86" t="s">
        <v>7044</v>
      </c>
      <c r="AD1081" s="81"/>
      <c r="AE1081" s="81" t="b">
        <v>0</v>
      </c>
      <c r="AF1081" s="81">
        <v>22</v>
      </c>
      <c r="AG1081" s="86" t="s">
        <v>2084</v>
      </c>
      <c r="AH1081" s="81" t="b">
        <v>0</v>
      </c>
      <c r="AI1081" s="81" t="s">
        <v>2171</v>
      </c>
      <c r="AJ1081" s="81"/>
      <c r="AK1081" s="86" t="s">
        <v>2084</v>
      </c>
      <c r="AL1081" s="81" t="b">
        <v>0</v>
      </c>
      <c r="AM1081" s="81">
        <v>4</v>
      </c>
      <c r="AN1081" s="86" t="s">
        <v>2084</v>
      </c>
      <c r="AO1081" s="86" t="s">
        <v>2179</v>
      </c>
      <c r="AP1081" s="81" t="b">
        <v>0</v>
      </c>
      <c r="AQ1081" s="86" t="s">
        <v>7044</v>
      </c>
      <c r="AR1081" s="81" t="s">
        <v>179</v>
      </c>
      <c r="AS1081" s="81">
        <v>0</v>
      </c>
      <c r="AT1081" s="81">
        <v>0</v>
      </c>
      <c r="AU1081" s="81"/>
      <c r="AV1081" s="81"/>
      <c r="AW1081" s="81"/>
      <c r="AX1081" s="81"/>
      <c r="AY1081" s="81"/>
      <c r="AZ1081" s="81"/>
      <c r="BA1081" s="81"/>
      <c r="BB1081" s="81"/>
    </row>
    <row r="1082" spans="1:54" x14ac:dyDescent="0.35">
      <c r="A1082" s="66" t="s">
        <v>4492</v>
      </c>
      <c r="B1082" s="66" t="s">
        <v>5095</v>
      </c>
      <c r="C1082" s="67"/>
      <c r="D1082" s="68"/>
      <c r="E1082" s="69"/>
      <c r="F1082" s="70"/>
      <c r="G1082" s="67"/>
      <c r="H1082" s="71"/>
      <c r="I1082" s="72"/>
      <c r="J1082" s="72"/>
      <c r="K1082" s="36"/>
      <c r="L1082" s="79"/>
      <c r="M1082" s="79"/>
      <c r="N1082" s="74"/>
      <c r="O1082" s="81" t="s">
        <v>696</v>
      </c>
      <c r="P1082" s="83">
        <v>44464.54346064815</v>
      </c>
      <c r="Q1082" s="81" t="s">
        <v>5464</v>
      </c>
      <c r="R1082" s="81"/>
      <c r="S1082" s="81"/>
      <c r="T1082" s="81"/>
      <c r="U1082" s="84" t="str">
        <f>HYPERLINK("https://pbs.twimg.com/media/FAIf9ZaXoAA57-x.jpg")</f>
        <v>https://pbs.twimg.com/media/FAIf9ZaXoAA57-x.jpg</v>
      </c>
      <c r="V1082" s="84" t="str">
        <f>HYPERLINK("https://pbs.twimg.com/media/FAIf9ZaXoAA57-x.jpg")</f>
        <v>https://pbs.twimg.com/media/FAIf9ZaXoAA57-x.jpg</v>
      </c>
      <c r="W1082" s="83">
        <v>44464.54346064815</v>
      </c>
      <c r="X1082" s="89">
        <v>44464</v>
      </c>
      <c r="Y1082" s="86" t="s">
        <v>6137</v>
      </c>
      <c r="Z1082" s="84" t="str">
        <f>HYPERLINK("https://twitter.com/nestrangeiro_pt/status/1441749976564977679")</f>
        <v>https://twitter.com/nestrangeiro_pt/status/1441749976564977679</v>
      </c>
      <c r="AA1082" s="81"/>
      <c r="AB1082" s="81"/>
      <c r="AC1082" s="86" t="s">
        <v>7044</v>
      </c>
      <c r="AD1082" s="81"/>
      <c r="AE1082" s="81" t="b">
        <v>0</v>
      </c>
      <c r="AF1082" s="81">
        <v>22</v>
      </c>
      <c r="AG1082" s="86" t="s">
        <v>2084</v>
      </c>
      <c r="AH1082" s="81" t="b">
        <v>0</v>
      </c>
      <c r="AI1082" s="81" t="s">
        <v>2171</v>
      </c>
      <c r="AJ1082" s="81"/>
      <c r="AK1082" s="86" t="s">
        <v>2084</v>
      </c>
      <c r="AL1082" s="81" t="b">
        <v>0</v>
      </c>
      <c r="AM1082" s="81">
        <v>4</v>
      </c>
      <c r="AN1082" s="86" t="s">
        <v>2084</v>
      </c>
      <c r="AO1082" s="86" t="s">
        <v>2179</v>
      </c>
      <c r="AP1082" s="81" t="b">
        <v>0</v>
      </c>
      <c r="AQ1082" s="86" t="s">
        <v>7044</v>
      </c>
      <c r="AR1082" s="81" t="s">
        <v>179</v>
      </c>
      <c r="AS1082" s="81">
        <v>0</v>
      </c>
      <c r="AT1082" s="81">
        <v>0</v>
      </c>
      <c r="AU1082" s="81"/>
      <c r="AV1082" s="81"/>
      <c r="AW1082" s="81"/>
      <c r="AX1082" s="81"/>
      <c r="AY1082" s="81"/>
      <c r="AZ1082" s="81"/>
      <c r="BA1082" s="81"/>
      <c r="BB1082" s="81"/>
    </row>
    <row r="1083" spans="1:54" x14ac:dyDescent="0.35">
      <c r="A1083" s="66" t="s">
        <v>4492</v>
      </c>
      <c r="B1083" s="66" t="s">
        <v>5096</v>
      </c>
      <c r="C1083" s="67"/>
      <c r="D1083" s="68"/>
      <c r="E1083" s="69"/>
      <c r="F1083" s="70"/>
      <c r="G1083" s="67"/>
      <c r="H1083" s="71"/>
      <c r="I1083" s="72"/>
      <c r="J1083" s="72"/>
      <c r="K1083" s="36"/>
      <c r="L1083" s="79"/>
      <c r="M1083" s="79"/>
      <c r="N1083" s="74"/>
      <c r="O1083" s="81" t="s">
        <v>696</v>
      </c>
      <c r="P1083" s="83">
        <v>44464.54346064815</v>
      </c>
      <c r="Q1083" s="81" t="s">
        <v>5464</v>
      </c>
      <c r="R1083" s="81"/>
      <c r="S1083" s="81"/>
      <c r="T1083" s="81"/>
      <c r="U1083" s="84" t="str">
        <f>HYPERLINK("https://pbs.twimg.com/media/FAIf9ZaXoAA57-x.jpg")</f>
        <v>https://pbs.twimg.com/media/FAIf9ZaXoAA57-x.jpg</v>
      </c>
      <c r="V1083" s="84" t="str">
        <f>HYPERLINK("https://pbs.twimg.com/media/FAIf9ZaXoAA57-x.jpg")</f>
        <v>https://pbs.twimg.com/media/FAIf9ZaXoAA57-x.jpg</v>
      </c>
      <c r="W1083" s="83">
        <v>44464.54346064815</v>
      </c>
      <c r="X1083" s="89">
        <v>44464</v>
      </c>
      <c r="Y1083" s="86" t="s">
        <v>6137</v>
      </c>
      <c r="Z1083" s="84" t="str">
        <f>HYPERLINK("https://twitter.com/nestrangeiro_pt/status/1441749976564977679")</f>
        <v>https://twitter.com/nestrangeiro_pt/status/1441749976564977679</v>
      </c>
      <c r="AA1083" s="81"/>
      <c r="AB1083" s="81"/>
      <c r="AC1083" s="86" t="s">
        <v>7044</v>
      </c>
      <c r="AD1083" s="81"/>
      <c r="AE1083" s="81" t="b">
        <v>0</v>
      </c>
      <c r="AF1083" s="81">
        <v>22</v>
      </c>
      <c r="AG1083" s="86" t="s">
        <v>2084</v>
      </c>
      <c r="AH1083" s="81" t="b">
        <v>0</v>
      </c>
      <c r="AI1083" s="81" t="s">
        <v>2171</v>
      </c>
      <c r="AJ1083" s="81"/>
      <c r="AK1083" s="86" t="s">
        <v>2084</v>
      </c>
      <c r="AL1083" s="81" t="b">
        <v>0</v>
      </c>
      <c r="AM1083" s="81">
        <v>4</v>
      </c>
      <c r="AN1083" s="86" t="s">
        <v>2084</v>
      </c>
      <c r="AO1083" s="86" t="s">
        <v>2179</v>
      </c>
      <c r="AP1083" s="81" t="b">
        <v>0</v>
      </c>
      <c r="AQ1083" s="86" t="s">
        <v>7044</v>
      </c>
      <c r="AR1083" s="81" t="s">
        <v>179</v>
      </c>
      <c r="AS1083" s="81">
        <v>0</v>
      </c>
      <c r="AT1083" s="81">
        <v>0</v>
      </c>
      <c r="AU1083" s="81"/>
      <c r="AV1083" s="81"/>
      <c r="AW1083" s="81"/>
      <c r="AX1083" s="81"/>
      <c r="AY1083" s="81"/>
      <c r="AZ1083" s="81"/>
      <c r="BA1083" s="81"/>
      <c r="BB1083" s="81"/>
    </row>
    <row r="1084" spans="1:54" x14ac:dyDescent="0.35">
      <c r="A1084" s="66" t="s">
        <v>4493</v>
      </c>
      <c r="B1084" s="66" t="s">
        <v>5097</v>
      </c>
      <c r="C1084" s="67"/>
      <c r="D1084" s="68"/>
      <c r="E1084" s="69"/>
      <c r="F1084" s="70"/>
      <c r="G1084" s="67"/>
      <c r="H1084" s="71"/>
      <c r="I1084" s="72"/>
      <c r="J1084" s="72"/>
      <c r="K1084" s="36"/>
      <c r="L1084" s="79"/>
      <c r="M1084" s="79"/>
      <c r="N1084" s="74"/>
      <c r="O1084" s="81" t="s">
        <v>696</v>
      </c>
      <c r="P1084" s="83">
        <v>44464.543761574074</v>
      </c>
      <c r="Q1084" s="81" t="s">
        <v>5465</v>
      </c>
      <c r="R1084" s="84" t="str">
        <f>HYPERLINK("https://www.gov.br/anvisa/pt-br/assuntos/noticias-anvisa/2021/anvisa-alerta-sobre-risco-de-miocardite-e-pericardite-pos-vacinacao")</f>
        <v>https://www.gov.br/anvisa/pt-br/assuntos/noticias-anvisa/2021/anvisa-alerta-sobre-risco-de-miocardite-e-pericardite-pos-vacinacao</v>
      </c>
      <c r="S1084" s="81" t="s">
        <v>5686</v>
      </c>
      <c r="T1084" s="81"/>
      <c r="U1084" s="81"/>
      <c r="V1084" s="84" t="str">
        <f>HYPERLINK("https://pbs.twimg.com/profile_images/1347944127405633539/xVfydVnQ_normal.jpg")</f>
        <v>https://pbs.twimg.com/profile_images/1347944127405633539/xVfydVnQ_normal.jpg</v>
      </c>
      <c r="W1084" s="83">
        <v>44464.543761574074</v>
      </c>
      <c r="X1084" s="89">
        <v>44464</v>
      </c>
      <c r="Y1084" s="86" t="s">
        <v>6138</v>
      </c>
      <c r="Z1084" s="84" t="str">
        <f>HYPERLINK("https://twitter.com/heliasfs/status/1441750085872721927")</f>
        <v>https://twitter.com/heliasfs/status/1441750085872721927</v>
      </c>
      <c r="AA1084" s="81"/>
      <c r="AB1084" s="81"/>
      <c r="AC1084" s="86" t="s">
        <v>7045</v>
      </c>
      <c r="AD1084" s="86" t="s">
        <v>7690</v>
      </c>
      <c r="AE1084" s="81" t="b">
        <v>0</v>
      </c>
      <c r="AF1084" s="81">
        <v>0</v>
      </c>
      <c r="AG1084" s="86" t="s">
        <v>7867</v>
      </c>
      <c r="AH1084" s="81" t="b">
        <v>0</v>
      </c>
      <c r="AI1084" s="81" t="s">
        <v>2171</v>
      </c>
      <c r="AJ1084" s="81"/>
      <c r="AK1084" s="86" t="s">
        <v>2084</v>
      </c>
      <c r="AL1084" s="81" t="b">
        <v>0</v>
      </c>
      <c r="AM1084" s="81">
        <v>0</v>
      </c>
      <c r="AN1084" s="86" t="s">
        <v>2084</v>
      </c>
      <c r="AO1084" s="86" t="s">
        <v>2179</v>
      </c>
      <c r="AP1084" s="81" t="b">
        <v>0</v>
      </c>
      <c r="AQ1084" s="86" t="s">
        <v>7690</v>
      </c>
      <c r="AR1084" s="81" t="s">
        <v>179</v>
      </c>
      <c r="AS1084" s="81">
        <v>0</v>
      </c>
      <c r="AT1084" s="81">
        <v>0</v>
      </c>
      <c r="AU1084" s="81"/>
      <c r="AV1084" s="81"/>
      <c r="AW1084" s="81"/>
      <c r="AX1084" s="81"/>
      <c r="AY1084" s="81"/>
      <c r="AZ1084" s="81"/>
      <c r="BA1084" s="81"/>
      <c r="BB1084" s="81"/>
    </row>
    <row r="1085" spans="1:54" x14ac:dyDescent="0.35">
      <c r="A1085" s="66" t="s">
        <v>4493</v>
      </c>
      <c r="B1085" s="66" t="s">
        <v>5098</v>
      </c>
      <c r="C1085" s="67"/>
      <c r="D1085" s="68"/>
      <c r="E1085" s="69"/>
      <c r="F1085" s="70"/>
      <c r="G1085" s="67"/>
      <c r="H1085" s="71"/>
      <c r="I1085" s="72"/>
      <c r="J1085" s="72"/>
      <c r="K1085" s="36"/>
      <c r="L1085" s="79"/>
      <c r="M1085" s="79"/>
      <c r="N1085" s="74"/>
      <c r="O1085" s="81" t="s">
        <v>695</v>
      </c>
      <c r="P1085" s="83">
        <v>44464.543761574074</v>
      </c>
      <c r="Q1085" s="81" t="s">
        <v>5465</v>
      </c>
      <c r="R1085" s="84" t="str">
        <f>HYPERLINK("https://www.gov.br/anvisa/pt-br/assuntos/noticias-anvisa/2021/anvisa-alerta-sobre-risco-de-miocardite-e-pericardite-pos-vacinacao")</f>
        <v>https://www.gov.br/anvisa/pt-br/assuntos/noticias-anvisa/2021/anvisa-alerta-sobre-risco-de-miocardite-e-pericardite-pos-vacinacao</v>
      </c>
      <c r="S1085" s="81" t="s">
        <v>5686</v>
      </c>
      <c r="T1085" s="81"/>
      <c r="U1085" s="81"/>
      <c r="V1085" s="84" t="str">
        <f>HYPERLINK("https://pbs.twimg.com/profile_images/1347944127405633539/xVfydVnQ_normal.jpg")</f>
        <v>https://pbs.twimg.com/profile_images/1347944127405633539/xVfydVnQ_normal.jpg</v>
      </c>
      <c r="W1085" s="83">
        <v>44464.543761574074</v>
      </c>
      <c r="X1085" s="89">
        <v>44464</v>
      </c>
      <c r="Y1085" s="86" t="s">
        <v>6138</v>
      </c>
      <c r="Z1085" s="84" t="str">
        <f>HYPERLINK("https://twitter.com/heliasfs/status/1441750085872721927")</f>
        <v>https://twitter.com/heliasfs/status/1441750085872721927</v>
      </c>
      <c r="AA1085" s="81"/>
      <c r="AB1085" s="81"/>
      <c r="AC1085" s="86" t="s">
        <v>7045</v>
      </c>
      <c r="AD1085" s="86" t="s">
        <v>7690</v>
      </c>
      <c r="AE1085" s="81" t="b">
        <v>0</v>
      </c>
      <c r="AF1085" s="81">
        <v>0</v>
      </c>
      <c r="AG1085" s="86" t="s">
        <v>7867</v>
      </c>
      <c r="AH1085" s="81" t="b">
        <v>0</v>
      </c>
      <c r="AI1085" s="81" t="s">
        <v>2171</v>
      </c>
      <c r="AJ1085" s="81"/>
      <c r="AK1085" s="86" t="s">
        <v>2084</v>
      </c>
      <c r="AL1085" s="81" t="b">
        <v>0</v>
      </c>
      <c r="AM1085" s="81">
        <v>0</v>
      </c>
      <c r="AN1085" s="86" t="s">
        <v>2084</v>
      </c>
      <c r="AO1085" s="86" t="s">
        <v>2179</v>
      </c>
      <c r="AP1085" s="81" t="b">
        <v>0</v>
      </c>
      <c r="AQ1085" s="86" t="s">
        <v>7690</v>
      </c>
      <c r="AR1085" s="81" t="s">
        <v>179</v>
      </c>
      <c r="AS1085" s="81">
        <v>0</v>
      </c>
      <c r="AT1085" s="81">
        <v>0</v>
      </c>
      <c r="AU1085" s="81"/>
      <c r="AV1085" s="81"/>
      <c r="AW1085" s="81"/>
      <c r="AX1085" s="81"/>
      <c r="AY1085" s="81"/>
      <c r="AZ1085" s="81"/>
      <c r="BA1085" s="81"/>
      <c r="BB1085" s="81"/>
    </row>
    <row r="1086" spans="1:54" x14ac:dyDescent="0.35">
      <c r="A1086" s="66" t="s">
        <v>4494</v>
      </c>
      <c r="B1086" s="66" t="s">
        <v>5099</v>
      </c>
      <c r="C1086" s="67"/>
      <c r="D1086" s="68"/>
      <c r="E1086" s="69"/>
      <c r="F1086" s="70"/>
      <c r="G1086" s="67"/>
      <c r="H1086" s="71"/>
      <c r="I1086" s="72"/>
      <c r="J1086" s="72"/>
      <c r="K1086" s="36"/>
      <c r="L1086" s="79"/>
      <c r="M1086" s="79"/>
      <c r="N1086" s="74"/>
      <c r="O1086" s="81" t="s">
        <v>695</v>
      </c>
      <c r="P1086" s="83">
        <v>44464.569386574076</v>
      </c>
      <c r="Q1086" s="81" t="s">
        <v>5466</v>
      </c>
      <c r="R1086" s="81"/>
      <c r="S1086" s="81"/>
      <c r="T1086" s="81"/>
      <c r="U1086" s="81"/>
      <c r="V1086" s="84" t="str">
        <f>HYPERLINK("https://pbs.twimg.com/profile_images/1388892402480553985/Qfar2hPB_normal.jpg")</f>
        <v>https://pbs.twimg.com/profile_images/1388892402480553985/Qfar2hPB_normal.jpg</v>
      </c>
      <c r="W1086" s="83">
        <v>44464.569386574076</v>
      </c>
      <c r="X1086" s="89">
        <v>44464</v>
      </c>
      <c r="Y1086" s="86" t="s">
        <v>6139</v>
      </c>
      <c r="Z1086" s="84" t="str">
        <f>HYPERLINK("https://twitter.com/alexand82848379/status/1441759371415863304")</f>
        <v>https://twitter.com/alexand82848379/status/1441759371415863304</v>
      </c>
      <c r="AA1086" s="81"/>
      <c r="AB1086" s="81"/>
      <c r="AC1086" s="86" t="s">
        <v>7046</v>
      </c>
      <c r="AD1086" s="86" t="s">
        <v>7691</v>
      </c>
      <c r="AE1086" s="81" t="b">
        <v>0</v>
      </c>
      <c r="AF1086" s="81">
        <v>0</v>
      </c>
      <c r="AG1086" s="86" t="s">
        <v>7868</v>
      </c>
      <c r="AH1086" s="81" t="b">
        <v>0</v>
      </c>
      <c r="AI1086" s="81" t="s">
        <v>2171</v>
      </c>
      <c r="AJ1086" s="81"/>
      <c r="AK1086" s="86" t="s">
        <v>2084</v>
      </c>
      <c r="AL1086" s="81" t="b">
        <v>0</v>
      </c>
      <c r="AM1086" s="81">
        <v>0</v>
      </c>
      <c r="AN1086" s="86" t="s">
        <v>2084</v>
      </c>
      <c r="AO1086" s="86" t="s">
        <v>2178</v>
      </c>
      <c r="AP1086" s="81" t="b">
        <v>0</v>
      </c>
      <c r="AQ1086" s="86" t="s">
        <v>7691</v>
      </c>
      <c r="AR1086" s="81" t="s">
        <v>179</v>
      </c>
      <c r="AS1086" s="81">
        <v>0</v>
      </c>
      <c r="AT1086" s="81">
        <v>0</v>
      </c>
      <c r="AU1086" s="81"/>
      <c r="AV1086" s="81"/>
      <c r="AW1086" s="81"/>
      <c r="AX1086" s="81"/>
      <c r="AY1086" s="81"/>
      <c r="AZ1086" s="81"/>
      <c r="BA1086" s="81"/>
      <c r="BB1086" s="81"/>
    </row>
    <row r="1087" spans="1:54" x14ac:dyDescent="0.35">
      <c r="A1087" s="66" t="s">
        <v>4496</v>
      </c>
      <c r="B1087" s="66" t="s">
        <v>4495</v>
      </c>
      <c r="C1087" s="67"/>
      <c r="D1087" s="68"/>
      <c r="E1087" s="69"/>
      <c r="F1087" s="70"/>
      <c r="G1087" s="67"/>
      <c r="H1087" s="71"/>
      <c r="I1087" s="72"/>
      <c r="J1087" s="72"/>
      <c r="K1087" s="36"/>
      <c r="L1087" s="79"/>
      <c r="M1087" s="79"/>
      <c r="N1087" s="74"/>
      <c r="O1087" s="81" t="s">
        <v>693</v>
      </c>
      <c r="P1087" s="83">
        <v>44464.578090277777</v>
      </c>
      <c r="Q1087" s="81" t="s">
        <v>5272</v>
      </c>
      <c r="R1087" s="84" t="str">
        <f>HYPERLINK("https://www.gov.br/anvisa/pt-br/assuntos/fiscalizacao-e-monitoramento/notificacoes/vigimed/")</f>
        <v>https://www.gov.br/anvisa/pt-br/assuntos/fiscalizacao-e-monitoramento/notificacoes/vigimed/</v>
      </c>
      <c r="S1087" s="81" t="s">
        <v>5686</v>
      </c>
      <c r="T1087" s="81"/>
      <c r="U1087" s="81"/>
      <c r="V1087" s="84" t="str">
        <f>HYPERLINK("https://pbs.twimg.com/profile_images/1411679810464722944/JFsLDnDX_normal.jpg")</f>
        <v>https://pbs.twimg.com/profile_images/1411679810464722944/JFsLDnDX_normal.jpg</v>
      </c>
      <c r="W1087" s="83">
        <v>44464.578090277777</v>
      </c>
      <c r="X1087" s="89">
        <v>44464</v>
      </c>
      <c r="Y1087" s="86" t="s">
        <v>6141</v>
      </c>
      <c r="Z1087" s="84" t="str">
        <f>HYPERLINK("https://twitter.com/ssnaterse/status/1441762525222096907")</f>
        <v>https://twitter.com/ssnaterse/status/1441762525222096907</v>
      </c>
      <c r="AA1087" s="81"/>
      <c r="AB1087" s="81"/>
      <c r="AC1087" s="86" t="s">
        <v>7048</v>
      </c>
      <c r="AD1087" s="81"/>
      <c r="AE1087" s="81" t="b">
        <v>0</v>
      </c>
      <c r="AF1087" s="81">
        <v>0</v>
      </c>
      <c r="AG1087" s="86" t="s">
        <v>2084</v>
      </c>
      <c r="AH1087" s="81" t="b">
        <v>0</v>
      </c>
      <c r="AI1087" s="81" t="s">
        <v>2171</v>
      </c>
      <c r="AJ1087" s="81"/>
      <c r="AK1087" s="86" t="s">
        <v>2084</v>
      </c>
      <c r="AL1087" s="81" t="b">
        <v>0</v>
      </c>
      <c r="AM1087" s="81">
        <v>1497</v>
      </c>
      <c r="AN1087" s="86" t="s">
        <v>7047</v>
      </c>
      <c r="AO1087" s="86" t="s">
        <v>2179</v>
      </c>
      <c r="AP1087" s="81" t="b">
        <v>0</v>
      </c>
      <c r="AQ1087" s="86" t="s">
        <v>7047</v>
      </c>
      <c r="AR1087" s="81" t="s">
        <v>179</v>
      </c>
      <c r="AS1087" s="81">
        <v>0</v>
      </c>
      <c r="AT1087" s="81">
        <v>0</v>
      </c>
      <c r="AU1087" s="81"/>
      <c r="AV1087" s="81"/>
      <c r="AW1087" s="81"/>
      <c r="AX1087" s="81"/>
      <c r="AY1087" s="81"/>
      <c r="AZ1087" s="81"/>
      <c r="BA1087" s="81"/>
      <c r="BB1087" s="81"/>
    </row>
    <row r="1088" spans="1:54" x14ac:dyDescent="0.35">
      <c r="A1088" s="66" t="s">
        <v>12500</v>
      </c>
      <c r="B1088" s="66" t="s">
        <v>12500</v>
      </c>
      <c r="C1088" s="67"/>
      <c r="D1088" s="68"/>
      <c r="E1088" s="69"/>
      <c r="F1088" s="70"/>
      <c r="G1088" s="67"/>
      <c r="H1088" s="71"/>
      <c r="I1088" s="72"/>
      <c r="J1088" s="72"/>
      <c r="K1088" s="36"/>
      <c r="L1088" s="79"/>
      <c r="M1088" s="79"/>
      <c r="N1088" s="74"/>
      <c r="O1088" s="81" t="s">
        <v>179</v>
      </c>
      <c r="P1088" s="83">
        <v>44464.604930555557</v>
      </c>
      <c r="Q1088" s="81" t="s">
        <v>12739</v>
      </c>
      <c r="R1088" s="81"/>
      <c r="S1088" s="81"/>
      <c r="T1088" s="81"/>
      <c r="U1088" s="81"/>
      <c r="V1088" s="84" t="str">
        <f>HYPERLINK("https://pbs.twimg.com/profile_images/1443052045179645953/Zt-N0cRD_normal.jpg")</f>
        <v>https://pbs.twimg.com/profile_images/1443052045179645953/Zt-N0cRD_normal.jpg</v>
      </c>
      <c r="W1088" s="83">
        <v>44464.604930555557</v>
      </c>
      <c r="X1088" s="89">
        <v>44464</v>
      </c>
      <c r="Y1088" s="86" t="s">
        <v>12880</v>
      </c>
      <c r="Z1088" s="84" t="str">
        <f>HYPERLINK("https://twitter.com/jjaeluvm/status/1441772253201326085")</f>
        <v>https://twitter.com/jjaeluvm/status/1441772253201326085</v>
      </c>
      <c r="AA1088" s="81"/>
      <c r="AB1088" s="81"/>
      <c r="AC1088" s="86" t="s">
        <v>13117</v>
      </c>
      <c r="AD1088" s="81"/>
      <c r="AE1088" s="81" t="b">
        <v>0</v>
      </c>
      <c r="AF1088" s="81">
        <v>0</v>
      </c>
      <c r="AG1088" s="86" t="s">
        <v>2084</v>
      </c>
      <c r="AH1088" s="81" t="b">
        <v>0</v>
      </c>
      <c r="AI1088" s="81" t="s">
        <v>2167</v>
      </c>
      <c r="AJ1088" s="81"/>
      <c r="AK1088" s="86" t="s">
        <v>2084</v>
      </c>
      <c r="AL1088" s="81" t="b">
        <v>0</v>
      </c>
      <c r="AM1088" s="81">
        <v>0</v>
      </c>
      <c r="AN1088" s="86" t="s">
        <v>2084</v>
      </c>
      <c r="AO1088" s="86" t="s">
        <v>2178</v>
      </c>
      <c r="AP1088" s="81" t="b">
        <v>0</v>
      </c>
      <c r="AQ1088" s="86" t="s">
        <v>13117</v>
      </c>
      <c r="AR1088" s="81" t="s">
        <v>179</v>
      </c>
      <c r="AS1088" s="81">
        <v>0</v>
      </c>
      <c r="AT1088" s="81">
        <v>0</v>
      </c>
      <c r="AU1088" s="81"/>
      <c r="AV1088" s="81"/>
      <c r="AW1088" s="81"/>
      <c r="AX1088" s="81"/>
      <c r="AY1088" s="81"/>
      <c r="AZ1088" s="81"/>
      <c r="BA1088" s="81"/>
      <c r="BB1088" s="81"/>
    </row>
    <row r="1089" spans="1:54" x14ac:dyDescent="0.35">
      <c r="A1089" s="66" t="s">
        <v>478</v>
      </c>
      <c r="B1089" s="66" t="s">
        <v>662</v>
      </c>
      <c r="C1089" s="67"/>
      <c r="D1089" s="68"/>
      <c r="E1089" s="69"/>
      <c r="F1089" s="70"/>
      <c r="G1089" s="67"/>
      <c r="H1089" s="71"/>
      <c r="I1089" s="72"/>
      <c r="J1089" s="72"/>
      <c r="K1089" s="36"/>
      <c r="L1089" s="79"/>
      <c r="M1089" s="79"/>
      <c r="N1089" s="74"/>
      <c r="O1089" s="81" t="s">
        <v>695</v>
      </c>
      <c r="P1089" s="83">
        <v>44464.613518518519</v>
      </c>
      <c r="Q1089" s="81" t="s">
        <v>815</v>
      </c>
      <c r="R1089" s="81"/>
      <c r="S1089" s="81"/>
      <c r="T1089" s="81"/>
      <c r="U1089" s="84" t="str">
        <f>HYPERLINK("https://pbs.twimg.com/media/FAI3DWvVcAIXTCa.jpg")</f>
        <v>https://pbs.twimg.com/media/FAI3DWvVcAIXTCa.jpg</v>
      </c>
      <c r="V1089" s="84" t="str">
        <f>HYPERLINK("https://pbs.twimg.com/media/FAI3DWvVcAIXTCa.jpg")</f>
        <v>https://pbs.twimg.com/media/FAI3DWvVcAIXTCa.jpg</v>
      </c>
      <c r="W1089" s="83">
        <v>44464.613518518519</v>
      </c>
      <c r="X1089" s="89">
        <v>44464</v>
      </c>
      <c r="Y1089" s="86" t="s">
        <v>1331</v>
      </c>
      <c r="Z1089" s="84" t="str">
        <f>HYPERLINK("https://twitter.com/p3psodent/status/1441775365853089795")</f>
        <v>https://twitter.com/p3psodent/status/1441775365853089795</v>
      </c>
      <c r="AA1089" s="81"/>
      <c r="AB1089" s="81"/>
      <c r="AC1089" s="86" t="s">
        <v>1827</v>
      </c>
      <c r="AD1089" s="86" t="s">
        <v>2043</v>
      </c>
      <c r="AE1089" s="81" t="b">
        <v>0</v>
      </c>
      <c r="AF1089" s="81">
        <v>0</v>
      </c>
      <c r="AG1089" s="86" t="s">
        <v>2128</v>
      </c>
      <c r="AH1089" s="81" t="b">
        <v>0</v>
      </c>
      <c r="AI1089" s="81" t="s">
        <v>2167</v>
      </c>
      <c r="AJ1089" s="81"/>
      <c r="AK1089" s="86" t="s">
        <v>2084</v>
      </c>
      <c r="AL1089" s="81" t="b">
        <v>0</v>
      </c>
      <c r="AM1089" s="81">
        <v>0</v>
      </c>
      <c r="AN1089" s="86" t="s">
        <v>2084</v>
      </c>
      <c r="AO1089" s="86" t="s">
        <v>2178</v>
      </c>
      <c r="AP1089" s="81" t="b">
        <v>0</v>
      </c>
      <c r="AQ1089" s="86" t="s">
        <v>2043</v>
      </c>
      <c r="AR1089" s="81" t="s">
        <v>179</v>
      </c>
      <c r="AS1089" s="81">
        <v>0</v>
      </c>
      <c r="AT1089" s="81">
        <v>0</v>
      </c>
      <c r="AU1089" s="81"/>
      <c r="AV1089" s="81"/>
      <c r="AW1089" s="81"/>
      <c r="AX1089" s="81"/>
      <c r="AY1089" s="81"/>
      <c r="AZ1089" s="81"/>
      <c r="BA1089" s="81"/>
      <c r="BB1089" s="81"/>
    </row>
    <row r="1090" spans="1:54" x14ac:dyDescent="0.35">
      <c r="A1090" s="66" t="s">
        <v>4498</v>
      </c>
      <c r="B1090" s="66" t="s">
        <v>663</v>
      </c>
      <c r="C1090" s="67"/>
      <c r="D1090" s="68"/>
      <c r="E1090" s="69"/>
      <c r="F1090" s="70"/>
      <c r="G1090" s="67"/>
      <c r="H1090" s="71"/>
      <c r="I1090" s="72"/>
      <c r="J1090" s="72"/>
      <c r="K1090" s="36"/>
      <c r="L1090" s="79"/>
      <c r="M1090" s="79"/>
      <c r="N1090" s="74"/>
      <c r="O1090" s="81" t="s">
        <v>694</v>
      </c>
      <c r="P1090" s="83">
        <v>44464.635995370372</v>
      </c>
      <c r="Q1090" s="81" t="s">
        <v>816</v>
      </c>
      <c r="R1090" s="81"/>
      <c r="S1090" s="81"/>
      <c r="T1090" s="86" t="s">
        <v>986</v>
      </c>
      <c r="U1090" s="84" t="str">
        <f>HYPERLINK("https://pbs.twimg.com/media/FAI5unvVgAgIBY3.jpg")</f>
        <v>https://pbs.twimg.com/media/FAI5unvVgAgIBY3.jpg</v>
      </c>
      <c r="V1090" s="84" t="str">
        <f>HYPERLINK("https://pbs.twimg.com/media/FAI5unvVgAgIBY3.jpg")</f>
        <v>https://pbs.twimg.com/media/FAI5unvVgAgIBY3.jpg</v>
      </c>
      <c r="W1090" s="83">
        <v>44464.635995370372</v>
      </c>
      <c r="X1090" s="89">
        <v>44464</v>
      </c>
      <c r="Y1090" s="86" t="s">
        <v>6143</v>
      </c>
      <c r="Z1090" s="84" t="str">
        <f>HYPERLINK("https://twitter.com/kyueel/status/1441783508234506251")</f>
        <v>https://twitter.com/kyueel/status/1441783508234506251</v>
      </c>
      <c r="AA1090" s="81"/>
      <c r="AB1090" s="81"/>
      <c r="AC1090" s="86" t="s">
        <v>7050</v>
      </c>
      <c r="AD1090" s="81"/>
      <c r="AE1090" s="81" t="b">
        <v>0</v>
      </c>
      <c r="AF1090" s="81">
        <v>0</v>
      </c>
      <c r="AG1090" s="86" t="s">
        <v>2084</v>
      </c>
      <c r="AH1090" s="81" t="b">
        <v>0</v>
      </c>
      <c r="AI1090" s="81" t="s">
        <v>2168</v>
      </c>
      <c r="AJ1090" s="81"/>
      <c r="AK1090" s="86" t="s">
        <v>2084</v>
      </c>
      <c r="AL1090" s="81" t="b">
        <v>0</v>
      </c>
      <c r="AM1090" s="81">
        <v>6</v>
      </c>
      <c r="AN1090" s="86" t="s">
        <v>1882</v>
      </c>
      <c r="AO1090" s="86" t="s">
        <v>2178</v>
      </c>
      <c r="AP1090" s="81" t="b">
        <v>0</v>
      </c>
      <c r="AQ1090" s="86" t="s">
        <v>1882</v>
      </c>
      <c r="AR1090" s="81" t="s">
        <v>179</v>
      </c>
      <c r="AS1090" s="81">
        <v>0</v>
      </c>
      <c r="AT1090" s="81">
        <v>0</v>
      </c>
      <c r="AU1090" s="81"/>
      <c r="AV1090" s="81"/>
      <c r="AW1090" s="81"/>
      <c r="AX1090" s="81"/>
      <c r="AY1090" s="81"/>
      <c r="AZ1090" s="81"/>
      <c r="BA1090" s="81"/>
      <c r="BB1090" s="81"/>
    </row>
    <row r="1091" spans="1:54" x14ac:dyDescent="0.35">
      <c r="A1091" s="66" t="s">
        <v>4498</v>
      </c>
      <c r="B1091" s="66" t="s">
        <v>12670</v>
      </c>
      <c r="C1091" s="67"/>
      <c r="D1091" s="68"/>
      <c r="E1091" s="69"/>
      <c r="F1091" s="70"/>
      <c r="G1091" s="67"/>
      <c r="H1091" s="71"/>
      <c r="I1091" s="72"/>
      <c r="J1091" s="72"/>
      <c r="K1091" s="36"/>
      <c r="L1091" s="79"/>
      <c r="M1091" s="79"/>
      <c r="N1091" s="74"/>
      <c r="O1091" s="81" t="s">
        <v>694</v>
      </c>
      <c r="P1091" s="83">
        <v>44464.635995370372</v>
      </c>
      <c r="Q1091" s="81" t="s">
        <v>816</v>
      </c>
      <c r="R1091" s="81"/>
      <c r="S1091" s="81"/>
      <c r="T1091" s="86" t="s">
        <v>986</v>
      </c>
      <c r="U1091" s="84" t="str">
        <f>HYPERLINK("https://pbs.twimg.com/media/FAI5unvVgAgIBY3.jpg")</f>
        <v>https://pbs.twimg.com/media/FAI5unvVgAgIBY3.jpg</v>
      </c>
      <c r="V1091" s="84" t="str">
        <f>HYPERLINK("https://pbs.twimg.com/media/FAI5unvVgAgIBY3.jpg")</f>
        <v>https://pbs.twimg.com/media/FAI5unvVgAgIBY3.jpg</v>
      </c>
      <c r="W1091" s="83">
        <v>44464.635995370372</v>
      </c>
      <c r="X1091" s="89">
        <v>44464</v>
      </c>
      <c r="Y1091" s="86" t="s">
        <v>6143</v>
      </c>
      <c r="Z1091" s="84" t="str">
        <f>HYPERLINK("https://twitter.com/kyueel/status/1441783508234506251")</f>
        <v>https://twitter.com/kyueel/status/1441783508234506251</v>
      </c>
      <c r="AA1091" s="81"/>
      <c r="AB1091" s="81"/>
      <c r="AC1091" s="86" t="s">
        <v>7050</v>
      </c>
      <c r="AD1091" s="81"/>
      <c r="AE1091" s="81" t="b">
        <v>0</v>
      </c>
      <c r="AF1091" s="81">
        <v>0</v>
      </c>
      <c r="AG1091" s="86" t="s">
        <v>2084</v>
      </c>
      <c r="AH1091" s="81" t="b">
        <v>0</v>
      </c>
      <c r="AI1091" s="81" t="s">
        <v>2168</v>
      </c>
      <c r="AJ1091" s="81"/>
      <c r="AK1091" s="86" t="s">
        <v>2084</v>
      </c>
      <c r="AL1091" s="81" t="b">
        <v>0</v>
      </c>
      <c r="AM1091" s="81">
        <v>6</v>
      </c>
      <c r="AN1091" s="86" t="s">
        <v>1882</v>
      </c>
      <c r="AO1091" s="86" t="s">
        <v>2178</v>
      </c>
      <c r="AP1091" s="81" t="b">
        <v>0</v>
      </c>
      <c r="AQ1091" s="86" t="s">
        <v>1882</v>
      </c>
      <c r="AR1091" s="81" t="s">
        <v>179</v>
      </c>
      <c r="AS1091" s="81">
        <v>0</v>
      </c>
      <c r="AT1091" s="81">
        <v>0</v>
      </c>
      <c r="AU1091" s="81"/>
      <c r="AV1091" s="81"/>
      <c r="AW1091" s="81"/>
      <c r="AX1091" s="81"/>
      <c r="AY1091" s="81"/>
      <c r="AZ1091" s="81"/>
      <c r="BA1091" s="81"/>
      <c r="BB1091" s="81"/>
    </row>
    <row r="1092" spans="1:54" x14ac:dyDescent="0.35">
      <c r="A1092" s="66" t="s">
        <v>4498</v>
      </c>
      <c r="B1092" s="66" t="s">
        <v>511</v>
      </c>
      <c r="C1092" s="67"/>
      <c r="D1092" s="68"/>
      <c r="E1092" s="69"/>
      <c r="F1092" s="70"/>
      <c r="G1092" s="67"/>
      <c r="H1092" s="71"/>
      <c r="I1092" s="72"/>
      <c r="J1092" s="72"/>
      <c r="K1092" s="36"/>
      <c r="L1092" s="79"/>
      <c r="M1092" s="79"/>
      <c r="N1092" s="74"/>
      <c r="O1092" s="81" t="s">
        <v>693</v>
      </c>
      <c r="P1092" s="83">
        <v>44464.635995370372</v>
      </c>
      <c r="Q1092" s="81" t="s">
        <v>816</v>
      </c>
      <c r="R1092" s="81"/>
      <c r="S1092" s="81"/>
      <c r="T1092" s="86" t="s">
        <v>986</v>
      </c>
      <c r="U1092" s="84" t="str">
        <f>HYPERLINK("https://pbs.twimg.com/media/FAI5unvVgAgIBY3.jpg")</f>
        <v>https://pbs.twimg.com/media/FAI5unvVgAgIBY3.jpg</v>
      </c>
      <c r="V1092" s="84" t="str">
        <f>HYPERLINK("https://pbs.twimg.com/media/FAI5unvVgAgIBY3.jpg")</f>
        <v>https://pbs.twimg.com/media/FAI5unvVgAgIBY3.jpg</v>
      </c>
      <c r="W1092" s="83">
        <v>44464.635995370372</v>
      </c>
      <c r="X1092" s="89">
        <v>44464</v>
      </c>
      <c r="Y1092" s="86" t="s">
        <v>6143</v>
      </c>
      <c r="Z1092" s="84" t="str">
        <f>HYPERLINK("https://twitter.com/kyueel/status/1441783508234506251")</f>
        <v>https://twitter.com/kyueel/status/1441783508234506251</v>
      </c>
      <c r="AA1092" s="81"/>
      <c r="AB1092" s="81"/>
      <c r="AC1092" s="86" t="s">
        <v>7050</v>
      </c>
      <c r="AD1092" s="81"/>
      <c r="AE1092" s="81" t="b">
        <v>0</v>
      </c>
      <c r="AF1092" s="81">
        <v>0</v>
      </c>
      <c r="AG1092" s="86" t="s">
        <v>2084</v>
      </c>
      <c r="AH1092" s="81" t="b">
        <v>0</v>
      </c>
      <c r="AI1092" s="81" t="s">
        <v>2168</v>
      </c>
      <c r="AJ1092" s="81"/>
      <c r="AK1092" s="86" t="s">
        <v>2084</v>
      </c>
      <c r="AL1092" s="81" t="b">
        <v>0</v>
      </c>
      <c r="AM1092" s="81">
        <v>6</v>
      </c>
      <c r="AN1092" s="86" t="s">
        <v>1882</v>
      </c>
      <c r="AO1092" s="86" t="s">
        <v>2178</v>
      </c>
      <c r="AP1092" s="81" t="b">
        <v>0</v>
      </c>
      <c r="AQ1092" s="86" t="s">
        <v>1882</v>
      </c>
      <c r="AR1092" s="81" t="s">
        <v>179</v>
      </c>
      <c r="AS1092" s="81">
        <v>0</v>
      </c>
      <c r="AT1092" s="81">
        <v>0</v>
      </c>
      <c r="AU1092" s="81"/>
      <c r="AV1092" s="81"/>
      <c r="AW1092" s="81"/>
      <c r="AX1092" s="81"/>
      <c r="AY1092" s="81"/>
      <c r="AZ1092" s="81"/>
      <c r="BA1092" s="81"/>
      <c r="BB1092" s="81"/>
    </row>
    <row r="1093" spans="1:54" x14ac:dyDescent="0.35">
      <c r="A1093" s="66" t="s">
        <v>479</v>
      </c>
      <c r="B1093" s="66" t="s">
        <v>646</v>
      </c>
      <c r="C1093" s="67"/>
      <c r="D1093" s="68"/>
      <c r="E1093" s="69"/>
      <c r="F1093" s="70"/>
      <c r="G1093" s="67"/>
      <c r="H1093" s="71"/>
      <c r="I1093" s="72"/>
      <c r="J1093" s="72"/>
      <c r="K1093" s="36"/>
      <c r="L1093" s="79"/>
      <c r="M1093" s="79"/>
      <c r="N1093" s="74"/>
      <c r="O1093" s="81" t="s">
        <v>694</v>
      </c>
      <c r="P1093" s="83">
        <v>44464.647337962961</v>
      </c>
      <c r="Q1093" s="81" t="s">
        <v>802</v>
      </c>
      <c r="R1093" s="81"/>
      <c r="S1093" s="81"/>
      <c r="T1093" s="86" t="s">
        <v>649</v>
      </c>
      <c r="U1093" s="84" t="str">
        <f>HYPERLINK("https://pbs.twimg.com/media/FAEa_mFUYAcoKUu.jpg")</f>
        <v>https://pbs.twimg.com/media/FAEa_mFUYAcoKUu.jpg</v>
      </c>
      <c r="V1093" s="84" t="str">
        <f>HYPERLINK("https://pbs.twimg.com/media/FAEa_mFUYAcoKUu.jpg")</f>
        <v>https://pbs.twimg.com/media/FAEa_mFUYAcoKUu.jpg</v>
      </c>
      <c r="W1093" s="83">
        <v>44464.647337962961</v>
      </c>
      <c r="X1093" s="89">
        <v>44464</v>
      </c>
      <c r="Y1093" s="86" t="s">
        <v>1332</v>
      </c>
      <c r="Z1093" s="84" t="str">
        <f>HYPERLINK("https://twitter.com/artsyyflower/status/1441787621051490309")</f>
        <v>https://twitter.com/artsyyflower/status/1441787621051490309</v>
      </c>
      <c r="AA1093" s="81"/>
      <c r="AB1093" s="81"/>
      <c r="AC1093" s="86" t="s">
        <v>1828</v>
      </c>
      <c r="AD1093" s="81"/>
      <c r="AE1093" s="81" t="b">
        <v>0</v>
      </c>
      <c r="AF1093" s="81">
        <v>0</v>
      </c>
      <c r="AG1093" s="86" t="s">
        <v>2084</v>
      </c>
      <c r="AH1093" s="81" t="b">
        <v>0</v>
      </c>
      <c r="AI1093" s="81" t="s">
        <v>2168</v>
      </c>
      <c r="AJ1093" s="81"/>
      <c r="AK1093" s="86" t="s">
        <v>2084</v>
      </c>
      <c r="AL1093" s="81" t="b">
        <v>0</v>
      </c>
      <c r="AM1093" s="81">
        <v>24</v>
      </c>
      <c r="AN1093" s="86" t="s">
        <v>1848</v>
      </c>
      <c r="AO1093" s="86" t="s">
        <v>2178</v>
      </c>
      <c r="AP1093" s="81" t="b">
        <v>0</v>
      </c>
      <c r="AQ1093" s="86" t="s">
        <v>1848</v>
      </c>
      <c r="AR1093" s="81" t="s">
        <v>179</v>
      </c>
      <c r="AS1093" s="81">
        <v>0</v>
      </c>
      <c r="AT1093" s="81">
        <v>0</v>
      </c>
      <c r="AU1093" s="81"/>
      <c r="AV1093" s="81"/>
      <c r="AW1093" s="81"/>
      <c r="AX1093" s="81"/>
      <c r="AY1093" s="81"/>
      <c r="AZ1093" s="81"/>
      <c r="BA1093" s="81"/>
      <c r="BB1093" s="81"/>
    </row>
    <row r="1094" spans="1:54" x14ac:dyDescent="0.35">
      <c r="A1094" s="66" t="s">
        <v>479</v>
      </c>
      <c r="B1094" s="66" t="s">
        <v>647</v>
      </c>
      <c r="C1094" s="67"/>
      <c r="D1094" s="68"/>
      <c r="E1094" s="69"/>
      <c r="F1094" s="70"/>
      <c r="G1094" s="67"/>
      <c r="H1094" s="71"/>
      <c r="I1094" s="72"/>
      <c r="J1094" s="72"/>
      <c r="K1094" s="36"/>
      <c r="L1094" s="79"/>
      <c r="M1094" s="79"/>
      <c r="N1094" s="74"/>
      <c r="O1094" s="81" t="s">
        <v>694</v>
      </c>
      <c r="P1094" s="83">
        <v>44464.647337962961</v>
      </c>
      <c r="Q1094" s="81" t="s">
        <v>802</v>
      </c>
      <c r="R1094" s="81"/>
      <c r="S1094" s="81"/>
      <c r="T1094" s="86" t="s">
        <v>649</v>
      </c>
      <c r="U1094" s="84" t="str">
        <f>HYPERLINK("https://pbs.twimg.com/media/FAEa_mFUYAcoKUu.jpg")</f>
        <v>https://pbs.twimg.com/media/FAEa_mFUYAcoKUu.jpg</v>
      </c>
      <c r="V1094" s="84" t="str">
        <f>HYPERLINK("https://pbs.twimg.com/media/FAEa_mFUYAcoKUu.jpg")</f>
        <v>https://pbs.twimg.com/media/FAEa_mFUYAcoKUu.jpg</v>
      </c>
      <c r="W1094" s="83">
        <v>44464.647337962961</v>
      </c>
      <c r="X1094" s="89">
        <v>44464</v>
      </c>
      <c r="Y1094" s="86" t="s">
        <v>1332</v>
      </c>
      <c r="Z1094" s="84" t="str">
        <f>HYPERLINK("https://twitter.com/artsyyflower/status/1441787621051490309")</f>
        <v>https://twitter.com/artsyyflower/status/1441787621051490309</v>
      </c>
      <c r="AA1094" s="81"/>
      <c r="AB1094" s="81"/>
      <c r="AC1094" s="86" t="s">
        <v>1828</v>
      </c>
      <c r="AD1094" s="81"/>
      <c r="AE1094" s="81" t="b">
        <v>0</v>
      </c>
      <c r="AF1094" s="81">
        <v>0</v>
      </c>
      <c r="AG1094" s="86" t="s">
        <v>2084</v>
      </c>
      <c r="AH1094" s="81" t="b">
        <v>0</v>
      </c>
      <c r="AI1094" s="81" t="s">
        <v>2168</v>
      </c>
      <c r="AJ1094" s="81"/>
      <c r="AK1094" s="86" t="s">
        <v>2084</v>
      </c>
      <c r="AL1094" s="81" t="b">
        <v>0</v>
      </c>
      <c r="AM1094" s="81">
        <v>24</v>
      </c>
      <c r="AN1094" s="86" t="s">
        <v>1848</v>
      </c>
      <c r="AO1094" s="86" t="s">
        <v>2178</v>
      </c>
      <c r="AP1094" s="81" t="b">
        <v>0</v>
      </c>
      <c r="AQ1094" s="86" t="s">
        <v>1848</v>
      </c>
      <c r="AR1094" s="81" t="s">
        <v>179</v>
      </c>
      <c r="AS1094" s="81">
        <v>0</v>
      </c>
      <c r="AT1094" s="81">
        <v>0</v>
      </c>
      <c r="AU1094" s="81"/>
      <c r="AV1094" s="81"/>
      <c r="AW1094" s="81"/>
      <c r="AX1094" s="81"/>
      <c r="AY1094" s="81"/>
      <c r="AZ1094" s="81"/>
      <c r="BA1094" s="81"/>
      <c r="BB1094" s="81"/>
    </row>
    <row r="1095" spans="1:54" x14ac:dyDescent="0.35">
      <c r="A1095" s="66" t="s">
        <v>479</v>
      </c>
      <c r="B1095" s="66" t="s">
        <v>648</v>
      </c>
      <c r="C1095" s="67"/>
      <c r="D1095" s="68"/>
      <c r="E1095" s="69"/>
      <c r="F1095" s="70"/>
      <c r="G1095" s="67"/>
      <c r="H1095" s="71"/>
      <c r="I1095" s="72"/>
      <c r="J1095" s="72"/>
      <c r="K1095" s="36"/>
      <c r="L1095" s="79"/>
      <c r="M1095" s="79"/>
      <c r="N1095" s="74"/>
      <c r="O1095" s="81" t="s">
        <v>694</v>
      </c>
      <c r="P1095" s="83">
        <v>44464.647337962961</v>
      </c>
      <c r="Q1095" s="81" t="s">
        <v>802</v>
      </c>
      <c r="R1095" s="81"/>
      <c r="S1095" s="81"/>
      <c r="T1095" s="86" t="s">
        <v>649</v>
      </c>
      <c r="U1095" s="84" t="str">
        <f>HYPERLINK("https://pbs.twimg.com/media/FAEa_mFUYAcoKUu.jpg")</f>
        <v>https://pbs.twimg.com/media/FAEa_mFUYAcoKUu.jpg</v>
      </c>
      <c r="V1095" s="84" t="str">
        <f>HYPERLINK("https://pbs.twimg.com/media/FAEa_mFUYAcoKUu.jpg")</f>
        <v>https://pbs.twimg.com/media/FAEa_mFUYAcoKUu.jpg</v>
      </c>
      <c r="W1095" s="83">
        <v>44464.647337962961</v>
      </c>
      <c r="X1095" s="89">
        <v>44464</v>
      </c>
      <c r="Y1095" s="86" t="s">
        <v>1332</v>
      </c>
      <c r="Z1095" s="84" t="str">
        <f>HYPERLINK("https://twitter.com/artsyyflower/status/1441787621051490309")</f>
        <v>https://twitter.com/artsyyflower/status/1441787621051490309</v>
      </c>
      <c r="AA1095" s="81"/>
      <c r="AB1095" s="81"/>
      <c r="AC1095" s="86" t="s">
        <v>1828</v>
      </c>
      <c r="AD1095" s="81"/>
      <c r="AE1095" s="81" t="b">
        <v>0</v>
      </c>
      <c r="AF1095" s="81">
        <v>0</v>
      </c>
      <c r="AG1095" s="86" t="s">
        <v>2084</v>
      </c>
      <c r="AH1095" s="81" t="b">
        <v>0</v>
      </c>
      <c r="AI1095" s="81" t="s">
        <v>2168</v>
      </c>
      <c r="AJ1095" s="81"/>
      <c r="AK1095" s="86" t="s">
        <v>2084</v>
      </c>
      <c r="AL1095" s="81" t="b">
        <v>0</v>
      </c>
      <c r="AM1095" s="81">
        <v>24</v>
      </c>
      <c r="AN1095" s="86" t="s">
        <v>1848</v>
      </c>
      <c r="AO1095" s="86" t="s">
        <v>2178</v>
      </c>
      <c r="AP1095" s="81" t="b">
        <v>0</v>
      </c>
      <c r="AQ1095" s="86" t="s">
        <v>1848</v>
      </c>
      <c r="AR1095" s="81" t="s">
        <v>179</v>
      </c>
      <c r="AS1095" s="81">
        <v>0</v>
      </c>
      <c r="AT1095" s="81">
        <v>0</v>
      </c>
      <c r="AU1095" s="81"/>
      <c r="AV1095" s="81"/>
      <c r="AW1095" s="81"/>
      <c r="AX1095" s="81"/>
      <c r="AY1095" s="81"/>
      <c r="AZ1095" s="81"/>
      <c r="BA1095" s="81"/>
      <c r="BB1095" s="81"/>
    </row>
    <row r="1096" spans="1:54" x14ac:dyDescent="0.35">
      <c r="A1096" s="66" t="s">
        <v>479</v>
      </c>
      <c r="B1096" s="66" t="s">
        <v>649</v>
      </c>
      <c r="C1096" s="67"/>
      <c r="D1096" s="68"/>
      <c r="E1096" s="69"/>
      <c r="F1096" s="70"/>
      <c r="G1096" s="67"/>
      <c r="H1096" s="71"/>
      <c r="I1096" s="72"/>
      <c r="J1096" s="72"/>
      <c r="K1096" s="36"/>
      <c r="L1096" s="79"/>
      <c r="M1096" s="79"/>
      <c r="N1096" s="74"/>
      <c r="O1096" s="81" t="s">
        <v>694</v>
      </c>
      <c r="P1096" s="83">
        <v>44464.647337962961</v>
      </c>
      <c r="Q1096" s="81" t="s">
        <v>802</v>
      </c>
      <c r="R1096" s="81"/>
      <c r="S1096" s="81"/>
      <c r="T1096" s="86" t="s">
        <v>649</v>
      </c>
      <c r="U1096" s="84" t="str">
        <f>HYPERLINK("https://pbs.twimg.com/media/FAEa_mFUYAcoKUu.jpg")</f>
        <v>https://pbs.twimg.com/media/FAEa_mFUYAcoKUu.jpg</v>
      </c>
      <c r="V1096" s="84" t="str">
        <f>HYPERLINK("https://pbs.twimg.com/media/FAEa_mFUYAcoKUu.jpg")</f>
        <v>https://pbs.twimg.com/media/FAEa_mFUYAcoKUu.jpg</v>
      </c>
      <c r="W1096" s="83">
        <v>44464.647337962961</v>
      </c>
      <c r="X1096" s="89">
        <v>44464</v>
      </c>
      <c r="Y1096" s="86" t="s">
        <v>1332</v>
      </c>
      <c r="Z1096" s="84" t="str">
        <f>HYPERLINK("https://twitter.com/artsyyflower/status/1441787621051490309")</f>
        <v>https://twitter.com/artsyyflower/status/1441787621051490309</v>
      </c>
      <c r="AA1096" s="81"/>
      <c r="AB1096" s="81"/>
      <c r="AC1096" s="86" t="s">
        <v>1828</v>
      </c>
      <c r="AD1096" s="81"/>
      <c r="AE1096" s="81" t="b">
        <v>0</v>
      </c>
      <c r="AF1096" s="81">
        <v>0</v>
      </c>
      <c r="AG1096" s="86" t="s">
        <v>2084</v>
      </c>
      <c r="AH1096" s="81" t="b">
        <v>0</v>
      </c>
      <c r="AI1096" s="81" t="s">
        <v>2168</v>
      </c>
      <c r="AJ1096" s="81"/>
      <c r="AK1096" s="86" t="s">
        <v>2084</v>
      </c>
      <c r="AL1096" s="81" t="b">
        <v>0</v>
      </c>
      <c r="AM1096" s="81">
        <v>24</v>
      </c>
      <c r="AN1096" s="86" t="s">
        <v>1848</v>
      </c>
      <c r="AO1096" s="86" t="s">
        <v>2178</v>
      </c>
      <c r="AP1096" s="81" t="b">
        <v>0</v>
      </c>
      <c r="AQ1096" s="86" t="s">
        <v>1848</v>
      </c>
      <c r="AR1096" s="81" t="s">
        <v>179</v>
      </c>
      <c r="AS1096" s="81">
        <v>0</v>
      </c>
      <c r="AT1096" s="81">
        <v>0</v>
      </c>
      <c r="AU1096" s="81"/>
      <c r="AV1096" s="81"/>
      <c r="AW1096" s="81"/>
      <c r="AX1096" s="81"/>
      <c r="AY1096" s="81"/>
      <c r="AZ1096" s="81"/>
      <c r="BA1096" s="81"/>
      <c r="BB1096" s="81"/>
    </row>
    <row r="1097" spans="1:54" x14ac:dyDescent="0.35">
      <c r="A1097" s="66" t="s">
        <v>479</v>
      </c>
      <c r="B1097" s="66" t="s">
        <v>496</v>
      </c>
      <c r="C1097" s="67"/>
      <c r="D1097" s="68"/>
      <c r="E1097" s="69"/>
      <c r="F1097" s="70"/>
      <c r="G1097" s="67"/>
      <c r="H1097" s="71"/>
      <c r="I1097" s="72"/>
      <c r="J1097" s="72"/>
      <c r="K1097" s="36"/>
      <c r="L1097" s="79"/>
      <c r="M1097" s="79"/>
      <c r="N1097" s="74"/>
      <c r="O1097" s="81" t="s">
        <v>693</v>
      </c>
      <c r="P1097" s="83">
        <v>44464.647337962961</v>
      </c>
      <c r="Q1097" s="81" t="s">
        <v>802</v>
      </c>
      <c r="R1097" s="81"/>
      <c r="S1097" s="81"/>
      <c r="T1097" s="86" t="s">
        <v>649</v>
      </c>
      <c r="U1097" s="84" t="str">
        <f>HYPERLINK("https://pbs.twimg.com/media/FAEa_mFUYAcoKUu.jpg")</f>
        <v>https://pbs.twimg.com/media/FAEa_mFUYAcoKUu.jpg</v>
      </c>
      <c r="V1097" s="84" t="str">
        <f>HYPERLINK("https://pbs.twimg.com/media/FAEa_mFUYAcoKUu.jpg")</f>
        <v>https://pbs.twimg.com/media/FAEa_mFUYAcoKUu.jpg</v>
      </c>
      <c r="W1097" s="83">
        <v>44464.647337962961</v>
      </c>
      <c r="X1097" s="89">
        <v>44464</v>
      </c>
      <c r="Y1097" s="86" t="s">
        <v>1332</v>
      </c>
      <c r="Z1097" s="84" t="str">
        <f>HYPERLINK("https://twitter.com/artsyyflower/status/1441787621051490309")</f>
        <v>https://twitter.com/artsyyflower/status/1441787621051490309</v>
      </c>
      <c r="AA1097" s="81"/>
      <c r="AB1097" s="81"/>
      <c r="AC1097" s="86" t="s">
        <v>1828</v>
      </c>
      <c r="AD1097" s="81"/>
      <c r="AE1097" s="81" t="b">
        <v>0</v>
      </c>
      <c r="AF1097" s="81">
        <v>0</v>
      </c>
      <c r="AG1097" s="86" t="s">
        <v>2084</v>
      </c>
      <c r="AH1097" s="81" t="b">
        <v>0</v>
      </c>
      <c r="AI1097" s="81" t="s">
        <v>2168</v>
      </c>
      <c r="AJ1097" s="81"/>
      <c r="AK1097" s="86" t="s">
        <v>2084</v>
      </c>
      <c r="AL1097" s="81" t="b">
        <v>0</v>
      </c>
      <c r="AM1097" s="81">
        <v>24</v>
      </c>
      <c r="AN1097" s="86" t="s">
        <v>1848</v>
      </c>
      <c r="AO1097" s="86" t="s">
        <v>2178</v>
      </c>
      <c r="AP1097" s="81" t="b">
        <v>0</v>
      </c>
      <c r="AQ1097" s="86" t="s">
        <v>1848</v>
      </c>
      <c r="AR1097" s="81" t="s">
        <v>179</v>
      </c>
      <c r="AS1097" s="81">
        <v>0</v>
      </c>
      <c r="AT1097" s="81">
        <v>0</v>
      </c>
      <c r="AU1097" s="81"/>
      <c r="AV1097" s="81"/>
      <c r="AW1097" s="81"/>
      <c r="AX1097" s="81"/>
      <c r="AY1097" s="81"/>
      <c r="AZ1097" s="81"/>
      <c r="BA1097" s="81"/>
      <c r="BB1097" s="81"/>
    </row>
    <row r="1098" spans="1:54" x14ac:dyDescent="0.35">
      <c r="A1098" s="66" t="s">
        <v>4499</v>
      </c>
      <c r="B1098" s="66" t="s">
        <v>5035</v>
      </c>
      <c r="C1098" s="67"/>
      <c r="D1098" s="68"/>
      <c r="E1098" s="69"/>
      <c r="F1098" s="70"/>
      <c r="G1098" s="67"/>
      <c r="H1098" s="71"/>
      <c r="I1098" s="72"/>
      <c r="J1098" s="72"/>
      <c r="K1098" s="36"/>
      <c r="L1098" s="79"/>
      <c r="M1098" s="79"/>
      <c r="N1098" s="74"/>
      <c r="O1098" s="81" t="s">
        <v>696</v>
      </c>
      <c r="P1098" s="83">
        <v>44463.608935185184</v>
      </c>
      <c r="Q1098" s="81" t="s">
        <v>5423</v>
      </c>
      <c r="R1098" s="81"/>
      <c r="S1098" s="81"/>
      <c r="T1098" s="81"/>
      <c r="U1098" s="81"/>
      <c r="V1098" s="84" t="str">
        <f>HYPERLINK("https://pbs.twimg.com/profile_images/1439310462504554500/Ctf1hM5F_normal.jpg")</f>
        <v>https://pbs.twimg.com/profile_images/1439310462504554500/Ctf1hM5F_normal.jpg</v>
      </c>
      <c r="W1098" s="83">
        <v>44463.608935185184</v>
      </c>
      <c r="X1098" s="89">
        <v>44463</v>
      </c>
      <c r="Y1098" s="86" t="s">
        <v>6144</v>
      </c>
      <c r="Z1098" s="84" t="str">
        <f>HYPERLINK("https://twitter.com/analuz1503/status/1441411313960292365")</f>
        <v>https://twitter.com/analuz1503/status/1441411313960292365</v>
      </c>
      <c r="AA1098" s="81"/>
      <c r="AB1098" s="81"/>
      <c r="AC1098" s="86" t="s">
        <v>7051</v>
      </c>
      <c r="AD1098" s="86" t="s">
        <v>7692</v>
      </c>
      <c r="AE1098" s="81" t="b">
        <v>0</v>
      </c>
      <c r="AF1098" s="81">
        <v>33</v>
      </c>
      <c r="AG1098" s="86" t="s">
        <v>7869</v>
      </c>
      <c r="AH1098" s="81" t="b">
        <v>0</v>
      </c>
      <c r="AI1098" s="81" t="s">
        <v>2171</v>
      </c>
      <c r="AJ1098" s="81"/>
      <c r="AK1098" s="86" t="s">
        <v>2084</v>
      </c>
      <c r="AL1098" s="81" t="b">
        <v>0</v>
      </c>
      <c r="AM1098" s="81">
        <v>2</v>
      </c>
      <c r="AN1098" s="86" t="s">
        <v>2084</v>
      </c>
      <c r="AO1098" s="86" t="s">
        <v>2178</v>
      </c>
      <c r="AP1098" s="81" t="b">
        <v>0</v>
      </c>
      <c r="AQ1098" s="86" t="s">
        <v>7692</v>
      </c>
      <c r="AR1098" s="81" t="s">
        <v>179</v>
      </c>
      <c r="AS1098" s="81">
        <v>0</v>
      </c>
      <c r="AT1098" s="81">
        <v>0</v>
      </c>
      <c r="AU1098" s="81"/>
      <c r="AV1098" s="81"/>
      <c r="AW1098" s="81"/>
      <c r="AX1098" s="81"/>
      <c r="AY1098" s="81"/>
      <c r="AZ1098" s="81"/>
      <c r="BA1098" s="81"/>
      <c r="BB1098" s="81"/>
    </row>
    <row r="1099" spans="1:54" x14ac:dyDescent="0.35">
      <c r="A1099" s="66" t="s">
        <v>4500</v>
      </c>
      <c r="B1099" s="66" t="s">
        <v>5035</v>
      </c>
      <c r="C1099" s="67"/>
      <c r="D1099" s="68"/>
      <c r="E1099" s="69"/>
      <c r="F1099" s="70"/>
      <c r="G1099" s="67"/>
      <c r="H1099" s="71"/>
      <c r="I1099" s="72"/>
      <c r="J1099" s="72"/>
      <c r="K1099" s="36"/>
      <c r="L1099" s="79"/>
      <c r="M1099" s="79"/>
      <c r="N1099" s="74"/>
      <c r="O1099" s="81" t="s">
        <v>694</v>
      </c>
      <c r="P1099" s="83">
        <v>44463.625196759262</v>
      </c>
      <c r="Q1099" s="81" t="s">
        <v>5423</v>
      </c>
      <c r="R1099" s="81"/>
      <c r="S1099" s="81"/>
      <c r="T1099" s="81"/>
      <c r="U1099" s="81"/>
      <c r="V1099" s="84" t="str">
        <f>HYPERLINK("https://pbs.twimg.com/profile_images/987503146242109441/ucTRGAGU_normal.jpg")</f>
        <v>https://pbs.twimg.com/profile_images/987503146242109441/ucTRGAGU_normal.jpg</v>
      </c>
      <c r="W1099" s="83">
        <v>44463.625196759262</v>
      </c>
      <c r="X1099" s="89">
        <v>44463</v>
      </c>
      <c r="Y1099" s="86" t="s">
        <v>6145</v>
      </c>
      <c r="Z1099" s="84" t="str">
        <f>HYPERLINK("https://twitter.com/fabiopf08fabio/status/1441417210652618752")</f>
        <v>https://twitter.com/fabiopf08fabio/status/1441417210652618752</v>
      </c>
      <c r="AA1099" s="81"/>
      <c r="AB1099" s="81"/>
      <c r="AC1099" s="86" t="s">
        <v>7052</v>
      </c>
      <c r="AD1099" s="81"/>
      <c r="AE1099" s="81" t="b">
        <v>0</v>
      </c>
      <c r="AF1099" s="81">
        <v>0</v>
      </c>
      <c r="AG1099" s="86" t="s">
        <v>2084</v>
      </c>
      <c r="AH1099" s="81" t="b">
        <v>0</v>
      </c>
      <c r="AI1099" s="81" t="s">
        <v>2171</v>
      </c>
      <c r="AJ1099" s="81"/>
      <c r="AK1099" s="86" t="s">
        <v>2084</v>
      </c>
      <c r="AL1099" s="81" t="b">
        <v>0</v>
      </c>
      <c r="AM1099" s="81">
        <v>2</v>
      </c>
      <c r="AN1099" s="86" t="s">
        <v>7051</v>
      </c>
      <c r="AO1099" s="86" t="s">
        <v>2181</v>
      </c>
      <c r="AP1099" s="81" t="b">
        <v>0</v>
      </c>
      <c r="AQ1099" s="86" t="s">
        <v>7051</v>
      </c>
      <c r="AR1099" s="81" t="s">
        <v>179</v>
      </c>
      <c r="AS1099" s="81">
        <v>0</v>
      </c>
      <c r="AT1099" s="81">
        <v>0</v>
      </c>
      <c r="AU1099" s="81"/>
      <c r="AV1099" s="81"/>
      <c r="AW1099" s="81"/>
      <c r="AX1099" s="81"/>
      <c r="AY1099" s="81"/>
      <c r="AZ1099" s="81"/>
      <c r="BA1099" s="81"/>
      <c r="BB1099" s="81"/>
    </row>
    <row r="1100" spans="1:54" x14ac:dyDescent="0.35">
      <c r="A1100" s="66" t="s">
        <v>4499</v>
      </c>
      <c r="B1100" s="66" t="s">
        <v>5078</v>
      </c>
      <c r="C1100" s="67"/>
      <c r="D1100" s="68"/>
      <c r="E1100" s="69"/>
      <c r="F1100" s="70"/>
      <c r="G1100" s="67"/>
      <c r="H1100" s="71"/>
      <c r="I1100" s="72"/>
      <c r="J1100" s="72"/>
      <c r="K1100" s="36"/>
      <c r="L1100" s="79"/>
      <c r="M1100" s="79"/>
      <c r="N1100" s="74"/>
      <c r="O1100" s="81" t="s">
        <v>695</v>
      </c>
      <c r="P1100" s="83">
        <v>44463.608935185184</v>
      </c>
      <c r="Q1100" s="81" t="s">
        <v>5423</v>
      </c>
      <c r="R1100" s="81"/>
      <c r="S1100" s="81"/>
      <c r="T1100" s="81"/>
      <c r="U1100" s="81"/>
      <c r="V1100" s="84" t="str">
        <f>HYPERLINK("https://pbs.twimg.com/profile_images/1439310462504554500/Ctf1hM5F_normal.jpg")</f>
        <v>https://pbs.twimg.com/profile_images/1439310462504554500/Ctf1hM5F_normal.jpg</v>
      </c>
      <c r="W1100" s="83">
        <v>44463.608935185184</v>
      </c>
      <c r="X1100" s="89">
        <v>44463</v>
      </c>
      <c r="Y1100" s="86" t="s">
        <v>6144</v>
      </c>
      <c r="Z1100" s="84" t="str">
        <f>HYPERLINK("https://twitter.com/analuz1503/status/1441411313960292365")</f>
        <v>https://twitter.com/analuz1503/status/1441411313960292365</v>
      </c>
      <c r="AA1100" s="81"/>
      <c r="AB1100" s="81"/>
      <c r="AC1100" s="86" t="s">
        <v>7051</v>
      </c>
      <c r="AD1100" s="86" t="s">
        <v>7692</v>
      </c>
      <c r="AE1100" s="81" t="b">
        <v>0</v>
      </c>
      <c r="AF1100" s="81">
        <v>33</v>
      </c>
      <c r="AG1100" s="86" t="s">
        <v>7869</v>
      </c>
      <c r="AH1100" s="81" t="b">
        <v>0</v>
      </c>
      <c r="AI1100" s="81" t="s">
        <v>2171</v>
      </c>
      <c r="AJ1100" s="81"/>
      <c r="AK1100" s="86" t="s">
        <v>2084</v>
      </c>
      <c r="AL1100" s="81" t="b">
        <v>0</v>
      </c>
      <c r="AM1100" s="81">
        <v>2</v>
      </c>
      <c r="AN1100" s="86" t="s">
        <v>2084</v>
      </c>
      <c r="AO1100" s="86" t="s">
        <v>2178</v>
      </c>
      <c r="AP1100" s="81" t="b">
        <v>0</v>
      </c>
      <c r="AQ1100" s="86" t="s">
        <v>7692</v>
      </c>
      <c r="AR1100" s="81" t="s">
        <v>179</v>
      </c>
      <c r="AS1100" s="81">
        <v>0</v>
      </c>
      <c r="AT1100" s="81">
        <v>0</v>
      </c>
      <c r="AU1100" s="81"/>
      <c r="AV1100" s="81"/>
      <c r="AW1100" s="81"/>
      <c r="AX1100" s="81"/>
      <c r="AY1100" s="81"/>
      <c r="AZ1100" s="81"/>
      <c r="BA1100" s="81"/>
      <c r="BB1100" s="81"/>
    </row>
    <row r="1101" spans="1:54" x14ac:dyDescent="0.35">
      <c r="A1101" s="66" t="s">
        <v>4500</v>
      </c>
      <c r="B1101" s="66" t="s">
        <v>4499</v>
      </c>
      <c r="C1101" s="67"/>
      <c r="D1101" s="68"/>
      <c r="E1101" s="69"/>
      <c r="F1101" s="70"/>
      <c r="G1101" s="67"/>
      <c r="H1101" s="71"/>
      <c r="I1101" s="72"/>
      <c r="J1101" s="72"/>
      <c r="K1101" s="36"/>
      <c r="L1101" s="79"/>
      <c r="M1101" s="79"/>
      <c r="N1101" s="74"/>
      <c r="O1101" s="81" t="s">
        <v>693</v>
      </c>
      <c r="P1101" s="83">
        <v>44463.625196759262</v>
      </c>
      <c r="Q1101" s="81" t="s">
        <v>5423</v>
      </c>
      <c r="R1101" s="81"/>
      <c r="S1101" s="81"/>
      <c r="T1101" s="81"/>
      <c r="U1101" s="81"/>
      <c r="V1101" s="84" t="str">
        <f>HYPERLINK("https://pbs.twimg.com/profile_images/987503146242109441/ucTRGAGU_normal.jpg")</f>
        <v>https://pbs.twimg.com/profile_images/987503146242109441/ucTRGAGU_normal.jpg</v>
      </c>
      <c r="W1101" s="83">
        <v>44463.625196759262</v>
      </c>
      <c r="X1101" s="89">
        <v>44463</v>
      </c>
      <c r="Y1101" s="86" t="s">
        <v>6145</v>
      </c>
      <c r="Z1101" s="84" t="str">
        <f>HYPERLINK("https://twitter.com/fabiopf08fabio/status/1441417210652618752")</f>
        <v>https://twitter.com/fabiopf08fabio/status/1441417210652618752</v>
      </c>
      <c r="AA1101" s="81"/>
      <c r="AB1101" s="81"/>
      <c r="AC1101" s="86" t="s">
        <v>7052</v>
      </c>
      <c r="AD1101" s="81"/>
      <c r="AE1101" s="81" t="b">
        <v>0</v>
      </c>
      <c r="AF1101" s="81">
        <v>0</v>
      </c>
      <c r="AG1101" s="86" t="s">
        <v>2084</v>
      </c>
      <c r="AH1101" s="81" t="b">
        <v>0</v>
      </c>
      <c r="AI1101" s="81" t="s">
        <v>2171</v>
      </c>
      <c r="AJ1101" s="81"/>
      <c r="AK1101" s="86" t="s">
        <v>2084</v>
      </c>
      <c r="AL1101" s="81" t="b">
        <v>0</v>
      </c>
      <c r="AM1101" s="81">
        <v>2</v>
      </c>
      <c r="AN1101" s="86" t="s">
        <v>7051</v>
      </c>
      <c r="AO1101" s="86" t="s">
        <v>2181</v>
      </c>
      <c r="AP1101" s="81" t="b">
        <v>0</v>
      </c>
      <c r="AQ1101" s="86" t="s">
        <v>7051</v>
      </c>
      <c r="AR1101" s="81" t="s">
        <v>179</v>
      </c>
      <c r="AS1101" s="81">
        <v>0</v>
      </c>
      <c r="AT1101" s="81">
        <v>0</v>
      </c>
      <c r="AU1101" s="81"/>
      <c r="AV1101" s="81"/>
      <c r="AW1101" s="81"/>
      <c r="AX1101" s="81"/>
      <c r="AY1101" s="81"/>
      <c r="AZ1101" s="81"/>
      <c r="BA1101" s="81"/>
      <c r="BB1101" s="81"/>
    </row>
    <row r="1102" spans="1:54" x14ac:dyDescent="0.35">
      <c r="A1102" s="66" t="s">
        <v>4500</v>
      </c>
      <c r="B1102" s="66" t="s">
        <v>5078</v>
      </c>
      <c r="C1102" s="67"/>
      <c r="D1102" s="68"/>
      <c r="E1102" s="69"/>
      <c r="F1102" s="70"/>
      <c r="G1102" s="67"/>
      <c r="H1102" s="71"/>
      <c r="I1102" s="72"/>
      <c r="J1102" s="72"/>
      <c r="K1102" s="36"/>
      <c r="L1102" s="79"/>
      <c r="M1102" s="79"/>
      <c r="N1102" s="74"/>
      <c r="O1102" s="81" t="s">
        <v>695</v>
      </c>
      <c r="P1102" s="83">
        <v>44463.625196759262</v>
      </c>
      <c r="Q1102" s="81" t="s">
        <v>5423</v>
      </c>
      <c r="R1102" s="81"/>
      <c r="S1102" s="81"/>
      <c r="T1102" s="81"/>
      <c r="U1102" s="81"/>
      <c r="V1102" s="84" t="str">
        <f>HYPERLINK("https://pbs.twimg.com/profile_images/987503146242109441/ucTRGAGU_normal.jpg")</f>
        <v>https://pbs.twimg.com/profile_images/987503146242109441/ucTRGAGU_normal.jpg</v>
      </c>
      <c r="W1102" s="83">
        <v>44463.625196759262</v>
      </c>
      <c r="X1102" s="89">
        <v>44463</v>
      </c>
      <c r="Y1102" s="86" t="s">
        <v>6145</v>
      </c>
      <c r="Z1102" s="84" t="str">
        <f>HYPERLINK("https://twitter.com/fabiopf08fabio/status/1441417210652618752")</f>
        <v>https://twitter.com/fabiopf08fabio/status/1441417210652618752</v>
      </c>
      <c r="AA1102" s="81"/>
      <c r="AB1102" s="81"/>
      <c r="AC1102" s="86" t="s">
        <v>7052</v>
      </c>
      <c r="AD1102" s="81"/>
      <c r="AE1102" s="81" t="b">
        <v>0</v>
      </c>
      <c r="AF1102" s="81">
        <v>0</v>
      </c>
      <c r="AG1102" s="86" t="s">
        <v>2084</v>
      </c>
      <c r="AH1102" s="81" t="b">
        <v>0</v>
      </c>
      <c r="AI1102" s="81" t="s">
        <v>2171</v>
      </c>
      <c r="AJ1102" s="81"/>
      <c r="AK1102" s="86" t="s">
        <v>2084</v>
      </c>
      <c r="AL1102" s="81" t="b">
        <v>0</v>
      </c>
      <c r="AM1102" s="81">
        <v>2</v>
      </c>
      <c r="AN1102" s="86" t="s">
        <v>7051</v>
      </c>
      <c r="AO1102" s="86" t="s">
        <v>2181</v>
      </c>
      <c r="AP1102" s="81" t="b">
        <v>0</v>
      </c>
      <c r="AQ1102" s="86" t="s">
        <v>7051</v>
      </c>
      <c r="AR1102" s="81" t="s">
        <v>179</v>
      </c>
      <c r="AS1102" s="81">
        <v>0</v>
      </c>
      <c r="AT1102" s="81">
        <v>0</v>
      </c>
      <c r="AU1102" s="81"/>
      <c r="AV1102" s="81"/>
      <c r="AW1102" s="81"/>
      <c r="AX1102" s="81"/>
      <c r="AY1102" s="81"/>
      <c r="AZ1102" s="81"/>
      <c r="BA1102" s="81"/>
      <c r="BB1102" s="81"/>
    </row>
    <row r="1103" spans="1:54" x14ac:dyDescent="0.35">
      <c r="A1103" s="66" t="s">
        <v>4501</v>
      </c>
      <c r="B1103" s="66" t="s">
        <v>4501</v>
      </c>
      <c r="C1103" s="67"/>
      <c r="D1103" s="68"/>
      <c r="E1103" s="69"/>
      <c r="F1103" s="70"/>
      <c r="G1103" s="67"/>
      <c r="H1103" s="71"/>
      <c r="I1103" s="72"/>
      <c r="J1103" s="72"/>
      <c r="K1103" s="36"/>
      <c r="L1103" s="79"/>
      <c r="M1103" s="79"/>
      <c r="N1103" s="74"/>
      <c r="O1103" s="81" t="s">
        <v>179</v>
      </c>
      <c r="P1103" s="83">
        <v>44461.431342592594</v>
      </c>
      <c r="Q1103" s="81" t="s">
        <v>5467</v>
      </c>
      <c r="R1103" s="84" t="str">
        <f>HYPERLINK("https://sicnoticias.pt/saude-e-bem-estar/2021-09-22-Recuperados-do-cancro-da-cabeca-e-pescoco-sentem-falta-de-acompanhamento-no-pos-tratamento-84e343d9")</f>
        <v>https://sicnoticias.pt/saude-e-bem-estar/2021-09-22-Recuperados-do-cancro-da-cabeca-e-pescoco-sentem-falta-de-acompanhamento-no-pos-tratamento-84e343d9</v>
      </c>
      <c r="S1103" s="81" t="s">
        <v>5707</v>
      </c>
      <c r="T1103" s="81"/>
      <c r="U1103" s="81"/>
      <c r="V1103" s="84" t="str">
        <f>HYPERLINK("https://pbs.twimg.com/profile_images/1346051709643186176/a4XPfLCj_normal.jpg")</f>
        <v>https://pbs.twimg.com/profile_images/1346051709643186176/a4XPfLCj_normal.jpg</v>
      </c>
      <c r="W1103" s="83">
        <v>44461.431342592594</v>
      </c>
      <c r="X1103" s="89">
        <v>44461</v>
      </c>
      <c r="Y1103" s="86" t="s">
        <v>6146</v>
      </c>
      <c r="Z1103" s="84" t="str">
        <f>HYPERLINK("https://twitter.com/sicnoticias/status/1440622181663215622")</f>
        <v>https://twitter.com/sicnoticias/status/1440622181663215622</v>
      </c>
      <c r="AA1103" s="81"/>
      <c r="AB1103" s="81"/>
      <c r="AC1103" s="86" t="s">
        <v>7053</v>
      </c>
      <c r="AD1103" s="81"/>
      <c r="AE1103" s="81" t="b">
        <v>0</v>
      </c>
      <c r="AF1103" s="81">
        <v>3</v>
      </c>
      <c r="AG1103" s="86" t="s">
        <v>2084</v>
      </c>
      <c r="AH1103" s="81" t="b">
        <v>0</v>
      </c>
      <c r="AI1103" s="81" t="s">
        <v>2171</v>
      </c>
      <c r="AJ1103" s="81"/>
      <c r="AK1103" s="86" t="s">
        <v>2084</v>
      </c>
      <c r="AL1103" s="81" t="b">
        <v>0</v>
      </c>
      <c r="AM1103" s="81">
        <v>0</v>
      </c>
      <c r="AN1103" s="86" t="s">
        <v>2084</v>
      </c>
      <c r="AO1103" s="86" t="s">
        <v>7976</v>
      </c>
      <c r="AP1103" s="81" t="b">
        <v>0</v>
      </c>
      <c r="AQ1103" s="86" t="s">
        <v>7053</v>
      </c>
      <c r="AR1103" s="81" t="s">
        <v>179</v>
      </c>
      <c r="AS1103" s="81">
        <v>0</v>
      </c>
      <c r="AT1103" s="81">
        <v>0</v>
      </c>
      <c r="AU1103" s="81"/>
      <c r="AV1103" s="81"/>
      <c r="AW1103" s="81"/>
      <c r="AX1103" s="81"/>
      <c r="AY1103" s="81"/>
      <c r="AZ1103" s="81"/>
      <c r="BA1103" s="81"/>
      <c r="BB1103" s="81"/>
    </row>
    <row r="1104" spans="1:54" x14ac:dyDescent="0.35">
      <c r="A1104" s="66" t="s">
        <v>4501</v>
      </c>
      <c r="B1104" s="66" t="s">
        <v>4501</v>
      </c>
      <c r="C1104" s="67"/>
      <c r="D1104" s="68"/>
      <c r="E1104" s="69"/>
      <c r="F1104" s="70"/>
      <c r="G1104" s="67"/>
      <c r="H1104" s="71"/>
      <c r="I1104" s="72"/>
      <c r="J1104" s="72"/>
      <c r="K1104" s="36"/>
      <c r="L1104" s="79"/>
      <c r="M1104" s="79"/>
      <c r="N1104" s="74"/>
      <c r="O1104" s="81" t="s">
        <v>179</v>
      </c>
      <c r="P1104" s="83">
        <v>44461.792546296296</v>
      </c>
      <c r="Q1104" s="81" t="s">
        <v>5468</v>
      </c>
      <c r="R1104" s="84" t="str">
        <f>HYPERLINK("https://sicnoticias.pt/desporto/2021-09-22-Barcelona-pos-Messi-clube-continua-em-crise-e6fba721")</f>
        <v>https://sicnoticias.pt/desporto/2021-09-22-Barcelona-pos-Messi-clube-continua-em-crise-e6fba721</v>
      </c>
      <c r="S1104" s="81" t="s">
        <v>5707</v>
      </c>
      <c r="T1104" s="81"/>
      <c r="U1104" s="81"/>
      <c r="V1104" s="84" t="str">
        <f>HYPERLINK("https://pbs.twimg.com/profile_images/1346051709643186176/a4XPfLCj_normal.jpg")</f>
        <v>https://pbs.twimg.com/profile_images/1346051709643186176/a4XPfLCj_normal.jpg</v>
      </c>
      <c r="W1104" s="83">
        <v>44461.792546296296</v>
      </c>
      <c r="X1104" s="89">
        <v>44461</v>
      </c>
      <c r="Y1104" s="86" t="s">
        <v>6147</v>
      </c>
      <c r="Z1104" s="84" t="str">
        <f>HYPERLINK("https://twitter.com/sicnoticias/status/1440753079620493312")</f>
        <v>https://twitter.com/sicnoticias/status/1440753079620493312</v>
      </c>
      <c r="AA1104" s="81"/>
      <c r="AB1104" s="81"/>
      <c r="AC1104" s="86" t="s">
        <v>7054</v>
      </c>
      <c r="AD1104" s="81"/>
      <c r="AE1104" s="81" t="b">
        <v>0</v>
      </c>
      <c r="AF1104" s="81">
        <v>1</v>
      </c>
      <c r="AG1104" s="86" t="s">
        <v>2084</v>
      </c>
      <c r="AH1104" s="81" t="b">
        <v>0</v>
      </c>
      <c r="AI1104" s="81" t="s">
        <v>2171</v>
      </c>
      <c r="AJ1104" s="81"/>
      <c r="AK1104" s="86" t="s">
        <v>2084</v>
      </c>
      <c r="AL1104" s="81" t="b">
        <v>0</v>
      </c>
      <c r="AM1104" s="81">
        <v>0</v>
      </c>
      <c r="AN1104" s="86" t="s">
        <v>2084</v>
      </c>
      <c r="AO1104" s="86" t="s">
        <v>7976</v>
      </c>
      <c r="AP1104" s="81" t="b">
        <v>0</v>
      </c>
      <c r="AQ1104" s="86" t="s">
        <v>7054</v>
      </c>
      <c r="AR1104" s="81" t="s">
        <v>179</v>
      </c>
      <c r="AS1104" s="81">
        <v>0</v>
      </c>
      <c r="AT1104" s="81">
        <v>0</v>
      </c>
      <c r="AU1104" s="81"/>
      <c r="AV1104" s="81"/>
      <c r="AW1104" s="81"/>
      <c r="AX1104" s="81"/>
      <c r="AY1104" s="81"/>
      <c r="AZ1104" s="81"/>
      <c r="BA1104" s="81"/>
      <c r="BB1104" s="81"/>
    </row>
    <row r="1105" spans="1:54" x14ac:dyDescent="0.35">
      <c r="A1105" s="66" t="s">
        <v>4501</v>
      </c>
      <c r="B1105" s="66" t="s">
        <v>4501</v>
      </c>
      <c r="C1105" s="67"/>
      <c r="D1105" s="68"/>
      <c r="E1105" s="69"/>
      <c r="F1105" s="70"/>
      <c r="G1105" s="67"/>
      <c r="H1105" s="71"/>
      <c r="I1105" s="72"/>
      <c r="J1105" s="72"/>
      <c r="K1105" s="36"/>
      <c r="L1105" s="79"/>
      <c r="M1105" s="79"/>
      <c r="N1105" s="74"/>
      <c r="O1105" s="81" t="s">
        <v>179</v>
      </c>
      <c r="P1105" s="83">
        <v>44463.886192129627</v>
      </c>
      <c r="Q1105" s="81" t="s">
        <v>5469</v>
      </c>
      <c r="R1105" s="84" t="str">
        <f>HYPERLINK("https://sicnoticias.pt/mundo/2021-09-24-O-complexo-e-imprevisivel-pos-Merkel-a140afd9")</f>
        <v>https://sicnoticias.pt/mundo/2021-09-24-O-complexo-e-imprevisivel-pos-Merkel-a140afd9</v>
      </c>
      <c r="S1105" s="81" t="s">
        <v>5707</v>
      </c>
      <c r="T1105" s="81"/>
      <c r="U1105" s="81"/>
      <c r="V1105" s="84" t="str">
        <f>HYPERLINK("https://pbs.twimg.com/profile_images/1346051709643186176/a4XPfLCj_normal.jpg")</f>
        <v>https://pbs.twimg.com/profile_images/1346051709643186176/a4XPfLCj_normal.jpg</v>
      </c>
      <c r="W1105" s="83">
        <v>44463.886192129627</v>
      </c>
      <c r="X1105" s="89">
        <v>44463</v>
      </c>
      <c r="Y1105" s="86" t="s">
        <v>6148</v>
      </c>
      <c r="Z1105" s="84" t="str">
        <f>HYPERLINK("https://twitter.com/sicnoticias/status/1441511788609040385")</f>
        <v>https://twitter.com/sicnoticias/status/1441511788609040385</v>
      </c>
      <c r="AA1105" s="81"/>
      <c r="AB1105" s="81"/>
      <c r="AC1105" s="86" t="s">
        <v>7055</v>
      </c>
      <c r="AD1105" s="81"/>
      <c r="AE1105" s="81" t="b">
        <v>0</v>
      </c>
      <c r="AF1105" s="81">
        <v>2</v>
      </c>
      <c r="AG1105" s="86" t="s">
        <v>2084</v>
      </c>
      <c r="AH1105" s="81" t="b">
        <v>0</v>
      </c>
      <c r="AI1105" s="81" t="s">
        <v>2171</v>
      </c>
      <c r="AJ1105" s="81"/>
      <c r="AK1105" s="86" t="s">
        <v>2084</v>
      </c>
      <c r="AL1105" s="81" t="b">
        <v>0</v>
      </c>
      <c r="AM1105" s="81">
        <v>0</v>
      </c>
      <c r="AN1105" s="86" t="s">
        <v>2084</v>
      </c>
      <c r="AO1105" s="86" t="s">
        <v>7976</v>
      </c>
      <c r="AP1105" s="81" t="b">
        <v>0</v>
      </c>
      <c r="AQ1105" s="86" t="s">
        <v>7055</v>
      </c>
      <c r="AR1105" s="81" t="s">
        <v>179</v>
      </c>
      <c r="AS1105" s="81">
        <v>0</v>
      </c>
      <c r="AT1105" s="81">
        <v>0</v>
      </c>
      <c r="AU1105" s="81"/>
      <c r="AV1105" s="81"/>
      <c r="AW1105" s="81"/>
      <c r="AX1105" s="81"/>
      <c r="AY1105" s="81"/>
      <c r="AZ1105" s="81"/>
      <c r="BA1105" s="81"/>
      <c r="BB1105" s="81"/>
    </row>
    <row r="1106" spans="1:54" x14ac:dyDescent="0.35">
      <c r="A1106" s="66" t="s">
        <v>4500</v>
      </c>
      <c r="B1106" s="66" t="s">
        <v>4501</v>
      </c>
      <c r="C1106" s="67"/>
      <c r="D1106" s="68"/>
      <c r="E1106" s="69"/>
      <c r="F1106" s="70"/>
      <c r="G1106" s="67"/>
      <c r="H1106" s="71"/>
      <c r="I1106" s="72"/>
      <c r="J1106" s="72"/>
      <c r="K1106" s="36"/>
      <c r="L1106" s="79"/>
      <c r="M1106" s="79"/>
      <c r="N1106" s="74"/>
      <c r="O1106" s="81" t="s">
        <v>696</v>
      </c>
      <c r="P1106" s="83">
        <v>44464.648587962962</v>
      </c>
      <c r="Q1106" s="81" t="s">
        <v>5470</v>
      </c>
      <c r="R1106" s="84" t="str">
        <f>HYPERLINK("https://sicnoticias.pt/mundo/2021-09-24-O-complexo-e-imprevisivel-pos-Merkel-a140afd9")</f>
        <v>https://sicnoticias.pt/mundo/2021-09-24-O-complexo-e-imprevisivel-pos-Merkel-a140afd9</v>
      </c>
      <c r="S1106" s="81" t="s">
        <v>5707</v>
      </c>
      <c r="T1106" s="81"/>
      <c r="U1106" s="81"/>
      <c r="V1106" s="84" t="str">
        <f>HYPERLINK("https://pbs.twimg.com/profile_images/987503146242109441/ucTRGAGU_normal.jpg")</f>
        <v>https://pbs.twimg.com/profile_images/987503146242109441/ucTRGAGU_normal.jpg</v>
      </c>
      <c r="W1106" s="83">
        <v>44464.648587962962</v>
      </c>
      <c r="X1106" s="89">
        <v>44464</v>
      </c>
      <c r="Y1106" s="86" t="s">
        <v>5988</v>
      </c>
      <c r="Z1106" s="84" t="str">
        <f>HYPERLINK("https://twitter.com/fabiopf08fabio/status/1441788072702644233")</f>
        <v>https://twitter.com/fabiopf08fabio/status/1441788072702644233</v>
      </c>
      <c r="AA1106" s="81"/>
      <c r="AB1106" s="81"/>
      <c r="AC1106" s="86" t="s">
        <v>7056</v>
      </c>
      <c r="AD1106" s="81"/>
      <c r="AE1106" s="81" t="b">
        <v>0</v>
      </c>
      <c r="AF1106" s="81">
        <v>2</v>
      </c>
      <c r="AG1106" s="86" t="s">
        <v>2084</v>
      </c>
      <c r="AH1106" s="81" t="b">
        <v>0</v>
      </c>
      <c r="AI1106" s="81" t="s">
        <v>2171</v>
      </c>
      <c r="AJ1106" s="81"/>
      <c r="AK1106" s="86" t="s">
        <v>2084</v>
      </c>
      <c r="AL1106" s="81" t="b">
        <v>0</v>
      </c>
      <c r="AM1106" s="81">
        <v>0</v>
      </c>
      <c r="AN1106" s="86" t="s">
        <v>2084</v>
      </c>
      <c r="AO1106" s="86" t="s">
        <v>2181</v>
      </c>
      <c r="AP1106" s="81" t="b">
        <v>0</v>
      </c>
      <c r="AQ1106" s="86" t="s">
        <v>7056</v>
      </c>
      <c r="AR1106" s="81" t="s">
        <v>179</v>
      </c>
      <c r="AS1106" s="81">
        <v>0</v>
      </c>
      <c r="AT1106" s="81">
        <v>0</v>
      </c>
      <c r="AU1106" s="81"/>
      <c r="AV1106" s="81"/>
      <c r="AW1106" s="81"/>
      <c r="AX1106" s="81"/>
      <c r="AY1106" s="81"/>
      <c r="AZ1106" s="81"/>
      <c r="BA1106" s="81"/>
      <c r="BB1106" s="81"/>
    </row>
    <row r="1107" spans="1:54" x14ac:dyDescent="0.35">
      <c r="A1107" s="66" t="s">
        <v>4502</v>
      </c>
      <c r="B1107" s="66" t="s">
        <v>4797</v>
      </c>
      <c r="C1107" s="67"/>
      <c r="D1107" s="68"/>
      <c r="E1107" s="69"/>
      <c r="F1107" s="70"/>
      <c r="G1107" s="67"/>
      <c r="H1107" s="71"/>
      <c r="I1107" s="72"/>
      <c r="J1107" s="72"/>
      <c r="K1107" s="36"/>
      <c r="L1107" s="79"/>
      <c r="M1107" s="79"/>
      <c r="N1107" s="74"/>
      <c r="O1107" s="81" t="s">
        <v>693</v>
      </c>
      <c r="P1107" s="83">
        <v>44464.650659722225</v>
      </c>
      <c r="Q1107" s="81" t="s">
        <v>5435</v>
      </c>
      <c r="R110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107" s="81" t="s">
        <v>5686</v>
      </c>
      <c r="T1107" s="81"/>
      <c r="U1107" s="81"/>
      <c r="V1107" s="84" t="str">
        <f>HYPERLINK("https://pbs.twimg.com/profile_images/1421165962800373764/D84bOXcA_normal.jpg")</f>
        <v>https://pbs.twimg.com/profile_images/1421165962800373764/D84bOXcA_normal.jpg</v>
      </c>
      <c r="W1107" s="83">
        <v>44464.650659722225</v>
      </c>
      <c r="X1107" s="89">
        <v>44464</v>
      </c>
      <c r="Y1107" s="86" t="s">
        <v>6149</v>
      </c>
      <c r="Z1107" s="84" t="str">
        <f>HYPERLINK("https://twitter.com/polemmicodvj/status/1441788822736408581")</f>
        <v>https://twitter.com/polemmicodvj/status/1441788822736408581</v>
      </c>
      <c r="AA1107" s="81"/>
      <c r="AB1107" s="81"/>
      <c r="AC1107" s="86" t="s">
        <v>7057</v>
      </c>
      <c r="AD1107" s="81"/>
      <c r="AE1107" s="81" t="b">
        <v>0</v>
      </c>
      <c r="AF1107" s="81">
        <v>0</v>
      </c>
      <c r="AG1107" s="86" t="s">
        <v>2084</v>
      </c>
      <c r="AH1107" s="81" t="b">
        <v>0</v>
      </c>
      <c r="AI1107" s="81" t="s">
        <v>2173</v>
      </c>
      <c r="AJ1107" s="81"/>
      <c r="AK1107" s="86" t="s">
        <v>2084</v>
      </c>
      <c r="AL1107" s="81" t="b">
        <v>0</v>
      </c>
      <c r="AM1107" s="81">
        <v>21</v>
      </c>
      <c r="AN1107" s="86" t="s">
        <v>7358</v>
      </c>
      <c r="AO1107" s="86" t="s">
        <v>2181</v>
      </c>
      <c r="AP1107" s="81" t="b">
        <v>0</v>
      </c>
      <c r="AQ1107" s="86" t="s">
        <v>7358</v>
      </c>
      <c r="AR1107" s="81" t="s">
        <v>179</v>
      </c>
      <c r="AS1107" s="81">
        <v>0</v>
      </c>
      <c r="AT1107" s="81">
        <v>0</v>
      </c>
      <c r="AU1107" s="81"/>
      <c r="AV1107" s="81"/>
      <c r="AW1107" s="81"/>
      <c r="AX1107" s="81"/>
      <c r="AY1107" s="81"/>
      <c r="AZ1107" s="81"/>
      <c r="BA1107" s="81"/>
      <c r="BB1107" s="81"/>
    </row>
    <row r="1108" spans="1:54" x14ac:dyDescent="0.35">
      <c r="A1108" s="66" t="s">
        <v>4502</v>
      </c>
      <c r="B1108" s="66" t="s">
        <v>5085</v>
      </c>
      <c r="C1108" s="67"/>
      <c r="D1108" s="68"/>
      <c r="E1108" s="69"/>
      <c r="F1108" s="70"/>
      <c r="G1108" s="67"/>
      <c r="H1108" s="71"/>
      <c r="I1108" s="72"/>
      <c r="J1108" s="72"/>
      <c r="K1108" s="36"/>
      <c r="L1108" s="79"/>
      <c r="M1108" s="79"/>
      <c r="N1108" s="74"/>
      <c r="O1108" s="81" t="s">
        <v>695</v>
      </c>
      <c r="P1108" s="83">
        <v>44464.650659722225</v>
      </c>
      <c r="Q1108" s="81" t="s">
        <v>5435</v>
      </c>
      <c r="R110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108" s="81" t="s">
        <v>5686</v>
      </c>
      <c r="T1108" s="81"/>
      <c r="U1108" s="81"/>
      <c r="V1108" s="84" t="str">
        <f>HYPERLINK("https://pbs.twimg.com/profile_images/1421165962800373764/D84bOXcA_normal.jpg")</f>
        <v>https://pbs.twimg.com/profile_images/1421165962800373764/D84bOXcA_normal.jpg</v>
      </c>
      <c r="W1108" s="83">
        <v>44464.650659722225</v>
      </c>
      <c r="X1108" s="89">
        <v>44464</v>
      </c>
      <c r="Y1108" s="86" t="s">
        <v>6149</v>
      </c>
      <c r="Z1108" s="84" t="str">
        <f>HYPERLINK("https://twitter.com/polemmicodvj/status/1441788822736408581")</f>
        <v>https://twitter.com/polemmicodvj/status/1441788822736408581</v>
      </c>
      <c r="AA1108" s="81"/>
      <c r="AB1108" s="81"/>
      <c r="AC1108" s="86" t="s">
        <v>7057</v>
      </c>
      <c r="AD1108" s="81"/>
      <c r="AE1108" s="81" t="b">
        <v>0</v>
      </c>
      <c r="AF1108" s="81">
        <v>0</v>
      </c>
      <c r="AG1108" s="86" t="s">
        <v>2084</v>
      </c>
      <c r="AH1108" s="81" t="b">
        <v>0</v>
      </c>
      <c r="AI1108" s="81" t="s">
        <v>2173</v>
      </c>
      <c r="AJ1108" s="81"/>
      <c r="AK1108" s="86" t="s">
        <v>2084</v>
      </c>
      <c r="AL1108" s="81" t="b">
        <v>0</v>
      </c>
      <c r="AM1108" s="81">
        <v>21</v>
      </c>
      <c r="AN1108" s="86" t="s">
        <v>7358</v>
      </c>
      <c r="AO1108" s="86" t="s">
        <v>2181</v>
      </c>
      <c r="AP1108" s="81" t="b">
        <v>0</v>
      </c>
      <c r="AQ1108" s="86" t="s">
        <v>7358</v>
      </c>
      <c r="AR1108" s="81" t="s">
        <v>179</v>
      </c>
      <c r="AS1108" s="81">
        <v>0</v>
      </c>
      <c r="AT1108" s="81">
        <v>0</v>
      </c>
      <c r="AU1108" s="81"/>
      <c r="AV1108" s="81"/>
      <c r="AW1108" s="81"/>
      <c r="AX1108" s="81"/>
      <c r="AY1108" s="81"/>
      <c r="AZ1108" s="81"/>
      <c r="BA1108" s="81"/>
      <c r="BB1108" s="81"/>
    </row>
    <row r="1109" spans="1:54" x14ac:dyDescent="0.35">
      <c r="A1109" s="66" t="s">
        <v>480</v>
      </c>
      <c r="B1109" s="66" t="s">
        <v>646</v>
      </c>
      <c r="C1109" s="67"/>
      <c r="D1109" s="68"/>
      <c r="E1109" s="69"/>
      <c r="F1109" s="70"/>
      <c r="G1109" s="67"/>
      <c r="H1109" s="71"/>
      <c r="I1109" s="72"/>
      <c r="J1109" s="72"/>
      <c r="K1109" s="36"/>
      <c r="L1109" s="79"/>
      <c r="M1109" s="79"/>
      <c r="N1109" s="74"/>
      <c r="O1109" s="81" t="s">
        <v>694</v>
      </c>
      <c r="P1109" s="83">
        <v>44464.66302083333</v>
      </c>
      <c r="Q1109" s="81" t="s">
        <v>802</v>
      </c>
      <c r="R1109" s="81"/>
      <c r="S1109" s="81"/>
      <c r="T1109" s="86" t="s">
        <v>649</v>
      </c>
      <c r="U1109" s="84" t="str">
        <f>HYPERLINK("https://pbs.twimg.com/media/FAEa_mFUYAcoKUu.jpg")</f>
        <v>https://pbs.twimg.com/media/FAEa_mFUYAcoKUu.jpg</v>
      </c>
      <c r="V1109" s="84" t="str">
        <f>HYPERLINK("https://pbs.twimg.com/media/FAEa_mFUYAcoKUu.jpg")</f>
        <v>https://pbs.twimg.com/media/FAEa_mFUYAcoKUu.jpg</v>
      </c>
      <c r="W1109" s="83">
        <v>44464.66302083333</v>
      </c>
      <c r="X1109" s="89">
        <v>44464</v>
      </c>
      <c r="Y1109" s="86" t="s">
        <v>1333</v>
      </c>
      <c r="Z1109" s="84" t="str">
        <f>HYPERLINK("https://twitter.com/flirtswkook/status/1441793304425689095")</f>
        <v>https://twitter.com/flirtswkook/status/1441793304425689095</v>
      </c>
      <c r="AA1109" s="81"/>
      <c r="AB1109" s="81"/>
      <c r="AC1109" s="86" t="s">
        <v>1829</v>
      </c>
      <c r="AD1109" s="81"/>
      <c r="AE1109" s="81" t="b">
        <v>0</v>
      </c>
      <c r="AF1109" s="81">
        <v>0</v>
      </c>
      <c r="AG1109" s="86" t="s">
        <v>2084</v>
      </c>
      <c r="AH1109" s="81" t="b">
        <v>0</v>
      </c>
      <c r="AI1109" s="81" t="s">
        <v>2168</v>
      </c>
      <c r="AJ1109" s="81"/>
      <c r="AK1109" s="86" t="s">
        <v>2084</v>
      </c>
      <c r="AL1109" s="81" t="b">
        <v>0</v>
      </c>
      <c r="AM1109" s="81">
        <v>24</v>
      </c>
      <c r="AN1109" s="86" t="s">
        <v>1848</v>
      </c>
      <c r="AO1109" s="86" t="s">
        <v>2178</v>
      </c>
      <c r="AP1109" s="81" t="b">
        <v>0</v>
      </c>
      <c r="AQ1109" s="86" t="s">
        <v>1848</v>
      </c>
      <c r="AR1109" s="81" t="s">
        <v>179</v>
      </c>
      <c r="AS1109" s="81">
        <v>0</v>
      </c>
      <c r="AT1109" s="81">
        <v>0</v>
      </c>
      <c r="AU1109" s="81"/>
      <c r="AV1109" s="81"/>
      <c r="AW1109" s="81"/>
      <c r="AX1109" s="81"/>
      <c r="AY1109" s="81"/>
      <c r="AZ1109" s="81"/>
      <c r="BA1109" s="81"/>
      <c r="BB1109" s="81"/>
    </row>
    <row r="1110" spans="1:54" x14ac:dyDescent="0.35">
      <c r="A1110" s="66" t="s">
        <v>480</v>
      </c>
      <c r="B1110" s="66" t="s">
        <v>647</v>
      </c>
      <c r="C1110" s="67"/>
      <c r="D1110" s="68"/>
      <c r="E1110" s="69"/>
      <c r="F1110" s="70"/>
      <c r="G1110" s="67"/>
      <c r="H1110" s="71"/>
      <c r="I1110" s="72"/>
      <c r="J1110" s="72"/>
      <c r="K1110" s="36"/>
      <c r="L1110" s="79"/>
      <c r="M1110" s="79"/>
      <c r="N1110" s="74"/>
      <c r="O1110" s="81" t="s">
        <v>694</v>
      </c>
      <c r="P1110" s="83">
        <v>44464.66302083333</v>
      </c>
      <c r="Q1110" s="81" t="s">
        <v>802</v>
      </c>
      <c r="R1110" s="81"/>
      <c r="S1110" s="81"/>
      <c r="T1110" s="86" t="s">
        <v>649</v>
      </c>
      <c r="U1110" s="84" t="str">
        <f>HYPERLINK("https://pbs.twimg.com/media/FAEa_mFUYAcoKUu.jpg")</f>
        <v>https://pbs.twimg.com/media/FAEa_mFUYAcoKUu.jpg</v>
      </c>
      <c r="V1110" s="84" t="str">
        <f>HYPERLINK("https://pbs.twimg.com/media/FAEa_mFUYAcoKUu.jpg")</f>
        <v>https://pbs.twimg.com/media/FAEa_mFUYAcoKUu.jpg</v>
      </c>
      <c r="W1110" s="83">
        <v>44464.66302083333</v>
      </c>
      <c r="X1110" s="89">
        <v>44464</v>
      </c>
      <c r="Y1110" s="86" t="s">
        <v>1333</v>
      </c>
      <c r="Z1110" s="84" t="str">
        <f>HYPERLINK("https://twitter.com/flirtswkook/status/1441793304425689095")</f>
        <v>https://twitter.com/flirtswkook/status/1441793304425689095</v>
      </c>
      <c r="AA1110" s="81"/>
      <c r="AB1110" s="81"/>
      <c r="AC1110" s="86" t="s">
        <v>1829</v>
      </c>
      <c r="AD1110" s="81"/>
      <c r="AE1110" s="81" t="b">
        <v>0</v>
      </c>
      <c r="AF1110" s="81">
        <v>0</v>
      </c>
      <c r="AG1110" s="86" t="s">
        <v>2084</v>
      </c>
      <c r="AH1110" s="81" t="b">
        <v>0</v>
      </c>
      <c r="AI1110" s="81" t="s">
        <v>2168</v>
      </c>
      <c r="AJ1110" s="81"/>
      <c r="AK1110" s="86" t="s">
        <v>2084</v>
      </c>
      <c r="AL1110" s="81" t="b">
        <v>0</v>
      </c>
      <c r="AM1110" s="81">
        <v>24</v>
      </c>
      <c r="AN1110" s="86" t="s">
        <v>1848</v>
      </c>
      <c r="AO1110" s="86" t="s">
        <v>2178</v>
      </c>
      <c r="AP1110" s="81" t="b">
        <v>0</v>
      </c>
      <c r="AQ1110" s="86" t="s">
        <v>1848</v>
      </c>
      <c r="AR1110" s="81" t="s">
        <v>179</v>
      </c>
      <c r="AS1110" s="81">
        <v>0</v>
      </c>
      <c r="AT1110" s="81">
        <v>0</v>
      </c>
      <c r="AU1110" s="81"/>
      <c r="AV1110" s="81"/>
      <c r="AW1110" s="81"/>
      <c r="AX1110" s="81"/>
      <c r="AY1110" s="81"/>
      <c r="AZ1110" s="81"/>
      <c r="BA1110" s="81"/>
      <c r="BB1110" s="81"/>
    </row>
    <row r="1111" spans="1:54" x14ac:dyDescent="0.35">
      <c r="A1111" s="66" t="s">
        <v>480</v>
      </c>
      <c r="B1111" s="66" t="s">
        <v>648</v>
      </c>
      <c r="C1111" s="67"/>
      <c r="D1111" s="68"/>
      <c r="E1111" s="69"/>
      <c r="F1111" s="70"/>
      <c r="G1111" s="67"/>
      <c r="H1111" s="71"/>
      <c r="I1111" s="72"/>
      <c r="J1111" s="72"/>
      <c r="K1111" s="36"/>
      <c r="L1111" s="79"/>
      <c r="M1111" s="79"/>
      <c r="N1111" s="74"/>
      <c r="O1111" s="81" t="s">
        <v>694</v>
      </c>
      <c r="P1111" s="83">
        <v>44464.66302083333</v>
      </c>
      <c r="Q1111" s="81" t="s">
        <v>802</v>
      </c>
      <c r="R1111" s="81"/>
      <c r="S1111" s="81"/>
      <c r="T1111" s="86" t="s">
        <v>649</v>
      </c>
      <c r="U1111" s="84" t="str">
        <f>HYPERLINK("https://pbs.twimg.com/media/FAEa_mFUYAcoKUu.jpg")</f>
        <v>https://pbs.twimg.com/media/FAEa_mFUYAcoKUu.jpg</v>
      </c>
      <c r="V1111" s="84" t="str">
        <f>HYPERLINK("https://pbs.twimg.com/media/FAEa_mFUYAcoKUu.jpg")</f>
        <v>https://pbs.twimg.com/media/FAEa_mFUYAcoKUu.jpg</v>
      </c>
      <c r="W1111" s="83">
        <v>44464.66302083333</v>
      </c>
      <c r="X1111" s="89">
        <v>44464</v>
      </c>
      <c r="Y1111" s="86" t="s">
        <v>1333</v>
      </c>
      <c r="Z1111" s="84" t="str">
        <f>HYPERLINK("https://twitter.com/flirtswkook/status/1441793304425689095")</f>
        <v>https://twitter.com/flirtswkook/status/1441793304425689095</v>
      </c>
      <c r="AA1111" s="81"/>
      <c r="AB1111" s="81"/>
      <c r="AC1111" s="86" t="s">
        <v>1829</v>
      </c>
      <c r="AD1111" s="81"/>
      <c r="AE1111" s="81" t="b">
        <v>0</v>
      </c>
      <c r="AF1111" s="81">
        <v>0</v>
      </c>
      <c r="AG1111" s="86" t="s">
        <v>2084</v>
      </c>
      <c r="AH1111" s="81" t="b">
        <v>0</v>
      </c>
      <c r="AI1111" s="81" t="s">
        <v>2168</v>
      </c>
      <c r="AJ1111" s="81"/>
      <c r="AK1111" s="86" t="s">
        <v>2084</v>
      </c>
      <c r="AL1111" s="81" t="b">
        <v>0</v>
      </c>
      <c r="AM1111" s="81">
        <v>24</v>
      </c>
      <c r="AN1111" s="86" t="s">
        <v>1848</v>
      </c>
      <c r="AO1111" s="86" t="s">
        <v>2178</v>
      </c>
      <c r="AP1111" s="81" t="b">
        <v>0</v>
      </c>
      <c r="AQ1111" s="86" t="s">
        <v>1848</v>
      </c>
      <c r="AR1111" s="81" t="s">
        <v>179</v>
      </c>
      <c r="AS1111" s="81">
        <v>0</v>
      </c>
      <c r="AT1111" s="81">
        <v>0</v>
      </c>
      <c r="AU1111" s="81"/>
      <c r="AV1111" s="81"/>
      <c r="AW1111" s="81"/>
      <c r="AX1111" s="81"/>
      <c r="AY1111" s="81"/>
      <c r="AZ1111" s="81"/>
      <c r="BA1111" s="81"/>
      <c r="BB1111" s="81"/>
    </row>
    <row r="1112" spans="1:54" x14ac:dyDescent="0.35">
      <c r="A1112" s="66" t="s">
        <v>480</v>
      </c>
      <c r="B1112" s="66" t="s">
        <v>649</v>
      </c>
      <c r="C1112" s="67"/>
      <c r="D1112" s="68"/>
      <c r="E1112" s="69"/>
      <c r="F1112" s="70"/>
      <c r="G1112" s="67"/>
      <c r="H1112" s="71"/>
      <c r="I1112" s="72"/>
      <c r="J1112" s="72"/>
      <c r="K1112" s="36"/>
      <c r="L1112" s="79"/>
      <c r="M1112" s="79"/>
      <c r="N1112" s="74"/>
      <c r="O1112" s="81" t="s">
        <v>694</v>
      </c>
      <c r="P1112" s="83">
        <v>44464.66302083333</v>
      </c>
      <c r="Q1112" s="81" t="s">
        <v>802</v>
      </c>
      <c r="R1112" s="81"/>
      <c r="S1112" s="81"/>
      <c r="T1112" s="86" t="s">
        <v>649</v>
      </c>
      <c r="U1112" s="84" t="str">
        <f>HYPERLINK("https://pbs.twimg.com/media/FAEa_mFUYAcoKUu.jpg")</f>
        <v>https://pbs.twimg.com/media/FAEa_mFUYAcoKUu.jpg</v>
      </c>
      <c r="V1112" s="84" t="str">
        <f>HYPERLINK("https://pbs.twimg.com/media/FAEa_mFUYAcoKUu.jpg")</f>
        <v>https://pbs.twimg.com/media/FAEa_mFUYAcoKUu.jpg</v>
      </c>
      <c r="W1112" s="83">
        <v>44464.66302083333</v>
      </c>
      <c r="X1112" s="89">
        <v>44464</v>
      </c>
      <c r="Y1112" s="86" t="s">
        <v>1333</v>
      </c>
      <c r="Z1112" s="84" t="str">
        <f>HYPERLINK("https://twitter.com/flirtswkook/status/1441793304425689095")</f>
        <v>https://twitter.com/flirtswkook/status/1441793304425689095</v>
      </c>
      <c r="AA1112" s="81"/>
      <c r="AB1112" s="81"/>
      <c r="AC1112" s="86" t="s">
        <v>1829</v>
      </c>
      <c r="AD1112" s="81"/>
      <c r="AE1112" s="81" t="b">
        <v>0</v>
      </c>
      <c r="AF1112" s="81">
        <v>0</v>
      </c>
      <c r="AG1112" s="86" t="s">
        <v>2084</v>
      </c>
      <c r="AH1112" s="81" t="b">
        <v>0</v>
      </c>
      <c r="AI1112" s="81" t="s">
        <v>2168</v>
      </c>
      <c r="AJ1112" s="81"/>
      <c r="AK1112" s="86" t="s">
        <v>2084</v>
      </c>
      <c r="AL1112" s="81" t="b">
        <v>0</v>
      </c>
      <c r="AM1112" s="81">
        <v>24</v>
      </c>
      <c r="AN1112" s="86" t="s">
        <v>1848</v>
      </c>
      <c r="AO1112" s="86" t="s">
        <v>2178</v>
      </c>
      <c r="AP1112" s="81" t="b">
        <v>0</v>
      </c>
      <c r="AQ1112" s="86" t="s">
        <v>1848</v>
      </c>
      <c r="AR1112" s="81" t="s">
        <v>179</v>
      </c>
      <c r="AS1112" s="81">
        <v>0</v>
      </c>
      <c r="AT1112" s="81">
        <v>0</v>
      </c>
      <c r="AU1112" s="81"/>
      <c r="AV1112" s="81"/>
      <c r="AW1112" s="81"/>
      <c r="AX1112" s="81"/>
      <c r="AY1112" s="81"/>
      <c r="AZ1112" s="81"/>
      <c r="BA1112" s="81"/>
      <c r="BB1112" s="81"/>
    </row>
    <row r="1113" spans="1:54" x14ac:dyDescent="0.35">
      <c r="A1113" s="66" t="s">
        <v>480</v>
      </c>
      <c r="B1113" s="66" t="s">
        <v>496</v>
      </c>
      <c r="C1113" s="67"/>
      <c r="D1113" s="68"/>
      <c r="E1113" s="69"/>
      <c r="F1113" s="70"/>
      <c r="G1113" s="67"/>
      <c r="H1113" s="71"/>
      <c r="I1113" s="72"/>
      <c r="J1113" s="72"/>
      <c r="K1113" s="36"/>
      <c r="L1113" s="79"/>
      <c r="M1113" s="79"/>
      <c r="N1113" s="74"/>
      <c r="O1113" s="81" t="s">
        <v>693</v>
      </c>
      <c r="P1113" s="83">
        <v>44464.66302083333</v>
      </c>
      <c r="Q1113" s="81" t="s">
        <v>802</v>
      </c>
      <c r="R1113" s="81"/>
      <c r="S1113" s="81"/>
      <c r="T1113" s="86" t="s">
        <v>649</v>
      </c>
      <c r="U1113" s="84" t="str">
        <f>HYPERLINK("https://pbs.twimg.com/media/FAEa_mFUYAcoKUu.jpg")</f>
        <v>https://pbs.twimg.com/media/FAEa_mFUYAcoKUu.jpg</v>
      </c>
      <c r="V1113" s="84" t="str">
        <f>HYPERLINK("https://pbs.twimg.com/media/FAEa_mFUYAcoKUu.jpg")</f>
        <v>https://pbs.twimg.com/media/FAEa_mFUYAcoKUu.jpg</v>
      </c>
      <c r="W1113" s="83">
        <v>44464.66302083333</v>
      </c>
      <c r="X1113" s="89">
        <v>44464</v>
      </c>
      <c r="Y1113" s="86" t="s">
        <v>1333</v>
      </c>
      <c r="Z1113" s="84" t="str">
        <f>HYPERLINK("https://twitter.com/flirtswkook/status/1441793304425689095")</f>
        <v>https://twitter.com/flirtswkook/status/1441793304425689095</v>
      </c>
      <c r="AA1113" s="81"/>
      <c r="AB1113" s="81"/>
      <c r="AC1113" s="86" t="s">
        <v>1829</v>
      </c>
      <c r="AD1113" s="81"/>
      <c r="AE1113" s="81" t="b">
        <v>0</v>
      </c>
      <c r="AF1113" s="81">
        <v>0</v>
      </c>
      <c r="AG1113" s="86" t="s">
        <v>2084</v>
      </c>
      <c r="AH1113" s="81" t="b">
        <v>0</v>
      </c>
      <c r="AI1113" s="81" t="s">
        <v>2168</v>
      </c>
      <c r="AJ1113" s="81"/>
      <c r="AK1113" s="86" t="s">
        <v>2084</v>
      </c>
      <c r="AL1113" s="81" t="b">
        <v>0</v>
      </c>
      <c r="AM1113" s="81">
        <v>24</v>
      </c>
      <c r="AN1113" s="86" t="s">
        <v>1848</v>
      </c>
      <c r="AO1113" s="86" t="s">
        <v>2178</v>
      </c>
      <c r="AP1113" s="81" t="b">
        <v>0</v>
      </c>
      <c r="AQ1113" s="86" t="s">
        <v>1848</v>
      </c>
      <c r="AR1113" s="81" t="s">
        <v>179</v>
      </c>
      <c r="AS1113" s="81">
        <v>0</v>
      </c>
      <c r="AT1113" s="81">
        <v>0</v>
      </c>
      <c r="AU1113" s="81"/>
      <c r="AV1113" s="81"/>
      <c r="AW1113" s="81"/>
      <c r="AX1113" s="81"/>
      <c r="AY1113" s="81"/>
      <c r="AZ1113" s="81"/>
      <c r="BA1113" s="81"/>
      <c r="BB1113" s="81"/>
    </row>
    <row r="1114" spans="1:54" x14ac:dyDescent="0.35">
      <c r="A1114" s="66" t="s">
        <v>4503</v>
      </c>
      <c r="B1114" s="66" t="s">
        <v>4503</v>
      </c>
      <c r="C1114" s="67"/>
      <c r="D1114" s="68"/>
      <c r="E1114" s="69"/>
      <c r="F1114" s="70"/>
      <c r="G1114" s="67"/>
      <c r="H1114" s="71"/>
      <c r="I1114" s="72"/>
      <c r="J1114" s="72"/>
      <c r="K1114" s="36"/>
      <c r="L1114" s="79"/>
      <c r="M1114" s="79"/>
      <c r="N1114" s="74"/>
      <c r="O1114" s="81" t="s">
        <v>179</v>
      </c>
      <c r="P1114" s="83">
        <v>44464.668090277781</v>
      </c>
      <c r="Q1114" s="81" t="s">
        <v>5471</v>
      </c>
      <c r="R1114" s="84" t="str">
        <f>HYPERLINK("https://www.iebschool.com/pt-br/?utm_source=twito&amp;utm_medium=twitter&amp;utm_content=blog")</f>
        <v>https://www.iebschool.com/pt-br/?utm_source=twito&amp;utm_medium=twitter&amp;utm_content=blog</v>
      </c>
      <c r="S1114" s="81" t="s">
        <v>5732</v>
      </c>
      <c r="T1114" s="86" t="s">
        <v>5778</v>
      </c>
      <c r="U1114" s="81"/>
      <c r="V1114" s="84" t="str">
        <f>HYPERLINK("https://pbs.twimg.com/profile_images/889863314842451968/u5J8vrzw_normal.jpg")</f>
        <v>https://pbs.twimg.com/profile_images/889863314842451968/u5J8vrzw_normal.jpg</v>
      </c>
      <c r="W1114" s="83">
        <v>44464.668090277781</v>
      </c>
      <c r="X1114" s="89">
        <v>44464</v>
      </c>
      <c r="Y1114" s="86" t="s">
        <v>6150</v>
      </c>
      <c r="Z1114" s="84" t="str">
        <f>HYPERLINK("https://twitter.com/iebsescola/status/1441795139718897676")</f>
        <v>https://twitter.com/iebsescola/status/1441795139718897676</v>
      </c>
      <c r="AA1114" s="81"/>
      <c r="AB1114" s="81"/>
      <c r="AC1114" s="86" t="s">
        <v>7058</v>
      </c>
      <c r="AD1114" s="81"/>
      <c r="AE1114" s="81" t="b">
        <v>0</v>
      </c>
      <c r="AF1114" s="81">
        <v>0</v>
      </c>
      <c r="AG1114" s="86" t="s">
        <v>2084</v>
      </c>
      <c r="AH1114" s="81" t="b">
        <v>0</v>
      </c>
      <c r="AI1114" s="81" t="s">
        <v>2171</v>
      </c>
      <c r="AJ1114" s="81"/>
      <c r="AK1114" s="86" t="s">
        <v>2084</v>
      </c>
      <c r="AL1114" s="81" t="b">
        <v>0</v>
      </c>
      <c r="AM1114" s="81">
        <v>0</v>
      </c>
      <c r="AN1114" s="86" t="s">
        <v>2084</v>
      </c>
      <c r="AO1114" s="86" t="s">
        <v>2191</v>
      </c>
      <c r="AP1114" s="81" t="b">
        <v>0</v>
      </c>
      <c r="AQ1114" s="86" t="s">
        <v>7058</v>
      </c>
      <c r="AR1114" s="81" t="s">
        <v>179</v>
      </c>
      <c r="AS1114" s="81">
        <v>0</v>
      </c>
      <c r="AT1114" s="81">
        <v>0</v>
      </c>
      <c r="AU1114" s="81"/>
      <c r="AV1114" s="81"/>
      <c r="AW1114" s="81"/>
      <c r="AX1114" s="81"/>
      <c r="AY1114" s="81"/>
      <c r="AZ1114" s="81"/>
      <c r="BA1114" s="81"/>
      <c r="BB1114" s="81"/>
    </row>
    <row r="1115" spans="1:54" x14ac:dyDescent="0.35">
      <c r="A1115" s="66" t="s">
        <v>4504</v>
      </c>
      <c r="B1115" s="66" t="s">
        <v>4504</v>
      </c>
      <c r="C1115" s="67"/>
      <c r="D1115" s="68"/>
      <c r="E1115" s="69"/>
      <c r="F1115" s="70"/>
      <c r="G1115" s="67"/>
      <c r="H1115" s="71"/>
      <c r="I1115" s="72"/>
      <c r="J1115" s="72"/>
      <c r="K1115" s="36"/>
      <c r="L1115" s="79"/>
      <c r="M1115" s="79"/>
      <c r="N1115" s="74"/>
      <c r="O1115" s="81" t="s">
        <v>179</v>
      </c>
      <c r="P1115" s="83">
        <v>44464.668587962966</v>
      </c>
      <c r="Q1115" s="81" t="s">
        <v>5472</v>
      </c>
      <c r="R1115" s="81"/>
      <c r="S1115" s="81"/>
      <c r="T1115" s="81"/>
      <c r="U1115" s="84" t="str">
        <f>HYPERLINK("https://pbs.twimg.com/media/FAJJL4YWUAE60oL.jpg")</f>
        <v>https://pbs.twimg.com/media/FAJJL4YWUAE60oL.jpg</v>
      </c>
      <c r="V1115" s="84" t="str">
        <f>HYPERLINK("https://pbs.twimg.com/media/FAJJL4YWUAE60oL.jpg")</f>
        <v>https://pbs.twimg.com/media/FAJJL4YWUAE60oL.jpg</v>
      </c>
      <c r="W1115" s="83">
        <v>44464.668587962966</v>
      </c>
      <c r="X1115" s="89">
        <v>44464</v>
      </c>
      <c r="Y1115" s="86" t="s">
        <v>6151</v>
      </c>
      <c r="Z1115" s="84" t="str">
        <f>HYPERLINK("https://twitter.com/blacklamb19/status/1441795322104012809")</f>
        <v>https://twitter.com/blacklamb19/status/1441795322104012809</v>
      </c>
      <c r="AA1115" s="81"/>
      <c r="AB1115" s="81"/>
      <c r="AC1115" s="86" t="s">
        <v>7059</v>
      </c>
      <c r="AD1115" s="81"/>
      <c r="AE1115" s="81" t="b">
        <v>0</v>
      </c>
      <c r="AF1115" s="81">
        <v>22</v>
      </c>
      <c r="AG1115" s="86" t="s">
        <v>2084</v>
      </c>
      <c r="AH1115" s="81" t="b">
        <v>0</v>
      </c>
      <c r="AI1115" s="81" t="s">
        <v>2171</v>
      </c>
      <c r="AJ1115" s="81"/>
      <c r="AK1115" s="86" t="s">
        <v>2084</v>
      </c>
      <c r="AL1115" s="81" t="b">
        <v>0</v>
      </c>
      <c r="AM1115" s="81">
        <v>0</v>
      </c>
      <c r="AN1115" s="86" t="s">
        <v>2084</v>
      </c>
      <c r="AO1115" s="86" t="s">
        <v>2178</v>
      </c>
      <c r="AP1115" s="81" t="b">
        <v>0</v>
      </c>
      <c r="AQ1115" s="86" t="s">
        <v>7059</v>
      </c>
      <c r="AR1115" s="81" t="s">
        <v>179</v>
      </c>
      <c r="AS1115" s="81">
        <v>0</v>
      </c>
      <c r="AT1115" s="81">
        <v>0</v>
      </c>
      <c r="AU1115" s="81"/>
      <c r="AV1115" s="81"/>
      <c r="AW1115" s="81"/>
      <c r="AX1115" s="81"/>
      <c r="AY1115" s="81"/>
      <c r="AZ1115" s="81"/>
      <c r="BA1115" s="81"/>
      <c r="BB1115" s="81"/>
    </row>
    <row r="1116" spans="1:54" x14ac:dyDescent="0.35">
      <c r="A1116" s="66" t="s">
        <v>4505</v>
      </c>
      <c r="B1116" s="66" t="s">
        <v>5100</v>
      </c>
      <c r="C1116" s="67"/>
      <c r="D1116" s="68"/>
      <c r="E1116" s="69"/>
      <c r="F1116" s="70"/>
      <c r="G1116" s="67"/>
      <c r="H1116" s="71"/>
      <c r="I1116" s="72"/>
      <c r="J1116" s="72"/>
      <c r="K1116" s="36"/>
      <c r="L1116" s="79"/>
      <c r="M1116" s="79"/>
      <c r="N1116" s="74"/>
      <c r="O1116" s="81" t="s">
        <v>696</v>
      </c>
      <c r="P1116" s="83">
        <v>44464.664039351854</v>
      </c>
      <c r="Q1116" s="81" t="s">
        <v>5473</v>
      </c>
      <c r="R1116" s="84" t="str">
        <f>HYPERLINK("https://www.instagram.com/p/CUQBntgjxjg/?utm_medium=twitter")</f>
        <v>https://www.instagram.com/p/CUQBntgjxjg/?utm_medium=twitter</v>
      </c>
      <c r="S1116" s="81" t="s">
        <v>960</v>
      </c>
      <c r="T1116" s="86" t="s">
        <v>5779</v>
      </c>
      <c r="U1116" s="81"/>
      <c r="V1116" s="84" t="str">
        <f>HYPERLINK("https://pbs.twimg.com/profile_images/1441197537663152135/HH1ED2hv_normal.jpg")</f>
        <v>https://pbs.twimg.com/profile_images/1441197537663152135/HH1ED2hv_normal.jpg</v>
      </c>
      <c r="W1116" s="83">
        <v>44464.664039351854</v>
      </c>
      <c r="X1116" s="89">
        <v>44464</v>
      </c>
      <c r="Y1116" s="86" t="s">
        <v>6152</v>
      </c>
      <c r="Z1116" s="84" t="str">
        <f>HYPERLINK("https://twitter.com/visualtraveller/status/1441793673646071824")</f>
        <v>https://twitter.com/visualtraveller/status/1441793673646071824</v>
      </c>
      <c r="AA1116" s="90">
        <v>-616682447</v>
      </c>
      <c r="AB1116" s="90">
        <v>10683364517</v>
      </c>
      <c r="AC1116" s="86" t="s">
        <v>7060</v>
      </c>
      <c r="AD1116" s="81"/>
      <c r="AE1116" s="81" t="b">
        <v>0</v>
      </c>
      <c r="AF1116" s="81">
        <v>0</v>
      </c>
      <c r="AG1116" s="86" t="s">
        <v>2084</v>
      </c>
      <c r="AH1116" s="81" t="b">
        <v>0</v>
      </c>
      <c r="AI1116" s="81" t="s">
        <v>2167</v>
      </c>
      <c r="AJ1116" s="81"/>
      <c r="AK1116" s="86" t="s">
        <v>2084</v>
      </c>
      <c r="AL1116" s="81" t="b">
        <v>0</v>
      </c>
      <c r="AM1116" s="81">
        <v>0</v>
      </c>
      <c r="AN1116" s="86" t="s">
        <v>2084</v>
      </c>
      <c r="AO1116" s="86" t="s">
        <v>2192</v>
      </c>
      <c r="AP1116" s="81" t="b">
        <v>0</v>
      </c>
      <c r="AQ1116" s="86" t="s">
        <v>7060</v>
      </c>
      <c r="AR1116" s="81" t="s">
        <v>179</v>
      </c>
      <c r="AS1116" s="81">
        <v>0</v>
      </c>
      <c r="AT1116" s="81">
        <v>0</v>
      </c>
      <c r="AU1116" s="81" t="s">
        <v>7994</v>
      </c>
      <c r="AV1116" s="81" t="s">
        <v>2202</v>
      </c>
      <c r="AW1116" s="81" t="s">
        <v>12</v>
      </c>
      <c r="AX1116" s="81" t="s">
        <v>8004</v>
      </c>
      <c r="AY1116" s="81" t="s">
        <v>8012</v>
      </c>
      <c r="AZ1116" s="81" t="s">
        <v>8020</v>
      </c>
      <c r="BA1116" s="81" t="s">
        <v>2212</v>
      </c>
      <c r="BB1116" s="84" t="str">
        <f>HYPERLINK("https://api.twitter.com/1.1/geo/id/25f5e9dbc1b635ac.json")</f>
        <v>https://api.twitter.com/1.1/geo/id/25f5e9dbc1b635ac.json</v>
      </c>
    </row>
    <row r="1117" spans="1:54" x14ac:dyDescent="0.35">
      <c r="A1117" s="66" t="s">
        <v>4505</v>
      </c>
      <c r="B1117" s="66" t="s">
        <v>5100</v>
      </c>
      <c r="C1117" s="67"/>
      <c r="D1117" s="68"/>
      <c r="E1117" s="69"/>
      <c r="F1117" s="70"/>
      <c r="G1117" s="67"/>
      <c r="H1117" s="71"/>
      <c r="I1117" s="72"/>
      <c r="J1117" s="72"/>
      <c r="K1117" s="36"/>
      <c r="L1117" s="79"/>
      <c r="M1117" s="79"/>
      <c r="N1117" s="74"/>
      <c r="O1117" s="81" t="s">
        <v>696</v>
      </c>
      <c r="P1117" s="83">
        <v>44464.670104166667</v>
      </c>
      <c r="Q1117" s="81" t="s">
        <v>5474</v>
      </c>
      <c r="R1117" s="84" t="str">
        <f>HYPERLINK("https://www.instagram.com/p/CUQCoQ3jzlN/?utm_medium=twitter")</f>
        <v>https://www.instagram.com/p/CUQCoQ3jzlN/?utm_medium=twitter</v>
      </c>
      <c r="S1117" s="81" t="s">
        <v>960</v>
      </c>
      <c r="T1117" s="86" t="s">
        <v>5779</v>
      </c>
      <c r="U1117" s="81"/>
      <c r="V1117" s="84" t="str">
        <f>HYPERLINK("https://pbs.twimg.com/profile_images/1441197537663152135/HH1ED2hv_normal.jpg")</f>
        <v>https://pbs.twimg.com/profile_images/1441197537663152135/HH1ED2hv_normal.jpg</v>
      </c>
      <c r="W1117" s="83">
        <v>44464.670104166667</v>
      </c>
      <c r="X1117" s="89">
        <v>44464</v>
      </c>
      <c r="Y1117" s="86" t="s">
        <v>6153</v>
      </c>
      <c r="Z1117" s="84" t="str">
        <f>HYPERLINK("https://twitter.com/visualtraveller/status/1441795870316367885")</f>
        <v>https://twitter.com/visualtraveller/status/1441795870316367885</v>
      </c>
      <c r="AA1117" s="90">
        <v>-616682447</v>
      </c>
      <c r="AB1117" s="90">
        <v>10683364517</v>
      </c>
      <c r="AC1117" s="86" t="s">
        <v>7061</v>
      </c>
      <c r="AD1117" s="81"/>
      <c r="AE1117" s="81" t="b">
        <v>0</v>
      </c>
      <c r="AF1117" s="81">
        <v>0</v>
      </c>
      <c r="AG1117" s="86" t="s">
        <v>2084</v>
      </c>
      <c r="AH1117" s="81" t="b">
        <v>0</v>
      </c>
      <c r="AI1117" s="81" t="s">
        <v>2167</v>
      </c>
      <c r="AJ1117" s="81"/>
      <c r="AK1117" s="86" t="s">
        <v>2084</v>
      </c>
      <c r="AL1117" s="81" t="b">
        <v>0</v>
      </c>
      <c r="AM1117" s="81">
        <v>0</v>
      </c>
      <c r="AN1117" s="86" t="s">
        <v>2084</v>
      </c>
      <c r="AO1117" s="86" t="s">
        <v>2192</v>
      </c>
      <c r="AP1117" s="81" t="b">
        <v>0</v>
      </c>
      <c r="AQ1117" s="86" t="s">
        <v>7061</v>
      </c>
      <c r="AR1117" s="81" t="s">
        <v>179</v>
      </c>
      <c r="AS1117" s="81">
        <v>0</v>
      </c>
      <c r="AT1117" s="81">
        <v>0</v>
      </c>
      <c r="AU1117" s="81" t="s">
        <v>7994</v>
      </c>
      <c r="AV1117" s="81" t="s">
        <v>2202</v>
      </c>
      <c r="AW1117" s="81" t="s">
        <v>12</v>
      </c>
      <c r="AX1117" s="81" t="s">
        <v>8004</v>
      </c>
      <c r="AY1117" s="81" t="s">
        <v>8012</v>
      </c>
      <c r="AZ1117" s="81" t="s">
        <v>8020</v>
      </c>
      <c r="BA1117" s="81" t="s">
        <v>2212</v>
      </c>
      <c r="BB1117" s="84" t="str">
        <f>HYPERLINK("https://api.twitter.com/1.1/geo/id/25f5e9dbc1b635ac.json")</f>
        <v>https://api.twitter.com/1.1/geo/id/25f5e9dbc1b635ac.json</v>
      </c>
    </row>
    <row r="1118" spans="1:54" x14ac:dyDescent="0.35">
      <c r="A1118" s="66" t="s">
        <v>4506</v>
      </c>
      <c r="B1118" s="66" t="s">
        <v>5101</v>
      </c>
      <c r="C1118" s="67"/>
      <c r="D1118" s="68"/>
      <c r="E1118" s="69"/>
      <c r="F1118" s="70"/>
      <c r="G1118" s="67"/>
      <c r="H1118" s="71"/>
      <c r="I1118" s="72"/>
      <c r="J1118" s="72"/>
      <c r="K1118" s="36"/>
      <c r="L1118" s="79"/>
      <c r="M1118" s="79"/>
      <c r="N1118" s="74"/>
      <c r="O1118" s="81" t="s">
        <v>695</v>
      </c>
      <c r="P1118" s="83">
        <v>44464.699108796296</v>
      </c>
      <c r="Q1118" s="81" t="s">
        <v>5475</v>
      </c>
      <c r="R1118" s="81"/>
      <c r="S1118" s="81"/>
      <c r="T1118" s="81"/>
      <c r="U1118" s="81"/>
      <c r="V1118" s="84" t="str">
        <f>HYPERLINK("https://pbs.twimg.com/profile_images/1124720490587799552/6goq8ZY7_normal.jpg")</f>
        <v>https://pbs.twimg.com/profile_images/1124720490587799552/6goq8ZY7_normal.jpg</v>
      </c>
      <c r="W1118" s="83">
        <v>44464.699108796296</v>
      </c>
      <c r="X1118" s="89">
        <v>44464</v>
      </c>
      <c r="Y1118" s="86" t="s">
        <v>6154</v>
      </c>
      <c r="Z1118" s="84" t="str">
        <f>HYPERLINK("https://twitter.com/akakarota/status/1441806381586255873")</f>
        <v>https://twitter.com/akakarota/status/1441806381586255873</v>
      </c>
      <c r="AA1118" s="81"/>
      <c r="AB1118" s="81"/>
      <c r="AC1118" s="86" t="s">
        <v>7062</v>
      </c>
      <c r="AD1118" s="86" t="s">
        <v>7693</v>
      </c>
      <c r="AE1118" s="81" t="b">
        <v>0</v>
      </c>
      <c r="AF1118" s="81">
        <v>0</v>
      </c>
      <c r="AG1118" s="86" t="s">
        <v>7870</v>
      </c>
      <c r="AH1118" s="81" t="b">
        <v>0</v>
      </c>
      <c r="AI1118" s="81" t="s">
        <v>2171</v>
      </c>
      <c r="AJ1118" s="81"/>
      <c r="AK1118" s="86" t="s">
        <v>2084</v>
      </c>
      <c r="AL1118" s="81" t="b">
        <v>0</v>
      </c>
      <c r="AM1118" s="81">
        <v>0</v>
      </c>
      <c r="AN1118" s="86" t="s">
        <v>2084</v>
      </c>
      <c r="AO1118" s="86" t="s">
        <v>2178</v>
      </c>
      <c r="AP1118" s="81" t="b">
        <v>0</v>
      </c>
      <c r="AQ1118" s="86" t="s">
        <v>7693</v>
      </c>
      <c r="AR1118" s="81" t="s">
        <v>179</v>
      </c>
      <c r="AS1118" s="81">
        <v>0</v>
      </c>
      <c r="AT1118" s="81">
        <v>0</v>
      </c>
      <c r="AU1118" s="81"/>
      <c r="AV1118" s="81"/>
      <c r="AW1118" s="81"/>
      <c r="AX1118" s="81"/>
      <c r="AY1118" s="81"/>
      <c r="AZ1118" s="81"/>
      <c r="BA1118" s="81"/>
      <c r="BB1118" s="81"/>
    </row>
    <row r="1119" spans="1:54" x14ac:dyDescent="0.35">
      <c r="A1119" s="66" t="s">
        <v>481</v>
      </c>
      <c r="B1119" s="66" t="s">
        <v>663</v>
      </c>
      <c r="C1119" s="67"/>
      <c r="D1119" s="68"/>
      <c r="E1119" s="69"/>
      <c r="F1119" s="70"/>
      <c r="G1119" s="67"/>
      <c r="H1119" s="71"/>
      <c r="I1119" s="72"/>
      <c r="J1119" s="72"/>
      <c r="K1119" s="36"/>
      <c r="L1119" s="79"/>
      <c r="M1119" s="79"/>
      <c r="N1119" s="74"/>
      <c r="O1119" s="81" t="s">
        <v>694</v>
      </c>
      <c r="P1119" s="83">
        <v>44464.703750000001</v>
      </c>
      <c r="Q1119" s="81" t="s">
        <v>816</v>
      </c>
      <c r="R1119" s="81"/>
      <c r="S1119" s="81"/>
      <c r="T1119" s="86" t="s">
        <v>986</v>
      </c>
      <c r="U1119" s="84" t="str">
        <f>HYPERLINK("https://pbs.twimg.com/media/FAI5unvVgAgIBY3.jpg")</f>
        <v>https://pbs.twimg.com/media/FAI5unvVgAgIBY3.jpg</v>
      </c>
      <c r="V1119" s="84" t="str">
        <f>HYPERLINK("https://pbs.twimg.com/media/FAI5unvVgAgIBY3.jpg")</f>
        <v>https://pbs.twimg.com/media/FAI5unvVgAgIBY3.jpg</v>
      </c>
      <c r="W1119" s="83">
        <v>44464.703750000001</v>
      </c>
      <c r="X1119" s="89">
        <v>44464</v>
      </c>
      <c r="Y1119" s="86" t="s">
        <v>1334</v>
      </c>
      <c r="Z1119" s="84" t="str">
        <f>HYPERLINK("https://twitter.com/hjia__/status/1441808065578164229")</f>
        <v>https://twitter.com/hjia__/status/1441808065578164229</v>
      </c>
      <c r="AA1119" s="81"/>
      <c r="AB1119" s="81"/>
      <c r="AC1119" s="86" t="s">
        <v>1830</v>
      </c>
      <c r="AD1119" s="81"/>
      <c r="AE1119" s="81" t="b">
        <v>0</v>
      </c>
      <c r="AF1119" s="81">
        <v>0</v>
      </c>
      <c r="AG1119" s="86" t="s">
        <v>2084</v>
      </c>
      <c r="AH1119" s="81" t="b">
        <v>0</v>
      </c>
      <c r="AI1119" s="81" t="s">
        <v>2168</v>
      </c>
      <c r="AJ1119" s="81"/>
      <c r="AK1119" s="86" t="s">
        <v>2084</v>
      </c>
      <c r="AL1119" s="81" t="b">
        <v>0</v>
      </c>
      <c r="AM1119" s="81">
        <v>6</v>
      </c>
      <c r="AN1119" s="86" t="s">
        <v>1882</v>
      </c>
      <c r="AO1119" s="86" t="s">
        <v>2179</v>
      </c>
      <c r="AP1119" s="81" t="b">
        <v>0</v>
      </c>
      <c r="AQ1119" s="86" t="s">
        <v>1882</v>
      </c>
      <c r="AR1119" s="81" t="s">
        <v>179</v>
      </c>
      <c r="AS1119" s="81">
        <v>0</v>
      </c>
      <c r="AT1119" s="81">
        <v>0</v>
      </c>
      <c r="AU1119" s="81"/>
      <c r="AV1119" s="81"/>
      <c r="AW1119" s="81"/>
      <c r="AX1119" s="81"/>
      <c r="AY1119" s="81"/>
      <c r="AZ1119" s="81"/>
      <c r="BA1119" s="81"/>
      <c r="BB1119" s="81"/>
    </row>
    <row r="1120" spans="1:54" x14ac:dyDescent="0.35">
      <c r="A1120" s="66" t="s">
        <v>481</v>
      </c>
      <c r="B1120" s="66" t="s">
        <v>12670</v>
      </c>
      <c r="C1120" s="67"/>
      <c r="D1120" s="68"/>
      <c r="E1120" s="69"/>
      <c r="F1120" s="70"/>
      <c r="G1120" s="67"/>
      <c r="H1120" s="71"/>
      <c r="I1120" s="72"/>
      <c r="J1120" s="72"/>
      <c r="K1120" s="36"/>
      <c r="L1120" s="79"/>
      <c r="M1120" s="79"/>
      <c r="N1120" s="74"/>
      <c r="O1120" s="81" t="s">
        <v>694</v>
      </c>
      <c r="P1120" s="83">
        <v>44464.703750000001</v>
      </c>
      <c r="Q1120" s="81" t="s">
        <v>816</v>
      </c>
      <c r="R1120" s="81"/>
      <c r="S1120" s="81"/>
      <c r="T1120" s="86" t="s">
        <v>986</v>
      </c>
      <c r="U1120" s="84" t="str">
        <f>HYPERLINK("https://pbs.twimg.com/media/FAI5unvVgAgIBY3.jpg")</f>
        <v>https://pbs.twimg.com/media/FAI5unvVgAgIBY3.jpg</v>
      </c>
      <c r="V1120" s="84" t="str">
        <f>HYPERLINK("https://pbs.twimg.com/media/FAI5unvVgAgIBY3.jpg")</f>
        <v>https://pbs.twimg.com/media/FAI5unvVgAgIBY3.jpg</v>
      </c>
      <c r="W1120" s="83">
        <v>44464.703750000001</v>
      </c>
      <c r="X1120" s="89">
        <v>44464</v>
      </c>
      <c r="Y1120" s="86" t="s">
        <v>1334</v>
      </c>
      <c r="Z1120" s="84" t="str">
        <f>HYPERLINK("https://twitter.com/hjia__/status/1441808065578164229")</f>
        <v>https://twitter.com/hjia__/status/1441808065578164229</v>
      </c>
      <c r="AA1120" s="81"/>
      <c r="AB1120" s="81"/>
      <c r="AC1120" s="86" t="s">
        <v>1830</v>
      </c>
      <c r="AD1120" s="81"/>
      <c r="AE1120" s="81" t="b">
        <v>0</v>
      </c>
      <c r="AF1120" s="81">
        <v>0</v>
      </c>
      <c r="AG1120" s="86" t="s">
        <v>2084</v>
      </c>
      <c r="AH1120" s="81" t="b">
        <v>0</v>
      </c>
      <c r="AI1120" s="81" t="s">
        <v>2168</v>
      </c>
      <c r="AJ1120" s="81"/>
      <c r="AK1120" s="86" t="s">
        <v>2084</v>
      </c>
      <c r="AL1120" s="81" t="b">
        <v>0</v>
      </c>
      <c r="AM1120" s="81">
        <v>6</v>
      </c>
      <c r="AN1120" s="86" t="s">
        <v>1882</v>
      </c>
      <c r="AO1120" s="86" t="s">
        <v>2179</v>
      </c>
      <c r="AP1120" s="81" t="b">
        <v>0</v>
      </c>
      <c r="AQ1120" s="86" t="s">
        <v>1882</v>
      </c>
      <c r="AR1120" s="81" t="s">
        <v>179</v>
      </c>
      <c r="AS1120" s="81">
        <v>0</v>
      </c>
      <c r="AT1120" s="81">
        <v>0</v>
      </c>
      <c r="AU1120" s="81"/>
      <c r="AV1120" s="81"/>
      <c r="AW1120" s="81"/>
      <c r="AX1120" s="81"/>
      <c r="AY1120" s="81"/>
      <c r="AZ1120" s="81"/>
      <c r="BA1120" s="81"/>
      <c r="BB1120" s="81"/>
    </row>
    <row r="1121" spans="1:54" x14ac:dyDescent="0.35">
      <c r="A1121" s="66" t="s">
        <v>481</v>
      </c>
      <c r="B1121" s="66" t="s">
        <v>511</v>
      </c>
      <c r="C1121" s="67"/>
      <c r="D1121" s="68"/>
      <c r="E1121" s="69"/>
      <c r="F1121" s="70"/>
      <c r="G1121" s="67"/>
      <c r="H1121" s="71"/>
      <c r="I1121" s="72"/>
      <c r="J1121" s="72"/>
      <c r="K1121" s="36"/>
      <c r="L1121" s="79"/>
      <c r="M1121" s="79"/>
      <c r="N1121" s="74"/>
      <c r="O1121" s="81" t="s">
        <v>693</v>
      </c>
      <c r="P1121" s="83">
        <v>44464.703750000001</v>
      </c>
      <c r="Q1121" s="81" t="s">
        <v>816</v>
      </c>
      <c r="R1121" s="81"/>
      <c r="S1121" s="81"/>
      <c r="T1121" s="86" t="s">
        <v>986</v>
      </c>
      <c r="U1121" s="84" t="str">
        <f>HYPERLINK("https://pbs.twimg.com/media/FAI5unvVgAgIBY3.jpg")</f>
        <v>https://pbs.twimg.com/media/FAI5unvVgAgIBY3.jpg</v>
      </c>
      <c r="V1121" s="84" t="str">
        <f>HYPERLINK("https://pbs.twimg.com/media/FAI5unvVgAgIBY3.jpg")</f>
        <v>https://pbs.twimg.com/media/FAI5unvVgAgIBY3.jpg</v>
      </c>
      <c r="W1121" s="83">
        <v>44464.703750000001</v>
      </c>
      <c r="X1121" s="89">
        <v>44464</v>
      </c>
      <c r="Y1121" s="86" t="s">
        <v>1334</v>
      </c>
      <c r="Z1121" s="84" t="str">
        <f>HYPERLINK("https://twitter.com/hjia__/status/1441808065578164229")</f>
        <v>https://twitter.com/hjia__/status/1441808065578164229</v>
      </c>
      <c r="AA1121" s="81"/>
      <c r="AB1121" s="81"/>
      <c r="AC1121" s="86" t="s">
        <v>1830</v>
      </c>
      <c r="AD1121" s="81"/>
      <c r="AE1121" s="81" t="b">
        <v>0</v>
      </c>
      <c r="AF1121" s="81">
        <v>0</v>
      </c>
      <c r="AG1121" s="86" t="s">
        <v>2084</v>
      </c>
      <c r="AH1121" s="81" t="b">
        <v>0</v>
      </c>
      <c r="AI1121" s="81" t="s">
        <v>2168</v>
      </c>
      <c r="AJ1121" s="81"/>
      <c r="AK1121" s="86" t="s">
        <v>2084</v>
      </c>
      <c r="AL1121" s="81" t="b">
        <v>0</v>
      </c>
      <c r="AM1121" s="81">
        <v>6</v>
      </c>
      <c r="AN1121" s="86" t="s">
        <v>1882</v>
      </c>
      <c r="AO1121" s="86" t="s">
        <v>2179</v>
      </c>
      <c r="AP1121" s="81" t="b">
        <v>0</v>
      </c>
      <c r="AQ1121" s="86" t="s">
        <v>1882</v>
      </c>
      <c r="AR1121" s="81" t="s">
        <v>179</v>
      </c>
      <c r="AS1121" s="81">
        <v>0</v>
      </c>
      <c r="AT1121" s="81">
        <v>0</v>
      </c>
      <c r="AU1121" s="81"/>
      <c r="AV1121" s="81"/>
      <c r="AW1121" s="81"/>
      <c r="AX1121" s="81"/>
      <c r="AY1121" s="81"/>
      <c r="AZ1121" s="81"/>
      <c r="BA1121" s="81"/>
      <c r="BB1121" s="81"/>
    </row>
    <row r="1122" spans="1:54" x14ac:dyDescent="0.35">
      <c r="A1122" s="66" t="s">
        <v>482</v>
      </c>
      <c r="B1122" s="66" t="s">
        <v>482</v>
      </c>
      <c r="C1122" s="67"/>
      <c r="D1122" s="68"/>
      <c r="E1122" s="69"/>
      <c r="F1122" s="70"/>
      <c r="G1122" s="67"/>
      <c r="H1122" s="71"/>
      <c r="I1122" s="72"/>
      <c r="J1122" s="72"/>
      <c r="K1122" s="36"/>
      <c r="L1122" s="79"/>
      <c r="M1122" s="79"/>
      <c r="N1122" s="74"/>
      <c r="O1122" s="81" t="s">
        <v>179</v>
      </c>
      <c r="P1122" s="83">
        <v>44464.707083333335</v>
      </c>
      <c r="Q1122" s="81" t="s">
        <v>817</v>
      </c>
      <c r="R1122" s="81"/>
      <c r="S1122" s="81"/>
      <c r="T1122" s="81"/>
      <c r="U1122" s="81"/>
      <c r="V1122" s="84" t="str">
        <f>HYPERLINK("https://pbs.twimg.com/profile_images/1439502555772375040/ceHsLq4F_normal.jpg")</f>
        <v>https://pbs.twimg.com/profile_images/1439502555772375040/ceHsLq4F_normal.jpg</v>
      </c>
      <c r="W1122" s="83">
        <v>44464.707083333335</v>
      </c>
      <c r="X1122" s="89">
        <v>44464</v>
      </c>
      <c r="Y1122" s="86" t="s">
        <v>1335</v>
      </c>
      <c r="Z1122" s="84" t="str">
        <f>HYPERLINK("https://twitter.com/byeommin/status/1441809271830638604")</f>
        <v>https://twitter.com/byeommin/status/1441809271830638604</v>
      </c>
      <c r="AA1122" s="81"/>
      <c r="AB1122" s="81"/>
      <c r="AC1122" s="86" t="s">
        <v>1831</v>
      </c>
      <c r="AD1122" s="86" t="s">
        <v>2044</v>
      </c>
      <c r="AE1122" s="81" t="b">
        <v>0</v>
      </c>
      <c r="AF1122" s="81">
        <v>0</v>
      </c>
      <c r="AG1122" s="86" t="s">
        <v>2129</v>
      </c>
      <c r="AH1122" s="81" t="b">
        <v>0</v>
      </c>
      <c r="AI1122" s="81" t="s">
        <v>2167</v>
      </c>
      <c r="AJ1122" s="81"/>
      <c r="AK1122" s="86" t="s">
        <v>2084</v>
      </c>
      <c r="AL1122" s="81" t="b">
        <v>0</v>
      </c>
      <c r="AM1122" s="81">
        <v>0</v>
      </c>
      <c r="AN1122" s="86" t="s">
        <v>2084</v>
      </c>
      <c r="AO1122" s="86" t="s">
        <v>2178</v>
      </c>
      <c r="AP1122" s="81" t="b">
        <v>0</v>
      </c>
      <c r="AQ1122" s="86" t="s">
        <v>2044</v>
      </c>
      <c r="AR1122" s="81" t="s">
        <v>179</v>
      </c>
      <c r="AS1122" s="81">
        <v>0</v>
      </c>
      <c r="AT1122" s="81">
        <v>0</v>
      </c>
      <c r="AU1122" s="81"/>
      <c r="AV1122" s="81"/>
      <c r="AW1122" s="81"/>
      <c r="AX1122" s="81"/>
      <c r="AY1122" s="81"/>
      <c r="AZ1122" s="81"/>
      <c r="BA1122" s="81"/>
      <c r="BB1122" s="81"/>
    </row>
    <row r="1123" spans="1:54" x14ac:dyDescent="0.35">
      <c r="A1123" s="66" t="s">
        <v>4507</v>
      </c>
      <c r="B1123" s="66" t="s">
        <v>5102</v>
      </c>
      <c r="C1123" s="67"/>
      <c r="D1123" s="68"/>
      <c r="E1123" s="69"/>
      <c r="F1123" s="70"/>
      <c r="G1123" s="67"/>
      <c r="H1123" s="71"/>
      <c r="I1123" s="72"/>
      <c r="J1123" s="72"/>
      <c r="K1123" s="36"/>
      <c r="L1123" s="79"/>
      <c r="M1123" s="79"/>
      <c r="N1123" s="74"/>
      <c r="O1123" s="81" t="s">
        <v>695</v>
      </c>
      <c r="P1123" s="83">
        <v>44464.709062499998</v>
      </c>
      <c r="Q1123" s="81" t="s">
        <v>5476</v>
      </c>
      <c r="R1123" s="81"/>
      <c r="S1123" s="81"/>
      <c r="T1123" s="81"/>
      <c r="U1123" s="81"/>
      <c r="V1123" s="84" t="str">
        <f>HYPERLINK("https://pbs.twimg.com/profile_images/1351208585427116033/NB5ZebAk_normal.jpg")</f>
        <v>https://pbs.twimg.com/profile_images/1351208585427116033/NB5ZebAk_normal.jpg</v>
      </c>
      <c r="W1123" s="83">
        <v>44464.709062499998</v>
      </c>
      <c r="X1123" s="89">
        <v>44464</v>
      </c>
      <c r="Y1123" s="86" t="s">
        <v>6155</v>
      </c>
      <c r="Z1123" s="84" t="str">
        <f>HYPERLINK("https://twitter.com/dalilam75947344/status/1441809988264108032")</f>
        <v>https://twitter.com/dalilam75947344/status/1441809988264108032</v>
      </c>
      <c r="AA1123" s="81"/>
      <c r="AB1123" s="81"/>
      <c r="AC1123" s="86" t="s">
        <v>7063</v>
      </c>
      <c r="AD1123" s="86" t="s">
        <v>7694</v>
      </c>
      <c r="AE1123" s="81" t="b">
        <v>0</v>
      </c>
      <c r="AF1123" s="81">
        <v>0</v>
      </c>
      <c r="AG1123" s="86" t="s">
        <v>7871</v>
      </c>
      <c r="AH1123" s="81" t="b">
        <v>0</v>
      </c>
      <c r="AI1123" s="81" t="s">
        <v>2171</v>
      </c>
      <c r="AJ1123" s="81"/>
      <c r="AK1123" s="86" t="s">
        <v>2084</v>
      </c>
      <c r="AL1123" s="81" t="b">
        <v>0</v>
      </c>
      <c r="AM1123" s="81">
        <v>0</v>
      </c>
      <c r="AN1123" s="86" t="s">
        <v>2084</v>
      </c>
      <c r="AO1123" s="86" t="s">
        <v>2181</v>
      </c>
      <c r="AP1123" s="81" t="b">
        <v>0</v>
      </c>
      <c r="AQ1123" s="86" t="s">
        <v>7694</v>
      </c>
      <c r="AR1123" s="81" t="s">
        <v>179</v>
      </c>
      <c r="AS1123" s="81">
        <v>0</v>
      </c>
      <c r="AT1123" s="81">
        <v>0</v>
      </c>
      <c r="AU1123" s="81"/>
      <c r="AV1123" s="81"/>
      <c r="AW1123" s="81"/>
      <c r="AX1123" s="81"/>
      <c r="AY1123" s="81"/>
      <c r="AZ1123" s="81"/>
      <c r="BA1123" s="81"/>
      <c r="BB1123" s="81"/>
    </row>
    <row r="1124" spans="1:54" x14ac:dyDescent="0.35">
      <c r="A1124" s="66" t="s">
        <v>4508</v>
      </c>
      <c r="B1124" s="66" t="s">
        <v>5103</v>
      </c>
      <c r="C1124" s="67"/>
      <c r="D1124" s="68"/>
      <c r="E1124" s="69"/>
      <c r="F1124" s="70"/>
      <c r="G1124" s="67"/>
      <c r="H1124" s="71"/>
      <c r="I1124" s="72"/>
      <c r="J1124" s="72"/>
      <c r="K1124" s="36"/>
      <c r="L1124" s="79"/>
      <c r="M1124" s="79"/>
      <c r="N1124" s="74"/>
      <c r="O1124" s="81" t="s">
        <v>696</v>
      </c>
      <c r="P1124" s="83">
        <v>44464.724027777775</v>
      </c>
      <c r="Q1124" s="81" t="s">
        <v>5477</v>
      </c>
      <c r="R1124" s="81"/>
      <c r="S1124" s="81"/>
      <c r="T1124" s="81"/>
      <c r="U1124" s="81"/>
      <c r="V1124" s="84" t="str">
        <f>HYPERLINK("https://pbs.twimg.com/profile_images/1435038576102739971/lPb8bKVS_normal.jpg")</f>
        <v>https://pbs.twimg.com/profile_images/1435038576102739971/lPb8bKVS_normal.jpg</v>
      </c>
      <c r="W1124" s="83">
        <v>44464.724027777775</v>
      </c>
      <c r="X1124" s="89">
        <v>44464</v>
      </c>
      <c r="Y1124" s="86" t="s">
        <v>6156</v>
      </c>
      <c r="Z1124" s="84" t="str">
        <f>HYPERLINK("https://twitter.com/marcelo_barret0/status/1441815410073116672")</f>
        <v>https://twitter.com/marcelo_barret0/status/1441815410073116672</v>
      </c>
      <c r="AA1124" s="81"/>
      <c r="AB1124" s="81"/>
      <c r="AC1124" s="86" t="s">
        <v>7064</v>
      </c>
      <c r="AD1124" s="86" t="s">
        <v>7695</v>
      </c>
      <c r="AE1124" s="81" t="b">
        <v>0</v>
      </c>
      <c r="AF1124" s="81">
        <v>0</v>
      </c>
      <c r="AG1124" s="86" t="s">
        <v>7872</v>
      </c>
      <c r="AH1124" s="81" t="b">
        <v>0</v>
      </c>
      <c r="AI1124" s="81" t="s">
        <v>2171</v>
      </c>
      <c r="AJ1124" s="81"/>
      <c r="AK1124" s="86" t="s">
        <v>2084</v>
      </c>
      <c r="AL1124" s="81" t="b">
        <v>0</v>
      </c>
      <c r="AM1124" s="81">
        <v>0</v>
      </c>
      <c r="AN1124" s="86" t="s">
        <v>2084</v>
      </c>
      <c r="AO1124" s="86" t="s">
        <v>2178</v>
      </c>
      <c r="AP1124" s="81" t="b">
        <v>0</v>
      </c>
      <c r="AQ1124" s="86" t="s">
        <v>7695</v>
      </c>
      <c r="AR1124" s="81" t="s">
        <v>179</v>
      </c>
      <c r="AS1124" s="81">
        <v>0</v>
      </c>
      <c r="AT1124" s="81">
        <v>0</v>
      </c>
      <c r="AU1124" s="81"/>
      <c r="AV1124" s="81"/>
      <c r="AW1124" s="81"/>
      <c r="AX1124" s="81"/>
      <c r="AY1124" s="81"/>
      <c r="AZ1124" s="81"/>
      <c r="BA1124" s="81"/>
      <c r="BB1124" s="81"/>
    </row>
    <row r="1125" spans="1:54" x14ac:dyDescent="0.35">
      <c r="A1125" s="66" t="s">
        <v>4508</v>
      </c>
      <c r="B1125" s="66" t="s">
        <v>5104</v>
      </c>
      <c r="C1125" s="67"/>
      <c r="D1125" s="68"/>
      <c r="E1125" s="69"/>
      <c r="F1125" s="70"/>
      <c r="G1125" s="67"/>
      <c r="H1125" s="71"/>
      <c r="I1125" s="72"/>
      <c r="J1125" s="72"/>
      <c r="K1125" s="36"/>
      <c r="L1125" s="79"/>
      <c r="M1125" s="79"/>
      <c r="N1125" s="74"/>
      <c r="O1125" s="81" t="s">
        <v>695</v>
      </c>
      <c r="P1125" s="83">
        <v>44464.724027777775</v>
      </c>
      <c r="Q1125" s="81" t="s">
        <v>5477</v>
      </c>
      <c r="R1125" s="81"/>
      <c r="S1125" s="81"/>
      <c r="T1125" s="81"/>
      <c r="U1125" s="81"/>
      <c r="V1125" s="84" t="str">
        <f>HYPERLINK("https://pbs.twimg.com/profile_images/1435038576102739971/lPb8bKVS_normal.jpg")</f>
        <v>https://pbs.twimg.com/profile_images/1435038576102739971/lPb8bKVS_normal.jpg</v>
      </c>
      <c r="W1125" s="83">
        <v>44464.724027777775</v>
      </c>
      <c r="X1125" s="89">
        <v>44464</v>
      </c>
      <c r="Y1125" s="86" t="s">
        <v>6156</v>
      </c>
      <c r="Z1125" s="84" t="str">
        <f>HYPERLINK("https://twitter.com/marcelo_barret0/status/1441815410073116672")</f>
        <v>https://twitter.com/marcelo_barret0/status/1441815410073116672</v>
      </c>
      <c r="AA1125" s="81"/>
      <c r="AB1125" s="81"/>
      <c r="AC1125" s="86" t="s">
        <v>7064</v>
      </c>
      <c r="AD1125" s="86" t="s">
        <v>7695</v>
      </c>
      <c r="AE1125" s="81" t="b">
        <v>0</v>
      </c>
      <c r="AF1125" s="81">
        <v>0</v>
      </c>
      <c r="AG1125" s="86" t="s">
        <v>7872</v>
      </c>
      <c r="AH1125" s="81" t="b">
        <v>0</v>
      </c>
      <c r="AI1125" s="81" t="s">
        <v>2171</v>
      </c>
      <c r="AJ1125" s="81"/>
      <c r="AK1125" s="86" t="s">
        <v>2084</v>
      </c>
      <c r="AL1125" s="81" t="b">
        <v>0</v>
      </c>
      <c r="AM1125" s="81">
        <v>0</v>
      </c>
      <c r="AN1125" s="86" t="s">
        <v>2084</v>
      </c>
      <c r="AO1125" s="86" t="s">
        <v>2178</v>
      </c>
      <c r="AP1125" s="81" t="b">
        <v>0</v>
      </c>
      <c r="AQ1125" s="86" t="s">
        <v>7695</v>
      </c>
      <c r="AR1125" s="81" t="s">
        <v>179</v>
      </c>
      <c r="AS1125" s="81">
        <v>0</v>
      </c>
      <c r="AT1125" s="81">
        <v>0</v>
      </c>
      <c r="AU1125" s="81"/>
      <c r="AV1125" s="81"/>
      <c r="AW1125" s="81"/>
      <c r="AX1125" s="81"/>
      <c r="AY1125" s="81"/>
      <c r="AZ1125" s="81"/>
      <c r="BA1125" s="81"/>
      <c r="BB1125" s="81"/>
    </row>
    <row r="1126" spans="1:54" x14ac:dyDescent="0.35">
      <c r="A1126" s="66" t="s">
        <v>4509</v>
      </c>
      <c r="B1126" s="66" t="s">
        <v>5105</v>
      </c>
      <c r="C1126" s="67"/>
      <c r="D1126" s="68"/>
      <c r="E1126" s="69"/>
      <c r="F1126" s="70"/>
      <c r="G1126" s="67"/>
      <c r="H1126" s="71"/>
      <c r="I1126" s="72"/>
      <c r="J1126" s="72"/>
      <c r="K1126" s="36"/>
      <c r="L1126" s="79"/>
      <c r="M1126" s="79"/>
      <c r="N1126" s="74"/>
      <c r="O1126" s="81" t="s">
        <v>695</v>
      </c>
      <c r="P1126" s="83">
        <v>44464.757210648146</v>
      </c>
      <c r="Q1126" s="81" t="s">
        <v>5478</v>
      </c>
      <c r="R1126" s="81"/>
      <c r="S1126" s="81"/>
      <c r="T1126" s="81"/>
      <c r="U1126" s="81"/>
      <c r="V1126" s="84" t="str">
        <f>HYPERLINK("https://pbs.twimg.com/profile_images/1289300207453208579/FEdwiX9O_normal.jpg")</f>
        <v>https://pbs.twimg.com/profile_images/1289300207453208579/FEdwiX9O_normal.jpg</v>
      </c>
      <c r="W1126" s="83">
        <v>44464.757210648146</v>
      </c>
      <c r="X1126" s="89">
        <v>44464</v>
      </c>
      <c r="Y1126" s="86" t="s">
        <v>6157</v>
      </c>
      <c r="Z1126" s="84" t="str">
        <f>HYPERLINK("https://twitter.com/guedes_leonidas/status/1441827438875586561")</f>
        <v>https://twitter.com/guedes_leonidas/status/1441827438875586561</v>
      </c>
      <c r="AA1126" s="81"/>
      <c r="AB1126" s="81"/>
      <c r="AC1126" s="86" t="s">
        <v>7065</v>
      </c>
      <c r="AD1126" s="86" t="s">
        <v>7696</v>
      </c>
      <c r="AE1126" s="81" t="b">
        <v>0</v>
      </c>
      <c r="AF1126" s="81">
        <v>0</v>
      </c>
      <c r="AG1126" s="86" t="s">
        <v>7873</v>
      </c>
      <c r="AH1126" s="81" t="b">
        <v>0</v>
      </c>
      <c r="AI1126" s="81" t="s">
        <v>2171</v>
      </c>
      <c r="AJ1126" s="81"/>
      <c r="AK1126" s="86" t="s">
        <v>2084</v>
      </c>
      <c r="AL1126" s="81" t="b">
        <v>0</v>
      </c>
      <c r="AM1126" s="81">
        <v>0</v>
      </c>
      <c r="AN1126" s="86" t="s">
        <v>2084</v>
      </c>
      <c r="AO1126" s="86" t="s">
        <v>2178</v>
      </c>
      <c r="AP1126" s="81" t="b">
        <v>0</v>
      </c>
      <c r="AQ1126" s="86" t="s">
        <v>7696</v>
      </c>
      <c r="AR1126" s="81" t="s">
        <v>179</v>
      </c>
      <c r="AS1126" s="81">
        <v>0</v>
      </c>
      <c r="AT1126" s="81">
        <v>0</v>
      </c>
      <c r="AU1126" s="81"/>
      <c r="AV1126" s="81"/>
      <c r="AW1126" s="81"/>
      <c r="AX1126" s="81"/>
      <c r="AY1126" s="81"/>
      <c r="AZ1126" s="81"/>
      <c r="BA1126" s="81"/>
      <c r="BB1126" s="81"/>
    </row>
    <row r="1127" spans="1:54" x14ac:dyDescent="0.35">
      <c r="A1127" s="66" t="s">
        <v>4510</v>
      </c>
      <c r="B1127" s="66" t="s">
        <v>4510</v>
      </c>
      <c r="C1127" s="67"/>
      <c r="D1127" s="68"/>
      <c r="E1127" s="69"/>
      <c r="F1127" s="70"/>
      <c r="G1127" s="67"/>
      <c r="H1127" s="71"/>
      <c r="I1127" s="72"/>
      <c r="J1127" s="72"/>
      <c r="K1127" s="36"/>
      <c r="L1127" s="79"/>
      <c r="M1127" s="79"/>
      <c r="N1127" s="74"/>
      <c r="O1127" s="81" t="s">
        <v>179</v>
      </c>
      <c r="P1127" s="83">
        <v>44464.763611111113</v>
      </c>
      <c r="Q1127" s="81" t="s">
        <v>5479</v>
      </c>
      <c r="R112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127" s="81" t="s">
        <v>5686</v>
      </c>
      <c r="T1127" s="81"/>
      <c r="U1127" s="81"/>
      <c r="V1127" s="84" t="str">
        <f>HYPERLINK("https://pbs.twimg.com/profile_images/1278672486184304641/TIYQSwKt_normal.jpg")</f>
        <v>https://pbs.twimg.com/profile_images/1278672486184304641/TIYQSwKt_normal.jpg</v>
      </c>
      <c r="W1127" s="83">
        <v>44464.763611111113</v>
      </c>
      <c r="X1127" s="89">
        <v>44464</v>
      </c>
      <c r="Y1127" s="86" t="s">
        <v>6158</v>
      </c>
      <c r="Z1127" s="84" t="str">
        <f>HYPERLINK("https://twitter.com/celsojalves/status/1441829754743627780")</f>
        <v>https://twitter.com/celsojalves/status/1441829754743627780</v>
      </c>
      <c r="AA1127" s="81"/>
      <c r="AB1127" s="81"/>
      <c r="AC1127" s="86" t="s">
        <v>7066</v>
      </c>
      <c r="AD1127" s="81"/>
      <c r="AE1127" s="81" t="b">
        <v>0</v>
      </c>
      <c r="AF1127" s="81">
        <v>0</v>
      </c>
      <c r="AG1127" s="86" t="s">
        <v>2084</v>
      </c>
      <c r="AH1127" s="81" t="b">
        <v>0</v>
      </c>
      <c r="AI1127" s="81" t="s">
        <v>2171</v>
      </c>
      <c r="AJ1127" s="81"/>
      <c r="AK1127" s="86" t="s">
        <v>2084</v>
      </c>
      <c r="AL1127" s="81" t="b">
        <v>0</v>
      </c>
      <c r="AM1127" s="81">
        <v>0</v>
      </c>
      <c r="AN1127" s="86" t="s">
        <v>2084</v>
      </c>
      <c r="AO1127" s="86" t="s">
        <v>2181</v>
      </c>
      <c r="AP1127" s="81" t="b">
        <v>0</v>
      </c>
      <c r="AQ1127" s="86" t="s">
        <v>7066</v>
      </c>
      <c r="AR1127" s="81" t="s">
        <v>179</v>
      </c>
      <c r="AS1127" s="81">
        <v>0</v>
      </c>
      <c r="AT1127" s="81">
        <v>0</v>
      </c>
      <c r="AU1127" s="81"/>
      <c r="AV1127" s="81"/>
      <c r="AW1127" s="81"/>
      <c r="AX1127" s="81"/>
      <c r="AY1127" s="81"/>
      <c r="AZ1127" s="81"/>
      <c r="BA1127" s="81"/>
      <c r="BB1127" s="81"/>
    </row>
    <row r="1128" spans="1:54" x14ac:dyDescent="0.35">
      <c r="A1128" s="66" t="s">
        <v>4511</v>
      </c>
      <c r="B1128" s="66" t="s">
        <v>5106</v>
      </c>
      <c r="C1128" s="67"/>
      <c r="D1128" s="68"/>
      <c r="E1128" s="69"/>
      <c r="F1128" s="70"/>
      <c r="G1128" s="67"/>
      <c r="H1128" s="71"/>
      <c r="I1128" s="72"/>
      <c r="J1128" s="72"/>
      <c r="K1128" s="36"/>
      <c r="L1128" s="79"/>
      <c r="M1128" s="79"/>
      <c r="N1128" s="74"/>
      <c r="O1128" s="81" t="s">
        <v>696</v>
      </c>
      <c r="P1128" s="83">
        <v>44464.787083333336</v>
      </c>
      <c r="Q1128" s="81" t="s">
        <v>5480</v>
      </c>
      <c r="R1128" s="81"/>
      <c r="S1128" s="81"/>
      <c r="T1128" s="81"/>
      <c r="U1128" s="81"/>
      <c r="V1128" s="84" t="str">
        <f>HYPERLINK("https://pbs.twimg.com/profile_images/1424503354059902978/GMREoEyO_normal.jpg")</f>
        <v>https://pbs.twimg.com/profile_images/1424503354059902978/GMREoEyO_normal.jpg</v>
      </c>
      <c r="W1128" s="83">
        <v>44464.787083333336</v>
      </c>
      <c r="X1128" s="89">
        <v>44464</v>
      </c>
      <c r="Y1128" s="86" t="s">
        <v>6159</v>
      </c>
      <c r="Z1128" s="84" t="str">
        <f>HYPERLINK("https://twitter.com/canaldhiegofc/status/1441838261131907078")</f>
        <v>https://twitter.com/canaldhiegofc/status/1441838261131907078</v>
      </c>
      <c r="AA1128" s="81"/>
      <c r="AB1128" s="81"/>
      <c r="AC1128" s="86" t="s">
        <v>7067</v>
      </c>
      <c r="AD1128" s="86" t="s">
        <v>7697</v>
      </c>
      <c r="AE1128" s="81" t="b">
        <v>0</v>
      </c>
      <c r="AF1128" s="81">
        <v>8</v>
      </c>
      <c r="AG1128" s="86" t="s">
        <v>7874</v>
      </c>
      <c r="AH1128" s="81" t="b">
        <v>0</v>
      </c>
      <c r="AI1128" s="81" t="s">
        <v>2171</v>
      </c>
      <c r="AJ1128" s="81"/>
      <c r="AK1128" s="86" t="s">
        <v>2084</v>
      </c>
      <c r="AL1128" s="81" t="b">
        <v>0</v>
      </c>
      <c r="AM1128" s="81">
        <v>0</v>
      </c>
      <c r="AN1128" s="86" t="s">
        <v>2084</v>
      </c>
      <c r="AO1128" s="86" t="s">
        <v>2178</v>
      </c>
      <c r="AP1128" s="81" t="b">
        <v>0</v>
      </c>
      <c r="AQ1128" s="86" t="s">
        <v>7697</v>
      </c>
      <c r="AR1128" s="81" t="s">
        <v>179</v>
      </c>
      <c r="AS1128" s="81">
        <v>0</v>
      </c>
      <c r="AT1128" s="81">
        <v>0</v>
      </c>
      <c r="AU1128" s="81"/>
      <c r="AV1128" s="81"/>
      <c r="AW1128" s="81"/>
      <c r="AX1128" s="81"/>
      <c r="AY1128" s="81"/>
      <c r="AZ1128" s="81"/>
      <c r="BA1128" s="81"/>
      <c r="BB1128" s="81"/>
    </row>
    <row r="1129" spans="1:54" x14ac:dyDescent="0.35">
      <c r="A1129" s="66" t="s">
        <v>4511</v>
      </c>
      <c r="B1129" s="66" t="s">
        <v>5107</v>
      </c>
      <c r="C1129" s="67"/>
      <c r="D1129" s="68"/>
      <c r="E1129" s="69"/>
      <c r="F1129" s="70"/>
      <c r="G1129" s="67"/>
      <c r="H1129" s="71"/>
      <c r="I1129" s="72"/>
      <c r="J1129" s="72"/>
      <c r="K1129" s="36"/>
      <c r="L1129" s="79"/>
      <c r="M1129" s="79"/>
      <c r="N1129" s="74"/>
      <c r="O1129" s="81" t="s">
        <v>695</v>
      </c>
      <c r="P1129" s="83">
        <v>44464.787083333336</v>
      </c>
      <c r="Q1129" s="81" t="s">
        <v>5480</v>
      </c>
      <c r="R1129" s="81"/>
      <c r="S1129" s="81"/>
      <c r="T1129" s="81"/>
      <c r="U1129" s="81"/>
      <c r="V1129" s="84" t="str">
        <f>HYPERLINK("https://pbs.twimg.com/profile_images/1424503354059902978/GMREoEyO_normal.jpg")</f>
        <v>https://pbs.twimg.com/profile_images/1424503354059902978/GMREoEyO_normal.jpg</v>
      </c>
      <c r="W1129" s="83">
        <v>44464.787083333336</v>
      </c>
      <c r="X1129" s="89">
        <v>44464</v>
      </c>
      <c r="Y1129" s="86" t="s">
        <v>6159</v>
      </c>
      <c r="Z1129" s="84" t="str">
        <f>HYPERLINK("https://twitter.com/canaldhiegofc/status/1441838261131907078")</f>
        <v>https://twitter.com/canaldhiegofc/status/1441838261131907078</v>
      </c>
      <c r="AA1129" s="81"/>
      <c r="AB1129" s="81"/>
      <c r="AC1129" s="86" t="s">
        <v>7067</v>
      </c>
      <c r="AD1129" s="86" t="s">
        <v>7697</v>
      </c>
      <c r="AE1129" s="81" t="b">
        <v>0</v>
      </c>
      <c r="AF1129" s="81">
        <v>8</v>
      </c>
      <c r="AG1129" s="86" t="s">
        <v>7874</v>
      </c>
      <c r="AH1129" s="81" t="b">
        <v>0</v>
      </c>
      <c r="AI1129" s="81" t="s">
        <v>2171</v>
      </c>
      <c r="AJ1129" s="81"/>
      <c r="AK1129" s="86" t="s">
        <v>2084</v>
      </c>
      <c r="AL1129" s="81" t="b">
        <v>0</v>
      </c>
      <c r="AM1129" s="81">
        <v>0</v>
      </c>
      <c r="AN1129" s="86" t="s">
        <v>2084</v>
      </c>
      <c r="AO1129" s="86" t="s">
        <v>2178</v>
      </c>
      <c r="AP1129" s="81" t="b">
        <v>0</v>
      </c>
      <c r="AQ1129" s="86" t="s">
        <v>7697</v>
      </c>
      <c r="AR1129" s="81" t="s">
        <v>179</v>
      </c>
      <c r="AS1129" s="81">
        <v>0</v>
      </c>
      <c r="AT1129" s="81">
        <v>0</v>
      </c>
      <c r="AU1129" s="81"/>
      <c r="AV1129" s="81"/>
      <c r="AW1129" s="81"/>
      <c r="AX1129" s="81"/>
      <c r="AY1129" s="81"/>
      <c r="AZ1129" s="81"/>
      <c r="BA1129" s="81"/>
      <c r="BB1129" s="81"/>
    </row>
    <row r="1130" spans="1:54" x14ac:dyDescent="0.35">
      <c r="A1130" s="66" t="s">
        <v>4512</v>
      </c>
      <c r="B1130" s="66" t="s">
        <v>5099</v>
      </c>
      <c r="C1130" s="67"/>
      <c r="D1130" s="68"/>
      <c r="E1130" s="69"/>
      <c r="F1130" s="70"/>
      <c r="G1130" s="67"/>
      <c r="H1130" s="71"/>
      <c r="I1130" s="72"/>
      <c r="J1130" s="72"/>
      <c r="K1130" s="36"/>
      <c r="L1130" s="79"/>
      <c r="M1130" s="79"/>
      <c r="N1130" s="74"/>
      <c r="O1130" s="81" t="s">
        <v>695</v>
      </c>
      <c r="P1130" s="83">
        <v>44464.800937499997</v>
      </c>
      <c r="Q1130" s="81" t="s">
        <v>5481</v>
      </c>
      <c r="R1130" s="81"/>
      <c r="S1130" s="81"/>
      <c r="T1130" s="81"/>
      <c r="U1130" s="81"/>
      <c r="V1130" s="84" t="str">
        <f>HYPERLINK("https://pbs.twimg.com/profile_images/1328705748096978945/yi-8BoV7_normal.jpg")</f>
        <v>https://pbs.twimg.com/profile_images/1328705748096978945/yi-8BoV7_normal.jpg</v>
      </c>
      <c r="W1130" s="83">
        <v>44464.800937499997</v>
      </c>
      <c r="X1130" s="89">
        <v>44464</v>
      </c>
      <c r="Y1130" s="86" t="s">
        <v>6160</v>
      </c>
      <c r="Z1130" s="84" t="str">
        <f>HYPERLINK("https://twitter.com/diniz4501/status/1441843282980519937")</f>
        <v>https://twitter.com/diniz4501/status/1441843282980519937</v>
      </c>
      <c r="AA1130" s="81"/>
      <c r="AB1130" s="81"/>
      <c r="AC1130" s="86" t="s">
        <v>7068</v>
      </c>
      <c r="AD1130" s="86" t="s">
        <v>7691</v>
      </c>
      <c r="AE1130" s="81" t="b">
        <v>0</v>
      </c>
      <c r="AF1130" s="81">
        <v>0</v>
      </c>
      <c r="AG1130" s="86" t="s">
        <v>7868</v>
      </c>
      <c r="AH1130" s="81" t="b">
        <v>0</v>
      </c>
      <c r="AI1130" s="81" t="s">
        <v>2171</v>
      </c>
      <c r="AJ1130" s="81"/>
      <c r="AK1130" s="86" t="s">
        <v>2084</v>
      </c>
      <c r="AL1130" s="81" t="b">
        <v>0</v>
      </c>
      <c r="AM1130" s="81">
        <v>0</v>
      </c>
      <c r="AN1130" s="86" t="s">
        <v>2084</v>
      </c>
      <c r="AO1130" s="86" t="s">
        <v>2179</v>
      </c>
      <c r="AP1130" s="81" t="b">
        <v>0</v>
      </c>
      <c r="AQ1130" s="86" t="s">
        <v>7691</v>
      </c>
      <c r="AR1130" s="81" t="s">
        <v>179</v>
      </c>
      <c r="AS1130" s="81">
        <v>0</v>
      </c>
      <c r="AT1130" s="81">
        <v>0</v>
      </c>
      <c r="AU1130" s="81" t="s">
        <v>7995</v>
      </c>
      <c r="AV1130" s="81" t="s">
        <v>7998</v>
      </c>
      <c r="AW1130" s="81" t="s">
        <v>8000</v>
      </c>
      <c r="AX1130" s="81" t="s">
        <v>8005</v>
      </c>
      <c r="AY1130" s="81" t="s">
        <v>8013</v>
      </c>
      <c r="AZ1130" s="81" t="s">
        <v>8021</v>
      </c>
      <c r="BA1130" s="81" t="s">
        <v>2212</v>
      </c>
      <c r="BB1130" s="84" t="str">
        <f>HYPERLINK("https://api.twitter.com/1.1/geo/id/32e64dedd065063f.json")</f>
        <v>https://api.twitter.com/1.1/geo/id/32e64dedd065063f.json</v>
      </c>
    </row>
    <row r="1131" spans="1:54" x14ac:dyDescent="0.35">
      <c r="A1131" s="66" t="s">
        <v>4513</v>
      </c>
      <c r="B1131" s="66" t="s">
        <v>4513</v>
      </c>
      <c r="C1131" s="67"/>
      <c r="D1131" s="68"/>
      <c r="E1131" s="69"/>
      <c r="F1131" s="70"/>
      <c r="G1131" s="67"/>
      <c r="H1131" s="71"/>
      <c r="I1131" s="72"/>
      <c r="J1131" s="72"/>
      <c r="K1131" s="36"/>
      <c r="L1131" s="79"/>
      <c r="M1131" s="79"/>
      <c r="N1131" s="74"/>
      <c r="O1131" s="81" t="s">
        <v>179</v>
      </c>
      <c r="P1131" s="83">
        <v>44463.842650462961</v>
      </c>
      <c r="Q1131" s="81" t="s">
        <v>5482</v>
      </c>
      <c r="R1131" s="84" t="str">
        <f>HYPERLINK("https://jornaleconomico.sapo.pt/noticias/governo-lanca-linha-retomar-de-mil-milhoes-para-credito-a-empresas-pos-moratorias-787813?utm_term=Autofeed&amp;utm_medium=Social&amp;utm_source=Twitter#Echobox=1632509365")</f>
        <v>https://jornaleconomico.sapo.pt/noticias/governo-lanca-linha-retomar-de-mil-milhoes-para-credito-a-empresas-pos-moratorias-787813?utm_term=Autofeed&amp;utm_medium=Social&amp;utm_source=Twitter#Echobox=1632509365</v>
      </c>
      <c r="S1131" s="81" t="s">
        <v>5689</v>
      </c>
      <c r="T1131" s="81"/>
      <c r="U1131" s="81"/>
      <c r="V1131" s="84" t="str">
        <f>HYPERLINK("https://pbs.twimg.com/profile_images/1440276179517276165/Zvglj8dz_normal.jpg")</f>
        <v>https://pbs.twimg.com/profile_images/1440276179517276165/Zvglj8dz_normal.jpg</v>
      </c>
      <c r="W1131" s="83">
        <v>44463.842650462961</v>
      </c>
      <c r="X1131" s="89">
        <v>44463</v>
      </c>
      <c r="Y1131" s="86" t="s">
        <v>1011</v>
      </c>
      <c r="Z1131" s="84" t="str">
        <f>HYPERLINK("https://twitter.com/ojeconomico/status/1441496009679515652")</f>
        <v>https://twitter.com/ojeconomico/status/1441496009679515652</v>
      </c>
      <c r="AA1131" s="81"/>
      <c r="AB1131" s="81"/>
      <c r="AC1131" s="86" t="s">
        <v>7069</v>
      </c>
      <c r="AD1131" s="81"/>
      <c r="AE1131" s="81" t="b">
        <v>0</v>
      </c>
      <c r="AF1131" s="81">
        <v>1</v>
      </c>
      <c r="AG1131" s="86" t="s">
        <v>2084</v>
      </c>
      <c r="AH1131" s="81" t="b">
        <v>0</v>
      </c>
      <c r="AI1131" s="81" t="s">
        <v>2171</v>
      </c>
      <c r="AJ1131" s="81"/>
      <c r="AK1131" s="86" t="s">
        <v>2084</v>
      </c>
      <c r="AL1131" s="81" t="b">
        <v>0</v>
      </c>
      <c r="AM1131" s="81">
        <v>0</v>
      </c>
      <c r="AN1131" s="86" t="s">
        <v>2084</v>
      </c>
      <c r="AO1131" s="86" t="s">
        <v>2186</v>
      </c>
      <c r="AP1131" s="81" t="b">
        <v>0</v>
      </c>
      <c r="AQ1131" s="86" t="s">
        <v>7069</v>
      </c>
      <c r="AR1131" s="81" t="s">
        <v>179</v>
      </c>
      <c r="AS1131" s="81">
        <v>0</v>
      </c>
      <c r="AT1131" s="81">
        <v>0</v>
      </c>
      <c r="AU1131" s="81"/>
      <c r="AV1131" s="81"/>
      <c r="AW1131" s="81"/>
      <c r="AX1131" s="81"/>
      <c r="AY1131" s="81"/>
      <c r="AZ1131" s="81"/>
      <c r="BA1131" s="81"/>
      <c r="BB1131" s="81"/>
    </row>
    <row r="1132" spans="1:54" x14ac:dyDescent="0.35">
      <c r="A1132" s="66" t="s">
        <v>4513</v>
      </c>
      <c r="B1132" s="66" t="s">
        <v>4513</v>
      </c>
      <c r="C1132" s="67"/>
      <c r="D1132" s="68"/>
      <c r="E1132" s="69"/>
      <c r="F1132" s="70"/>
      <c r="G1132" s="67"/>
      <c r="H1132" s="71"/>
      <c r="I1132" s="72"/>
      <c r="J1132" s="72"/>
      <c r="K1132" s="36"/>
      <c r="L1132" s="79"/>
      <c r="M1132" s="79"/>
      <c r="N1132" s="74"/>
      <c r="O1132" s="81" t="s">
        <v>179</v>
      </c>
      <c r="P1132" s="83">
        <v>44464.828217592592</v>
      </c>
      <c r="Q1132" s="81" t="s">
        <v>5483</v>
      </c>
      <c r="R1132" s="84" t="str">
        <f>HYPERLINK("https://jornaleconomico.sapo.pt/noticias/forum-do-bce-debate-online-o-futuro-pos-pandemia-da-politica-monetaria-788963?utm_term=Autofeed&amp;utm_medium=Social&amp;utm_source=Twitter#Echobox=1632599038")</f>
        <v>https://jornaleconomico.sapo.pt/noticias/forum-do-bce-debate-online-o-futuro-pos-pandemia-da-politica-monetaria-788963?utm_term=Autofeed&amp;utm_medium=Social&amp;utm_source=Twitter#Echobox=1632599038</v>
      </c>
      <c r="S1132" s="81" t="s">
        <v>5689</v>
      </c>
      <c r="T1132" s="81"/>
      <c r="U1132" s="81"/>
      <c r="V1132" s="84" t="str">
        <f>HYPERLINK("https://pbs.twimg.com/profile_images/1440276179517276165/Zvglj8dz_normal.jpg")</f>
        <v>https://pbs.twimg.com/profile_images/1440276179517276165/Zvglj8dz_normal.jpg</v>
      </c>
      <c r="W1132" s="83">
        <v>44464.828217592592</v>
      </c>
      <c r="X1132" s="89">
        <v>44464</v>
      </c>
      <c r="Y1132" s="86" t="s">
        <v>6161</v>
      </c>
      <c r="Z1132" s="84" t="str">
        <f>HYPERLINK("https://twitter.com/ojeconomico/status/1441853167734607872")</f>
        <v>https://twitter.com/ojeconomico/status/1441853167734607872</v>
      </c>
      <c r="AA1132" s="81"/>
      <c r="AB1132" s="81"/>
      <c r="AC1132" s="86" t="s">
        <v>7070</v>
      </c>
      <c r="AD1132" s="81"/>
      <c r="AE1132" s="81" t="b">
        <v>0</v>
      </c>
      <c r="AF1132" s="81">
        <v>1</v>
      </c>
      <c r="AG1132" s="86" t="s">
        <v>2084</v>
      </c>
      <c r="AH1132" s="81" t="b">
        <v>0</v>
      </c>
      <c r="AI1132" s="81" t="s">
        <v>2171</v>
      </c>
      <c r="AJ1132" s="81"/>
      <c r="AK1132" s="86" t="s">
        <v>2084</v>
      </c>
      <c r="AL1132" s="81" t="b">
        <v>0</v>
      </c>
      <c r="AM1132" s="81">
        <v>1</v>
      </c>
      <c r="AN1132" s="86" t="s">
        <v>2084</v>
      </c>
      <c r="AO1132" s="86" t="s">
        <v>2186</v>
      </c>
      <c r="AP1132" s="81" t="b">
        <v>0</v>
      </c>
      <c r="AQ1132" s="86" t="s">
        <v>7070</v>
      </c>
      <c r="AR1132" s="81" t="s">
        <v>179</v>
      </c>
      <c r="AS1132" s="81">
        <v>0</v>
      </c>
      <c r="AT1132" s="81">
        <v>0</v>
      </c>
      <c r="AU1132" s="81"/>
      <c r="AV1132" s="81"/>
      <c r="AW1132" s="81"/>
      <c r="AX1132" s="81"/>
      <c r="AY1132" s="81"/>
      <c r="AZ1132" s="81"/>
      <c r="BA1132" s="81"/>
      <c r="BB1132" s="81"/>
    </row>
    <row r="1133" spans="1:54" x14ac:dyDescent="0.35">
      <c r="A1133" s="66" t="s">
        <v>4514</v>
      </c>
      <c r="B1133" s="66" t="s">
        <v>4513</v>
      </c>
      <c r="C1133" s="67"/>
      <c r="D1133" s="68"/>
      <c r="E1133" s="69"/>
      <c r="F1133" s="70"/>
      <c r="G1133" s="67"/>
      <c r="H1133" s="71"/>
      <c r="I1133" s="72"/>
      <c r="J1133" s="72"/>
      <c r="K1133" s="36"/>
      <c r="L1133" s="79"/>
      <c r="M1133" s="79"/>
      <c r="N1133" s="74"/>
      <c r="O1133" s="81" t="s">
        <v>693</v>
      </c>
      <c r="P1133" s="83">
        <v>44464.828553240739</v>
      </c>
      <c r="Q1133" s="81" t="s">
        <v>5483</v>
      </c>
      <c r="R1133" s="84" t="str">
        <f>HYPERLINK("https://jornaleconomico.sapo.pt/noticias/forum-do-bce-debate-online-o-futuro-pos-pandemia-da-politica-monetaria-788963?utm_term=Autofeed&amp;utm_medium=Social&amp;utm_source=Twitter#Echobox=1632599038")</f>
        <v>https://jornaleconomico.sapo.pt/noticias/forum-do-bce-debate-online-o-futuro-pos-pandemia-da-politica-monetaria-788963?utm_term=Autofeed&amp;utm_medium=Social&amp;utm_source=Twitter#Echobox=1632599038</v>
      </c>
      <c r="S1133" s="81" t="s">
        <v>5689</v>
      </c>
      <c r="T1133" s="81"/>
      <c r="U1133" s="81"/>
      <c r="V1133" s="84" t="str">
        <f>HYPERLINK("https://pbs.twimg.com/profile_images/1330866717720010753/vra_z_2o_normal.jpg")</f>
        <v>https://pbs.twimg.com/profile_images/1330866717720010753/vra_z_2o_normal.jpg</v>
      </c>
      <c r="W1133" s="83">
        <v>44464.828553240739</v>
      </c>
      <c r="X1133" s="89">
        <v>44464</v>
      </c>
      <c r="Y1133" s="86" t="s">
        <v>6162</v>
      </c>
      <c r="Z1133" s="84" t="str">
        <f>HYPERLINK("https://twitter.com/joshiginosoare2/status/1441853291114098690")</f>
        <v>https://twitter.com/joshiginosoare2/status/1441853291114098690</v>
      </c>
      <c r="AA1133" s="81"/>
      <c r="AB1133" s="81"/>
      <c r="AC1133" s="86" t="s">
        <v>7071</v>
      </c>
      <c r="AD1133" s="81"/>
      <c r="AE1133" s="81" t="b">
        <v>0</v>
      </c>
      <c r="AF1133" s="81">
        <v>0</v>
      </c>
      <c r="AG1133" s="86" t="s">
        <v>2084</v>
      </c>
      <c r="AH1133" s="81" t="b">
        <v>0</v>
      </c>
      <c r="AI1133" s="81" t="s">
        <v>2171</v>
      </c>
      <c r="AJ1133" s="81"/>
      <c r="AK1133" s="86" t="s">
        <v>2084</v>
      </c>
      <c r="AL1133" s="81" t="b">
        <v>0</v>
      </c>
      <c r="AM1133" s="81">
        <v>1</v>
      </c>
      <c r="AN1133" s="86" t="s">
        <v>7070</v>
      </c>
      <c r="AO1133" s="86" t="s">
        <v>2178</v>
      </c>
      <c r="AP1133" s="81" t="b">
        <v>0</v>
      </c>
      <c r="AQ1133" s="86" t="s">
        <v>7070</v>
      </c>
      <c r="AR1133" s="81" t="s">
        <v>179</v>
      </c>
      <c r="AS1133" s="81">
        <v>0</v>
      </c>
      <c r="AT1133" s="81">
        <v>0</v>
      </c>
      <c r="AU1133" s="81"/>
      <c r="AV1133" s="81"/>
      <c r="AW1133" s="81"/>
      <c r="AX1133" s="81"/>
      <c r="AY1133" s="81"/>
      <c r="AZ1133" s="81"/>
      <c r="BA1133" s="81"/>
      <c r="BB1133" s="81"/>
    </row>
    <row r="1134" spans="1:54" x14ac:dyDescent="0.35">
      <c r="A1134" s="66" t="s">
        <v>4515</v>
      </c>
      <c r="B1134" s="66" t="s">
        <v>4515</v>
      </c>
      <c r="C1134" s="67"/>
      <c r="D1134" s="68"/>
      <c r="E1134" s="69"/>
      <c r="F1134" s="70"/>
      <c r="G1134" s="67"/>
      <c r="H1134" s="71"/>
      <c r="I1134" s="72"/>
      <c r="J1134" s="72"/>
      <c r="K1134" s="36"/>
      <c r="L1134" s="79"/>
      <c r="M1134" s="79"/>
      <c r="N1134" s="74"/>
      <c r="O1134" s="81" t="s">
        <v>179</v>
      </c>
      <c r="P1134" s="83">
        <v>44464.835219907407</v>
      </c>
      <c r="Q1134" s="81" t="s">
        <v>5484</v>
      </c>
      <c r="R1134" s="81"/>
      <c r="S1134" s="81"/>
      <c r="T1134" s="81"/>
      <c r="U1134" s="81"/>
      <c r="V1134" s="84" t="str">
        <f>HYPERLINK("https://pbs.twimg.com/profile_images/1276653257654484992/uIdtHHzB_normal.jpg")</f>
        <v>https://pbs.twimg.com/profile_images/1276653257654484992/uIdtHHzB_normal.jpg</v>
      </c>
      <c r="W1134" s="83">
        <v>44464.835219907407</v>
      </c>
      <c r="X1134" s="89">
        <v>44464</v>
      </c>
      <c r="Y1134" s="86" t="s">
        <v>6163</v>
      </c>
      <c r="Z1134" s="84" t="str">
        <f>HYPERLINK("https://twitter.com/robertabrandaum/status/1441855707523997697")</f>
        <v>https://twitter.com/robertabrandaum/status/1441855707523997697</v>
      </c>
      <c r="AA1134" s="81"/>
      <c r="AB1134" s="81"/>
      <c r="AC1134" s="86" t="s">
        <v>7072</v>
      </c>
      <c r="AD1134" s="81"/>
      <c r="AE1134" s="81" t="b">
        <v>0</v>
      </c>
      <c r="AF1134" s="81">
        <v>4</v>
      </c>
      <c r="AG1134" s="86" t="s">
        <v>2084</v>
      </c>
      <c r="AH1134" s="81" t="b">
        <v>0</v>
      </c>
      <c r="AI1134" s="81" t="s">
        <v>2171</v>
      </c>
      <c r="AJ1134" s="81"/>
      <c r="AK1134" s="86" t="s">
        <v>2084</v>
      </c>
      <c r="AL1134" s="81" t="b">
        <v>0</v>
      </c>
      <c r="AM1134" s="81">
        <v>0</v>
      </c>
      <c r="AN1134" s="86" t="s">
        <v>2084</v>
      </c>
      <c r="AO1134" s="86" t="s">
        <v>2178</v>
      </c>
      <c r="AP1134" s="81" t="b">
        <v>0</v>
      </c>
      <c r="AQ1134" s="86" t="s">
        <v>7072</v>
      </c>
      <c r="AR1134" s="81" t="s">
        <v>179</v>
      </c>
      <c r="AS1134" s="81">
        <v>0</v>
      </c>
      <c r="AT1134" s="81">
        <v>0</v>
      </c>
      <c r="AU1134" s="81"/>
      <c r="AV1134" s="81"/>
      <c r="AW1134" s="81"/>
      <c r="AX1134" s="81"/>
      <c r="AY1134" s="81"/>
      <c r="AZ1134" s="81"/>
      <c r="BA1134" s="81"/>
      <c r="BB1134" s="81"/>
    </row>
    <row r="1135" spans="1:54" x14ac:dyDescent="0.35">
      <c r="A1135" s="66" t="s">
        <v>4516</v>
      </c>
      <c r="B1135" s="66" t="s">
        <v>4516</v>
      </c>
      <c r="C1135" s="67"/>
      <c r="D1135" s="68"/>
      <c r="E1135" s="69"/>
      <c r="F1135" s="70"/>
      <c r="G1135" s="67"/>
      <c r="H1135" s="71"/>
      <c r="I1135" s="72"/>
      <c r="J1135" s="72"/>
      <c r="K1135" s="36"/>
      <c r="L1135" s="79"/>
      <c r="M1135" s="79"/>
      <c r="N1135" s="74"/>
      <c r="O1135" s="81" t="s">
        <v>179</v>
      </c>
      <c r="P1135" s="83">
        <v>44464.851817129631</v>
      </c>
      <c r="Q1135" s="81" t="s">
        <v>5485</v>
      </c>
      <c r="R1135" s="84" t="str">
        <f>HYPERLINK("https://twitter.com/BolsonaroSP/status/1441856785820880896")</f>
        <v>https://twitter.com/BolsonaroSP/status/1441856785820880896</v>
      </c>
      <c r="S1135" s="81" t="s">
        <v>936</v>
      </c>
      <c r="T1135" s="81"/>
      <c r="U1135" s="81"/>
      <c r="V1135" s="84" t="str">
        <f>HYPERLINK("https://pbs.twimg.com/profile_images/1404639454866800643/chBvaFvH_normal.jpg")</f>
        <v>https://pbs.twimg.com/profile_images/1404639454866800643/chBvaFvH_normal.jpg</v>
      </c>
      <c r="W1135" s="83">
        <v>44464.851817129631</v>
      </c>
      <c r="X1135" s="89">
        <v>44464</v>
      </c>
      <c r="Y1135" s="86" t="s">
        <v>6164</v>
      </c>
      <c r="Z1135" s="84" t="str">
        <f>HYPERLINK("https://twitter.com/nonducorduco11/status/1441861719492497412")</f>
        <v>https://twitter.com/nonducorduco11/status/1441861719492497412</v>
      </c>
      <c r="AA1135" s="81"/>
      <c r="AB1135" s="81"/>
      <c r="AC1135" s="86" t="s">
        <v>7073</v>
      </c>
      <c r="AD1135" s="81"/>
      <c r="AE1135" s="81" t="b">
        <v>0</v>
      </c>
      <c r="AF1135" s="81">
        <v>1</v>
      </c>
      <c r="AG1135" s="86" t="s">
        <v>2084</v>
      </c>
      <c r="AH1135" s="81" t="b">
        <v>1</v>
      </c>
      <c r="AI1135" s="81" t="s">
        <v>2171</v>
      </c>
      <c r="AJ1135" s="81"/>
      <c r="AK1135" s="86" t="s">
        <v>7966</v>
      </c>
      <c r="AL1135" s="81" t="b">
        <v>0</v>
      </c>
      <c r="AM1135" s="81">
        <v>0</v>
      </c>
      <c r="AN1135" s="86" t="s">
        <v>2084</v>
      </c>
      <c r="AO1135" s="86" t="s">
        <v>2178</v>
      </c>
      <c r="AP1135" s="81" t="b">
        <v>0</v>
      </c>
      <c r="AQ1135" s="86" t="s">
        <v>7073</v>
      </c>
      <c r="AR1135" s="81" t="s">
        <v>179</v>
      </c>
      <c r="AS1135" s="81">
        <v>0</v>
      </c>
      <c r="AT1135" s="81">
        <v>0</v>
      </c>
      <c r="AU1135" s="81"/>
      <c r="AV1135" s="81"/>
      <c r="AW1135" s="81"/>
      <c r="AX1135" s="81"/>
      <c r="AY1135" s="81"/>
      <c r="AZ1135" s="81"/>
      <c r="BA1135" s="81"/>
      <c r="BB1135" s="81"/>
    </row>
    <row r="1136" spans="1:54" x14ac:dyDescent="0.35">
      <c r="A1136" s="66" t="s">
        <v>4517</v>
      </c>
      <c r="B1136" s="66" t="s">
        <v>5108</v>
      </c>
      <c r="C1136" s="67"/>
      <c r="D1136" s="68"/>
      <c r="E1136" s="69"/>
      <c r="F1136" s="70"/>
      <c r="G1136" s="67"/>
      <c r="H1136" s="71"/>
      <c r="I1136" s="72"/>
      <c r="J1136" s="72"/>
      <c r="K1136" s="36"/>
      <c r="L1136" s="79"/>
      <c r="M1136" s="79"/>
      <c r="N1136" s="74"/>
      <c r="O1136" s="81" t="s">
        <v>696</v>
      </c>
      <c r="P1136" s="83">
        <v>44464.889328703706</v>
      </c>
      <c r="Q1136" s="81" t="s">
        <v>5486</v>
      </c>
      <c r="R1136" s="81"/>
      <c r="S1136" s="81"/>
      <c r="T1136" s="81"/>
      <c r="U1136" s="81"/>
      <c r="V1136" s="84" t="str">
        <f>HYPERLINK("https://pbs.twimg.com/profile_images/1401229509890805760/zSW_o3tf_normal.jpg")</f>
        <v>https://pbs.twimg.com/profile_images/1401229509890805760/zSW_o3tf_normal.jpg</v>
      </c>
      <c r="W1136" s="83">
        <v>44464.889328703706</v>
      </c>
      <c r="X1136" s="89">
        <v>44464</v>
      </c>
      <c r="Y1136" s="86" t="s">
        <v>6165</v>
      </c>
      <c r="Z1136" s="84" t="str">
        <f>HYPERLINK("https://twitter.com/rascaldizzy1/status/1441875315161239553")</f>
        <v>https://twitter.com/rascaldizzy1/status/1441875315161239553</v>
      </c>
      <c r="AA1136" s="81"/>
      <c r="AB1136" s="81"/>
      <c r="AC1136" s="86" t="s">
        <v>7074</v>
      </c>
      <c r="AD1136" s="86" t="s">
        <v>7698</v>
      </c>
      <c r="AE1136" s="81" t="b">
        <v>0</v>
      </c>
      <c r="AF1136" s="81">
        <v>0</v>
      </c>
      <c r="AG1136" s="86" t="s">
        <v>7875</v>
      </c>
      <c r="AH1136" s="81" t="b">
        <v>0</v>
      </c>
      <c r="AI1136" s="81" t="s">
        <v>2168</v>
      </c>
      <c r="AJ1136" s="81"/>
      <c r="AK1136" s="86" t="s">
        <v>2084</v>
      </c>
      <c r="AL1136" s="81" t="b">
        <v>0</v>
      </c>
      <c r="AM1136" s="81">
        <v>0</v>
      </c>
      <c r="AN1136" s="86" t="s">
        <v>2084</v>
      </c>
      <c r="AO1136" s="86" t="s">
        <v>2178</v>
      </c>
      <c r="AP1136" s="81" t="b">
        <v>0</v>
      </c>
      <c r="AQ1136" s="86" t="s">
        <v>7698</v>
      </c>
      <c r="AR1136" s="81" t="s">
        <v>179</v>
      </c>
      <c r="AS1136" s="81">
        <v>0</v>
      </c>
      <c r="AT1136" s="81">
        <v>0</v>
      </c>
      <c r="AU1136" s="81"/>
      <c r="AV1136" s="81"/>
      <c r="AW1136" s="81"/>
      <c r="AX1136" s="81"/>
      <c r="AY1136" s="81"/>
      <c r="AZ1136" s="81"/>
      <c r="BA1136" s="81"/>
      <c r="BB1136" s="81"/>
    </row>
    <row r="1137" spans="1:54" x14ac:dyDescent="0.35">
      <c r="A1137" s="66" t="s">
        <v>4517</v>
      </c>
      <c r="B1137" s="66" t="s">
        <v>5109</v>
      </c>
      <c r="C1137" s="67"/>
      <c r="D1137" s="68"/>
      <c r="E1137" s="69"/>
      <c r="F1137" s="70"/>
      <c r="G1137" s="67"/>
      <c r="H1137" s="71"/>
      <c r="I1137" s="72"/>
      <c r="J1137" s="72"/>
      <c r="K1137" s="36"/>
      <c r="L1137" s="79"/>
      <c r="M1137" s="79"/>
      <c r="N1137" s="74"/>
      <c r="O1137" s="81" t="s">
        <v>696</v>
      </c>
      <c r="P1137" s="83">
        <v>44464.889328703706</v>
      </c>
      <c r="Q1137" s="81" t="s">
        <v>5486</v>
      </c>
      <c r="R1137" s="81"/>
      <c r="S1137" s="81"/>
      <c r="T1137" s="81"/>
      <c r="U1137" s="81"/>
      <c r="V1137" s="84" t="str">
        <f>HYPERLINK("https://pbs.twimg.com/profile_images/1401229509890805760/zSW_o3tf_normal.jpg")</f>
        <v>https://pbs.twimg.com/profile_images/1401229509890805760/zSW_o3tf_normal.jpg</v>
      </c>
      <c r="W1137" s="83">
        <v>44464.889328703706</v>
      </c>
      <c r="X1137" s="89">
        <v>44464</v>
      </c>
      <c r="Y1137" s="86" t="s">
        <v>6165</v>
      </c>
      <c r="Z1137" s="84" t="str">
        <f>HYPERLINK("https://twitter.com/rascaldizzy1/status/1441875315161239553")</f>
        <v>https://twitter.com/rascaldizzy1/status/1441875315161239553</v>
      </c>
      <c r="AA1137" s="81"/>
      <c r="AB1137" s="81"/>
      <c r="AC1137" s="86" t="s">
        <v>7074</v>
      </c>
      <c r="AD1137" s="86" t="s">
        <v>7698</v>
      </c>
      <c r="AE1137" s="81" t="b">
        <v>0</v>
      </c>
      <c r="AF1137" s="81">
        <v>0</v>
      </c>
      <c r="AG1137" s="86" t="s">
        <v>7875</v>
      </c>
      <c r="AH1137" s="81" t="b">
        <v>0</v>
      </c>
      <c r="AI1137" s="81" t="s">
        <v>2168</v>
      </c>
      <c r="AJ1137" s="81"/>
      <c r="AK1137" s="86" t="s">
        <v>2084</v>
      </c>
      <c r="AL1137" s="81" t="b">
        <v>0</v>
      </c>
      <c r="AM1137" s="81">
        <v>0</v>
      </c>
      <c r="AN1137" s="86" t="s">
        <v>2084</v>
      </c>
      <c r="AO1137" s="86" t="s">
        <v>2178</v>
      </c>
      <c r="AP1137" s="81" t="b">
        <v>0</v>
      </c>
      <c r="AQ1137" s="86" t="s">
        <v>7698</v>
      </c>
      <c r="AR1137" s="81" t="s">
        <v>179</v>
      </c>
      <c r="AS1137" s="81">
        <v>0</v>
      </c>
      <c r="AT1137" s="81">
        <v>0</v>
      </c>
      <c r="AU1137" s="81"/>
      <c r="AV1137" s="81"/>
      <c r="AW1137" s="81"/>
      <c r="AX1137" s="81"/>
      <c r="AY1137" s="81"/>
      <c r="AZ1137" s="81"/>
      <c r="BA1137" s="81"/>
      <c r="BB1137" s="81"/>
    </row>
    <row r="1138" spans="1:54" x14ac:dyDescent="0.35">
      <c r="A1138" s="66" t="s">
        <v>4517</v>
      </c>
      <c r="B1138" s="66" t="s">
        <v>5110</v>
      </c>
      <c r="C1138" s="67"/>
      <c r="D1138" s="68"/>
      <c r="E1138" s="69"/>
      <c r="F1138" s="70"/>
      <c r="G1138" s="67"/>
      <c r="H1138" s="71"/>
      <c r="I1138" s="72"/>
      <c r="J1138" s="72"/>
      <c r="K1138" s="36"/>
      <c r="L1138" s="79"/>
      <c r="M1138" s="79"/>
      <c r="N1138" s="74"/>
      <c r="O1138" s="81" t="s">
        <v>696</v>
      </c>
      <c r="P1138" s="83">
        <v>44464.889328703706</v>
      </c>
      <c r="Q1138" s="81" t="s">
        <v>5486</v>
      </c>
      <c r="R1138" s="81"/>
      <c r="S1138" s="81"/>
      <c r="T1138" s="81"/>
      <c r="U1138" s="81"/>
      <c r="V1138" s="84" t="str">
        <f>HYPERLINK("https://pbs.twimg.com/profile_images/1401229509890805760/zSW_o3tf_normal.jpg")</f>
        <v>https://pbs.twimg.com/profile_images/1401229509890805760/zSW_o3tf_normal.jpg</v>
      </c>
      <c r="W1138" s="83">
        <v>44464.889328703706</v>
      </c>
      <c r="X1138" s="89">
        <v>44464</v>
      </c>
      <c r="Y1138" s="86" t="s">
        <v>6165</v>
      </c>
      <c r="Z1138" s="84" t="str">
        <f>HYPERLINK("https://twitter.com/rascaldizzy1/status/1441875315161239553")</f>
        <v>https://twitter.com/rascaldizzy1/status/1441875315161239553</v>
      </c>
      <c r="AA1138" s="81"/>
      <c r="AB1138" s="81"/>
      <c r="AC1138" s="86" t="s">
        <v>7074</v>
      </c>
      <c r="AD1138" s="86" t="s">
        <v>7698</v>
      </c>
      <c r="AE1138" s="81" t="b">
        <v>0</v>
      </c>
      <c r="AF1138" s="81">
        <v>0</v>
      </c>
      <c r="AG1138" s="86" t="s">
        <v>7875</v>
      </c>
      <c r="AH1138" s="81" t="b">
        <v>0</v>
      </c>
      <c r="AI1138" s="81" t="s">
        <v>2168</v>
      </c>
      <c r="AJ1138" s="81"/>
      <c r="AK1138" s="86" t="s">
        <v>2084</v>
      </c>
      <c r="AL1138" s="81" t="b">
        <v>0</v>
      </c>
      <c r="AM1138" s="81">
        <v>0</v>
      </c>
      <c r="AN1138" s="86" t="s">
        <v>2084</v>
      </c>
      <c r="AO1138" s="86" t="s">
        <v>2178</v>
      </c>
      <c r="AP1138" s="81" t="b">
        <v>0</v>
      </c>
      <c r="AQ1138" s="86" t="s">
        <v>7698</v>
      </c>
      <c r="AR1138" s="81" t="s">
        <v>179</v>
      </c>
      <c r="AS1138" s="81">
        <v>0</v>
      </c>
      <c r="AT1138" s="81">
        <v>0</v>
      </c>
      <c r="AU1138" s="81"/>
      <c r="AV1138" s="81"/>
      <c r="AW1138" s="81"/>
      <c r="AX1138" s="81"/>
      <c r="AY1138" s="81"/>
      <c r="AZ1138" s="81"/>
      <c r="BA1138" s="81"/>
      <c r="BB1138" s="81"/>
    </row>
    <row r="1139" spans="1:54" x14ac:dyDescent="0.35">
      <c r="A1139" s="66" t="s">
        <v>4517</v>
      </c>
      <c r="B1139" s="66" t="s">
        <v>5111</v>
      </c>
      <c r="C1139" s="67"/>
      <c r="D1139" s="68"/>
      <c r="E1139" s="69"/>
      <c r="F1139" s="70"/>
      <c r="G1139" s="67"/>
      <c r="H1139" s="71"/>
      <c r="I1139" s="72"/>
      <c r="J1139" s="72"/>
      <c r="K1139" s="36"/>
      <c r="L1139" s="79"/>
      <c r="M1139" s="79"/>
      <c r="N1139" s="74"/>
      <c r="O1139" s="81" t="s">
        <v>696</v>
      </c>
      <c r="P1139" s="83">
        <v>44464.889328703706</v>
      </c>
      <c r="Q1139" s="81" t="s">
        <v>5486</v>
      </c>
      <c r="R1139" s="81"/>
      <c r="S1139" s="81"/>
      <c r="T1139" s="81"/>
      <c r="U1139" s="81"/>
      <c r="V1139" s="84" t="str">
        <f>HYPERLINK("https://pbs.twimg.com/profile_images/1401229509890805760/zSW_o3tf_normal.jpg")</f>
        <v>https://pbs.twimg.com/profile_images/1401229509890805760/zSW_o3tf_normal.jpg</v>
      </c>
      <c r="W1139" s="83">
        <v>44464.889328703706</v>
      </c>
      <c r="X1139" s="89">
        <v>44464</v>
      </c>
      <c r="Y1139" s="86" t="s">
        <v>6165</v>
      </c>
      <c r="Z1139" s="84" t="str">
        <f>HYPERLINK("https://twitter.com/rascaldizzy1/status/1441875315161239553")</f>
        <v>https://twitter.com/rascaldizzy1/status/1441875315161239553</v>
      </c>
      <c r="AA1139" s="81"/>
      <c r="AB1139" s="81"/>
      <c r="AC1139" s="86" t="s">
        <v>7074</v>
      </c>
      <c r="AD1139" s="86" t="s">
        <v>7698</v>
      </c>
      <c r="AE1139" s="81" t="b">
        <v>0</v>
      </c>
      <c r="AF1139" s="81">
        <v>0</v>
      </c>
      <c r="AG1139" s="86" t="s">
        <v>7875</v>
      </c>
      <c r="AH1139" s="81" t="b">
        <v>0</v>
      </c>
      <c r="AI1139" s="81" t="s">
        <v>2168</v>
      </c>
      <c r="AJ1139" s="81"/>
      <c r="AK1139" s="86" t="s">
        <v>2084</v>
      </c>
      <c r="AL1139" s="81" t="b">
        <v>0</v>
      </c>
      <c r="AM1139" s="81">
        <v>0</v>
      </c>
      <c r="AN1139" s="86" t="s">
        <v>2084</v>
      </c>
      <c r="AO1139" s="86" t="s">
        <v>2178</v>
      </c>
      <c r="AP1139" s="81" t="b">
        <v>0</v>
      </c>
      <c r="AQ1139" s="86" t="s">
        <v>7698</v>
      </c>
      <c r="AR1139" s="81" t="s">
        <v>179</v>
      </c>
      <c r="AS1139" s="81">
        <v>0</v>
      </c>
      <c r="AT1139" s="81">
        <v>0</v>
      </c>
      <c r="AU1139" s="81"/>
      <c r="AV1139" s="81"/>
      <c r="AW1139" s="81"/>
      <c r="AX1139" s="81"/>
      <c r="AY1139" s="81"/>
      <c r="AZ1139" s="81"/>
      <c r="BA1139" s="81"/>
      <c r="BB1139" s="81"/>
    </row>
    <row r="1140" spans="1:54" x14ac:dyDescent="0.35">
      <c r="A1140" s="66" t="s">
        <v>4517</v>
      </c>
      <c r="B1140" s="66" t="s">
        <v>5112</v>
      </c>
      <c r="C1140" s="67"/>
      <c r="D1140" s="68"/>
      <c r="E1140" s="69"/>
      <c r="F1140" s="70"/>
      <c r="G1140" s="67"/>
      <c r="H1140" s="71"/>
      <c r="I1140" s="72"/>
      <c r="J1140" s="72"/>
      <c r="K1140" s="36"/>
      <c r="L1140" s="79"/>
      <c r="M1140" s="79"/>
      <c r="N1140" s="74"/>
      <c r="O1140" s="81" t="s">
        <v>695</v>
      </c>
      <c r="P1140" s="83">
        <v>44464.889328703706</v>
      </c>
      <c r="Q1140" s="81" t="s">
        <v>5486</v>
      </c>
      <c r="R1140" s="81"/>
      <c r="S1140" s="81"/>
      <c r="T1140" s="81"/>
      <c r="U1140" s="81"/>
      <c r="V1140" s="84" t="str">
        <f>HYPERLINK("https://pbs.twimg.com/profile_images/1401229509890805760/zSW_o3tf_normal.jpg")</f>
        <v>https://pbs.twimg.com/profile_images/1401229509890805760/zSW_o3tf_normal.jpg</v>
      </c>
      <c r="W1140" s="83">
        <v>44464.889328703706</v>
      </c>
      <c r="X1140" s="89">
        <v>44464</v>
      </c>
      <c r="Y1140" s="86" t="s">
        <v>6165</v>
      </c>
      <c r="Z1140" s="84" t="str">
        <f>HYPERLINK("https://twitter.com/rascaldizzy1/status/1441875315161239553")</f>
        <v>https://twitter.com/rascaldizzy1/status/1441875315161239553</v>
      </c>
      <c r="AA1140" s="81"/>
      <c r="AB1140" s="81"/>
      <c r="AC1140" s="86" t="s">
        <v>7074</v>
      </c>
      <c r="AD1140" s="86" t="s">
        <v>7698</v>
      </c>
      <c r="AE1140" s="81" t="b">
        <v>0</v>
      </c>
      <c r="AF1140" s="81">
        <v>0</v>
      </c>
      <c r="AG1140" s="86" t="s">
        <v>7875</v>
      </c>
      <c r="AH1140" s="81" t="b">
        <v>0</v>
      </c>
      <c r="AI1140" s="81" t="s">
        <v>2168</v>
      </c>
      <c r="AJ1140" s="81"/>
      <c r="AK1140" s="86" t="s">
        <v>2084</v>
      </c>
      <c r="AL1140" s="81" t="b">
        <v>0</v>
      </c>
      <c r="AM1140" s="81">
        <v>0</v>
      </c>
      <c r="AN1140" s="86" t="s">
        <v>2084</v>
      </c>
      <c r="AO1140" s="86" t="s">
        <v>2178</v>
      </c>
      <c r="AP1140" s="81" t="b">
        <v>0</v>
      </c>
      <c r="AQ1140" s="86" t="s">
        <v>7698</v>
      </c>
      <c r="AR1140" s="81" t="s">
        <v>179</v>
      </c>
      <c r="AS1140" s="81">
        <v>0</v>
      </c>
      <c r="AT1140" s="81">
        <v>0</v>
      </c>
      <c r="AU1140" s="81"/>
      <c r="AV1140" s="81"/>
      <c r="AW1140" s="81"/>
      <c r="AX1140" s="81"/>
      <c r="AY1140" s="81"/>
      <c r="AZ1140" s="81"/>
      <c r="BA1140" s="81"/>
      <c r="BB1140" s="81"/>
    </row>
    <row r="1141" spans="1:54" x14ac:dyDescent="0.35">
      <c r="A1141" s="66" t="s">
        <v>4518</v>
      </c>
      <c r="B1141" s="66" t="s">
        <v>5113</v>
      </c>
      <c r="C1141" s="67"/>
      <c r="D1141" s="68"/>
      <c r="E1141" s="69"/>
      <c r="F1141" s="70"/>
      <c r="G1141" s="67"/>
      <c r="H1141" s="71"/>
      <c r="I1141" s="72"/>
      <c r="J1141" s="72"/>
      <c r="K1141" s="36"/>
      <c r="L1141" s="79"/>
      <c r="M1141" s="79"/>
      <c r="N1141" s="74"/>
      <c r="O1141" s="81" t="s">
        <v>695</v>
      </c>
      <c r="P1141" s="83">
        <v>44464.891400462962</v>
      </c>
      <c r="Q1141" s="81" t="s">
        <v>5487</v>
      </c>
      <c r="R1141" s="81"/>
      <c r="S1141" s="81"/>
      <c r="T1141" s="81"/>
      <c r="U1141" s="81"/>
      <c r="V1141" s="84" t="str">
        <f>HYPERLINK("https://pbs.twimg.com/profile_images/1436411809708363776/TbmzwONo_normal.jpg")</f>
        <v>https://pbs.twimg.com/profile_images/1436411809708363776/TbmzwONo_normal.jpg</v>
      </c>
      <c r="W1141" s="83">
        <v>44464.891400462962</v>
      </c>
      <c r="X1141" s="89">
        <v>44464</v>
      </c>
      <c r="Y1141" s="86" t="s">
        <v>6166</v>
      </c>
      <c r="Z1141" s="84" t="str">
        <f>HYPERLINK("https://twitter.com/_ivandeso/status/1441876067845816331")</f>
        <v>https://twitter.com/_ivandeso/status/1441876067845816331</v>
      </c>
      <c r="AA1141" s="81"/>
      <c r="AB1141" s="81"/>
      <c r="AC1141" s="86" t="s">
        <v>7075</v>
      </c>
      <c r="AD1141" s="86" t="s">
        <v>7699</v>
      </c>
      <c r="AE1141" s="81" t="b">
        <v>0</v>
      </c>
      <c r="AF1141" s="81">
        <v>0</v>
      </c>
      <c r="AG1141" s="86" t="s">
        <v>7876</v>
      </c>
      <c r="AH1141" s="81" t="b">
        <v>0</v>
      </c>
      <c r="AI1141" s="81" t="s">
        <v>2171</v>
      </c>
      <c r="AJ1141" s="81"/>
      <c r="AK1141" s="86" t="s">
        <v>2084</v>
      </c>
      <c r="AL1141" s="81" t="b">
        <v>0</v>
      </c>
      <c r="AM1141" s="81">
        <v>0</v>
      </c>
      <c r="AN1141" s="86" t="s">
        <v>2084</v>
      </c>
      <c r="AO1141" s="86" t="s">
        <v>2181</v>
      </c>
      <c r="AP1141" s="81" t="b">
        <v>0</v>
      </c>
      <c r="AQ1141" s="86" t="s">
        <v>7699</v>
      </c>
      <c r="AR1141" s="81" t="s">
        <v>179</v>
      </c>
      <c r="AS1141" s="81">
        <v>0</v>
      </c>
      <c r="AT1141" s="81">
        <v>0</v>
      </c>
      <c r="AU1141" s="81"/>
      <c r="AV1141" s="81"/>
      <c r="AW1141" s="81"/>
      <c r="AX1141" s="81"/>
      <c r="AY1141" s="81"/>
      <c r="AZ1141" s="81"/>
      <c r="BA1141" s="81"/>
      <c r="BB1141" s="81"/>
    </row>
    <row r="1142" spans="1:54" x14ac:dyDescent="0.35">
      <c r="A1142" s="66" t="s">
        <v>4519</v>
      </c>
      <c r="B1142" s="66" t="s">
        <v>5114</v>
      </c>
      <c r="C1142" s="67"/>
      <c r="D1142" s="68"/>
      <c r="E1142" s="69"/>
      <c r="F1142" s="70"/>
      <c r="G1142" s="67"/>
      <c r="H1142" s="71"/>
      <c r="I1142" s="72"/>
      <c r="J1142" s="72"/>
      <c r="K1142" s="36"/>
      <c r="L1142" s="79"/>
      <c r="M1142" s="79"/>
      <c r="N1142" s="74"/>
      <c r="O1142" s="81" t="s">
        <v>696</v>
      </c>
      <c r="P1142" s="83">
        <v>44464.899745370371</v>
      </c>
      <c r="Q1142" s="81" t="s">
        <v>5488</v>
      </c>
      <c r="R1142" s="81"/>
      <c r="S1142" s="81"/>
      <c r="T1142" s="81"/>
      <c r="U1142" s="81"/>
      <c r="V1142" s="84" t="str">
        <f>HYPERLINK("https://pbs.twimg.com/profile_images/1363246033267011588/WKjLmZKn_normal.jpg")</f>
        <v>https://pbs.twimg.com/profile_images/1363246033267011588/WKjLmZKn_normal.jpg</v>
      </c>
      <c r="W1142" s="83">
        <v>44464.899745370371</v>
      </c>
      <c r="X1142" s="89">
        <v>44464</v>
      </c>
      <c r="Y1142" s="86" t="s">
        <v>6167</v>
      </c>
      <c r="Z1142" s="84" t="str">
        <f>HYPERLINK("https://twitter.com/mb_vinicios1/status/1441879089388957697")</f>
        <v>https://twitter.com/mb_vinicios1/status/1441879089388957697</v>
      </c>
      <c r="AA1142" s="81"/>
      <c r="AB1142" s="81"/>
      <c r="AC1142" s="86" t="s">
        <v>7076</v>
      </c>
      <c r="AD1142" s="86" t="s">
        <v>7700</v>
      </c>
      <c r="AE1142" s="81" t="b">
        <v>0</v>
      </c>
      <c r="AF1142" s="81">
        <v>0</v>
      </c>
      <c r="AG1142" s="86" t="s">
        <v>7877</v>
      </c>
      <c r="AH1142" s="81" t="b">
        <v>0</v>
      </c>
      <c r="AI1142" s="81" t="s">
        <v>2171</v>
      </c>
      <c r="AJ1142" s="81"/>
      <c r="AK1142" s="86" t="s">
        <v>2084</v>
      </c>
      <c r="AL1142" s="81" t="b">
        <v>0</v>
      </c>
      <c r="AM1142" s="81">
        <v>0</v>
      </c>
      <c r="AN1142" s="86" t="s">
        <v>2084</v>
      </c>
      <c r="AO1142" s="86" t="s">
        <v>2181</v>
      </c>
      <c r="AP1142" s="81" t="b">
        <v>0</v>
      </c>
      <c r="AQ1142" s="86" t="s">
        <v>7700</v>
      </c>
      <c r="AR1142" s="81" t="s">
        <v>179</v>
      </c>
      <c r="AS1142" s="81">
        <v>0</v>
      </c>
      <c r="AT1142" s="81">
        <v>0</v>
      </c>
      <c r="AU1142" s="81"/>
      <c r="AV1142" s="81"/>
      <c r="AW1142" s="81"/>
      <c r="AX1142" s="81"/>
      <c r="AY1142" s="81"/>
      <c r="AZ1142" s="81"/>
      <c r="BA1142" s="81"/>
      <c r="BB1142" s="81"/>
    </row>
    <row r="1143" spans="1:54" x14ac:dyDescent="0.35">
      <c r="A1143" s="66" t="s">
        <v>4519</v>
      </c>
      <c r="B1143" s="66" t="s">
        <v>5115</v>
      </c>
      <c r="C1143" s="67"/>
      <c r="D1143" s="68"/>
      <c r="E1143" s="69"/>
      <c r="F1143" s="70"/>
      <c r="G1143" s="67"/>
      <c r="H1143" s="71"/>
      <c r="I1143" s="72"/>
      <c r="J1143" s="72"/>
      <c r="K1143" s="36"/>
      <c r="L1143" s="79"/>
      <c r="M1143" s="79"/>
      <c r="N1143" s="74"/>
      <c r="O1143" s="81" t="s">
        <v>696</v>
      </c>
      <c r="P1143" s="83">
        <v>44464.899745370371</v>
      </c>
      <c r="Q1143" s="81" t="s">
        <v>5488</v>
      </c>
      <c r="R1143" s="81"/>
      <c r="S1143" s="81"/>
      <c r="T1143" s="81"/>
      <c r="U1143" s="81"/>
      <c r="V1143" s="84" t="str">
        <f>HYPERLINK("https://pbs.twimg.com/profile_images/1363246033267011588/WKjLmZKn_normal.jpg")</f>
        <v>https://pbs.twimg.com/profile_images/1363246033267011588/WKjLmZKn_normal.jpg</v>
      </c>
      <c r="W1143" s="83">
        <v>44464.899745370371</v>
      </c>
      <c r="X1143" s="89">
        <v>44464</v>
      </c>
      <c r="Y1143" s="86" t="s">
        <v>6167</v>
      </c>
      <c r="Z1143" s="84" t="str">
        <f>HYPERLINK("https://twitter.com/mb_vinicios1/status/1441879089388957697")</f>
        <v>https://twitter.com/mb_vinicios1/status/1441879089388957697</v>
      </c>
      <c r="AA1143" s="81"/>
      <c r="AB1143" s="81"/>
      <c r="AC1143" s="86" t="s">
        <v>7076</v>
      </c>
      <c r="AD1143" s="86" t="s">
        <v>7700</v>
      </c>
      <c r="AE1143" s="81" t="b">
        <v>0</v>
      </c>
      <c r="AF1143" s="81">
        <v>0</v>
      </c>
      <c r="AG1143" s="86" t="s">
        <v>7877</v>
      </c>
      <c r="AH1143" s="81" t="b">
        <v>0</v>
      </c>
      <c r="AI1143" s="81" t="s">
        <v>2171</v>
      </c>
      <c r="AJ1143" s="81"/>
      <c r="AK1143" s="86" t="s">
        <v>2084</v>
      </c>
      <c r="AL1143" s="81" t="b">
        <v>0</v>
      </c>
      <c r="AM1143" s="81">
        <v>0</v>
      </c>
      <c r="AN1143" s="86" t="s">
        <v>2084</v>
      </c>
      <c r="AO1143" s="86" t="s">
        <v>2181</v>
      </c>
      <c r="AP1143" s="81" t="b">
        <v>0</v>
      </c>
      <c r="AQ1143" s="86" t="s">
        <v>7700</v>
      </c>
      <c r="AR1143" s="81" t="s">
        <v>179</v>
      </c>
      <c r="AS1143" s="81">
        <v>0</v>
      </c>
      <c r="AT1143" s="81">
        <v>0</v>
      </c>
      <c r="AU1143" s="81"/>
      <c r="AV1143" s="81"/>
      <c r="AW1143" s="81"/>
      <c r="AX1143" s="81"/>
      <c r="AY1143" s="81"/>
      <c r="AZ1143" s="81"/>
      <c r="BA1143" s="81"/>
      <c r="BB1143" s="81"/>
    </row>
    <row r="1144" spans="1:54" x14ac:dyDescent="0.35">
      <c r="A1144" s="66" t="s">
        <v>4519</v>
      </c>
      <c r="B1144" s="66" t="s">
        <v>5116</v>
      </c>
      <c r="C1144" s="67"/>
      <c r="D1144" s="68"/>
      <c r="E1144" s="69"/>
      <c r="F1144" s="70"/>
      <c r="G1144" s="67"/>
      <c r="H1144" s="71"/>
      <c r="I1144" s="72"/>
      <c r="J1144" s="72"/>
      <c r="K1144" s="36"/>
      <c r="L1144" s="79"/>
      <c r="M1144" s="79"/>
      <c r="N1144" s="74"/>
      <c r="O1144" s="81" t="s">
        <v>695</v>
      </c>
      <c r="P1144" s="83">
        <v>44464.899745370371</v>
      </c>
      <c r="Q1144" s="81" t="s">
        <v>5488</v>
      </c>
      <c r="R1144" s="81"/>
      <c r="S1144" s="81"/>
      <c r="T1144" s="81"/>
      <c r="U1144" s="81"/>
      <c r="V1144" s="84" t="str">
        <f>HYPERLINK("https://pbs.twimg.com/profile_images/1363246033267011588/WKjLmZKn_normal.jpg")</f>
        <v>https://pbs.twimg.com/profile_images/1363246033267011588/WKjLmZKn_normal.jpg</v>
      </c>
      <c r="W1144" s="83">
        <v>44464.899745370371</v>
      </c>
      <c r="X1144" s="89">
        <v>44464</v>
      </c>
      <c r="Y1144" s="86" t="s">
        <v>6167</v>
      </c>
      <c r="Z1144" s="84" t="str">
        <f>HYPERLINK("https://twitter.com/mb_vinicios1/status/1441879089388957697")</f>
        <v>https://twitter.com/mb_vinicios1/status/1441879089388957697</v>
      </c>
      <c r="AA1144" s="81"/>
      <c r="AB1144" s="81"/>
      <c r="AC1144" s="86" t="s">
        <v>7076</v>
      </c>
      <c r="AD1144" s="86" t="s">
        <v>7700</v>
      </c>
      <c r="AE1144" s="81" t="b">
        <v>0</v>
      </c>
      <c r="AF1144" s="81">
        <v>0</v>
      </c>
      <c r="AG1144" s="86" t="s">
        <v>7877</v>
      </c>
      <c r="AH1144" s="81" t="b">
        <v>0</v>
      </c>
      <c r="AI1144" s="81" t="s">
        <v>2171</v>
      </c>
      <c r="AJ1144" s="81"/>
      <c r="AK1144" s="86" t="s">
        <v>2084</v>
      </c>
      <c r="AL1144" s="81" t="b">
        <v>0</v>
      </c>
      <c r="AM1144" s="81">
        <v>0</v>
      </c>
      <c r="AN1144" s="86" t="s">
        <v>2084</v>
      </c>
      <c r="AO1144" s="86" t="s">
        <v>2181</v>
      </c>
      <c r="AP1144" s="81" t="b">
        <v>0</v>
      </c>
      <c r="AQ1144" s="86" t="s">
        <v>7700</v>
      </c>
      <c r="AR1144" s="81" t="s">
        <v>179</v>
      </c>
      <c r="AS1144" s="81">
        <v>0</v>
      </c>
      <c r="AT1144" s="81">
        <v>0</v>
      </c>
      <c r="AU1144" s="81"/>
      <c r="AV1144" s="81"/>
      <c r="AW1144" s="81"/>
      <c r="AX1144" s="81"/>
      <c r="AY1144" s="81"/>
      <c r="AZ1144" s="81"/>
      <c r="BA1144" s="81"/>
      <c r="BB1144" s="81"/>
    </row>
    <row r="1145" spans="1:54" x14ac:dyDescent="0.35">
      <c r="A1145" s="66" t="s">
        <v>4519</v>
      </c>
      <c r="B1145" s="66" t="s">
        <v>5117</v>
      </c>
      <c r="C1145" s="67"/>
      <c r="D1145" s="68"/>
      <c r="E1145" s="69"/>
      <c r="F1145" s="70"/>
      <c r="G1145" s="67"/>
      <c r="H1145" s="71"/>
      <c r="I1145" s="72"/>
      <c r="J1145" s="72"/>
      <c r="K1145" s="36"/>
      <c r="L1145" s="79"/>
      <c r="M1145" s="79"/>
      <c r="N1145" s="74"/>
      <c r="O1145" s="81" t="s">
        <v>696</v>
      </c>
      <c r="P1145" s="83">
        <v>44464.899745370371</v>
      </c>
      <c r="Q1145" s="81" t="s">
        <v>5488</v>
      </c>
      <c r="R1145" s="81"/>
      <c r="S1145" s="81"/>
      <c r="T1145" s="81"/>
      <c r="U1145" s="81"/>
      <c r="V1145" s="84" t="str">
        <f>HYPERLINK("https://pbs.twimg.com/profile_images/1363246033267011588/WKjLmZKn_normal.jpg")</f>
        <v>https://pbs.twimg.com/profile_images/1363246033267011588/WKjLmZKn_normal.jpg</v>
      </c>
      <c r="W1145" s="83">
        <v>44464.899745370371</v>
      </c>
      <c r="X1145" s="89">
        <v>44464</v>
      </c>
      <c r="Y1145" s="86" t="s">
        <v>6167</v>
      </c>
      <c r="Z1145" s="84" t="str">
        <f>HYPERLINK("https://twitter.com/mb_vinicios1/status/1441879089388957697")</f>
        <v>https://twitter.com/mb_vinicios1/status/1441879089388957697</v>
      </c>
      <c r="AA1145" s="81"/>
      <c r="AB1145" s="81"/>
      <c r="AC1145" s="86" t="s">
        <v>7076</v>
      </c>
      <c r="AD1145" s="86" t="s">
        <v>7700</v>
      </c>
      <c r="AE1145" s="81" t="b">
        <v>0</v>
      </c>
      <c r="AF1145" s="81">
        <v>0</v>
      </c>
      <c r="AG1145" s="86" t="s">
        <v>7877</v>
      </c>
      <c r="AH1145" s="81" t="b">
        <v>0</v>
      </c>
      <c r="AI1145" s="81" t="s">
        <v>2171</v>
      </c>
      <c r="AJ1145" s="81"/>
      <c r="AK1145" s="86" t="s">
        <v>2084</v>
      </c>
      <c r="AL1145" s="81" t="b">
        <v>0</v>
      </c>
      <c r="AM1145" s="81">
        <v>0</v>
      </c>
      <c r="AN1145" s="86" t="s">
        <v>2084</v>
      </c>
      <c r="AO1145" s="86" t="s">
        <v>2181</v>
      </c>
      <c r="AP1145" s="81" t="b">
        <v>0</v>
      </c>
      <c r="AQ1145" s="86" t="s">
        <v>7700</v>
      </c>
      <c r="AR1145" s="81" t="s">
        <v>179</v>
      </c>
      <c r="AS1145" s="81">
        <v>0</v>
      </c>
      <c r="AT1145" s="81">
        <v>0</v>
      </c>
      <c r="AU1145" s="81"/>
      <c r="AV1145" s="81"/>
      <c r="AW1145" s="81"/>
      <c r="AX1145" s="81"/>
      <c r="AY1145" s="81"/>
      <c r="AZ1145" s="81"/>
      <c r="BA1145" s="81"/>
      <c r="BB1145" s="81"/>
    </row>
    <row r="1146" spans="1:54" x14ac:dyDescent="0.35">
      <c r="A1146" s="66" t="s">
        <v>4520</v>
      </c>
      <c r="B1146" s="66" t="s">
        <v>4567</v>
      </c>
      <c r="C1146" s="67"/>
      <c r="D1146" s="68"/>
      <c r="E1146" s="69"/>
      <c r="F1146" s="70"/>
      <c r="G1146" s="67"/>
      <c r="H1146" s="71"/>
      <c r="I1146" s="72"/>
      <c r="J1146" s="72"/>
      <c r="K1146" s="36"/>
      <c r="L1146" s="79"/>
      <c r="M1146" s="79"/>
      <c r="N1146" s="74"/>
      <c r="O1146" s="81" t="s">
        <v>693</v>
      </c>
      <c r="P1146" s="83">
        <v>44464.915289351855</v>
      </c>
      <c r="Q1146" s="81" t="s">
        <v>5449</v>
      </c>
      <c r="R1146" s="81"/>
      <c r="S1146" s="81"/>
      <c r="T1146" s="81"/>
      <c r="U1146" s="81"/>
      <c r="V1146" s="84" t="str">
        <f>HYPERLINK("https://abs.twimg.com/sticky/default_profile_images/default_profile_normal.png")</f>
        <v>https://abs.twimg.com/sticky/default_profile_images/default_profile_normal.png</v>
      </c>
      <c r="W1146" s="83">
        <v>44464.915289351855</v>
      </c>
      <c r="X1146" s="89">
        <v>44464</v>
      </c>
      <c r="Y1146" s="86" t="s">
        <v>6168</v>
      </c>
      <c r="Z1146" s="84" t="str">
        <f>HYPERLINK("https://twitter.com/reginaftima6/status/1441884720816484357")</f>
        <v>https://twitter.com/reginaftima6/status/1441884720816484357</v>
      </c>
      <c r="AA1146" s="81"/>
      <c r="AB1146" s="81"/>
      <c r="AC1146" s="86" t="s">
        <v>7077</v>
      </c>
      <c r="AD1146" s="81"/>
      <c r="AE1146" s="81" t="b">
        <v>0</v>
      </c>
      <c r="AF1146" s="81">
        <v>0</v>
      </c>
      <c r="AG1146" s="86" t="s">
        <v>2084</v>
      </c>
      <c r="AH1146" s="81" t="b">
        <v>0</v>
      </c>
      <c r="AI1146" s="81" t="s">
        <v>2171</v>
      </c>
      <c r="AJ1146" s="81"/>
      <c r="AK1146" s="86" t="s">
        <v>2084</v>
      </c>
      <c r="AL1146" s="81" t="b">
        <v>0</v>
      </c>
      <c r="AM1146" s="81">
        <v>5</v>
      </c>
      <c r="AN1146" s="86" t="s">
        <v>7126</v>
      </c>
      <c r="AO1146" s="86" t="s">
        <v>2178</v>
      </c>
      <c r="AP1146" s="81" t="b">
        <v>0</v>
      </c>
      <c r="AQ1146" s="86" t="s">
        <v>7126</v>
      </c>
      <c r="AR1146" s="81" t="s">
        <v>179</v>
      </c>
      <c r="AS1146" s="81">
        <v>0</v>
      </c>
      <c r="AT1146" s="81">
        <v>0</v>
      </c>
      <c r="AU1146" s="81"/>
      <c r="AV1146" s="81"/>
      <c r="AW1146" s="81"/>
      <c r="AX1146" s="81"/>
      <c r="AY1146" s="81"/>
      <c r="AZ1146" s="81"/>
      <c r="BA1146" s="81"/>
      <c r="BB1146" s="81"/>
    </row>
    <row r="1147" spans="1:54" x14ac:dyDescent="0.35">
      <c r="A1147" s="66" t="s">
        <v>4520</v>
      </c>
      <c r="B1147" s="66" t="s">
        <v>5091</v>
      </c>
      <c r="C1147" s="67"/>
      <c r="D1147" s="68"/>
      <c r="E1147" s="69"/>
      <c r="F1147" s="70"/>
      <c r="G1147" s="67"/>
      <c r="H1147" s="71"/>
      <c r="I1147" s="72"/>
      <c r="J1147" s="72"/>
      <c r="K1147" s="36"/>
      <c r="L1147" s="79"/>
      <c r="M1147" s="79"/>
      <c r="N1147" s="74"/>
      <c r="O1147" s="81" t="s">
        <v>695</v>
      </c>
      <c r="P1147" s="83">
        <v>44464.915289351855</v>
      </c>
      <c r="Q1147" s="81" t="s">
        <v>5449</v>
      </c>
      <c r="R1147" s="81"/>
      <c r="S1147" s="81"/>
      <c r="T1147" s="81"/>
      <c r="U1147" s="81"/>
      <c r="V1147" s="84" t="str">
        <f>HYPERLINK("https://abs.twimg.com/sticky/default_profile_images/default_profile_normal.png")</f>
        <v>https://abs.twimg.com/sticky/default_profile_images/default_profile_normal.png</v>
      </c>
      <c r="W1147" s="83">
        <v>44464.915289351855</v>
      </c>
      <c r="X1147" s="89">
        <v>44464</v>
      </c>
      <c r="Y1147" s="86" t="s">
        <v>6168</v>
      </c>
      <c r="Z1147" s="84" t="str">
        <f>HYPERLINK("https://twitter.com/reginaftima6/status/1441884720816484357")</f>
        <v>https://twitter.com/reginaftima6/status/1441884720816484357</v>
      </c>
      <c r="AA1147" s="81"/>
      <c r="AB1147" s="81"/>
      <c r="AC1147" s="86" t="s">
        <v>7077</v>
      </c>
      <c r="AD1147" s="81"/>
      <c r="AE1147" s="81" t="b">
        <v>0</v>
      </c>
      <c r="AF1147" s="81">
        <v>0</v>
      </c>
      <c r="AG1147" s="86" t="s">
        <v>2084</v>
      </c>
      <c r="AH1147" s="81" t="b">
        <v>0</v>
      </c>
      <c r="AI1147" s="81" t="s">
        <v>2171</v>
      </c>
      <c r="AJ1147" s="81"/>
      <c r="AK1147" s="86" t="s">
        <v>2084</v>
      </c>
      <c r="AL1147" s="81" t="b">
        <v>0</v>
      </c>
      <c r="AM1147" s="81">
        <v>5</v>
      </c>
      <c r="AN1147" s="86" t="s">
        <v>7126</v>
      </c>
      <c r="AO1147" s="86" t="s">
        <v>2178</v>
      </c>
      <c r="AP1147" s="81" t="b">
        <v>0</v>
      </c>
      <c r="AQ1147" s="86" t="s">
        <v>7126</v>
      </c>
      <c r="AR1147" s="81" t="s">
        <v>179</v>
      </c>
      <c r="AS1147" s="81">
        <v>0</v>
      </c>
      <c r="AT1147" s="81">
        <v>0</v>
      </c>
      <c r="AU1147" s="81"/>
      <c r="AV1147" s="81"/>
      <c r="AW1147" s="81"/>
      <c r="AX1147" s="81"/>
      <c r="AY1147" s="81"/>
      <c r="AZ1147" s="81"/>
      <c r="BA1147" s="81"/>
      <c r="BB1147" s="81"/>
    </row>
    <row r="1148" spans="1:54" x14ac:dyDescent="0.35">
      <c r="A1148" s="66" t="s">
        <v>4521</v>
      </c>
      <c r="B1148" s="66" t="s">
        <v>5118</v>
      </c>
      <c r="C1148" s="67"/>
      <c r="D1148" s="68"/>
      <c r="E1148" s="69"/>
      <c r="F1148" s="70"/>
      <c r="G1148" s="67"/>
      <c r="H1148" s="71"/>
      <c r="I1148" s="72"/>
      <c r="J1148" s="72"/>
      <c r="K1148" s="36"/>
      <c r="L1148" s="79"/>
      <c r="M1148" s="79"/>
      <c r="N1148" s="74"/>
      <c r="O1148" s="81" t="s">
        <v>695</v>
      </c>
      <c r="P1148" s="83">
        <v>44464.94263888889</v>
      </c>
      <c r="Q1148" s="81" t="s">
        <v>5489</v>
      </c>
      <c r="R1148" s="81"/>
      <c r="S1148" s="81"/>
      <c r="T1148" s="81"/>
      <c r="U1148" s="81"/>
      <c r="V1148" s="84" t="str">
        <f>HYPERLINK("https://abs.twimg.com/sticky/default_profile_images/default_profile_normal.png")</f>
        <v>https://abs.twimg.com/sticky/default_profile_images/default_profile_normal.png</v>
      </c>
      <c r="W1148" s="83">
        <v>44464.94263888889</v>
      </c>
      <c r="X1148" s="89">
        <v>44464</v>
      </c>
      <c r="Y1148" s="86" t="s">
        <v>6169</v>
      </c>
      <c r="Z1148" s="84" t="str">
        <f>HYPERLINK("https://twitter.com/abelmaxwell2/status/1441894633185824768")</f>
        <v>https://twitter.com/abelmaxwell2/status/1441894633185824768</v>
      </c>
      <c r="AA1148" s="81"/>
      <c r="AB1148" s="81"/>
      <c r="AC1148" s="86" t="s">
        <v>7078</v>
      </c>
      <c r="AD1148" s="86" t="s">
        <v>7701</v>
      </c>
      <c r="AE1148" s="81" t="b">
        <v>0</v>
      </c>
      <c r="AF1148" s="81">
        <v>0</v>
      </c>
      <c r="AG1148" s="86" t="s">
        <v>7878</v>
      </c>
      <c r="AH1148" s="81" t="b">
        <v>0</v>
      </c>
      <c r="AI1148" s="81" t="s">
        <v>2171</v>
      </c>
      <c r="AJ1148" s="81"/>
      <c r="AK1148" s="86" t="s">
        <v>2084</v>
      </c>
      <c r="AL1148" s="81" t="b">
        <v>0</v>
      </c>
      <c r="AM1148" s="81">
        <v>0</v>
      </c>
      <c r="AN1148" s="86" t="s">
        <v>2084</v>
      </c>
      <c r="AO1148" s="86" t="s">
        <v>2181</v>
      </c>
      <c r="AP1148" s="81" t="b">
        <v>0</v>
      </c>
      <c r="AQ1148" s="86" t="s">
        <v>7701</v>
      </c>
      <c r="AR1148" s="81" t="s">
        <v>179</v>
      </c>
      <c r="AS1148" s="81">
        <v>0</v>
      </c>
      <c r="AT1148" s="81">
        <v>0</v>
      </c>
      <c r="AU1148" s="81"/>
      <c r="AV1148" s="81"/>
      <c r="AW1148" s="81"/>
      <c r="AX1148" s="81"/>
      <c r="AY1148" s="81"/>
      <c r="AZ1148" s="81"/>
      <c r="BA1148" s="81"/>
      <c r="BB1148" s="81"/>
    </row>
    <row r="1149" spans="1:54" x14ac:dyDescent="0.35">
      <c r="A1149" s="66" t="s">
        <v>4522</v>
      </c>
      <c r="B1149" s="66" t="s">
        <v>5119</v>
      </c>
      <c r="C1149" s="67"/>
      <c r="D1149" s="68"/>
      <c r="E1149" s="69"/>
      <c r="F1149" s="70"/>
      <c r="G1149" s="67"/>
      <c r="H1149" s="71"/>
      <c r="I1149" s="72"/>
      <c r="J1149" s="72"/>
      <c r="K1149" s="36"/>
      <c r="L1149" s="79"/>
      <c r="M1149" s="79"/>
      <c r="N1149" s="74"/>
      <c r="O1149" s="81" t="s">
        <v>696</v>
      </c>
      <c r="P1149" s="83">
        <v>44464.953460648147</v>
      </c>
      <c r="Q1149" s="81" t="s">
        <v>5490</v>
      </c>
      <c r="R1149" s="81"/>
      <c r="S1149" s="81"/>
      <c r="T1149" s="81"/>
      <c r="U1149" s="81"/>
      <c r="V1149" s="84" t="str">
        <f>HYPERLINK("https://abs.twimg.com/sticky/default_profile_images/default_profile_normal.png")</f>
        <v>https://abs.twimg.com/sticky/default_profile_images/default_profile_normal.png</v>
      </c>
      <c r="W1149" s="83">
        <v>44464.953460648147</v>
      </c>
      <c r="X1149" s="89">
        <v>44464</v>
      </c>
      <c r="Y1149" s="86" t="s">
        <v>6170</v>
      </c>
      <c r="Z1149" s="84" t="str">
        <f>HYPERLINK("https://twitter.com/petrussacra/status/1441898553576542214")</f>
        <v>https://twitter.com/petrussacra/status/1441898553576542214</v>
      </c>
      <c r="AA1149" s="81"/>
      <c r="AB1149" s="81"/>
      <c r="AC1149" s="86" t="s">
        <v>7079</v>
      </c>
      <c r="AD1149" s="86" t="s">
        <v>7702</v>
      </c>
      <c r="AE1149" s="81" t="b">
        <v>0</v>
      </c>
      <c r="AF1149" s="81">
        <v>0</v>
      </c>
      <c r="AG1149" s="86" t="s">
        <v>7879</v>
      </c>
      <c r="AH1149" s="81" t="b">
        <v>0</v>
      </c>
      <c r="AI1149" s="81" t="s">
        <v>2171</v>
      </c>
      <c r="AJ1149" s="81"/>
      <c r="AK1149" s="86" t="s">
        <v>2084</v>
      </c>
      <c r="AL1149" s="81" t="b">
        <v>0</v>
      </c>
      <c r="AM1149" s="81">
        <v>0</v>
      </c>
      <c r="AN1149" s="86" t="s">
        <v>2084</v>
      </c>
      <c r="AO1149" s="86" t="s">
        <v>2178</v>
      </c>
      <c r="AP1149" s="81" t="b">
        <v>0</v>
      </c>
      <c r="AQ1149" s="86" t="s">
        <v>7702</v>
      </c>
      <c r="AR1149" s="81" t="s">
        <v>179</v>
      </c>
      <c r="AS1149" s="81">
        <v>0</v>
      </c>
      <c r="AT1149" s="81">
        <v>0</v>
      </c>
      <c r="AU1149" s="81"/>
      <c r="AV1149" s="81"/>
      <c r="AW1149" s="81"/>
      <c r="AX1149" s="81"/>
      <c r="AY1149" s="81"/>
      <c r="AZ1149" s="81"/>
      <c r="BA1149" s="81"/>
      <c r="BB1149" s="81"/>
    </row>
    <row r="1150" spans="1:54" x14ac:dyDescent="0.35">
      <c r="A1150" s="66" t="s">
        <v>4522</v>
      </c>
      <c r="B1150" s="66" t="s">
        <v>5120</v>
      </c>
      <c r="C1150" s="67"/>
      <c r="D1150" s="68"/>
      <c r="E1150" s="69"/>
      <c r="F1150" s="70"/>
      <c r="G1150" s="67"/>
      <c r="H1150" s="71"/>
      <c r="I1150" s="72"/>
      <c r="J1150" s="72"/>
      <c r="K1150" s="36"/>
      <c r="L1150" s="79"/>
      <c r="M1150" s="79"/>
      <c r="N1150" s="74"/>
      <c r="O1150" s="81" t="s">
        <v>696</v>
      </c>
      <c r="P1150" s="83">
        <v>44464.953460648147</v>
      </c>
      <c r="Q1150" s="81" t="s">
        <v>5490</v>
      </c>
      <c r="R1150" s="81"/>
      <c r="S1150" s="81"/>
      <c r="T1150" s="81"/>
      <c r="U1150" s="81"/>
      <c r="V1150" s="84" t="str">
        <f>HYPERLINK("https://abs.twimg.com/sticky/default_profile_images/default_profile_normal.png")</f>
        <v>https://abs.twimg.com/sticky/default_profile_images/default_profile_normal.png</v>
      </c>
      <c r="W1150" s="83">
        <v>44464.953460648147</v>
      </c>
      <c r="X1150" s="89">
        <v>44464</v>
      </c>
      <c r="Y1150" s="86" t="s">
        <v>6170</v>
      </c>
      <c r="Z1150" s="84" t="str">
        <f>HYPERLINK("https://twitter.com/petrussacra/status/1441898553576542214")</f>
        <v>https://twitter.com/petrussacra/status/1441898553576542214</v>
      </c>
      <c r="AA1150" s="81"/>
      <c r="AB1150" s="81"/>
      <c r="AC1150" s="86" t="s">
        <v>7079</v>
      </c>
      <c r="AD1150" s="86" t="s">
        <v>7702</v>
      </c>
      <c r="AE1150" s="81" t="b">
        <v>0</v>
      </c>
      <c r="AF1150" s="81">
        <v>0</v>
      </c>
      <c r="AG1150" s="86" t="s">
        <v>7879</v>
      </c>
      <c r="AH1150" s="81" t="b">
        <v>0</v>
      </c>
      <c r="AI1150" s="81" t="s">
        <v>2171</v>
      </c>
      <c r="AJ1150" s="81"/>
      <c r="AK1150" s="86" t="s">
        <v>2084</v>
      </c>
      <c r="AL1150" s="81" t="b">
        <v>0</v>
      </c>
      <c r="AM1150" s="81">
        <v>0</v>
      </c>
      <c r="AN1150" s="86" t="s">
        <v>2084</v>
      </c>
      <c r="AO1150" s="86" t="s">
        <v>2178</v>
      </c>
      <c r="AP1150" s="81" t="b">
        <v>0</v>
      </c>
      <c r="AQ1150" s="86" t="s">
        <v>7702</v>
      </c>
      <c r="AR1150" s="81" t="s">
        <v>179</v>
      </c>
      <c r="AS1150" s="81">
        <v>0</v>
      </c>
      <c r="AT1150" s="81">
        <v>0</v>
      </c>
      <c r="AU1150" s="81"/>
      <c r="AV1150" s="81"/>
      <c r="AW1150" s="81"/>
      <c r="AX1150" s="81"/>
      <c r="AY1150" s="81"/>
      <c r="AZ1150" s="81"/>
      <c r="BA1150" s="81"/>
      <c r="BB1150" s="81"/>
    </row>
    <row r="1151" spans="1:54" x14ac:dyDescent="0.35">
      <c r="A1151" s="66" t="s">
        <v>4522</v>
      </c>
      <c r="B1151" s="66" t="s">
        <v>5121</v>
      </c>
      <c r="C1151" s="67"/>
      <c r="D1151" s="68"/>
      <c r="E1151" s="69"/>
      <c r="F1151" s="70"/>
      <c r="G1151" s="67"/>
      <c r="H1151" s="71"/>
      <c r="I1151" s="72"/>
      <c r="J1151" s="72"/>
      <c r="K1151" s="36"/>
      <c r="L1151" s="79"/>
      <c r="M1151" s="79"/>
      <c r="N1151" s="74"/>
      <c r="O1151" s="81" t="s">
        <v>696</v>
      </c>
      <c r="P1151" s="83">
        <v>44464.953460648147</v>
      </c>
      <c r="Q1151" s="81" t="s">
        <v>5490</v>
      </c>
      <c r="R1151" s="81"/>
      <c r="S1151" s="81"/>
      <c r="T1151" s="81"/>
      <c r="U1151" s="81"/>
      <c r="V1151" s="84" t="str">
        <f>HYPERLINK("https://abs.twimg.com/sticky/default_profile_images/default_profile_normal.png")</f>
        <v>https://abs.twimg.com/sticky/default_profile_images/default_profile_normal.png</v>
      </c>
      <c r="W1151" s="83">
        <v>44464.953460648147</v>
      </c>
      <c r="X1151" s="89">
        <v>44464</v>
      </c>
      <c r="Y1151" s="86" t="s">
        <v>6170</v>
      </c>
      <c r="Z1151" s="84" t="str">
        <f>HYPERLINK("https://twitter.com/petrussacra/status/1441898553576542214")</f>
        <v>https://twitter.com/petrussacra/status/1441898553576542214</v>
      </c>
      <c r="AA1151" s="81"/>
      <c r="AB1151" s="81"/>
      <c r="AC1151" s="86" t="s">
        <v>7079</v>
      </c>
      <c r="AD1151" s="86" t="s">
        <v>7702</v>
      </c>
      <c r="AE1151" s="81" t="b">
        <v>0</v>
      </c>
      <c r="AF1151" s="81">
        <v>0</v>
      </c>
      <c r="AG1151" s="86" t="s">
        <v>7879</v>
      </c>
      <c r="AH1151" s="81" t="b">
        <v>0</v>
      </c>
      <c r="AI1151" s="81" t="s">
        <v>2171</v>
      </c>
      <c r="AJ1151" s="81"/>
      <c r="AK1151" s="86" t="s">
        <v>2084</v>
      </c>
      <c r="AL1151" s="81" t="b">
        <v>0</v>
      </c>
      <c r="AM1151" s="81">
        <v>0</v>
      </c>
      <c r="AN1151" s="86" t="s">
        <v>2084</v>
      </c>
      <c r="AO1151" s="86" t="s">
        <v>2178</v>
      </c>
      <c r="AP1151" s="81" t="b">
        <v>0</v>
      </c>
      <c r="AQ1151" s="86" t="s">
        <v>7702</v>
      </c>
      <c r="AR1151" s="81" t="s">
        <v>179</v>
      </c>
      <c r="AS1151" s="81">
        <v>0</v>
      </c>
      <c r="AT1151" s="81">
        <v>0</v>
      </c>
      <c r="AU1151" s="81"/>
      <c r="AV1151" s="81"/>
      <c r="AW1151" s="81"/>
      <c r="AX1151" s="81"/>
      <c r="AY1151" s="81"/>
      <c r="AZ1151" s="81"/>
      <c r="BA1151" s="81"/>
      <c r="BB1151" s="81"/>
    </row>
    <row r="1152" spans="1:54" x14ac:dyDescent="0.35">
      <c r="A1152" s="66" t="s">
        <v>4522</v>
      </c>
      <c r="B1152" s="66" t="s">
        <v>5122</v>
      </c>
      <c r="C1152" s="67"/>
      <c r="D1152" s="68"/>
      <c r="E1152" s="69"/>
      <c r="F1152" s="70"/>
      <c r="G1152" s="67"/>
      <c r="H1152" s="71"/>
      <c r="I1152" s="72"/>
      <c r="J1152" s="72"/>
      <c r="K1152" s="36"/>
      <c r="L1152" s="79"/>
      <c r="M1152" s="79"/>
      <c r="N1152" s="74"/>
      <c r="O1152" s="81" t="s">
        <v>696</v>
      </c>
      <c r="P1152" s="83">
        <v>44464.953460648147</v>
      </c>
      <c r="Q1152" s="81" t="s">
        <v>5490</v>
      </c>
      <c r="R1152" s="81"/>
      <c r="S1152" s="81"/>
      <c r="T1152" s="81"/>
      <c r="U1152" s="81"/>
      <c r="V1152" s="84" t="str">
        <f>HYPERLINK("https://abs.twimg.com/sticky/default_profile_images/default_profile_normal.png")</f>
        <v>https://abs.twimg.com/sticky/default_profile_images/default_profile_normal.png</v>
      </c>
      <c r="W1152" s="83">
        <v>44464.953460648147</v>
      </c>
      <c r="X1152" s="89">
        <v>44464</v>
      </c>
      <c r="Y1152" s="86" t="s">
        <v>6170</v>
      </c>
      <c r="Z1152" s="84" t="str">
        <f>HYPERLINK("https://twitter.com/petrussacra/status/1441898553576542214")</f>
        <v>https://twitter.com/petrussacra/status/1441898553576542214</v>
      </c>
      <c r="AA1152" s="81"/>
      <c r="AB1152" s="81"/>
      <c r="AC1152" s="86" t="s">
        <v>7079</v>
      </c>
      <c r="AD1152" s="86" t="s">
        <v>7702</v>
      </c>
      <c r="AE1152" s="81" t="b">
        <v>0</v>
      </c>
      <c r="AF1152" s="81">
        <v>0</v>
      </c>
      <c r="AG1152" s="86" t="s">
        <v>7879</v>
      </c>
      <c r="AH1152" s="81" t="b">
        <v>0</v>
      </c>
      <c r="AI1152" s="81" t="s">
        <v>2171</v>
      </c>
      <c r="AJ1152" s="81"/>
      <c r="AK1152" s="86" t="s">
        <v>2084</v>
      </c>
      <c r="AL1152" s="81" t="b">
        <v>0</v>
      </c>
      <c r="AM1152" s="81">
        <v>0</v>
      </c>
      <c r="AN1152" s="86" t="s">
        <v>2084</v>
      </c>
      <c r="AO1152" s="86" t="s">
        <v>2178</v>
      </c>
      <c r="AP1152" s="81" t="b">
        <v>0</v>
      </c>
      <c r="AQ1152" s="86" t="s">
        <v>7702</v>
      </c>
      <c r="AR1152" s="81" t="s">
        <v>179</v>
      </c>
      <c r="AS1152" s="81">
        <v>0</v>
      </c>
      <c r="AT1152" s="81">
        <v>0</v>
      </c>
      <c r="AU1152" s="81"/>
      <c r="AV1152" s="81"/>
      <c r="AW1152" s="81"/>
      <c r="AX1152" s="81"/>
      <c r="AY1152" s="81"/>
      <c r="AZ1152" s="81"/>
      <c r="BA1152" s="81"/>
      <c r="BB1152" s="81"/>
    </row>
    <row r="1153" spans="1:54" x14ac:dyDescent="0.35">
      <c r="A1153" s="66" t="s">
        <v>4522</v>
      </c>
      <c r="B1153" s="66" t="s">
        <v>5123</v>
      </c>
      <c r="C1153" s="67"/>
      <c r="D1153" s="68"/>
      <c r="E1153" s="69"/>
      <c r="F1153" s="70"/>
      <c r="G1153" s="67"/>
      <c r="H1153" s="71"/>
      <c r="I1153" s="72"/>
      <c r="J1153" s="72"/>
      <c r="K1153" s="36"/>
      <c r="L1153" s="79"/>
      <c r="M1153" s="79"/>
      <c r="N1153" s="74"/>
      <c r="O1153" s="81" t="s">
        <v>695</v>
      </c>
      <c r="P1153" s="83">
        <v>44464.953460648147</v>
      </c>
      <c r="Q1153" s="81" t="s">
        <v>5490</v>
      </c>
      <c r="R1153" s="81"/>
      <c r="S1153" s="81"/>
      <c r="T1153" s="81"/>
      <c r="U1153" s="81"/>
      <c r="V1153" s="84" t="str">
        <f>HYPERLINK("https://abs.twimg.com/sticky/default_profile_images/default_profile_normal.png")</f>
        <v>https://abs.twimg.com/sticky/default_profile_images/default_profile_normal.png</v>
      </c>
      <c r="W1153" s="83">
        <v>44464.953460648147</v>
      </c>
      <c r="X1153" s="89">
        <v>44464</v>
      </c>
      <c r="Y1153" s="86" t="s">
        <v>6170</v>
      </c>
      <c r="Z1153" s="84" t="str">
        <f>HYPERLINK("https://twitter.com/petrussacra/status/1441898553576542214")</f>
        <v>https://twitter.com/petrussacra/status/1441898553576542214</v>
      </c>
      <c r="AA1153" s="81"/>
      <c r="AB1153" s="81"/>
      <c r="AC1153" s="86" t="s">
        <v>7079</v>
      </c>
      <c r="AD1153" s="86" t="s">
        <v>7702</v>
      </c>
      <c r="AE1153" s="81" t="b">
        <v>0</v>
      </c>
      <c r="AF1153" s="81">
        <v>0</v>
      </c>
      <c r="AG1153" s="86" t="s">
        <v>7879</v>
      </c>
      <c r="AH1153" s="81" t="b">
        <v>0</v>
      </c>
      <c r="AI1153" s="81" t="s">
        <v>2171</v>
      </c>
      <c r="AJ1153" s="81"/>
      <c r="AK1153" s="86" t="s">
        <v>2084</v>
      </c>
      <c r="AL1153" s="81" t="b">
        <v>0</v>
      </c>
      <c r="AM1153" s="81">
        <v>0</v>
      </c>
      <c r="AN1153" s="86" t="s">
        <v>2084</v>
      </c>
      <c r="AO1153" s="86" t="s">
        <v>2178</v>
      </c>
      <c r="AP1153" s="81" t="b">
        <v>0</v>
      </c>
      <c r="AQ1153" s="86" t="s">
        <v>7702</v>
      </c>
      <c r="AR1153" s="81" t="s">
        <v>179</v>
      </c>
      <c r="AS1153" s="81">
        <v>0</v>
      </c>
      <c r="AT1153" s="81">
        <v>0</v>
      </c>
      <c r="AU1153" s="81"/>
      <c r="AV1153" s="81"/>
      <c r="AW1153" s="81"/>
      <c r="AX1153" s="81"/>
      <c r="AY1153" s="81"/>
      <c r="AZ1153" s="81"/>
      <c r="BA1153" s="81"/>
      <c r="BB1153" s="81"/>
    </row>
    <row r="1154" spans="1:54" x14ac:dyDescent="0.35">
      <c r="A1154" s="66" t="s">
        <v>4523</v>
      </c>
      <c r="B1154" s="66" t="s">
        <v>5124</v>
      </c>
      <c r="C1154" s="67"/>
      <c r="D1154" s="68"/>
      <c r="E1154" s="69"/>
      <c r="F1154" s="70"/>
      <c r="G1154" s="67"/>
      <c r="H1154" s="71"/>
      <c r="I1154" s="72"/>
      <c r="J1154" s="72"/>
      <c r="K1154" s="36"/>
      <c r="L1154" s="79"/>
      <c r="M1154" s="79"/>
      <c r="N1154" s="74"/>
      <c r="O1154" s="81" t="s">
        <v>696</v>
      </c>
      <c r="P1154" s="83">
        <v>44464.973414351851</v>
      </c>
      <c r="Q1154" s="81" t="s">
        <v>5491</v>
      </c>
      <c r="R1154" s="81"/>
      <c r="S1154" s="81"/>
      <c r="T1154" s="81"/>
      <c r="U1154" s="81"/>
      <c r="V1154" s="84" t="str">
        <f>HYPERLINK("https://abs.twimg.com/sticky/default_profile_images/default_profile_normal.png")</f>
        <v>https://abs.twimg.com/sticky/default_profile_images/default_profile_normal.png</v>
      </c>
      <c r="W1154" s="83">
        <v>44464.973414351851</v>
      </c>
      <c r="X1154" s="89">
        <v>44464</v>
      </c>
      <c r="Y1154" s="86" t="s">
        <v>6171</v>
      </c>
      <c r="Z1154" s="84" t="str">
        <f>HYPERLINK("https://twitter.com/lioeslucas/status/1441905784745517057")</f>
        <v>https://twitter.com/lioeslucas/status/1441905784745517057</v>
      </c>
      <c r="AA1154" s="81"/>
      <c r="AB1154" s="81"/>
      <c r="AC1154" s="86" t="s">
        <v>7080</v>
      </c>
      <c r="AD1154" s="86" t="s">
        <v>7703</v>
      </c>
      <c r="AE1154" s="81" t="b">
        <v>0</v>
      </c>
      <c r="AF1154" s="81">
        <v>1</v>
      </c>
      <c r="AG1154" s="86" t="s">
        <v>7880</v>
      </c>
      <c r="AH1154" s="81" t="b">
        <v>0</v>
      </c>
      <c r="AI1154" s="81" t="s">
        <v>2171</v>
      </c>
      <c r="AJ1154" s="81"/>
      <c r="AK1154" s="86" t="s">
        <v>2084</v>
      </c>
      <c r="AL1154" s="81" t="b">
        <v>0</v>
      </c>
      <c r="AM1154" s="81">
        <v>0</v>
      </c>
      <c r="AN1154" s="86" t="s">
        <v>2084</v>
      </c>
      <c r="AO1154" s="86" t="s">
        <v>2181</v>
      </c>
      <c r="AP1154" s="81" t="b">
        <v>0</v>
      </c>
      <c r="AQ1154" s="86" t="s">
        <v>7703</v>
      </c>
      <c r="AR1154" s="81" t="s">
        <v>179</v>
      </c>
      <c r="AS1154" s="81">
        <v>0</v>
      </c>
      <c r="AT1154" s="81">
        <v>0</v>
      </c>
      <c r="AU1154" s="81"/>
      <c r="AV1154" s="81"/>
      <c r="AW1154" s="81"/>
      <c r="AX1154" s="81"/>
      <c r="AY1154" s="81"/>
      <c r="AZ1154" s="81"/>
      <c r="BA1154" s="81"/>
      <c r="BB1154" s="81"/>
    </row>
    <row r="1155" spans="1:54" x14ac:dyDescent="0.35">
      <c r="A1155" s="66" t="s">
        <v>4523</v>
      </c>
      <c r="B1155" s="66" t="s">
        <v>5125</v>
      </c>
      <c r="C1155" s="67"/>
      <c r="D1155" s="68"/>
      <c r="E1155" s="69"/>
      <c r="F1155" s="70"/>
      <c r="G1155" s="67"/>
      <c r="H1155" s="71"/>
      <c r="I1155" s="72"/>
      <c r="J1155" s="72"/>
      <c r="K1155" s="36"/>
      <c r="L1155" s="79"/>
      <c r="M1155" s="79"/>
      <c r="N1155" s="74"/>
      <c r="O1155" s="81" t="s">
        <v>695</v>
      </c>
      <c r="P1155" s="83">
        <v>44464.973414351851</v>
      </c>
      <c r="Q1155" s="81" t="s">
        <v>5491</v>
      </c>
      <c r="R1155" s="81"/>
      <c r="S1155" s="81"/>
      <c r="T1155" s="81"/>
      <c r="U1155" s="81"/>
      <c r="V1155" s="84" t="str">
        <f>HYPERLINK("https://abs.twimg.com/sticky/default_profile_images/default_profile_normal.png")</f>
        <v>https://abs.twimg.com/sticky/default_profile_images/default_profile_normal.png</v>
      </c>
      <c r="W1155" s="83">
        <v>44464.973414351851</v>
      </c>
      <c r="X1155" s="89">
        <v>44464</v>
      </c>
      <c r="Y1155" s="86" t="s">
        <v>6171</v>
      </c>
      <c r="Z1155" s="84" t="str">
        <f>HYPERLINK("https://twitter.com/lioeslucas/status/1441905784745517057")</f>
        <v>https://twitter.com/lioeslucas/status/1441905784745517057</v>
      </c>
      <c r="AA1155" s="81"/>
      <c r="AB1155" s="81"/>
      <c r="AC1155" s="86" t="s">
        <v>7080</v>
      </c>
      <c r="AD1155" s="86" t="s">
        <v>7703</v>
      </c>
      <c r="AE1155" s="81" t="b">
        <v>0</v>
      </c>
      <c r="AF1155" s="81">
        <v>1</v>
      </c>
      <c r="AG1155" s="86" t="s">
        <v>7880</v>
      </c>
      <c r="AH1155" s="81" t="b">
        <v>0</v>
      </c>
      <c r="AI1155" s="81" t="s">
        <v>2171</v>
      </c>
      <c r="AJ1155" s="81"/>
      <c r="AK1155" s="86" t="s">
        <v>2084</v>
      </c>
      <c r="AL1155" s="81" t="b">
        <v>0</v>
      </c>
      <c r="AM1155" s="81">
        <v>0</v>
      </c>
      <c r="AN1155" s="86" t="s">
        <v>2084</v>
      </c>
      <c r="AO1155" s="86" t="s">
        <v>2181</v>
      </c>
      <c r="AP1155" s="81" t="b">
        <v>0</v>
      </c>
      <c r="AQ1155" s="86" t="s">
        <v>7703</v>
      </c>
      <c r="AR1155" s="81" t="s">
        <v>179</v>
      </c>
      <c r="AS1155" s="81">
        <v>0</v>
      </c>
      <c r="AT1155" s="81">
        <v>0</v>
      </c>
      <c r="AU1155" s="81"/>
      <c r="AV1155" s="81"/>
      <c r="AW1155" s="81"/>
      <c r="AX1155" s="81"/>
      <c r="AY1155" s="81"/>
      <c r="AZ1155" s="81"/>
      <c r="BA1155" s="81"/>
      <c r="BB1155" s="81"/>
    </row>
    <row r="1156" spans="1:54" x14ac:dyDescent="0.35">
      <c r="A1156" s="66" t="s">
        <v>4523</v>
      </c>
      <c r="B1156" s="66" t="s">
        <v>5126</v>
      </c>
      <c r="C1156" s="67"/>
      <c r="D1156" s="68"/>
      <c r="E1156" s="69"/>
      <c r="F1156" s="70"/>
      <c r="G1156" s="67"/>
      <c r="H1156" s="71"/>
      <c r="I1156" s="72"/>
      <c r="J1156" s="72"/>
      <c r="K1156" s="36"/>
      <c r="L1156" s="79"/>
      <c r="M1156" s="79"/>
      <c r="N1156" s="74"/>
      <c r="O1156" s="81" t="s">
        <v>696</v>
      </c>
      <c r="P1156" s="83">
        <v>44464.973414351851</v>
      </c>
      <c r="Q1156" s="81" t="s">
        <v>5491</v>
      </c>
      <c r="R1156" s="81"/>
      <c r="S1156" s="81"/>
      <c r="T1156" s="81"/>
      <c r="U1156" s="81"/>
      <c r="V1156" s="84" t="str">
        <f>HYPERLINK("https://abs.twimg.com/sticky/default_profile_images/default_profile_normal.png")</f>
        <v>https://abs.twimg.com/sticky/default_profile_images/default_profile_normal.png</v>
      </c>
      <c r="W1156" s="83">
        <v>44464.973414351851</v>
      </c>
      <c r="X1156" s="89">
        <v>44464</v>
      </c>
      <c r="Y1156" s="86" t="s">
        <v>6171</v>
      </c>
      <c r="Z1156" s="84" t="str">
        <f>HYPERLINK("https://twitter.com/lioeslucas/status/1441905784745517057")</f>
        <v>https://twitter.com/lioeslucas/status/1441905784745517057</v>
      </c>
      <c r="AA1156" s="81"/>
      <c r="AB1156" s="81"/>
      <c r="AC1156" s="86" t="s">
        <v>7080</v>
      </c>
      <c r="AD1156" s="86" t="s">
        <v>7703</v>
      </c>
      <c r="AE1156" s="81" t="b">
        <v>0</v>
      </c>
      <c r="AF1156" s="81">
        <v>1</v>
      </c>
      <c r="AG1156" s="86" t="s">
        <v>7880</v>
      </c>
      <c r="AH1156" s="81" t="b">
        <v>0</v>
      </c>
      <c r="AI1156" s="81" t="s">
        <v>2171</v>
      </c>
      <c r="AJ1156" s="81"/>
      <c r="AK1156" s="86" t="s">
        <v>2084</v>
      </c>
      <c r="AL1156" s="81" t="b">
        <v>0</v>
      </c>
      <c r="AM1156" s="81">
        <v>0</v>
      </c>
      <c r="AN1156" s="86" t="s">
        <v>2084</v>
      </c>
      <c r="AO1156" s="86" t="s">
        <v>2181</v>
      </c>
      <c r="AP1156" s="81" t="b">
        <v>0</v>
      </c>
      <c r="AQ1156" s="86" t="s">
        <v>7703</v>
      </c>
      <c r="AR1156" s="81" t="s">
        <v>179</v>
      </c>
      <c r="AS1156" s="81">
        <v>0</v>
      </c>
      <c r="AT1156" s="81">
        <v>0</v>
      </c>
      <c r="AU1156" s="81"/>
      <c r="AV1156" s="81"/>
      <c r="AW1156" s="81"/>
      <c r="AX1156" s="81"/>
      <c r="AY1156" s="81"/>
      <c r="AZ1156" s="81"/>
      <c r="BA1156" s="81"/>
      <c r="BB1156" s="81"/>
    </row>
    <row r="1157" spans="1:54" x14ac:dyDescent="0.35">
      <c r="A1157" s="66" t="s">
        <v>4523</v>
      </c>
      <c r="B1157" s="66" t="s">
        <v>5127</v>
      </c>
      <c r="C1157" s="67"/>
      <c r="D1157" s="68"/>
      <c r="E1157" s="69"/>
      <c r="F1157" s="70"/>
      <c r="G1157" s="67"/>
      <c r="H1157" s="71"/>
      <c r="I1157" s="72"/>
      <c r="J1157" s="72"/>
      <c r="K1157" s="36"/>
      <c r="L1157" s="79"/>
      <c r="M1157" s="79"/>
      <c r="N1157" s="74"/>
      <c r="O1157" s="81" t="s">
        <v>696</v>
      </c>
      <c r="P1157" s="83">
        <v>44464.973414351851</v>
      </c>
      <c r="Q1157" s="81" t="s">
        <v>5491</v>
      </c>
      <c r="R1157" s="81"/>
      <c r="S1157" s="81"/>
      <c r="T1157" s="81"/>
      <c r="U1157" s="81"/>
      <c r="V1157" s="84" t="str">
        <f>HYPERLINK("https://abs.twimg.com/sticky/default_profile_images/default_profile_normal.png")</f>
        <v>https://abs.twimg.com/sticky/default_profile_images/default_profile_normal.png</v>
      </c>
      <c r="W1157" s="83">
        <v>44464.973414351851</v>
      </c>
      <c r="X1157" s="89">
        <v>44464</v>
      </c>
      <c r="Y1157" s="86" t="s">
        <v>6171</v>
      </c>
      <c r="Z1157" s="84" t="str">
        <f>HYPERLINK("https://twitter.com/lioeslucas/status/1441905784745517057")</f>
        <v>https://twitter.com/lioeslucas/status/1441905784745517057</v>
      </c>
      <c r="AA1157" s="81"/>
      <c r="AB1157" s="81"/>
      <c r="AC1157" s="86" t="s">
        <v>7080</v>
      </c>
      <c r="AD1157" s="86" t="s">
        <v>7703</v>
      </c>
      <c r="AE1157" s="81" t="b">
        <v>0</v>
      </c>
      <c r="AF1157" s="81">
        <v>1</v>
      </c>
      <c r="AG1157" s="86" t="s">
        <v>7880</v>
      </c>
      <c r="AH1157" s="81" t="b">
        <v>0</v>
      </c>
      <c r="AI1157" s="81" t="s">
        <v>2171</v>
      </c>
      <c r="AJ1157" s="81"/>
      <c r="AK1157" s="86" t="s">
        <v>2084</v>
      </c>
      <c r="AL1157" s="81" t="b">
        <v>0</v>
      </c>
      <c r="AM1157" s="81">
        <v>0</v>
      </c>
      <c r="AN1157" s="86" t="s">
        <v>2084</v>
      </c>
      <c r="AO1157" s="86" t="s">
        <v>2181</v>
      </c>
      <c r="AP1157" s="81" t="b">
        <v>0</v>
      </c>
      <c r="AQ1157" s="86" t="s">
        <v>7703</v>
      </c>
      <c r="AR1157" s="81" t="s">
        <v>179</v>
      </c>
      <c r="AS1157" s="81">
        <v>0</v>
      </c>
      <c r="AT1157" s="81">
        <v>0</v>
      </c>
      <c r="AU1157" s="81"/>
      <c r="AV1157" s="81"/>
      <c r="AW1157" s="81"/>
      <c r="AX1157" s="81"/>
      <c r="AY1157" s="81"/>
      <c r="AZ1157" s="81"/>
      <c r="BA1157" s="81"/>
      <c r="BB1157" s="81"/>
    </row>
    <row r="1158" spans="1:54" x14ac:dyDescent="0.35">
      <c r="A1158" s="66" t="s">
        <v>483</v>
      </c>
      <c r="B1158" s="66" t="s">
        <v>483</v>
      </c>
      <c r="C1158" s="67"/>
      <c r="D1158" s="68"/>
      <c r="E1158" s="69"/>
      <c r="F1158" s="70"/>
      <c r="G1158" s="67"/>
      <c r="H1158" s="71"/>
      <c r="I1158" s="72"/>
      <c r="J1158" s="72"/>
      <c r="K1158" s="36"/>
      <c r="L1158" s="79"/>
      <c r="M1158" s="79"/>
      <c r="N1158" s="74"/>
      <c r="O1158" s="81" t="s">
        <v>179</v>
      </c>
      <c r="P1158" s="83">
        <v>44465.002083333333</v>
      </c>
      <c r="Q1158" s="81" t="s">
        <v>818</v>
      </c>
      <c r="R1158" s="81"/>
      <c r="S1158" s="81"/>
      <c r="T1158" s="81"/>
      <c r="U1158" s="81"/>
      <c r="V1158" s="84" t="str">
        <f>HYPERLINK("https://pbs.twimg.com/profile_images/1437034466615070723/g5HtDvbA_normal.jpg")</f>
        <v>https://pbs.twimg.com/profile_images/1437034466615070723/g5HtDvbA_normal.jpg</v>
      </c>
      <c r="W1158" s="83">
        <v>44465.002083333333</v>
      </c>
      <c r="X1158" s="89">
        <v>44465</v>
      </c>
      <c r="Y1158" s="86" t="s">
        <v>1336</v>
      </c>
      <c r="Z1158" s="84" t="str">
        <f>HYPERLINK("https://twitter.com/aniszulkifle/status/1441916175789682698")</f>
        <v>https://twitter.com/aniszulkifle/status/1441916175789682698</v>
      </c>
      <c r="AA1158" s="81"/>
      <c r="AB1158" s="81"/>
      <c r="AC1158" s="86" t="s">
        <v>1832</v>
      </c>
      <c r="AD1158" s="81"/>
      <c r="AE1158" s="81" t="b">
        <v>0</v>
      </c>
      <c r="AF1158" s="81">
        <v>0</v>
      </c>
      <c r="AG1158" s="86" t="s">
        <v>2084</v>
      </c>
      <c r="AH1158" s="81" t="b">
        <v>0</v>
      </c>
      <c r="AI1158" s="81" t="s">
        <v>2167</v>
      </c>
      <c r="AJ1158" s="81"/>
      <c r="AK1158" s="86" t="s">
        <v>2084</v>
      </c>
      <c r="AL1158" s="81" t="b">
        <v>0</v>
      </c>
      <c r="AM1158" s="81">
        <v>0</v>
      </c>
      <c r="AN1158" s="86" t="s">
        <v>2084</v>
      </c>
      <c r="AO1158" s="86" t="s">
        <v>2179</v>
      </c>
      <c r="AP1158" s="81" t="b">
        <v>0</v>
      </c>
      <c r="AQ1158" s="86" t="s">
        <v>1832</v>
      </c>
      <c r="AR1158" s="81" t="s">
        <v>179</v>
      </c>
      <c r="AS1158" s="81">
        <v>0</v>
      </c>
      <c r="AT1158" s="81">
        <v>0</v>
      </c>
      <c r="AU1158" s="81"/>
      <c r="AV1158" s="81"/>
      <c r="AW1158" s="81"/>
      <c r="AX1158" s="81"/>
      <c r="AY1158" s="81"/>
      <c r="AZ1158" s="81"/>
      <c r="BA1158" s="81"/>
      <c r="BB1158" s="81"/>
    </row>
    <row r="1159" spans="1:54" x14ac:dyDescent="0.35">
      <c r="A1159" s="66" t="s">
        <v>4524</v>
      </c>
      <c r="B1159" s="66" t="s">
        <v>5128</v>
      </c>
      <c r="C1159" s="67"/>
      <c r="D1159" s="68"/>
      <c r="E1159" s="69"/>
      <c r="F1159" s="70"/>
      <c r="G1159" s="67"/>
      <c r="H1159" s="71"/>
      <c r="I1159" s="72"/>
      <c r="J1159" s="72"/>
      <c r="K1159" s="36"/>
      <c r="L1159" s="79"/>
      <c r="M1159" s="79"/>
      <c r="N1159" s="74"/>
      <c r="O1159" s="81" t="s">
        <v>696</v>
      </c>
      <c r="P1159" s="83">
        <v>44465.006423611114</v>
      </c>
      <c r="Q1159" s="81" t="s">
        <v>5492</v>
      </c>
      <c r="R115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159" s="81" t="s">
        <v>5686</v>
      </c>
      <c r="T1159" s="81"/>
      <c r="U1159" s="81"/>
      <c r="V1159" s="84" t="str">
        <f>HYPERLINK("https://pbs.twimg.com/profile_images/1435201253777215502/Hnwi6GAF_normal.jpg")</f>
        <v>https://pbs.twimg.com/profile_images/1435201253777215502/Hnwi6GAF_normal.jpg</v>
      </c>
      <c r="W1159" s="83">
        <v>44465.006423611114</v>
      </c>
      <c r="X1159" s="89">
        <v>44465</v>
      </c>
      <c r="Y1159" s="86" t="s">
        <v>6172</v>
      </c>
      <c r="Z1159" s="84" t="str">
        <f>HYPERLINK("https://twitter.com/fabilcp/status/1441917749064777736")</f>
        <v>https://twitter.com/fabilcp/status/1441917749064777736</v>
      </c>
      <c r="AA1159" s="81"/>
      <c r="AB1159" s="81"/>
      <c r="AC1159" s="86" t="s">
        <v>7081</v>
      </c>
      <c r="AD1159" s="81"/>
      <c r="AE1159" s="81" t="b">
        <v>0</v>
      </c>
      <c r="AF1159" s="81">
        <v>0</v>
      </c>
      <c r="AG1159" s="86" t="s">
        <v>2084</v>
      </c>
      <c r="AH1159" s="81" t="b">
        <v>0</v>
      </c>
      <c r="AI1159" s="81" t="s">
        <v>2171</v>
      </c>
      <c r="AJ1159" s="81"/>
      <c r="AK1159" s="86" t="s">
        <v>2084</v>
      </c>
      <c r="AL1159" s="81" t="b">
        <v>0</v>
      </c>
      <c r="AM1159" s="81">
        <v>0</v>
      </c>
      <c r="AN1159" s="86" t="s">
        <v>2084</v>
      </c>
      <c r="AO1159" s="86" t="s">
        <v>2179</v>
      </c>
      <c r="AP1159" s="81" t="b">
        <v>0</v>
      </c>
      <c r="AQ1159" s="86" t="s">
        <v>7081</v>
      </c>
      <c r="AR1159" s="81" t="s">
        <v>179</v>
      </c>
      <c r="AS1159" s="81">
        <v>0</v>
      </c>
      <c r="AT1159" s="81">
        <v>0</v>
      </c>
      <c r="AU1159" s="81"/>
      <c r="AV1159" s="81"/>
      <c r="AW1159" s="81"/>
      <c r="AX1159" s="81"/>
      <c r="AY1159" s="81"/>
      <c r="AZ1159" s="81"/>
      <c r="BA1159" s="81"/>
      <c r="BB1159" s="81"/>
    </row>
    <row r="1160" spans="1:54" x14ac:dyDescent="0.35">
      <c r="A1160" s="66" t="s">
        <v>4525</v>
      </c>
      <c r="B1160" s="66" t="s">
        <v>5129</v>
      </c>
      <c r="C1160" s="67"/>
      <c r="D1160" s="68"/>
      <c r="E1160" s="69"/>
      <c r="F1160" s="70"/>
      <c r="G1160" s="67"/>
      <c r="H1160" s="71"/>
      <c r="I1160" s="72"/>
      <c r="J1160" s="72"/>
      <c r="K1160" s="36"/>
      <c r="L1160" s="79"/>
      <c r="M1160" s="79"/>
      <c r="N1160" s="74"/>
      <c r="O1160" s="81" t="s">
        <v>695</v>
      </c>
      <c r="P1160" s="83">
        <v>44465.036076388889</v>
      </c>
      <c r="Q1160" s="81" t="s">
        <v>5493</v>
      </c>
      <c r="R1160" s="81"/>
      <c r="S1160" s="81"/>
      <c r="T1160" s="81"/>
      <c r="U1160" s="81"/>
      <c r="V1160" s="84" t="str">
        <f>HYPERLINK("https://abs.twimg.com/sticky/default_profile_images/default_profile_normal.png")</f>
        <v>https://abs.twimg.com/sticky/default_profile_images/default_profile_normal.png</v>
      </c>
      <c r="W1160" s="83">
        <v>44465.036076388889</v>
      </c>
      <c r="X1160" s="89">
        <v>44465</v>
      </c>
      <c r="Y1160" s="86" t="s">
        <v>6173</v>
      </c>
      <c r="Z1160" s="84" t="str">
        <f>HYPERLINK("https://twitter.com/anamari95145322/status/1441928494368231427")</f>
        <v>https://twitter.com/anamari95145322/status/1441928494368231427</v>
      </c>
      <c r="AA1160" s="81"/>
      <c r="AB1160" s="81"/>
      <c r="AC1160" s="86" t="s">
        <v>7082</v>
      </c>
      <c r="AD1160" s="86" t="s">
        <v>7704</v>
      </c>
      <c r="AE1160" s="81" t="b">
        <v>0</v>
      </c>
      <c r="AF1160" s="81">
        <v>0</v>
      </c>
      <c r="AG1160" s="86" t="s">
        <v>7881</v>
      </c>
      <c r="AH1160" s="81" t="b">
        <v>0</v>
      </c>
      <c r="AI1160" s="81" t="s">
        <v>2171</v>
      </c>
      <c r="AJ1160" s="81"/>
      <c r="AK1160" s="86" t="s">
        <v>2084</v>
      </c>
      <c r="AL1160" s="81" t="b">
        <v>0</v>
      </c>
      <c r="AM1160" s="81">
        <v>0</v>
      </c>
      <c r="AN1160" s="86" t="s">
        <v>2084</v>
      </c>
      <c r="AO1160" s="86" t="s">
        <v>2178</v>
      </c>
      <c r="AP1160" s="81" t="b">
        <v>0</v>
      </c>
      <c r="AQ1160" s="86" t="s">
        <v>7704</v>
      </c>
      <c r="AR1160" s="81" t="s">
        <v>179</v>
      </c>
      <c r="AS1160" s="81">
        <v>0</v>
      </c>
      <c r="AT1160" s="81">
        <v>0</v>
      </c>
      <c r="AU1160" s="81"/>
      <c r="AV1160" s="81"/>
      <c r="AW1160" s="81"/>
      <c r="AX1160" s="81"/>
      <c r="AY1160" s="81"/>
      <c r="AZ1160" s="81"/>
      <c r="BA1160" s="81"/>
      <c r="BB1160" s="81"/>
    </row>
    <row r="1161" spans="1:54" x14ac:dyDescent="0.35">
      <c r="A1161" s="66" t="s">
        <v>4526</v>
      </c>
      <c r="B1161" s="66" t="s">
        <v>4526</v>
      </c>
      <c r="C1161" s="67"/>
      <c r="D1161" s="68"/>
      <c r="E1161" s="69"/>
      <c r="F1161" s="70"/>
      <c r="G1161" s="67"/>
      <c r="H1161" s="71"/>
      <c r="I1161" s="72"/>
      <c r="J1161" s="72"/>
      <c r="K1161" s="36"/>
      <c r="L1161" s="79"/>
      <c r="M1161" s="79"/>
      <c r="N1161" s="74"/>
      <c r="O1161" s="81" t="s">
        <v>179</v>
      </c>
      <c r="P1161" s="83">
        <v>44465.036840277775</v>
      </c>
      <c r="Q1161" s="81" t="s">
        <v>5494</v>
      </c>
      <c r="R1161" s="84" t="str">
        <f>HYPERLINK("https://twitter.com/cirogomes/status/1441778722990870529")</f>
        <v>https://twitter.com/cirogomes/status/1441778722990870529</v>
      </c>
      <c r="S1161" s="81" t="s">
        <v>936</v>
      </c>
      <c r="T1161" s="81"/>
      <c r="U1161" s="81"/>
      <c r="V1161" s="84" t="str">
        <f>HYPERLINK("https://pbs.twimg.com/profile_images/1354421433577910278/pmJQJndg_normal.jpg")</f>
        <v>https://pbs.twimg.com/profile_images/1354421433577910278/pmJQJndg_normal.jpg</v>
      </c>
      <c r="W1161" s="83">
        <v>44465.036840277775</v>
      </c>
      <c r="X1161" s="89">
        <v>44465</v>
      </c>
      <c r="Y1161" s="86" t="s">
        <v>6174</v>
      </c>
      <c r="Z1161" s="84" t="str">
        <f>HYPERLINK("https://twitter.com/vila_pc/status/1441928770223583234")</f>
        <v>https://twitter.com/vila_pc/status/1441928770223583234</v>
      </c>
      <c r="AA1161" s="81"/>
      <c r="AB1161" s="81"/>
      <c r="AC1161" s="86" t="s">
        <v>7083</v>
      </c>
      <c r="AD1161" s="81"/>
      <c r="AE1161" s="81" t="b">
        <v>0</v>
      </c>
      <c r="AF1161" s="81">
        <v>0</v>
      </c>
      <c r="AG1161" s="86" t="s">
        <v>2084</v>
      </c>
      <c r="AH1161" s="81" t="b">
        <v>1</v>
      </c>
      <c r="AI1161" s="81" t="s">
        <v>2171</v>
      </c>
      <c r="AJ1161" s="81"/>
      <c r="AK1161" s="86" t="s">
        <v>7967</v>
      </c>
      <c r="AL1161" s="81" t="b">
        <v>0</v>
      </c>
      <c r="AM1161" s="81">
        <v>0</v>
      </c>
      <c r="AN1161" s="86" t="s">
        <v>2084</v>
      </c>
      <c r="AO1161" s="86" t="s">
        <v>2178</v>
      </c>
      <c r="AP1161" s="81" t="b">
        <v>0</v>
      </c>
      <c r="AQ1161" s="86" t="s">
        <v>7083</v>
      </c>
      <c r="AR1161" s="81" t="s">
        <v>179</v>
      </c>
      <c r="AS1161" s="81">
        <v>0</v>
      </c>
      <c r="AT1161" s="81">
        <v>0</v>
      </c>
      <c r="AU1161" s="81"/>
      <c r="AV1161" s="81"/>
      <c r="AW1161" s="81"/>
      <c r="AX1161" s="81"/>
      <c r="AY1161" s="81"/>
      <c r="AZ1161" s="81"/>
      <c r="BA1161" s="81"/>
      <c r="BB1161" s="81"/>
    </row>
    <row r="1162" spans="1:54" x14ac:dyDescent="0.35">
      <c r="A1162" s="66" t="s">
        <v>4527</v>
      </c>
      <c r="B1162" s="66" t="s">
        <v>4578</v>
      </c>
      <c r="C1162" s="67"/>
      <c r="D1162" s="68"/>
      <c r="E1162" s="69"/>
      <c r="F1162" s="70"/>
      <c r="G1162" s="67"/>
      <c r="H1162" s="71"/>
      <c r="I1162" s="72"/>
      <c r="J1162" s="72"/>
      <c r="K1162" s="36"/>
      <c r="L1162" s="79"/>
      <c r="M1162" s="79"/>
      <c r="N1162" s="74"/>
      <c r="O1162" s="81" t="s">
        <v>693</v>
      </c>
      <c r="P1162" s="83">
        <v>44465.077465277776</v>
      </c>
      <c r="Q1162" s="81" t="s">
        <v>5495</v>
      </c>
      <c r="R1162" s="84" t="str">
        <f>HYPERLINK("https://www.adventistas.org/pt/jesus-restaurador-vida")</f>
        <v>https://www.adventistas.org/pt/jesus-restaurador-vida</v>
      </c>
      <c r="S1162" s="81" t="s">
        <v>5733</v>
      </c>
      <c r="T1162" s="81"/>
      <c r="U1162" s="84" t="str">
        <f>HYPERLINK("https://pbs.twimg.com/media/FALMw11X0AQCVcA.jpg")</f>
        <v>https://pbs.twimg.com/media/FALMw11X0AQCVcA.jpg</v>
      </c>
      <c r="V1162" s="84" t="str">
        <f>HYPERLINK("https://pbs.twimg.com/media/FALMw11X0AQCVcA.jpg")</f>
        <v>https://pbs.twimg.com/media/FALMw11X0AQCVcA.jpg</v>
      </c>
      <c r="W1162" s="83">
        <v>44465.077465277776</v>
      </c>
      <c r="X1162" s="89">
        <v>44465</v>
      </c>
      <c r="Y1162" s="86" t="s">
        <v>6175</v>
      </c>
      <c r="Z1162" s="84" t="str">
        <f>HYPERLINK("https://twitter.com/brunoraso/status/1441943493115580418")</f>
        <v>https://twitter.com/brunoraso/status/1441943493115580418</v>
      </c>
      <c r="AA1162" s="81"/>
      <c r="AB1162" s="81"/>
      <c r="AC1162" s="86" t="s">
        <v>7084</v>
      </c>
      <c r="AD1162" s="81"/>
      <c r="AE1162" s="81" t="b">
        <v>0</v>
      </c>
      <c r="AF1162" s="81">
        <v>0</v>
      </c>
      <c r="AG1162" s="86" t="s">
        <v>2084</v>
      </c>
      <c r="AH1162" s="81" t="b">
        <v>0</v>
      </c>
      <c r="AI1162" s="81" t="s">
        <v>2171</v>
      </c>
      <c r="AJ1162" s="81"/>
      <c r="AK1162" s="86" t="s">
        <v>2084</v>
      </c>
      <c r="AL1162" s="81" t="b">
        <v>0</v>
      </c>
      <c r="AM1162" s="81">
        <v>6</v>
      </c>
      <c r="AN1162" s="86" t="s">
        <v>7138</v>
      </c>
      <c r="AO1162" s="86" t="s">
        <v>2179</v>
      </c>
      <c r="AP1162" s="81" t="b">
        <v>0</v>
      </c>
      <c r="AQ1162" s="86" t="s">
        <v>7138</v>
      </c>
      <c r="AR1162" s="81" t="s">
        <v>179</v>
      </c>
      <c r="AS1162" s="81">
        <v>0</v>
      </c>
      <c r="AT1162" s="81">
        <v>0</v>
      </c>
      <c r="AU1162" s="81"/>
      <c r="AV1162" s="81"/>
      <c r="AW1162" s="81"/>
      <c r="AX1162" s="81"/>
      <c r="AY1162" s="81"/>
      <c r="AZ1162" s="81"/>
      <c r="BA1162" s="81"/>
      <c r="BB1162" s="81"/>
    </row>
    <row r="1163" spans="1:54" x14ac:dyDescent="0.35">
      <c r="A1163" s="66" t="s">
        <v>484</v>
      </c>
      <c r="B1163" s="66" t="s">
        <v>663</v>
      </c>
      <c r="C1163" s="67"/>
      <c r="D1163" s="68"/>
      <c r="E1163" s="69"/>
      <c r="F1163" s="70"/>
      <c r="G1163" s="67"/>
      <c r="H1163" s="71"/>
      <c r="I1163" s="72"/>
      <c r="J1163" s="72"/>
      <c r="K1163" s="36"/>
      <c r="L1163" s="79"/>
      <c r="M1163" s="79"/>
      <c r="N1163" s="74"/>
      <c r="O1163" s="81" t="s">
        <v>694</v>
      </c>
      <c r="P1163" s="83">
        <v>44465.082569444443</v>
      </c>
      <c r="Q1163" s="81" t="s">
        <v>816</v>
      </c>
      <c r="R1163" s="81"/>
      <c r="S1163" s="81"/>
      <c r="T1163" s="86" t="s">
        <v>986</v>
      </c>
      <c r="U1163" s="84" t="str">
        <f>HYPERLINK("https://pbs.twimg.com/media/FAI5unvVgAgIBY3.jpg")</f>
        <v>https://pbs.twimg.com/media/FAI5unvVgAgIBY3.jpg</v>
      </c>
      <c r="V1163" s="84" t="str">
        <f>HYPERLINK("https://pbs.twimg.com/media/FAI5unvVgAgIBY3.jpg")</f>
        <v>https://pbs.twimg.com/media/FAI5unvVgAgIBY3.jpg</v>
      </c>
      <c r="W1163" s="83">
        <v>44465.082569444443</v>
      </c>
      <c r="X1163" s="89">
        <v>44465</v>
      </c>
      <c r="Y1163" s="86" t="s">
        <v>1337</v>
      </c>
      <c r="Z1163" s="84" t="str">
        <f>HYPERLINK("https://twitter.com/smolwoonie/status/1441945343311036420")</f>
        <v>https://twitter.com/smolwoonie/status/1441945343311036420</v>
      </c>
      <c r="AA1163" s="81"/>
      <c r="AB1163" s="81"/>
      <c r="AC1163" s="86" t="s">
        <v>1833</v>
      </c>
      <c r="AD1163" s="81"/>
      <c r="AE1163" s="81" t="b">
        <v>0</v>
      </c>
      <c r="AF1163" s="81">
        <v>0</v>
      </c>
      <c r="AG1163" s="86" t="s">
        <v>2084</v>
      </c>
      <c r="AH1163" s="81" t="b">
        <v>0</v>
      </c>
      <c r="AI1163" s="81" t="s">
        <v>2168</v>
      </c>
      <c r="AJ1163" s="81"/>
      <c r="AK1163" s="86" t="s">
        <v>2084</v>
      </c>
      <c r="AL1163" s="81" t="b">
        <v>0</v>
      </c>
      <c r="AM1163" s="81">
        <v>6</v>
      </c>
      <c r="AN1163" s="86" t="s">
        <v>1882</v>
      </c>
      <c r="AO1163" s="86" t="s">
        <v>2179</v>
      </c>
      <c r="AP1163" s="81" t="b">
        <v>0</v>
      </c>
      <c r="AQ1163" s="86" t="s">
        <v>1882</v>
      </c>
      <c r="AR1163" s="81" t="s">
        <v>179</v>
      </c>
      <c r="AS1163" s="81">
        <v>0</v>
      </c>
      <c r="AT1163" s="81">
        <v>0</v>
      </c>
      <c r="AU1163" s="81"/>
      <c r="AV1163" s="81"/>
      <c r="AW1163" s="81"/>
      <c r="AX1163" s="81"/>
      <c r="AY1163" s="81"/>
      <c r="AZ1163" s="81"/>
      <c r="BA1163" s="81"/>
      <c r="BB1163" s="81"/>
    </row>
    <row r="1164" spans="1:54" x14ac:dyDescent="0.35">
      <c r="A1164" s="66" t="s">
        <v>484</v>
      </c>
      <c r="B1164" s="66" t="s">
        <v>12670</v>
      </c>
      <c r="C1164" s="67"/>
      <c r="D1164" s="68"/>
      <c r="E1164" s="69"/>
      <c r="F1164" s="70"/>
      <c r="G1164" s="67"/>
      <c r="H1164" s="71"/>
      <c r="I1164" s="72"/>
      <c r="J1164" s="72"/>
      <c r="K1164" s="36"/>
      <c r="L1164" s="79"/>
      <c r="M1164" s="79"/>
      <c r="N1164" s="74"/>
      <c r="O1164" s="81" t="s">
        <v>694</v>
      </c>
      <c r="P1164" s="83">
        <v>44465.082569444443</v>
      </c>
      <c r="Q1164" s="81" t="s">
        <v>816</v>
      </c>
      <c r="R1164" s="81"/>
      <c r="S1164" s="81"/>
      <c r="T1164" s="86" t="s">
        <v>986</v>
      </c>
      <c r="U1164" s="84" t="str">
        <f>HYPERLINK("https://pbs.twimg.com/media/FAI5unvVgAgIBY3.jpg")</f>
        <v>https://pbs.twimg.com/media/FAI5unvVgAgIBY3.jpg</v>
      </c>
      <c r="V1164" s="84" t="str">
        <f>HYPERLINK("https://pbs.twimg.com/media/FAI5unvVgAgIBY3.jpg")</f>
        <v>https://pbs.twimg.com/media/FAI5unvVgAgIBY3.jpg</v>
      </c>
      <c r="W1164" s="83">
        <v>44465.082569444443</v>
      </c>
      <c r="X1164" s="89">
        <v>44465</v>
      </c>
      <c r="Y1164" s="86" t="s">
        <v>1337</v>
      </c>
      <c r="Z1164" s="84" t="str">
        <f>HYPERLINK("https://twitter.com/smolwoonie/status/1441945343311036420")</f>
        <v>https://twitter.com/smolwoonie/status/1441945343311036420</v>
      </c>
      <c r="AA1164" s="81"/>
      <c r="AB1164" s="81"/>
      <c r="AC1164" s="86" t="s">
        <v>1833</v>
      </c>
      <c r="AD1164" s="81"/>
      <c r="AE1164" s="81" t="b">
        <v>0</v>
      </c>
      <c r="AF1164" s="81">
        <v>0</v>
      </c>
      <c r="AG1164" s="86" t="s">
        <v>2084</v>
      </c>
      <c r="AH1164" s="81" t="b">
        <v>0</v>
      </c>
      <c r="AI1164" s="81" t="s">
        <v>2168</v>
      </c>
      <c r="AJ1164" s="81"/>
      <c r="AK1164" s="86" t="s">
        <v>2084</v>
      </c>
      <c r="AL1164" s="81" t="b">
        <v>0</v>
      </c>
      <c r="AM1164" s="81">
        <v>6</v>
      </c>
      <c r="AN1164" s="86" t="s">
        <v>1882</v>
      </c>
      <c r="AO1164" s="86" t="s">
        <v>2179</v>
      </c>
      <c r="AP1164" s="81" t="b">
        <v>0</v>
      </c>
      <c r="AQ1164" s="86" t="s">
        <v>1882</v>
      </c>
      <c r="AR1164" s="81" t="s">
        <v>179</v>
      </c>
      <c r="AS1164" s="81">
        <v>0</v>
      </c>
      <c r="AT1164" s="81">
        <v>0</v>
      </c>
      <c r="AU1164" s="81"/>
      <c r="AV1164" s="81"/>
      <c r="AW1164" s="81"/>
      <c r="AX1164" s="81"/>
      <c r="AY1164" s="81"/>
      <c r="AZ1164" s="81"/>
      <c r="BA1164" s="81"/>
      <c r="BB1164" s="81"/>
    </row>
    <row r="1165" spans="1:54" x14ac:dyDescent="0.35">
      <c r="A1165" s="66" t="s">
        <v>484</v>
      </c>
      <c r="B1165" s="66" t="s">
        <v>511</v>
      </c>
      <c r="C1165" s="67"/>
      <c r="D1165" s="68"/>
      <c r="E1165" s="69"/>
      <c r="F1165" s="70"/>
      <c r="G1165" s="67"/>
      <c r="H1165" s="71"/>
      <c r="I1165" s="72"/>
      <c r="J1165" s="72"/>
      <c r="K1165" s="36"/>
      <c r="L1165" s="79"/>
      <c r="M1165" s="79"/>
      <c r="N1165" s="74"/>
      <c r="O1165" s="81" t="s">
        <v>693</v>
      </c>
      <c r="P1165" s="83">
        <v>44465.082569444443</v>
      </c>
      <c r="Q1165" s="81" t="s">
        <v>816</v>
      </c>
      <c r="R1165" s="81"/>
      <c r="S1165" s="81"/>
      <c r="T1165" s="86" t="s">
        <v>986</v>
      </c>
      <c r="U1165" s="84" t="str">
        <f>HYPERLINK("https://pbs.twimg.com/media/FAI5unvVgAgIBY3.jpg")</f>
        <v>https://pbs.twimg.com/media/FAI5unvVgAgIBY3.jpg</v>
      </c>
      <c r="V1165" s="84" t="str">
        <f>HYPERLINK("https://pbs.twimg.com/media/FAI5unvVgAgIBY3.jpg")</f>
        <v>https://pbs.twimg.com/media/FAI5unvVgAgIBY3.jpg</v>
      </c>
      <c r="W1165" s="83">
        <v>44465.082569444443</v>
      </c>
      <c r="X1165" s="89">
        <v>44465</v>
      </c>
      <c r="Y1165" s="86" t="s">
        <v>1337</v>
      </c>
      <c r="Z1165" s="84" t="str">
        <f>HYPERLINK("https://twitter.com/smolwoonie/status/1441945343311036420")</f>
        <v>https://twitter.com/smolwoonie/status/1441945343311036420</v>
      </c>
      <c r="AA1165" s="81"/>
      <c r="AB1165" s="81"/>
      <c r="AC1165" s="86" t="s">
        <v>1833</v>
      </c>
      <c r="AD1165" s="81"/>
      <c r="AE1165" s="81" t="b">
        <v>0</v>
      </c>
      <c r="AF1165" s="81">
        <v>0</v>
      </c>
      <c r="AG1165" s="86" t="s">
        <v>2084</v>
      </c>
      <c r="AH1165" s="81" t="b">
        <v>0</v>
      </c>
      <c r="AI1165" s="81" t="s">
        <v>2168</v>
      </c>
      <c r="AJ1165" s="81"/>
      <c r="AK1165" s="86" t="s">
        <v>2084</v>
      </c>
      <c r="AL1165" s="81" t="b">
        <v>0</v>
      </c>
      <c r="AM1165" s="81">
        <v>6</v>
      </c>
      <c r="AN1165" s="86" t="s">
        <v>1882</v>
      </c>
      <c r="AO1165" s="86" t="s">
        <v>2179</v>
      </c>
      <c r="AP1165" s="81" t="b">
        <v>0</v>
      </c>
      <c r="AQ1165" s="86" t="s">
        <v>1882</v>
      </c>
      <c r="AR1165" s="81" t="s">
        <v>179</v>
      </c>
      <c r="AS1165" s="81">
        <v>0</v>
      </c>
      <c r="AT1165" s="81">
        <v>0</v>
      </c>
      <c r="AU1165" s="81"/>
      <c r="AV1165" s="81"/>
      <c r="AW1165" s="81"/>
      <c r="AX1165" s="81"/>
      <c r="AY1165" s="81"/>
      <c r="AZ1165" s="81"/>
      <c r="BA1165" s="81"/>
      <c r="BB1165" s="81"/>
    </row>
    <row r="1166" spans="1:54" x14ac:dyDescent="0.35">
      <c r="A1166" s="66" t="s">
        <v>4528</v>
      </c>
      <c r="B1166" s="66" t="s">
        <v>4578</v>
      </c>
      <c r="C1166" s="67"/>
      <c r="D1166" s="68"/>
      <c r="E1166" s="69"/>
      <c r="F1166" s="70"/>
      <c r="G1166" s="67"/>
      <c r="H1166" s="71"/>
      <c r="I1166" s="72"/>
      <c r="J1166" s="72"/>
      <c r="K1166" s="36"/>
      <c r="L1166" s="79"/>
      <c r="M1166" s="79"/>
      <c r="N1166" s="74"/>
      <c r="O1166" s="81" t="s">
        <v>693</v>
      </c>
      <c r="P1166" s="83">
        <v>44465.084548611114</v>
      </c>
      <c r="Q1166" s="81" t="s">
        <v>5495</v>
      </c>
      <c r="R1166" s="84" t="str">
        <f>HYPERLINK("https://www.adventistas.org/pt/jesus-restaurador-vida")</f>
        <v>https://www.adventistas.org/pt/jesus-restaurador-vida</v>
      </c>
      <c r="S1166" s="81" t="s">
        <v>5733</v>
      </c>
      <c r="T1166" s="81"/>
      <c r="U1166" s="84" t="str">
        <f>HYPERLINK("https://pbs.twimg.com/media/FALMw11X0AQCVcA.jpg")</f>
        <v>https://pbs.twimg.com/media/FALMw11X0AQCVcA.jpg</v>
      </c>
      <c r="V1166" s="84" t="str">
        <f>HYPERLINK("https://pbs.twimg.com/media/FALMw11X0AQCVcA.jpg")</f>
        <v>https://pbs.twimg.com/media/FALMw11X0AQCVcA.jpg</v>
      </c>
      <c r="W1166" s="83">
        <v>44465.084548611114</v>
      </c>
      <c r="X1166" s="89">
        <v>44465</v>
      </c>
      <c r="Y1166" s="86" t="s">
        <v>6176</v>
      </c>
      <c r="Z1166" s="84" t="str">
        <f>HYPERLINK("https://twitter.com/prmichel73/status/1441946060780408832")</f>
        <v>https://twitter.com/prmichel73/status/1441946060780408832</v>
      </c>
      <c r="AA1166" s="81"/>
      <c r="AB1166" s="81"/>
      <c r="AC1166" s="86" t="s">
        <v>7085</v>
      </c>
      <c r="AD1166" s="81"/>
      <c r="AE1166" s="81" t="b">
        <v>0</v>
      </c>
      <c r="AF1166" s="81">
        <v>0</v>
      </c>
      <c r="AG1166" s="86" t="s">
        <v>2084</v>
      </c>
      <c r="AH1166" s="81" t="b">
        <v>0</v>
      </c>
      <c r="AI1166" s="81" t="s">
        <v>2171</v>
      </c>
      <c r="AJ1166" s="81"/>
      <c r="AK1166" s="86" t="s">
        <v>2084</v>
      </c>
      <c r="AL1166" s="81" t="b">
        <v>0</v>
      </c>
      <c r="AM1166" s="81">
        <v>6</v>
      </c>
      <c r="AN1166" s="86" t="s">
        <v>7138</v>
      </c>
      <c r="AO1166" s="86" t="s">
        <v>2178</v>
      </c>
      <c r="AP1166" s="81" t="b">
        <v>0</v>
      </c>
      <c r="AQ1166" s="86" t="s">
        <v>7138</v>
      </c>
      <c r="AR1166" s="81" t="s">
        <v>179</v>
      </c>
      <c r="AS1166" s="81">
        <v>0</v>
      </c>
      <c r="AT1166" s="81">
        <v>0</v>
      </c>
      <c r="AU1166" s="81"/>
      <c r="AV1166" s="81"/>
      <c r="AW1166" s="81"/>
      <c r="AX1166" s="81"/>
      <c r="AY1166" s="81"/>
      <c r="AZ1166" s="81"/>
      <c r="BA1166" s="81"/>
      <c r="BB1166" s="81"/>
    </row>
    <row r="1167" spans="1:54" x14ac:dyDescent="0.35">
      <c r="A1167" s="66" t="s">
        <v>4529</v>
      </c>
      <c r="B1167" s="66" t="s">
        <v>4578</v>
      </c>
      <c r="C1167" s="67"/>
      <c r="D1167" s="68"/>
      <c r="E1167" s="69"/>
      <c r="F1167" s="70"/>
      <c r="G1167" s="67"/>
      <c r="H1167" s="71"/>
      <c r="I1167" s="72"/>
      <c r="J1167" s="72"/>
      <c r="K1167" s="36"/>
      <c r="L1167" s="79"/>
      <c r="M1167" s="79"/>
      <c r="N1167" s="74"/>
      <c r="O1167" s="81" t="s">
        <v>693</v>
      </c>
      <c r="P1167" s="83">
        <v>44465.085462962961</v>
      </c>
      <c r="Q1167" s="81" t="s">
        <v>5495</v>
      </c>
      <c r="R1167" s="84" t="str">
        <f>HYPERLINK("https://www.adventistas.org/pt/jesus-restaurador-vida")</f>
        <v>https://www.adventistas.org/pt/jesus-restaurador-vida</v>
      </c>
      <c r="S1167" s="81" t="s">
        <v>5733</v>
      </c>
      <c r="T1167" s="81"/>
      <c r="U1167" s="84" t="str">
        <f>HYPERLINK("https://pbs.twimg.com/media/FALMw11X0AQCVcA.jpg")</f>
        <v>https://pbs.twimg.com/media/FALMw11X0AQCVcA.jpg</v>
      </c>
      <c r="V1167" s="84" t="str">
        <f>HYPERLINK("https://pbs.twimg.com/media/FALMw11X0AQCVcA.jpg")</f>
        <v>https://pbs.twimg.com/media/FALMw11X0AQCVcA.jpg</v>
      </c>
      <c r="W1167" s="83">
        <v>44465.085462962961</v>
      </c>
      <c r="X1167" s="89">
        <v>44465</v>
      </c>
      <c r="Y1167" s="86" t="s">
        <v>6177</v>
      </c>
      <c r="Z1167" s="84" t="str">
        <f>HYPERLINK("https://twitter.com/heyssencordero/status/1441946390381400070")</f>
        <v>https://twitter.com/heyssencordero/status/1441946390381400070</v>
      </c>
      <c r="AA1167" s="81"/>
      <c r="AB1167" s="81"/>
      <c r="AC1167" s="86" t="s">
        <v>7086</v>
      </c>
      <c r="AD1167" s="81"/>
      <c r="AE1167" s="81" t="b">
        <v>0</v>
      </c>
      <c r="AF1167" s="81">
        <v>0</v>
      </c>
      <c r="AG1167" s="86" t="s">
        <v>2084</v>
      </c>
      <c r="AH1167" s="81" t="b">
        <v>0</v>
      </c>
      <c r="AI1167" s="81" t="s">
        <v>2171</v>
      </c>
      <c r="AJ1167" s="81"/>
      <c r="AK1167" s="86" t="s">
        <v>2084</v>
      </c>
      <c r="AL1167" s="81" t="b">
        <v>0</v>
      </c>
      <c r="AM1167" s="81">
        <v>6</v>
      </c>
      <c r="AN1167" s="86" t="s">
        <v>7138</v>
      </c>
      <c r="AO1167" s="86" t="s">
        <v>2179</v>
      </c>
      <c r="AP1167" s="81" t="b">
        <v>0</v>
      </c>
      <c r="AQ1167" s="86" t="s">
        <v>7138</v>
      </c>
      <c r="AR1167" s="81" t="s">
        <v>179</v>
      </c>
      <c r="AS1167" s="81">
        <v>0</v>
      </c>
      <c r="AT1167" s="81">
        <v>0</v>
      </c>
      <c r="AU1167" s="81"/>
      <c r="AV1167" s="81"/>
      <c r="AW1167" s="81"/>
      <c r="AX1167" s="81"/>
      <c r="AY1167" s="81"/>
      <c r="AZ1167" s="81"/>
      <c r="BA1167" s="81"/>
      <c r="BB1167" s="81"/>
    </row>
    <row r="1168" spans="1:54" x14ac:dyDescent="0.35">
      <c r="A1168" s="66" t="s">
        <v>485</v>
      </c>
      <c r="B1168" s="66" t="s">
        <v>646</v>
      </c>
      <c r="C1168" s="67"/>
      <c r="D1168" s="68"/>
      <c r="E1168" s="69"/>
      <c r="F1168" s="70"/>
      <c r="G1168" s="67"/>
      <c r="H1168" s="71"/>
      <c r="I1168" s="72"/>
      <c r="J1168" s="72"/>
      <c r="K1168" s="36"/>
      <c r="L1168" s="79"/>
      <c r="M1168" s="79"/>
      <c r="N1168" s="74"/>
      <c r="O1168" s="81" t="s">
        <v>694</v>
      </c>
      <c r="P1168" s="83">
        <v>44465.090138888889</v>
      </c>
      <c r="Q1168" s="81" t="s">
        <v>802</v>
      </c>
      <c r="R1168" s="81"/>
      <c r="S1168" s="81"/>
      <c r="T1168" s="86" t="s">
        <v>649</v>
      </c>
      <c r="U1168" s="84" t="str">
        <f>HYPERLINK("https://pbs.twimg.com/media/FAEa_mFUYAcoKUu.jpg")</f>
        <v>https://pbs.twimg.com/media/FAEa_mFUYAcoKUu.jpg</v>
      </c>
      <c r="V1168" s="84" t="str">
        <f>HYPERLINK("https://pbs.twimg.com/media/FAEa_mFUYAcoKUu.jpg")</f>
        <v>https://pbs.twimg.com/media/FAEa_mFUYAcoKUu.jpg</v>
      </c>
      <c r="W1168" s="83">
        <v>44465.090138888889</v>
      </c>
      <c r="X1168" s="89">
        <v>44465</v>
      </c>
      <c r="Y1168" s="86" t="s">
        <v>1338</v>
      </c>
      <c r="Z1168" s="84" t="str">
        <f>HYPERLINK("https://twitter.com/izzarose/status/1441948087019212808")</f>
        <v>https://twitter.com/izzarose/status/1441948087019212808</v>
      </c>
      <c r="AA1168" s="81"/>
      <c r="AB1168" s="81"/>
      <c r="AC1168" s="86" t="s">
        <v>1834</v>
      </c>
      <c r="AD1168" s="81"/>
      <c r="AE1168" s="81" t="b">
        <v>0</v>
      </c>
      <c r="AF1168" s="81">
        <v>0</v>
      </c>
      <c r="AG1168" s="86" t="s">
        <v>2084</v>
      </c>
      <c r="AH1168" s="81" t="b">
        <v>0</v>
      </c>
      <c r="AI1168" s="81" t="s">
        <v>2168</v>
      </c>
      <c r="AJ1168" s="81"/>
      <c r="AK1168" s="86" t="s">
        <v>2084</v>
      </c>
      <c r="AL1168" s="81" t="b">
        <v>0</v>
      </c>
      <c r="AM1168" s="81">
        <v>24</v>
      </c>
      <c r="AN1168" s="86" t="s">
        <v>1848</v>
      </c>
      <c r="AO1168" s="86" t="s">
        <v>2179</v>
      </c>
      <c r="AP1168" s="81" t="b">
        <v>0</v>
      </c>
      <c r="AQ1168" s="86" t="s">
        <v>1848</v>
      </c>
      <c r="AR1168" s="81" t="s">
        <v>179</v>
      </c>
      <c r="AS1168" s="81">
        <v>0</v>
      </c>
      <c r="AT1168" s="81">
        <v>0</v>
      </c>
      <c r="AU1168" s="81"/>
      <c r="AV1168" s="81"/>
      <c r="AW1168" s="81"/>
      <c r="AX1168" s="81"/>
      <c r="AY1168" s="81"/>
      <c r="AZ1168" s="81"/>
      <c r="BA1168" s="81"/>
      <c r="BB1168" s="81"/>
    </row>
    <row r="1169" spans="1:54" x14ac:dyDescent="0.35">
      <c r="A1169" s="66" t="s">
        <v>485</v>
      </c>
      <c r="B1169" s="66" t="s">
        <v>647</v>
      </c>
      <c r="C1169" s="67"/>
      <c r="D1169" s="68"/>
      <c r="E1169" s="69"/>
      <c r="F1169" s="70"/>
      <c r="G1169" s="67"/>
      <c r="H1169" s="71"/>
      <c r="I1169" s="72"/>
      <c r="J1169" s="72"/>
      <c r="K1169" s="36"/>
      <c r="L1169" s="79"/>
      <c r="M1169" s="79"/>
      <c r="N1169" s="74"/>
      <c r="O1169" s="81" t="s">
        <v>694</v>
      </c>
      <c r="P1169" s="83">
        <v>44465.090138888889</v>
      </c>
      <c r="Q1169" s="81" t="s">
        <v>802</v>
      </c>
      <c r="R1169" s="81"/>
      <c r="S1169" s="81"/>
      <c r="T1169" s="86" t="s">
        <v>649</v>
      </c>
      <c r="U1169" s="84" t="str">
        <f>HYPERLINK("https://pbs.twimg.com/media/FAEa_mFUYAcoKUu.jpg")</f>
        <v>https://pbs.twimg.com/media/FAEa_mFUYAcoKUu.jpg</v>
      </c>
      <c r="V1169" s="84" t="str">
        <f>HYPERLINK("https://pbs.twimg.com/media/FAEa_mFUYAcoKUu.jpg")</f>
        <v>https://pbs.twimg.com/media/FAEa_mFUYAcoKUu.jpg</v>
      </c>
      <c r="W1169" s="83">
        <v>44465.090138888889</v>
      </c>
      <c r="X1169" s="89">
        <v>44465</v>
      </c>
      <c r="Y1169" s="86" t="s">
        <v>1338</v>
      </c>
      <c r="Z1169" s="84" t="str">
        <f>HYPERLINK("https://twitter.com/izzarose/status/1441948087019212808")</f>
        <v>https://twitter.com/izzarose/status/1441948087019212808</v>
      </c>
      <c r="AA1169" s="81"/>
      <c r="AB1169" s="81"/>
      <c r="AC1169" s="86" t="s">
        <v>1834</v>
      </c>
      <c r="AD1169" s="81"/>
      <c r="AE1169" s="81" t="b">
        <v>0</v>
      </c>
      <c r="AF1169" s="81">
        <v>0</v>
      </c>
      <c r="AG1169" s="86" t="s">
        <v>2084</v>
      </c>
      <c r="AH1169" s="81" t="b">
        <v>0</v>
      </c>
      <c r="AI1169" s="81" t="s">
        <v>2168</v>
      </c>
      <c r="AJ1169" s="81"/>
      <c r="AK1169" s="86" t="s">
        <v>2084</v>
      </c>
      <c r="AL1169" s="81" t="b">
        <v>0</v>
      </c>
      <c r="AM1169" s="81">
        <v>24</v>
      </c>
      <c r="AN1169" s="86" t="s">
        <v>1848</v>
      </c>
      <c r="AO1169" s="86" t="s">
        <v>2179</v>
      </c>
      <c r="AP1169" s="81" t="b">
        <v>0</v>
      </c>
      <c r="AQ1169" s="86" t="s">
        <v>1848</v>
      </c>
      <c r="AR1169" s="81" t="s">
        <v>179</v>
      </c>
      <c r="AS1169" s="81">
        <v>0</v>
      </c>
      <c r="AT1169" s="81">
        <v>0</v>
      </c>
      <c r="AU1169" s="81"/>
      <c r="AV1169" s="81"/>
      <c r="AW1169" s="81"/>
      <c r="AX1169" s="81"/>
      <c r="AY1169" s="81"/>
      <c r="AZ1169" s="81"/>
      <c r="BA1169" s="81"/>
      <c r="BB1169" s="81"/>
    </row>
    <row r="1170" spans="1:54" x14ac:dyDescent="0.35">
      <c r="A1170" s="66" t="s">
        <v>485</v>
      </c>
      <c r="B1170" s="66" t="s">
        <v>648</v>
      </c>
      <c r="C1170" s="67"/>
      <c r="D1170" s="68"/>
      <c r="E1170" s="69"/>
      <c r="F1170" s="70"/>
      <c r="G1170" s="67"/>
      <c r="H1170" s="71"/>
      <c r="I1170" s="72"/>
      <c r="J1170" s="72"/>
      <c r="K1170" s="36"/>
      <c r="L1170" s="79"/>
      <c r="M1170" s="79"/>
      <c r="N1170" s="74"/>
      <c r="O1170" s="81" t="s">
        <v>694</v>
      </c>
      <c r="P1170" s="83">
        <v>44465.090138888889</v>
      </c>
      <c r="Q1170" s="81" t="s">
        <v>802</v>
      </c>
      <c r="R1170" s="81"/>
      <c r="S1170" s="81"/>
      <c r="T1170" s="86" t="s">
        <v>649</v>
      </c>
      <c r="U1170" s="84" t="str">
        <f>HYPERLINK("https://pbs.twimg.com/media/FAEa_mFUYAcoKUu.jpg")</f>
        <v>https://pbs.twimg.com/media/FAEa_mFUYAcoKUu.jpg</v>
      </c>
      <c r="V1170" s="84" t="str">
        <f>HYPERLINK("https://pbs.twimg.com/media/FAEa_mFUYAcoKUu.jpg")</f>
        <v>https://pbs.twimg.com/media/FAEa_mFUYAcoKUu.jpg</v>
      </c>
      <c r="W1170" s="83">
        <v>44465.090138888889</v>
      </c>
      <c r="X1170" s="89">
        <v>44465</v>
      </c>
      <c r="Y1170" s="86" t="s">
        <v>1338</v>
      </c>
      <c r="Z1170" s="84" t="str">
        <f>HYPERLINK("https://twitter.com/izzarose/status/1441948087019212808")</f>
        <v>https://twitter.com/izzarose/status/1441948087019212808</v>
      </c>
      <c r="AA1170" s="81"/>
      <c r="AB1170" s="81"/>
      <c r="AC1170" s="86" t="s">
        <v>1834</v>
      </c>
      <c r="AD1170" s="81"/>
      <c r="AE1170" s="81" t="b">
        <v>0</v>
      </c>
      <c r="AF1170" s="81">
        <v>0</v>
      </c>
      <c r="AG1170" s="86" t="s">
        <v>2084</v>
      </c>
      <c r="AH1170" s="81" t="b">
        <v>0</v>
      </c>
      <c r="AI1170" s="81" t="s">
        <v>2168</v>
      </c>
      <c r="AJ1170" s="81"/>
      <c r="AK1170" s="86" t="s">
        <v>2084</v>
      </c>
      <c r="AL1170" s="81" t="b">
        <v>0</v>
      </c>
      <c r="AM1170" s="81">
        <v>24</v>
      </c>
      <c r="AN1170" s="86" t="s">
        <v>1848</v>
      </c>
      <c r="AO1170" s="86" t="s">
        <v>2179</v>
      </c>
      <c r="AP1170" s="81" t="b">
        <v>0</v>
      </c>
      <c r="AQ1170" s="86" t="s">
        <v>1848</v>
      </c>
      <c r="AR1170" s="81" t="s">
        <v>179</v>
      </c>
      <c r="AS1170" s="81">
        <v>0</v>
      </c>
      <c r="AT1170" s="81">
        <v>0</v>
      </c>
      <c r="AU1170" s="81"/>
      <c r="AV1170" s="81"/>
      <c r="AW1170" s="81"/>
      <c r="AX1170" s="81"/>
      <c r="AY1170" s="81"/>
      <c r="AZ1170" s="81"/>
      <c r="BA1170" s="81"/>
      <c r="BB1170" s="81"/>
    </row>
    <row r="1171" spans="1:54" x14ac:dyDescent="0.35">
      <c r="A1171" s="66" t="s">
        <v>485</v>
      </c>
      <c r="B1171" s="66" t="s">
        <v>649</v>
      </c>
      <c r="C1171" s="67"/>
      <c r="D1171" s="68"/>
      <c r="E1171" s="69"/>
      <c r="F1171" s="70"/>
      <c r="G1171" s="67"/>
      <c r="H1171" s="71"/>
      <c r="I1171" s="72"/>
      <c r="J1171" s="72"/>
      <c r="K1171" s="36"/>
      <c r="L1171" s="79"/>
      <c r="M1171" s="79"/>
      <c r="N1171" s="74"/>
      <c r="O1171" s="81" t="s">
        <v>694</v>
      </c>
      <c r="P1171" s="83">
        <v>44465.090138888889</v>
      </c>
      <c r="Q1171" s="81" t="s">
        <v>802</v>
      </c>
      <c r="R1171" s="81"/>
      <c r="S1171" s="81"/>
      <c r="T1171" s="86" t="s">
        <v>649</v>
      </c>
      <c r="U1171" s="84" t="str">
        <f>HYPERLINK("https://pbs.twimg.com/media/FAEa_mFUYAcoKUu.jpg")</f>
        <v>https://pbs.twimg.com/media/FAEa_mFUYAcoKUu.jpg</v>
      </c>
      <c r="V1171" s="84" t="str">
        <f>HYPERLINK("https://pbs.twimg.com/media/FAEa_mFUYAcoKUu.jpg")</f>
        <v>https://pbs.twimg.com/media/FAEa_mFUYAcoKUu.jpg</v>
      </c>
      <c r="W1171" s="83">
        <v>44465.090138888889</v>
      </c>
      <c r="X1171" s="89">
        <v>44465</v>
      </c>
      <c r="Y1171" s="86" t="s">
        <v>1338</v>
      </c>
      <c r="Z1171" s="84" t="str">
        <f>HYPERLINK("https://twitter.com/izzarose/status/1441948087019212808")</f>
        <v>https://twitter.com/izzarose/status/1441948087019212808</v>
      </c>
      <c r="AA1171" s="81"/>
      <c r="AB1171" s="81"/>
      <c r="AC1171" s="86" t="s">
        <v>1834</v>
      </c>
      <c r="AD1171" s="81"/>
      <c r="AE1171" s="81" t="b">
        <v>0</v>
      </c>
      <c r="AF1171" s="81">
        <v>0</v>
      </c>
      <c r="AG1171" s="86" t="s">
        <v>2084</v>
      </c>
      <c r="AH1171" s="81" t="b">
        <v>0</v>
      </c>
      <c r="AI1171" s="81" t="s">
        <v>2168</v>
      </c>
      <c r="AJ1171" s="81"/>
      <c r="AK1171" s="86" t="s">
        <v>2084</v>
      </c>
      <c r="AL1171" s="81" t="b">
        <v>0</v>
      </c>
      <c r="AM1171" s="81">
        <v>24</v>
      </c>
      <c r="AN1171" s="86" t="s">
        <v>1848</v>
      </c>
      <c r="AO1171" s="86" t="s">
        <v>2179</v>
      </c>
      <c r="AP1171" s="81" t="b">
        <v>0</v>
      </c>
      <c r="AQ1171" s="86" t="s">
        <v>1848</v>
      </c>
      <c r="AR1171" s="81" t="s">
        <v>179</v>
      </c>
      <c r="AS1171" s="81">
        <v>0</v>
      </c>
      <c r="AT1171" s="81">
        <v>0</v>
      </c>
      <c r="AU1171" s="81"/>
      <c r="AV1171" s="81"/>
      <c r="AW1171" s="81"/>
      <c r="AX1171" s="81"/>
      <c r="AY1171" s="81"/>
      <c r="AZ1171" s="81"/>
      <c r="BA1171" s="81"/>
      <c r="BB1171" s="81"/>
    </row>
    <row r="1172" spans="1:54" x14ac:dyDescent="0.35">
      <c r="A1172" s="66" t="s">
        <v>485</v>
      </c>
      <c r="B1172" s="66" t="s">
        <v>496</v>
      </c>
      <c r="C1172" s="67"/>
      <c r="D1172" s="68"/>
      <c r="E1172" s="69"/>
      <c r="F1172" s="70"/>
      <c r="G1172" s="67"/>
      <c r="H1172" s="71"/>
      <c r="I1172" s="72"/>
      <c r="J1172" s="72"/>
      <c r="K1172" s="36"/>
      <c r="L1172" s="79"/>
      <c r="M1172" s="79"/>
      <c r="N1172" s="74"/>
      <c r="O1172" s="81" t="s">
        <v>693</v>
      </c>
      <c r="P1172" s="83">
        <v>44465.090138888889</v>
      </c>
      <c r="Q1172" s="81" t="s">
        <v>802</v>
      </c>
      <c r="R1172" s="81"/>
      <c r="S1172" s="81"/>
      <c r="T1172" s="86" t="s">
        <v>649</v>
      </c>
      <c r="U1172" s="84" t="str">
        <f>HYPERLINK("https://pbs.twimg.com/media/FAEa_mFUYAcoKUu.jpg")</f>
        <v>https://pbs.twimg.com/media/FAEa_mFUYAcoKUu.jpg</v>
      </c>
      <c r="V1172" s="84" t="str">
        <f>HYPERLINK("https://pbs.twimg.com/media/FAEa_mFUYAcoKUu.jpg")</f>
        <v>https://pbs.twimg.com/media/FAEa_mFUYAcoKUu.jpg</v>
      </c>
      <c r="W1172" s="83">
        <v>44465.090138888889</v>
      </c>
      <c r="X1172" s="89">
        <v>44465</v>
      </c>
      <c r="Y1172" s="86" t="s">
        <v>1338</v>
      </c>
      <c r="Z1172" s="84" t="str">
        <f>HYPERLINK("https://twitter.com/izzarose/status/1441948087019212808")</f>
        <v>https://twitter.com/izzarose/status/1441948087019212808</v>
      </c>
      <c r="AA1172" s="81"/>
      <c r="AB1172" s="81"/>
      <c r="AC1172" s="86" t="s">
        <v>1834</v>
      </c>
      <c r="AD1172" s="81"/>
      <c r="AE1172" s="81" t="b">
        <v>0</v>
      </c>
      <c r="AF1172" s="81">
        <v>0</v>
      </c>
      <c r="AG1172" s="86" t="s">
        <v>2084</v>
      </c>
      <c r="AH1172" s="81" t="b">
        <v>0</v>
      </c>
      <c r="AI1172" s="81" t="s">
        <v>2168</v>
      </c>
      <c r="AJ1172" s="81"/>
      <c r="AK1172" s="86" t="s">
        <v>2084</v>
      </c>
      <c r="AL1172" s="81" t="b">
        <v>0</v>
      </c>
      <c r="AM1172" s="81">
        <v>24</v>
      </c>
      <c r="AN1172" s="86" t="s">
        <v>1848</v>
      </c>
      <c r="AO1172" s="86" t="s">
        <v>2179</v>
      </c>
      <c r="AP1172" s="81" t="b">
        <v>0</v>
      </c>
      <c r="AQ1172" s="86" t="s">
        <v>1848</v>
      </c>
      <c r="AR1172" s="81" t="s">
        <v>179</v>
      </c>
      <c r="AS1172" s="81">
        <v>0</v>
      </c>
      <c r="AT1172" s="81">
        <v>0</v>
      </c>
      <c r="AU1172" s="81"/>
      <c r="AV1172" s="81"/>
      <c r="AW1172" s="81"/>
      <c r="AX1172" s="81"/>
      <c r="AY1172" s="81"/>
      <c r="AZ1172" s="81"/>
      <c r="BA1172" s="81"/>
      <c r="BB1172" s="81"/>
    </row>
    <row r="1173" spans="1:54" x14ac:dyDescent="0.35">
      <c r="A1173" s="66" t="s">
        <v>4531</v>
      </c>
      <c r="B1173" s="66" t="s">
        <v>4531</v>
      </c>
      <c r="C1173" s="67"/>
      <c r="D1173" s="68"/>
      <c r="E1173" s="69"/>
      <c r="F1173" s="70"/>
      <c r="G1173" s="67"/>
      <c r="H1173" s="71"/>
      <c r="I1173" s="72"/>
      <c r="J1173" s="72"/>
      <c r="K1173" s="36"/>
      <c r="L1173" s="79"/>
      <c r="M1173" s="79"/>
      <c r="N1173" s="74"/>
      <c r="O1173" s="81" t="s">
        <v>179</v>
      </c>
      <c r="P1173" s="83">
        <v>44465.140821759262</v>
      </c>
      <c r="Q1173" s="81" t="s">
        <v>5496</v>
      </c>
      <c r="R1173" s="81"/>
      <c r="S1173" s="81"/>
      <c r="T1173" s="81"/>
      <c r="U1173" s="81"/>
      <c r="V1173" s="84" t="str">
        <f>HYPERLINK("https://pbs.twimg.com/profile_images/1441858130078535682/0vQP3_Fy_normal.jpg")</f>
        <v>https://pbs.twimg.com/profile_images/1441858130078535682/0vQP3_Fy_normal.jpg</v>
      </c>
      <c r="W1173" s="83">
        <v>44465.140821759262</v>
      </c>
      <c r="X1173" s="89">
        <v>44465</v>
      </c>
      <c r="Y1173" s="86" t="s">
        <v>6179</v>
      </c>
      <c r="Z1173" s="84" t="str">
        <f>HYPERLINK("https://twitter.com/mamilooooo/status/1441966451313700870")</f>
        <v>https://twitter.com/mamilooooo/status/1441966451313700870</v>
      </c>
      <c r="AA1173" s="81"/>
      <c r="AB1173" s="81"/>
      <c r="AC1173" s="86" t="s">
        <v>7088</v>
      </c>
      <c r="AD1173" s="81"/>
      <c r="AE1173" s="81" t="b">
        <v>0</v>
      </c>
      <c r="AF1173" s="81">
        <v>0</v>
      </c>
      <c r="AG1173" s="86" t="s">
        <v>2084</v>
      </c>
      <c r="AH1173" s="81" t="b">
        <v>0</v>
      </c>
      <c r="AI1173" s="81" t="s">
        <v>2171</v>
      </c>
      <c r="AJ1173" s="81"/>
      <c r="AK1173" s="86" t="s">
        <v>2084</v>
      </c>
      <c r="AL1173" s="81" t="b">
        <v>0</v>
      </c>
      <c r="AM1173" s="81">
        <v>0</v>
      </c>
      <c r="AN1173" s="86" t="s">
        <v>2084</v>
      </c>
      <c r="AO1173" s="86" t="s">
        <v>2181</v>
      </c>
      <c r="AP1173" s="81" t="b">
        <v>0</v>
      </c>
      <c r="AQ1173" s="86" t="s">
        <v>7088</v>
      </c>
      <c r="AR1173" s="81" t="s">
        <v>179</v>
      </c>
      <c r="AS1173" s="81">
        <v>0</v>
      </c>
      <c r="AT1173" s="81">
        <v>0</v>
      </c>
      <c r="AU1173" s="81"/>
      <c r="AV1173" s="81"/>
      <c r="AW1173" s="81"/>
      <c r="AX1173" s="81"/>
      <c r="AY1173" s="81"/>
      <c r="AZ1173" s="81"/>
      <c r="BA1173" s="81"/>
      <c r="BB1173" s="81"/>
    </row>
    <row r="1174" spans="1:54" x14ac:dyDescent="0.35">
      <c r="A1174" s="66" t="s">
        <v>486</v>
      </c>
      <c r="B1174" s="66" t="s">
        <v>664</v>
      </c>
      <c r="C1174" s="67"/>
      <c r="D1174" s="68"/>
      <c r="E1174" s="69"/>
      <c r="F1174" s="70"/>
      <c r="G1174" s="67"/>
      <c r="H1174" s="71"/>
      <c r="I1174" s="72"/>
      <c r="J1174" s="72"/>
      <c r="K1174" s="36"/>
      <c r="L1174" s="79"/>
      <c r="M1174" s="79"/>
      <c r="N1174" s="74"/>
      <c r="O1174" s="81" t="s">
        <v>695</v>
      </c>
      <c r="P1174" s="83">
        <v>44465.180034722223</v>
      </c>
      <c r="Q1174" s="81" t="s">
        <v>819</v>
      </c>
      <c r="R1174" s="81"/>
      <c r="S1174" s="81"/>
      <c r="T1174" s="81"/>
      <c r="U1174" s="81"/>
      <c r="V1174" s="84" t="str">
        <f>HYPERLINK("https://pbs.twimg.com/profile_images/1286265256327569408/Vy1XmTKq_normal.jpg")</f>
        <v>https://pbs.twimg.com/profile_images/1286265256327569408/Vy1XmTKq_normal.jpg</v>
      </c>
      <c r="W1174" s="83">
        <v>44465.180034722223</v>
      </c>
      <c r="X1174" s="89">
        <v>44465</v>
      </c>
      <c r="Y1174" s="86" t="s">
        <v>1339</v>
      </c>
      <c r="Z1174" s="84" t="str">
        <f>HYPERLINK("https://twitter.com/cxlendulx/status/1441980662219632641")</f>
        <v>https://twitter.com/cxlendulx/status/1441980662219632641</v>
      </c>
      <c r="AA1174" s="81"/>
      <c r="AB1174" s="81"/>
      <c r="AC1174" s="86" t="s">
        <v>1835</v>
      </c>
      <c r="AD1174" s="86" t="s">
        <v>2045</v>
      </c>
      <c r="AE1174" s="81" t="b">
        <v>0</v>
      </c>
      <c r="AF1174" s="81">
        <v>1</v>
      </c>
      <c r="AG1174" s="86" t="s">
        <v>2130</v>
      </c>
      <c r="AH1174" s="81" t="b">
        <v>0</v>
      </c>
      <c r="AI1174" s="81" t="s">
        <v>2167</v>
      </c>
      <c r="AJ1174" s="81"/>
      <c r="AK1174" s="86" t="s">
        <v>2084</v>
      </c>
      <c r="AL1174" s="81" t="b">
        <v>0</v>
      </c>
      <c r="AM1174" s="81">
        <v>0</v>
      </c>
      <c r="AN1174" s="86" t="s">
        <v>2084</v>
      </c>
      <c r="AO1174" s="86" t="s">
        <v>2179</v>
      </c>
      <c r="AP1174" s="81" t="b">
        <v>0</v>
      </c>
      <c r="AQ1174" s="86" t="s">
        <v>2045</v>
      </c>
      <c r="AR1174" s="81" t="s">
        <v>179</v>
      </c>
      <c r="AS1174" s="81">
        <v>0</v>
      </c>
      <c r="AT1174" s="81">
        <v>0</v>
      </c>
      <c r="AU1174" s="81"/>
      <c r="AV1174" s="81"/>
      <c r="AW1174" s="81"/>
      <c r="AX1174" s="81"/>
      <c r="AY1174" s="81"/>
      <c r="AZ1174" s="81"/>
      <c r="BA1174" s="81"/>
      <c r="BB1174" s="81"/>
    </row>
    <row r="1175" spans="1:54" x14ac:dyDescent="0.35">
      <c r="A1175" s="66" t="s">
        <v>4532</v>
      </c>
      <c r="B1175" s="66" t="s">
        <v>4532</v>
      </c>
      <c r="C1175" s="67"/>
      <c r="D1175" s="68"/>
      <c r="E1175" s="69"/>
      <c r="F1175" s="70"/>
      <c r="G1175" s="67"/>
      <c r="H1175" s="71"/>
      <c r="I1175" s="72"/>
      <c r="J1175" s="72"/>
      <c r="K1175" s="36"/>
      <c r="L1175" s="79"/>
      <c r="M1175" s="79"/>
      <c r="N1175" s="74"/>
      <c r="O1175" s="81" t="s">
        <v>179</v>
      </c>
      <c r="P1175" s="83">
        <v>44465.201111111113</v>
      </c>
      <c r="Q1175" s="81" t="s">
        <v>5497</v>
      </c>
      <c r="R1175" s="81"/>
      <c r="S1175" s="81"/>
      <c r="T1175" s="81"/>
      <c r="U1175" s="81"/>
      <c r="V1175" s="84" t="str">
        <f>HYPERLINK("https://pbs.twimg.com/profile_images/1440172917136838665/eMBZGWaL_normal.jpg")</f>
        <v>https://pbs.twimg.com/profile_images/1440172917136838665/eMBZGWaL_normal.jpg</v>
      </c>
      <c r="W1175" s="83">
        <v>44465.201111111113</v>
      </c>
      <c r="X1175" s="89">
        <v>44465</v>
      </c>
      <c r="Y1175" s="86" t="s">
        <v>6180</v>
      </c>
      <c r="Z1175" s="84" t="str">
        <f>HYPERLINK("https://twitter.com/arttwrrr/status/1441988301473210368")</f>
        <v>https://twitter.com/arttwrrr/status/1441988301473210368</v>
      </c>
      <c r="AA1175" s="81"/>
      <c r="AB1175" s="81"/>
      <c r="AC1175" s="86" t="s">
        <v>7089</v>
      </c>
      <c r="AD1175" s="81"/>
      <c r="AE1175" s="81" t="b">
        <v>0</v>
      </c>
      <c r="AF1175" s="81">
        <v>1</v>
      </c>
      <c r="AG1175" s="86" t="s">
        <v>2084</v>
      </c>
      <c r="AH1175" s="81" t="b">
        <v>0</v>
      </c>
      <c r="AI1175" s="81" t="s">
        <v>2171</v>
      </c>
      <c r="AJ1175" s="81"/>
      <c r="AK1175" s="86" t="s">
        <v>2084</v>
      </c>
      <c r="AL1175" s="81" t="b">
        <v>0</v>
      </c>
      <c r="AM1175" s="81">
        <v>0</v>
      </c>
      <c r="AN1175" s="86" t="s">
        <v>2084</v>
      </c>
      <c r="AO1175" s="86" t="s">
        <v>2178</v>
      </c>
      <c r="AP1175" s="81" t="b">
        <v>0</v>
      </c>
      <c r="AQ1175" s="86" t="s">
        <v>7089</v>
      </c>
      <c r="AR1175" s="81" t="s">
        <v>179</v>
      </c>
      <c r="AS1175" s="81">
        <v>0</v>
      </c>
      <c r="AT1175" s="81">
        <v>0</v>
      </c>
      <c r="AU1175" s="81"/>
      <c r="AV1175" s="81"/>
      <c r="AW1175" s="81"/>
      <c r="AX1175" s="81"/>
      <c r="AY1175" s="81"/>
      <c r="AZ1175" s="81"/>
      <c r="BA1175" s="81"/>
      <c r="BB1175" s="81"/>
    </row>
    <row r="1176" spans="1:54" x14ac:dyDescent="0.35">
      <c r="A1176" s="66" t="s">
        <v>4533</v>
      </c>
      <c r="B1176" s="66" t="s">
        <v>4797</v>
      </c>
      <c r="C1176" s="67"/>
      <c r="D1176" s="68"/>
      <c r="E1176" s="69"/>
      <c r="F1176" s="70"/>
      <c r="G1176" s="67"/>
      <c r="H1176" s="71"/>
      <c r="I1176" s="72"/>
      <c r="J1176" s="72"/>
      <c r="K1176" s="36"/>
      <c r="L1176" s="79"/>
      <c r="M1176" s="79"/>
      <c r="N1176" s="74"/>
      <c r="O1176" s="81" t="s">
        <v>693</v>
      </c>
      <c r="P1176" s="83">
        <v>44465.256157407406</v>
      </c>
      <c r="Q1176" s="84" t="str">
        <f>HYPERLINK("https://t.co/t5CziaW0dH")</f>
        <v>https://t.co/t5CziaW0dH</v>
      </c>
      <c r="R117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176" s="81" t="s">
        <v>5686</v>
      </c>
      <c r="T1176" s="81"/>
      <c r="U1176" s="81"/>
      <c r="V1176" s="84" t="str">
        <f>HYPERLINK("https://pbs.twimg.com/profile_images/922596150405976065/Kq2Q4SAV_normal.jpg")</f>
        <v>https://pbs.twimg.com/profile_images/922596150405976065/Kq2Q4SAV_normal.jpg</v>
      </c>
      <c r="W1176" s="83">
        <v>44465.256157407406</v>
      </c>
      <c r="X1176" s="89">
        <v>44465</v>
      </c>
      <c r="Y1176" s="86" t="s">
        <v>6181</v>
      </c>
      <c r="Z1176" s="84" t="str">
        <f>HYPERLINK("https://twitter.com/phnx20/status/1442008248270434306")</f>
        <v>https://twitter.com/phnx20/status/1442008248270434306</v>
      </c>
      <c r="AA1176" s="81"/>
      <c r="AB1176" s="81"/>
      <c r="AC1176" s="86" t="s">
        <v>7090</v>
      </c>
      <c r="AD1176" s="81"/>
      <c r="AE1176" s="81" t="b">
        <v>0</v>
      </c>
      <c r="AF1176" s="81">
        <v>0</v>
      </c>
      <c r="AG1176" s="86" t="s">
        <v>2084</v>
      </c>
      <c r="AH1176" s="81" t="b">
        <v>0</v>
      </c>
      <c r="AI1176" s="81" t="s">
        <v>2173</v>
      </c>
      <c r="AJ1176" s="81"/>
      <c r="AK1176" s="86" t="s">
        <v>2084</v>
      </c>
      <c r="AL1176" s="81" t="b">
        <v>0</v>
      </c>
      <c r="AM1176" s="81">
        <v>50</v>
      </c>
      <c r="AN1176" s="86" t="s">
        <v>7395</v>
      </c>
      <c r="AO1176" s="86" t="s">
        <v>2179</v>
      </c>
      <c r="AP1176" s="81" t="b">
        <v>0</v>
      </c>
      <c r="AQ1176" s="86" t="s">
        <v>7395</v>
      </c>
      <c r="AR1176" s="81" t="s">
        <v>179</v>
      </c>
      <c r="AS1176" s="81">
        <v>0</v>
      </c>
      <c r="AT1176" s="81">
        <v>0</v>
      </c>
      <c r="AU1176" s="81"/>
      <c r="AV1176" s="81"/>
      <c r="AW1176" s="81"/>
      <c r="AX1176" s="81"/>
      <c r="AY1176" s="81"/>
      <c r="AZ1176" s="81"/>
      <c r="BA1176" s="81"/>
      <c r="BB1176" s="81"/>
    </row>
    <row r="1177" spans="1:54" x14ac:dyDescent="0.35">
      <c r="A1177" s="66" t="s">
        <v>487</v>
      </c>
      <c r="B1177" s="66" t="s">
        <v>487</v>
      </c>
      <c r="C1177" s="67"/>
      <c r="D1177" s="68"/>
      <c r="E1177" s="69"/>
      <c r="F1177" s="70"/>
      <c r="G1177" s="67"/>
      <c r="H1177" s="71"/>
      <c r="I1177" s="72"/>
      <c r="J1177" s="72"/>
      <c r="K1177" s="36"/>
      <c r="L1177" s="79"/>
      <c r="M1177" s="79"/>
      <c r="N1177" s="74"/>
      <c r="O1177" s="81" t="s">
        <v>179</v>
      </c>
      <c r="P1177" s="83">
        <v>44465.259502314817</v>
      </c>
      <c r="Q1177" s="81" t="s">
        <v>820</v>
      </c>
      <c r="R1177" s="81"/>
      <c r="S1177" s="81"/>
      <c r="T1177" s="81"/>
      <c r="U1177" s="81"/>
      <c r="V1177" s="84" t="str">
        <f>HYPERLINK("https://pbs.twimg.com/profile_images/1425728456302624773/60TXrYzb_normal.jpg")</f>
        <v>https://pbs.twimg.com/profile_images/1425728456302624773/60TXrYzb_normal.jpg</v>
      </c>
      <c r="W1177" s="83">
        <v>44465.259502314817</v>
      </c>
      <c r="X1177" s="89">
        <v>44465</v>
      </c>
      <c r="Y1177" s="86" t="s">
        <v>1340</v>
      </c>
      <c r="Z1177" s="84" t="str">
        <f>HYPERLINK("https://twitter.com/allif33/status/1442009462055702528")</f>
        <v>https://twitter.com/allif33/status/1442009462055702528</v>
      </c>
      <c r="AA1177" s="81"/>
      <c r="AB1177" s="81"/>
      <c r="AC1177" s="86" t="s">
        <v>1836</v>
      </c>
      <c r="AD1177" s="81"/>
      <c r="AE1177" s="81" t="b">
        <v>0</v>
      </c>
      <c r="AF1177" s="81">
        <v>0</v>
      </c>
      <c r="AG1177" s="86" t="s">
        <v>2084</v>
      </c>
      <c r="AH1177" s="81" t="b">
        <v>0</v>
      </c>
      <c r="AI1177" s="81" t="s">
        <v>2167</v>
      </c>
      <c r="AJ1177" s="81"/>
      <c r="AK1177" s="86" t="s">
        <v>2084</v>
      </c>
      <c r="AL1177" s="81" t="b">
        <v>0</v>
      </c>
      <c r="AM1177" s="81">
        <v>0</v>
      </c>
      <c r="AN1177" s="86" t="s">
        <v>2084</v>
      </c>
      <c r="AO1177" s="86" t="s">
        <v>2178</v>
      </c>
      <c r="AP1177" s="81" t="b">
        <v>0</v>
      </c>
      <c r="AQ1177" s="86" t="s">
        <v>1836</v>
      </c>
      <c r="AR1177" s="81" t="s">
        <v>179</v>
      </c>
      <c r="AS1177" s="81">
        <v>0</v>
      </c>
      <c r="AT1177" s="81">
        <v>0</v>
      </c>
      <c r="AU1177" s="81"/>
      <c r="AV1177" s="81"/>
      <c r="AW1177" s="81"/>
      <c r="AX1177" s="81"/>
      <c r="AY1177" s="81"/>
      <c r="AZ1177" s="81"/>
      <c r="BA1177" s="81"/>
      <c r="BB1177" s="81"/>
    </row>
    <row r="1178" spans="1:54" x14ac:dyDescent="0.35">
      <c r="A1178" s="66" t="s">
        <v>488</v>
      </c>
      <c r="B1178" s="66" t="s">
        <v>488</v>
      </c>
      <c r="C1178" s="67"/>
      <c r="D1178" s="68"/>
      <c r="E1178" s="69"/>
      <c r="F1178" s="70"/>
      <c r="G1178" s="67"/>
      <c r="H1178" s="71"/>
      <c r="I1178" s="72"/>
      <c r="J1178" s="72"/>
      <c r="K1178" s="36"/>
      <c r="L1178" s="79"/>
      <c r="M1178" s="79"/>
      <c r="N1178" s="74"/>
      <c r="O1178" s="81" t="s">
        <v>179</v>
      </c>
      <c r="P1178" s="83">
        <v>44465.263113425928</v>
      </c>
      <c r="Q1178" s="81" t="s">
        <v>821</v>
      </c>
      <c r="R1178" s="81"/>
      <c r="S1178" s="81"/>
      <c r="T1178" s="81"/>
      <c r="U1178" s="81"/>
      <c r="V1178" s="84" t="str">
        <f>HYPERLINK("https://pbs.twimg.com/profile_images/1416024357441212418/qo9f5NgH_normal.jpg")</f>
        <v>https://pbs.twimg.com/profile_images/1416024357441212418/qo9f5NgH_normal.jpg</v>
      </c>
      <c r="W1178" s="83">
        <v>44465.263113425928</v>
      </c>
      <c r="X1178" s="89">
        <v>44465</v>
      </c>
      <c r="Y1178" s="86" t="s">
        <v>1341</v>
      </c>
      <c r="Z1178" s="84" t="str">
        <f>HYPERLINK("https://twitter.com/drjoealexander/status/1442010770397560834")</f>
        <v>https://twitter.com/drjoealexander/status/1442010770397560834</v>
      </c>
      <c r="AA1178" s="81"/>
      <c r="AB1178" s="81"/>
      <c r="AC1178" s="86" t="s">
        <v>1837</v>
      </c>
      <c r="AD1178" s="81"/>
      <c r="AE1178" s="81" t="b">
        <v>0</v>
      </c>
      <c r="AF1178" s="81">
        <v>0</v>
      </c>
      <c r="AG1178" s="86" t="s">
        <v>2084</v>
      </c>
      <c r="AH1178" s="81" t="b">
        <v>0</v>
      </c>
      <c r="AI1178" s="81" t="s">
        <v>2168</v>
      </c>
      <c r="AJ1178" s="81"/>
      <c r="AK1178" s="86" t="s">
        <v>2084</v>
      </c>
      <c r="AL1178" s="81" t="b">
        <v>0</v>
      </c>
      <c r="AM1178" s="81">
        <v>0</v>
      </c>
      <c r="AN1178" s="86" t="s">
        <v>2084</v>
      </c>
      <c r="AO1178" s="86" t="s">
        <v>2178</v>
      </c>
      <c r="AP1178" s="81" t="b">
        <v>0</v>
      </c>
      <c r="AQ1178" s="86" t="s">
        <v>1837</v>
      </c>
      <c r="AR1178" s="81" t="s">
        <v>179</v>
      </c>
      <c r="AS1178" s="81">
        <v>0</v>
      </c>
      <c r="AT1178" s="81">
        <v>0</v>
      </c>
      <c r="AU1178" s="81"/>
      <c r="AV1178" s="81"/>
      <c r="AW1178" s="81"/>
      <c r="AX1178" s="81"/>
      <c r="AY1178" s="81"/>
      <c r="AZ1178" s="81"/>
      <c r="BA1178" s="81"/>
      <c r="BB1178" s="81"/>
    </row>
    <row r="1179" spans="1:54" x14ac:dyDescent="0.35">
      <c r="A1179" s="66" t="s">
        <v>489</v>
      </c>
      <c r="B1179" s="66" t="s">
        <v>665</v>
      </c>
      <c r="C1179" s="67"/>
      <c r="D1179" s="68"/>
      <c r="E1179" s="69"/>
      <c r="F1179" s="70"/>
      <c r="G1179" s="67"/>
      <c r="H1179" s="71"/>
      <c r="I1179" s="72"/>
      <c r="J1179" s="72"/>
      <c r="K1179" s="36"/>
      <c r="L1179" s="79"/>
      <c r="M1179" s="79"/>
      <c r="N1179" s="74"/>
      <c r="O1179" s="81" t="s">
        <v>695</v>
      </c>
      <c r="P1179" s="83">
        <v>44465.2887962963</v>
      </c>
      <c r="Q1179" s="81" t="s">
        <v>822</v>
      </c>
      <c r="R1179" s="81"/>
      <c r="S1179" s="81"/>
      <c r="T1179" s="81"/>
      <c r="U1179" s="81"/>
      <c r="V1179" s="84" t="str">
        <f>HYPERLINK("https://pbs.twimg.com/profile_images/1427791685388435456/HmFH2YqC_normal.jpg")</f>
        <v>https://pbs.twimg.com/profile_images/1427791685388435456/HmFH2YqC_normal.jpg</v>
      </c>
      <c r="W1179" s="83">
        <v>44465.2887962963</v>
      </c>
      <c r="X1179" s="89">
        <v>44465</v>
      </c>
      <c r="Y1179" s="86" t="s">
        <v>1342</v>
      </c>
      <c r="Z1179" s="84" t="str">
        <f>HYPERLINK("https://twitter.com/cringeunicorn_/status/1442020076731781130")</f>
        <v>https://twitter.com/cringeunicorn_/status/1442020076731781130</v>
      </c>
      <c r="AA1179" s="81"/>
      <c r="AB1179" s="81"/>
      <c r="AC1179" s="86" t="s">
        <v>1838</v>
      </c>
      <c r="AD1179" s="86" t="s">
        <v>2046</v>
      </c>
      <c r="AE1179" s="81" t="b">
        <v>0</v>
      </c>
      <c r="AF1179" s="81">
        <v>0</v>
      </c>
      <c r="AG1179" s="86" t="s">
        <v>2131</v>
      </c>
      <c r="AH1179" s="81" t="b">
        <v>0</v>
      </c>
      <c r="AI1179" s="81" t="s">
        <v>2167</v>
      </c>
      <c r="AJ1179" s="81"/>
      <c r="AK1179" s="86" t="s">
        <v>2084</v>
      </c>
      <c r="AL1179" s="81" t="b">
        <v>0</v>
      </c>
      <c r="AM1179" s="81">
        <v>0</v>
      </c>
      <c r="AN1179" s="86" t="s">
        <v>2084</v>
      </c>
      <c r="AO1179" s="86" t="s">
        <v>2178</v>
      </c>
      <c r="AP1179" s="81" t="b">
        <v>0</v>
      </c>
      <c r="AQ1179" s="86" t="s">
        <v>2046</v>
      </c>
      <c r="AR1179" s="81" t="s">
        <v>179</v>
      </c>
      <c r="AS1179" s="81">
        <v>0</v>
      </c>
      <c r="AT1179" s="81">
        <v>0</v>
      </c>
      <c r="AU1179" s="81"/>
      <c r="AV1179" s="81"/>
      <c r="AW1179" s="81"/>
      <c r="AX1179" s="81"/>
      <c r="AY1179" s="81"/>
      <c r="AZ1179" s="81"/>
      <c r="BA1179" s="81"/>
      <c r="BB1179" s="81"/>
    </row>
    <row r="1180" spans="1:54" x14ac:dyDescent="0.35">
      <c r="A1180" s="66" t="s">
        <v>4534</v>
      </c>
      <c r="B1180" s="66" t="s">
        <v>4534</v>
      </c>
      <c r="C1180" s="67"/>
      <c r="D1180" s="68"/>
      <c r="E1180" s="69"/>
      <c r="F1180" s="70"/>
      <c r="G1180" s="67"/>
      <c r="H1180" s="71"/>
      <c r="I1180" s="72"/>
      <c r="J1180" s="72"/>
      <c r="K1180" s="36"/>
      <c r="L1180" s="79"/>
      <c r="M1180" s="79"/>
      <c r="N1180" s="74"/>
      <c r="O1180" s="81" t="s">
        <v>179</v>
      </c>
      <c r="P1180" s="83">
        <v>44465.306655092594</v>
      </c>
      <c r="Q1180" s="81" t="s">
        <v>5498</v>
      </c>
      <c r="R1180" s="84" t="str">
        <f>HYPERLINK("https://www.opraticante.pt/vitoria-sport-club-vence-na-len-champions-league/")</f>
        <v>https://www.opraticante.pt/vitoria-sport-club-vence-na-len-champions-league/</v>
      </c>
      <c r="S1180" s="81" t="s">
        <v>5734</v>
      </c>
      <c r="T1180" s="81"/>
      <c r="U1180" s="84" t="str">
        <f>HYPERLINK("https://pbs.twimg.com/media/FAMbf4eWYAEv6gd.png")</f>
        <v>https://pbs.twimg.com/media/FAMbf4eWYAEv6gd.png</v>
      </c>
      <c r="V1180" s="84" t="str">
        <f>HYPERLINK("https://pbs.twimg.com/media/FAMbf4eWYAEv6gd.png")</f>
        <v>https://pbs.twimg.com/media/FAMbf4eWYAEv6gd.png</v>
      </c>
      <c r="W1180" s="83">
        <v>44465.306655092594</v>
      </c>
      <c r="X1180" s="89">
        <v>44465</v>
      </c>
      <c r="Y1180" s="86" t="s">
        <v>6182</v>
      </c>
      <c r="Z1180" s="84" t="str">
        <f>HYPERLINK("https://twitter.com/opraticante/status/1442026549084147714")</f>
        <v>https://twitter.com/opraticante/status/1442026549084147714</v>
      </c>
      <c r="AA1180" s="81"/>
      <c r="AB1180" s="81"/>
      <c r="AC1180" s="86" t="s">
        <v>7091</v>
      </c>
      <c r="AD1180" s="81"/>
      <c r="AE1180" s="81" t="b">
        <v>0</v>
      </c>
      <c r="AF1180" s="81">
        <v>0</v>
      </c>
      <c r="AG1180" s="86" t="s">
        <v>2084</v>
      </c>
      <c r="AH1180" s="81" t="b">
        <v>0</v>
      </c>
      <c r="AI1180" s="81" t="s">
        <v>2171</v>
      </c>
      <c r="AJ1180" s="81"/>
      <c r="AK1180" s="86" t="s">
        <v>2084</v>
      </c>
      <c r="AL1180" s="81" t="b">
        <v>0</v>
      </c>
      <c r="AM1180" s="81">
        <v>0</v>
      </c>
      <c r="AN1180" s="86" t="s">
        <v>2084</v>
      </c>
      <c r="AO1180" s="86" t="s">
        <v>2181</v>
      </c>
      <c r="AP1180" s="81" t="b">
        <v>0</v>
      </c>
      <c r="AQ1180" s="86" t="s">
        <v>7091</v>
      </c>
      <c r="AR1180" s="81" t="s">
        <v>179</v>
      </c>
      <c r="AS1180" s="81">
        <v>0</v>
      </c>
      <c r="AT1180" s="81">
        <v>0</v>
      </c>
      <c r="AU1180" s="81"/>
      <c r="AV1180" s="81"/>
      <c r="AW1180" s="81"/>
      <c r="AX1180" s="81"/>
      <c r="AY1180" s="81"/>
      <c r="AZ1180" s="81"/>
      <c r="BA1180" s="81"/>
      <c r="BB1180" s="81"/>
    </row>
    <row r="1181" spans="1:54" x14ac:dyDescent="0.35">
      <c r="A1181" s="66" t="s">
        <v>4535</v>
      </c>
      <c r="B1181" s="66" t="s">
        <v>4535</v>
      </c>
      <c r="C1181" s="67"/>
      <c r="D1181" s="68"/>
      <c r="E1181" s="69"/>
      <c r="F1181" s="70"/>
      <c r="G1181" s="67"/>
      <c r="H1181" s="71"/>
      <c r="I1181" s="72"/>
      <c r="J1181" s="72"/>
      <c r="K1181" s="36"/>
      <c r="L1181" s="79"/>
      <c r="M1181" s="79"/>
      <c r="N1181" s="74"/>
      <c r="O1181" s="81" t="s">
        <v>179</v>
      </c>
      <c r="P1181" s="83">
        <v>44465.403425925928</v>
      </c>
      <c r="Q1181" s="81" t="s">
        <v>5499</v>
      </c>
      <c r="R1181" s="84" t="str">
        <f>HYPERLINK("https://agencia.ecclesia.pt/portal/vaticano-papa-alerta-para-risco-de-nacionalismos-agressivos-e-sociedades-mais-fechadas-no-pos-pandemia/")</f>
        <v>https://agencia.ecclesia.pt/portal/vaticano-papa-alerta-para-risco-de-nacionalismos-agressivos-e-sociedades-mais-fechadas-no-pos-pandemia/</v>
      </c>
      <c r="S1181" s="81" t="s">
        <v>5735</v>
      </c>
      <c r="T1181" s="81"/>
      <c r="U1181" s="81"/>
      <c r="V1181" s="84" t="str">
        <f>HYPERLINK("https://pbs.twimg.com/profile_images/1435973737371873287/-ftavIh__normal.jpg")</f>
        <v>https://pbs.twimg.com/profile_images/1435973737371873287/-ftavIh__normal.jpg</v>
      </c>
      <c r="W1181" s="83">
        <v>44465.403425925928</v>
      </c>
      <c r="X1181" s="89">
        <v>44465</v>
      </c>
      <c r="Y1181" s="86" t="s">
        <v>6183</v>
      </c>
      <c r="Z1181" s="84" t="str">
        <f>HYPERLINK("https://twitter.com/pegeovane/status/1442061619681505292")</f>
        <v>https://twitter.com/pegeovane/status/1442061619681505292</v>
      </c>
      <c r="AA1181" s="81"/>
      <c r="AB1181" s="81"/>
      <c r="AC1181" s="86" t="s">
        <v>7092</v>
      </c>
      <c r="AD1181" s="81"/>
      <c r="AE1181" s="81" t="b">
        <v>0</v>
      </c>
      <c r="AF1181" s="81">
        <v>1</v>
      </c>
      <c r="AG1181" s="86" t="s">
        <v>2084</v>
      </c>
      <c r="AH1181" s="81" t="b">
        <v>0</v>
      </c>
      <c r="AI1181" s="81" t="s">
        <v>2171</v>
      </c>
      <c r="AJ1181" s="81"/>
      <c r="AK1181" s="86" t="s">
        <v>2084</v>
      </c>
      <c r="AL1181" s="81" t="b">
        <v>0</v>
      </c>
      <c r="AM1181" s="81">
        <v>1</v>
      </c>
      <c r="AN1181" s="86" t="s">
        <v>2084</v>
      </c>
      <c r="AO1181" s="86" t="s">
        <v>2181</v>
      </c>
      <c r="AP1181" s="81" t="b">
        <v>0</v>
      </c>
      <c r="AQ1181" s="86" t="s">
        <v>7092</v>
      </c>
      <c r="AR1181" s="81" t="s">
        <v>179</v>
      </c>
      <c r="AS1181" s="81">
        <v>0</v>
      </c>
      <c r="AT1181" s="81">
        <v>0</v>
      </c>
      <c r="AU1181" s="81"/>
      <c r="AV1181" s="81"/>
      <c r="AW1181" s="81"/>
      <c r="AX1181" s="81"/>
      <c r="AY1181" s="81"/>
      <c r="AZ1181" s="81"/>
      <c r="BA1181" s="81"/>
      <c r="BB1181" s="81"/>
    </row>
    <row r="1182" spans="1:54" x14ac:dyDescent="0.35">
      <c r="A1182" s="66" t="s">
        <v>490</v>
      </c>
      <c r="B1182" s="66" t="s">
        <v>490</v>
      </c>
      <c r="C1182" s="67"/>
      <c r="D1182" s="68"/>
      <c r="E1182" s="69"/>
      <c r="F1182" s="70"/>
      <c r="G1182" s="67"/>
      <c r="H1182" s="71"/>
      <c r="I1182" s="72"/>
      <c r="J1182" s="72"/>
      <c r="K1182" s="36"/>
      <c r="L1182" s="79"/>
      <c r="M1182" s="79"/>
      <c r="N1182" s="74"/>
      <c r="O1182" s="81" t="s">
        <v>179</v>
      </c>
      <c r="P1182" s="83">
        <v>44465.421886574077</v>
      </c>
      <c r="Q1182" s="81" t="s">
        <v>823</v>
      </c>
      <c r="R1182" s="81"/>
      <c r="S1182" s="81"/>
      <c r="T1182" s="81"/>
      <c r="U1182" s="81"/>
      <c r="V1182" s="84" t="str">
        <f>HYPERLINK("https://pbs.twimg.com/profile_images/1440683609686360064/-Txz3cig_normal.jpg")</f>
        <v>https://pbs.twimg.com/profile_images/1440683609686360064/-Txz3cig_normal.jpg</v>
      </c>
      <c r="W1182" s="83">
        <v>44465.421886574077</v>
      </c>
      <c r="X1182" s="89">
        <v>44465</v>
      </c>
      <c r="Y1182" s="86" t="s">
        <v>1343</v>
      </c>
      <c r="Z1182" s="84" t="str">
        <f>HYPERLINK("https://twitter.com/yojeong9196/status/1442068306798649347")</f>
        <v>https://twitter.com/yojeong9196/status/1442068306798649347</v>
      </c>
      <c r="AA1182" s="81"/>
      <c r="AB1182" s="81"/>
      <c r="AC1182" s="86" t="s">
        <v>1839</v>
      </c>
      <c r="AD1182" s="86" t="s">
        <v>2047</v>
      </c>
      <c r="AE1182" s="81" t="b">
        <v>0</v>
      </c>
      <c r="AF1182" s="81">
        <v>2</v>
      </c>
      <c r="AG1182" s="86" t="s">
        <v>2132</v>
      </c>
      <c r="AH1182" s="81" t="b">
        <v>0</v>
      </c>
      <c r="AI1182" s="81" t="s">
        <v>2167</v>
      </c>
      <c r="AJ1182" s="81"/>
      <c r="AK1182" s="86" t="s">
        <v>2084</v>
      </c>
      <c r="AL1182" s="81" t="b">
        <v>0</v>
      </c>
      <c r="AM1182" s="81">
        <v>0</v>
      </c>
      <c r="AN1182" s="86" t="s">
        <v>2084</v>
      </c>
      <c r="AO1182" s="86" t="s">
        <v>2179</v>
      </c>
      <c r="AP1182" s="81" t="b">
        <v>0</v>
      </c>
      <c r="AQ1182" s="86" t="s">
        <v>2047</v>
      </c>
      <c r="AR1182" s="81" t="s">
        <v>179</v>
      </c>
      <c r="AS1182" s="81">
        <v>0</v>
      </c>
      <c r="AT1182" s="81">
        <v>0</v>
      </c>
      <c r="AU1182" s="81"/>
      <c r="AV1182" s="81"/>
      <c r="AW1182" s="81"/>
      <c r="AX1182" s="81"/>
      <c r="AY1182" s="81"/>
      <c r="AZ1182" s="81"/>
      <c r="BA1182" s="81"/>
      <c r="BB1182" s="81"/>
    </row>
    <row r="1183" spans="1:54" x14ac:dyDescent="0.35">
      <c r="A1183" s="66" t="s">
        <v>4536</v>
      </c>
      <c r="B1183" s="66" t="s">
        <v>4537</v>
      </c>
      <c r="C1183" s="67"/>
      <c r="D1183" s="68"/>
      <c r="E1183" s="69"/>
      <c r="F1183" s="70"/>
      <c r="G1183" s="67"/>
      <c r="H1183" s="71"/>
      <c r="I1183" s="72"/>
      <c r="J1183" s="72"/>
      <c r="K1183" s="36"/>
      <c r="L1183" s="79"/>
      <c r="M1183" s="79"/>
      <c r="N1183" s="74"/>
      <c r="O1183" s="81" t="s">
        <v>696</v>
      </c>
      <c r="P1183" s="83">
        <v>44459.506122685183</v>
      </c>
      <c r="Q1183" s="81" t="s">
        <v>5500</v>
      </c>
      <c r="R1183" s="84" t="str">
        <f>HYPERLINK("https://agencia.ecclesia.pt/portal/forcas-armadas-d-rui-valerio-quer-unidades-a-pensar-no-pos-pandemia-na-jmj-e-a-fomentar-a-sinodalidade/")</f>
        <v>https://agencia.ecclesia.pt/portal/forcas-armadas-d-rui-valerio-quer-unidades-a-pensar-no-pos-pandemia-na-jmj-e-a-fomentar-a-sinodalidade/</v>
      </c>
      <c r="S1183" s="81" t="s">
        <v>5735</v>
      </c>
      <c r="T1183" s="81"/>
      <c r="U1183" s="81"/>
      <c r="V1183" s="84" t="str">
        <f>HYPERLINK("https://pbs.twimg.com/profile_images/832697425278046209/zj0gYo3I_normal.jpg")</f>
        <v>https://pbs.twimg.com/profile_images/832697425278046209/zj0gYo3I_normal.jpg</v>
      </c>
      <c r="W1183" s="83">
        <v>44459.506122685183</v>
      </c>
      <c r="X1183" s="89">
        <v>44459</v>
      </c>
      <c r="Y1183" s="86" t="s">
        <v>6184</v>
      </c>
      <c r="Z1183" s="84" t="str">
        <f>HYPERLINK("https://twitter.com/maiscatolicismo/status/1439924504550125569")</f>
        <v>https://twitter.com/maiscatolicismo/status/1439924504550125569</v>
      </c>
      <c r="AA1183" s="81"/>
      <c r="AB1183" s="81"/>
      <c r="AC1183" s="86" t="s">
        <v>7093</v>
      </c>
      <c r="AD1183" s="81"/>
      <c r="AE1183" s="81" t="b">
        <v>0</v>
      </c>
      <c r="AF1183" s="81">
        <v>0</v>
      </c>
      <c r="AG1183" s="86" t="s">
        <v>2084</v>
      </c>
      <c r="AH1183" s="81" t="b">
        <v>0</v>
      </c>
      <c r="AI1183" s="81" t="s">
        <v>2171</v>
      </c>
      <c r="AJ1183" s="81"/>
      <c r="AK1183" s="86" t="s">
        <v>2084</v>
      </c>
      <c r="AL1183" s="81" t="b">
        <v>0</v>
      </c>
      <c r="AM1183" s="81">
        <v>0</v>
      </c>
      <c r="AN1183" s="86" t="s">
        <v>2084</v>
      </c>
      <c r="AO1183" s="86" t="s">
        <v>2183</v>
      </c>
      <c r="AP1183" s="81" t="b">
        <v>0</v>
      </c>
      <c r="AQ1183" s="86" t="s">
        <v>7093</v>
      </c>
      <c r="AR1183" s="81" t="s">
        <v>179</v>
      </c>
      <c r="AS1183" s="81">
        <v>0</v>
      </c>
      <c r="AT1183" s="81">
        <v>0</v>
      </c>
      <c r="AU1183" s="81"/>
      <c r="AV1183" s="81"/>
      <c r="AW1183" s="81"/>
      <c r="AX1183" s="81"/>
      <c r="AY1183" s="81"/>
      <c r="AZ1183" s="81"/>
      <c r="BA1183" s="81"/>
      <c r="BB1183" s="81"/>
    </row>
    <row r="1184" spans="1:54" x14ac:dyDescent="0.35">
      <c r="A1184" s="66" t="s">
        <v>4536</v>
      </c>
      <c r="B1184" s="66" t="s">
        <v>4537</v>
      </c>
      <c r="C1184" s="67"/>
      <c r="D1184" s="68"/>
      <c r="E1184" s="69"/>
      <c r="F1184" s="70"/>
      <c r="G1184" s="67"/>
      <c r="H1184" s="71"/>
      <c r="I1184" s="72"/>
      <c r="J1184" s="72"/>
      <c r="K1184" s="36"/>
      <c r="L1184" s="79"/>
      <c r="M1184" s="79"/>
      <c r="N1184" s="74"/>
      <c r="O1184" s="81" t="s">
        <v>696</v>
      </c>
      <c r="P1184" s="83">
        <v>44465.422488425924</v>
      </c>
      <c r="Q1184" s="81" t="s">
        <v>5501</v>
      </c>
      <c r="R1184" s="84" t="str">
        <f>HYPERLINK("https://agencia.ecclesia.pt/portal/vaticano-papa-alerta-para-risco-de-nacionalismos-agressivos-e-sociedades-mais-fechadas-no-pos-pandemia/")</f>
        <v>https://agencia.ecclesia.pt/portal/vaticano-papa-alerta-para-risco-de-nacionalismos-agressivos-e-sociedades-mais-fechadas-no-pos-pandemia/</v>
      </c>
      <c r="S1184" s="81" t="s">
        <v>5735</v>
      </c>
      <c r="T1184" s="81"/>
      <c r="U1184" s="81"/>
      <c r="V1184" s="84" t="str">
        <f>HYPERLINK("https://pbs.twimg.com/profile_images/832697425278046209/zj0gYo3I_normal.jpg")</f>
        <v>https://pbs.twimg.com/profile_images/832697425278046209/zj0gYo3I_normal.jpg</v>
      </c>
      <c r="W1184" s="83">
        <v>44465.422488425924</v>
      </c>
      <c r="X1184" s="89">
        <v>44465</v>
      </c>
      <c r="Y1184" s="86" t="s">
        <v>6185</v>
      </c>
      <c r="Z1184" s="84" t="str">
        <f>HYPERLINK("https://twitter.com/maiscatolicismo/status/1442068526395654144")</f>
        <v>https://twitter.com/maiscatolicismo/status/1442068526395654144</v>
      </c>
      <c r="AA1184" s="81"/>
      <c r="AB1184" s="81"/>
      <c r="AC1184" s="86" t="s">
        <v>7094</v>
      </c>
      <c r="AD1184" s="81"/>
      <c r="AE1184" s="81" t="b">
        <v>0</v>
      </c>
      <c r="AF1184" s="81">
        <v>0</v>
      </c>
      <c r="AG1184" s="86" t="s">
        <v>2084</v>
      </c>
      <c r="AH1184" s="81" t="b">
        <v>0</v>
      </c>
      <c r="AI1184" s="81" t="s">
        <v>2171</v>
      </c>
      <c r="AJ1184" s="81"/>
      <c r="AK1184" s="86" t="s">
        <v>2084</v>
      </c>
      <c r="AL1184" s="81" t="b">
        <v>0</v>
      </c>
      <c r="AM1184" s="81">
        <v>0</v>
      </c>
      <c r="AN1184" s="86" t="s">
        <v>2084</v>
      </c>
      <c r="AO1184" s="86" t="s">
        <v>2183</v>
      </c>
      <c r="AP1184" s="81" t="b">
        <v>0</v>
      </c>
      <c r="AQ1184" s="86" t="s">
        <v>7094</v>
      </c>
      <c r="AR1184" s="81" t="s">
        <v>179</v>
      </c>
      <c r="AS1184" s="81">
        <v>0</v>
      </c>
      <c r="AT1184" s="81">
        <v>0</v>
      </c>
      <c r="AU1184" s="81"/>
      <c r="AV1184" s="81"/>
      <c r="AW1184" s="81"/>
      <c r="AX1184" s="81"/>
      <c r="AY1184" s="81"/>
      <c r="AZ1184" s="81"/>
      <c r="BA1184" s="81"/>
      <c r="BB1184" s="81"/>
    </row>
    <row r="1185" spans="1:54" x14ac:dyDescent="0.35">
      <c r="A1185" s="66" t="s">
        <v>491</v>
      </c>
      <c r="B1185" s="66" t="s">
        <v>491</v>
      </c>
      <c r="C1185" s="67"/>
      <c r="D1185" s="68"/>
      <c r="E1185" s="69"/>
      <c r="F1185" s="70"/>
      <c r="G1185" s="67"/>
      <c r="H1185" s="71"/>
      <c r="I1185" s="72"/>
      <c r="J1185" s="72"/>
      <c r="K1185" s="36"/>
      <c r="L1185" s="79"/>
      <c r="M1185" s="79"/>
      <c r="N1185" s="74"/>
      <c r="O1185" s="81" t="s">
        <v>179</v>
      </c>
      <c r="P1185" s="83">
        <v>44462.309016203704</v>
      </c>
      <c r="Q1185" s="81" t="s">
        <v>824</v>
      </c>
      <c r="R1185" s="84" t="str">
        <f>HYPERLINK("https://www.portalkalbar.com/2021/09/lowongan-kerja-pt-pos-indonesia-persero_23.html")</f>
        <v>https://www.portalkalbar.com/2021/09/lowongan-kerja-pt-pos-indonesia-persero_23.html</v>
      </c>
      <c r="S1185" s="81" t="s">
        <v>961</v>
      </c>
      <c r="T1185" s="81"/>
      <c r="U1185" s="84" t="str">
        <f>HYPERLINK("https://pbs.twimg.com/media/E_8_geIVcAcozom.jpg")</f>
        <v>https://pbs.twimg.com/media/E_8_geIVcAcozom.jpg</v>
      </c>
      <c r="V1185" s="84" t="str">
        <f>HYPERLINK("https://pbs.twimg.com/media/E_8_geIVcAcozom.jpg")</f>
        <v>https://pbs.twimg.com/media/E_8_geIVcAcozom.jpg</v>
      </c>
      <c r="W1185" s="83">
        <v>44462.309016203704</v>
      </c>
      <c r="X1185" s="89">
        <v>44462</v>
      </c>
      <c r="Y1185" s="86" t="s">
        <v>1344</v>
      </c>
      <c r="Z1185" s="84" t="str">
        <f>HYPERLINK("https://twitter.com/portalkalbar1/status/1440940240621891587")</f>
        <v>https://twitter.com/portalkalbar1/status/1440940240621891587</v>
      </c>
      <c r="AA1185" s="81"/>
      <c r="AB1185" s="81"/>
      <c r="AC1185" s="86" t="s">
        <v>1840</v>
      </c>
      <c r="AD1185" s="81"/>
      <c r="AE1185" s="81" t="b">
        <v>0</v>
      </c>
      <c r="AF1185" s="81">
        <v>0</v>
      </c>
      <c r="AG1185" s="86" t="s">
        <v>2084</v>
      </c>
      <c r="AH1185" s="81" t="b">
        <v>0</v>
      </c>
      <c r="AI1185" s="81" t="s">
        <v>2167</v>
      </c>
      <c r="AJ1185" s="81"/>
      <c r="AK1185" s="86" t="s">
        <v>2084</v>
      </c>
      <c r="AL1185" s="81" t="b">
        <v>0</v>
      </c>
      <c r="AM1185" s="81">
        <v>0</v>
      </c>
      <c r="AN1185" s="86" t="s">
        <v>2084</v>
      </c>
      <c r="AO1185" s="86" t="s">
        <v>2181</v>
      </c>
      <c r="AP1185" s="81" t="b">
        <v>0</v>
      </c>
      <c r="AQ1185" s="86" t="s">
        <v>1840</v>
      </c>
      <c r="AR1185" s="81" t="s">
        <v>179</v>
      </c>
      <c r="AS1185" s="81">
        <v>0</v>
      </c>
      <c r="AT1185" s="81">
        <v>0</v>
      </c>
      <c r="AU1185" s="81"/>
      <c r="AV1185" s="81"/>
      <c r="AW1185" s="81"/>
      <c r="AX1185" s="81"/>
      <c r="AY1185" s="81"/>
      <c r="AZ1185" s="81"/>
      <c r="BA1185" s="81"/>
      <c r="BB1185" s="81"/>
    </row>
    <row r="1186" spans="1:54" x14ac:dyDescent="0.35">
      <c r="A1186" s="66" t="s">
        <v>491</v>
      </c>
      <c r="B1186" s="66" t="s">
        <v>491</v>
      </c>
      <c r="C1186" s="67"/>
      <c r="D1186" s="68"/>
      <c r="E1186" s="69"/>
      <c r="F1186" s="70"/>
      <c r="G1186" s="67"/>
      <c r="H1186" s="71"/>
      <c r="I1186" s="72"/>
      <c r="J1186" s="72"/>
      <c r="K1186" s="36"/>
      <c r="L1186" s="79"/>
      <c r="M1186" s="79"/>
      <c r="N1186" s="74"/>
      <c r="O1186" s="81" t="s">
        <v>179</v>
      </c>
      <c r="P1186" s="83">
        <v>44465.435231481482</v>
      </c>
      <c r="Q1186" s="81" t="s">
        <v>825</v>
      </c>
      <c r="R1186" s="84" t="str">
        <f>HYPERLINK("https://www.portalkalbar.com/2021/09/lowongan-kerja-pt-pos-indonesia-persero_26.html")</f>
        <v>https://www.portalkalbar.com/2021/09/lowongan-kerja-pt-pos-indonesia-persero_26.html</v>
      </c>
      <c r="S1186" s="81" t="s">
        <v>961</v>
      </c>
      <c r="T1186" s="81"/>
      <c r="U1186" s="84" t="str">
        <f>HYPERLINK("https://pbs.twimg.com/media/FANF36kVIAkL-yI.jpg")</f>
        <v>https://pbs.twimg.com/media/FANF36kVIAkL-yI.jpg</v>
      </c>
      <c r="V1186" s="84" t="str">
        <f>HYPERLINK("https://pbs.twimg.com/media/FANF36kVIAkL-yI.jpg")</f>
        <v>https://pbs.twimg.com/media/FANF36kVIAkL-yI.jpg</v>
      </c>
      <c r="W1186" s="83">
        <v>44465.435231481482</v>
      </c>
      <c r="X1186" s="89">
        <v>44465</v>
      </c>
      <c r="Y1186" s="86" t="s">
        <v>1345</v>
      </c>
      <c r="Z1186" s="84" t="str">
        <f>HYPERLINK("https://twitter.com/portalkalbar1/status/1442073142558543878")</f>
        <v>https://twitter.com/portalkalbar1/status/1442073142558543878</v>
      </c>
      <c r="AA1186" s="81"/>
      <c r="AB1186" s="81"/>
      <c r="AC1186" s="86" t="s">
        <v>1841</v>
      </c>
      <c r="AD1186" s="81"/>
      <c r="AE1186" s="81" t="b">
        <v>0</v>
      </c>
      <c r="AF1186" s="81">
        <v>0</v>
      </c>
      <c r="AG1186" s="86" t="s">
        <v>2084</v>
      </c>
      <c r="AH1186" s="81" t="b">
        <v>0</v>
      </c>
      <c r="AI1186" s="81" t="s">
        <v>2167</v>
      </c>
      <c r="AJ1186" s="81"/>
      <c r="AK1186" s="86" t="s">
        <v>2084</v>
      </c>
      <c r="AL1186" s="81" t="b">
        <v>0</v>
      </c>
      <c r="AM1186" s="81">
        <v>0</v>
      </c>
      <c r="AN1186" s="86" t="s">
        <v>2084</v>
      </c>
      <c r="AO1186" s="86" t="s">
        <v>2181</v>
      </c>
      <c r="AP1186" s="81" t="b">
        <v>0</v>
      </c>
      <c r="AQ1186" s="86" t="s">
        <v>1841</v>
      </c>
      <c r="AR1186" s="81" t="s">
        <v>179</v>
      </c>
      <c r="AS1186" s="81">
        <v>0</v>
      </c>
      <c r="AT1186" s="81">
        <v>0</v>
      </c>
      <c r="AU1186" s="81"/>
      <c r="AV1186" s="81"/>
      <c r="AW1186" s="81"/>
      <c r="AX1186" s="81"/>
      <c r="AY1186" s="81"/>
      <c r="AZ1186" s="81"/>
      <c r="BA1186" s="81"/>
      <c r="BB1186" s="81"/>
    </row>
    <row r="1187" spans="1:54" x14ac:dyDescent="0.35">
      <c r="A1187" s="66" t="s">
        <v>4537</v>
      </c>
      <c r="B1187" s="66" t="s">
        <v>4537</v>
      </c>
      <c r="C1187" s="67"/>
      <c r="D1187" s="68"/>
      <c r="E1187" s="69"/>
      <c r="F1187" s="70"/>
      <c r="G1187" s="67"/>
      <c r="H1187" s="71"/>
      <c r="I1187" s="72"/>
      <c r="J1187" s="72"/>
      <c r="K1187" s="36"/>
      <c r="L1187" s="79"/>
      <c r="M1187" s="79"/>
      <c r="N1187" s="74"/>
      <c r="O1187" s="81" t="s">
        <v>179</v>
      </c>
      <c r="P1187" s="83">
        <v>44465.393784722219</v>
      </c>
      <c r="Q1187" s="81" t="s">
        <v>5502</v>
      </c>
      <c r="R1187" s="84" t="str">
        <f>HYPERLINK("https://agencia.ecclesia.pt/portal/vaticano-papa-alerta-para-risco-de-nacionalismos-agressivos-e-sociedades-mais-fechadas-no-pos-pandemia/")</f>
        <v>https://agencia.ecclesia.pt/portal/vaticano-papa-alerta-para-risco-de-nacionalismos-agressivos-e-sociedades-mais-fechadas-no-pos-pandemia/</v>
      </c>
      <c r="S1187" s="81" t="s">
        <v>5735</v>
      </c>
      <c r="T1187" s="81"/>
      <c r="U1187" s="81"/>
      <c r="V1187" s="84" t="str">
        <f>HYPERLINK("https://pbs.twimg.com/profile_images/785509673797578752/SU9AWl-P_normal.jpg")</f>
        <v>https://pbs.twimg.com/profile_images/785509673797578752/SU9AWl-P_normal.jpg</v>
      </c>
      <c r="W1187" s="83">
        <v>44465.393784722219</v>
      </c>
      <c r="X1187" s="89">
        <v>44465</v>
      </c>
      <c r="Y1187" s="86" t="s">
        <v>6186</v>
      </c>
      <c r="Z1187" s="84" t="str">
        <f>HYPERLINK("https://twitter.com/agenciaecclesia/status/1442058124421074946")</f>
        <v>https://twitter.com/agenciaecclesia/status/1442058124421074946</v>
      </c>
      <c r="AA1187" s="81"/>
      <c r="AB1187" s="81"/>
      <c r="AC1187" s="86" t="s">
        <v>7095</v>
      </c>
      <c r="AD1187" s="81"/>
      <c r="AE1187" s="81" t="b">
        <v>0</v>
      </c>
      <c r="AF1187" s="81">
        <v>0</v>
      </c>
      <c r="AG1187" s="86" t="s">
        <v>2084</v>
      </c>
      <c r="AH1187" s="81" t="b">
        <v>0</v>
      </c>
      <c r="AI1187" s="81" t="s">
        <v>2171</v>
      </c>
      <c r="AJ1187" s="81"/>
      <c r="AK1187" s="86" t="s">
        <v>2084</v>
      </c>
      <c r="AL1187" s="81" t="b">
        <v>0</v>
      </c>
      <c r="AM1187" s="81">
        <v>2</v>
      </c>
      <c r="AN1187" s="86" t="s">
        <v>2084</v>
      </c>
      <c r="AO1187" s="86" t="s">
        <v>2181</v>
      </c>
      <c r="AP1187" s="81" t="b">
        <v>0</v>
      </c>
      <c r="AQ1187" s="86" t="s">
        <v>7095</v>
      </c>
      <c r="AR1187" s="81" t="s">
        <v>179</v>
      </c>
      <c r="AS1187" s="81">
        <v>0</v>
      </c>
      <c r="AT1187" s="81">
        <v>0</v>
      </c>
      <c r="AU1187" s="81"/>
      <c r="AV1187" s="81"/>
      <c r="AW1187" s="81"/>
      <c r="AX1187" s="81"/>
      <c r="AY1187" s="81"/>
      <c r="AZ1187" s="81"/>
      <c r="BA1187" s="81"/>
      <c r="BB1187" s="81"/>
    </row>
    <row r="1188" spans="1:54" x14ac:dyDescent="0.35">
      <c r="A1188" s="66" t="s">
        <v>4538</v>
      </c>
      <c r="B1188" s="66" t="s">
        <v>4537</v>
      </c>
      <c r="C1188" s="67"/>
      <c r="D1188" s="68"/>
      <c r="E1188" s="69"/>
      <c r="F1188" s="70"/>
      <c r="G1188" s="67"/>
      <c r="H1188" s="71"/>
      <c r="I1188" s="72"/>
      <c r="J1188" s="72"/>
      <c r="K1188" s="36"/>
      <c r="L1188" s="79"/>
      <c r="M1188" s="79"/>
      <c r="N1188" s="74"/>
      <c r="O1188" s="81" t="s">
        <v>693</v>
      </c>
      <c r="P1188" s="83">
        <v>44465.458194444444</v>
      </c>
      <c r="Q1188" s="81" t="s">
        <v>5502</v>
      </c>
      <c r="R1188" s="84" t="str">
        <f>HYPERLINK("https://agencia.ecclesia.pt/portal/vaticano-papa-alerta-para-risco-de-nacionalismos-agressivos-e-sociedades-mais-fechadas-no-pos-pandemia/")</f>
        <v>https://agencia.ecclesia.pt/portal/vaticano-papa-alerta-para-risco-de-nacionalismos-agressivos-e-sociedades-mais-fechadas-no-pos-pandemia/</v>
      </c>
      <c r="S1188" s="81" t="s">
        <v>5735</v>
      </c>
      <c r="T1188" s="81"/>
      <c r="U1188" s="81"/>
      <c r="V1188" s="84" t="str">
        <f>HYPERLINK("https://pbs.twimg.com/profile_images/726501924720103424/wuMXljhY_normal.jpg")</f>
        <v>https://pbs.twimg.com/profile_images/726501924720103424/wuMXljhY_normal.jpg</v>
      </c>
      <c r="W1188" s="83">
        <v>44465.458194444444</v>
      </c>
      <c r="X1188" s="89">
        <v>44465</v>
      </c>
      <c r="Y1188" s="86" t="s">
        <v>6187</v>
      </c>
      <c r="Z1188" s="84" t="str">
        <f>HYPERLINK("https://twitter.com/fiordaliso21/status/1442081463223001090")</f>
        <v>https://twitter.com/fiordaliso21/status/1442081463223001090</v>
      </c>
      <c r="AA1188" s="81"/>
      <c r="AB1188" s="81"/>
      <c r="AC1188" s="86" t="s">
        <v>7096</v>
      </c>
      <c r="AD1188" s="81"/>
      <c r="AE1188" s="81" t="b">
        <v>0</v>
      </c>
      <c r="AF1188" s="81">
        <v>0</v>
      </c>
      <c r="AG1188" s="86" t="s">
        <v>2084</v>
      </c>
      <c r="AH1188" s="81" t="b">
        <v>0</v>
      </c>
      <c r="AI1188" s="81" t="s">
        <v>2171</v>
      </c>
      <c r="AJ1188" s="81"/>
      <c r="AK1188" s="86" t="s">
        <v>2084</v>
      </c>
      <c r="AL1188" s="81" t="b">
        <v>0</v>
      </c>
      <c r="AM1188" s="81">
        <v>2</v>
      </c>
      <c r="AN1188" s="86" t="s">
        <v>7095</v>
      </c>
      <c r="AO1188" s="86" t="s">
        <v>2181</v>
      </c>
      <c r="AP1188" s="81" t="b">
        <v>0</v>
      </c>
      <c r="AQ1188" s="86" t="s">
        <v>7095</v>
      </c>
      <c r="AR1188" s="81" t="s">
        <v>179</v>
      </c>
      <c r="AS1188" s="81">
        <v>0</v>
      </c>
      <c r="AT1188" s="81">
        <v>0</v>
      </c>
      <c r="AU1188" s="81"/>
      <c r="AV1188" s="81"/>
      <c r="AW1188" s="81"/>
      <c r="AX1188" s="81"/>
      <c r="AY1188" s="81"/>
      <c r="AZ1188" s="81"/>
      <c r="BA1188" s="81"/>
      <c r="BB1188" s="81"/>
    </row>
    <row r="1189" spans="1:54" x14ac:dyDescent="0.35">
      <c r="A1189" s="66" t="s">
        <v>492</v>
      </c>
      <c r="B1189" s="66" t="s">
        <v>492</v>
      </c>
      <c r="C1189" s="67"/>
      <c r="D1189" s="68"/>
      <c r="E1189" s="69"/>
      <c r="F1189" s="70"/>
      <c r="G1189" s="67"/>
      <c r="H1189" s="71"/>
      <c r="I1189" s="72"/>
      <c r="J1189" s="72"/>
      <c r="K1189" s="36"/>
      <c r="L1189" s="79"/>
      <c r="M1189" s="79"/>
      <c r="N1189" s="74"/>
      <c r="O1189" s="81" t="s">
        <v>179</v>
      </c>
      <c r="P1189" s="83">
        <v>44460.634432870371</v>
      </c>
      <c r="Q1189" s="81" t="s">
        <v>826</v>
      </c>
      <c r="R1189" s="81"/>
      <c r="S1189" s="81"/>
      <c r="T1189" s="81"/>
      <c r="U1189" s="81"/>
      <c r="V1189" s="84" t="str">
        <f>HYPERLINK("https://pbs.twimg.com/profile_images/1438773004297666562/t85M4NGa_normal.jpg")</f>
        <v>https://pbs.twimg.com/profile_images/1438773004297666562/t85M4NGa_normal.jpg</v>
      </c>
      <c r="W1189" s="83">
        <v>44460.634432870371</v>
      </c>
      <c r="X1189" s="89">
        <v>44460</v>
      </c>
      <c r="Y1189" s="86" t="s">
        <v>1346</v>
      </c>
      <c r="Z1189" s="84" t="str">
        <f>HYPERLINK("https://twitter.com/bkipm_kkp/status/1440333391619002368")</f>
        <v>https://twitter.com/bkipm_kkp/status/1440333391619002368</v>
      </c>
      <c r="AA1189" s="81"/>
      <c r="AB1189" s="81"/>
      <c r="AC1189" s="86" t="s">
        <v>1842</v>
      </c>
      <c r="AD1189" s="86" t="s">
        <v>2048</v>
      </c>
      <c r="AE1189" s="81" t="b">
        <v>0</v>
      </c>
      <c r="AF1189" s="81">
        <v>5</v>
      </c>
      <c r="AG1189" s="86" t="s">
        <v>2133</v>
      </c>
      <c r="AH1189" s="81" t="b">
        <v>0</v>
      </c>
      <c r="AI1189" s="81" t="s">
        <v>2167</v>
      </c>
      <c r="AJ1189" s="81"/>
      <c r="AK1189" s="86" t="s">
        <v>2084</v>
      </c>
      <c r="AL1189" s="81" t="b">
        <v>0</v>
      </c>
      <c r="AM1189" s="81">
        <v>1</v>
      </c>
      <c r="AN1189" s="86" t="s">
        <v>2084</v>
      </c>
      <c r="AO1189" s="86" t="s">
        <v>2179</v>
      </c>
      <c r="AP1189" s="81" t="b">
        <v>0</v>
      </c>
      <c r="AQ1189" s="86" t="s">
        <v>2048</v>
      </c>
      <c r="AR1189" s="81" t="s">
        <v>179</v>
      </c>
      <c r="AS1189" s="81">
        <v>0</v>
      </c>
      <c r="AT1189" s="81">
        <v>0</v>
      </c>
      <c r="AU1189" s="81"/>
      <c r="AV1189" s="81"/>
      <c r="AW1189" s="81"/>
      <c r="AX1189" s="81"/>
      <c r="AY1189" s="81"/>
      <c r="AZ1189" s="81"/>
      <c r="BA1189" s="81"/>
      <c r="BB1189" s="81"/>
    </row>
    <row r="1190" spans="1:54" x14ac:dyDescent="0.35">
      <c r="A1190" s="66" t="s">
        <v>493</v>
      </c>
      <c r="B1190" s="66" t="s">
        <v>492</v>
      </c>
      <c r="C1190" s="67"/>
      <c r="D1190" s="68"/>
      <c r="E1190" s="69"/>
      <c r="F1190" s="70"/>
      <c r="G1190" s="67"/>
      <c r="H1190" s="71"/>
      <c r="I1190" s="72"/>
      <c r="J1190" s="72"/>
      <c r="K1190" s="36"/>
      <c r="L1190" s="79"/>
      <c r="M1190" s="79"/>
      <c r="N1190" s="74"/>
      <c r="O1190" s="81" t="s">
        <v>693</v>
      </c>
      <c r="P1190" s="83">
        <v>44465.467291666668</v>
      </c>
      <c r="Q1190" s="81" t="s">
        <v>826</v>
      </c>
      <c r="R1190" s="81"/>
      <c r="S1190" s="81"/>
      <c r="T1190" s="81"/>
      <c r="U1190" s="81"/>
      <c r="V1190" s="84" t="str">
        <f>HYPERLINK("https://pbs.twimg.com/profile_images/930818251390558208/5F8BKHd1_normal.jpg")</f>
        <v>https://pbs.twimg.com/profile_images/930818251390558208/5F8BKHd1_normal.jpg</v>
      </c>
      <c r="W1190" s="83">
        <v>44465.467291666668</v>
      </c>
      <c r="X1190" s="89">
        <v>44465</v>
      </c>
      <c r="Y1190" s="86" t="s">
        <v>1347</v>
      </c>
      <c r="Z1190" s="84" t="str">
        <f>HYPERLINK("https://twitter.com/wilkerjalaludin/status/1442084762512867332")</f>
        <v>https://twitter.com/wilkerjalaludin/status/1442084762512867332</v>
      </c>
      <c r="AA1190" s="81"/>
      <c r="AB1190" s="81"/>
      <c r="AC1190" s="86" t="s">
        <v>1843</v>
      </c>
      <c r="AD1190" s="81"/>
      <c r="AE1190" s="81" t="b">
        <v>0</v>
      </c>
      <c r="AF1190" s="81">
        <v>0</v>
      </c>
      <c r="AG1190" s="86" t="s">
        <v>2084</v>
      </c>
      <c r="AH1190" s="81" t="b">
        <v>0</v>
      </c>
      <c r="AI1190" s="81" t="s">
        <v>2167</v>
      </c>
      <c r="AJ1190" s="81"/>
      <c r="AK1190" s="86" t="s">
        <v>2084</v>
      </c>
      <c r="AL1190" s="81" t="b">
        <v>0</v>
      </c>
      <c r="AM1190" s="81">
        <v>1</v>
      </c>
      <c r="AN1190" s="86" t="s">
        <v>1842</v>
      </c>
      <c r="AO1190" s="86" t="s">
        <v>2178</v>
      </c>
      <c r="AP1190" s="81" t="b">
        <v>0</v>
      </c>
      <c r="AQ1190" s="86" t="s">
        <v>1842</v>
      </c>
      <c r="AR1190" s="81" t="s">
        <v>179</v>
      </c>
      <c r="AS1190" s="81">
        <v>0</v>
      </c>
      <c r="AT1190" s="81">
        <v>0</v>
      </c>
      <c r="AU1190" s="81"/>
      <c r="AV1190" s="81"/>
      <c r="AW1190" s="81"/>
      <c r="AX1190" s="81"/>
      <c r="AY1190" s="81"/>
      <c r="AZ1190" s="81"/>
      <c r="BA1190" s="81"/>
      <c r="BB1190" s="81"/>
    </row>
    <row r="1191" spans="1:54" x14ac:dyDescent="0.35">
      <c r="A1191" s="66" t="s">
        <v>494</v>
      </c>
      <c r="B1191" s="66" t="s">
        <v>646</v>
      </c>
      <c r="C1191" s="67"/>
      <c r="D1191" s="68"/>
      <c r="E1191" s="69"/>
      <c r="F1191" s="70"/>
      <c r="G1191" s="67"/>
      <c r="H1191" s="71"/>
      <c r="I1191" s="72"/>
      <c r="J1191" s="72"/>
      <c r="K1191" s="36"/>
      <c r="L1191" s="79"/>
      <c r="M1191" s="79"/>
      <c r="N1191" s="74"/>
      <c r="O1191" s="81" t="s">
        <v>694</v>
      </c>
      <c r="P1191" s="83">
        <v>44465.470416666663</v>
      </c>
      <c r="Q1191" s="81" t="s">
        <v>803</v>
      </c>
      <c r="R1191" s="81"/>
      <c r="S1191" s="81"/>
      <c r="T1191" s="86" t="s">
        <v>649</v>
      </c>
      <c r="U1191" s="84" t="str">
        <f>HYPERLINK("https://pbs.twimg.com/media/FAEa7dXVkAcjbKg.jpg")</f>
        <v>https://pbs.twimg.com/media/FAEa7dXVkAcjbKg.jpg</v>
      </c>
      <c r="V1191" s="84" t="str">
        <f>HYPERLINK("https://pbs.twimg.com/media/FAEa7dXVkAcjbKg.jpg")</f>
        <v>https://pbs.twimg.com/media/FAEa7dXVkAcjbKg.jpg</v>
      </c>
      <c r="W1191" s="83">
        <v>44465.470416666663</v>
      </c>
      <c r="X1191" s="89">
        <v>44465</v>
      </c>
      <c r="Y1191" s="86" t="s">
        <v>1348</v>
      </c>
      <c r="Z1191" s="84" t="str">
        <f>HYPERLINK("https://twitter.com/craemkoo/status/1442085894513590274")</f>
        <v>https://twitter.com/craemkoo/status/1442085894513590274</v>
      </c>
      <c r="AA1191" s="81"/>
      <c r="AB1191" s="81"/>
      <c r="AC1191" s="86" t="s">
        <v>1844</v>
      </c>
      <c r="AD1191" s="81"/>
      <c r="AE1191" s="81" t="b">
        <v>0</v>
      </c>
      <c r="AF1191" s="81">
        <v>0</v>
      </c>
      <c r="AG1191" s="86" t="s">
        <v>2084</v>
      </c>
      <c r="AH1191" s="81" t="b">
        <v>0</v>
      </c>
      <c r="AI1191" s="81" t="s">
        <v>2168</v>
      </c>
      <c r="AJ1191" s="81"/>
      <c r="AK1191" s="86" t="s">
        <v>2084</v>
      </c>
      <c r="AL1191" s="81" t="b">
        <v>0</v>
      </c>
      <c r="AM1191" s="81">
        <v>21</v>
      </c>
      <c r="AN1191" s="86" t="s">
        <v>1847</v>
      </c>
      <c r="AO1191" s="86" t="s">
        <v>2179</v>
      </c>
      <c r="AP1191" s="81" t="b">
        <v>0</v>
      </c>
      <c r="AQ1191" s="86" t="s">
        <v>1847</v>
      </c>
      <c r="AR1191" s="81" t="s">
        <v>179</v>
      </c>
      <c r="AS1191" s="81">
        <v>0</v>
      </c>
      <c r="AT1191" s="81">
        <v>0</v>
      </c>
      <c r="AU1191" s="81"/>
      <c r="AV1191" s="81"/>
      <c r="AW1191" s="81"/>
      <c r="AX1191" s="81"/>
      <c r="AY1191" s="81"/>
      <c r="AZ1191" s="81"/>
      <c r="BA1191" s="81"/>
      <c r="BB1191" s="81"/>
    </row>
    <row r="1192" spans="1:54" x14ac:dyDescent="0.35">
      <c r="A1192" s="66" t="s">
        <v>494</v>
      </c>
      <c r="B1192" s="66" t="s">
        <v>647</v>
      </c>
      <c r="C1192" s="67"/>
      <c r="D1192" s="68"/>
      <c r="E1192" s="69"/>
      <c r="F1192" s="70"/>
      <c r="G1192" s="67"/>
      <c r="H1192" s="71"/>
      <c r="I1192" s="72"/>
      <c r="J1192" s="72"/>
      <c r="K1192" s="36"/>
      <c r="L1192" s="79"/>
      <c r="M1192" s="79"/>
      <c r="N1192" s="74"/>
      <c r="O1192" s="81" t="s">
        <v>694</v>
      </c>
      <c r="P1192" s="83">
        <v>44465.470416666663</v>
      </c>
      <c r="Q1192" s="81" t="s">
        <v>803</v>
      </c>
      <c r="R1192" s="81"/>
      <c r="S1192" s="81"/>
      <c r="T1192" s="86" t="s">
        <v>649</v>
      </c>
      <c r="U1192" s="84" t="str">
        <f>HYPERLINK("https://pbs.twimg.com/media/FAEa7dXVkAcjbKg.jpg")</f>
        <v>https://pbs.twimg.com/media/FAEa7dXVkAcjbKg.jpg</v>
      </c>
      <c r="V1192" s="84" t="str">
        <f>HYPERLINK("https://pbs.twimg.com/media/FAEa7dXVkAcjbKg.jpg")</f>
        <v>https://pbs.twimg.com/media/FAEa7dXVkAcjbKg.jpg</v>
      </c>
      <c r="W1192" s="83">
        <v>44465.470416666663</v>
      </c>
      <c r="X1192" s="89">
        <v>44465</v>
      </c>
      <c r="Y1192" s="86" t="s">
        <v>1348</v>
      </c>
      <c r="Z1192" s="84" t="str">
        <f>HYPERLINK("https://twitter.com/craemkoo/status/1442085894513590274")</f>
        <v>https://twitter.com/craemkoo/status/1442085894513590274</v>
      </c>
      <c r="AA1192" s="81"/>
      <c r="AB1192" s="81"/>
      <c r="AC1192" s="86" t="s">
        <v>1844</v>
      </c>
      <c r="AD1192" s="81"/>
      <c r="AE1192" s="81" t="b">
        <v>0</v>
      </c>
      <c r="AF1192" s="81">
        <v>0</v>
      </c>
      <c r="AG1192" s="86" t="s">
        <v>2084</v>
      </c>
      <c r="AH1192" s="81" t="b">
        <v>0</v>
      </c>
      <c r="AI1192" s="81" t="s">
        <v>2168</v>
      </c>
      <c r="AJ1192" s="81"/>
      <c r="AK1192" s="86" t="s">
        <v>2084</v>
      </c>
      <c r="AL1192" s="81" t="b">
        <v>0</v>
      </c>
      <c r="AM1192" s="81">
        <v>21</v>
      </c>
      <c r="AN1192" s="86" t="s">
        <v>1847</v>
      </c>
      <c r="AO1192" s="86" t="s">
        <v>2179</v>
      </c>
      <c r="AP1192" s="81" t="b">
        <v>0</v>
      </c>
      <c r="AQ1192" s="86" t="s">
        <v>1847</v>
      </c>
      <c r="AR1192" s="81" t="s">
        <v>179</v>
      </c>
      <c r="AS1192" s="81">
        <v>0</v>
      </c>
      <c r="AT1192" s="81">
        <v>0</v>
      </c>
      <c r="AU1192" s="81"/>
      <c r="AV1192" s="81"/>
      <c r="AW1192" s="81"/>
      <c r="AX1192" s="81"/>
      <c r="AY1192" s="81"/>
      <c r="AZ1192" s="81"/>
      <c r="BA1192" s="81"/>
      <c r="BB1192" s="81"/>
    </row>
    <row r="1193" spans="1:54" x14ac:dyDescent="0.35">
      <c r="A1193" s="66" t="s">
        <v>494</v>
      </c>
      <c r="B1193" s="66" t="s">
        <v>648</v>
      </c>
      <c r="C1193" s="67"/>
      <c r="D1193" s="68"/>
      <c r="E1193" s="69"/>
      <c r="F1193" s="70"/>
      <c r="G1193" s="67"/>
      <c r="H1193" s="71"/>
      <c r="I1193" s="72"/>
      <c r="J1193" s="72"/>
      <c r="K1193" s="36"/>
      <c r="L1193" s="79"/>
      <c r="M1193" s="79"/>
      <c r="N1193" s="74"/>
      <c r="O1193" s="81" t="s">
        <v>694</v>
      </c>
      <c r="P1193" s="83">
        <v>44465.470416666663</v>
      </c>
      <c r="Q1193" s="81" t="s">
        <v>803</v>
      </c>
      <c r="R1193" s="81"/>
      <c r="S1193" s="81"/>
      <c r="T1193" s="86" t="s">
        <v>649</v>
      </c>
      <c r="U1193" s="84" t="str">
        <f>HYPERLINK("https://pbs.twimg.com/media/FAEa7dXVkAcjbKg.jpg")</f>
        <v>https://pbs.twimg.com/media/FAEa7dXVkAcjbKg.jpg</v>
      </c>
      <c r="V1193" s="84" t="str">
        <f>HYPERLINK("https://pbs.twimg.com/media/FAEa7dXVkAcjbKg.jpg")</f>
        <v>https://pbs.twimg.com/media/FAEa7dXVkAcjbKg.jpg</v>
      </c>
      <c r="W1193" s="83">
        <v>44465.470416666663</v>
      </c>
      <c r="X1193" s="89">
        <v>44465</v>
      </c>
      <c r="Y1193" s="86" t="s">
        <v>1348</v>
      </c>
      <c r="Z1193" s="84" t="str">
        <f>HYPERLINK("https://twitter.com/craemkoo/status/1442085894513590274")</f>
        <v>https://twitter.com/craemkoo/status/1442085894513590274</v>
      </c>
      <c r="AA1193" s="81"/>
      <c r="AB1193" s="81"/>
      <c r="AC1193" s="86" t="s">
        <v>1844</v>
      </c>
      <c r="AD1193" s="81"/>
      <c r="AE1193" s="81" t="b">
        <v>0</v>
      </c>
      <c r="AF1193" s="81">
        <v>0</v>
      </c>
      <c r="AG1193" s="86" t="s">
        <v>2084</v>
      </c>
      <c r="AH1193" s="81" t="b">
        <v>0</v>
      </c>
      <c r="AI1193" s="81" t="s">
        <v>2168</v>
      </c>
      <c r="AJ1193" s="81"/>
      <c r="AK1193" s="86" t="s">
        <v>2084</v>
      </c>
      <c r="AL1193" s="81" t="b">
        <v>0</v>
      </c>
      <c r="AM1193" s="81">
        <v>21</v>
      </c>
      <c r="AN1193" s="86" t="s">
        <v>1847</v>
      </c>
      <c r="AO1193" s="86" t="s">
        <v>2179</v>
      </c>
      <c r="AP1193" s="81" t="b">
        <v>0</v>
      </c>
      <c r="AQ1193" s="86" t="s">
        <v>1847</v>
      </c>
      <c r="AR1193" s="81" t="s">
        <v>179</v>
      </c>
      <c r="AS1193" s="81">
        <v>0</v>
      </c>
      <c r="AT1193" s="81">
        <v>0</v>
      </c>
      <c r="AU1193" s="81"/>
      <c r="AV1193" s="81"/>
      <c r="AW1193" s="81"/>
      <c r="AX1193" s="81"/>
      <c r="AY1193" s="81"/>
      <c r="AZ1193" s="81"/>
      <c r="BA1193" s="81"/>
      <c r="BB1193" s="81"/>
    </row>
    <row r="1194" spans="1:54" x14ac:dyDescent="0.35">
      <c r="A1194" s="66" t="s">
        <v>494</v>
      </c>
      <c r="B1194" s="66" t="s">
        <v>649</v>
      </c>
      <c r="C1194" s="67"/>
      <c r="D1194" s="68"/>
      <c r="E1194" s="69"/>
      <c r="F1194" s="70"/>
      <c r="G1194" s="67"/>
      <c r="H1194" s="71"/>
      <c r="I1194" s="72"/>
      <c r="J1194" s="72"/>
      <c r="K1194" s="36"/>
      <c r="L1194" s="79"/>
      <c r="M1194" s="79"/>
      <c r="N1194" s="74"/>
      <c r="O1194" s="81" t="s">
        <v>694</v>
      </c>
      <c r="P1194" s="83">
        <v>44465.470416666663</v>
      </c>
      <c r="Q1194" s="81" t="s">
        <v>803</v>
      </c>
      <c r="R1194" s="81"/>
      <c r="S1194" s="81"/>
      <c r="T1194" s="86" t="s">
        <v>649</v>
      </c>
      <c r="U1194" s="84" t="str">
        <f>HYPERLINK("https://pbs.twimg.com/media/FAEa7dXVkAcjbKg.jpg")</f>
        <v>https://pbs.twimg.com/media/FAEa7dXVkAcjbKg.jpg</v>
      </c>
      <c r="V1194" s="84" t="str">
        <f>HYPERLINK("https://pbs.twimg.com/media/FAEa7dXVkAcjbKg.jpg")</f>
        <v>https://pbs.twimg.com/media/FAEa7dXVkAcjbKg.jpg</v>
      </c>
      <c r="W1194" s="83">
        <v>44465.470416666663</v>
      </c>
      <c r="X1194" s="89">
        <v>44465</v>
      </c>
      <c r="Y1194" s="86" t="s">
        <v>1348</v>
      </c>
      <c r="Z1194" s="84" t="str">
        <f>HYPERLINK("https://twitter.com/craemkoo/status/1442085894513590274")</f>
        <v>https://twitter.com/craemkoo/status/1442085894513590274</v>
      </c>
      <c r="AA1194" s="81"/>
      <c r="AB1194" s="81"/>
      <c r="AC1194" s="86" t="s">
        <v>1844</v>
      </c>
      <c r="AD1194" s="81"/>
      <c r="AE1194" s="81" t="b">
        <v>0</v>
      </c>
      <c r="AF1194" s="81">
        <v>0</v>
      </c>
      <c r="AG1194" s="86" t="s">
        <v>2084</v>
      </c>
      <c r="AH1194" s="81" t="b">
        <v>0</v>
      </c>
      <c r="AI1194" s="81" t="s">
        <v>2168</v>
      </c>
      <c r="AJ1194" s="81"/>
      <c r="AK1194" s="86" t="s">
        <v>2084</v>
      </c>
      <c r="AL1194" s="81" t="b">
        <v>0</v>
      </c>
      <c r="AM1194" s="81">
        <v>21</v>
      </c>
      <c r="AN1194" s="86" t="s">
        <v>1847</v>
      </c>
      <c r="AO1194" s="86" t="s">
        <v>2179</v>
      </c>
      <c r="AP1194" s="81" t="b">
        <v>0</v>
      </c>
      <c r="AQ1194" s="86" t="s">
        <v>1847</v>
      </c>
      <c r="AR1194" s="81" t="s">
        <v>179</v>
      </c>
      <c r="AS1194" s="81">
        <v>0</v>
      </c>
      <c r="AT1194" s="81">
        <v>0</v>
      </c>
      <c r="AU1194" s="81"/>
      <c r="AV1194" s="81"/>
      <c r="AW1194" s="81"/>
      <c r="AX1194" s="81"/>
      <c r="AY1194" s="81"/>
      <c r="AZ1194" s="81"/>
      <c r="BA1194" s="81"/>
      <c r="BB1194" s="81"/>
    </row>
    <row r="1195" spans="1:54" x14ac:dyDescent="0.35">
      <c r="A1195" s="66" t="s">
        <v>494</v>
      </c>
      <c r="B1195" s="66" t="s">
        <v>496</v>
      </c>
      <c r="C1195" s="67"/>
      <c r="D1195" s="68"/>
      <c r="E1195" s="69"/>
      <c r="F1195" s="70"/>
      <c r="G1195" s="67"/>
      <c r="H1195" s="71"/>
      <c r="I1195" s="72"/>
      <c r="J1195" s="72"/>
      <c r="K1195" s="36"/>
      <c r="L1195" s="79"/>
      <c r="M1195" s="79"/>
      <c r="N1195" s="74"/>
      <c r="O1195" s="81" t="s">
        <v>693</v>
      </c>
      <c r="P1195" s="83">
        <v>44465.470416666663</v>
      </c>
      <c r="Q1195" s="81" t="s">
        <v>803</v>
      </c>
      <c r="R1195" s="81"/>
      <c r="S1195" s="81"/>
      <c r="T1195" s="86" t="s">
        <v>649</v>
      </c>
      <c r="U1195" s="84" t="str">
        <f>HYPERLINK("https://pbs.twimg.com/media/FAEa7dXVkAcjbKg.jpg")</f>
        <v>https://pbs.twimg.com/media/FAEa7dXVkAcjbKg.jpg</v>
      </c>
      <c r="V1195" s="84" t="str">
        <f>HYPERLINK("https://pbs.twimg.com/media/FAEa7dXVkAcjbKg.jpg")</f>
        <v>https://pbs.twimg.com/media/FAEa7dXVkAcjbKg.jpg</v>
      </c>
      <c r="W1195" s="83">
        <v>44465.470416666663</v>
      </c>
      <c r="X1195" s="89">
        <v>44465</v>
      </c>
      <c r="Y1195" s="86" t="s">
        <v>1348</v>
      </c>
      <c r="Z1195" s="84" t="str">
        <f>HYPERLINK("https://twitter.com/craemkoo/status/1442085894513590274")</f>
        <v>https://twitter.com/craemkoo/status/1442085894513590274</v>
      </c>
      <c r="AA1195" s="81"/>
      <c r="AB1195" s="81"/>
      <c r="AC1195" s="86" t="s">
        <v>1844</v>
      </c>
      <c r="AD1195" s="81"/>
      <c r="AE1195" s="81" t="b">
        <v>0</v>
      </c>
      <c r="AF1195" s="81">
        <v>0</v>
      </c>
      <c r="AG1195" s="86" t="s">
        <v>2084</v>
      </c>
      <c r="AH1195" s="81" t="b">
        <v>0</v>
      </c>
      <c r="AI1195" s="81" t="s">
        <v>2168</v>
      </c>
      <c r="AJ1195" s="81"/>
      <c r="AK1195" s="86" t="s">
        <v>2084</v>
      </c>
      <c r="AL1195" s="81" t="b">
        <v>0</v>
      </c>
      <c r="AM1195" s="81">
        <v>21</v>
      </c>
      <c r="AN1195" s="86" t="s">
        <v>1847</v>
      </c>
      <c r="AO1195" s="86" t="s">
        <v>2179</v>
      </c>
      <c r="AP1195" s="81" t="b">
        <v>0</v>
      </c>
      <c r="AQ1195" s="86" t="s">
        <v>1847</v>
      </c>
      <c r="AR1195" s="81" t="s">
        <v>179</v>
      </c>
      <c r="AS1195" s="81">
        <v>0</v>
      </c>
      <c r="AT1195" s="81">
        <v>0</v>
      </c>
      <c r="AU1195" s="81"/>
      <c r="AV1195" s="81"/>
      <c r="AW1195" s="81"/>
      <c r="AX1195" s="81"/>
      <c r="AY1195" s="81"/>
      <c r="AZ1195" s="81"/>
      <c r="BA1195" s="81"/>
      <c r="BB1195" s="81"/>
    </row>
    <row r="1196" spans="1:54" x14ac:dyDescent="0.35">
      <c r="A1196" s="66" t="s">
        <v>495</v>
      </c>
      <c r="B1196" s="66" t="s">
        <v>646</v>
      </c>
      <c r="C1196" s="67"/>
      <c r="D1196" s="68"/>
      <c r="E1196" s="69"/>
      <c r="F1196" s="70"/>
      <c r="G1196" s="67"/>
      <c r="H1196" s="71"/>
      <c r="I1196" s="72"/>
      <c r="J1196" s="72"/>
      <c r="K1196" s="36"/>
      <c r="L1196" s="79"/>
      <c r="M1196" s="79"/>
      <c r="N1196" s="74"/>
      <c r="O1196" s="81" t="s">
        <v>694</v>
      </c>
      <c r="P1196" s="83">
        <v>44465.472615740742</v>
      </c>
      <c r="Q1196" s="81" t="s">
        <v>803</v>
      </c>
      <c r="R1196" s="81"/>
      <c r="S1196" s="81"/>
      <c r="T1196" s="86" t="s">
        <v>649</v>
      </c>
      <c r="U1196" s="84" t="str">
        <f>HYPERLINK("https://pbs.twimg.com/media/FAEa7dXVkAcjbKg.jpg")</f>
        <v>https://pbs.twimg.com/media/FAEa7dXVkAcjbKg.jpg</v>
      </c>
      <c r="V1196" s="84" t="str">
        <f>HYPERLINK("https://pbs.twimg.com/media/FAEa7dXVkAcjbKg.jpg")</f>
        <v>https://pbs.twimg.com/media/FAEa7dXVkAcjbKg.jpg</v>
      </c>
      <c r="W1196" s="83">
        <v>44465.472615740742</v>
      </c>
      <c r="X1196" s="89">
        <v>44465</v>
      </c>
      <c r="Y1196" s="86" t="s">
        <v>1349</v>
      </c>
      <c r="Z1196" s="84" t="str">
        <f>HYPERLINK("https://twitter.com/imanassrii/status/1442086691896918030")</f>
        <v>https://twitter.com/imanassrii/status/1442086691896918030</v>
      </c>
      <c r="AA1196" s="81"/>
      <c r="AB1196" s="81"/>
      <c r="AC1196" s="86" t="s">
        <v>1845</v>
      </c>
      <c r="AD1196" s="81"/>
      <c r="AE1196" s="81" t="b">
        <v>0</v>
      </c>
      <c r="AF1196" s="81">
        <v>0</v>
      </c>
      <c r="AG1196" s="86" t="s">
        <v>2084</v>
      </c>
      <c r="AH1196" s="81" t="b">
        <v>0</v>
      </c>
      <c r="AI1196" s="81" t="s">
        <v>2168</v>
      </c>
      <c r="AJ1196" s="81"/>
      <c r="AK1196" s="86" t="s">
        <v>2084</v>
      </c>
      <c r="AL1196" s="81" t="b">
        <v>0</v>
      </c>
      <c r="AM1196" s="81">
        <v>21</v>
      </c>
      <c r="AN1196" s="86" t="s">
        <v>1847</v>
      </c>
      <c r="AO1196" s="86" t="s">
        <v>2179</v>
      </c>
      <c r="AP1196" s="81" t="b">
        <v>0</v>
      </c>
      <c r="AQ1196" s="86" t="s">
        <v>1847</v>
      </c>
      <c r="AR1196" s="81" t="s">
        <v>179</v>
      </c>
      <c r="AS1196" s="81">
        <v>0</v>
      </c>
      <c r="AT1196" s="81">
        <v>0</v>
      </c>
      <c r="AU1196" s="81"/>
      <c r="AV1196" s="81"/>
      <c r="AW1196" s="81"/>
      <c r="AX1196" s="81"/>
      <c r="AY1196" s="81"/>
      <c r="AZ1196" s="81"/>
      <c r="BA1196" s="81"/>
      <c r="BB1196" s="81"/>
    </row>
    <row r="1197" spans="1:54" x14ac:dyDescent="0.35">
      <c r="A1197" s="66" t="s">
        <v>495</v>
      </c>
      <c r="B1197" s="66" t="s">
        <v>647</v>
      </c>
      <c r="C1197" s="67"/>
      <c r="D1197" s="68"/>
      <c r="E1197" s="69"/>
      <c r="F1197" s="70"/>
      <c r="G1197" s="67"/>
      <c r="H1197" s="71"/>
      <c r="I1197" s="72"/>
      <c r="J1197" s="72"/>
      <c r="K1197" s="36"/>
      <c r="L1197" s="79"/>
      <c r="M1197" s="79"/>
      <c r="N1197" s="74"/>
      <c r="O1197" s="81" t="s">
        <v>694</v>
      </c>
      <c r="P1197" s="83">
        <v>44465.472615740742</v>
      </c>
      <c r="Q1197" s="81" t="s">
        <v>803</v>
      </c>
      <c r="R1197" s="81"/>
      <c r="S1197" s="81"/>
      <c r="T1197" s="86" t="s">
        <v>649</v>
      </c>
      <c r="U1197" s="84" t="str">
        <f>HYPERLINK("https://pbs.twimg.com/media/FAEa7dXVkAcjbKg.jpg")</f>
        <v>https://pbs.twimg.com/media/FAEa7dXVkAcjbKg.jpg</v>
      </c>
      <c r="V1197" s="84" t="str">
        <f>HYPERLINK("https://pbs.twimg.com/media/FAEa7dXVkAcjbKg.jpg")</f>
        <v>https://pbs.twimg.com/media/FAEa7dXVkAcjbKg.jpg</v>
      </c>
      <c r="W1197" s="83">
        <v>44465.472615740742</v>
      </c>
      <c r="X1197" s="89">
        <v>44465</v>
      </c>
      <c r="Y1197" s="86" t="s">
        <v>1349</v>
      </c>
      <c r="Z1197" s="84" t="str">
        <f>HYPERLINK("https://twitter.com/imanassrii/status/1442086691896918030")</f>
        <v>https://twitter.com/imanassrii/status/1442086691896918030</v>
      </c>
      <c r="AA1197" s="81"/>
      <c r="AB1197" s="81"/>
      <c r="AC1197" s="86" t="s">
        <v>1845</v>
      </c>
      <c r="AD1197" s="81"/>
      <c r="AE1197" s="81" t="b">
        <v>0</v>
      </c>
      <c r="AF1197" s="81">
        <v>0</v>
      </c>
      <c r="AG1197" s="86" t="s">
        <v>2084</v>
      </c>
      <c r="AH1197" s="81" t="b">
        <v>0</v>
      </c>
      <c r="AI1197" s="81" t="s">
        <v>2168</v>
      </c>
      <c r="AJ1197" s="81"/>
      <c r="AK1197" s="86" t="s">
        <v>2084</v>
      </c>
      <c r="AL1197" s="81" t="b">
        <v>0</v>
      </c>
      <c r="AM1197" s="81">
        <v>21</v>
      </c>
      <c r="AN1197" s="86" t="s">
        <v>1847</v>
      </c>
      <c r="AO1197" s="86" t="s">
        <v>2179</v>
      </c>
      <c r="AP1197" s="81" t="b">
        <v>0</v>
      </c>
      <c r="AQ1197" s="86" t="s">
        <v>1847</v>
      </c>
      <c r="AR1197" s="81" t="s">
        <v>179</v>
      </c>
      <c r="AS1197" s="81">
        <v>0</v>
      </c>
      <c r="AT1197" s="81">
        <v>0</v>
      </c>
      <c r="AU1197" s="81"/>
      <c r="AV1197" s="81"/>
      <c r="AW1197" s="81"/>
      <c r="AX1197" s="81"/>
      <c r="AY1197" s="81"/>
      <c r="AZ1197" s="81"/>
      <c r="BA1197" s="81"/>
      <c r="BB1197" s="81"/>
    </row>
    <row r="1198" spans="1:54" x14ac:dyDescent="0.35">
      <c r="A1198" s="66" t="s">
        <v>495</v>
      </c>
      <c r="B1198" s="66" t="s">
        <v>648</v>
      </c>
      <c r="C1198" s="67"/>
      <c r="D1198" s="68"/>
      <c r="E1198" s="69"/>
      <c r="F1198" s="70"/>
      <c r="G1198" s="67"/>
      <c r="H1198" s="71"/>
      <c r="I1198" s="72"/>
      <c r="J1198" s="72"/>
      <c r="K1198" s="36"/>
      <c r="L1198" s="79"/>
      <c r="M1198" s="79"/>
      <c r="N1198" s="74"/>
      <c r="O1198" s="81" t="s">
        <v>694</v>
      </c>
      <c r="P1198" s="83">
        <v>44465.472615740742</v>
      </c>
      <c r="Q1198" s="81" t="s">
        <v>803</v>
      </c>
      <c r="R1198" s="81"/>
      <c r="S1198" s="81"/>
      <c r="T1198" s="86" t="s">
        <v>649</v>
      </c>
      <c r="U1198" s="84" t="str">
        <f>HYPERLINK("https://pbs.twimg.com/media/FAEa7dXVkAcjbKg.jpg")</f>
        <v>https://pbs.twimg.com/media/FAEa7dXVkAcjbKg.jpg</v>
      </c>
      <c r="V1198" s="84" t="str">
        <f>HYPERLINK("https://pbs.twimg.com/media/FAEa7dXVkAcjbKg.jpg")</f>
        <v>https://pbs.twimg.com/media/FAEa7dXVkAcjbKg.jpg</v>
      </c>
      <c r="W1198" s="83">
        <v>44465.472615740742</v>
      </c>
      <c r="X1198" s="89">
        <v>44465</v>
      </c>
      <c r="Y1198" s="86" t="s">
        <v>1349</v>
      </c>
      <c r="Z1198" s="84" t="str">
        <f>HYPERLINK("https://twitter.com/imanassrii/status/1442086691896918030")</f>
        <v>https://twitter.com/imanassrii/status/1442086691896918030</v>
      </c>
      <c r="AA1198" s="81"/>
      <c r="AB1198" s="81"/>
      <c r="AC1198" s="86" t="s">
        <v>1845</v>
      </c>
      <c r="AD1198" s="81"/>
      <c r="AE1198" s="81" t="b">
        <v>0</v>
      </c>
      <c r="AF1198" s="81">
        <v>0</v>
      </c>
      <c r="AG1198" s="86" t="s">
        <v>2084</v>
      </c>
      <c r="AH1198" s="81" t="b">
        <v>0</v>
      </c>
      <c r="AI1198" s="81" t="s">
        <v>2168</v>
      </c>
      <c r="AJ1198" s="81"/>
      <c r="AK1198" s="86" t="s">
        <v>2084</v>
      </c>
      <c r="AL1198" s="81" t="b">
        <v>0</v>
      </c>
      <c r="AM1198" s="81">
        <v>21</v>
      </c>
      <c r="AN1198" s="86" t="s">
        <v>1847</v>
      </c>
      <c r="AO1198" s="86" t="s">
        <v>2179</v>
      </c>
      <c r="AP1198" s="81" t="b">
        <v>0</v>
      </c>
      <c r="AQ1198" s="86" t="s">
        <v>1847</v>
      </c>
      <c r="AR1198" s="81" t="s">
        <v>179</v>
      </c>
      <c r="AS1198" s="81">
        <v>0</v>
      </c>
      <c r="AT1198" s="81">
        <v>0</v>
      </c>
      <c r="AU1198" s="81"/>
      <c r="AV1198" s="81"/>
      <c r="AW1198" s="81"/>
      <c r="AX1198" s="81"/>
      <c r="AY1198" s="81"/>
      <c r="AZ1198" s="81"/>
      <c r="BA1198" s="81"/>
      <c r="BB1198" s="81"/>
    </row>
    <row r="1199" spans="1:54" x14ac:dyDescent="0.35">
      <c r="A1199" s="66" t="s">
        <v>495</v>
      </c>
      <c r="B1199" s="66" t="s">
        <v>649</v>
      </c>
      <c r="C1199" s="67"/>
      <c r="D1199" s="68"/>
      <c r="E1199" s="69"/>
      <c r="F1199" s="70"/>
      <c r="G1199" s="67"/>
      <c r="H1199" s="71"/>
      <c r="I1199" s="72"/>
      <c r="J1199" s="72"/>
      <c r="K1199" s="36"/>
      <c r="L1199" s="79"/>
      <c r="M1199" s="79"/>
      <c r="N1199" s="74"/>
      <c r="O1199" s="81" t="s">
        <v>694</v>
      </c>
      <c r="P1199" s="83">
        <v>44465.472615740742</v>
      </c>
      <c r="Q1199" s="81" t="s">
        <v>803</v>
      </c>
      <c r="R1199" s="81"/>
      <c r="S1199" s="81"/>
      <c r="T1199" s="86" t="s">
        <v>649</v>
      </c>
      <c r="U1199" s="84" t="str">
        <f>HYPERLINK("https://pbs.twimg.com/media/FAEa7dXVkAcjbKg.jpg")</f>
        <v>https://pbs.twimg.com/media/FAEa7dXVkAcjbKg.jpg</v>
      </c>
      <c r="V1199" s="84" t="str">
        <f>HYPERLINK("https://pbs.twimg.com/media/FAEa7dXVkAcjbKg.jpg")</f>
        <v>https://pbs.twimg.com/media/FAEa7dXVkAcjbKg.jpg</v>
      </c>
      <c r="W1199" s="83">
        <v>44465.472615740742</v>
      </c>
      <c r="X1199" s="89">
        <v>44465</v>
      </c>
      <c r="Y1199" s="86" t="s">
        <v>1349</v>
      </c>
      <c r="Z1199" s="84" t="str">
        <f>HYPERLINK("https://twitter.com/imanassrii/status/1442086691896918030")</f>
        <v>https://twitter.com/imanassrii/status/1442086691896918030</v>
      </c>
      <c r="AA1199" s="81"/>
      <c r="AB1199" s="81"/>
      <c r="AC1199" s="86" t="s">
        <v>1845</v>
      </c>
      <c r="AD1199" s="81"/>
      <c r="AE1199" s="81" t="b">
        <v>0</v>
      </c>
      <c r="AF1199" s="81">
        <v>0</v>
      </c>
      <c r="AG1199" s="86" t="s">
        <v>2084</v>
      </c>
      <c r="AH1199" s="81" t="b">
        <v>0</v>
      </c>
      <c r="AI1199" s="81" t="s">
        <v>2168</v>
      </c>
      <c r="AJ1199" s="81"/>
      <c r="AK1199" s="86" t="s">
        <v>2084</v>
      </c>
      <c r="AL1199" s="81" t="b">
        <v>0</v>
      </c>
      <c r="AM1199" s="81">
        <v>21</v>
      </c>
      <c r="AN1199" s="86" t="s">
        <v>1847</v>
      </c>
      <c r="AO1199" s="86" t="s">
        <v>2179</v>
      </c>
      <c r="AP1199" s="81" t="b">
        <v>0</v>
      </c>
      <c r="AQ1199" s="86" t="s">
        <v>1847</v>
      </c>
      <c r="AR1199" s="81" t="s">
        <v>179</v>
      </c>
      <c r="AS1199" s="81">
        <v>0</v>
      </c>
      <c r="AT1199" s="81">
        <v>0</v>
      </c>
      <c r="AU1199" s="81"/>
      <c r="AV1199" s="81"/>
      <c r="AW1199" s="81"/>
      <c r="AX1199" s="81"/>
      <c r="AY1199" s="81"/>
      <c r="AZ1199" s="81"/>
      <c r="BA1199" s="81"/>
      <c r="BB1199" s="81"/>
    </row>
    <row r="1200" spans="1:54" x14ac:dyDescent="0.35">
      <c r="A1200" s="66" t="s">
        <v>495</v>
      </c>
      <c r="B1200" s="66" t="s">
        <v>496</v>
      </c>
      <c r="C1200" s="67"/>
      <c r="D1200" s="68"/>
      <c r="E1200" s="69"/>
      <c r="F1200" s="70"/>
      <c r="G1200" s="67"/>
      <c r="H1200" s="71"/>
      <c r="I1200" s="72"/>
      <c r="J1200" s="72"/>
      <c r="K1200" s="36"/>
      <c r="L1200" s="79"/>
      <c r="M1200" s="79"/>
      <c r="N1200" s="74"/>
      <c r="O1200" s="81" t="s">
        <v>693</v>
      </c>
      <c r="P1200" s="83">
        <v>44465.472615740742</v>
      </c>
      <c r="Q1200" s="81" t="s">
        <v>803</v>
      </c>
      <c r="R1200" s="81"/>
      <c r="S1200" s="81"/>
      <c r="T1200" s="86" t="s">
        <v>649</v>
      </c>
      <c r="U1200" s="84" t="str">
        <f>HYPERLINK("https://pbs.twimg.com/media/FAEa7dXVkAcjbKg.jpg")</f>
        <v>https://pbs.twimg.com/media/FAEa7dXVkAcjbKg.jpg</v>
      </c>
      <c r="V1200" s="84" t="str">
        <f>HYPERLINK("https://pbs.twimg.com/media/FAEa7dXVkAcjbKg.jpg")</f>
        <v>https://pbs.twimg.com/media/FAEa7dXVkAcjbKg.jpg</v>
      </c>
      <c r="W1200" s="83">
        <v>44465.472615740742</v>
      </c>
      <c r="X1200" s="89">
        <v>44465</v>
      </c>
      <c r="Y1200" s="86" t="s">
        <v>1349</v>
      </c>
      <c r="Z1200" s="84" t="str">
        <f>HYPERLINK("https://twitter.com/imanassrii/status/1442086691896918030")</f>
        <v>https://twitter.com/imanassrii/status/1442086691896918030</v>
      </c>
      <c r="AA1200" s="81"/>
      <c r="AB1200" s="81"/>
      <c r="AC1200" s="86" t="s">
        <v>1845</v>
      </c>
      <c r="AD1200" s="81"/>
      <c r="AE1200" s="81" t="b">
        <v>0</v>
      </c>
      <c r="AF1200" s="81">
        <v>0</v>
      </c>
      <c r="AG1200" s="86" t="s">
        <v>2084</v>
      </c>
      <c r="AH1200" s="81" t="b">
        <v>0</v>
      </c>
      <c r="AI1200" s="81" t="s">
        <v>2168</v>
      </c>
      <c r="AJ1200" s="81"/>
      <c r="AK1200" s="86" t="s">
        <v>2084</v>
      </c>
      <c r="AL1200" s="81" t="b">
        <v>0</v>
      </c>
      <c r="AM1200" s="81">
        <v>21</v>
      </c>
      <c r="AN1200" s="86" t="s">
        <v>1847</v>
      </c>
      <c r="AO1200" s="86" t="s">
        <v>2179</v>
      </c>
      <c r="AP1200" s="81" t="b">
        <v>0</v>
      </c>
      <c r="AQ1200" s="86" t="s">
        <v>1847</v>
      </c>
      <c r="AR1200" s="81" t="s">
        <v>179</v>
      </c>
      <c r="AS1200" s="81">
        <v>0</v>
      </c>
      <c r="AT1200" s="81">
        <v>0</v>
      </c>
      <c r="AU1200" s="81"/>
      <c r="AV1200" s="81"/>
      <c r="AW1200" s="81"/>
      <c r="AX1200" s="81"/>
      <c r="AY1200" s="81"/>
      <c r="AZ1200" s="81"/>
      <c r="BA1200" s="81"/>
      <c r="BB1200" s="81"/>
    </row>
    <row r="1201" spans="1:54" x14ac:dyDescent="0.35">
      <c r="A1201" s="66" t="s">
        <v>497</v>
      </c>
      <c r="B1201" s="66" t="s">
        <v>497</v>
      </c>
      <c r="C1201" s="67"/>
      <c r="D1201" s="68"/>
      <c r="E1201" s="69"/>
      <c r="F1201" s="70"/>
      <c r="G1201" s="67"/>
      <c r="H1201" s="71"/>
      <c r="I1201" s="72"/>
      <c r="J1201" s="72"/>
      <c r="K1201" s="36"/>
      <c r="L1201" s="79"/>
      <c r="M1201" s="79"/>
      <c r="N1201" s="74"/>
      <c r="O1201" s="81" t="s">
        <v>179</v>
      </c>
      <c r="P1201" s="83">
        <v>44465.479895833334</v>
      </c>
      <c r="Q1201" s="81" t="s">
        <v>827</v>
      </c>
      <c r="R1201" s="81"/>
      <c r="S1201" s="81"/>
      <c r="T1201" s="81"/>
      <c r="U1201" s="81"/>
      <c r="V1201" s="84" t="str">
        <f>HYPERLINK("https://pbs.twimg.com/profile_images/1443081661063696385/-M9SyMOS_normal.png")</f>
        <v>https://pbs.twimg.com/profile_images/1443081661063696385/-M9SyMOS_normal.png</v>
      </c>
      <c r="W1201" s="83">
        <v>44465.479895833334</v>
      </c>
      <c r="X1201" s="89">
        <v>44465</v>
      </c>
      <c r="Y1201" s="86" t="s">
        <v>1355</v>
      </c>
      <c r="Z1201" s="84" t="str">
        <f>HYPERLINK("https://twitter.com/occeanview/status/1442089330923622409")</f>
        <v>https://twitter.com/occeanview/status/1442089330923622409</v>
      </c>
      <c r="AA1201" s="81"/>
      <c r="AB1201" s="81"/>
      <c r="AC1201" s="86" t="s">
        <v>1851</v>
      </c>
      <c r="AD1201" s="81"/>
      <c r="AE1201" s="81" t="b">
        <v>0</v>
      </c>
      <c r="AF1201" s="81">
        <v>0</v>
      </c>
      <c r="AG1201" s="86" t="s">
        <v>2084</v>
      </c>
      <c r="AH1201" s="81" t="b">
        <v>0</v>
      </c>
      <c r="AI1201" s="81" t="s">
        <v>2167</v>
      </c>
      <c r="AJ1201" s="81"/>
      <c r="AK1201" s="86" t="s">
        <v>2084</v>
      </c>
      <c r="AL1201" s="81" t="b">
        <v>0</v>
      </c>
      <c r="AM1201" s="81">
        <v>0</v>
      </c>
      <c r="AN1201" s="86" t="s">
        <v>2084</v>
      </c>
      <c r="AO1201" s="86" t="s">
        <v>2178</v>
      </c>
      <c r="AP1201" s="81" t="b">
        <v>0</v>
      </c>
      <c r="AQ1201" s="86" t="s">
        <v>1851</v>
      </c>
      <c r="AR1201" s="81" t="s">
        <v>179</v>
      </c>
      <c r="AS1201" s="81">
        <v>0</v>
      </c>
      <c r="AT1201" s="81">
        <v>0</v>
      </c>
      <c r="AU1201" s="81"/>
      <c r="AV1201" s="81"/>
      <c r="AW1201" s="81"/>
      <c r="AX1201" s="81"/>
      <c r="AY1201" s="81"/>
      <c r="AZ1201" s="81"/>
      <c r="BA1201" s="81"/>
      <c r="BB1201" s="81"/>
    </row>
    <row r="1202" spans="1:54" x14ac:dyDescent="0.35">
      <c r="A1202" s="66" t="s">
        <v>4541</v>
      </c>
      <c r="B1202" s="66" t="s">
        <v>5130</v>
      </c>
      <c r="C1202" s="67"/>
      <c r="D1202" s="68"/>
      <c r="E1202" s="69"/>
      <c r="F1202" s="70"/>
      <c r="G1202" s="67"/>
      <c r="H1202" s="71"/>
      <c r="I1202" s="72"/>
      <c r="J1202" s="72"/>
      <c r="K1202" s="36"/>
      <c r="L1202" s="79"/>
      <c r="M1202" s="79"/>
      <c r="N1202" s="74"/>
      <c r="O1202" s="81" t="s">
        <v>696</v>
      </c>
      <c r="P1202" s="83">
        <v>44465.511678240742</v>
      </c>
      <c r="Q1202" s="81" t="s">
        <v>5504</v>
      </c>
      <c r="R1202" s="81"/>
      <c r="S1202" s="81"/>
      <c r="T1202" s="81"/>
      <c r="U1202" s="81"/>
      <c r="V1202" s="84" t="str">
        <f>HYPERLINK("https://pbs.twimg.com/profile_images/1328843574180515848/_TBykGIt_normal.jpg")</f>
        <v>https://pbs.twimg.com/profile_images/1328843574180515848/_TBykGIt_normal.jpg</v>
      </c>
      <c r="W1202" s="83">
        <v>44465.511678240742</v>
      </c>
      <c r="X1202" s="89">
        <v>44465</v>
      </c>
      <c r="Y1202" s="86" t="s">
        <v>6190</v>
      </c>
      <c r="Z1202" s="84" t="str">
        <f>HYPERLINK("https://twitter.com/taminebb/status/1442100845701648385")</f>
        <v>https://twitter.com/taminebb/status/1442100845701648385</v>
      </c>
      <c r="AA1202" s="81"/>
      <c r="AB1202" s="81"/>
      <c r="AC1202" s="86" t="s">
        <v>7099</v>
      </c>
      <c r="AD1202" s="86" t="s">
        <v>7705</v>
      </c>
      <c r="AE1202" s="81" t="b">
        <v>0</v>
      </c>
      <c r="AF1202" s="81">
        <v>14</v>
      </c>
      <c r="AG1202" s="86" t="s">
        <v>7882</v>
      </c>
      <c r="AH1202" s="81" t="b">
        <v>0</v>
      </c>
      <c r="AI1202" s="81" t="s">
        <v>2171</v>
      </c>
      <c r="AJ1202" s="81"/>
      <c r="AK1202" s="86" t="s">
        <v>2084</v>
      </c>
      <c r="AL1202" s="81" t="b">
        <v>0</v>
      </c>
      <c r="AM1202" s="81">
        <v>1</v>
      </c>
      <c r="AN1202" s="86" t="s">
        <v>2084</v>
      </c>
      <c r="AO1202" s="86" t="s">
        <v>2178</v>
      </c>
      <c r="AP1202" s="81" t="b">
        <v>0</v>
      </c>
      <c r="AQ1202" s="86" t="s">
        <v>7705</v>
      </c>
      <c r="AR1202" s="81" t="s">
        <v>179</v>
      </c>
      <c r="AS1202" s="81">
        <v>0</v>
      </c>
      <c r="AT1202" s="81">
        <v>0</v>
      </c>
      <c r="AU1202" s="81"/>
      <c r="AV1202" s="81"/>
      <c r="AW1202" s="81"/>
      <c r="AX1202" s="81"/>
      <c r="AY1202" s="81"/>
      <c r="AZ1202" s="81"/>
      <c r="BA1202" s="81"/>
      <c r="BB1202" s="81"/>
    </row>
    <row r="1203" spans="1:54" x14ac:dyDescent="0.35">
      <c r="A1203" s="66" t="s">
        <v>4541</v>
      </c>
      <c r="B1203" s="66" t="s">
        <v>4542</v>
      </c>
      <c r="C1203" s="67"/>
      <c r="D1203" s="68"/>
      <c r="E1203" s="69"/>
      <c r="F1203" s="70"/>
      <c r="G1203" s="67"/>
      <c r="H1203" s="71"/>
      <c r="I1203" s="72"/>
      <c r="J1203" s="72"/>
      <c r="K1203" s="36"/>
      <c r="L1203" s="79"/>
      <c r="M1203" s="79"/>
      <c r="N1203" s="74"/>
      <c r="O1203" s="81" t="s">
        <v>695</v>
      </c>
      <c r="P1203" s="83">
        <v>44465.511678240742</v>
      </c>
      <c r="Q1203" s="81" t="s">
        <v>5504</v>
      </c>
      <c r="R1203" s="81"/>
      <c r="S1203" s="81"/>
      <c r="T1203" s="81"/>
      <c r="U1203" s="81"/>
      <c r="V1203" s="84" t="str">
        <f>HYPERLINK("https://pbs.twimg.com/profile_images/1328843574180515848/_TBykGIt_normal.jpg")</f>
        <v>https://pbs.twimg.com/profile_images/1328843574180515848/_TBykGIt_normal.jpg</v>
      </c>
      <c r="W1203" s="83">
        <v>44465.511678240742</v>
      </c>
      <c r="X1203" s="89">
        <v>44465</v>
      </c>
      <c r="Y1203" s="86" t="s">
        <v>6190</v>
      </c>
      <c r="Z1203" s="84" t="str">
        <f>HYPERLINK("https://twitter.com/taminebb/status/1442100845701648385")</f>
        <v>https://twitter.com/taminebb/status/1442100845701648385</v>
      </c>
      <c r="AA1203" s="81"/>
      <c r="AB1203" s="81"/>
      <c r="AC1203" s="86" t="s">
        <v>7099</v>
      </c>
      <c r="AD1203" s="86" t="s">
        <v>7705</v>
      </c>
      <c r="AE1203" s="81" t="b">
        <v>0</v>
      </c>
      <c r="AF1203" s="81">
        <v>14</v>
      </c>
      <c r="AG1203" s="86" t="s">
        <v>7882</v>
      </c>
      <c r="AH1203" s="81" t="b">
        <v>0</v>
      </c>
      <c r="AI1203" s="81" t="s">
        <v>2171</v>
      </c>
      <c r="AJ1203" s="81"/>
      <c r="AK1203" s="86" t="s">
        <v>2084</v>
      </c>
      <c r="AL1203" s="81" t="b">
        <v>0</v>
      </c>
      <c r="AM1203" s="81">
        <v>1</v>
      </c>
      <c r="AN1203" s="86" t="s">
        <v>2084</v>
      </c>
      <c r="AO1203" s="86" t="s">
        <v>2178</v>
      </c>
      <c r="AP1203" s="81" t="b">
        <v>0</v>
      </c>
      <c r="AQ1203" s="86" t="s">
        <v>7705</v>
      </c>
      <c r="AR1203" s="81" t="s">
        <v>179</v>
      </c>
      <c r="AS1203" s="81">
        <v>0</v>
      </c>
      <c r="AT1203" s="81">
        <v>0</v>
      </c>
      <c r="AU1203" s="81"/>
      <c r="AV1203" s="81"/>
      <c r="AW1203" s="81"/>
      <c r="AX1203" s="81"/>
      <c r="AY1203" s="81"/>
      <c r="AZ1203" s="81"/>
      <c r="BA1203" s="81"/>
      <c r="BB1203" s="81"/>
    </row>
    <row r="1204" spans="1:54" x14ac:dyDescent="0.35">
      <c r="A1204" s="66" t="s">
        <v>4542</v>
      </c>
      <c r="B1204" s="66" t="s">
        <v>4541</v>
      </c>
      <c r="C1204" s="67"/>
      <c r="D1204" s="68"/>
      <c r="E1204" s="69"/>
      <c r="F1204" s="70"/>
      <c r="G1204" s="67"/>
      <c r="H1204" s="71"/>
      <c r="I1204" s="72"/>
      <c r="J1204" s="72"/>
      <c r="K1204" s="36"/>
      <c r="L1204" s="79"/>
      <c r="M1204" s="79"/>
      <c r="N1204" s="74"/>
      <c r="O1204" s="81" t="s">
        <v>693</v>
      </c>
      <c r="P1204" s="83">
        <v>44465.515520833331</v>
      </c>
      <c r="Q1204" s="81" t="s">
        <v>5504</v>
      </c>
      <c r="R1204" s="81"/>
      <c r="S1204" s="81"/>
      <c r="T1204" s="81"/>
      <c r="U1204" s="81"/>
      <c r="V1204" s="84" t="str">
        <f>HYPERLINK("https://pbs.twimg.com/profile_images/1422947985739112452/SQooCgAZ_normal.jpg")</f>
        <v>https://pbs.twimg.com/profile_images/1422947985739112452/SQooCgAZ_normal.jpg</v>
      </c>
      <c r="W1204" s="83">
        <v>44465.515520833331</v>
      </c>
      <c r="X1204" s="89">
        <v>44465</v>
      </c>
      <c r="Y1204" s="86" t="s">
        <v>6191</v>
      </c>
      <c r="Z1204" s="84" t="str">
        <f>HYPERLINK("https://twitter.com/fabiomarbinho/status/1442102240831885322")</f>
        <v>https://twitter.com/fabiomarbinho/status/1442102240831885322</v>
      </c>
      <c r="AA1204" s="81"/>
      <c r="AB1204" s="81"/>
      <c r="AC1204" s="86" t="s">
        <v>7100</v>
      </c>
      <c r="AD1204" s="81"/>
      <c r="AE1204" s="81" t="b">
        <v>0</v>
      </c>
      <c r="AF1204" s="81">
        <v>0</v>
      </c>
      <c r="AG1204" s="86" t="s">
        <v>2084</v>
      </c>
      <c r="AH1204" s="81" t="b">
        <v>0</v>
      </c>
      <c r="AI1204" s="81" t="s">
        <v>2171</v>
      </c>
      <c r="AJ1204" s="81"/>
      <c r="AK1204" s="86" t="s">
        <v>2084</v>
      </c>
      <c r="AL1204" s="81" t="b">
        <v>0</v>
      </c>
      <c r="AM1204" s="81">
        <v>1</v>
      </c>
      <c r="AN1204" s="86" t="s">
        <v>7099</v>
      </c>
      <c r="AO1204" s="86" t="s">
        <v>2178</v>
      </c>
      <c r="AP1204" s="81" t="b">
        <v>0</v>
      </c>
      <c r="AQ1204" s="86" t="s">
        <v>7099</v>
      </c>
      <c r="AR1204" s="81" t="s">
        <v>179</v>
      </c>
      <c r="AS1204" s="81">
        <v>0</v>
      </c>
      <c r="AT1204" s="81">
        <v>0</v>
      </c>
      <c r="AU1204" s="81"/>
      <c r="AV1204" s="81"/>
      <c r="AW1204" s="81"/>
      <c r="AX1204" s="81"/>
      <c r="AY1204" s="81"/>
      <c r="AZ1204" s="81"/>
      <c r="BA1204" s="81"/>
      <c r="BB1204" s="81"/>
    </row>
    <row r="1205" spans="1:54" x14ac:dyDescent="0.35">
      <c r="A1205" s="66" t="s">
        <v>4542</v>
      </c>
      <c r="B1205" s="66" t="s">
        <v>5130</v>
      </c>
      <c r="C1205" s="67"/>
      <c r="D1205" s="68"/>
      <c r="E1205" s="69"/>
      <c r="F1205" s="70"/>
      <c r="G1205" s="67"/>
      <c r="H1205" s="71"/>
      <c r="I1205" s="72"/>
      <c r="J1205" s="72"/>
      <c r="K1205" s="36"/>
      <c r="L1205" s="79"/>
      <c r="M1205" s="79"/>
      <c r="N1205" s="74"/>
      <c r="O1205" s="81" t="s">
        <v>694</v>
      </c>
      <c r="P1205" s="83">
        <v>44465.515520833331</v>
      </c>
      <c r="Q1205" s="81" t="s">
        <v>5504</v>
      </c>
      <c r="R1205" s="81"/>
      <c r="S1205" s="81"/>
      <c r="T1205" s="81"/>
      <c r="U1205" s="81"/>
      <c r="V1205" s="84" t="str">
        <f>HYPERLINK("https://pbs.twimg.com/profile_images/1422947985739112452/SQooCgAZ_normal.jpg")</f>
        <v>https://pbs.twimg.com/profile_images/1422947985739112452/SQooCgAZ_normal.jpg</v>
      </c>
      <c r="W1205" s="83">
        <v>44465.515520833331</v>
      </c>
      <c r="X1205" s="89">
        <v>44465</v>
      </c>
      <c r="Y1205" s="86" t="s">
        <v>6191</v>
      </c>
      <c r="Z1205" s="84" t="str">
        <f>HYPERLINK("https://twitter.com/fabiomarbinho/status/1442102240831885322")</f>
        <v>https://twitter.com/fabiomarbinho/status/1442102240831885322</v>
      </c>
      <c r="AA1205" s="81"/>
      <c r="AB1205" s="81"/>
      <c r="AC1205" s="86" t="s">
        <v>7100</v>
      </c>
      <c r="AD1205" s="81"/>
      <c r="AE1205" s="81" t="b">
        <v>0</v>
      </c>
      <c r="AF1205" s="81">
        <v>0</v>
      </c>
      <c r="AG1205" s="86" t="s">
        <v>2084</v>
      </c>
      <c r="AH1205" s="81" t="b">
        <v>0</v>
      </c>
      <c r="AI1205" s="81" t="s">
        <v>2171</v>
      </c>
      <c r="AJ1205" s="81"/>
      <c r="AK1205" s="86" t="s">
        <v>2084</v>
      </c>
      <c r="AL1205" s="81" t="b">
        <v>0</v>
      </c>
      <c r="AM1205" s="81">
        <v>1</v>
      </c>
      <c r="AN1205" s="86" t="s">
        <v>7099</v>
      </c>
      <c r="AO1205" s="86" t="s">
        <v>2178</v>
      </c>
      <c r="AP1205" s="81" t="b">
        <v>0</v>
      </c>
      <c r="AQ1205" s="86" t="s">
        <v>7099</v>
      </c>
      <c r="AR1205" s="81" t="s">
        <v>179</v>
      </c>
      <c r="AS1205" s="81">
        <v>0</v>
      </c>
      <c r="AT1205" s="81">
        <v>0</v>
      </c>
      <c r="AU1205" s="81"/>
      <c r="AV1205" s="81"/>
      <c r="AW1205" s="81"/>
      <c r="AX1205" s="81"/>
      <c r="AY1205" s="81"/>
      <c r="AZ1205" s="81"/>
      <c r="BA1205" s="81"/>
      <c r="BB1205" s="81"/>
    </row>
    <row r="1206" spans="1:54" x14ac:dyDescent="0.35">
      <c r="A1206" s="66" t="s">
        <v>4543</v>
      </c>
      <c r="B1206" s="66" t="s">
        <v>4944</v>
      </c>
      <c r="C1206" s="67"/>
      <c r="D1206" s="68"/>
      <c r="E1206" s="69"/>
      <c r="F1206" s="70"/>
      <c r="G1206" s="67"/>
      <c r="H1206" s="71"/>
      <c r="I1206" s="72"/>
      <c r="J1206" s="72"/>
      <c r="K1206" s="36"/>
      <c r="L1206" s="79"/>
      <c r="M1206" s="79"/>
      <c r="N1206" s="74"/>
      <c r="O1206" s="81" t="s">
        <v>693</v>
      </c>
      <c r="P1206" s="83">
        <v>44465.532800925925</v>
      </c>
      <c r="Q1206" s="81" t="s">
        <v>5505</v>
      </c>
      <c r="R1206" s="81"/>
      <c r="S1206" s="81"/>
      <c r="T1206" s="81"/>
      <c r="U1206" s="81"/>
      <c r="V1206" s="84" t="str">
        <f>HYPERLINK("https://pbs.twimg.com/profile_images/1394607548318289921/h5UgpxbM_normal.jpg")</f>
        <v>https://pbs.twimg.com/profile_images/1394607548318289921/h5UgpxbM_normal.jpg</v>
      </c>
      <c r="W1206" s="83">
        <v>44465.532800925925</v>
      </c>
      <c r="X1206" s="89">
        <v>44465</v>
      </c>
      <c r="Y1206" s="86" t="s">
        <v>6192</v>
      </c>
      <c r="Z1206" s="84" t="str">
        <f>HYPERLINK("https://twitter.com/gatosabado/status/1442108501476655105")</f>
        <v>https://twitter.com/gatosabado/status/1442108501476655105</v>
      </c>
      <c r="AA1206" s="81"/>
      <c r="AB1206" s="81"/>
      <c r="AC1206" s="86" t="s">
        <v>7101</v>
      </c>
      <c r="AD1206" s="81"/>
      <c r="AE1206" s="81" t="b">
        <v>0</v>
      </c>
      <c r="AF1206" s="81">
        <v>0</v>
      </c>
      <c r="AG1206" s="86" t="s">
        <v>2084</v>
      </c>
      <c r="AH1206" s="81" t="b">
        <v>0</v>
      </c>
      <c r="AI1206" s="81" t="s">
        <v>2171</v>
      </c>
      <c r="AJ1206" s="81"/>
      <c r="AK1206" s="86" t="s">
        <v>2084</v>
      </c>
      <c r="AL1206" s="81" t="b">
        <v>0</v>
      </c>
      <c r="AM1206" s="81">
        <v>255</v>
      </c>
      <c r="AN1206" s="86" t="s">
        <v>7543</v>
      </c>
      <c r="AO1206" s="86" t="s">
        <v>2178</v>
      </c>
      <c r="AP1206" s="81" t="b">
        <v>0</v>
      </c>
      <c r="AQ1206" s="86" t="s">
        <v>7543</v>
      </c>
      <c r="AR1206" s="81" t="s">
        <v>179</v>
      </c>
      <c r="AS1206" s="81">
        <v>0</v>
      </c>
      <c r="AT1206" s="81">
        <v>0</v>
      </c>
      <c r="AU1206" s="81"/>
      <c r="AV1206" s="81"/>
      <c r="AW1206" s="81"/>
      <c r="AX1206" s="81"/>
      <c r="AY1206" s="81"/>
      <c r="AZ1206" s="81"/>
      <c r="BA1206" s="81"/>
      <c r="BB1206" s="81"/>
    </row>
    <row r="1207" spans="1:54" x14ac:dyDescent="0.35">
      <c r="A1207" s="66" t="s">
        <v>4544</v>
      </c>
      <c r="B1207" s="66" t="s">
        <v>4944</v>
      </c>
      <c r="C1207" s="67"/>
      <c r="D1207" s="68"/>
      <c r="E1207" s="69"/>
      <c r="F1207" s="70"/>
      <c r="G1207" s="67"/>
      <c r="H1207" s="71"/>
      <c r="I1207" s="72"/>
      <c r="J1207" s="72"/>
      <c r="K1207" s="36"/>
      <c r="L1207" s="79"/>
      <c r="M1207" s="79"/>
      <c r="N1207" s="74"/>
      <c r="O1207" s="81" t="s">
        <v>693</v>
      </c>
      <c r="P1207" s="83">
        <v>44465.533773148149</v>
      </c>
      <c r="Q1207" s="81" t="s">
        <v>5505</v>
      </c>
      <c r="R1207" s="81"/>
      <c r="S1207" s="81"/>
      <c r="T1207" s="81"/>
      <c r="U1207" s="81"/>
      <c r="V1207" s="84" t="str">
        <f>HYPERLINK("https://pbs.twimg.com/profile_images/1079458491176288257/uR0uYM8D_normal.jpg")</f>
        <v>https://pbs.twimg.com/profile_images/1079458491176288257/uR0uYM8D_normal.jpg</v>
      </c>
      <c r="W1207" s="83">
        <v>44465.533773148149</v>
      </c>
      <c r="X1207" s="89">
        <v>44465</v>
      </c>
      <c r="Y1207" s="86" t="s">
        <v>6193</v>
      </c>
      <c r="Z1207" s="84" t="str">
        <f>HYPERLINK("https://twitter.com/rocaramicoli/status/1442108853135368197")</f>
        <v>https://twitter.com/rocaramicoli/status/1442108853135368197</v>
      </c>
      <c r="AA1207" s="81"/>
      <c r="AB1207" s="81"/>
      <c r="AC1207" s="86" t="s">
        <v>7102</v>
      </c>
      <c r="AD1207" s="81"/>
      <c r="AE1207" s="81" t="b">
        <v>0</v>
      </c>
      <c r="AF1207" s="81">
        <v>0</v>
      </c>
      <c r="AG1207" s="86" t="s">
        <v>2084</v>
      </c>
      <c r="AH1207" s="81" t="b">
        <v>0</v>
      </c>
      <c r="AI1207" s="81" t="s">
        <v>2171</v>
      </c>
      <c r="AJ1207" s="81"/>
      <c r="AK1207" s="86" t="s">
        <v>2084</v>
      </c>
      <c r="AL1207" s="81" t="b">
        <v>0</v>
      </c>
      <c r="AM1207" s="81">
        <v>255</v>
      </c>
      <c r="AN1207" s="86" t="s">
        <v>7543</v>
      </c>
      <c r="AO1207" s="86" t="s">
        <v>2178</v>
      </c>
      <c r="AP1207" s="81" t="b">
        <v>0</v>
      </c>
      <c r="AQ1207" s="86" t="s">
        <v>7543</v>
      </c>
      <c r="AR1207" s="81" t="s">
        <v>179</v>
      </c>
      <c r="AS1207" s="81">
        <v>0</v>
      </c>
      <c r="AT1207" s="81">
        <v>0</v>
      </c>
      <c r="AU1207" s="81"/>
      <c r="AV1207" s="81"/>
      <c r="AW1207" s="81"/>
      <c r="AX1207" s="81"/>
      <c r="AY1207" s="81"/>
      <c r="AZ1207" s="81"/>
      <c r="BA1207" s="81"/>
      <c r="BB1207" s="81"/>
    </row>
    <row r="1208" spans="1:54" x14ac:dyDescent="0.35">
      <c r="A1208" s="66" t="s">
        <v>4545</v>
      </c>
      <c r="B1208" s="66" t="s">
        <v>4944</v>
      </c>
      <c r="C1208" s="67"/>
      <c r="D1208" s="68"/>
      <c r="E1208" s="69"/>
      <c r="F1208" s="70"/>
      <c r="G1208" s="67"/>
      <c r="H1208" s="71"/>
      <c r="I1208" s="72"/>
      <c r="J1208" s="72"/>
      <c r="K1208" s="36"/>
      <c r="L1208" s="79"/>
      <c r="M1208" s="79"/>
      <c r="N1208" s="74"/>
      <c r="O1208" s="81" t="s">
        <v>693</v>
      </c>
      <c r="P1208" s="83">
        <v>44465.534907407404</v>
      </c>
      <c r="Q1208" s="81" t="s">
        <v>5505</v>
      </c>
      <c r="R1208" s="81"/>
      <c r="S1208" s="81"/>
      <c r="T1208" s="81"/>
      <c r="U1208" s="81"/>
      <c r="V1208" s="84" t="str">
        <f>HYPERLINK("https://pbs.twimg.com/profile_images/1411279915765354500/owK04d8r_normal.jpg")</f>
        <v>https://pbs.twimg.com/profile_images/1411279915765354500/owK04d8r_normal.jpg</v>
      </c>
      <c r="W1208" s="83">
        <v>44465.534907407404</v>
      </c>
      <c r="X1208" s="89">
        <v>44465</v>
      </c>
      <c r="Y1208" s="86" t="s">
        <v>6194</v>
      </c>
      <c r="Z1208" s="84" t="str">
        <f>HYPERLINK("https://twitter.com/stalininha/status/1442109263569055748")</f>
        <v>https://twitter.com/stalininha/status/1442109263569055748</v>
      </c>
      <c r="AA1208" s="81"/>
      <c r="AB1208" s="81"/>
      <c r="AC1208" s="86" t="s">
        <v>7103</v>
      </c>
      <c r="AD1208" s="81"/>
      <c r="AE1208" s="81" t="b">
        <v>0</v>
      </c>
      <c r="AF1208" s="81">
        <v>0</v>
      </c>
      <c r="AG1208" s="86" t="s">
        <v>2084</v>
      </c>
      <c r="AH1208" s="81" t="b">
        <v>0</v>
      </c>
      <c r="AI1208" s="81" t="s">
        <v>2171</v>
      </c>
      <c r="AJ1208" s="81"/>
      <c r="AK1208" s="86" t="s">
        <v>2084</v>
      </c>
      <c r="AL1208" s="81" t="b">
        <v>0</v>
      </c>
      <c r="AM1208" s="81">
        <v>255</v>
      </c>
      <c r="AN1208" s="86" t="s">
        <v>7543</v>
      </c>
      <c r="AO1208" s="86" t="s">
        <v>2179</v>
      </c>
      <c r="AP1208" s="81" t="b">
        <v>0</v>
      </c>
      <c r="AQ1208" s="86" t="s">
        <v>7543</v>
      </c>
      <c r="AR1208" s="81" t="s">
        <v>179</v>
      </c>
      <c r="AS1208" s="81">
        <v>0</v>
      </c>
      <c r="AT1208" s="81">
        <v>0</v>
      </c>
      <c r="AU1208" s="81"/>
      <c r="AV1208" s="81"/>
      <c r="AW1208" s="81"/>
      <c r="AX1208" s="81"/>
      <c r="AY1208" s="81"/>
      <c r="AZ1208" s="81"/>
      <c r="BA1208" s="81"/>
      <c r="BB1208" s="81"/>
    </row>
    <row r="1209" spans="1:54" x14ac:dyDescent="0.35">
      <c r="A1209" s="66" t="s">
        <v>4546</v>
      </c>
      <c r="B1209" s="66" t="s">
        <v>4944</v>
      </c>
      <c r="C1209" s="67"/>
      <c r="D1209" s="68"/>
      <c r="E1209" s="69"/>
      <c r="F1209" s="70"/>
      <c r="G1209" s="67"/>
      <c r="H1209" s="71"/>
      <c r="I1209" s="72"/>
      <c r="J1209" s="72"/>
      <c r="K1209" s="36"/>
      <c r="L1209" s="79"/>
      <c r="M1209" s="79"/>
      <c r="N1209" s="74"/>
      <c r="O1209" s="81" t="s">
        <v>693</v>
      </c>
      <c r="P1209" s="83">
        <v>44465.535138888888</v>
      </c>
      <c r="Q1209" s="81" t="s">
        <v>5505</v>
      </c>
      <c r="R1209" s="81"/>
      <c r="S1209" s="81"/>
      <c r="T1209" s="81"/>
      <c r="U1209" s="81"/>
      <c r="V1209" s="84" t="str">
        <f>HYPERLINK("https://pbs.twimg.com/profile_images/1331639037409562624/N7dO-wlE_normal.jpg")</f>
        <v>https://pbs.twimg.com/profile_images/1331639037409562624/N7dO-wlE_normal.jpg</v>
      </c>
      <c r="W1209" s="83">
        <v>44465.535138888888</v>
      </c>
      <c r="X1209" s="89">
        <v>44465</v>
      </c>
      <c r="Y1209" s="86" t="s">
        <v>6195</v>
      </c>
      <c r="Z1209" s="84" t="str">
        <f>HYPERLINK("https://twitter.com/lnpfc/status/1442109349980147712")</f>
        <v>https://twitter.com/lnpfc/status/1442109349980147712</v>
      </c>
      <c r="AA1209" s="81"/>
      <c r="AB1209" s="81"/>
      <c r="AC1209" s="86" t="s">
        <v>7104</v>
      </c>
      <c r="AD1209" s="81"/>
      <c r="AE1209" s="81" t="b">
        <v>0</v>
      </c>
      <c r="AF1209" s="81">
        <v>0</v>
      </c>
      <c r="AG1209" s="86" t="s">
        <v>2084</v>
      </c>
      <c r="AH1209" s="81" t="b">
        <v>0</v>
      </c>
      <c r="AI1209" s="81" t="s">
        <v>2171</v>
      </c>
      <c r="AJ1209" s="81"/>
      <c r="AK1209" s="86" t="s">
        <v>2084</v>
      </c>
      <c r="AL1209" s="81" t="b">
        <v>0</v>
      </c>
      <c r="AM1209" s="81">
        <v>255</v>
      </c>
      <c r="AN1209" s="86" t="s">
        <v>7543</v>
      </c>
      <c r="AO1209" s="86" t="s">
        <v>2179</v>
      </c>
      <c r="AP1209" s="81" t="b">
        <v>0</v>
      </c>
      <c r="AQ1209" s="86" t="s">
        <v>7543</v>
      </c>
      <c r="AR1209" s="81" t="s">
        <v>179</v>
      </c>
      <c r="AS1209" s="81">
        <v>0</v>
      </c>
      <c r="AT1209" s="81">
        <v>0</v>
      </c>
      <c r="AU1209" s="81"/>
      <c r="AV1209" s="81"/>
      <c r="AW1209" s="81"/>
      <c r="AX1209" s="81"/>
      <c r="AY1209" s="81"/>
      <c r="AZ1209" s="81"/>
      <c r="BA1209" s="81"/>
      <c r="BB1209" s="81"/>
    </row>
    <row r="1210" spans="1:54" x14ac:dyDescent="0.35">
      <c r="A1210" s="66" t="s">
        <v>4547</v>
      </c>
      <c r="B1210" s="66" t="s">
        <v>4944</v>
      </c>
      <c r="C1210" s="67"/>
      <c r="D1210" s="68"/>
      <c r="E1210" s="69"/>
      <c r="F1210" s="70"/>
      <c r="G1210" s="67"/>
      <c r="H1210" s="71"/>
      <c r="I1210" s="72"/>
      <c r="J1210" s="72"/>
      <c r="K1210" s="36"/>
      <c r="L1210" s="79"/>
      <c r="M1210" s="79"/>
      <c r="N1210" s="74"/>
      <c r="O1210" s="81" t="s">
        <v>693</v>
      </c>
      <c r="P1210" s="83">
        <v>44465.536099537036</v>
      </c>
      <c r="Q1210" s="81" t="s">
        <v>5505</v>
      </c>
      <c r="R1210" s="81"/>
      <c r="S1210" s="81"/>
      <c r="T1210" s="81"/>
      <c r="U1210" s="81"/>
      <c r="V1210" s="84" t="str">
        <f>HYPERLINK("https://pbs.twimg.com/profile_images/1393594902844411904/a5p2ohi2_normal.jpg")</f>
        <v>https://pbs.twimg.com/profile_images/1393594902844411904/a5p2ohi2_normal.jpg</v>
      </c>
      <c r="W1210" s="83">
        <v>44465.536099537036</v>
      </c>
      <c r="X1210" s="89">
        <v>44465</v>
      </c>
      <c r="Y1210" s="86" t="s">
        <v>6196</v>
      </c>
      <c r="Z1210" s="84" t="str">
        <f>HYPERLINK("https://twitter.com/rangel_lucia/status/1442109697612341256")</f>
        <v>https://twitter.com/rangel_lucia/status/1442109697612341256</v>
      </c>
      <c r="AA1210" s="81"/>
      <c r="AB1210" s="81"/>
      <c r="AC1210" s="86" t="s">
        <v>7105</v>
      </c>
      <c r="AD1210" s="81"/>
      <c r="AE1210" s="81" t="b">
        <v>0</v>
      </c>
      <c r="AF1210" s="81">
        <v>0</v>
      </c>
      <c r="AG1210" s="86" t="s">
        <v>2084</v>
      </c>
      <c r="AH1210" s="81" t="b">
        <v>0</v>
      </c>
      <c r="AI1210" s="81" t="s">
        <v>2171</v>
      </c>
      <c r="AJ1210" s="81"/>
      <c r="AK1210" s="86" t="s">
        <v>2084</v>
      </c>
      <c r="AL1210" s="81" t="b">
        <v>0</v>
      </c>
      <c r="AM1210" s="81">
        <v>255</v>
      </c>
      <c r="AN1210" s="86" t="s">
        <v>7543</v>
      </c>
      <c r="AO1210" s="86" t="s">
        <v>2179</v>
      </c>
      <c r="AP1210" s="81" t="b">
        <v>0</v>
      </c>
      <c r="AQ1210" s="86" t="s">
        <v>7543</v>
      </c>
      <c r="AR1210" s="81" t="s">
        <v>179</v>
      </c>
      <c r="AS1210" s="81">
        <v>0</v>
      </c>
      <c r="AT1210" s="81">
        <v>0</v>
      </c>
      <c r="AU1210" s="81"/>
      <c r="AV1210" s="81"/>
      <c r="AW1210" s="81"/>
      <c r="AX1210" s="81"/>
      <c r="AY1210" s="81"/>
      <c r="AZ1210" s="81"/>
      <c r="BA1210" s="81"/>
      <c r="BB1210" s="81"/>
    </row>
    <row r="1211" spans="1:54" x14ac:dyDescent="0.35">
      <c r="A1211" s="66" t="s">
        <v>4548</v>
      </c>
      <c r="B1211" s="66" t="s">
        <v>4944</v>
      </c>
      <c r="C1211" s="67"/>
      <c r="D1211" s="68"/>
      <c r="E1211" s="69"/>
      <c r="F1211" s="70"/>
      <c r="G1211" s="67"/>
      <c r="H1211" s="71"/>
      <c r="I1211" s="72"/>
      <c r="J1211" s="72"/>
      <c r="K1211" s="36"/>
      <c r="L1211" s="79"/>
      <c r="M1211" s="79"/>
      <c r="N1211" s="74"/>
      <c r="O1211" s="81" t="s">
        <v>693</v>
      </c>
      <c r="P1211" s="83">
        <v>44465.537141203706</v>
      </c>
      <c r="Q1211" s="81" t="s">
        <v>5505</v>
      </c>
      <c r="R1211" s="81"/>
      <c r="S1211" s="81"/>
      <c r="T1211" s="81"/>
      <c r="U1211" s="81"/>
      <c r="V1211" s="84" t="str">
        <f>HYPERLINK("https://pbs.twimg.com/profile_images/1422336675901018123/z3TLVmhj_normal.jpg")</f>
        <v>https://pbs.twimg.com/profile_images/1422336675901018123/z3TLVmhj_normal.jpg</v>
      </c>
      <c r="W1211" s="83">
        <v>44465.537141203706</v>
      </c>
      <c r="X1211" s="89">
        <v>44465</v>
      </c>
      <c r="Y1211" s="86" t="s">
        <v>6197</v>
      </c>
      <c r="Z1211" s="84" t="str">
        <f>HYPERLINK("https://twitter.com/herege/status/1442110074286055425")</f>
        <v>https://twitter.com/herege/status/1442110074286055425</v>
      </c>
      <c r="AA1211" s="81"/>
      <c r="AB1211" s="81"/>
      <c r="AC1211" s="86" t="s">
        <v>7106</v>
      </c>
      <c r="AD1211" s="81"/>
      <c r="AE1211" s="81" t="b">
        <v>0</v>
      </c>
      <c r="AF1211" s="81">
        <v>0</v>
      </c>
      <c r="AG1211" s="86" t="s">
        <v>2084</v>
      </c>
      <c r="AH1211" s="81" t="b">
        <v>0</v>
      </c>
      <c r="AI1211" s="81" t="s">
        <v>2171</v>
      </c>
      <c r="AJ1211" s="81"/>
      <c r="AK1211" s="86" t="s">
        <v>2084</v>
      </c>
      <c r="AL1211" s="81" t="b">
        <v>0</v>
      </c>
      <c r="AM1211" s="81">
        <v>255</v>
      </c>
      <c r="AN1211" s="86" t="s">
        <v>7543</v>
      </c>
      <c r="AO1211" s="86" t="s">
        <v>2178</v>
      </c>
      <c r="AP1211" s="81" t="b">
        <v>0</v>
      </c>
      <c r="AQ1211" s="86" t="s">
        <v>7543</v>
      </c>
      <c r="AR1211" s="81" t="s">
        <v>179</v>
      </c>
      <c r="AS1211" s="81">
        <v>0</v>
      </c>
      <c r="AT1211" s="81">
        <v>0</v>
      </c>
      <c r="AU1211" s="81"/>
      <c r="AV1211" s="81"/>
      <c r="AW1211" s="81"/>
      <c r="AX1211" s="81"/>
      <c r="AY1211" s="81"/>
      <c r="AZ1211" s="81"/>
      <c r="BA1211" s="81"/>
      <c r="BB1211" s="81"/>
    </row>
    <row r="1212" spans="1:54" x14ac:dyDescent="0.35">
      <c r="A1212" s="66" t="s">
        <v>4549</v>
      </c>
      <c r="B1212" s="66" t="s">
        <v>5131</v>
      </c>
      <c r="C1212" s="67"/>
      <c r="D1212" s="68"/>
      <c r="E1212" s="69"/>
      <c r="F1212" s="70"/>
      <c r="G1212" s="67"/>
      <c r="H1212" s="71"/>
      <c r="I1212" s="72"/>
      <c r="J1212" s="72"/>
      <c r="K1212" s="36"/>
      <c r="L1212" s="79"/>
      <c r="M1212" s="79"/>
      <c r="N1212" s="74"/>
      <c r="O1212" s="81" t="s">
        <v>696</v>
      </c>
      <c r="P1212" s="83">
        <v>44462.645497685182</v>
      </c>
      <c r="Q1212" s="81" t="s">
        <v>5506</v>
      </c>
      <c r="R1212" s="81"/>
      <c r="S1212" s="81"/>
      <c r="T1212" s="81"/>
      <c r="U1212" s="81"/>
      <c r="V1212" s="84" t="str">
        <f>HYPERLINK("https://pbs.twimg.com/profile_images/1423977735328829452/2lp4M6hx_normal.jpg")</f>
        <v>https://pbs.twimg.com/profile_images/1423977735328829452/2lp4M6hx_normal.jpg</v>
      </c>
      <c r="W1212" s="83">
        <v>44462.645497685182</v>
      </c>
      <c r="X1212" s="89">
        <v>44462</v>
      </c>
      <c r="Y1212" s="86" t="s">
        <v>1037</v>
      </c>
      <c r="Z1212" s="84" t="str">
        <f>HYPERLINK("https://twitter.com/llc1395/status/1441062176073023495")</f>
        <v>https://twitter.com/llc1395/status/1441062176073023495</v>
      </c>
      <c r="AA1212" s="81"/>
      <c r="AB1212" s="81"/>
      <c r="AC1212" s="86" t="s">
        <v>7107</v>
      </c>
      <c r="AD1212" s="86" t="s">
        <v>7706</v>
      </c>
      <c r="AE1212" s="81" t="b">
        <v>0</v>
      </c>
      <c r="AF1212" s="81">
        <v>0</v>
      </c>
      <c r="AG1212" s="86" t="s">
        <v>7883</v>
      </c>
      <c r="AH1212" s="81" t="b">
        <v>0</v>
      </c>
      <c r="AI1212" s="81" t="s">
        <v>2171</v>
      </c>
      <c r="AJ1212" s="81"/>
      <c r="AK1212" s="86" t="s">
        <v>2084</v>
      </c>
      <c r="AL1212" s="81" t="b">
        <v>0</v>
      </c>
      <c r="AM1212" s="81">
        <v>0</v>
      </c>
      <c r="AN1212" s="86" t="s">
        <v>2084</v>
      </c>
      <c r="AO1212" s="86" t="s">
        <v>2181</v>
      </c>
      <c r="AP1212" s="81" t="b">
        <v>0</v>
      </c>
      <c r="AQ1212" s="86" t="s">
        <v>7706</v>
      </c>
      <c r="AR1212" s="81" t="s">
        <v>179</v>
      </c>
      <c r="AS1212" s="81">
        <v>0</v>
      </c>
      <c r="AT1212" s="81">
        <v>0</v>
      </c>
      <c r="AU1212" s="81"/>
      <c r="AV1212" s="81"/>
      <c r="AW1212" s="81"/>
      <c r="AX1212" s="81"/>
      <c r="AY1212" s="81"/>
      <c r="AZ1212" s="81"/>
      <c r="BA1212" s="81"/>
      <c r="BB1212" s="81"/>
    </row>
    <row r="1213" spans="1:54" x14ac:dyDescent="0.35">
      <c r="A1213" s="66" t="s">
        <v>4549</v>
      </c>
      <c r="B1213" s="66" t="s">
        <v>5132</v>
      </c>
      <c r="C1213" s="67"/>
      <c r="D1213" s="68"/>
      <c r="E1213" s="69"/>
      <c r="F1213" s="70"/>
      <c r="G1213" s="67"/>
      <c r="H1213" s="71"/>
      <c r="I1213" s="72"/>
      <c r="J1213" s="72"/>
      <c r="K1213" s="36"/>
      <c r="L1213" s="79"/>
      <c r="M1213" s="79"/>
      <c r="N1213" s="74"/>
      <c r="O1213" s="81" t="s">
        <v>695</v>
      </c>
      <c r="P1213" s="83">
        <v>44462.645497685182</v>
      </c>
      <c r="Q1213" s="81" t="s">
        <v>5506</v>
      </c>
      <c r="R1213" s="81"/>
      <c r="S1213" s="81"/>
      <c r="T1213" s="81"/>
      <c r="U1213" s="81"/>
      <c r="V1213" s="84" t="str">
        <f>HYPERLINK("https://pbs.twimg.com/profile_images/1423977735328829452/2lp4M6hx_normal.jpg")</f>
        <v>https://pbs.twimg.com/profile_images/1423977735328829452/2lp4M6hx_normal.jpg</v>
      </c>
      <c r="W1213" s="83">
        <v>44462.645497685182</v>
      </c>
      <c r="X1213" s="89">
        <v>44462</v>
      </c>
      <c r="Y1213" s="86" t="s">
        <v>1037</v>
      </c>
      <c r="Z1213" s="84" t="str">
        <f>HYPERLINK("https://twitter.com/llc1395/status/1441062176073023495")</f>
        <v>https://twitter.com/llc1395/status/1441062176073023495</v>
      </c>
      <c r="AA1213" s="81"/>
      <c r="AB1213" s="81"/>
      <c r="AC1213" s="86" t="s">
        <v>7107</v>
      </c>
      <c r="AD1213" s="86" t="s">
        <v>7706</v>
      </c>
      <c r="AE1213" s="81" t="b">
        <v>0</v>
      </c>
      <c r="AF1213" s="81">
        <v>0</v>
      </c>
      <c r="AG1213" s="86" t="s">
        <v>7883</v>
      </c>
      <c r="AH1213" s="81" t="b">
        <v>0</v>
      </c>
      <c r="AI1213" s="81" t="s">
        <v>2171</v>
      </c>
      <c r="AJ1213" s="81"/>
      <c r="AK1213" s="86" t="s">
        <v>2084</v>
      </c>
      <c r="AL1213" s="81" t="b">
        <v>0</v>
      </c>
      <c r="AM1213" s="81">
        <v>0</v>
      </c>
      <c r="AN1213" s="86" t="s">
        <v>2084</v>
      </c>
      <c r="AO1213" s="86" t="s">
        <v>2181</v>
      </c>
      <c r="AP1213" s="81" t="b">
        <v>0</v>
      </c>
      <c r="AQ1213" s="86" t="s">
        <v>7706</v>
      </c>
      <c r="AR1213" s="81" t="s">
        <v>179</v>
      </c>
      <c r="AS1213" s="81">
        <v>0</v>
      </c>
      <c r="AT1213" s="81">
        <v>0</v>
      </c>
      <c r="AU1213" s="81"/>
      <c r="AV1213" s="81"/>
      <c r="AW1213" s="81"/>
      <c r="AX1213" s="81"/>
      <c r="AY1213" s="81"/>
      <c r="AZ1213" s="81"/>
      <c r="BA1213" s="81"/>
      <c r="BB1213" s="81"/>
    </row>
    <row r="1214" spans="1:54" x14ac:dyDescent="0.35">
      <c r="A1214" s="66" t="s">
        <v>4549</v>
      </c>
      <c r="B1214" s="66" t="s">
        <v>4944</v>
      </c>
      <c r="C1214" s="67"/>
      <c r="D1214" s="68"/>
      <c r="E1214" s="69"/>
      <c r="F1214" s="70"/>
      <c r="G1214" s="67"/>
      <c r="H1214" s="71"/>
      <c r="I1214" s="72"/>
      <c r="J1214" s="72"/>
      <c r="K1214" s="36"/>
      <c r="L1214" s="79"/>
      <c r="M1214" s="79"/>
      <c r="N1214" s="74"/>
      <c r="O1214" s="81" t="s">
        <v>693</v>
      </c>
      <c r="P1214" s="83">
        <v>44465.539490740739</v>
      </c>
      <c r="Q1214" s="81" t="s">
        <v>5505</v>
      </c>
      <c r="R1214" s="81"/>
      <c r="S1214" s="81"/>
      <c r="T1214" s="81"/>
      <c r="U1214" s="81"/>
      <c r="V1214" s="84" t="str">
        <f>HYPERLINK("https://pbs.twimg.com/profile_images/1423977735328829452/2lp4M6hx_normal.jpg")</f>
        <v>https://pbs.twimg.com/profile_images/1423977735328829452/2lp4M6hx_normal.jpg</v>
      </c>
      <c r="W1214" s="83">
        <v>44465.539490740739</v>
      </c>
      <c r="X1214" s="89">
        <v>44465</v>
      </c>
      <c r="Y1214" s="86" t="s">
        <v>6198</v>
      </c>
      <c r="Z1214" s="84" t="str">
        <f>HYPERLINK("https://twitter.com/llc1395/status/1442110925826248722")</f>
        <v>https://twitter.com/llc1395/status/1442110925826248722</v>
      </c>
      <c r="AA1214" s="81"/>
      <c r="AB1214" s="81"/>
      <c r="AC1214" s="86" t="s">
        <v>7108</v>
      </c>
      <c r="AD1214" s="81"/>
      <c r="AE1214" s="81" t="b">
        <v>0</v>
      </c>
      <c r="AF1214" s="81">
        <v>0</v>
      </c>
      <c r="AG1214" s="86" t="s">
        <v>2084</v>
      </c>
      <c r="AH1214" s="81" t="b">
        <v>0</v>
      </c>
      <c r="AI1214" s="81" t="s">
        <v>2171</v>
      </c>
      <c r="AJ1214" s="81"/>
      <c r="AK1214" s="86" t="s">
        <v>2084</v>
      </c>
      <c r="AL1214" s="81" t="b">
        <v>0</v>
      </c>
      <c r="AM1214" s="81">
        <v>255</v>
      </c>
      <c r="AN1214" s="86" t="s">
        <v>7543</v>
      </c>
      <c r="AO1214" s="86" t="s">
        <v>2178</v>
      </c>
      <c r="AP1214" s="81" t="b">
        <v>0</v>
      </c>
      <c r="AQ1214" s="86" t="s">
        <v>7543</v>
      </c>
      <c r="AR1214" s="81" t="s">
        <v>179</v>
      </c>
      <c r="AS1214" s="81">
        <v>0</v>
      </c>
      <c r="AT1214" s="81">
        <v>0</v>
      </c>
      <c r="AU1214" s="81"/>
      <c r="AV1214" s="81"/>
      <c r="AW1214" s="81"/>
      <c r="AX1214" s="81"/>
      <c r="AY1214" s="81"/>
      <c r="AZ1214" s="81"/>
      <c r="BA1214" s="81"/>
      <c r="BB1214" s="81"/>
    </row>
    <row r="1215" spans="1:54" x14ac:dyDescent="0.35">
      <c r="A1215" s="66" t="s">
        <v>4550</v>
      </c>
      <c r="B1215" s="66" t="s">
        <v>4944</v>
      </c>
      <c r="C1215" s="67"/>
      <c r="D1215" s="68"/>
      <c r="E1215" s="69"/>
      <c r="F1215" s="70"/>
      <c r="G1215" s="67"/>
      <c r="H1215" s="71"/>
      <c r="I1215" s="72"/>
      <c r="J1215" s="72"/>
      <c r="K1215" s="36"/>
      <c r="L1215" s="79"/>
      <c r="M1215" s="79"/>
      <c r="N1215" s="74"/>
      <c r="O1215" s="81" t="s">
        <v>693</v>
      </c>
      <c r="P1215" s="83">
        <v>44465.54010416667</v>
      </c>
      <c r="Q1215" s="81" t="s">
        <v>5505</v>
      </c>
      <c r="R1215" s="81"/>
      <c r="S1215" s="81"/>
      <c r="T1215" s="81"/>
      <c r="U1215" s="81"/>
      <c r="V1215" s="84" t="str">
        <f>HYPERLINK("https://pbs.twimg.com/profile_images/1424096454314975241/mTN7aEbq_normal.jpg")</f>
        <v>https://pbs.twimg.com/profile_images/1424096454314975241/mTN7aEbq_normal.jpg</v>
      </c>
      <c r="W1215" s="83">
        <v>44465.54010416667</v>
      </c>
      <c r="X1215" s="89">
        <v>44465</v>
      </c>
      <c r="Y1215" s="86" t="s">
        <v>6199</v>
      </c>
      <c r="Z1215" s="84" t="str">
        <f>HYPERLINK("https://twitter.com/diego_8813/status/1442111149999284225")</f>
        <v>https://twitter.com/diego_8813/status/1442111149999284225</v>
      </c>
      <c r="AA1215" s="81"/>
      <c r="AB1215" s="81"/>
      <c r="AC1215" s="86" t="s">
        <v>7109</v>
      </c>
      <c r="AD1215" s="81"/>
      <c r="AE1215" s="81" t="b">
        <v>0</v>
      </c>
      <c r="AF1215" s="81">
        <v>0</v>
      </c>
      <c r="AG1215" s="86" t="s">
        <v>2084</v>
      </c>
      <c r="AH1215" s="81" t="b">
        <v>0</v>
      </c>
      <c r="AI1215" s="81" t="s">
        <v>2171</v>
      </c>
      <c r="AJ1215" s="81"/>
      <c r="AK1215" s="86" t="s">
        <v>2084</v>
      </c>
      <c r="AL1215" s="81" t="b">
        <v>0</v>
      </c>
      <c r="AM1215" s="81">
        <v>255</v>
      </c>
      <c r="AN1215" s="86" t="s">
        <v>7543</v>
      </c>
      <c r="AO1215" s="86" t="s">
        <v>2178</v>
      </c>
      <c r="AP1215" s="81" t="b">
        <v>0</v>
      </c>
      <c r="AQ1215" s="86" t="s">
        <v>7543</v>
      </c>
      <c r="AR1215" s="81" t="s">
        <v>179</v>
      </c>
      <c r="AS1215" s="81">
        <v>0</v>
      </c>
      <c r="AT1215" s="81">
        <v>0</v>
      </c>
      <c r="AU1215" s="81"/>
      <c r="AV1215" s="81"/>
      <c r="AW1215" s="81"/>
      <c r="AX1215" s="81"/>
      <c r="AY1215" s="81"/>
      <c r="AZ1215" s="81"/>
      <c r="BA1215" s="81"/>
      <c r="BB1215" s="81"/>
    </row>
    <row r="1216" spans="1:54" x14ac:dyDescent="0.35">
      <c r="A1216" s="66" t="s">
        <v>4551</v>
      </c>
      <c r="B1216" s="66" t="s">
        <v>4944</v>
      </c>
      <c r="C1216" s="67"/>
      <c r="D1216" s="68"/>
      <c r="E1216" s="69"/>
      <c r="F1216" s="70"/>
      <c r="G1216" s="67"/>
      <c r="H1216" s="71"/>
      <c r="I1216" s="72"/>
      <c r="J1216" s="72"/>
      <c r="K1216" s="36"/>
      <c r="L1216" s="79"/>
      <c r="M1216" s="79"/>
      <c r="N1216" s="74"/>
      <c r="O1216" s="81" t="s">
        <v>693</v>
      </c>
      <c r="P1216" s="83">
        <v>44465.540150462963</v>
      </c>
      <c r="Q1216" s="81" t="s">
        <v>5505</v>
      </c>
      <c r="R1216" s="81"/>
      <c r="S1216" s="81"/>
      <c r="T1216" s="81"/>
      <c r="U1216" s="81"/>
      <c r="V1216" s="84" t="str">
        <f>HYPERLINK("https://pbs.twimg.com/profile_images/1050484430937165825/TedblMGq_normal.jpg")</f>
        <v>https://pbs.twimg.com/profile_images/1050484430937165825/TedblMGq_normal.jpg</v>
      </c>
      <c r="W1216" s="83">
        <v>44465.540150462963</v>
      </c>
      <c r="X1216" s="89">
        <v>44465</v>
      </c>
      <c r="Y1216" s="86" t="s">
        <v>6200</v>
      </c>
      <c r="Z1216" s="84" t="str">
        <f>HYPERLINK("https://twitter.com/lan_torres/status/1442111166885482496")</f>
        <v>https://twitter.com/lan_torres/status/1442111166885482496</v>
      </c>
      <c r="AA1216" s="81"/>
      <c r="AB1216" s="81"/>
      <c r="AC1216" s="86" t="s">
        <v>7110</v>
      </c>
      <c r="AD1216" s="81"/>
      <c r="AE1216" s="81" t="b">
        <v>0</v>
      </c>
      <c r="AF1216" s="81">
        <v>0</v>
      </c>
      <c r="AG1216" s="86" t="s">
        <v>2084</v>
      </c>
      <c r="AH1216" s="81" t="b">
        <v>0</v>
      </c>
      <c r="AI1216" s="81" t="s">
        <v>2171</v>
      </c>
      <c r="AJ1216" s="81"/>
      <c r="AK1216" s="86" t="s">
        <v>2084</v>
      </c>
      <c r="AL1216" s="81" t="b">
        <v>0</v>
      </c>
      <c r="AM1216" s="81">
        <v>255</v>
      </c>
      <c r="AN1216" s="86" t="s">
        <v>7543</v>
      </c>
      <c r="AO1216" s="86" t="s">
        <v>2178</v>
      </c>
      <c r="AP1216" s="81" t="b">
        <v>0</v>
      </c>
      <c r="AQ1216" s="86" t="s">
        <v>7543</v>
      </c>
      <c r="AR1216" s="81" t="s">
        <v>179</v>
      </c>
      <c r="AS1216" s="81">
        <v>0</v>
      </c>
      <c r="AT1216" s="81">
        <v>0</v>
      </c>
      <c r="AU1216" s="81"/>
      <c r="AV1216" s="81"/>
      <c r="AW1216" s="81"/>
      <c r="AX1216" s="81"/>
      <c r="AY1216" s="81"/>
      <c r="AZ1216" s="81"/>
      <c r="BA1216" s="81"/>
      <c r="BB1216" s="81"/>
    </row>
    <row r="1217" spans="1:54" x14ac:dyDescent="0.35">
      <c r="A1217" s="66" t="s">
        <v>4552</v>
      </c>
      <c r="B1217" s="66" t="s">
        <v>4944</v>
      </c>
      <c r="C1217" s="67"/>
      <c r="D1217" s="68"/>
      <c r="E1217" s="69"/>
      <c r="F1217" s="70"/>
      <c r="G1217" s="67"/>
      <c r="H1217" s="71"/>
      <c r="I1217" s="72"/>
      <c r="J1217" s="72"/>
      <c r="K1217" s="36"/>
      <c r="L1217" s="79"/>
      <c r="M1217" s="79"/>
      <c r="N1217" s="74"/>
      <c r="O1217" s="81" t="s">
        <v>693</v>
      </c>
      <c r="P1217" s="83">
        <v>44465.540532407409</v>
      </c>
      <c r="Q1217" s="81" t="s">
        <v>5505</v>
      </c>
      <c r="R1217" s="81"/>
      <c r="S1217" s="81"/>
      <c r="T1217" s="81"/>
      <c r="U1217" s="81"/>
      <c r="V1217" s="84" t="str">
        <f>HYPERLINK("https://pbs.twimg.com/profile_images/1147186886/pfcr_proletario_normal.jpg")</f>
        <v>https://pbs.twimg.com/profile_images/1147186886/pfcr_proletario_normal.jpg</v>
      </c>
      <c r="W1217" s="83">
        <v>44465.540532407409</v>
      </c>
      <c r="X1217" s="89">
        <v>44465</v>
      </c>
      <c r="Y1217" s="86" t="s">
        <v>6201</v>
      </c>
      <c r="Z1217" s="84" t="str">
        <f>HYPERLINK("https://twitter.com/proletariors/status/1442111301438742533")</f>
        <v>https://twitter.com/proletariors/status/1442111301438742533</v>
      </c>
      <c r="AA1217" s="81"/>
      <c r="AB1217" s="81"/>
      <c r="AC1217" s="86" t="s">
        <v>7111</v>
      </c>
      <c r="AD1217" s="81"/>
      <c r="AE1217" s="81" t="b">
        <v>0</v>
      </c>
      <c r="AF1217" s="81">
        <v>0</v>
      </c>
      <c r="AG1217" s="86" t="s">
        <v>2084</v>
      </c>
      <c r="AH1217" s="81" t="b">
        <v>0</v>
      </c>
      <c r="AI1217" s="81" t="s">
        <v>2171</v>
      </c>
      <c r="AJ1217" s="81"/>
      <c r="AK1217" s="86" t="s">
        <v>2084</v>
      </c>
      <c r="AL1217" s="81" t="b">
        <v>0</v>
      </c>
      <c r="AM1217" s="81">
        <v>255</v>
      </c>
      <c r="AN1217" s="86" t="s">
        <v>7543</v>
      </c>
      <c r="AO1217" s="86" t="s">
        <v>2181</v>
      </c>
      <c r="AP1217" s="81" t="b">
        <v>0</v>
      </c>
      <c r="AQ1217" s="86" t="s">
        <v>7543</v>
      </c>
      <c r="AR1217" s="81" t="s">
        <v>179</v>
      </c>
      <c r="AS1217" s="81">
        <v>0</v>
      </c>
      <c r="AT1217" s="81">
        <v>0</v>
      </c>
      <c r="AU1217" s="81"/>
      <c r="AV1217" s="81"/>
      <c r="AW1217" s="81"/>
      <c r="AX1217" s="81"/>
      <c r="AY1217" s="81"/>
      <c r="AZ1217" s="81"/>
      <c r="BA1217" s="81"/>
      <c r="BB1217" s="81"/>
    </row>
    <row r="1218" spans="1:54" x14ac:dyDescent="0.35">
      <c r="A1218" s="66" t="s">
        <v>4553</v>
      </c>
      <c r="B1218" s="66" t="s">
        <v>4944</v>
      </c>
      <c r="C1218" s="67"/>
      <c r="D1218" s="68"/>
      <c r="E1218" s="69"/>
      <c r="F1218" s="70"/>
      <c r="G1218" s="67"/>
      <c r="H1218" s="71"/>
      <c r="I1218" s="72"/>
      <c r="J1218" s="72"/>
      <c r="K1218" s="36"/>
      <c r="L1218" s="79"/>
      <c r="M1218" s="79"/>
      <c r="N1218" s="74"/>
      <c r="O1218" s="81" t="s">
        <v>693</v>
      </c>
      <c r="P1218" s="83">
        <v>44465.540821759256</v>
      </c>
      <c r="Q1218" s="81" t="s">
        <v>5505</v>
      </c>
      <c r="R1218" s="81"/>
      <c r="S1218" s="81"/>
      <c r="T1218" s="81"/>
      <c r="U1218" s="81"/>
      <c r="V1218" s="84" t="str">
        <f>HYPERLINK("https://pbs.twimg.com/profile_images/931022761723654144/Ys8imX2M_normal.jpg")</f>
        <v>https://pbs.twimg.com/profile_images/931022761723654144/Ys8imX2M_normal.jpg</v>
      </c>
      <c r="W1218" s="83">
        <v>44465.540821759256</v>
      </c>
      <c r="X1218" s="89">
        <v>44465</v>
      </c>
      <c r="Y1218" s="86" t="s">
        <v>6202</v>
      </c>
      <c r="Z1218" s="84" t="str">
        <f>HYPERLINK("https://twitter.com/cyberadaa/status/1442111409463218178")</f>
        <v>https://twitter.com/cyberadaa/status/1442111409463218178</v>
      </c>
      <c r="AA1218" s="81"/>
      <c r="AB1218" s="81"/>
      <c r="AC1218" s="86" t="s">
        <v>7112</v>
      </c>
      <c r="AD1218" s="81"/>
      <c r="AE1218" s="81" t="b">
        <v>0</v>
      </c>
      <c r="AF1218" s="81">
        <v>0</v>
      </c>
      <c r="AG1218" s="86" t="s">
        <v>2084</v>
      </c>
      <c r="AH1218" s="81" t="b">
        <v>0</v>
      </c>
      <c r="AI1218" s="81" t="s">
        <v>2171</v>
      </c>
      <c r="AJ1218" s="81"/>
      <c r="AK1218" s="86" t="s">
        <v>2084</v>
      </c>
      <c r="AL1218" s="81" t="b">
        <v>0</v>
      </c>
      <c r="AM1218" s="81">
        <v>255</v>
      </c>
      <c r="AN1218" s="86" t="s">
        <v>7543</v>
      </c>
      <c r="AO1218" s="86" t="s">
        <v>2178</v>
      </c>
      <c r="AP1218" s="81" t="b">
        <v>0</v>
      </c>
      <c r="AQ1218" s="86" t="s">
        <v>7543</v>
      </c>
      <c r="AR1218" s="81" t="s">
        <v>179</v>
      </c>
      <c r="AS1218" s="81">
        <v>0</v>
      </c>
      <c r="AT1218" s="81">
        <v>0</v>
      </c>
      <c r="AU1218" s="81"/>
      <c r="AV1218" s="81"/>
      <c r="AW1218" s="81"/>
      <c r="AX1218" s="81"/>
      <c r="AY1218" s="81"/>
      <c r="AZ1218" s="81"/>
      <c r="BA1218" s="81"/>
      <c r="BB1218" s="81"/>
    </row>
    <row r="1219" spans="1:54" x14ac:dyDescent="0.35">
      <c r="A1219" s="66" t="s">
        <v>4554</v>
      </c>
      <c r="B1219" s="66" t="s">
        <v>4944</v>
      </c>
      <c r="C1219" s="67"/>
      <c r="D1219" s="68"/>
      <c r="E1219" s="69"/>
      <c r="F1219" s="70"/>
      <c r="G1219" s="67"/>
      <c r="H1219" s="71"/>
      <c r="I1219" s="72"/>
      <c r="J1219" s="72"/>
      <c r="K1219" s="36"/>
      <c r="L1219" s="79"/>
      <c r="M1219" s="79"/>
      <c r="N1219" s="74"/>
      <c r="O1219" s="81" t="s">
        <v>693</v>
      </c>
      <c r="P1219" s="83">
        <v>44465.541597222225</v>
      </c>
      <c r="Q1219" s="81" t="s">
        <v>5505</v>
      </c>
      <c r="R1219" s="81"/>
      <c r="S1219" s="81"/>
      <c r="T1219" s="81"/>
      <c r="U1219" s="81"/>
      <c r="V1219" s="84" t="str">
        <f>HYPERLINK("https://pbs.twimg.com/profile_images/1434532594645884931/4HHJP2XB_normal.jpg")</f>
        <v>https://pbs.twimg.com/profile_images/1434532594645884931/4HHJP2XB_normal.jpg</v>
      </c>
      <c r="W1219" s="83">
        <v>44465.541597222225</v>
      </c>
      <c r="X1219" s="89">
        <v>44465</v>
      </c>
      <c r="Y1219" s="86" t="s">
        <v>6203</v>
      </c>
      <c r="Z1219" s="84" t="str">
        <f>HYPERLINK("https://twitter.com/souza_g1/status/1442111688950562816")</f>
        <v>https://twitter.com/souza_g1/status/1442111688950562816</v>
      </c>
      <c r="AA1219" s="81"/>
      <c r="AB1219" s="81"/>
      <c r="AC1219" s="86" t="s">
        <v>7113</v>
      </c>
      <c r="AD1219" s="81"/>
      <c r="AE1219" s="81" t="b">
        <v>0</v>
      </c>
      <c r="AF1219" s="81">
        <v>0</v>
      </c>
      <c r="AG1219" s="86" t="s">
        <v>2084</v>
      </c>
      <c r="AH1219" s="81" t="b">
        <v>0</v>
      </c>
      <c r="AI1219" s="81" t="s">
        <v>2171</v>
      </c>
      <c r="AJ1219" s="81"/>
      <c r="AK1219" s="86" t="s">
        <v>2084</v>
      </c>
      <c r="AL1219" s="81" t="b">
        <v>0</v>
      </c>
      <c r="AM1219" s="81">
        <v>255</v>
      </c>
      <c r="AN1219" s="86" t="s">
        <v>7543</v>
      </c>
      <c r="AO1219" s="86" t="s">
        <v>2178</v>
      </c>
      <c r="AP1219" s="81" t="b">
        <v>0</v>
      </c>
      <c r="AQ1219" s="86" t="s">
        <v>7543</v>
      </c>
      <c r="AR1219" s="81" t="s">
        <v>179</v>
      </c>
      <c r="AS1219" s="81">
        <v>0</v>
      </c>
      <c r="AT1219" s="81">
        <v>0</v>
      </c>
      <c r="AU1219" s="81"/>
      <c r="AV1219" s="81"/>
      <c r="AW1219" s="81"/>
      <c r="AX1219" s="81"/>
      <c r="AY1219" s="81"/>
      <c r="AZ1219" s="81"/>
      <c r="BA1219" s="81"/>
      <c r="BB1219" s="81"/>
    </row>
    <row r="1220" spans="1:54" x14ac:dyDescent="0.35">
      <c r="A1220" s="66" t="s">
        <v>4555</v>
      </c>
      <c r="B1220" s="66" t="s">
        <v>4944</v>
      </c>
      <c r="C1220" s="67"/>
      <c r="D1220" s="68"/>
      <c r="E1220" s="69"/>
      <c r="F1220" s="70"/>
      <c r="G1220" s="67"/>
      <c r="H1220" s="71"/>
      <c r="I1220" s="72"/>
      <c r="J1220" s="72"/>
      <c r="K1220" s="36"/>
      <c r="L1220" s="79"/>
      <c r="M1220" s="79"/>
      <c r="N1220" s="74"/>
      <c r="O1220" s="81" t="s">
        <v>693</v>
      </c>
      <c r="P1220" s="83">
        <v>44465.542129629626</v>
      </c>
      <c r="Q1220" s="81" t="s">
        <v>5505</v>
      </c>
      <c r="R1220" s="81"/>
      <c r="S1220" s="81"/>
      <c r="T1220" s="81"/>
      <c r="U1220" s="81"/>
      <c r="V1220" s="84" t="str">
        <f>HYPERLINK("https://pbs.twimg.com/profile_images/1403421622737018884/2Xdatj65_normal.jpg")</f>
        <v>https://pbs.twimg.com/profile_images/1403421622737018884/2Xdatj65_normal.jpg</v>
      </c>
      <c r="W1220" s="83">
        <v>44465.542129629626</v>
      </c>
      <c r="X1220" s="89">
        <v>44465</v>
      </c>
      <c r="Y1220" s="86" t="s">
        <v>6204</v>
      </c>
      <c r="Z1220" s="84" t="str">
        <f>HYPERLINK("https://twitter.com/zehdeabreu/status/1442111882714927109")</f>
        <v>https://twitter.com/zehdeabreu/status/1442111882714927109</v>
      </c>
      <c r="AA1220" s="81"/>
      <c r="AB1220" s="81"/>
      <c r="AC1220" s="86" t="s">
        <v>7114</v>
      </c>
      <c r="AD1220" s="81"/>
      <c r="AE1220" s="81" t="b">
        <v>0</v>
      </c>
      <c r="AF1220" s="81">
        <v>0</v>
      </c>
      <c r="AG1220" s="86" t="s">
        <v>2084</v>
      </c>
      <c r="AH1220" s="81" t="b">
        <v>0</v>
      </c>
      <c r="AI1220" s="81" t="s">
        <v>2171</v>
      </c>
      <c r="AJ1220" s="81"/>
      <c r="AK1220" s="86" t="s">
        <v>2084</v>
      </c>
      <c r="AL1220" s="81" t="b">
        <v>0</v>
      </c>
      <c r="AM1220" s="81">
        <v>255</v>
      </c>
      <c r="AN1220" s="86" t="s">
        <v>7543</v>
      </c>
      <c r="AO1220" s="86" t="s">
        <v>2181</v>
      </c>
      <c r="AP1220" s="81" t="b">
        <v>0</v>
      </c>
      <c r="AQ1220" s="86" t="s">
        <v>7543</v>
      </c>
      <c r="AR1220" s="81" t="s">
        <v>179</v>
      </c>
      <c r="AS1220" s="81">
        <v>0</v>
      </c>
      <c r="AT1220" s="81">
        <v>0</v>
      </c>
      <c r="AU1220" s="81"/>
      <c r="AV1220" s="81"/>
      <c r="AW1220" s="81"/>
      <c r="AX1220" s="81"/>
      <c r="AY1220" s="81"/>
      <c r="AZ1220" s="81"/>
      <c r="BA1220" s="81"/>
      <c r="BB1220" s="81"/>
    </row>
    <row r="1221" spans="1:54" x14ac:dyDescent="0.35">
      <c r="A1221" s="66" t="s">
        <v>4556</v>
      </c>
      <c r="B1221" s="66" t="s">
        <v>4944</v>
      </c>
      <c r="C1221" s="67"/>
      <c r="D1221" s="68"/>
      <c r="E1221" s="69"/>
      <c r="F1221" s="70"/>
      <c r="G1221" s="67"/>
      <c r="H1221" s="71"/>
      <c r="I1221" s="72"/>
      <c r="J1221" s="72"/>
      <c r="K1221" s="36"/>
      <c r="L1221" s="79"/>
      <c r="M1221" s="79"/>
      <c r="N1221" s="74"/>
      <c r="O1221" s="81" t="s">
        <v>693</v>
      </c>
      <c r="P1221" s="83">
        <v>44465.542303240742</v>
      </c>
      <c r="Q1221" s="81" t="s">
        <v>5505</v>
      </c>
      <c r="R1221" s="81"/>
      <c r="S1221" s="81"/>
      <c r="T1221" s="81"/>
      <c r="U1221" s="81"/>
      <c r="V1221" s="84" t="str">
        <f>HYPERLINK("https://pbs.twimg.com/profile_images/1007406096863105024/UkR5RXK7_normal.jpg")</f>
        <v>https://pbs.twimg.com/profile_images/1007406096863105024/UkR5RXK7_normal.jpg</v>
      </c>
      <c r="W1221" s="83">
        <v>44465.542303240742</v>
      </c>
      <c r="X1221" s="89">
        <v>44465</v>
      </c>
      <c r="Y1221" s="86" t="s">
        <v>6205</v>
      </c>
      <c r="Z1221" s="84" t="str">
        <f>HYPERLINK("https://twitter.com/ilbentinho/status/1442111945566474250")</f>
        <v>https://twitter.com/ilbentinho/status/1442111945566474250</v>
      </c>
      <c r="AA1221" s="81"/>
      <c r="AB1221" s="81"/>
      <c r="AC1221" s="86" t="s">
        <v>7115</v>
      </c>
      <c r="AD1221" s="81"/>
      <c r="AE1221" s="81" t="b">
        <v>0</v>
      </c>
      <c r="AF1221" s="81">
        <v>0</v>
      </c>
      <c r="AG1221" s="86" t="s">
        <v>2084</v>
      </c>
      <c r="AH1221" s="81" t="b">
        <v>0</v>
      </c>
      <c r="AI1221" s="81" t="s">
        <v>2171</v>
      </c>
      <c r="AJ1221" s="81"/>
      <c r="AK1221" s="86" t="s">
        <v>2084</v>
      </c>
      <c r="AL1221" s="81" t="b">
        <v>0</v>
      </c>
      <c r="AM1221" s="81">
        <v>255</v>
      </c>
      <c r="AN1221" s="86" t="s">
        <v>7543</v>
      </c>
      <c r="AO1221" s="86" t="s">
        <v>2178</v>
      </c>
      <c r="AP1221" s="81" t="b">
        <v>0</v>
      </c>
      <c r="AQ1221" s="86" t="s">
        <v>7543</v>
      </c>
      <c r="AR1221" s="81" t="s">
        <v>179</v>
      </c>
      <c r="AS1221" s="81">
        <v>0</v>
      </c>
      <c r="AT1221" s="81">
        <v>0</v>
      </c>
      <c r="AU1221" s="81"/>
      <c r="AV1221" s="81"/>
      <c r="AW1221" s="81"/>
      <c r="AX1221" s="81"/>
      <c r="AY1221" s="81"/>
      <c r="AZ1221" s="81"/>
      <c r="BA1221" s="81"/>
      <c r="BB1221" s="81"/>
    </row>
    <row r="1222" spans="1:54" x14ac:dyDescent="0.35">
      <c r="A1222" s="66" t="s">
        <v>4557</v>
      </c>
      <c r="B1222" s="66" t="s">
        <v>4944</v>
      </c>
      <c r="C1222" s="67"/>
      <c r="D1222" s="68"/>
      <c r="E1222" s="69"/>
      <c r="F1222" s="70"/>
      <c r="G1222" s="67"/>
      <c r="H1222" s="71"/>
      <c r="I1222" s="72"/>
      <c r="J1222" s="72"/>
      <c r="K1222" s="36"/>
      <c r="L1222" s="79"/>
      <c r="M1222" s="79"/>
      <c r="N1222" s="74"/>
      <c r="O1222" s="81" t="s">
        <v>693</v>
      </c>
      <c r="P1222" s="83">
        <v>44465.54241898148</v>
      </c>
      <c r="Q1222" s="81" t="s">
        <v>5505</v>
      </c>
      <c r="R1222" s="81"/>
      <c r="S1222" s="81"/>
      <c r="T1222" s="81"/>
      <c r="U1222" s="81"/>
      <c r="V1222" s="84" t="str">
        <f>HYPERLINK("https://pbs.twimg.com/profile_images/1322292080320958464/yb6U9hfE_normal.jpg")</f>
        <v>https://pbs.twimg.com/profile_images/1322292080320958464/yb6U9hfE_normal.jpg</v>
      </c>
      <c r="W1222" s="83">
        <v>44465.54241898148</v>
      </c>
      <c r="X1222" s="89">
        <v>44465</v>
      </c>
      <c r="Y1222" s="86" t="s">
        <v>6206</v>
      </c>
      <c r="Z1222" s="84" t="str">
        <f>HYPERLINK("https://twitter.com/maedojorel_/status/1442111985512968198")</f>
        <v>https://twitter.com/maedojorel_/status/1442111985512968198</v>
      </c>
      <c r="AA1222" s="81"/>
      <c r="AB1222" s="81"/>
      <c r="AC1222" s="86" t="s">
        <v>7116</v>
      </c>
      <c r="AD1222" s="81"/>
      <c r="AE1222" s="81" t="b">
        <v>0</v>
      </c>
      <c r="AF1222" s="81">
        <v>0</v>
      </c>
      <c r="AG1222" s="86" t="s">
        <v>2084</v>
      </c>
      <c r="AH1222" s="81" t="b">
        <v>0</v>
      </c>
      <c r="AI1222" s="81" t="s">
        <v>2171</v>
      </c>
      <c r="AJ1222" s="81"/>
      <c r="AK1222" s="86" t="s">
        <v>2084</v>
      </c>
      <c r="AL1222" s="81" t="b">
        <v>0</v>
      </c>
      <c r="AM1222" s="81">
        <v>255</v>
      </c>
      <c r="AN1222" s="86" t="s">
        <v>7543</v>
      </c>
      <c r="AO1222" s="86" t="s">
        <v>2179</v>
      </c>
      <c r="AP1222" s="81" t="b">
        <v>0</v>
      </c>
      <c r="AQ1222" s="86" t="s">
        <v>7543</v>
      </c>
      <c r="AR1222" s="81" t="s">
        <v>179</v>
      </c>
      <c r="AS1222" s="81">
        <v>0</v>
      </c>
      <c r="AT1222" s="81">
        <v>0</v>
      </c>
      <c r="AU1222" s="81"/>
      <c r="AV1222" s="81"/>
      <c r="AW1222" s="81"/>
      <c r="AX1222" s="81"/>
      <c r="AY1222" s="81"/>
      <c r="AZ1222" s="81"/>
      <c r="BA1222" s="81"/>
      <c r="BB1222" s="81"/>
    </row>
    <row r="1223" spans="1:54" x14ac:dyDescent="0.35">
      <c r="A1223" s="66" t="s">
        <v>4558</v>
      </c>
      <c r="B1223" s="66" t="s">
        <v>4944</v>
      </c>
      <c r="C1223" s="67"/>
      <c r="D1223" s="68"/>
      <c r="E1223" s="69"/>
      <c r="F1223" s="70"/>
      <c r="G1223" s="67"/>
      <c r="H1223" s="71"/>
      <c r="I1223" s="72"/>
      <c r="J1223" s="72"/>
      <c r="K1223" s="36"/>
      <c r="L1223" s="79"/>
      <c r="M1223" s="79"/>
      <c r="N1223" s="74"/>
      <c r="O1223" s="81" t="s">
        <v>693</v>
      </c>
      <c r="P1223" s="83">
        <v>44465.542824074073</v>
      </c>
      <c r="Q1223" s="81" t="s">
        <v>5505</v>
      </c>
      <c r="R1223" s="81"/>
      <c r="S1223" s="81"/>
      <c r="T1223" s="81"/>
      <c r="U1223" s="81"/>
      <c r="V1223" s="84" t="str">
        <f>HYPERLINK("https://pbs.twimg.com/profile_images/1100232586163617794/NVKsaD5M_normal.jpg")</f>
        <v>https://pbs.twimg.com/profile_images/1100232586163617794/NVKsaD5M_normal.jpg</v>
      </c>
      <c r="W1223" s="83">
        <v>44465.542824074073</v>
      </c>
      <c r="X1223" s="89">
        <v>44465</v>
      </c>
      <c r="Y1223" s="86" t="s">
        <v>1078</v>
      </c>
      <c r="Z1223" s="84" t="str">
        <f>HYPERLINK("https://twitter.com/eniotaniguti/status/1442112131768356868")</f>
        <v>https://twitter.com/eniotaniguti/status/1442112131768356868</v>
      </c>
      <c r="AA1223" s="81"/>
      <c r="AB1223" s="81"/>
      <c r="AC1223" s="86" t="s">
        <v>7117</v>
      </c>
      <c r="AD1223" s="81"/>
      <c r="AE1223" s="81" t="b">
        <v>0</v>
      </c>
      <c r="AF1223" s="81">
        <v>0</v>
      </c>
      <c r="AG1223" s="86" t="s">
        <v>2084</v>
      </c>
      <c r="AH1223" s="81" t="b">
        <v>0</v>
      </c>
      <c r="AI1223" s="81" t="s">
        <v>2171</v>
      </c>
      <c r="AJ1223" s="81"/>
      <c r="AK1223" s="86" t="s">
        <v>2084</v>
      </c>
      <c r="AL1223" s="81" t="b">
        <v>0</v>
      </c>
      <c r="AM1223" s="81">
        <v>255</v>
      </c>
      <c r="AN1223" s="86" t="s">
        <v>7543</v>
      </c>
      <c r="AO1223" s="86" t="s">
        <v>2178</v>
      </c>
      <c r="AP1223" s="81" t="b">
        <v>0</v>
      </c>
      <c r="AQ1223" s="86" t="s">
        <v>7543</v>
      </c>
      <c r="AR1223" s="81" t="s">
        <v>179</v>
      </c>
      <c r="AS1223" s="81">
        <v>0</v>
      </c>
      <c r="AT1223" s="81">
        <v>0</v>
      </c>
      <c r="AU1223" s="81"/>
      <c r="AV1223" s="81"/>
      <c r="AW1223" s="81"/>
      <c r="AX1223" s="81"/>
      <c r="AY1223" s="81"/>
      <c r="AZ1223" s="81"/>
      <c r="BA1223" s="81"/>
      <c r="BB1223" s="81"/>
    </row>
    <row r="1224" spans="1:54" x14ac:dyDescent="0.35">
      <c r="A1224" s="66" t="s">
        <v>4559</v>
      </c>
      <c r="B1224" s="66" t="s">
        <v>4944</v>
      </c>
      <c r="C1224" s="67"/>
      <c r="D1224" s="68"/>
      <c r="E1224" s="69"/>
      <c r="F1224" s="70"/>
      <c r="G1224" s="67"/>
      <c r="H1224" s="71"/>
      <c r="I1224" s="72"/>
      <c r="J1224" s="72"/>
      <c r="K1224" s="36"/>
      <c r="L1224" s="79"/>
      <c r="M1224" s="79"/>
      <c r="N1224" s="74"/>
      <c r="O1224" s="81" t="s">
        <v>693</v>
      </c>
      <c r="P1224" s="83">
        <v>44465.542858796296</v>
      </c>
      <c r="Q1224" s="81" t="s">
        <v>5505</v>
      </c>
      <c r="R1224" s="81"/>
      <c r="S1224" s="81"/>
      <c r="T1224" s="81"/>
      <c r="U1224" s="81"/>
      <c r="V1224" s="84" t="str">
        <f>HYPERLINK("https://pbs.twimg.com/profile_images/1103237938996039680/wO7KjE4__normal.png")</f>
        <v>https://pbs.twimg.com/profile_images/1103237938996039680/wO7KjE4__normal.png</v>
      </c>
      <c r="W1224" s="83">
        <v>44465.542858796296</v>
      </c>
      <c r="X1224" s="89">
        <v>44465</v>
      </c>
      <c r="Y1224" s="86" t="s">
        <v>6207</v>
      </c>
      <c r="Z1224" s="84" t="str">
        <f>HYPERLINK("https://twitter.com/observotariopig/status/1442112147681579009")</f>
        <v>https://twitter.com/observotariopig/status/1442112147681579009</v>
      </c>
      <c r="AA1224" s="81"/>
      <c r="AB1224" s="81"/>
      <c r="AC1224" s="86" t="s">
        <v>7118</v>
      </c>
      <c r="AD1224" s="81"/>
      <c r="AE1224" s="81" t="b">
        <v>0</v>
      </c>
      <c r="AF1224" s="81">
        <v>0</v>
      </c>
      <c r="AG1224" s="86" t="s">
        <v>2084</v>
      </c>
      <c r="AH1224" s="81" t="b">
        <v>0</v>
      </c>
      <c r="AI1224" s="81" t="s">
        <v>2171</v>
      </c>
      <c r="AJ1224" s="81"/>
      <c r="AK1224" s="86" t="s">
        <v>2084</v>
      </c>
      <c r="AL1224" s="81" t="b">
        <v>0</v>
      </c>
      <c r="AM1224" s="81">
        <v>255</v>
      </c>
      <c r="AN1224" s="86" t="s">
        <v>7543</v>
      </c>
      <c r="AO1224" s="86" t="s">
        <v>2181</v>
      </c>
      <c r="AP1224" s="81" t="b">
        <v>0</v>
      </c>
      <c r="AQ1224" s="86" t="s">
        <v>7543</v>
      </c>
      <c r="AR1224" s="81" t="s">
        <v>179</v>
      </c>
      <c r="AS1224" s="81">
        <v>0</v>
      </c>
      <c r="AT1224" s="81">
        <v>0</v>
      </c>
      <c r="AU1224" s="81"/>
      <c r="AV1224" s="81"/>
      <c r="AW1224" s="81"/>
      <c r="AX1224" s="81"/>
      <c r="AY1224" s="81"/>
      <c r="AZ1224" s="81"/>
      <c r="BA1224" s="81"/>
      <c r="BB1224" s="81"/>
    </row>
    <row r="1225" spans="1:54" x14ac:dyDescent="0.35">
      <c r="A1225" s="66" t="s">
        <v>4560</v>
      </c>
      <c r="B1225" s="66" t="s">
        <v>4944</v>
      </c>
      <c r="C1225" s="67"/>
      <c r="D1225" s="68"/>
      <c r="E1225" s="69"/>
      <c r="F1225" s="70"/>
      <c r="G1225" s="67"/>
      <c r="H1225" s="71"/>
      <c r="I1225" s="72"/>
      <c r="J1225" s="72"/>
      <c r="K1225" s="36"/>
      <c r="L1225" s="79"/>
      <c r="M1225" s="79"/>
      <c r="N1225" s="74"/>
      <c r="O1225" s="81" t="s">
        <v>693</v>
      </c>
      <c r="P1225" s="83">
        <v>44465.543541666666</v>
      </c>
      <c r="Q1225" s="81" t="s">
        <v>5505</v>
      </c>
      <c r="R1225" s="81"/>
      <c r="S1225" s="81"/>
      <c r="T1225" s="81"/>
      <c r="U1225" s="81"/>
      <c r="V1225" s="84" t="str">
        <f>HYPERLINK("https://pbs.twimg.com/profile_images/1433785108453117964/-W41CrZl_normal.jpg")</f>
        <v>https://pbs.twimg.com/profile_images/1433785108453117964/-W41CrZl_normal.jpg</v>
      </c>
      <c r="W1225" s="83">
        <v>44465.543541666666</v>
      </c>
      <c r="X1225" s="89">
        <v>44465</v>
      </c>
      <c r="Y1225" s="86" t="s">
        <v>6208</v>
      </c>
      <c r="Z1225" s="84" t="str">
        <f>HYPERLINK("https://twitter.com/shock0031/status/1442112392243126284")</f>
        <v>https://twitter.com/shock0031/status/1442112392243126284</v>
      </c>
      <c r="AA1225" s="81"/>
      <c r="AB1225" s="81"/>
      <c r="AC1225" s="86" t="s">
        <v>7119</v>
      </c>
      <c r="AD1225" s="81"/>
      <c r="AE1225" s="81" t="b">
        <v>0</v>
      </c>
      <c r="AF1225" s="81">
        <v>0</v>
      </c>
      <c r="AG1225" s="86" t="s">
        <v>2084</v>
      </c>
      <c r="AH1225" s="81" t="b">
        <v>0</v>
      </c>
      <c r="AI1225" s="81" t="s">
        <v>2171</v>
      </c>
      <c r="AJ1225" s="81"/>
      <c r="AK1225" s="86" t="s">
        <v>2084</v>
      </c>
      <c r="AL1225" s="81" t="b">
        <v>0</v>
      </c>
      <c r="AM1225" s="81">
        <v>255</v>
      </c>
      <c r="AN1225" s="86" t="s">
        <v>7543</v>
      </c>
      <c r="AO1225" s="86" t="s">
        <v>2178</v>
      </c>
      <c r="AP1225" s="81" t="b">
        <v>0</v>
      </c>
      <c r="AQ1225" s="86" t="s">
        <v>7543</v>
      </c>
      <c r="AR1225" s="81" t="s">
        <v>179</v>
      </c>
      <c r="AS1225" s="81">
        <v>0</v>
      </c>
      <c r="AT1225" s="81">
        <v>0</v>
      </c>
      <c r="AU1225" s="81"/>
      <c r="AV1225" s="81"/>
      <c r="AW1225" s="81"/>
      <c r="AX1225" s="81"/>
      <c r="AY1225" s="81"/>
      <c r="AZ1225" s="81"/>
      <c r="BA1225" s="81"/>
      <c r="BB1225" s="81"/>
    </row>
    <row r="1226" spans="1:54" x14ac:dyDescent="0.35">
      <c r="A1226" s="66" t="s">
        <v>4561</v>
      </c>
      <c r="B1226" s="66" t="s">
        <v>4944</v>
      </c>
      <c r="C1226" s="67"/>
      <c r="D1226" s="68"/>
      <c r="E1226" s="69"/>
      <c r="F1226" s="70"/>
      <c r="G1226" s="67"/>
      <c r="H1226" s="71"/>
      <c r="I1226" s="72"/>
      <c r="J1226" s="72"/>
      <c r="K1226" s="36"/>
      <c r="L1226" s="79"/>
      <c r="M1226" s="79"/>
      <c r="N1226" s="74"/>
      <c r="O1226" s="81" t="s">
        <v>693</v>
      </c>
      <c r="P1226" s="83">
        <v>44465.543645833335</v>
      </c>
      <c r="Q1226" s="81" t="s">
        <v>5505</v>
      </c>
      <c r="R1226" s="81"/>
      <c r="S1226" s="81"/>
      <c r="T1226" s="81"/>
      <c r="U1226" s="81"/>
      <c r="V1226" s="84" t="str">
        <f>HYPERLINK("https://pbs.twimg.com/profile_images/1411865439668477952/zN32-Jtl_normal.jpg")</f>
        <v>https://pbs.twimg.com/profile_images/1411865439668477952/zN32-Jtl_normal.jpg</v>
      </c>
      <c r="W1226" s="83">
        <v>44465.543645833335</v>
      </c>
      <c r="X1226" s="89">
        <v>44465</v>
      </c>
      <c r="Y1226" s="86" t="s">
        <v>6209</v>
      </c>
      <c r="Z1226" s="84" t="str">
        <f>HYPERLINK("https://twitter.com/guilhermetom/status/1442112430331490313")</f>
        <v>https://twitter.com/guilhermetom/status/1442112430331490313</v>
      </c>
      <c r="AA1226" s="81"/>
      <c r="AB1226" s="81"/>
      <c r="AC1226" s="86" t="s">
        <v>7120</v>
      </c>
      <c r="AD1226" s="81"/>
      <c r="AE1226" s="81" t="b">
        <v>0</v>
      </c>
      <c r="AF1226" s="81">
        <v>0</v>
      </c>
      <c r="AG1226" s="86" t="s">
        <v>2084</v>
      </c>
      <c r="AH1226" s="81" t="b">
        <v>0</v>
      </c>
      <c r="AI1226" s="81" t="s">
        <v>2171</v>
      </c>
      <c r="AJ1226" s="81"/>
      <c r="AK1226" s="86" t="s">
        <v>2084</v>
      </c>
      <c r="AL1226" s="81" t="b">
        <v>0</v>
      </c>
      <c r="AM1226" s="81">
        <v>255</v>
      </c>
      <c r="AN1226" s="86" t="s">
        <v>7543</v>
      </c>
      <c r="AO1226" s="86" t="s">
        <v>2181</v>
      </c>
      <c r="AP1226" s="81" t="b">
        <v>0</v>
      </c>
      <c r="AQ1226" s="86" t="s">
        <v>7543</v>
      </c>
      <c r="AR1226" s="81" t="s">
        <v>179</v>
      </c>
      <c r="AS1226" s="81">
        <v>0</v>
      </c>
      <c r="AT1226" s="81">
        <v>0</v>
      </c>
      <c r="AU1226" s="81"/>
      <c r="AV1226" s="81"/>
      <c r="AW1226" s="81"/>
      <c r="AX1226" s="81"/>
      <c r="AY1226" s="81"/>
      <c r="AZ1226" s="81"/>
      <c r="BA1226" s="81"/>
      <c r="BB1226" s="81"/>
    </row>
    <row r="1227" spans="1:54" x14ac:dyDescent="0.35">
      <c r="A1227" s="66" t="s">
        <v>4562</v>
      </c>
      <c r="B1227" s="66" t="s">
        <v>4944</v>
      </c>
      <c r="C1227" s="67"/>
      <c r="D1227" s="68"/>
      <c r="E1227" s="69"/>
      <c r="F1227" s="70"/>
      <c r="G1227" s="67"/>
      <c r="H1227" s="71"/>
      <c r="I1227" s="72"/>
      <c r="J1227" s="72"/>
      <c r="K1227" s="36"/>
      <c r="L1227" s="79"/>
      <c r="M1227" s="79"/>
      <c r="N1227" s="74"/>
      <c r="O1227" s="81" t="s">
        <v>693</v>
      </c>
      <c r="P1227" s="83">
        <v>44465.543703703705</v>
      </c>
      <c r="Q1227" s="81" t="s">
        <v>5505</v>
      </c>
      <c r="R1227" s="81"/>
      <c r="S1227" s="81"/>
      <c r="T1227" s="81"/>
      <c r="U1227" s="81"/>
      <c r="V1227" s="84" t="str">
        <f>HYPERLINK("https://pbs.twimg.com/profile_images/1422348836618620929/JkPBMESh_normal.jpg")</f>
        <v>https://pbs.twimg.com/profile_images/1422348836618620929/JkPBMESh_normal.jpg</v>
      </c>
      <c r="W1227" s="83">
        <v>44465.543703703705</v>
      </c>
      <c r="X1227" s="89">
        <v>44465</v>
      </c>
      <c r="Y1227" s="86" t="s">
        <v>6210</v>
      </c>
      <c r="Z1227" s="84" t="str">
        <f>HYPERLINK("https://twitter.com/yzaaia/status/1442112452695523328")</f>
        <v>https://twitter.com/yzaaia/status/1442112452695523328</v>
      </c>
      <c r="AA1227" s="81"/>
      <c r="AB1227" s="81"/>
      <c r="AC1227" s="86" t="s">
        <v>7121</v>
      </c>
      <c r="AD1227" s="81"/>
      <c r="AE1227" s="81" t="b">
        <v>0</v>
      </c>
      <c r="AF1227" s="81">
        <v>0</v>
      </c>
      <c r="AG1227" s="86" t="s">
        <v>2084</v>
      </c>
      <c r="AH1227" s="81" t="b">
        <v>0</v>
      </c>
      <c r="AI1227" s="81" t="s">
        <v>2171</v>
      </c>
      <c r="AJ1227" s="81"/>
      <c r="AK1227" s="86" t="s">
        <v>2084</v>
      </c>
      <c r="AL1227" s="81" t="b">
        <v>0</v>
      </c>
      <c r="AM1227" s="81">
        <v>255</v>
      </c>
      <c r="AN1227" s="86" t="s">
        <v>7543</v>
      </c>
      <c r="AO1227" s="86" t="s">
        <v>2179</v>
      </c>
      <c r="AP1227" s="81" t="b">
        <v>0</v>
      </c>
      <c r="AQ1227" s="86" t="s">
        <v>7543</v>
      </c>
      <c r="AR1227" s="81" t="s">
        <v>179</v>
      </c>
      <c r="AS1227" s="81">
        <v>0</v>
      </c>
      <c r="AT1227" s="81">
        <v>0</v>
      </c>
      <c r="AU1227" s="81"/>
      <c r="AV1227" s="81"/>
      <c r="AW1227" s="81"/>
      <c r="AX1227" s="81"/>
      <c r="AY1227" s="81"/>
      <c r="AZ1227" s="81"/>
      <c r="BA1227" s="81"/>
      <c r="BB1227" s="81"/>
    </row>
    <row r="1228" spans="1:54" x14ac:dyDescent="0.35">
      <c r="A1228" s="66" t="s">
        <v>4563</v>
      </c>
      <c r="B1228" s="66" t="s">
        <v>4944</v>
      </c>
      <c r="C1228" s="67"/>
      <c r="D1228" s="68"/>
      <c r="E1228" s="69"/>
      <c r="F1228" s="70"/>
      <c r="G1228" s="67"/>
      <c r="H1228" s="71"/>
      <c r="I1228" s="72"/>
      <c r="J1228" s="72"/>
      <c r="K1228" s="36"/>
      <c r="L1228" s="79"/>
      <c r="M1228" s="79"/>
      <c r="N1228" s="74"/>
      <c r="O1228" s="81" t="s">
        <v>693</v>
      </c>
      <c r="P1228" s="83">
        <v>44465.544560185182</v>
      </c>
      <c r="Q1228" s="81" t="s">
        <v>5505</v>
      </c>
      <c r="R1228" s="81"/>
      <c r="S1228" s="81"/>
      <c r="T1228" s="81"/>
      <c r="U1228" s="81"/>
      <c r="V1228" s="84" t="str">
        <f>HYPERLINK("https://pbs.twimg.com/profile_images/1345453461840617472/3rGwV-ac_normal.png")</f>
        <v>https://pbs.twimg.com/profile_images/1345453461840617472/3rGwV-ac_normal.png</v>
      </c>
      <c r="W1228" s="83">
        <v>44465.544560185182</v>
      </c>
      <c r="X1228" s="89">
        <v>44465</v>
      </c>
      <c r="Y1228" s="86" t="s">
        <v>6211</v>
      </c>
      <c r="Z1228" s="84" t="str">
        <f>HYPERLINK("https://twitter.com/sandroka131/status/1442112763220959234")</f>
        <v>https://twitter.com/sandroka131/status/1442112763220959234</v>
      </c>
      <c r="AA1228" s="81"/>
      <c r="AB1228" s="81"/>
      <c r="AC1228" s="86" t="s">
        <v>7122</v>
      </c>
      <c r="AD1228" s="81"/>
      <c r="AE1228" s="81" t="b">
        <v>0</v>
      </c>
      <c r="AF1228" s="81">
        <v>0</v>
      </c>
      <c r="AG1228" s="86" t="s">
        <v>2084</v>
      </c>
      <c r="AH1228" s="81" t="b">
        <v>0</v>
      </c>
      <c r="AI1228" s="81" t="s">
        <v>2171</v>
      </c>
      <c r="AJ1228" s="81"/>
      <c r="AK1228" s="86" t="s">
        <v>2084</v>
      </c>
      <c r="AL1228" s="81" t="b">
        <v>0</v>
      </c>
      <c r="AM1228" s="81">
        <v>255</v>
      </c>
      <c r="AN1228" s="86" t="s">
        <v>7543</v>
      </c>
      <c r="AO1228" s="86" t="s">
        <v>2179</v>
      </c>
      <c r="AP1228" s="81" t="b">
        <v>0</v>
      </c>
      <c r="AQ1228" s="86" t="s">
        <v>7543</v>
      </c>
      <c r="AR1228" s="81" t="s">
        <v>179</v>
      </c>
      <c r="AS1228" s="81">
        <v>0</v>
      </c>
      <c r="AT1228" s="81">
        <v>0</v>
      </c>
      <c r="AU1228" s="81"/>
      <c r="AV1228" s="81"/>
      <c r="AW1228" s="81"/>
      <c r="AX1228" s="81"/>
      <c r="AY1228" s="81"/>
      <c r="AZ1228" s="81"/>
      <c r="BA1228" s="81"/>
      <c r="BB1228" s="81"/>
    </row>
    <row r="1229" spans="1:54" x14ac:dyDescent="0.35">
      <c r="A1229" s="66" t="s">
        <v>4564</v>
      </c>
      <c r="B1229" s="66" t="s">
        <v>4944</v>
      </c>
      <c r="C1229" s="67"/>
      <c r="D1229" s="68"/>
      <c r="E1229" s="69"/>
      <c r="F1229" s="70"/>
      <c r="G1229" s="67"/>
      <c r="H1229" s="71"/>
      <c r="I1229" s="72"/>
      <c r="J1229" s="72"/>
      <c r="K1229" s="36"/>
      <c r="L1229" s="79"/>
      <c r="M1229" s="79"/>
      <c r="N1229" s="74"/>
      <c r="O1229" s="81" t="s">
        <v>693</v>
      </c>
      <c r="P1229" s="83">
        <v>44465.544699074075</v>
      </c>
      <c r="Q1229" s="81" t="s">
        <v>5505</v>
      </c>
      <c r="R1229" s="81"/>
      <c r="S1229" s="81"/>
      <c r="T1229" s="81"/>
      <c r="U1229" s="81"/>
      <c r="V1229" s="84" t="str">
        <f>HYPERLINK("https://pbs.twimg.com/profile_images/1103446738294181889/y5om_vP__normal.png")</f>
        <v>https://pbs.twimg.com/profile_images/1103446738294181889/y5om_vP__normal.png</v>
      </c>
      <c r="W1229" s="83">
        <v>44465.544699074075</v>
      </c>
      <c r="X1229" s="89">
        <v>44465</v>
      </c>
      <c r="Y1229" s="86" t="s">
        <v>6212</v>
      </c>
      <c r="Z1229" s="84" t="str">
        <f>HYPERLINK("https://twitter.com/amilcarodrigues/status/1442112815263854592")</f>
        <v>https://twitter.com/amilcarodrigues/status/1442112815263854592</v>
      </c>
      <c r="AA1229" s="81"/>
      <c r="AB1229" s="81"/>
      <c r="AC1229" s="86" t="s">
        <v>7123</v>
      </c>
      <c r="AD1229" s="81"/>
      <c r="AE1229" s="81" t="b">
        <v>0</v>
      </c>
      <c r="AF1229" s="81">
        <v>0</v>
      </c>
      <c r="AG1229" s="86" t="s">
        <v>2084</v>
      </c>
      <c r="AH1229" s="81" t="b">
        <v>0</v>
      </c>
      <c r="AI1229" s="81" t="s">
        <v>2171</v>
      </c>
      <c r="AJ1229" s="81"/>
      <c r="AK1229" s="86" t="s">
        <v>2084</v>
      </c>
      <c r="AL1229" s="81" t="b">
        <v>0</v>
      </c>
      <c r="AM1229" s="81">
        <v>255</v>
      </c>
      <c r="AN1229" s="86" t="s">
        <v>7543</v>
      </c>
      <c r="AO1229" s="86" t="s">
        <v>2178</v>
      </c>
      <c r="AP1229" s="81" t="b">
        <v>0</v>
      </c>
      <c r="AQ1229" s="86" t="s">
        <v>7543</v>
      </c>
      <c r="AR1229" s="81" t="s">
        <v>179</v>
      </c>
      <c r="AS1229" s="81">
        <v>0</v>
      </c>
      <c r="AT1229" s="81">
        <v>0</v>
      </c>
      <c r="AU1229" s="81"/>
      <c r="AV1229" s="81"/>
      <c r="AW1229" s="81"/>
      <c r="AX1229" s="81"/>
      <c r="AY1229" s="81"/>
      <c r="AZ1229" s="81"/>
      <c r="BA1229" s="81"/>
      <c r="BB1229" s="81"/>
    </row>
    <row r="1230" spans="1:54" x14ac:dyDescent="0.35">
      <c r="A1230" s="66" t="s">
        <v>4565</v>
      </c>
      <c r="B1230" s="66" t="s">
        <v>4944</v>
      </c>
      <c r="C1230" s="67"/>
      <c r="D1230" s="68"/>
      <c r="E1230" s="69"/>
      <c r="F1230" s="70"/>
      <c r="G1230" s="67"/>
      <c r="H1230" s="71"/>
      <c r="I1230" s="72"/>
      <c r="J1230" s="72"/>
      <c r="K1230" s="36"/>
      <c r="L1230" s="79"/>
      <c r="M1230" s="79"/>
      <c r="N1230" s="74"/>
      <c r="O1230" s="81" t="s">
        <v>693</v>
      </c>
      <c r="P1230" s="83">
        <v>44465.544710648152</v>
      </c>
      <c r="Q1230" s="81" t="s">
        <v>5505</v>
      </c>
      <c r="R1230" s="81"/>
      <c r="S1230" s="81"/>
      <c r="T1230" s="81"/>
      <c r="U1230" s="81"/>
      <c r="V1230" s="84" t="str">
        <f>HYPERLINK("https://pbs.twimg.com/profile_images/1426351159862861826/04x2zEV3_normal.jpg")</f>
        <v>https://pbs.twimg.com/profile_images/1426351159862861826/04x2zEV3_normal.jpg</v>
      </c>
      <c r="W1230" s="83">
        <v>44465.544710648152</v>
      </c>
      <c r="X1230" s="89">
        <v>44465</v>
      </c>
      <c r="Y1230" s="86" t="s">
        <v>6213</v>
      </c>
      <c r="Z1230" s="84" t="str">
        <f>HYPERLINK("https://twitter.com/cantidio_jose/status/1442112815943221252")</f>
        <v>https://twitter.com/cantidio_jose/status/1442112815943221252</v>
      </c>
      <c r="AA1230" s="81"/>
      <c r="AB1230" s="81"/>
      <c r="AC1230" s="86" t="s">
        <v>7124</v>
      </c>
      <c r="AD1230" s="81"/>
      <c r="AE1230" s="81" t="b">
        <v>0</v>
      </c>
      <c r="AF1230" s="81">
        <v>0</v>
      </c>
      <c r="AG1230" s="86" t="s">
        <v>2084</v>
      </c>
      <c r="AH1230" s="81" t="b">
        <v>0</v>
      </c>
      <c r="AI1230" s="81" t="s">
        <v>2171</v>
      </c>
      <c r="AJ1230" s="81"/>
      <c r="AK1230" s="86" t="s">
        <v>2084</v>
      </c>
      <c r="AL1230" s="81" t="b">
        <v>0</v>
      </c>
      <c r="AM1230" s="81">
        <v>255</v>
      </c>
      <c r="AN1230" s="86" t="s">
        <v>7543</v>
      </c>
      <c r="AO1230" s="86" t="s">
        <v>2178</v>
      </c>
      <c r="AP1230" s="81" t="b">
        <v>0</v>
      </c>
      <c r="AQ1230" s="86" t="s">
        <v>7543</v>
      </c>
      <c r="AR1230" s="81" t="s">
        <v>179</v>
      </c>
      <c r="AS1230" s="81">
        <v>0</v>
      </c>
      <c r="AT1230" s="81">
        <v>0</v>
      </c>
      <c r="AU1230" s="81"/>
      <c r="AV1230" s="81"/>
      <c r="AW1230" s="81"/>
      <c r="AX1230" s="81"/>
      <c r="AY1230" s="81"/>
      <c r="AZ1230" s="81"/>
      <c r="BA1230" s="81"/>
      <c r="BB1230" s="81"/>
    </row>
    <row r="1231" spans="1:54" x14ac:dyDescent="0.35">
      <c r="A1231" s="66" t="s">
        <v>4566</v>
      </c>
      <c r="B1231" s="66" t="s">
        <v>4944</v>
      </c>
      <c r="C1231" s="67"/>
      <c r="D1231" s="68"/>
      <c r="E1231" s="69"/>
      <c r="F1231" s="70"/>
      <c r="G1231" s="67"/>
      <c r="H1231" s="71"/>
      <c r="I1231" s="72"/>
      <c r="J1231" s="72"/>
      <c r="K1231" s="36"/>
      <c r="L1231" s="79"/>
      <c r="M1231" s="79"/>
      <c r="N1231" s="74"/>
      <c r="O1231" s="81" t="s">
        <v>693</v>
      </c>
      <c r="P1231" s="83">
        <v>44465.545011574075</v>
      </c>
      <c r="Q1231" s="81" t="s">
        <v>5505</v>
      </c>
      <c r="R1231" s="81"/>
      <c r="S1231" s="81"/>
      <c r="T1231" s="81"/>
      <c r="U1231" s="81"/>
      <c r="V1231" s="84" t="str">
        <f>HYPERLINK("https://pbs.twimg.com/profile_images/1383575635293921285/2InQf75d_normal.jpg")</f>
        <v>https://pbs.twimg.com/profile_images/1383575635293921285/2InQf75d_normal.jpg</v>
      </c>
      <c r="W1231" s="83">
        <v>44465.545011574075</v>
      </c>
      <c r="X1231" s="89">
        <v>44465</v>
      </c>
      <c r="Y1231" s="86" t="s">
        <v>6214</v>
      </c>
      <c r="Z1231" s="84" t="str">
        <f>HYPERLINK("https://twitter.com/tunado70/status/1442112925284515842")</f>
        <v>https://twitter.com/tunado70/status/1442112925284515842</v>
      </c>
      <c r="AA1231" s="81"/>
      <c r="AB1231" s="81"/>
      <c r="AC1231" s="86" t="s">
        <v>7125</v>
      </c>
      <c r="AD1231" s="81"/>
      <c r="AE1231" s="81" t="b">
        <v>0</v>
      </c>
      <c r="AF1231" s="81">
        <v>0</v>
      </c>
      <c r="AG1231" s="86" t="s">
        <v>2084</v>
      </c>
      <c r="AH1231" s="81" t="b">
        <v>0</v>
      </c>
      <c r="AI1231" s="81" t="s">
        <v>2171</v>
      </c>
      <c r="AJ1231" s="81"/>
      <c r="AK1231" s="86" t="s">
        <v>2084</v>
      </c>
      <c r="AL1231" s="81" t="b">
        <v>0</v>
      </c>
      <c r="AM1231" s="81">
        <v>255</v>
      </c>
      <c r="AN1231" s="86" t="s">
        <v>7543</v>
      </c>
      <c r="AO1231" s="86" t="s">
        <v>2178</v>
      </c>
      <c r="AP1231" s="81" t="b">
        <v>0</v>
      </c>
      <c r="AQ1231" s="86" t="s">
        <v>7543</v>
      </c>
      <c r="AR1231" s="81" t="s">
        <v>179</v>
      </c>
      <c r="AS1231" s="81">
        <v>0</v>
      </c>
      <c r="AT1231" s="81">
        <v>0</v>
      </c>
      <c r="AU1231" s="81"/>
      <c r="AV1231" s="81"/>
      <c r="AW1231" s="81"/>
      <c r="AX1231" s="81"/>
      <c r="AY1231" s="81"/>
      <c r="AZ1231" s="81"/>
      <c r="BA1231" s="81"/>
      <c r="BB1231" s="81"/>
    </row>
    <row r="1232" spans="1:54" x14ac:dyDescent="0.35">
      <c r="A1232" s="66" t="s">
        <v>4568</v>
      </c>
      <c r="B1232" s="66" t="s">
        <v>4567</v>
      </c>
      <c r="C1232" s="67"/>
      <c r="D1232" s="68"/>
      <c r="E1232" s="69"/>
      <c r="F1232" s="70"/>
      <c r="G1232" s="67"/>
      <c r="H1232" s="71"/>
      <c r="I1232" s="72"/>
      <c r="J1232" s="72"/>
      <c r="K1232" s="36"/>
      <c r="L1232" s="79"/>
      <c r="M1232" s="79"/>
      <c r="N1232" s="74"/>
      <c r="O1232" s="81" t="s">
        <v>693</v>
      </c>
      <c r="P1232" s="83">
        <v>44464.595289351855</v>
      </c>
      <c r="Q1232" s="81" t="s">
        <v>5449</v>
      </c>
      <c r="R1232" s="81"/>
      <c r="S1232" s="81"/>
      <c r="T1232" s="81"/>
      <c r="U1232" s="81"/>
      <c r="V1232" s="84" t="str">
        <f>HYPERLINK("https://pbs.twimg.com/profile_images/1414200150524825603/9zKMNC8q_normal.jpg")</f>
        <v>https://pbs.twimg.com/profile_images/1414200150524825603/9zKMNC8q_normal.jpg</v>
      </c>
      <c r="W1232" s="83">
        <v>44464.595289351855</v>
      </c>
      <c r="X1232" s="89">
        <v>44464</v>
      </c>
      <c r="Y1232" s="86" t="s">
        <v>6216</v>
      </c>
      <c r="Z1232" s="84" t="str">
        <f>HYPERLINK("https://twitter.com/trajanojorge/status/1441768757052026880")</f>
        <v>https://twitter.com/trajanojorge/status/1441768757052026880</v>
      </c>
      <c r="AA1232" s="81"/>
      <c r="AB1232" s="81"/>
      <c r="AC1232" s="86" t="s">
        <v>7127</v>
      </c>
      <c r="AD1232" s="81"/>
      <c r="AE1232" s="81" t="b">
        <v>0</v>
      </c>
      <c r="AF1232" s="81">
        <v>0</v>
      </c>
      <c r="AG1232" s="86" t="s">
        <v>2084</v>
      </c>
      <c r="AH1232" s="81" t="b">
        <v>0</v>
      </c>
      <c r="AI1232" s="81" t="s">
        <v>2171</v>
      </c>
      <c r="AJ1232" s="81"/>
      <c r="AK1232" s="86" t="s">
        <v>2084</v>
      </c>
      <c r="AL1232" s="81" t="b">
        <v>0</v>
      </c>
      <c r="AM1232" s="81">
        <v>5</v>
      </c>
      <c r="AN1232" s="86" t="s">
        <v>7126</v>
      </c>
      <c r="AO1232" s="86" t="s">
        <v>2178</v>
      </c>
      <c r="AP1232" s="81" t="b">
        <v>0</v>
      </c>
      <c r="AQ1232" s="86" t="s">
        <v>7126</v>
      </c>
      <c r="AR1232" s="81" t="s">
        <v>179</v>
      </c>
      <c r="AS1232" s="81">
        <v>0</v>
      </c>
      <c r="AT1232" s="81">
        <v>0</v>
      </c>
      <c r="AU1232" s="81"/>
      <c r="AV1232" s="81"/>
      <c r="AW1232" s="81"/>
      <c r="AX1232" s="81"/>
      <c r="AY1232" s="81"/>
      <c r="AZ1232" s="81"/>
      <c r="BA1232" s="81"/>
      <c r="BB1232" s="81"/>
    </row>
    <row r="1233" spans="1:54" x14ac:dyDescent="0.35">
      <c r="A1233" s="66" t="s">
        <v>4568</v>
      </c>
      <c r="B1233" s="66" t="s">
        <v>5091</v>
      </c>
      <c r="C1233" s="67"/>
      <c r="D1233" s="68"/>
      <c r="E1233" s="69"/>
      <c r="F1233" s="70"/>
      <c r="G1233" s="67"/>
      <c r="H1233" s="71"/>
      <c r="I1233" s="72"/>
      <c r="J1233" s="72"/>
      <c r="K1233" s="36"/>
      <c r="L1233" s="79"/>
      <c r="M1233" s="79"/>
      <c r="N1233" s="74"/>
      <c r="O1233" s="81" t="s">
        <v>695</v>
      </c>
      <c r="P1233" s="83">
        <v>44464.595289351855</v>
      </c>
      <c r="Q1233" s="81" t="s">
        <v>5449</v>
      </c>
      <c r="R1233" s="81"/>
      <c r="S1233" s="81"/>
      <c r="T1233" s="81"/>
      <c r="U1233" s="81"/>
      <c r="V1233" s="84" t="str">
        <f>HYPERLINK("https://pbs.twimg.com/profile_images/1414200150524825603/9zKMNC8q_normal.jpg")</f>
        <v>https://pbs.twimg.com/profile_images/1414200150524825603/9zKMNC8q_normal.jpg</v>
      </c>
      <c r="W1233" s="83">
        <v>44464.595289351855</v>
      </c>
      <c r="X1233" s="89">
        <v>44464</v>
      </c>
      <c r="Y1233" s="86" t="s">
        <v>6216</v>
      </c>
      <c r="Z1233" s="84" t="str">
        <f>HYPERLINK("https://twitter.com/trajanojorge/status/1441768757052026880")</f>
        <v>https://twitter.com/trajanojorge/status/1441768757052026880</v>
      </c>
      <c r="AA1233" s="81"/>
      <c r="AB1233" s="81"/>
      <c r="AC1233" s="86" t="s">
        <v>7127</v>
      </c>
      <c r="AD1233" s="81"/>
      <c r="AE1233" s="81" t="b">
        <v>0</v>
      </c>
      <c r="AF1233" s="81">
        <v>0</v>
      </c>
      <c r="AG1233" s="86" t="s">
        <v>2084</v>
      </c>
      <c r="AH1233" s="81" t="b">
        <v>0</v>
      </c>
      <c r="AI1233" s="81" t="s">
        <v>2171</v>
      </c>
      <c r="AJ1233" s="81"/>
      <c r="AK1233" s="86" t="s">
        <v>2084</v>
      </c>
      <c r="AL1233" s="81" t="b">
        <v>0</v>
      </c>
      <c r="AM1233" s="81">
        <v>5</v>
      </c>
      <c r="AN1233" s="86" t="s">
        <v>7126</v>
      </c>
      <c r="AO1233" s="86" t="s">
        <v>2178</v>
      </c>
      <c r="AP1233" s="81" t="b">
        <v>0</v>
      </c>
      <c r="AQ1233" s="86" t="s">
        <v>7126</v>
      </c>
      <c r="AR1233" s="81" t="s">
        <v>179</v>
      </c>
      <c r="AS1233" s="81">
        <v>0</v>
      </c>
      <c r="AT1233" s="81">
        <v>0</v>
      </c>
      <c r="AU1233" s="81"/>
      <c r="AV1233" s="81"/>
      <c r="AW1233" s="81"/>
      <c r="AX1233" s="81"/>
      <c r="AY1233" s="81"/>
      <c r="AZ1233" s="81"/>
      <c r="BA1233" s="81"/>
      <c r="BB1233" s="81"/>
    </row>
    <row r="1234" spans="1:54" x14ac:dyDescent="0.35">
      <c r="A1234" s="66" t="s">
        <v>4568</v>
      </c>
      <c r="B1234" s="66" t="s">
        <v>4944</v>
      </c>
      <c r="C1234" s="67"/>
      <c r="D1234" s="68"/>
      <c r="E1234" s="69"/>
      <c r="F1234" s="70"/>
      <c r="G1234" s="67"/>
      <c r="H1234" s="71"/>
      <c r="I1234" s="72"/>
      <c r="J1234" s="72"/>
      <c r="K1234" s="36"/>
      <c r="L1234" s="79"/>
      <c r="M1234" s="79"/>
      <c r="N1234" s="74"/>
      <c r="O1234" s="81" t="s">
        <v>693</v>
      </c>
      <c r="P1234" s="83">
        <v>44465.545520833337</v>
      </c>
      <c r="Q1234" s="81" t="s">
        <v>5505</v>
      </c>
      <c r="R1234" s="81"/>
      <c r="S1234" s="81"/>
      <c r="T1234" s="81"/>
      <c r="U1234" s="81"/>
      <c r="V1234" s="84" t="str">
        <f>HYPERLINK("https://pbs.twimg.com/profile_images/1414200150524825603/9zKMNC8q_normal.jpg")</f>
        <v>https://pbs.twimg.com/profile_images/1414200150524825603/9zKMNC8q_normal.jpg</v>
      </c>
      <c r="W1234" s="83">
        <v>44465.545520833337</v>
      </c>
      <c r="X1234" s="89">
        <v>44465</v>
      </c>
      <c r="Y1234" s="86" t="s">
        <v>6217</v>
      </c>
      <c r="Z1234" s="84" t="str">
        <f>HYPERLINK("https://twitter.com/trajanojorge/status/1442113112300269569")</f>
        <v>https://twitter.com/trajanojorge/status/1442113112300269569</v>
      </c>
      <c r="AA1234" s="81"/>
      <c r="AB1234" s="81"/>
      <c r="AC1234" s="86" t="s">
        <v>7128</v>
      </c>
      <c r="AD1234" s="81"/>
      <c r="AE1234" s="81" t="b">
        <v>0</v>
      </c>
      <c r="AF1234" s="81">
        <v>0</v>
      </c>
      <c r="AG1234" s="86" t="s">
        <v>2084</v>
      </c>
      <c r="AH1234" s="81" t="b">
        <v>0</v>
      </c>
      <c r="AI1234" s="81" t="s">
        <v>2171</v>
      </c>
      <c r="AJ1234" s="81"/>
      <c r="AK1234" s="86" t="s">
        <v>2084</v>
      </c>
      <c r="AL1234" s="81" t="b">
        <v>0</v>
      </c>
      <c r="AM1234" s="81">
        <v>255</v>
      </c>
      <c r="AN1234" s="86" t="s">
        <v>7543</v>
      </c>
      <c r="AO1234" s="86" t="s">
        <v>2178</v>
      </c>
      <c r="AP1234" s="81" t="b">
        <v>0</v>
      </c>
      <c r="AQ1234" s="86" t="s">
        <v>7543</v>
      </c>
      <c r="AR1234" s="81" t="s">
        <v>179</v>
      </c>
      <c r="AS1234" s="81">
        <v>0</v>
      </c>
      <c r="AT1234" s="81">
        <v>0</v>
      </c>
      <c r="AU1234" s="81"/>
      <c r="AV1234" s="81"/>
      <c r="AW1234" s="81"/>
      <c r="AX1234" s="81"/>
      <c r="AY1234" s="81"/>
      <c r="AZ1234" s="81"/>
      <c r="BA1234" s="81"/>
      <c r="BB1234" s="81"/>
    </row>
    <row r="1235" spans="1:54" x14ac:dyDescent="0.35">
      <c r="A1235" s="66" t="s">
        <v>4569</v>
      </c>
      <c r="B1235" s="66" t="s">
        <v>4944</v>
      </c>
      <c r="C1235" s="67"/>
      <c r="D1235" s="68"/>
      <c r="E1235" s="69"/>
      <c r="F1235" s="70"/>
      <c r="G1235" s="67"/>
      <c r="H1235" s="71"/>
      <c r="I1235" s="72"/>
      <c r="J1235" s="72"/>
      <c r="K1235" s="36"/>
      <c r="L1235" s="79"/>
      <c r="M1235" s="79"/>
      <c r="N1235" s="74"/>
      <c r="O1235" s="81" t="s">
        <v>693</v>
      </c>
      <c r="P1235" s="83">
        <v>44465.545520833337</v>
      </c>
      <c r="Q1235" s="81" t="s">
        <v>5505</v>
      </c>
      <c r="R1235" s="81"/>
      <c r="S1235" s="81"/>
      <c r="T1235" s="81"/>
      <c r="U1235" s="81"/>
      <c r="V1235" s="84" t="str">
        <f>HYPERLINK("https://pbs.twimg.com/profile_images/2567242840/0j89fum298j3lyy2okwy_normal.jpeg")</f>
        <v>https://pbs.twimg.com/profile_images/2567242840/0j89fum298j3lyy2okwy_normal.jpeg</v>
      </c>
      <c r="W1235" s="83">
        <v>44465.545520833337</v>
      </c>
      <c r="X1235" s="89">
        <v>44465</v>
      </c>
      <c r="Y1235" s="86" t="s">
        <v>6217</v>
      </c>
      <c r="Z1235" s="84" t="str">
        <f>HYPERLINK("https://twitter.com/frieira/status/1442113112526794754")</f>
        <v>https://twitter.com/frieira/status/1442113112526794754</v>
      </c>
      <c r="AA1235" s="81"/>
      <c r="AB1235" s="81"/>
      <c r="AC1235" s="86" t="s">
        <v>7129</v>
      </c>
      <c r="AD1235" s="81"/>
      <c r="AE1235" s="81" t="b">
        <v>0</v>
      </c>
      <c r="AF1235" s="81">
        <v>0</v>
      </c>
      <c r="AG1235" s="86" t="s">
        <v>2084</v>
      </c>
      <c r="AH1235" s="81" t="b">
        <v>0</v>
      </c>
      <c r="AI1235" s="81" t="s">
        <v>2171</v>
      </c>
      <c r="AJ1235" s="81"/>
      <c r="AK1235" s="86" t="s">
        <v>2084</v>
      </c>
      <c r="AL1235" s="81" t="b">
        <v>0</v>
      </c>
      <c r="AM1235" s="81">
        <v>255</v>
      </c>
      <c r="AN1235" s="86" t="s">
        <v>7543</v>
      </c>
      <c r="AO1235" s="86" t="s">
        <v>2181</v>
      </c>
      <c r="AP1235" s="81" t="b">
        <v>0</v>
      </c>
      <c r="AQ1235" s="86" t="s">
        <v>7543</v>
      </c>
      <c r="AR1235" s="81" t="s">
        <v>179</v>
      </c>
      <c r="AS1235" s="81">
        <v>0</v>
      </c>
      <c r="AT1235" s="81">
        <v>0</v>
      </c>
      <c r="AU1235" s="81"/>
      <c r="AV1235" s="81"/>
      <c r="AW1235" s="81"/>
      <c r="AX1235" s="81"/>
      <c r="AY1235" s="81"/>
      <c r="AZ1235" s="81"/>
      <c r="BA1235" s="81"/>
      <c r="BB1235" s="81"/>
    </row>
    <row r="1236" spans="1:54" x14ac:dyDescent="0.35">
      <c r="A1236" s="66" t="s">
        <v>4570</v>
      </c>
      <c r="B1236" s="66" t="s">
        <v>4944</v>
      </c>
      <c r="C1236" s="67"/>
      <c r="D1236" s="68"/>
      <c r="E1236" s="69"/>
      <c r="F1236" s="70"/>
      <c r="G1236" s="67"/>
      <c r="H1236" s="71"/>
      <c r="I1236" s="72"/>
      <c r="J1236" s="72"/>
      <c r="K1236" s="36"/>
      <c r="L1236" s="79"/>
      <c r="M1236" s="79"/>
      <c r="N1236" s="74"/>
      <c r="O1236" s="81" t="s">
        <v>693</v>
      </c>
      <c r="P1236" s="83">
        <v>44465.546331018515</v>
      </c>
      <c r="Q1236" s="81" t="s">
        <v>5505</v>
      </c>
      <c r="R1236" s="81"/>
      <c r="S1236" s="81"/>
      <c r="T1236" s="81"/>
      <c r="U1236" s="81"/>
      <c r="V1236" s="84" t="str">
        <f>HYPERLINK("https://pbs.twimg.com/profile_images/1442676987638820864/k0wo7S3D_normal.jpg")</f>
        <v>https://pbs.twimg.com/profile_images/1442676987638820864/k0wo7S3D_normal.jpg</v>
      </c>
      <c r="W1236" s="83">
        <v>44465.546331018515</v>
      </c>
      <c r="X1236" s="89">
        <v>44465</v>
      </c>
      <c r="Y1236" s="86" t="s">
        <v>6218</v>
      </c>
      <c r="Z1236" s="84" t="str">
        <f>HYPERLINK("https://twitter.com/elmacambuzio/status/1442113403691028490")</f>
        <v>https://twitter.com/elmacambuzio/status/1442113403691028490</v>
      </c>
      <c r="AA1236" s="81"/>
      <c r="AB1236" s="81"/>
      <c r="AC1236" s="86" t="s">
        <v>7130</v>
      </c>
      <c r="AD1236" s="81"/>
      <c r="AE1236" s="81" t="b">
        <v>0</v>
      </c>
      <c r="AF1236" s="81">
        <v>0</v>
      </c>
      <c r="AG1236" s="86" t="s">
        <v>2084</v>
      </c>
      <c r="AH1236" s="81" t="b">
        <v>0</v>
      </c>
      <c r="AI1236" s="81" t="s">
        <v>2171</v>
      </c>
      <c r="AJ1236" s="81"/>
      <c r="AK1236" s="86" t="s">
        <v>2084</v>
      </c>
      <c r="AL1236" s="81" t="b">
        <v>0</v>
      </c>
      <c r="AM1236" s="81">
        <v>255</v>
      </c>
      <c r="AN1236" s="86" t="s">
        <v>7543</v>
      </c>
      <c r="AO1236" s="86" t="s">
        <v>2178</v>
      </c>
      <c r="AP1236" s="81" t="b">
        <v>0</v>
      </c>
      <c r="AQ1236" s="86" t="s">
        <v>7543</v>
      </c>
      <c r="AR1236" s="81" t="s">
        <v>179</v>
      </c>
      <c r="AS1236" s="81">
        <v>0</v>
      </c>
      <c r="AT1236" s="81">
        <v>0</v>
      </c>
      <c r="AU1236" s="81"/>
      <c r="AV1236" s="81"/>
      <c r="AW1236" s="81"/>
      <c r="AX1236" s="81"/>
      <c r="AY1236" s="81"/>
      <c r="AZ1236" s="81"/>
      <c r="BA1236" s="81"/>
      <c r="BB1236" s="81"/>
    </row>
    <row r="1237" spans="1:54" x14ac:dyDescent="0.35">
      <c r="A1237" s="66" t="s">
        <v>4571</v>
      </c>
      <c r="B1237" s="66" t="s">
        <v>4944</v>
      </c>
      <c r="C1237" s="67"/>
      <c r="D1237" s="68"/>
      <c r="E1237" s="69"/>
      <c r="F1237" s="70"/>
      <c r="G1237" s="67"/>
      <c r="H1237" s="71"/>
      <c r="I1237" s="72"/>
      <c r="J1237" s="72"/>
      <c r="K1237" s="36"/>
      <c r="L1237" s="79"/>
      <c r="M1237" s="79"/>
      <c r="N1237" s="74"/>
      <c r="O1237" s="81" t="s">
        <v>693</v>
      </c>
      <c r="P1237" s="83">
        <v>44465.546643518515</v>
      </c>
      <c r="Q1237" s="81" t="s">
        <v>5505</v>
      </c>
      <c r="R1237" s="81"/>
      <c r="S1237" s="81"/>
      <c r="T1237" s="81"/>
      <c r="U1237" s="81"/>
      <c r="V1237" s="84" t="str">
        <f>HYPERLINK("https://pbs.twimg.com/profile_images/1418697142835765249/AXWDZZgR_normal.jpg")</f>
        <v>https://pbs.twimg.com/profile_images/1418697142835765249/AXWDZZgR_normal.jpg</v>
      </c>
      <c r="W1237" s="83">
        <v>44465.546643518515</v>
      </c>
      <c r="X1237" s="89">
        <v>44465</v>
      </c>
      <c r="Y1237" s="86" t="s">
        <v>6219</v>
      </c>
      <c r="Z1237" s="84" t="str">
        <f>HYPERLINK("https://twitter.com/daviralb1/status/1442113519965687810")</f>
        <v>https://twitter.com/daviralb1/status/1442113519965687810</v>
      </c>
      <c r="AA1237" s="81"/>
      <c r="AB1237" s="81"/>
      <c r="AC1237" s="86" t="s">
        <v>7131</v>
      </c>
      <c r="AD1237" s="81"/>
      <c r="AE1237" s="81" t="b">
        <v>0</v>
      </c>
      <c r="AF1237" s="81">
        <v>0</v>
      </c>
      <c r="AG1237" s="86" t="s">
        <v>2084</v>
      </c>
      <c r="AH1237" s="81" t="b">
        <v>0</v>
      </c>
      <c r="AI1237" s="81" t="s">
        <v>2171</v>
      </c>
      <c r="AJ1237" s="81"/>
      <c r="AK1237" s="86" t="s">
        <v>2084</v>
      </c>
      <c r="AL1237" s="81" t="b">
        <v>0</v>
      </c>
      <c r="AM1237" s="81">
        <v>255</v>
      </c>
      <c r="AN1237" s="86" t="s">
        <v>7543</v>
      </c>
      <c r="AO1237" s="86" t="s">
        <v>2178</v>
      </c>
      <c r="AP1237" s="81" t="b">
        <v>0</v>
      </c>
      <c r="AQ1237" s="86" t="s">
        <v>7543</v>
      </c>
      <c r="AR1237" s="81" t="s">
        <v>179</v>
      </c>
      <c r="AS1237" s="81">
        <v>0</v>
      </c>
      <c r="AT1237" s="81">
        <v>0</v>
      </c>
      <c r="AU1237" s="81"/>
      <c r="AV1237" s="81"/>
      <c r="AW1237" s="81"/>
      <c r="AX1237" s="81"/>
      <c r="AY1237" s="81"/>
      <c r="AZ1237" s="81"/>
      <c r="BA1237" s="81"/>
      <c r="BB1237" s="81"/>
    </row>
    <row r="1238" spans="1:54" x14ac:dyDescent="0.35">
      <c r="A1238" s="66" t="s">
        <v>4572</v>
      </c>
      <c r="B1238" s="66" t="s">
        <v>4944</v>
      </c>
      <c r="C1238" s="67"/>
      <c r="D1238" s="68"/>
      <c r="E1238" s="69"/>
      <c r="F1238" s="70"/>
      <c r="G1238" s="67"/>
      <c r="H1238" s="71"/>
      <c r="I1238" s="72"/>
      <c r="J1238" s="72"/>
      <c r="K1238" s="36"/>
      <c r="L1238" s="79"/>
      <c r="M1238" s="79"/>
      <c r="N1238" s="74"/>
      <c r="O1238" s="81" t="s">
        <v>693</v>
      </c>
      <c r="P1238" s="83">
        <v>44465.547500000001</v>
      </c>
      <c r="Q1238" s="81" t="s">
        <v>5505</v>
      </c>
      <c r="R1238" s="81"/>
      <c r="S1238" s="81"/>
      <c r="T1238" s="81"/>
      <c r="U1238" s="81"/>
      <c r="V1238" s="84" t="str">
        <f>HYPERLINK("https://pbs.twimg.com/profile_images/916095974119964672/QmFBluXB_normal.jpg")</f>
        <v>https://pbs.twimg.com/profile_images/916095974119964672/QmFBluXB_normal.jpg</v>
      </c>
      <c r="W1238" s="83">
        <v>44465.547500000001</v>
      </c>
      <c r="X1238" s="89">
        <v>44465</v>
      </c>
      <c r="Y1238" s="86" t="s">
        <v>6220</v>
      </c>
      <c r="Z1238" s="84" t="str">
        <f>HYPERLINK("https://twitter.com/gato0800/status/1442113828817362945")</f>
        <v>https://twitter.com/gato0800/status/1442113828817362945</v>
      </c>
      <c r="AA1238" s="81"/>
      <c r="AB1238" s="81"/>
      <c r="AC1238" s="86" t="s">
        <v>7132</v>
      </c>
      <c r="AD1238" s="81"/>
      <c r="AE1238" s="81" t="b">
        <v>0</v>
      </c>
      <c r="AF1238" s="81">
        <v>0</v>
      </c>
      <c r="AG1238" s="86" t="s">
        <v>2084</v>
      </c>
      <c r="AH1238" s="81" t="b">
        <v>0</v>
      </c>
      <c r="AI1238" s="81" t="s">
        <v>2171</v>
      </c>
      <c r="AJ1238" s="81"/>
      <c r="AK1238" s="86" t="s">
        <v>2084</v>
      </c>
      <c r="AL1238" s="81" t="b">
        <v>0</v>
      </c>
      <c r="AM1238" s="81">
        <v>255</v>
      </c>
      <c r="AN1238" s="86" t="s">
        <v>7543</v>
      </c>
      <c r="AO1238" s="86" t="s">
        <v>2178</v>
      </c>
      <c r="AP1238" s="81" t="b">
        <v>0</v>
      </c>
      <c r="AQ1238" s="86" t="s">
        <v>7543</v>
      </c>
      <c r="AR1238" s="81" t="s">
        <v>179</v>
      </c>
      <c r="AS1238" s="81">
        <v>0</v>
      </c>
      <c r="AT1238" s="81">
        <v>0</v>
      </c>
      <c r="AU1238" s="81"/>
      <c r="AV1238" s="81"/>
      <c r="AW1238" s="81"/>
      <c r="AX1238" s="81"/>
      <c r="AY1238" s="81"/>
      <c r="AZ1238" s="81"/>
      <c r="BA1238" s="81"/>
      <c r="BB1238" s="81"/>
    </row>
    <row r="1239" spans="1:54" x14ac:dyDescent="0.35">
      <c r="A1239" s="66" t="s">
        <v>4573</v>
      </c>
      <c r="B1239" s="66" t="s">
        <v>4944</v>
      </c>
      <c r="C1239" s="67"/>
      <c r="D1239" s="68"/>
      <c r="E1239" s="69"/>
      <c r="F1239" s="70"/>
      <c r="G1239" s="67"/>
      <c r="H1239" s="71"/>
      <c r="I1239" s="72"/>
      <c r="J1239" s="72"/>
      <c r="K1239" s="36"/>
      <c r="L1239" s="79"/>
      <c r="M1239" s="79"/>
      <c r="N1239" s="74"/>
      <c r="O1239" s="81" t="s">
        <v>693</v>
      </c>
      <c r="P1239" s="83">
        <v>44465.547673611109</v>
      </c>
      <c r="Q1239" s="81" t="s">
        <v>5505</v>
      </c>
      <c r="R1239" s="81"/>
      <c r="S1239" s="81"/>
      <c r="T1239" s="81"/>
      <c r="U1239" s="81"/>
      <c r="V1239" s="84" t="str">
        <f>HYPERLINK("https://pbs.twimg.com/profile_images/1113203447648718854/CimN1fWo_normal.png")</f>
        <v>https://pbs.twimg.com/profile_images/1113203447648718854/CimN1fWo_normal.png</v>
      </c>
      <c r="W1239" s="83">
        <v>44465.547673611109</v>
      </c>
      <c r="X1239" s="89">
        <v>44465</v>
      </c>
      <c r="Y1239" s="86" t="s">
        <v>6221</v>
      </c>
      <c r="Z1239" s="84" t="str">
        <f>HYPERLINK("https://twitter.com/sonia_divinaa/status/1442113892944171008")</f>
        <v>https://twitter.com/sonia_divinaa/status/1442113892944171008</v>
      </c>
      <c r="AA1239" s="81"/>
      <c r="AB1239" s="81"/>
      <c r="AC1239" s="86" t="s">
        <v>7133</v>
      </c>
      <c r="AD1239" s="81"/>
      <c r="AE1239" s="81" t="b">
        <v>0</v>
      </c>
      <c r="AF1239" s="81">
        <v>0</v>
      </c>
      <c r="AG1239" s="86" t="s">
        <v>2084</v>
      </c>
      <c r="AH1239" s="81" t="b">
        <v>0</v>
      </c>
      <c r="AI1239" s="81" t="s">
        <v>2171</v>
      </c>
      <c r="AJ1239" s="81"/>
      <c r="AK1239" s="86" t="s">
        <v>2084</v>
      </c>
      <c r="AL1239" s="81" t="b">
        <v>0</v>
      </c>
      <c r="AM1239" s="81">
        <v>255</v>
      </c>
      <c r="AN1239" s="86" t="s">
        <v>7543</v>
      </c>
      <c r="AO1239" s="86" t="s">
        <v>2181</v>
      </c>
      <c r="AP1239" s="81" t="b">
        <v>0</v>
      </c>
      <c r="AQ1239" s="86" t="s">
        <v>7543</v>
      </c>
      <c r="AR1239" s="81" t="s">
        <v>179</v>
      </c>
      <c r="AS1239" s="81">
        <v>0</v>
      </c>
      <c r="AT1239" s="81">
        <v>0</v>
      </c>
      <c r="AU1239" s="81"/>
      <c r="AV1239" s="81"/>
      <c r="AW1239" s="81"/>
      <c r="AX1239" s="81"/>
      <c r="AY1239" s="81"/>
      <c r="AZ1239" s="81"/>
      <c r="BA1239" s="81"/>
      <c r="BB1239" s="81"/>
    </row>
    <row r="1240" spans="1:54" x14ac:dyDescent="0.35">
      <c r="A1240" s="66" t="s">
        <v>4574</v>
      </c>
      <c r="B1240" s="66" t="s">
        <v>4944</v>
      </c>
      <c r="C1240" s="67"/>
      <c r="D1240" s="68"/>
      <c r="E1240" s="69"/>
      <c r="F1240" s="70"/>
      <c r="G1240" s="67"/>
      <c r="H1240" s="71"/>
      <c r="I1240" s="72"/>
      <c r="J1240" s="72"/>
      <c r="K1240" s="36"/>
      <c r="L1240" s="79"/>
      <c r="M1240" s="79"/>
      <c r="N1240" s="74"/>
      <c r="O1240" s="81" t="s">
        <v>693</v>
      </c>
      <c r="P1240" s="83">
        <v>44465.547997685186</v>
      </c>
      <c r="Q1240" s="81" t="s">
        <v>5505</v>
      </c>
      <c r="R1240" s="81"/>
      <c r="S1240" s="81"/>
      <c r="T1240" s="81"/>
      <c r="U1240" s="81"/>
      <c r="V1240" s="84" t="str">
        <f>HYPERLINK("https://pbs.twimg.com/profile_images/1182773280408772608/bWMVBpiO_normal.png")</f>
        <v>https://pbs.twimg.com/profile_images/1182773280408772608/bWMVBpiO_normal.png</v>
      </c>
      <c r="W1240" s="83">
        <v>44465.547997685186</v>
      </c>
      <c r="X1240" s="89">
        <v>44465</v>
      </c>
      <c r="Y1240" s="86" t="s">
        <v>6222</v>
      </c>
      <c r="Z1240" s="84" t="str">
        <f>HYPERLINK("https://twitter.com/silasvieiradea1/status/1442114009554210816")</f>
        <v>https://twitter.com/silasvieiradea1/status/1442114009554210816</v>
      </c>
      <c r="AA1240" s="81"/>
      <c r="AB1240" s="81"/>
      <c r="AC1240" s="86" t="s">
        <v>7134</v>
      </c>
      <c r="AD1240" s="81"/>
      <c r="AE1240" s="81" t="b">
        <v>0</v>
      </c>
      <c r="AF1240" s="81">
        <v>0</v>
      </c>
      <c r="AG1240" s="86" t="s">
        <v>2084</v>
      </c>
      <c r="AH1240" s="81" t="b">
        <v>0</v>
      </c>
      <c r="AI1240" s="81" t="s">
        <v>2171</v>
      </c>
      <c r="AJ1240" s="81"/>
      <c r="AK1240" s="86" t="s">
        <v>2084</v>
      </c>
      <c r="AL1240" s="81" t="b">
        <v>0</v>
      </c>
      <c r="AM1240" s="81">
        <v>255</v>
      </c>
      <c r="AN1240" s="86" t="s">
        <v>7543</v>
      </c>
      <c r="AO1240" s="86" t="s">
        <v>2181</v>
      </c>
      <c r="AP1240" s="81" t="b">
        <v>0</v>
      </c>
      <c r="AQ1240" s="86" t="s">
        <v>7543</v>
      </c>
      <c r="AR1240" s="81" t="s">
        <v>179</v>
      </c>
      <c r="AS1240" s="81">
        <v>0</v>
      </c>
      <c r="AT1240" s="81">
        <v>0</v>
      </c>
      <c r="AU1240" s="81"/>
      <c r="AV1240" s="81"/>
      <c r="AW1240" s="81"/>
      <c r="AX1240" s="81"/>
      <c r="AY1240" s="81"/>
      <c r="AZ1240" s="81"/>
      <c r="BA1240" s="81"/>
      <c r="BB1240" s="81"/>
    </row>
    <row r="1241" spans="1:54" x14ac:dyDescent="0.35">
      <c r="A1241" s="66" t="s">
        <v>4575</v>
      </c>
      <c r="B1241" s="66" t="s">
        <v>4944</v>
      </c>
      <c r="C1241" s="67"/>
      <c r="D1241" s="68"/>
      <c r="E1241" s="69"/>
      <c r="F1241" s="70"/>
      <c r="G1241" s="67"/>
      <c r="H1241" s="71"/>
      <c r="I1241" s="72"/>
      <c r="J1241" s="72"/>
      <c r="K1241" s="36"/>
      <c r="L1241" s="79"/>
      <c r="M1241" s="79"/>
      <c r="N1241" s="74"/>
      <c r="O1241" s="81" t="s">
        <v>693</v>
      </c>
      <c r="P1241" s="83">
        <v>44465.549456018518</v>
      </c>
      <c r="Q1241" s="81" t="s">
        <v>5505</v>
      </c>
      <c r="R1241" s="81"/>
      <c r="S1241" s="81"/>
      <c r="T1241" s="81"/>
      <c r="U1241" s="81"/>
      <c r="V1241" s="84" t="str">
        <f>HYPERLINK("https://pbs.twimg.com/profile_images/1379879141768626178/fPuFMbGr_normal.jpg")</f>
        <v>https://pbs.twimg.com/profile_images/1379879141768626178/fPuFMbGr_normal.jpg</v>
      </c>
      <c r="W1241" s="83">
        <v>44465.549456018518</v>
      </c>
      <c r="X1241" s="89">
        <v>44465</v>
      </c>
      <c r="Y1241" s="86" t="s">
        <v>6223</v>
      </c>
      <c r="Z1241" s="84" t="str">
        <f>HYPERLINK("https://twitter.com/mariomalerba_/status/1442114537763872774")</f>
        <v>https://twitter.com/mariomalerba_/status/1442114537763872774</v>
      </c>
      <c r="AA1241" s="81"/>
      <c r="AB1241" s="81"/>
      <c r="AC1241" s="86" t="s">
        <v>7135</v>
      </c>
      <c r="AD1241" s="81"/>
      <c r="AE1241" s="81" t="b">
        <v>0</v>
      </c>
      <c r="AF1241" s="81">
        <v>0</v>
      </c>
      <c r="AG1241" s="86" t="s">
        <v>2084</v>
      </c>
      <c r="AH1241" s="81" t="b">
        <v>0</v>
      </c>
      <c r="AI1241" s="81" t="s">
        <v>2171</v>
      </c>
      <c r="AJ1241" s="81"/>
      <c r="AK1241" s="86" t="s">
        <v>2084</v>
      </c>
      <c r="AL1241" s="81" t="b">
        <v>0</v>
      </c>
      <c r="AM1241" s="81">
        <v>255</v>
      </c>
      <c r="AN1241" s="86" t="s">
        <v>7543</v>
      </c>
      <c r="AO1241" s="86" t="s">
        <v>2178</v>
      </c>
      <c r="AP1241" s="81" t="b">
        <v>0</v>
      </c>
      <c r="AQ1241" s="86" t="s">
        <v>7543</v>
      </c>
      <c r="AR1241" s="81" t="s">
        <v>179</v>
      </c>
      <c r="AS1241" s="81">
        <v>0</v>
      </c>
      <c r="AT1241" s="81">
        <v>0</v>
      </c>
      <c r="AU1241" s="81"/>
      <c r="AV1241" s="81"/>
      <c r="AW1241" s="81"/>
      <c r="AX1241" s="81"/>
      <c r="AY1241" s="81"/>
      <c r="AZ1241" s="81"/>
      <c r="BA1241" s="81"/>
      <c r="BB1241" s="81"/>
    </row>
    <row r="1242" spans="1:54" x14ac:dyDescent="0.35">
      <c r="A1242" s="66" t="s">
        <v>4576</v>
      </c>
      <c r="B1242" s="66" t="s">
        <v>4944</v>
      </c>
      <c r="C1242" s="67"/>
      <c r="D1242" s="68"/>
      <c r="E1242" s="69"/>
      <c r="F1242" s="70"/>
      <c r="G1242" s="67"/>
      <c r="H1242" s="71"/>
      <c r="I1242" s="72"/>
      <c r="J1242" s="72"/>
      <c r="K1242" s="36"/>
      <c r="L1242" s="79"/>
      <c r="M1242" s="79"/>
      <c r="N1242" s="74"/>
      <c r="O1242" s="81" t="s">
        <v>693</v>
      </c>
      <c r="P1242" s="83">
        <v>44465.549571759257</v>
      </c>
      <c r="Q1242" s="81" t="s">
        <v>5505</v>
      </c>
      <c r="R1242" s="81"/>
      <c r="S1242" s="81"/>
      <c r="T1242" s="81"/>
      <c r="U1242" s="81"/>
      <c r="V1242" s="84" t="str">
        <f>HYPERLINK("https://pbs.twimg.com/profile_images/1424151344441659392/JrOUqYf7_normal.png")</f>
        <v>https://pbs.twimg.com/profile_images/1424151344441659392/JrOUqYf7_normal.png</v>
      </c>
      <c r="W1242" s="83">
        <v>44465.549571759257</v>
      </c>
      <c r="X1242" s="89">
        <v>44465</v>
      </c>
      <c r="Y1242" s="86" t="s">
        <v>6224</v>
      </c>
      <c r="Z1242" s="84" t="str">
        <f>HYPERLINK("https://twitter.com/ananindeua_77/status/1442114581099212806")</f>
        <v>https://twitter.com/ananindeua_77/status/1442114581099212806</v>
      </c>
      <c r="AA1242" s="81"/>
      <c r="AB1242" s="81"/>
      <c r="AC1242" s="86" t="s">
        <v>7136</v>
      </c>
      <c r="AD1242" s="81"/>
      <c r="AE1242" s="81" t="b">
        <v>0</v>
      </c>
      <c r="AF1242" s="81">
        <v>0</v>
      </c>
      <c r="AG1242" s="86" t="s">
        <v>2084</v>
      </c>
      <c r="AH1242" s="81" t="b">
        <v>0</v>
      </c>
      <c r="AI1242" s="81" t="s">
        <v>2171</v>
      </c>
      <c r="AJ1242" s="81"/>
      <c r="AK1242" s="86" t="s">
        <v>2084</v>
      </c>
      <c r="AL1242" s="81" t="b">
        <v>0</v>
      </c>
      <c r="AM1242" s="81">
        <v>255</v>
      </c>
      <c r="AN1242" s="86" t="s">
        <v>7543</v>
      </c>
      <c r="AO1242" s="86" t="s">
        <v>2178</v>
      </c>
      <c r="AP1242" s="81" t="b">
        <v>0</v>
      </c>
      <c r="AQ1242" s="86" t="s">
        <v>7543</v>
      </c>
      <c r="AR1242" s="81" t="s">
        <v>179</v>
      </c>
      <c r="AS1242" s="81">
        <v>0</v>
      </c>
      <c r="AT1242" s="81">
        <v>0</v>
      </c>
      <c r="AU1242" s="81"/>
      <c r="AV1242" s="81"/>
      <c r="AW1242" s="81"/>
      <c r="AX1242" s="81"/>
      <c r="AY1242" s="81"/>
      <c r="AZ1242" s="81"/>
      <c r="BA1242" s="81"/>
      <c r="BB1242" s="81"/>
    </row>
    <row r="1243" spans="1:54" x14ac:dyDescent="0.35">
      <c r="A1243" s="66" t="s">
        <v>4577</v>
      </c>
      <c r="B1243" s="66" t="s">
        <v>4944</v>
      </c>
      <c r="C1243" s="67"/>
      <c r="D1243" s="68"/>
      <c r="E1243" s="69"/>
      <c r="F1243" s="70"/>
      <c r="G1243" s="67"/>
      <c r="H1243" s="71"/>
      <c r="I1243" s="72"/>
      <c r="J1243" s="72"/>
      <c r="K1243" s="36"/>
      <c r="L1243" s="79"/>
      <c r="M1243" s="79"/>
      <c r="N1243" s="74"/>
      <c r="O1243" s="81" t="s">
        <v>693</v>
      </c>
      <c r="P1243" s="83">
        <v>44465.549756944441</v>
      </c>
      <c r="Q1243" s="81" t="s">
        <v>5505</v>
      </c>
      <c r="R1243" s="81"/>
      <c r="S1243" s="81"/>
      <c r="T1243" s="81"/>
      <c r="U1243" s="81"/>
      <c r="V1243" s="84" t="str">
        <f>HYPERLINK("https://pbs.twimg.com/profile_images/1420906753508663298/by468sYd_normal.jpg")</f>
        <v>https://pbs.twimg.com/profile_images/1420906753508663298/by468sYd_normal.jpg</v>
      </c>
      <c r="W1243" s="83">
        <v>44465.549756944441</v>
      </c>
      <c r="X1243" s="89">
        <v>44465</v>
      </c>
      <c r="Y1243" s="86" t="s">
        <v>6225</v>
      </c>
      <c r="Z1243" s="84" t="str">
        <f>HYPERLINK("https://twitter.com/gayemquadrinhos/status/1442114645318193158")</f>
        <v>https://twitter.com/gayemquadrinhos/status/1442114645318193158</v>
      </c>
      <c r="AA1243" s="81"/>
      <c r="AB1243" s="81"/>
      <c r="AC1243" s="86" t="s">
        <v>7137</v>
      </c>
      <c r="AD1243" s="81"/>
      <c r="AE1243" s="81" t="b">
        <v>0</v>
      </c>
      <c r="AF1243" s="81">
        <v>0</v>
      </c>
      <c r="AG1243" s="86" t="s">
        <v>2084</v>
      </c>
      <c r="AH1243" s="81" t="b">
        <v>0</v>
      </c>
      <c r="AI1243" s="81" t="s">
        <v>2171</v>
      </c>
      <c r="AJ1243" s="81"/>
      <c r="AK1243" s="86" t="s">
        <v>2084</v>
      </c>
      <c r="AL1243" s="81" t="b">
        <v>0</v>
      </c>
      <c r="AM1243" s="81">
        <v>255</v>
      </c>
      <c r="AN1243" s="86" t="s">
        <v>7543</v>
      </c>
      <c r="AO1243" s="86" t="s">
        <v>2178</v>
      </c>
      <c r="AP1243" s="81" t="b">
        <v>0</v>
      </c>
      <c r="AQ1243" s="86" t="s">
        <v>7543</v>
      </c>
      <c r="AR1243" s="81" t="s">
        <v>179</v>
      </c>
      <c r="AS1243" s="81">
        <v>0</v>
      </c>
      <c r="AT1243" s="81">
        <v>0</v>
      </c>
      <c r="AU1243" s="81"/>
      <c r="AV1243" s="81"/>
      <c r="AW1243" s="81"/>
      <c r="AX1243" s="81"/>
      <c r="AY1243" s="81"/>
      <c r="AZ1243" s="81"/>
      <c r="BA1243" s="81"/>
      <c r="BB1243" s="81"/>
    </row>
    <row r="1244" spans="1:54" x14ac:dyDescent="0.35">
      <c r="A1244" s="66" t="s">
        <v>4579</v>
      </c>
      <c r="B1244" s="66" t="s">
        <v>4578</v>
      </c>
      <c r="C1244" s="67"/>
      <c r="D1244" s="68"/>
      <c r="E1244" s="69"/>
      <c r="F1244" s="70"/>
      <c r="G1244" s="67"/>
      <c r="H1244" s="71"/>
      <c r="I1244" s="72"/>
      <c r="J1244" s="72"/>
      <c r="K1244" s="36"/>
      <c r="L1244" s="79"/>
      <c r="M1244" s="79"/>
      <c r="N1244" s="74"/>
      <c r="O1244" s="81" t="s">
        <v>693</v>
      </c>
      <c r="P1244" s="83">
        <v>44465.550243055557</v>
      </c>
      <c r="Q1244" s="81" t="s">
        <v>5495</v>
      </c>
      <c r="R1244" s="84" t="str">
        <f>HYPERLINK("https://www.adventistas.org/pt/jesus-restaurador-vida")</f>
        <v>https://www.adventistas.org/pt/jesus-restaurador-vida</v>
      </c>
      <c r="S1244" s="81" t="s">
        <v>5733</v>
      </c>
      <c r="T1244" s="81"/>
      <c r="U1244" s="84" t="str">
        <f>HYPERLINK("https://pbs.twimg.com/media/FALMw11X0AQCVcA.jpg")</f>
        <v>https://pbs.twimg.com/media/FALMw11X0AQCVcA.jpg</v>
      </c>
      <c r="V1244" s="84" t="str">
        <f>HYPERLINK("https://pbs.twimg.com/media/FALMw11X0AQCVcA.jpg")</f>
        <v>https://pbs.twimg.com/media/FALMw11X0AQCVcA.jpg</v>
      </c>
      <c r="W1244" s="83">
        <v>44465.550243055557</v>
      </c>
      <c r="X1244" s="89">
        <v>44465</v>
      </c>
      <c r="Y1244" s="86" t="s">
        <v>6227</v>
      </c>
      <c r="Z1244" s="84" t="str">
        <f>HYPERLINK("https://twitter.com/yoshuarodrguez3/status/1442114822452092928")</f>
        <v>https://twitter.com/yoshuarodrguez3/status/1442114822452092928</v>
      </c>
      <c r="AA1244" s="81"/>
      <c r="AB1244" s="81"/>
      <c r="AC1244" s="86" t="s">
        <v>7139</v>
      </c>
      <c r="AD1244" s="81"/>
      <c r="AE1244" s="81" t="b">
        <v>0</v>
      </c>
      <c r="AF1244" s="81">
        <v>0</v>
      </c>
      <c r="AG1244" s="86" t="s">
        <v>2084</v>
      </c>
      <c r="AH1244" s="81" t="b">
        <v>0</v>
      </c>
      <c r="AI1244" s="81" t="s">
        <v>2171</v>
      </c>
      <c r="AJ1244" s="81"/>
      <c r="AK1244" s="86" t="s">
        <v>2084</v>
      </c>
      <c r="AL1244" s="81" t="b">
        <v>0</v>
      </c>
      <c r="AM1244" s="81">
        <v>6</v>
      </c>
      <c r="AN1244" s="86" t="s">
        <v>7138</v>
      </c>
      <c r="AO1244" s="86" t="s">
        <v>2178</v>
      </c>
      <c r="AP1244" s="81" t="b">
        <v>0</v>
      </c>
      <c r="AQ1244" s="86" t="s">
        <v>7138</v>
      </c>
      <c r="AR1244" s="81" t="s">
        <v>179</v>
      </c>
      <c r="AS1244" s="81">
        <v>0</v>
      </c>
      <c r="AT1244" s="81">
        <v>0</v>
      </c>
      <c r="AU1244" s="81"/>
      <c r="AV1244" s="81"/>
      <c r="AW1244" s="81"/>
      <c r="AX1244" s="81"/>
      <c r="AY1244" s="81"/>
      <c r="AZ1244" s="81"/>
      <c r="BA1244" s="81"/>
      <c r="BB1244" s="81"/>
    </row>
    <row r="1245" spans="1:54" x14ac:dyDescent="0.35">
      <c r="A1245" s="66" t="s">
        <v>4580</v>
      </c>
      <c r="B1245" s="66" t="s">
        <v>4944</v>
      </c>
      <c r="C1245" s="67"/>
      <c r="D1245" s="68"/>
      <c r="E1245" s="69"/>
      <c r="F1245" s="70"/>
      <c r="G1245" s="67"/>
      <c r="H1245" s="71"/>
      <c r="I1245" s="72"/>
      <c r="J1245" s="72"/>
      <c r="K1245" s="36"/>
      <c r="L1245" s="79"/>
      <c r="M1245" s="79"/>
      <c r="N1245" s="74"/>
      <c r="O1245" s="81" t="s">
        <v>693</v>
      </c>
      <c r="P1245" s="83">
        <v>44465.55128472222</v>
      </c>
      <c r="Q1245" s="81" t="s">
        <v>5505</v>
      </c>
      <c r="R1245" s="81"/>
      <c r="S1245" s="81"/>
      <c r="T1245" s="81"/>
      <c r="U1245" s="81"/>
      <c r="V1245" s="84" t="str">
        <f>HYPERLINK("https://pbs.twimg.com/profile_images/1247683231257944064/dsxjq7pj_normal.jpg")</f>
        <v>https://pbs.twimg.com/profile_images/1247683231257944064/dsxjq7pj_normal.jpg</v>
      </c>
      <c r="W1245" s="83">
        <v>44465.55128472222</v>
      </c>
      <c r="X1245" s="89">
        <v>44465</v>
      </c>
      <c r="Y1245" s="86" t="s">
        <v>6228</v>
      </c>
      <c r="Z1245" s="84" t="str">
        <f>HYPERLINK("https://twitter.com/grandeorn/status/1442115200782503943")</f>
        <v>https://twitter.com/grandeorn/status/1442115200782503943</v>
      </c>
      <c r="AA1245" s="81"/>
      <c r="AB1245" s="81"/>
      <c r="AC1245" s="86" t="s">
        <v>7140</v>
      </c>
      <c r="AD1245" s="81"/>
      <c r="AE1245" s="81" t="b">
        <v>0</v>
      </c>
      <c r="AF1245" s="81">
        <v>0</v>
      </c>
      <c r="AG1245" s="86" t="s">
        <v>2084</v>
      </c>
      <c r="AH1245" s="81" t="b">
        <v>0</v>
      </c>
      <c r="AI1245" s="81" t="s">
        <v>2171</v>
      </c>
      <c r="AJ1245" s="81"/>
      <c r="AK1245" s="86" t="s">
        <v>2084</v>
      </c>
      <c r="AL1245" s="81" t="b">
        <v>0</v>
      </c>
      <c r="AM1245" s="81">
        <v>255</v>
      </c>
      <c r="AN1245" s="86" t="s">
        <v>7543</v>
      </c>
      <c r="AO1245" s="86" t="s">
        <v>2178</v>
      </c>
      <c r="AP1245" s="81" t="b">
        <v>0</v>
      </c>
      <c r="AQ1245" s="86" t="s">
        <v>7543</v>
      </c>
      <c r="AR1245" s="81" t="s">
        <v>179</v>
      </c>
      <c r="AS1245" s="81">
        <v>0</v>
      </c>
      <c r="AT1245" s="81">
        <v>0</v>
      </c>
      <c r="AU1245" s="81"/>
      <c r="AV1245" s="81"/>
      <c r="AW1245" s="81"/>
      <c r="AX1245" s="81"/>
      <c r="AY1245" s="81"/>
      <c r="AZ1245" s="81"/>
      <c r="BA1245" s="81"/>
      <c r="BB1245" s="81"/>
    </row>
    <row r="1246" spans="1:54" x14ac:dyDescent="0.35">
      <c r="A1246" s="66" t="s">
        <v>4581</v>
      </c>
      <c r="B1246" s="66" t="s">
        <v>4944</v>
      </c>
      <c r="C1246" s="67"/>
      <c r="D1246" s="68"/>
      <c r="E1246" s="69"/>
      <c r="F1246" s="70"/>
      <c r="G1246" s="67"/>
      <c r="H1246" s="71"/>
      <c r="I1246" s="72"/>
      <c r="J1246" s="72"/>
      <c r="K1246" s="36"/>
      <c r="L1246" s="79"/>
      <c r="M1246" s="79"/>
      <c r="N1246" s="74"/>
      <c r="O1246" s="81" t="s">
        <v>693</v>
      </c>
      <c r="P1246" s="83">
        <v>44465.551412037035</v>
      </c>
      <c r="Q1246" s="81" t="s">
        <v>5505</v>
      </c>
      <c r="R1246" s="81"/>
      <c r="S1246" s="81"/>
      <c r="T1246" s="81"/>
      <c r="U1246" s="81"/>
      <c r="V1246" s="84" t="str">
        <f>HYPERLINK("https://pbs.twimg.com/profile_images/1297943543714111490/bYFmMEwK_normal.jpg")</f>
        <v>https://pbs.twimg.com/profile_images/1297943543714111490/bYFmMEwK_normal.jpg</v>
      </c>
      <c r="W1246" s="83">
        <v>44465.551412037035</v>
      </c>
      <c r="X1246" s="89">
        <v>44465</v>
      </c>
      <c r="Y1246" s="86" t="s">
        <v>6229</v>
      </c>
      <c r="Z1246" s="84" t="str">
        <f>HYPERLINK("https://twitter.com/vilmarvs60/status/1442115247859511296")</f>
        <v>https://twitter.com/vilmarvs60/status/1442115247859511296</v>
      </c>
      <c r="AA1246" s="81"/>
      <c r="AB1246" s="81"/>
      <c r="AC1246" s="86" t="s">
        <v>7141</v>
      </c>
      <c r="AD1246" s="81"/>
      <c r="AE1246" s="81" t="b">
        <v>0</v>
      </c>
      <c r="AF1246" s="81">
        <v>0</v>
      </c>
      <c r="AG1246" s="86" t="s">
        <v>2084</v>
      </c>
      <c r="AH1246" s="81" t="b">
        <v>0</v>
      </c>
      <c r="AI1246" s="81" t="s">
        <v>2171</v>
      </c>
      <c r="AJ1246" s="81"/>
      <c r="AK1246" s="86" t="s">
        <v>2084</v>
      </c>
      <c r="AL1246" s="81" t="b">
        <v>0</v>
      </c>
      <c r="AM1246" s="81">
        <v>255</v>
      </c>
      <c r="AN1246" s="86" t="s">
        <v>7543</v>
      </c>
      <c r="AO1246" s="86" t="s">
        <v>2178</v>
      </c>
      <c r="AP1246" s="81" t="b">
        <v>0</v>
      </c>
      <c r="AQ1246" s="86" t="s">
        <v>7543</v>
      </c>
      <c r="AR1246" s="81" t="s">
        <v>179</v>
      </c>
      <c r="AS1246" s="81">
        <v>0</v>
      </c>
      <c r="AT1246" s="81">
        <v>0</v>
      </c>
      <c r="AU1246" s="81"/>
      <c r="AV1246" s="81"/>
      <c r="AW1246" s="81"/>
      <c r="AX1246" s="81"/>
      <c r="AY1246" s="81"/>
      <c r="AZ1246" s="81"/>
      <c r="BA1246" s="81"/>
      <c r="BB1246" s="81"/>
    </row>
    <row r="1247" spans="1:54" x14ac:dyDescent="0.35">
      <c r="A1247" s="66" t="s">
        <v>4582</v>
      </c>
      <c r="B1247" s="66" t="s">
        <v>4944</v>
      </c>
      <c r="C1247" s="67"/>
      <c r="D1247" s="68"/>
      <c r="E1247" s="69"/>
      <c r="F1247" s="70"/>
      <c r="G1247" s="67"/>
      <c r="H1247" s="71"/>
      <c r="I1247" s="72"/>
      <c r="J1247" s="72"/>
      <c r="K1247" s="36"/>
      <c r="L1247" s="79"/>
      <c r="M1247" s="79"/>
      <c r="N1247" s="74"/>
      <c r="O1247" s="81" t="s">
        <v>693</v>
      </c>
      <c r="P1247" s="83">
        <v>44465.552453703705</v>
      </c>
      <c r="Q1247" s="81" t="s">
        <v>5505</v>
      </c>
      <c r="R1247" s="81"/>
      <c r="S1247" s="81"/>
      <c r="T1247" s="81"/>
      <c r="U1247" s="81"/>
      <c r="V1247" s="84" t="str">
        <f>HYPERLINK("https://pbs.twimg.com/profile_images/1129054365367640066/CrdaQUmj_normal.jpg")</f>
        <v>https://pbs.twimg.com/profile_images/1129054365367640066/CrdaQUmj_normal.jpg</v>
      </c>
      <c r="W1247" s="83">
        <v>44465.552453703705</v>
      </c>
      <c r="X1247" s="89">
        <v>44465</v>
      </c>
      <c r="Y1247" s="86" t="s">
        <v>1513</v>
      </c>
      <c r="Z1247" s="84" t="str">
        <f>HYPERLINK("https://twitter.com/miguel_de_que/status/1442115623933329408")</f>
        <v>https://twitter.com/miguel_de_que/status/1442115623933329408</v>
      </c>
      <c r="AA1247" s="81"/>
      <c r="AB1247" s="81"/>
      <c r="AC1247" s="86" t="s">
        <v>7142</v>
      </c>
      <c r="AD1247" s="81"/>
      <c r="AE1247" s="81" t="b">
        <v>0</v>
      </c>
      <c r="AF1247" s="81">
        <v>0</v>
      </c>
      <c r="AG1247" s="86" t="s">
        <v>2084</v>
      </c>
      <c r="AH1247" s="81" t="b">
        <v>0</v>
      </c>
      <c r="AI1247" s="81" t="s">
        <v>2171</v>
      </c>
      <c r="AJ1247" s="81"/>
      <c r="AK1247" s="86" t="s">
        <v>2084</v>
      </c>
      <c r="AL1247" s="81" t="b">
        <v>0</v>
      </c>
      <c r="AM1247" s="81">
        <v>255</v>
      </c>
      <c r="AN1247" s="86" t="s">
        <v>7543</v>
      </c>
      <c r="AO1247" s="86" t="s">
        <v>2178</v>
      </c>
      <c r="AP1247" s="81" t="b">
        <v>0</v>
      </c>
      <c r="AQ1247" s="86" t="s">
        <v>7543</v>
      </c>
      <c r="AR1247" s="81" t="s">
        <v>179</v>
      </c>
      <c r="AS1247" s="81">
        <v>0</v>
      </c>
      <c r="AT1247" s="81">
        <v>0</v>
      </c>
      <c r="AU1247" s="81"/>
      <c r="AV1247" s="81"/>
      <c r="AW1247" s="81"/>
      <c r="AX1247" s="81"/>
      <c r="AY1247" s="81"/>
      <c r="AZ1247" s="81"/>
      <c r="BA1247" s="81"/>
      <c r="BB1247" s="81"/>
    </row>
    <row r="1248" spans="1:54" x14ac:dyDescent="0.35">
      <c r="A1248" s="66" t="s">
        <v>4583</v>
      </c>
      <c r="B1248" s="66" t="s">
        <v>4944</v>
      </c>
      <c r="C1248" s="67"/>
      <c r="D1248" s="68"/>
      <c r="E1248" s="69"/>
      <c r="F1248" s="70"/>
      <c r="G1248" s="67"/>
      <c r="H1248" s="71"/>
      <c r="I1248" s="72"/>
      <c r="J1248" s="72"/>
      <c r="K1248" s="36"/>
      <c r="L1248" s="79"/>
      <c r="M1248" s="79"/>
      <c r="N1248" s="74"/>
      <c r="O1248" s="81" t="s">
        <v>693</v>
      </c>
      <c r="P1248" s="83">
        <v>44465.554016203707</v>
      </c>
      <c r="Q1248" s="81" t="s">
        <v>5505</v>
      </c>
      <c r="R1248" s="81"/>
      <c r="S1248" s="81"/>
      <c r="T1248" s="81"/>
      <c r="U1248" s="81"/>
      <c r="V1248" s="84" t="str">
        <f>HYPERLINK("https://pbs.twimg.com/profile_images/1371173871550930956/1SIrv5ZC_normal.jpg")</f>
        <v>https://pbs.twimg.com/profile_images/1371173871550930956/1SIrv5ZC_normal.jpg</v>
      </c>
      <c r="W1248" s="83">
        <v>44465.554016203707</v>
      </c>
      <c r="X1248" s="89">
        <v>44465</v>
      </c>
      <c r="Y1248" s="86" t="s">
        <v>6230</v>
      </c>
      <c r="Z1248" s="84" t="str">
        <f>HYPERLINK("https://twitter.com/suetamr/status/1442116190596337673")</f>
        <v>https://twitter.com/suetamr/status/1442116190596337673</v>
      </c>
      <c r="AA1248" s="81"/>
      <c r="AB1248" s="81"/>
      <c r="AC1248" s="86" t="s">
        <v>7143</v>
      </c>
      <c r="AD1248" s="81"/>
      <c r="AE1248" s="81" t="b">
        <v>0</v>
      </c>
      <c r="AF1248" s="81">
        <v>0</v>
      </c>
      <c r="AG1248" s="86" t="s">
        <v>2084</v>
      </c>
      <c r="AH1248" s="81" t="b">
        <v>0</v>
      </c>
      <c r="AI1248" s="81" t="s">
        <v>2171</v>
      </c>
      <c r="AJ1248" s="81"/>
      <c r="AK1248" s="86" t="s">
        <v>2084</v>
      </c>
      <c r="AL1248" s="81" t="b">
        <v>0</v>
      </c>
      <c r="AM1248" s="81">
        <v>255</v>
      </c>
      <c r="AN1248" s="86" t="s">
        <v>7543</v>
      </c>
      <c r="AO1248" s="86" t="s">
        <v>2178</v>
      </c>
      <c r="AP1248" s="81" t="b">
        <v>0</v>
      </c>
      <c r="AQ1248" s="86" t="s">
        <v>7543</v>
      </c>
      <c r="AR1248" s="81" t="s">
        <v>179</v>
      </c>
      <c r="AS1248" s="81">
        <v>0</v>
      </c>
      <c r="AT1248" s="81">
        <v>0</v>
      </c>
      <c r="AU1248" s="81"/>
      <c r="AV1248" s="81"/>
      <c r="AW1248" s="81"/>
      <c r="AX1248" s="81"/>
      <c r="AY1248" s="81"/>
      <c r="AZ1248" s="81"/>
      <c r="BA1248" s="81"/>
      <c r="BB1248" s="81"/>
    </row>
    <row r="1249" spans="1:54" x14ac:dyDescent="0.35">
      <c r="A1249" s="66" t="s">
        <v>4584</v>
      </c>
      <c r="B1249" s="66" t="s">
        <v>4944</v>
      </c>
      <c r="C1249" s="67"/>
      <c r="D1249" s="68"/>
      <c r="E1249" s="69"/>
      <c r="F1249" s="70"/>
      <c r="G1249" s="67"/>
      <c r="H1249" s="71"/>
      <c r="I1249" s="72"/>
      <c r="J1249" s="72"/>
      <c r="K1249" s="36"/>
      <c r="L1249" s="79"/>
      <c r="M1249" s="79"/>
      <c r="N1249" s="74"/>
      <c r="O1249" s="81" t="s">
        <v>693</v>
      </c>
      <c r="P1249" s="83">
        <v>44465.554872685185</v>
      </c>
      <c r="Q1249" s="81" t="s">
        <v>5505</v>
      </c>
      <c r="R1249" s="81"/>
      <c r="S1249" s="81"/>
      <c r="T1249" s="81"/>
      <c r="U1249" s="81"/>
      <c r="V1249" s="84" t="str">
        <f>HYPERLINK("https://pbs.twimg.com/profile_images/1354796893491130371/8-X2FDog_normal.jpg")</f>
        <v>https://pbs.twimg.com/profile_images/1354796893491130371/8-X2FDog_normal.jpg</v>
      </c>
      <c r="W1249" s="83">
        <v>44465.554872685185</v>
      </c>
      <c r="X1249" s="89">
        <v>44465</v>
      </c>
      <c r="Y1249" s="86" t="s">
        <v>6231</v>
      </c>
      <c r="Z1249" s="84" t="str">
        <f>HYPERLINK("https://twitter.com/claudia_sarti13/status/1442116500463108101")</f>
        <v>https://twitter.com/claudia_sarti13/status/1442116500463108101</v>
      </c>
      <c r="AA1249" s="81"/>
      <c r="AB1249" s="81"/>
      <c r="AC1249" s="86" t="s">
        <v>7144</v>
      </c>
      <c r="AD1249" s="81"/>
      <c r="AE1249" s="81" t="b">
        <v>0</v>
      </c>
      <c r="AF1249" s="81">
        <v>0</v>
      </c>
      <c r="AG1249" s="86" t="s">
        <v>2084</v>
      </c>
      <c r="AH1249" s="81" t="b">
        <v>0</v>
      </c>
      <c r="AI1249" s="81" t="s">
        <v>2171</v>
      </c>
      <c r="AJ1249" s="81"/>
      <c r="AK1249" s="86" t="s">
        <v>2084</v>
      </c>
      <c r="AL1249" s="81" t="b">
        <v>0</v>
      </c>
      <c r="AM1249" s="81">
        <v>255</v>
      </c>
      <c r="AN1249" s="86" t="s">
        <v>7543</v>
      </c>
      <c r="AO1249" s="86" t="s">
        <v>2179</v>
      </c>
      <c r="AP1249" s="81" t="b">
        <v>0</v>
      </c>
      <c r="AQ1249" s="86" t="s">
        <v>7543</v>
      </c>
      <c r="AR1249" s="81" t="s">
        <v>179</v>
      </c>
      <c r="AS1249" s="81">
        <v>0</v>
      </c>
      <c r="AT1249" s="81">
        <v>0</v>
      </c>
      <c r="AU1249" s="81"/>
      <c r="AV1249" s="81"/>
      <c r="AW1249" s="81"/>
      <c r="AX1249" s="81"/>
      <c r="AY1249" s="81"/>
      <c r="AZ1249" s="81"/>
      <c r="BA1249" s="81"/>
      <c r="BB1249" s="81"/>
    </row>
    <row r="1250" spans="1:54" x14ac:dyDescent="0.35">
      <c r="A1250" s="66" t="s">
        <v>4585</v>
      </c>
      <c r="B1250" s="66" t="s">
        <v>4944</v>
      </c>
      <c r="C1250" s="67"/>
      <c r="D1250" s="68"/>
      <c r="E1250" s="69"/>
      <c r="F1250" s="70"/>
      <c r="G1250" s="67"/>
      <c r="H1250" s="71"/>
      <c r="I1250" s="72"/>
      <c r="J1250" s="72"/>
      <c r="K1250" s="36"/>
      <c r="L1250" s="79"/>
      <c r="M1250" s="79"/>
      <c r="N1250" s="74"/>
      <c r="O1250" s="81" t="s">
        <v>693</v>
      </c>
      <c r="P1250" s="83">
        <v>44465.555462962962</v>
      </c>
      <c r="Q1250" s="81" t="s">
        <v>5505</v>
      </c>
      <c r="R1250" s="81"/>
      <c r="S1250" s="81"/>
      <c r="T1250" s="81"/>
      <c r="U1250" s="81"/>
      <c r="V1250" s="84" t="str">
        <f>HYPERLINK("https://pbs.twimg.com/profile_images/1206298012475154433/RSpYpP-T_normal.jpg")</f>
        <v>https://pbs.twimg.com/profile_images/1206298012475154433/RSpYpP-T_normal.jpg</v>
      </c>
      <c r="W1250" s="83">
        <v>44465.555462962962</v>
      </c>
      <c r="X1250" s="89">
        <v>44465</v>
      </c>
      <c r="Y1250" s="86" t="s">
        <v>6232</v>
      </c>
      <c r="Z1250" s="84" t="str">
        <f>HYPERLINK("https://twitter.com/chass1978/status/1442116712854401026")</f>
        <v>https://twitter.com/chass1978/status/1442116712854401026</v>
      </c>
      <c r="AA1250" s="81"/>
      <c r="AB1250" s="81"/>
      <c r="AC1250" s="86" t="s">
        <v>7145</v>
      </c>
      <c r="AD1250" s="81"/>
      <c r="AE1250" s="81" t="b">
        <v>0</v>
      </c>
      <c r="AF1250" s="81">
        <v>0</v>
      </c>
      <c r="AG1250" s="86" t="s">
        <v>2084</v>
      </c>
      <c r="AH1250" s="81" t="b">
        <v>0</v>
      </c>
      <c r="AI1250" s="81" t="s">
        <v>2171</v>
      </c>
      <c r="AJ1250" s="81"/>
      <c r="AK1250" s="86" t="s">
        <v>2084</v>
      </c>
      <c r="AL1250" s="81" t="b">
        <v>0</v>
      </c>
      <c r="AM1250" s="81">
        <v>255</v>
      </c>
      <c r="AN1250" s="86" t="s">
        <v>7543</v>
      </c>
      <c r="AO1250" s="86" t="s">
        <v>2178</v>
      </c>
      <c r="AP1250" s="81" t="b">
        <v>0</v>
      </c>
      <c r="AQ1250" s="86" t="s">
        <v>7543</v>
      </c>
      <c r="AR1250" s="81" t="s">
        <v>179</v>
      </c>
      <c r="AS1250" s="81">
        <v>0</v>
      </c>
      <c r="AT1250" s="81">
        <v>0</v>
      </c>
      <c r="AU1250" s="81"/>
      <c r="AV1250" s="81"/>
      <c r="AW1250" s="81"/>
      <c r="AX1250" s="81"/>
      <c r="AY1250" s="81"/>
      <c r="AZ1250" s="81"/>
      <c r="BA1250" s="81"/>
      <c r="BB1250" s="81"/>
    </row>
    <row r="1251" spans="1:54" x14ac:dyDescent="0.35">
      <c r="A1251" s="66" t="s">
        <v>4586</v>
      </c>
      <c r="B1251" s="66" t="s">
        <v>4944</v>
      </c>
      <c r="C1251" s="67"/>
      <c r="D1251" s="68"/>
      <c r="E1251" s="69"/>
      <c r="F1251" s="70"/>
      <c r="G1251" s="67"/>
      <c r="H1251" s="71"/>
      <c r="I1251" s="72"/>
      <c r="J1251" s="72"/>
      <c r="K1251" s="36"/>
      <c r="L1251" s="79"/>
      <c r="M1251" s="79"/>
      <c r="N1251" s="74"/>
      <c r="O1251" s="81" t="s">
        <v>693</v>
      </c>
      <c r="P1251" s="83">
        <v>44465.555474537039</v>
      </c>
      <c r="Q1251" s="81" t="s">
        <v>5505</v>
      </c>
      <c r="R1251" s="81"/>
      <c r="S1251" s="81"/>
      <c r="T1251" s="81"/>
      <c r="U1251" s="81"/>
      <c r="V1251" s="84" t="str">
        <f>HYPERLINK("https://pbs.twimg.com/profile_images/1381235397984985089/Tb95Gluw_normal.jpg")</f>
        <v>https://pbs.twimg.com/profile_images/1381235397984985089/Tb95Gluw_normal.jpg</v>
      </c>
      <c r="W1251" s="83">
        <v>44465.555474537039</v>
      </c>
      <c r="X1251" s="89">
        <v>44465</v>
      </c>
      <c r="Y1251" s="86" t="s">
        <v>6233</v>
      </c>
      <c r="Z1251" s="84" t="str">
        <f>HYPERLINK("https://twitter.com/wpz13/status/1442116718248214531")</f>
        <v>https://twitter.com/wpz13/status/1442116718248214531</v>
      </c>
      <c r="AA1251" s="81"/>
      <c r="AB1251" s="81"/>
      <c r="AC1251" s="86" t="s">
        <v>7146</v>
      </c>
      <c r="AD1251" s="81"/>
      <c r="AE1251" s="81" t="b">
        <v>0</v>
      </c>
      <c r="AF1251" s="81">
        <v>0</v>
      </c>
      <c r="AG1251" s="86" t="s">
        <v>2084</v>
      </c>
      <c r="AH1251" s="81" t="b">
        <v>0</v>
      </c>
      <c r="AI1251" s="81" t="s">
        <v>2171</v>
      </c>
      <c r="AJ1251" s="81"/>
      <c r="AK1251" s="86" t="s">
        <v>2084</v>
      </c>
      <c r="AL1251" s="81" t="b">
        <v>0</v>
      </c>
      <c r="AM1251" s="81">
        <v>255</v>
      </c>
      <c r="AN1251" s="86" t="s">
        <v>7543</v>
      </c>
      <c r="AO1251" s="86" t="s">
        <v>2178</v>
      </c>
      <c r="AP1251" s="81" t="b">
        <v>0</v>
      </c>
      <c r="AQ1251" s="86" t="s">
        <v>7543</v>
      </c>
      <c r="AR1251" s="81" t="s">
        <v>179</v>
      </c>
      <c r="AS1251" s="81">
        <v>0</v>
      </c>
      <c r="AT1251" s="81">
        <v>0</v>
      </c>
      <c r="AU1251" s="81"/>
      <c r="AV1251" s="81"/>
      <c r="AW1251" s="81"/>
      <c r="AX1251" s="81"/>
      <c r="AY1251" s="81"/>
      <c r="AZ1251" s="81"/>
      <c r="BA1251" s="81"/>
      <c r="BB1251" s="81"/>
    </row>
    <row r="1252" spans="1:54" x14ac:dyDescent="0.35">
      <c r="A1252" s="66" t="s">
        <v>4587</v>
      </c>
      <c r="B1252" s="66" t="s">
        <v>4944</v>
      </c>
      <c r="C1252" s="67"/>
      <c r="D1252" s="68"/>
      <c r="E1252" s="69"/>
      <c r="F1252" s="70"/>
      <c r="G1252" s="67"/>
      <c r="H1252" s="71"/>
      <c r="I1252" s="72"/>
      <c r="J1252" s="72"/>
      <c r="K1252" s="36"/>
      <c r="L1252" s="79"/>
      <c r="M1252" s="79"/>
      <c r="N1252" s="74"/>
      <c r="O1252" s="81" t="s">
        <v>693</v>
      </c>
      <c r="P1252" s="83">
        <v>44465.555520833332</v>
      </c>
      <c r="Q1252" s="81" t="s">
        <v>5505</v>
      </c>
      <c r="R1252" s="81"/>
      <c r="S1252" s="81"/>
      <c r="T1252" s="81"/>
      <c r="U1252" s="81"/>
      <c r="V1252" s="84" t="str">
        <f>HYPERLINK("https://pbs.twimg.com/profile_images/1440693131427467288/htS3wCTp_normal.jpg")</f>
        <v>https://pbs.twimg.com/profile_images/1440693131427467288/htS3wCTp_normal.jpg</v>
      </c>
      <c r="W1252" s="83">
        <v>44465.555520833332</v>
      </c>
      <c r="X1252" s="89">
        <v>44465</v>
      </c>
      <c r="Y1252" s="86" t="s">
        <v>6234</v>
      </c>
      <c r="Z1252" s="84" t="str">
        <f>HYPERLINK("https://twitter.com/garotadpi/status/1442116735889551360")</f>
        <v>https://twitter.com/garotadpi/status/1442116735889551360</v>
      </c>
      <c r="AA1252" s="81"/>
      <c r="AB1252" s="81"/>
      <c r="AC1252" s="86" t="s">
        <v>7147</v>
      </c>
      <c r="AD1252" s="81"/>
      <c r="AE1252" s="81" t="b">
        <v>0</v>
      </c>
      <c r="AF1252" s="81">
        <v>0</v>
      </c>
      <c r="AG1252" s="86" t="s">
        <v>2084</v>
      </c>
      <c r="AH1252" s="81" t="b">
        <v>0</v>
      </c>
      <c r="AI1252" s="81" t="s">
        <v>2171</v>
      </c>
      <c r="AJ1252" s="81"/>
      <c r="AK1252" s="86" t="s">
        <v>2084</v>
      </c>
      <c r="AL1252" s="81" t="b">
        <v>0</v>
      </c>
      <c r="AM1252" s="81">
        <v>255</v>
      </c>
      <c r="AN1252" s="86" t="s">
        <v>7543</v>
      </c>
      <c r="AO1252" s="86" t="s">
        <v>2178</v>
      </c>
      <c r="AP1252" s="81" t="b">
        <v>0</v>
      </c>
      <c r="AQ1252" s="86" t="s">
        <v>7543</v>
      </c>
      <c r="AR1252" s="81" t="s">
        <v>179</v>
      </c>
      <c r="AS1252" s="81">
        <v>0</v>
      </c>
      <c r="AT1252" s="81">
        <v>0</v>
      </c>
      <c r="AU1252" s="81"/>
      <c r="AV1252" s="81"/>
      <c r="AW1252" s="81"/>
      <c r="AX1252" s="81"/>
      <c r="AY1252" s="81"/>
      <c r="AZ1252" s="81"/>
      <c r="BA1252" s="81"/>
      <c r="BB1252" s="81"/>
    </row>
    <row r="1253" spans="1:54" x14ac:dyDescent="0.35">
      <c r="A1253" s="66" t="s">
        <v>4588</v>
      </c>
      <c r="B1253" s="66" t="s">
        <v>4944</v>
      </c>
      <c r="C1253" s="67"/>
      <c r="D1253" s="68"/>
      <c r="E1253" s="69"/>
      <c r="F1253" s="70"/>
      <c r="G1253" s="67"/>
      <c r="H1253" s="71"/>
      <c r="I1253" s="72"/>
      <c r="J1253" s="72"/>
      <c r="K1253" s="36"/>
      <c r="L1253" s="79"/>
      <c r="M1253" s="79"/>
      <c r="N1253" s="74"/>
      <c r="O1253" s="81" t="s">
        <v>693</v>
      </c>
      <c r="P1253" s="83">
        <v>44465.555775462963</v>
      </c>
      <c r="Q1253" s="81" t="s">
        <v>5505</v>
      </c>
      <c r="R1253" s="81"/>
      <c r="S1253" s="81"/>
      <c r="T1253" s="81"/>
      <c r="U1253" s="81"/>
      <c r="V1253" s="84" t="str">
        <f>HYPERLINK("https://pbs.twimg.com/profile_images/1320497462747025410/DF8pFn-__normal.jpg")</f>
        <v>https://pbs.twimg.com/profile_images/1320497462747025410/DF8pFn-__normal.jpg</v>
      </c>
      <c r="W1253" s="83">
        <v>44465.555775462963</v>
      </c>
      <c r="X1253" s="89">
        <v>44465</v>
      </c>
      <c r="Y1253" s="86" t="s">
        <v>6235</v>
      </c>
      <c r="Z1253" s="84" t="str">
        <f>HYPERLINK("https://twitter.com/franciorlando/status/1442116827060994059")</f>
        <v>https://twitter.com/franciorlando/status/1442116827060994059</v>
      </c>
      <c r="AA1253" s="81"/>
      <c r="AB1253" s="81"/>
      <c r="AC1253" s="86" t="s">
        <v>7148</v>
      </c>
      <c r="AD1253" s="81"/>
      <c r="AE1253" s="81" t="b">
        <v>0</v>
      </c>
      <c r="AF1253" s="81">
        <v>0</v>
      </c>
      <c r="AG1253" s="86" t="s">
        <v>2084</v>
      </c>
      <c r="AH1253" s="81" t="b">
        <v>0</v>
      </c>
      <c r="AI1253" s="81" t="s">
        <v>2171</v>
      </c>
      <c r="AJ1253" s="81"/>
      <c r="AK1253" s="86" t="s">
        <v>2084</v>
      </c>
      <c r="AL1253" s="81" t="b">
        <v>0</v>
      </c>
      <c r="AM1253" s="81">
        <v>255</v>
      </c>
      <c r="AN1253" s="86" t="s">
        <v>7543</v>
      </c>
      <c r="AO1253" s="86" t="s">
        <v>2178</v>
      </c>
      <c r="AP1253" s="81" t="b">
        <v>0</v>
      </c>
      <c r="AQ1253" s="86" t="s">
        <v>7543</v>
      </c>
      <c r="AR1253" s="81" t="s">
        <v>179</v>
      </c>
      <c r="AS1253" s="81">
        <v>0</v>
      </c>
      <c r="AT1253" s="81">
        <v>0</v>
      </c>
      <c r="AU1253" s="81"/>
      <c r="AV1253" s="81"/>
      <c r="AW1253" s="81"/>
      <c r="AX1253" s="81"/>
      <c r="AY1253" s="81"/>
      <c r="AZ1253" s="81"/>
      <c r="BA1253" s="81"/>
      <c r="BB1253" s="81"/>
    </row>
    <row r="1254" spans="1:54" x14ac:dyDescent="0.35">
      <c r="A1254" s="66" t="s">
        <v>4589</v>
      </c>
      <c r="B1254" s="66" t="s">
        <v>4944</v>
      </c>
      <c r="C1254" s="67"/>
      <c r="D1254" s="68"/>
      <c r="E1254" s="69"/>
      <c r="F1254" s="70"/>
      <c r="G1254" s="67"/>
      <c r="H1254" s="71"/>
      <c r="I1254" s="72"/>
      <c r="J1254" s="72"/>
      <c r="K1254" s="36"/>
      <c r="L1254" s="79"/>
      <c r="M1254" s="79"/>
      <c r="N1254" s="74"/>
      <c r="O1254" s="81" t="s">
        <v>693</v>
      </c>
      <c r="P1254" s="83">
        <v>44465.556331018517</v>
      </c>
      <c r="Q1254" s="81" t="s">
        <v>5505</v>
      </c>
      <c r="R1254" s="81"/>
      <c r="S1254" s="81"/>
      <c r="T1254" s="81"/>
      <c r="U1254" s="81"/>
      <c r="V1254" s="84" t="str">
        <f>HYPERLINK("https://pbs.twimg.com/profile_images/1324805219784556549/eLOaHGZY_normal.jpg")</f>
        <v>https://pbs.twimg.com/profile_images/1324805219784556549/eLOaHGZY_normal.jpg</v>
      </c>
      <c r="W1254" s="83">
        <v>44465.556331018517</v>
      </c>
      <c r="X1254" s="89">
        <v>44465</v>
      </c>
      <c r="Y1254" s="86" t="s">
        <v>6236</v>
      </c>
      <c r="Z1254" s="84" t="str">
        <f>HYPERLINK("https://twitter.com/siljr2/status/1442117029629149186")</f>
        <v>https://twitter.com/siljr2/status/1442117029629149186</v>
      </c>
      <c r="AA1254" s="81"/>
      <c r="AB1254" s="81"/>
      <c r="AC1254" s="86" t="s">
        <v>7149</v>
      </c>
      <c r="AD1254" s="81"/>
      <c r="AE1254" s="81" t="b">
        <v>0</v>
      </c>
      <c r="AF1254" s="81">
        <v>0</v>
      </c>
      <c r="AG1254" s="86" t="s">
        <v>2084</v>
      </c>
      <c r="AH1254" s="81" t="b">
        <v>0</v>
      </c>
      <c r="AI1254" s="81" t="s">
        <v>2171</v>
      </c>
      <c r="AJ1254" s="81"/>
      <c r="AK1254" s="86" t="s">
        <v>2084</v>
      </c>
      <c r="AL1254" s="81" t="b">
        <v>0</v>
      </c>
      <c r="AM1254" s="81">
        <v>255</v>
      </c>
      <c r="AN1254" s="86" t="s">
        <v>7543</v>
      </c>
      <c r="AO1254" s="86" t="s">
        <v>2181</v>
      </c>
      <c r="AP1254" s="81" t="b">
        <v>0</v>
      </c>
      <c r="AQ1254" s="86" t="s">
        <v>7543</v>
      </c>
      <c r="AR1254" s="81" t="s">
        <v>179</v>
      </c>
      <c r="AS1254" s="81">
        <v>0</v>
      </c>
      <c r="AT1254" s="81">
        <v>0</v>
      </c>
      <c r="AU1254" s="81"/>
      <c r="AV1254" s="81"/>
      <c r="AW1254" s="81"/>
      <c r="AX1254" s="81"/>
      <c r="AY1254" s="81"/>
      <c r="AZ1254" s="81"/>
      <c r="BA1254" s="81"/>
      <c r="BB1254" s="81"/>
    </row>
    <row r="1255" spans="1:54" x14ac:dyDescent="0.35">
      <c r="A1255" s="66" t="s">
        <v>4590</v>
      </c>
      <c r="B1255" s="66" t="s">
        <v>4944</v>
      </c>
      <c r="C1255" s="67"/>
      <c r="D1255" s="68"/>
      <c r="E1255" s="69"/>
      <c r="F1255" s="70"/>
      <c r="G1255" s="67"/>
      <c r="H1255" s="71"/>
      <c r="I1255" s="72"/>
      <c r="J1255" s="72"/>
      <c r="K1255" s="36"/>
      <c r="L1255" s="79"/>
      <c r="M1255" s="79"/>
      <c r="N1255" s="74"/>
      <c r="O1255" s="81" t="s">
        <v>693</v>
      </c>
      <c r="P1255" s="83">
        <v>44465.556747685187</v>
      </c>
      <c r="Q1255" s="81" t="s">
        <v>5505</v>
      </c>
      <c r="R1255" s="81"/>
      <c r="S1255" s="81"/>
      <c r="T1255" s="81"/>
      <c r="U1255" s="81"/>
      <c r="V1255" s="84" t="str">
        <f>HYPERLINK("https://pbs.twimg.com/profile_images/1185349364887281664/kb9rX0Nl_normal.jpg")</f>
        <v>https://pbs.twimg.com/profile_images/1185349364887281664/kb9rX0Nl_normal.jpg</v>
      </c>
      <c r="W1255" s="83">
        <v>44465.556747685187</v>
      </c>
      <c r="X1255" s="89">
        <v>44465</v>
      </c>
      <c r="Y1255" s="86" t="s">
        <v>6237</v>
      </c>
      <c r="Z1255" s="84" t="str">
        <f>HYPERLINK("https://twitter.com/neidelopesacre/status/1442117177755189252")</f>
        <v>https://twitter.com/neidelopesacre/status/1442117177755189252</v>
      </c>
      <c r="AA1255" s="81"/>
      <c r="AB1255" s="81"/>
      <c r="AC1255" s="86" t="s">
        <v>7150</v>
      </c>
      <c r="AD1255" s="81"/>
      <c r="AE1255" s="81" t="b">
        <v>0</v>
      </c>
      <c r="AF1255" s="81">
        <v>0</v>
      </c>
      <c r="AG1255" s="86" t="s">
        <v>2084</v>
      </c>
      <c r="AH1255" s="81" t="b">
        <v>0</v>
      </c>
      <c r="AI1255" s="81" t="s">
        <v>2171</v>
      </c>
      <c r="AJ1255" s="81"/>
      <c r="AK1255" s="86" t="s">
        <v>2084</v>
      </c>
      <c r="AL1255" s="81" t="b">
        <v>0</v>
      </c>
      <c r="AM1255" s="81">
        <v>255</v>
      </c>
      <c r="AN1255" s="86" t="s">
        <v>7543</v>
      </c>
      <c r="AO1255" s="86" t="s">
        <v>2179</v>
      </c>
      <c r="AP1255" s="81" t="b">
        <v>0</v>
      </c>
      <c r="AQ1255" s="86" t="s">
        <v>7543</v>
      </c>
      <c r="AR1255" s="81" t="s">
        <v>179</v>
      </c>
      <c r="AS1255" s="81">
        <v>0</v>
      </c>
      <c r="AT1255" s="81">
        <v>0</v>
      </c>
      <c r="AU1255" s="81"/>
      <c r="AV1255" s="81"/>
      <c r="AW1255" s="81"/>
      <c r="AX1255" s="81"/>
      <c r="AY1255" s="81"/>
      <c r="AZ1255" s="81"/>
      <c r="BA1255" s="81"/>
      <c r="BB1255" s="81"/>
    </row>
    <row r="1256" spans="1:54" x14ac:dyDescent="0.35">
      <c r="A1256" s="66" t="s">
        <v>498</v>
      </c>
      <c r="B1256" s="66" t="s">
        <v>666</v>
      </c>
      <c r="C1256" s="67"/>
      <c r="D1256" s="68"/>
      <c r="E1256" s="69"/>
      <c r="F1256" s="70"/>
      <c r="G1256" s="67"/>
      <c r="H1256" s="71"/>
      <c r="I1256" s="72"/>
      <c r="J1256" s="72"/>
      <c r="K1256" s="36"/>
      <c r="L1256" s="79"/>
      <c r="M1256" s="79"/>
      <c r="N1256" s="74"/>
      <c r="O1256" s="81" t="s">
        <v>695</v>
      </c>
      <c r="P1256" s="83">
        <v>44465.557199074072</v>
      </c>
      <c r="Q1256" s="81" t="s">
        <v>828</v>
      </c>
      <c r="R1256" s="81"/>
      <c r="S1256" s="81"/>
      <c r="T1256" s="81"/>
      <c r="U1256" s="81"/>
      <c r="V1256" s="84" t="str">
        <f>HYPERLINK("https://pbs.twimg.com/profile_images/1408015822912585728/rOHIyfTL_normal.jpg")</f>
        <v>https://pbs.twimg.com/profile_images/1408015822912585728/rOHIyfTL_normal.jpg</v>
      </c>
      <c r="W1256" s="83">
        <v>44465.557199074072</v>
      </c>
      <c r="X1256" s="89">
        <v>44465</v>
      </c>
      <c r="Y1256" s="86" t="s">
        <v>1356</v>
      </c>
      <c r="Z1256" s="84" t="str">
        <f>HYPERLINK("https://twitter.com/tariprinsa/status/1442117343392399363")</f>
        <v>https://twitter.com/tariprinsa/status/1442117343392399363</v>
      </c>
      <c r="AA1256" s="81"/>
      <c r="AB1256" s="81"/>
      <c r="AC1256" s="86" t="s">
        <v>1852</v>
      </c>
      <c r="AD1256" s="86" t="s">
        <v>2049</v>
      </c>
      <c r="AE1256" s="81" t="b">
        <v>0</v>
      </c>
      <c r="AF1256" s="81">
        <v>0</v>
      </c>
      <c r="AG1256" s="86" t="s">
        <v>2134</v>
      </c>
      <c r="AH1256" s="81" t="b">
        <v>0</v>
      </c>
      <c r="AI1256" s="81" t="s">
        <v>2168</v>
      </c>
      <c r="AJ1256" s="81"/>
      <c r="AK1256" s="86" t="s">
        <v>2084</v>
      </c>
      <c r="AL1256" s="81" t="b">
        <v>0</v>
      </c>
      <c r="AM1256" s="81">
        <v>0</v>
      </c>
      <c r="AN1256" s="86" t="s">
        <v>2084</v>
      </c>
      <c r="AO1256" s="86" t="s">
        <v>2178</v>
      </c>
      <c r="AP1256" s="81" t="b">
        <v>0</v>
      </c>
      <c r="AQ1256" s="86" t="s">
        <v>2049</v>
      </c>
      <c r="AR1256" s="81" t="s">
        <v>179</v>
      </c>
      <c r="AS1256" s="81">
        <v>0</v>
      </c>
      <c r="AT1256" s="81">
        <v>0</v>
      </c>
      <c r="AU1256" s="81"/>
      <c r="AV1256" s="81"/>
      <c r="AW1256" s="81"/>
      <c r="AX1256" s="81"/>
      <c r="AY1256" s="81"/>
      <c r="AZ1256" s="81"/>
      <c r="BA1256" s="81"/>
      <c r="BB1256" s="81"/>
    </row>
    <row r="1257" spans="1:54" x14ac:dyDescent="0.35">
      <c r="A1257" s="66" t="s">
        <v>4591</v>
      </c>
      <c r="B1257" s="66" t="s">
        <v>4944</v>
      </c>
      <c r="C1257" s="67"/>
      <c r="D1257" s="68"/>
      <c r="E1257" s="69"/>
      <c r="F1257" s="70"/>
      <c r="G1257" s="67"/>
      <c r="H1257" s="71"/>
      <c r="I1257" s="72"/>
      <c r="J1257" s="72"/>
      <c r="K1257" s="36"/>
      <c r="L1257" s="79"/>
      <c r="M1257" s="79"/>
      <c r="N1257" s="74"/>
      <c r="O1257" s="81" t="s">
        <v>693</v>
      </c>
      <c r="P1257" s="83">
        <v>44465.557905092595</v>
      </c>
      <c r="Q1257" s="81" t="s">
        <v>5505</v>
      </c>
      <c r="R1257" s="81"/>
      <c r="S1257" s="81"/>
      <c r="T1257" s="81"/>
      <c r="U1257" s="81"/>
      <c r="V1257" s="84" t="str">
        <f>HYPERLINK("https://pbs.twimg.com/profile_images/1359112865416937476/uuGoMkH2_normal.jpg")</f>
        <v>https://pbs.twimg.com/profile_images/1359112865416937476/uuGoMkH2_normal.jpg</v>
      </c>
      <c r="W1257" s="83">
        <v>44465.557905092595</v>
      </c>
      <c r="X1257" s="89">
        <v>44465</v>
      </c>
      <c r="Y1257" s="86" t="s">
        <v>6238</v>
      </c>
      <c r="Z1257" s="84" t="str">
        <f>HYPERLINK("https://twitter.com/ap_skywalker/status/1442117601023434752")</f>
        <v>https://twitter.com/ap_skywalker/status/1442117601023434752</v>
      </c>
      <c r="AA1257" s="81"/>
      <c r="AB1257" s="81"/>
      <c r="AC1257" s="86" t="s">
        <v>7151</v>
      </c>
      <c r="AD1257" s="81"/>
      <c r="AE1257" s="81" t="b">
        <v>0</v>
      </c>
      <c r="AF1257" s="81">
        <v>0</v>
      </c>
      <c r="AG1257" s="86" t="s">
        <v>2084</v>
      </c>
      <c r="AH1257" s="81" t="b">
        <v>0</v>
      </c>
      <c r="AI1257" s="81" t="s">
        <v>2171</v>
      </c>
      <c r="AJ1257" s="81"/>
      <c r="AK1257" s="86" t="s">
        <v>2084</v>
      </c>
      <c r="AL1257" s="81" t="b">
        <v>0</v>
      </c>
      <c r="AM1257" s="81">
        <v>255</v>
      </c>
      <c r="AN1257" s="86" t="s">
        <v>7543</v>
      </c>
      <c r="AO1257" s="86" t="s">
        <v>2178</v>
      </c>
      <c r="AP1257" s="81" t="b">
        <v>0</v>
      </c>
      <c r="AQ1257" s="86" t="s">
        <v>7543</v>
      </c>
      <c r="AR1257" s="81" t="s">
        <v>179</v>
      </c>
      <c r="AS1257" s="81">
        <v>0</v>
      </c>
      <c r="AT1257" s="81">
        <v>0</v>
      </c>
      <c r="AU1257" s="81"/>
      <c r="AV1257" s="81"/>
      <c r="AW1257" s="81"/>
      <c r="AX1257" s="81"/>
      <c r="AY1257" s="81"/>
      <c r="AZ1257" s="81"/>
      <c r="BA1257" s="81"/>
      <c r="BB1257" s="81"/>
    </row>
    <row r="1258" spans="1:54" x14ac:dyDescent="0.35">
      <c r="A1258" s="66" t="s">
        <v>4592</v>
      </c>
      <c r="B1258" s="66" t="s">
        <v>4944</v>
      </c>
      <c r="C1258" s="67"/>
      <c r="D1258" s="68"/>
      <c r="E1258" s="69"/>
      <c r="F1258" s="70"/>
      <c r="G1258" s="67"/>
      <c r="H1258" s="71"/>
      <c r="I1258" s="72"/>
      <c r="J1258" s="72"/>
      <c r="K1258" s="36"/>
      <c r="L1258" s="79"/>
      <c r="M1258" s="79"/>
      <c r="N1258" s="74"/>
      <c r="O1258" s="81" t="s">
        <v>693</v>
      </c>
      <c r="P1258" s="83">
        <v>44465.55804398148</v>
      </c>
      <c r="Q1258" s="81" t="s">
        <v>5505</v>
      </c>
      <c r="R1258" s="81"/>
      <c r="S1258" s="81"/>
      <c r="T1258" s="81"/>
      <c r="U1258" s="81"/>
      <c r="V1258" s="84" t="str">
        <f>HYPERLINK("https://pbs.twimg.com/profile_images/1405382100686184453/J_tYOyO5_normal.jpg")</f>
        <v>https://pbs.twimg.com/profile_images/1405382100686184453/J_tYOyO5_normal.jpg</v>
      </c>
      <c r="W1258" s="83">
        <v>44465.55804398148</v>
      </c>
      <c r="X1258" s="89">
        <v>44465</v>
      </c>
      <c r="Y1258" s="86" t="s">
        <v>6239</v>
      </c>
      <c r="Z1258" s="84" t="str">
        <f>HYPERLINK("https://twitter.com/fernandocesar77/status/1442117648712495118")</f>
        <v>https://twitter.com/fernandocesar77/status/1442117648712495118</v>
      </c>
      <c r="AA1258" s="81"/>
      <c r="AB1258" s="81"/>
      <c r="AC1258" s="86" t="s">
        <v>7152</v>
      </c>
      <c r="AD1258" s="81"/>
      <c r="AE1258" s="81" t="b">
        <v>0</v>
      </c>
      <c r="AF1258" s="81">
        <v>0</v>
      </c>
      <c r="AG1258" s="86" t="s">
        <v>2084</v>
      </c>
      <c r="AH1258" s="81" t="b">
        <v>0</v>
      </c>
      <c r="AI1258" s="81" t="s">
        <v>2171</v>
      </c>
      <c r="AJ1258" s="81"/>
      <c r="AK1258" s="86" t="s">
        <v>2084</v>
      </c>
      <c r="AL1258" s="81" t="b">
        <v>0</v>
      </c>
      <c r="AM1258" s="81">
        <v>255</v>
      </c>
      <c r="AN1258" s="86" t="s">
        <v>7543</v>
      </c>
      <c r="AO1258" s="86" t="s">
        <v>2182</v>
      </c>
      <c r="AP1258" s="81" t="b">
        <v>0</v>
      </c>
      <c r="AQ1258" s="86" t="s">
        <v>7543</v>
      </c>
      <c r="AR1258" s="81" t="s">
        <v>179</v>
      </c>
      <c r="AS1258" s="81">
        <v>0</v>
      </c>
      <c r="AT1258" s="81">
        <v>0</v>
      </c>
      <c r="AU1258" s="81"/>
      <c r="AV1258" s="81"/>
      <c r="AW1258" s="81"/>
      <c r="AX1258" s="81"/>
      <c r="AY1258" s="81"/>
      <c r="AZ1258" s="81"/>
      <c r="BA1258" s="81"/>
      <c r="BB1258" s="81"/>
    </row>
    <row r="1259" spans="1:54" x14ac:dyDescent="0.35">
      <c r="A1259" s="66" t="s">
        <v>4593</v>
      </c>
      <c r="B1259" s="66" t="s">
        <v>4944</v>
      </c>
      <c r="C1259" s="67"/>
      <c r="D1259" s="68"/>
      <c r="E1259" s="69"/>
      <c r="F1259" s="70"/>
      <c r="G1259" s="67"/>
      <c r="H1259" s="71"/>
      <c r="I1259" s="72"/>
      <c r="J1259" s="72"/>
      <c r="K1259" s="36"/>
      <c r="L1259" s="79"/>
      <c r="M1259" s="79"/>
      <c r="N1259" s="74"/>
      <c r="O1259" s="81" t="s">
        <v>693</v>
      </c>
      <c r="P1259" s="83">
        <v>44465.559664351851</v>
      </c>
      <c r="Q1259" s="81" t="s">
        <v>5505</v>
      </c>
      <c r="R1259" s="81"/>
      <c r="S1259" s="81"/>
      <c r="T1259" s="81"/>
      <c r="U1259" s="81"/>
      <c r="V1259" s="84" t="str">
        <f>HYPERLINK("https://pbs.twimg.com/profile_images/1372584542641524741/go6G5PFD_normal.jpg")</f>
        <v>https://pbs.twimg.com/profile_images/1372584542641524741/go6G5PFD_normal.jpg</v>
      </c>
      <c r="W1259" s="83">
        <v>44465.559664351851</v>
      </c>
      <c r="X1259" s="89">
        <v>44465</v>
      </c>
      <c r="Y1259" s="86" t="s">
        <v>6240</v>
      </c>
      <c r="Z1259" s="84" t="str">
        <f>HYPERLINK("https://twitter.com/calicedochico/status/1442118235198038020")</f>
        <v>https://twitter.com/calicedochico/status/1442118235198038020</v>
      </c>
      <c r="AA1259" s="81"/>
      <c r="AB1259" s="81"/>
      <c r="AC1259" s="86" t="s">
        <v>7153</v>
      </c>
      <c r="AD1259" s="81"/>
      <c r="AE1259" s="81" t="b">
        <v>0</v>
      </c>
      <c r="AF1259" s="81">
        <v>0</v>
      </c>
      <c r="AG1259" s="86" t="s">
        <v>2084</v>
      </c>
      <c r="AH1259" s="81" t="b">
        <v>0</v>
      </c>
      <c r="AI1259" s="81" t="s">
        <v>2171</v>
      </c>
      <c r="AJ1259" s="81"/>
      <c r="AK1259" s="86" t="s">
        <v>2084</v>
      </c>
      <c r="AL1259" s="81" t="b">
        <v>0</v>
      </c>
      <c r="AM1259" s="81">
        <v>255</v>
      </c>
      <c r="AN1259" s="86" t="s">
        <v>7543</v>
      </c>
      <c r="AO1259" s="86" t="s">
        <v>2178</v>
      </c>
      <c r="AP1259" s="81" t="b">
        <v>0</v>
      </c>
      <c r="AQ1259" s="86" t="s">
        <v>7543</v>
      </c>
      <c r="AR1259" s="81" t="s">
        <v>179</v>
      </c>
      <c r="AS1259" s="81">
        <v>0</v>
      </c>
      <c r="AT1259" s="81">
        <v>0</v>
      </c>
      <c r="AU1259" s="81"/>
      <c r="AV1259" s="81"/>
      <c r="AW1259" s="81"/>
      <c r="AX1259" s="81"/>
      <c r="AY1259" s="81"/>
      <c r="AZ1259" s="81"/>
      <c r="BA1259" s="81"/>
      <c r="BB1259" s="81"/>
    </row>
    <row r="1260" spans="1:54" x14ac:dyDescent="0.35">
      <c r="A1260" s="66" t="s">
        <v>4594</v>
      </c>
      <c r="B1260" s="66" t="s">
        <v>4944</v>
      </c>
      <c r="C1260" s="67"/>
      <c r="D1260" s="68"/>
      <c r="E1260" s="69"/>
      <c r="F1260" s="70"/>
      <c r="G1260" s="67"/>
      <c r="H1260" s="71"/>
      <c r="I1260" s="72"/>
      <c r="J1260" s="72"/>
      <c r="K1260" s="36"/>
      <c r="L1260" s="79"/>
      <c r="M1260" s="79"/>
      <c r="N1260" s="74"/>
      <c r="O1260" s="81" t="s">
        <v>693</v>
      </c>
      <c r="P1260" s="83">
        <v>44465.55978009259</v>
      </c>
      <c r="Q1260" s="81" t="s">
        <v>5505</v>
      </c>
      <c r="R1260" s="81"/>
      <c r="S1260" s="81"/>
      <c r="T1260" s="81"/>
      <c r="U1260" s="81"/>
      <c r="V1260" s="84" t="str">
        <f>HYPERLINK("https://pbs.twimg.com/profile_images/1376526675765264388/2RbNDD93_normal.jpg")</f>
        <v>https://pbs.twimg.com/profile_images/1376526675765264388/2RbNDD93_normal.jpg</v>
      </c>
      <c r="W1260" s="83">
        <v>44465.55978009259</v>
      </c>
      <c r="X1260" s="89">
        <v>44465</v>
      </c>
      <c r="Y1260" s="86" t="s">
        <v>6241</v>
      </c>
      <c r="Z1260" s="84" t="str">
        <f>HYPERLINK("https://twitter.com/analia_varela/status/1442118278940446727")</f>
        <v>https://twitter.com/analia_varela/status/1442118278940446727</v>
      </c>
      <c r="AA1260" s="81"/>
      <c r="AB1260" s="81"/>
      <c r="AC1260" s="86" t="s">
        <v>7154</v>
      </c>
      <c r="AD1260" s="81"/>
      <c r="AE1260" s="81" t="b">
        <v>0</v>
      </c>
      <c r="AF1260" s="81">
        <v>0</v>
      </c>
      <c r="AG1260" s="86" t="s">
        <v>2084</v>
      </c>
      <c r="AH1260" s="81" t="b">
        <v>0</v>
      </c>
      <c r="AI1260" s="81" t="s">
        <v>2171</v>
      </c>
      <c r="AJ1260" s="81"/>
      <c r="AK1260" s="86" t="s">
        <v>2084</v>
      </c>
      <c r="AL1260" s="81" t="b">
        <v>0</v>
      </c>
      <c r="AM1260" s="81">
        <v>255</v>
      </c>
      <c r="AN1260" s="86" t="s">
        <v>7543</v>
      </c>
      <c r="AO1260" s="86" t="s">
        <v>2178</v>
      </c>
      <c r="AP1260" s="81" t="b">
        <v>0</v>
      </c>
      <c r="AQ1260" s="86" t="s">
        <v>7543</v>
      </c>
      <c r="AR1260" s="81" t="s">
        <v>179</v>
      </c>
      <c r="AS1260" s="81">
        <v>0</v>
      </c>
      <c r="AT1260" s="81">
        <v>0</v>
      </c>
      <c r="AU1260" s="81"/>
      <c r="AV1260" s="81"/>
      <c r="AW1260" s="81"/>
      <c r="AX1260" s="81"/>
      <c r="AY1260" s="81"/>
      <c r="AZ1260" s="81"/>
      <c r="BA1260" s="81"/>
      <c r="BB1260" s="81"/>
    </row>
    <row r="1261" spans="1:54" x14ac:dyDescent="0.35">
      <c r="A1261" s="66" t="s">
        <v>4595</v>
      </c>
      <c r="B1261" s="66" t="s">
        <v>4944</v>
      </c>
      <c r="C1261" s="67"/>
      <c r="D1261" s="68"/>
      <c r="E1261" s="69"/>
      <c r="F1261" s="70"/>
      <c r="G1261" s="67"/>
      <c r="H1261" s="71"/>
      <c r="I1261" s="72"/>
      <c r="J1261" s="72"/>
      <c r="K1261" s="36"/>
      <c r="L1261" s="79"/>
      <c r="M1261" s="79"/>
      <c r="N1261" s="74"/>
      <c r="O1261" s="81" t="s">
        <v>693</v>
      </c>
      <c r="P1261" s="83">
        <v>44465.559884259259</v>
      </c>
      <c r="Q1261" s="81" t="s">
        <v>5505</v>
      </c>
      <c r="R1261" s="81"/>
      <c r="S1261" s="81"/>
      <c r="T1261" s="81"/>
      <c r="U1261" s="81"/>
      <c r="V1261" s="84" t="str">
        <f>HYPERLINK("https://pbs.twimg.com/profile_images/721720295254597633/CyLbdyHo_normal.jpg")</f>
        <v>https://pbs.twimg.com/profile_images/721720295254597633/CyLbdyHo_normal.jpg</v>
      </c>
      <c r="W1261" s="83">
        <v>44465.559884259259</v>
      </c>
      <c r="X1261" s="89">
        <v>44465</v>
      </c>
      <c r="Y1261" s="86" t="s">
        <v>6242</v>
      </c>
      <c r="Z1261" s="84" t="str">
        <f>HYPERLINK("https://twitter.com/nicofernandes_/status/1442118315539714051")</f>
        <v>https://twitter.com/nicofernandes_/status/1442118315539714051</v>
      </c>
      <c r="AA1261" s="81"/>
      <c r="AB1261" s="81"/>
      <c r="AC1261" s="86" t="s">
        <v>7155</v>
      </c>
      <c r="AD1261" s="81"/>
      <c r="AE1261" s="81" t="b">
        <v>0</v>
      </c>
      <c r="AF1261" s="81">
        <v>0</v>
      </c>
      <c r="AG1261" s="86" t="s">
        <v>2084</v>
      </c>
      <c r="AH1261" s="81" t="b">
        <v>0</v>
      </c>
      <c r="AI1261" s="81" t="s">
        <v>2171</v>
      </c>
      <c r="AJ1261" s="81"/>
      <c r="AK1261" s="86" t="s">
        <v>2084</v>
      </c>
      <c r="AL1261" s="81" t="b">
        <v>0</v>
      </c>
      <c r="AM1261" s="81">
        <v>255</v>
      </c>
      <c r="AN1261" s="86" t="s">
        <v>7543</v>
      </c>
      <c r="AO1261" s="86" t="s">
        <v>2181</v>
      </c>
      <c r="AP1261" s="81" t="b">
        <v>0</v>
      </c>
      <c r="AQ1261" s="86" t="s">
        <v>7543</v>
      </c>
      <c r="AR1261" s="81" t="s">
        <v>179</v>
      </c>
      <c r="AS1261" s="81">
        <v>0</v>
      </c>
      <c r="AT1261" s="81">
        <v>0</v>
      </c>
      <c r="AU1261" s="81"/>
      <c r="AV1261" s="81"/>
      <c r="AW1261" s="81"/>
      <c r="AX1261" s="81"/>
      <c r="AY1261" s="81"/>
      <c r="AZ1261" s="81"/>
      <c r="BA1261" s="81"/>
      <c r="BB1261" s="81"/>
    </row>
    <row r="1262" spans="1:54" x14ac:dyDescent="0.35">
      <c r="A1262" s="66" t="s">
        <v>4596</v>
      </c>
      <c r="B1262" s="66" t="s">
        <v>5133</v>
      </c>
      <c r="C1262" s="67"/>
      <c r="D1262" s="68"/>
      <c r="E1262" s="69"/>
      <c r="F1262" s="70"/>
      <c r="G1262" s="67"/>
      <c r="H1262" s="71"/>
      <c r="I1262" s="72"/>
      <c r="J1262" s="72"/>
      <c r="K1262" s="36"/>
      <c r="L1262" s="79"/>
      <c r="M1262" s="79"/>
      <c r="N1262" s="74"/>
      <c r="O1262" s="81" t="s">
        <v>695</v>
      </c>
      <c r="P1262" s="83">
        <v>44465.561539351853</v>
      </c>
      <c r="Q1262" s="81" t="s">
        <v>5507</v>
      </c>
      <c r="R1262" s="81"/>
      <c r="S1262" s="81"/>
      <c r="T1262" s="81"/>
      <c r="U1262" s="81"/>
      <c r="V1262" s="84" t="str">
        <f>HYPERLINK("https://pbs.twimg.com/profile_images/1328140370706915328/RAIlenNW_normal.jpg")</f>
        <v>https://pbs.twimg.com/profile_images/1328140370706915328/RAIlenNW_normal.jpg</v>
      </c>
      <c r="W1262" s="83">
        <v>44465.561539351853</v>
      </c>
      <c r="X1262" s="89">
        <v>44465</v>
      </c>
      <c r="Y1262" s="86" t="s">
        <v>6243</v>
      </c>
      <c r="Z1262" s="84" t="str">
        <f>HYPERLINK("https://twitter.com/rosenyjulio/status/1442118914499035136")</f>
        <v>https://twitter.com/rosenyjulio/status/1442118914499035136</v>
      </c>
      <c r="AA1262" s="81"/>
      <c r="AB1262" s="81"/>
      <c r="AC1262" s="86" t="s">
        <v>7156</v>
      </c>
      <c r="AD1262" s="86" t="s">
        <v>7708</v>
      </c>
      <c r="AE1262" s="81" t="b">
        <v>0</v>
      </c>
      <c r="AF1262" s="81">
        <v>2</v>
      </c>
      <c r="AG1262" s="86" t="s">
        <v>7885</v>
      </c>
      <c r="AH1262" s="81" t="b">
        <v>0</v>
      </c>
      <c r="AI1262" s="81" t="s">
        <v>2171</v>
      </c>
      <c r="AJ1262" s="81"/>
      <c r="AK1262" s="86" t="s">
        <v>2084</v>
      </c>
      <c r="AL1262" s="81" t="b">
        <v>0</v>
      </c>
      <c r="AM1262" s="81">
        <v>0</v>
      </c>
      <c r="AN1262" s="86" t="s">
        <v>2084</v>
      </c>
      <c r="AO1262" s="86" t="s">
        <v>2181</v>
      </c>
      <c r="AP1262" s="81" t="b">
        <v>0</v>
      </c>
      <c r="AQ1262" s="86" t="s">
        <v>7708</v>
      </c>
      <c r="AR1262" s="81" t="s">
        <v>179</v>
      </c>
      <c r="AS1262" s="81">
        <v>0</v>
      </c>
      <c r="AT1262" s="81">
        <v>0</v>
      </c>
      <c r="AU1262" s="81"/>
      <c r="AV1262" s="81"/>
      <c r="AW1262" s="81"/>
      <c r="AX1262" s="81"/>
      <c r="AY1262" s="81"/>
      <c r="AZ1262" s="81"/>
      <c r="BA1262" s="81"/>
      <c r="BB1262" s="81"/>
    </row>
    <row r="1263" spans="1:54" x14ac:dyDescent="0.35">
      <c r="A1263" s="66" t="s">
        <v>4597</v>
      </c>
      <c r="B1263" s="66" t="s">
        <v>4944</v>
      </c>
      <c r="C1263" s="67"/>
      <c r="D1263" s="68"/>
      <c r="E1263" s="69"/>
      <c r="F1263" s="70"/>
      <c r="G1263" s="67"/>
      <c r="H1263" s="71"/>
      <c r="I1263" s="72"/>
      <c r="J1263" s="72"/>
      <c r="K1263" s="36"/>
      <c r="L1263" s="79"/>
      <c r="M1263" s="79"/>
      <c r="N1263" s="74"/>
      <c r="O1263" s="81" t="s">
        <v>693</v>
      </c>
      <c r="P1263" s="83">
        <v>44465.561979166669</v>
      </c>
      <c r="Q1263" s="81" t="s">
        <v>5505</v>
      </c>
      <c r="R1263" s="81"/>
      <c r="S1263" s="81"/>
      <c r="T1263" s="81"/>
      <c r="U1263" s="81"/>
      <c r="V1263" s="84" t="str">
        <f>HYPERLINK("https://pbs.twimg.com/profile_images/1324722608970080256/IWoKOVdJ_normal.jpg")</f>
        <v>https://pbs.twimg.com/profile_images/1324722608970080256/IWoKOVdJ_normal.jpg</v>
      </c>
      <c r="W1263" s="83">
        <v>44465.561979166669</v>
      </c>
      <c r="X1263" s="89">
        <v>44465</v>
      </c>
      <c r="Y1263" s="86" t="s">
        <v>6244</v>
      </c>
      <c r="Z1263" s="84" t="str">
        <f>HYPERLINK("https://twitter.com/naosabelidar/status/1442119075879075843")</f>
        <v>https://twitter.com/naosabelidar/status/1442119075879075843</v>
      </c>
      <c r="AA1263" s="81"/>
      <c r="AB1263" s="81"/>
      <c r="AC1263" s="86" t="s">
        <v>7157</v>
      </c>
      <c r="AD1263" s="81"/>
      <c r="AE1263" s="81" t="b">
        <v>0</v>
      </c>
      <c r="AF1263" s="81">
        <v>0</v>
      </c>
      <c r="AG1263" s="86" t="s">
        <v>2084</v>
      </c>
      <c r="AH1263" s="81" t="b">
        <v>0</v>
      </c>
      <c r="AI1263" s="81" t="s">
        <v>2171</v>
      </c>
      <c r="AJ1263" s="81"/>
      <c r="AK1263" s="86" t="s">
        <v>2084</v>
      </c>
      <c r="AL1263" s="81" t="b">
        <v>0</v>
      </c>
      <c r="AM1263" s="81">
        <v>255</v>
      </c>
      <c r="AN1263" s="86" t="s">
        <v>7543</v>
      </c>
      <c r="AO1263" s="86" t="s">
        <v>2178</v>
      </c>
      <c r="AP1263" s="81" t="b">
        <v>0</v>
      </c>
      <c r="AQ1263" s="86" t="s">
        <v>7543</v>
      </c>
      <c r="AR1263" s="81" t="s">
        <v>179</v>
      </c>
      <c r="AS1263" s="81">
        <v>0</v>
      </c>
      <c r="AT1263" s="81">
        <v>0</v>
      </c>
      <c r="AU1263" s="81"/>
      <c r="AV1263" s="81"/>
      <c r="AW1263" s="81"/>
      <c r="AX1263" s="81"/>
      <c r="AY1263" s="81"/>
      <c r="AZ1263" s="81"/>
      <c r="BA1263" s="81"/>
      <c r="BB1263" s="81"/>
    </row>
    <row r="1264" spans="1:54" x14ac:dyDescent="0.35">
      <c r="A1264" s="66" t="s">
        <v>4598</v>
      </c>
      <c r="B1264" s="66" t="s">
        <v>4944</v>
      </c>
      <c r="C1264" s="67"/>
      <c r="D1264" s="68"/>
      <c r="E1264" s="69"/>
      <c r="F1264" s="70"/>
      <c r="G1264" s="67"/>
      <c r="H1264" s="71"/>
      <c r="I1264" s="72"/>
      <c r="J1264" s="72"/>
      <c r="K1264" s="36"/>
      <c r="L1264" s="79"/>
      <c r="M1264" s="79"/>
      <c r="N1264" s="74"/>
      <c r="O1264" s="81" t="s">
        <v>693</v>
      </c>
      <c r="P1264" s="83">
        <v>44465.562106481484</v>
      </c>
      <c r="Q1264" s="81" t="s">
        <v>5505</v>
      </c>
      <c r="R1264" s="81"/>
      <c r="S1264" s="81"/>
      <c r="T1264" s="81"/>
      <c r="U1264" s="81"/>
      <c r="V1264" s="84" t="str">
        <f>HYPERLINK("https://pbs.twimg.com/profile_images/1139870229574692864/80_yf8Ie_normal.png")</f>
        <v>https://pbs.twimg.com/profile_images/1139870229574692864/80_yf8Ie_normal.png</v>
      </c>
      <c r="W1264" s="83">
        <v>44465.562106481484</v>
      </c>
      <c r="X1264" s="89">
        <v>44465</v>
      </c>
      <c r="Y1264" s="86" t="s">
        <v>6245</v>
      </c>
      <c r="Z1264" s="84" t="str">
        <f>HYPERLINK("https://twitter.com/clausfarscape/status/1442119120863076353")</f>
        <v>https://twitter.com/clausfarscape/status/1442119120863076353</v>
      </c>
      <c r="AA1264" s="81"/>
      <c r="AB1264" s="81"/>
      <c r="AC1264" s="86" t="s">
        <v>7158</v>
      </c>
      <c r="AD1264" s="81"/>
      <c r="AE1264" s="81" t="b">
        <v>0</v>
      </c>
      <c r="AF1264" s="81">
        <v>0</v>
      </c>
      <c r="AG1264" s="86" t="s">
        <v>2084</v>
      </c>
      <c r="AH1264" s="81" t="b">
        <v>0</v>
      </c>
      <c r="AI1264" s="81" t="s">
        <v>2171</v>
      </c>
      <c r="AJ1264" s="81"/>
      <c r="AK1264" s="86" t="s">
        <v>2084</v>
      </c>
      <c r="AL1264" s="81" t="b">
        <v>0</v>
      </c>
      <c r="AM1264" s="81">
        <v>255</v>
      </c>
      <c r="AN1264" s="86" t="s">
        <v>7543</v>
      </c>
      <c r="AO1264" s="86" t="s">
        <v>2181</v>
      </c>
      <c r="AP1264" s="81" t="b">
        <v>0</v>
      </c>
      <c r="AQ1264" s="86" t="s">
        <v>7543</v>
      </c>
      <c r="AR1264" s="81" t="s">
        <v>179</v>
      </c>
      <c r="AS1264" s="81">
        <v>0</v>
      </c>
      <c r="AT1264" s="81">
        <v>0</v>
      </c>
      <c r="AU1264" s="81"/>
      <c r="AV1264" s="81"/>
      <c r="AW1264" s="81"/>
      <c r="AX1264" s="81"/>
      <c r="AY1264" s="81"/>
      <c r="AZ1264" s="81"/>
      <c r="BA1264" s="81"/>
      <c r="BB1264" s="81"/>
    </row>
    <row r="1265" spans="1:54" x14ac:dyDescent="0.35">
      <c r="A1265" s="66" t="s">
        <v>4599</v>
      </c>
      <c r="B1265" s="66" t="s">
        <v>4944</v>
      </c>
      <c r="C1265" s="67"/>
      <c r="D1265" s="68"/>
      <c r="E1265" s="69"/>
      <c r="F1265" s="70"/>
      <c r="G1265" s="67"/>
      <c r="H1265" s="71"/>
      <c r="I1265" s="72"/>
      <c r="J1265" s="72"/>
      <c r="K1265" s="36"/>
      <c r="L1265" s="79"/>
      <c r="M1265" s="79"/>
      <c r="N1265" s="74"/>
      <c r="O1265" s="81" t="s">
        <v>693</v>
      </c>
      <c r="P1265" s="83">
        <v>44465.562418981484</v>
      </c>
      <c r="Q1265" s="81" t="s">
        <v>5505</v>
      </c>
      <c r="R1265" s="81"/>
      <c r="S1265" s="81"/>
      <c r="T1265" s="81"/>
      <c r="U1265" s="81"/>
      <c r="V1265" s="84" t="str">
        <f>HYPERLINK("https://pbs.twimg.com/profile_images/1439425249414680576/AKDpVLmg_normal.jpg")</f>
        <v>https://pbs.twimg.com/profile_images/1439425249414680576/AKDpVLmg_normal.jpg</v>
      </c>
      <c r="W1265" s="83">
        <v>44465.562418981484</v>
      </c>
      <c r="X1265" s="89">
        <v>44465</v>
      </c>
      <c r="Y1265" s="86" t="s">
        <v>6246</v>
      </c>
      <c r="Z1265" s="84" t="str">
        <f>HYPERLINK("https://twitter.com/rtitareis/status/1442119233131921410")</f>
        <v>https://twitter.com/rtitareis/status/1442119233131921410</v>
      </c>
      <c r="AA1265" s="81"/>
      <c r="AB1265" s="81"/>
      <c r="AC1265" s="86" t="s">
        <v>7159</v>
      </c>
      <c r="AD1265" s="81"/>
      <c r="AE1265" s="81" t="b">
        <v>0</v>
      </c>
      <c r="AF1265" s="81">
        <v>0</v>
      </c>
      <c r="AG1265" s="86" t="s">
        <v>2084</v>
      </c>
      <c r="AH1265" s="81" t="b">
        <v>0</v>
      </c>
      <c r="AI1265" s="81" t="s">
        <v>2171</v>
      </c>
      <c r="AJ1265" s="81"/>
      <c r="AK1265" s="86" t="s">
        <v>2084</v>
      </c>
      <c r="AL1265" s="81" t="b">
        <v>0</v>
      </c>
      <c r="AM1265" s="81">
        <v>255</v>
      </c>
      <c r="AN1265" s="86" t="s">
        <v>7543</v>
      </c>
      <c r="AO1265" s="86" t="s">
        <v>2181</v>
      </c>
      <c r="AP1265" s="81" t="b">
        <v>0</v>
      </c>
      <c r="AQ1265" s="86" t="s">
        <v>7543</v>
      </c>
      <c r="AR1265" s="81" t="s">
        <v>179</v>
      </c>
      <c r="AS1265" s="81">
        <v>0</v>
      </c>
      <c r="AT1265" s="81">
        <v>0</v>
      </c>
      <c r="AU1265" s="81"/>
      <c r="AV1265" s="81"/>
      <c r="AW1265" s="81"/>
      <c r="AX1265" s="81"/>
      <c r="AY1265" s="81"/>
      <c r="AZ1265" s="81"/>
      <c r="BA1265" s="81"/>
      <c r="BB1265" s="81"/>
    </row>
    <row r="1266" spans="1:54" x14ac:dyDescent="0.35">
      <c r="A1266" s="66" t="s">
        <v>4600</v>
      </c>
      <c r="B1266" s="66" t="s">
        <v>4944</v>
      </c>
      <c r="C1266" s="67"/>
      <c r="D1266" s="68"/>
      <c r="E1266" s="69"/>
      <c r="F1266" s="70"/>
      <c r="G1266" s="67"/>
      <c r="H1266" s="71"/>
      <c r="I1266" s="72"/>
      <c r="J1266" s="72"/>
      <c r="K1266" s="36"/>
      <c r="L1266" s="79"/>
      <c r="M1266" s="79"/>
      <c r="N1266" s="74"/>
      <c r="O1266" s="81" t="s">
        <v>693</v>
      </c>
      <c r="P1266" s="83">
        <v>44465.562650462962</v>
      </c>
      <c r="Q1266" s="81" t="s">
        <v>5505</v>
      </c>
      <c r="R1266" s="81"/>
      <c r="S1266" s="81"/>
      <c r="T1266" s="81"/>
      <c r="U1266" s="81"/>
      <c r="V1266" s="84" t="str">
        <f>HYPERLINK("https://pbs.twimg.com/profile_images/1407111869769256975/HlSYklGU_normal.jpg")</f>
        <v>https://pbs.twimg.com/profile_images/1407111869769256975/HlSYklGU_normal.jpg</v>
      </c>
      <c r="W1266" s="83">
        <v>44465.562650462962</v>
      </c>
      <c r="X1266" s="89">
        <v>44465</v>
      </c>
      <c r="Y1266" s="86" t="s">
        <v>6247</v>
      </c>
      <c r="Z1266" s="84" t="str">
        <f>HYPERLINK("https://twitter.com/izasaocoe/status/1442119317269762054")</f>
        <v>https://twitter.com/izasaocoe/status/1442119317269762054</v>
      </c>
      <c r="AA1266" s="81"/>
      <c r="AB1266" s="81"/>
      <c r="AC1266" s="86" t="s">
        <v>7160</v>
      </c>
      <c r="AD1266" s="81"/>
      <c r="AE1266" s="81" t="b">
        <v>0</v>
      </c>
      <c r="AF1266" s="81">
        <v>0</v>
      </c>
      <c r="AG1266" s="86" t="s">
        <v>2084</v>
      </c>
      <c r="AH1266" s="81" t="b">
        <v>0</v>
      </c>
      <c r="AI1266" s="81" t="s">
        <v>2171</v>
      </c>
      <c r="AJ1266" s="81"/>
      <c r="AK1266" s="86" t="s">
        <v>2084</v>
      </c>
      <c r="AL1266" s="81" t="b">
        <v>0</v>
      </c>
      <c r="AM1266" s="81">
        <v>255</v>
      </c>
      <c r="AN1266" s="86" t="s">
        <v>7543</v>
      </c>
      <c r="AO1266" s="86" t="s">
        <v>2178</v>
      </c>
      <c r="AP1266" s="81" t="b">
        <v>0</v>
      </c>
      <c r="AQ1266" s="86" t="s">
        <v>7543</v>
      </c>
      <c r="AR1266" s="81" t="s">
        <v>179</v>
      </c>
      <c r="AS1266" s="81">
        <v>0</v>
      </c>
      <c r="AT1266" s="81">
        <v>0</v>
      </c>
      <c r="AU1266" s="81"/>
      <c r="AV1266" s="81"/>
      <c r="AW1266" s="81"/>
      <c r="AX1266" s="81"/>
      <c r="AY1266" s="81"/>
      <c r="AZ1266" s="81"/>
      <c r="BA1266" s="81"/>
      <c r="BB1266" s="81"/>
    </row>
    <row r="1267" spans="1:54" x14ac:dyDescent="0.35">
      <c r="A1267" s="66" t="s">
        <v>4601</v>
      </c>
      <c r="B1267" s="66" t="s">
        <v>4944</v>
      </c>
      <c r="C1267" s="67"/>
      <c r="D1267" s="68"/>
      <c r="E1267" s="69"/>
      <c r="F1267" s="70"/>
      <c r="G1267" s="67"/>
      <c r="H1267" s="71"/>
      <c r="I1267" s="72"/>
      <c r="J1267" s="72"/>
      <c r="K1267" s="36"/>
      <c r="L1267" s="79"/>
      <c r="M1267" s="79"/>
      <c r="N1267" s="74"/>
      <c r="O1267" s="81" t="s">
        <v>693</v>
      </c>
      <c r="P1267" s="83">
        <v>44465.563530092593</v>
      </c>
      <c r="Q1267" s="81" t="s">
        <v>5505</v>
      </c>
      <c r="R1267" s="81"/>
      <c r="S1267" s="81"/>
      <c r="T1267" s="81"/>
      <c r="U1267" s="81"/>
      <c r="V1267" s="84" t="str">
        <f>HYPERLINK("https://pbs.twimg.com/profile_images/1441010011057106948/jHNShNEu_normal.jpg")</f>
        <v>https://pbs.twimg.com/profile_images/1441010011057106948/jHNShNEu_normal.jpg</v>
      </c>
      <c r="W1267" s="83">
        <v>44465.563530092593</v>
      </c>
      <c r="X1267" s="89">
        <v>44465</v>
      </c>
      <c r="Y1267" s="86" t="s">
        <v>6248</v>
      </c>
      <c r="Z1267" s="84" t="str">
        <f>HYPERLINK("https://twitter.com/jv_larroza/status/1442119635759874050")</f>
        <v>https://twitter.com/jv_larroza/status/1442119635759874050</v>
      </c>
      <c r="AA1267" s="81"/>
      <c r="AB1267" s="81"/>
      <c r="AC1267" s="86" t="s">
        <v>7161</v>
      </c>
      <c r="AD1267" s="81"/>
      <c r="AE1267" s="81" t="b">
        <v>0</v>
      </c>
      <c r="AF1267" s="81">
        <v>0</v>
      </c>
      <c r="AG1267" s="86" t="s">
        <v>2084</v>
      </c>
      <c r="AH1267" s="81" t="b">
        <v>0</v>
      </c>
      <c r="AI1267" s="81" t="s">
        <v>2171</v>
      </c>
      <c r="AJ1267" s="81"/>
      <c r="AK1267" s="86" t="s">
        <v>2084</v>
      </c>
      <c r="AL1267" s="81" t="b">
        <v>0</v>
      </c>
      <c r="AM1267" s="81">
        <v>255</v>
      </c>
      <c r="AN1267" s="86" t="s">
        <v>7543</v>
      </c>
      <c r="AO1267" s="86" t="s">
        <v>2178</v>
      </c>
      <c r="AP1267" s="81" t="b">
        <v>0</v>
      </c>
      <c r="AQ1267" s="86" t="s">
        <v>7543</v>
      </c>
      <c r="AR1267" s="81" t="s">
        <v>179</v>
      </c>
      <c r="AS1267" s="81">
        <v>0</v>
      </c>
      <c r="AT1267" s="81">
        <v>0</v>
      </c>
      <c r="AU1267" s="81"/>
      <c r="AV1267" s="81"/>
      <c r="AW1267" s="81"/>
      <c r="AX1267" s="81"/>
      <c r="AY1267" s="81"/>
      <c r="AZ1267" s="81"/>
      <c r="BA1267" s="81"/>
      <c r="BB1267" s="81"/>
    </row>
    <row r="1268" spans="1:54" x14ac:dyDescent="0.35">
      <c r="A1268" s="66" t="s">
        <v>4602</v>
      </c>
      <c r="B1268" s="66" t="s">
        <v>4944</v>
      </c>
      <c r="C1268" s="67"/>
      <c r="D1268" s="68"/>
      <c r="E1268" s="69"/>
      <c r="F1268" s="70"/>
      <c r="G1268" s="67"/>
      <c r="H1268" s="71"/>
      <c r="I1268" s="72"/>
      <c r="J1268" s="72"/>
      <c r="K1268" s="36"/>
      <c r="L1268" s="79"/>
      <c r="M1268" s="79"/>
      <c r="N1268" s="74"/>
      <c r="O1268" s="81" t="s">
        <v>693</v>
      </c>
      <c r="P1268" s="83">
        <v>44465.569513888891</v>
      </c>
      <c r="Q1268" s="81" t="s">
        <v>5505</v>
      </c>
      <c r="R1268" s="81"/>
      <c r="S1268" s="81"/>
      <c r="T1268" s="81"/>
      <c r="U1268" s="81"/>
      <c r="V1268" s="84" t="str">
        <f>HYPERLINK("https://pbs.twimg.com/profile_images/1275341005613682693/2e1AWBg9_normal.jpg")</f>
        <v>https://pbs.twimg.com/profile_images/1275341005613682693/2e1AWBg9_normal.jpg</v>
      </c>
      <c r="W1268" s="83">
        <v>44465.569513888891</v>
      </c>
      <c r="X1268" s="89">
        <v>44465</v>
      </c>
      <c r="Y1268" s="86" t="s">
        <v>6249</v>
      </c>
      <c r="Z1268" s="84" t="str">
        <f>HYPERLINK("https://twitter.com/mattteusalves/status/1442121806555533314")</f>
        <v>https://twitter.com/mattteusalves/status/1442121806555533314</v>
      </c>
      <c r="AA1268" s="81"/>
      <c r="AB1268" s="81"/>
      <c r="AC1268" s="86" t="s">
        <v>7162</v>
      </c>
      <c r="AD1268" s="81"/>
      <c r="AE1268" s="81" t="b">
        <v>0</v>
      </c>
      <c r="AF1268" s="81">
        <v>0</v>
      </c>
      <c r="AG1268" s="86" t="s">
        <v>2084</v>
      </c>
      <c r="AH1268" s="81" t="b">
        <v>0</v>
      </c>
      <c r="AI1268" s="81" t="s">
        <v>2171</v>
      </c>
      <c r="AJ1268" s="81"/>
      <c r="AK1268" s="86" t="s">
        <v>2084</v>
      </c>
      <c r="AL1268" s="81" t="b">
        <v>0</v>
      </c>
      <c r="AM1268" s="81">
        <v>255</v>
      </c>
      <c r="AN1268" s="86" t="s">
        <v>7543</v>
      </c>
      <c r="AO1268" s="86" t="s">
        <v>2178</v>
      </c>
      <c r="AP1268" s="81" t="b">
        <v>0</v>
      </c>
      <c r="AQ1268" s="86" t="s">
        <v>7543</v>
      </c>
      <c r="AR1268" s="81" t="s">
        <v>179</v>
      </c>
      <c r="AS1268" s="81">
        <v>0</v>
      </c>
      <c r="AT1268" s="81">
        <v>0</v>
      </c>
      <c r="AU1268" s="81"/>
      <c r="AV1268" s="81"/>
      <c r="AW1268" s="81"/>
      <c r="AX1268" s="81"/>
      <c r="AY1268" s="81"/>
      <c r="AZ1268" s="81"/>
      <c r="BA1268" s="81"/>
      <c r="BB1268" s="81"/>
    </row>
    <row r="1269" spans="1:54" x14ac:dyDescent="0.35">
      <c r="A1269" s="66" t="s">
        <v>4603</v>
      </c>
      <c r="B1269" s="66" t="s">
        <v>4944</v>
      </c>
      <c r="C1269" s="67"/>
      <c r="D1269" s="68"/>
      <c r="E1269" s="69"/>
      <c r="F1269" s="70"/>
      <c r="G1269" s="67"/>
      <c r="H1269" s="71"/>
      <c r="I1269" s="72"/>
      <c r="J1269" s="72"/>
      <c r="K1269" s="36"/>
      <c r="L1269" s="79"/>
      <c r="M1269" s="79"/>
      <c r="N1269" s="74"/>
      <c r="O1269" s="81" t="s">
        <v>693</v>
      </c>
      <c r="P1269" s="83">
        <v>44465.571898148148</v>
      </c>
      <c r="Q1269" s="81" t="s">
        <v>5505</v>
      </c>
      <c r="R1269" s="81"/>
      <c r="S1269" s="81"/>
      <c r="T1269" s="81"/>
      <c r="U1269" s="81"/>
      <c r="V1269" s="84" t="str">
        <f>HYPERLINK("https://pbs.twimg.com/profile_images/1380498395870158848/p9ZPRyVz_normal.jpg")</f>
        <v>https://pbs.twimg.com/profile_images/1380498395870158848/p9ZPRyVz_normal.jpg</v>
      </c>
      <c r="W1269" s="83">
        <v>44465.571898148148</v>
      </c>
      <c r="X1269" s="89">
        <v>44465</v>
      </c>
      <c r="Y1269" s="86" t="s">
        <v>6250</v>
      </c>
      <c r="Z1269" s="84" t="str">
        <f>HYPERLINK("https://twitter.com/spezian0/status/1442122668023615491")</f>
        <v>https://twitter.com/spezian0/status/1442122668023615491</v>
      </c>
      <c r="AA1269" s="81"/>
      <c r="AB1269" s="81"/>
      <c r="AC1269" s="86" t="s">
        <v>7163</v>
      </c>
      <c r="AD1269" s="81"/>
      <c r="AE1269" s="81" t="b">
        <v>0</v>
      </c>
      <c r="AF1269" s="81">
        <v>0</v>
      </c>
      <c r="AG1269" s="86" t="s">
        <v>2084</v>
      </c>
      <c r="AH1269" s="81" t="b">
        <v>0</v>
      </c>
      <c r="AI1269" s="81" t="s">
        <v>2171</v>
      </c>
      <c r="AJ1269" s="81"/>
      <c r="AK1269" s="86" t="s">
        <v>2084</v>
      </c>
      <c r="AL1269" s="81" t="b">
        <v>0</v>
      </c>
      <c r="AM1269" s="81">
        <v>255</v>
      </c>
      <c r="AN1269" s="86" t="s">
        <v>7543</v>
      </c>
      <c r="AO1269" s="86" t="s">
        <v>2178</v>
      </c>
      <c r="AP1269" s="81" t="b">
        <v>0</v>
      </c>
      <c r="AQ1269" s="86" t="s">
        <v>7543</v>
      </c>
      <c r="AR1269" s="81" t="s">
        <v>179</v>
      </c>
      <c r="AS1269" s="81">
        <v>0</v>
      </c>
      <c r="AT1269" s="81">
        <v>0</v>
      </c>
      <c r="AU1269" s="81"/>
      <c r="AV1269" s="81"/>
      <c r="AW1269" s="81"/>
      <c r="AX1269" s="81"/>
      <c r="AY1269" s="81"/>
      <c r="AZ1269" s="81"/>
      <c r="BA1269" s="81"/>
      <c r="BB1269" s="81"/>
    </row>
    <row r="1270" spans="1:54" x14ac:dyDescent="0.35">
      <c r="A1270" s="66" t="s">
        <v>4604</v>
      </c>
      <c r="B1270" s="66" t="s">
        <v>4944</v>
      </c>
      <c r="C1270" s="67"/>
      <c r="D1270" s="68"/>
      <c r="E1270" s="69"/>
      <c r="F1270" s="70"/>
      <c r="G1270" s="67"/>
      <c r="H1270" s="71"/>
      <c r="I1270" s="72"/>
      <c r="J1270" s="72"/>
      <c r="K1270" s="36"/>
      <c r="L1270" s="79"/>
      <c r="M1270" s="79"/>
      <c r="N1270" s="74"/>
      <c r="O1270" s="81" t="s">
        <v>693</v>
      </c>
      <c r="P1270" s="83">
        <v>44465.572372685187</v>
      </c>
      <c r="Q1270" s="81" t="s">
        <v>5505</v>
      </c>
      <c r="R1270" s="81"/>
      <c r="S1270" s="81"/>
      <c r="T1270" s="81"/>
      <c r="U1270" s="81"/>
      <c r="V1270" s="84" t="str">
        <f>HYPERLINK("https://pbs.twimg.com/profile_images/1233431543613403138/5WvTsFkw_normal.jpg")</f>
        <v>https://pbs.twimg.com/profile_images/1233431543613403138/5WvTsFkw_normal.jpg</v>
      </c>
      <c r="W1270" s="83">
        <v>44465.572372685187</v>
      </c>
      <c r="X1270" s="89">
        <v>44465</v>
      </c>
      <c r="Y1270" s="86" t="s">
        <v>6251</v>
      </c>
      <c r="Z1270" s="84" t="str">
        <f>HYPERLINK("https://twitter.com/bem_jonson/status/1442122841911136257")</f>
        <v>https://twitter.com/bem_jonson/status/1442122841911136257</v>
      </c>
      <c r="AA1270" s="81"/>
      <c r="AB1270" s="81"/>
      <c r="AC1270" s="86" t="s">
        <v>7164</v>
      </c>
      <c r="AD1270" s="81"/>
      <c r="AE1270" s="81" t="b">
        <v>0</v>
      </c>
      <c r="AF1270" s="81">
        <v>0</v>
      </c>
      <c r="AG1270" s="86" t="s">
        <v>2084</v>
      </c>
      <c r="AH1270" s="81" t="b">
        <v>0</v>
      </c>
      <c r="AI1270" s="81" t="s">
        <v>2171</v>
      </c>
      <c r="AJ1270" s="81"/>
      <c r="AK1270" s="86" t="s">
        <v>2084</v>
      </c>
      <c r="AL1270" s="81" t="b">
        <v>0</v>
      </c>
      <c r="AM1270" s="81">
        <v>255</v>
      </c>
      <c r="AN1270" s="86" t="s">
        <v>7543</v>
      </c>
      <c r="AO1270" s="86" t="s">
        <v>2178</v>
      </c>
      <c r="AP1270" s="81" t="b">
        <v>0</v>
      </c>
      <c r="AQ1270" s="86" t="s">
        <v>7543</v>
      </c>
      <c r="AR1270" s="81" t="s">
        <v>179</v>
      </c>
      <c r="AS1270" s="81">
        <v>0</v>
      </c>
      <c r="AT1270" s="81">
        <v>0</v>
      </c>
      <c r="AU1270" s="81"/>
      <c r="AV1270" s="81"/>
      <c r="AW1270" s="81"/>
      <c r="AX1270" s="81"/>
      <c r="AY1270" s="81"/>
      <c r="AZ1270" s="81"/>
      <c r="BA1270" s="81"/>
      <c r="BB1270" s="81"/>
    </row>
    <row r="1271" spans="1:54" x14ac:dyDescent="0.35">
      <c r="A1271" s="66" t="s">
        <v>4606</v>
      </c>
      <c r="B1271" s="66" t="s">
        <v>4944</v>
      </c>
      <c r="C1271" s="67"/>
      <c r="D1271" s="68"/>
      <c r="E1271" s="69"/>
      <c r="F1271" s="70"/>
      <c r="G1271" s="67"/>
      <c r="H1271" s="71"/>
      <c r="I1271" s="72"/>
      <c r="J1271" s="72"/>
      <c r="K1271" s="36"/>
      <c r="L1271" s="79"/>
      <c r="M1271" s="79"/>
      <c r="N1271" s="74"/>
      <c r="O1271" s="81" t="s">
        <v>693</v>
      </c>
      <c r="P1271" s="83">
        <v>44465.574513888889</v>
      </c>
      <c r="Q1271" s="81" t="s">
        <v>5505</v>
      </c>
      <c r="R1271" s="81"/>
      <c r="S1271" s="81"/>
      <c r="T1271" s="81"/>
      <c r="U1271" s="81"/>
      <c r="V1271" s="84" t="str">
        <f>HYPERLINK("https://pbs.twimg.com/profile_images/1431032149902348297/iCQEmWoD_normal.jpg")</f>
        <v>https://pbs.twimg.com/profile_images/1431032149902348297/iCQEmWoD_normal.jpg</v>
      </c>
      <c r="W1271" s="83">
        <v>44465.574513888889</v>
      </c>
      <c r="X1271" s="89">
        <v>44465</v>
      </c>
      <c r="Y1271" s="86" t="s">
        <v>6253</v>
      </c>
      <c r="Z1271" s="84" t="str">
        <f>HYPERLINK("https://twitter.com/claudiocalente/status/1442123619014877193")</f>
        <v>https://twitter.com/claudiocalente/status/1442123619014877193</v>
      </c>
      <c r="AA1271" s="81"/>
      <c r="AB1271" s="81"/>
      <c r="AC1271" s="86" t="s">
        <v>7166</v>
      </c>
      <c r="AD1271" s="81"/>
      <c r="AE1271" s="81" t="b">
        <v>0</v>
      </c>
      <c r="AF1271" s="81">
        <v>0</v>
      </c>
      <c r="AG1271" s="86" t="s">
        <v>2084</v>
      </c>
      <c r="AH1271" s="81" t="b">
        <v>0</v>
      </c>
      <c r="AI1271" s="81" t="s">
        <v>2171</v>
      </c>
      <c r="AJ1271" s="81"/>
      <c r="AK1271" s="86" t="s">
        <v>2084</v>
      </c>
      <c r="AL1271" s="81" t="b">
        <v>0</v>
      </c>
      <c r="AM1271" s="81">
        <v>255</v>
      </c>
      <c r="AN1271" s="86" t="s">
        <v>7543</v>
      </c>
      <c r="AO1271" s="86" t="s">
        <v>2178</v>
      </c>
      <c r="AP1271" s="81" t="b">
        <v>0</v>
      </c>
      <c r="AQ1271" s="86" t="s">
        <v>7543</v>
      </c>
      <c r="AR1271" s="81" t="s">
        <v>179</v>
      </c>
      <c r="AS1271" s="81">
        <v>0</v>
      </c>
      <c r="AT1271" s="81">
        <v>0</v>
      </c>
      <c r="AU1271" s="81"/>
      <c r="AV1271" s="81"/>
      <c r="AW1271" s="81"/>
      <c r="AX1271" s="81"/>
      <c r="AY1271" s="81"/>
      <c r="AZ1271" s="81"/>
      <c r="BA1271" s="81"/>
      <c r="BB1271" s="81"/>
    </row>
    <row r="1272" spans="1:54" x14ac:dyDescent="0.35">
      <c r="A1272" s="66" t="s">
        <v>4607</v>
      </c>
      <c r="B1272" s="66" t="s">
        <v>4944</v>
      </c>
      <c r="C1272" s="67"/>
      <c r="D1272" s="68"/>
      <c r="E1272" s="69"/>
      <c r="F1272" s="70"/>
      <c r="G1272" s="67"/>
      <c r="H1272" s="71"/>
      <c r="I1272" s="72"/>
      <c r="J1272" s="72"/>
      <c r="K1272" s="36"/>
      <c r="L1272" s="79"/>
      <c r="M1272" s="79"/>
      <c r="N1272" s="74"/>
      <c r="O1272" s="81" t="s">
        <v>693</v>
      </c>
      <c r="P1272" s="83">
        <v>44465.575277777774</v>
      </c>
      <c r="Q1272" s="81" t="s">
        <v>5505</v>
      </c>
      <c r="R1272" s="81"/>
      <c r="S1272" s="81"/>
      <c r="T1272" s="81"/>
      <c r="U1272" s="81"/>
      <c r="V1272" s="84" t="str">
        <f>HYPERLINK("https://pbs.twimg.com/profile_images/1414917810065661953/Vdua60yu_normal.jpg")</f>
        <v>https://pbs.twimg.com/profile_images/1414917810065661953/Vdua60yu_normal.jpg</v>
      </c>
      <c r="W1272" s="83">
        <v>44465.575277777774</v>
      </c>
      <c r="X1272" s="89">
        <v>44465</v>
      </c>
      <c r="Y1272" s="86" t="s">
        <v>6254</v>
      </c>
      <c r="Z1272" s="84" t="str">
        <f>HYPERLINK("https://twitter.com/dinhasmile/status/1442123894471544834")</f>
        <v>https://twitter.com/dinhasmile/status/1442123894471544834</v>
      </c>
      <c r="AA1272" s="81"/>
      <c r="AB1272" s="81"/>
      <c r="AC1272" s="86" t="s">
        <v>7167</v>
      </c>
      <c r="AD1272" s="81"/>
      <c r="AE1272" s="81" t="b">
        <v>0</v>
      </c>
      <c r="AF1272" s="81">
        <v>0</v>
      </c>
      <c r="AG1272" s="86" t="s">
        <v>2084</v>
      </c>
      <c r="AH1272" s="81" t="b">
        <v>0</v>
      </c>
      <c r="AI1272" s="81" t="s">
        <v>2171</v>
      </c>
      <c r="AJ1272" s="81"/>
      <c r="AK1272" s="86" t="s">
        <v>2084</v>
      </c>
      <c r="AL1272" s="81" t="b">
        <v>0</v>
      </c>
      <c r="AM1272" s="81">
        <v>255</v>
      </c>
      <c r="AN1272" s="86" t="s">
        <v>7543</v>
      </c>
      <c r="AO1272" s="86" t="s">
        <v>2178</v>
      </c>
      <c r="AP1272" s="81" t="b">
        <v>0</v>
      </c>
      <c r="AQ1272" s="86" t="s">
        <v>7543</v>
      </c>
      <c r="AR1272" s="81" t="s">
        <v>179</v>
      </c>
      <c r="AS1272" s="81">
        <v>0</v>
      </c>
      <c r="AT1272" s="81">
        <v>0</v>
      </c>
      <c r="AU1272" s="81"/>
      <c r="AV1272" s="81"/>
      <c r="AW1272" s="81"/>
      <c r="AX1272" s="81"/>
      <c r="AY1272" s="81"/>
      <c r="AZ1272" s="81"/>
      <c r="BA1272" s="81"/>
      <c r="BB1272" s="81"/>
    </row>
    <row r="1273" spans="1:54" x14ac:dyDescent="0.35">
      <c r="A1273" s="66" t="s">
        <v>4608</v>
      </c>
      <c r="B1273" s="66" t="s">
        <v>4944</v>
      </c>
      <c r="C1273" s="67"/>
      <c r="D1273" s="68"/>
      <c r="E1273" s="69"/>
      <c r="F1273" s="70"/>
      <c r="G1273" s="67"/>
      <c r="H1273" s="71"/>
      <c r="I1273" s="72"/>
      <c r="J1273" s="72"/>
      <c r="K1273" s="36"/>
      <c r="L1273" s="79"/>
      <c r="M1273" s="79"/>
      <c r="N1273" s="74"/>
      <c r="O1273" s="81" t="s">
        <v>693</v>
      </c>
      <c r="P1273" s="83">
        <v>44465.575740740744</v>
      </c>
      <c r="Q1273" s="81" t="s">
        <v>5505</v>
      </c>
      <c r="R1273" s="81"/>
      <c r="S1273" s="81"/>
      <c r="T1273" s="81"/>
      <c r="U1273" s="81"/>
      <c r="V1273" s="84" t="str">
        <f>HYPERLINK("https://pbs.twimg.com/profile_images/3749093540/6c9979d50ddc62aac34a765d37b237b8_normal.jpeg")</f>
        <v>https://pbs.twimg.com/profile_images/3749093540/6c9979d50ddc62aac34a765d37b237b8_normal.jpeg</v>
      </c>
      <c r="W1273" s="83">
        <v>44465.575740740744</v>
      </c>
      <c r="X1273" s="89">
        <v>44465</v>
      </c>
      <c r="Y1273" s="86" t="s">
        <v>6255</v>
      </c>
      <c r="Z1273" s="84" t="str">
        <f>HYPERLINK("https://twitter.com/lune_blanche/status/1442124061681848326")</f>
        <v>https://twitter.com/lune_blanche/status/1442124061681848326</v>
      </c>
      <c r="AA1273" s="81"/>
      <c r="AB1273" s="81"/>
      <c r="AC1273" s="86" t="s">
        <v>7168</v>
      </c>
      <c r="AD1273" s="81"/>
      <c r="AE1273" s="81" t="b">
        <v>0</v>
      </c>
      <c r="AF1273" s="81">
        <v>0</v>
      </c>
      <c r="AG1273" s="86" t="s">
        <v>2084</v>
      </c>
      <c r="AH1273" s="81" t="b">
        <v>0</v>
      </c>
      <c r="AI1273" s="81" t="s">
        <v>2171</v>
      </c>
      <c r="AJ1273" s="81"/>
      <c r="AK1273" s="86" t="s">
        <v>2084</v>
      </c>
      <c r="AL1273" s="81" t="b">
        <v>0</v>
      </c>
      <c r="AM1273" s="81">
        <v>255</v>
      </c>
      <c r="AN1273" s="86" t="s">
        <v>7543</v>
      </c>
      <c r="AO1273" s="86" t="s">
        <v>2178</v>
      </c>
      <c r="AP1273" s="81" t="b">
        <v>0</v>
      </c>
      <c r="AQ1273" s="86" t="s">
        <v>7543</v>
      </c>
      <c r="AR1273" s="81" t="s">
        <v>179</v>
      </c>
      <c r="AS1273" s="81">
        <v>0</v>
      </c>
      <c r="AT1273" s="81">
        <v>0</v>
      </c>
      <c r="AU1273" s="81"/>
      <c r="AV1273" s="81"/>
      <c r="AW1273" s="81"/>
      <c r="AX1273" s="81"/>
      <c r="AY1273" s="81"/>
      <c r="AZ1273" s="81"/>
      <c r="BA1273" s="81"/>
      <c r="BB1273" s="81"/>
    </row>
    <row r="1274" spans="1:54" x14ac:dyDescent="0.35">
      <c r="A1274" s="66" t="s">
        <v>4609</v>
      </c>
      <c r="B1274" s="66" t="s">
        <v>4944</v>
      </c>
      <c r="C1274" s="67"/>
      <c r="D1274" s="68"/>
      <c r="E1274" s="69"/>
      <c r="F1274" s="70"/>
      <c r="G1274" s="67"/>
      <c r="H1274" s="71"/>
      <c r="I1274" s="72"/>
      <c r="J1274" s="72"/>
      <c r="K1274" s="36"/>
      <c r="L1274" s="79"/>
      <c r="M1274" s="79"/>
      <c r="N1274" s="74"/>
      <c r="O1274" s="81" t="s">
        <v>693</v>
      </c>
      <c r="P1274" s="83">
        <v>44465.575844907406</v>
      </c>
      <c r="Q1274" s="81" t="s">
        <v>5505</v>
      </c>
      <c r="R1274" s="81"/>
      <c r="S1274" s="81"/>
      <c r="T1274" s="81"/>
      <c r="U1274" s="81"/>
      <c r="V1274" s="84" t="str">
        <f>HYPERLINK("https://pbs.twimg.com/profile_images/1399515735962140677/-BW0VZe__normal.jpg")</f>
        <v>https://pbs.twimg.com/profile_images/1399515735962140677/-BW0VZe__normal.jpg</v>
      </c>
      <c r="W1274" s="83">
        <v>44465.575844907406</v>
      </c>
      <c r="X1274" s="89">
        <v>44465</v>
      </c>
      <c r="Y1274" s="86" t="s">
        <v>6256</v>
      </c>
      <c r="Z1274" s="84" t="str">
        <f>HYPERLINK("https://twitter.com/ombudsgus/status/1442124099728326660")</f>
        <v>https://twitter.com/ombudsgus/status/1442124099728326660</v>
      </c>
      <c r="AA1274" s="81"/>
      <c r="AB1274" s="81"/>
      <c r="AC1274" s="86" t="s">
        <v>7169</v>
      </c>
      <c r="AD1274" s="81"/>
      <c r="AE1274" s="81" t="b">
        <v>0</v>
      </c>
      <c r="AF1274" s="81">
        <v>0</v>
      </c>
      <c r="AG1274" s="86" t="s">
        <v>2084</v>
      </c>
      <c r="AH1274" s="81" t="b">
        <v>0</v>
      </c>
      <c r="AI1274" s="81" t="s">
        <v>2171</v>
      </c>
      <c r="AJ1274" s="81"/>
      <c r="AK1274" s="86" t="s">
        <v>2084</v>
      </c>
      <c r="AL1274" s="81" t="b">
        <v>0</v>
      </c>
      <c r="AM1274" s="81">
        <v>255</v>
      </c>
      <c r="AN1274" s="86" t="s">
        <v>7543</v>
      </c>
      <c r="AO1274" s="86" t="s">
        <v>2179</v>
      </c>
      <c r="AP1274" s="81" t="b">
        <v>0</v>
      </c>
      <c r="AQ1274" s="86" t="s">
        <v>7543</v>
      </c>
      <c r="AR1274" s="81" t="s">
        <v>179</v>
      </c>
      <c r="AS1274" s="81">
        <v>0</v>
      </c>
      <c r="AT1274" s="81">
        <v>0</v>
      </c>
      <c r="AU1274" s="81"/>
      <c r="AV1274" s="81"/>
      <c r="AW1274" s="81"/>
      <c r="AX1274" s="81"/>
      <c r="AY1274" s="81"/>
      <c r="AZ1274" s="81"/>
      <c r="BA1274" s="81"/>
      <c r="BB1274" s="81"/>
    </row>
    <row r="1275" spans="1:54" x14ac:dyDescent="0.35">
      <c r="A1275" s="66" t="s">
        <v>4610</v>
      </c>
      <c r="B1275" s="66" t="s">
        <v>4944</v>
      </c>
      <c r="C1275" s="67"/>
      <c r="D1275" s="68"/>
      <c r="E1275" s="69"/>
      <c r="F1275" s="70"/>
      <c r="G1275" s="67"/>
      <c r="H1275" s="71"/>
      <c r="I1275" s="72"/>
      <c r="J1275" s="72"/>
      <c r="K1275" s="36"/>
      <c r="L1275" s="79"/>
      <c r="M1275" s="79"/>
      <c r="N1275" s="74"/>
      <c r="O1275" s="81" t="s">
        <v>693</v>
      </c>
      <c r="P1275" s="83">
        <v>44465.580995370372</v>
      </c>
      <c r="Q1275" s="81" t="s">
        <v>5505</v>
      </c>
      <c r="R1275" s="81"/>
      <c r="S1275" s="81"/>
      <c r="T1275" s="81"/>
      <c r="U1275" s="81"/>
      <c r="V1275" s="84" t="str">
        <f>HYPERLINK("https://pbs.twimg.com/profile_images/1435683416784113666/ozXZYE71_normal.jpg")</f>
        <v>https://pbs.twimg.com/profile_images/1435683416784113666/ozXZYE71_normal.jpg</v>
      </c>
      <c r="W1275" s="83">
        <v>44465.580995370372</v>
      </c>
      <c r="X1275" s="89">
        <v>44465</v>
      </c>
      <c r="Y1275" s="86" t="s">
        <v>6257</v>
      </c>
      <c r="Z1275" s="84" t="str">
        <f>HYPERLINK("https://twitter.com/mendoncalicia/status/1442125967720333313")</f>
        <v>https://twitter.com/mendoncalicia/status/1442125967720333313</v>
      </c>
      <c r="AA1275" s="81"/>
      <c r="AB1275" s="81"/>
      <c r="AC1275" s="86" t="s">
        <v>7170</v>
      </c>
      <c r="AD1275" s="81"/>
      <c r="AE1275" s="81" t="b">
        <v>0</v>
      </c>
      <c r="AF1275" s="81">
        <v>0</v>
      </c>
      <c r="AG1275" s="86" t="s">
        <v>2084</v>
      </c>
      <c r="AH1275" s="81" t="b">
        <v>0</v>
      </c>
      <c r="AI1275" s="81" t="s">
        <v>2171</v>
      </c>
      <c r="AJ1275" s="81"/>
      <c r="AK1275" s="86" t="s">
        <v>2084</v>
      </c>
      <c r="AL1275" s="81" t="b">
        <v>0</v>
      </c>
      <c r="AM1275" s="81">
        <v>255</v>
      </c>
      <c r="AN1275" s="86" t="s">
        <v>7543</v>
      </c>
      <c r="AO1275" s="86" t="s">
        <v>2179</v>
      </c>
      <c r="AP1275" s="81" t="b">
        <v>0</v>
      </c>
      <c r="AQ1275" s="86" t="s">
        <v>7543</v>
      </c>
      <c r="AR1275" s="81" t="s">
        <v>179</v>
      </c>
      <c r="AS1275" s="81">
        <v>0</v>
      </c>
      <c r="AT1275" s="81">
        <v>0</v>
      </c>
      <c r="AU1275" s="81"/>
      <c r="AV1275" s="81"/>
      <c r="AW1275" s="81"/>
      <c r="AX1275" s="81"/>
      <c r="AY1275" s="81"/>
      <c r="AZ1275" s="81"/>
      <c r="BA1275" s="81"/>
      <c r="BB1275" s="81"/>
    </row>
    <row r="1276" spans="1:54" x14ac:dyDescent="0.35">
      <c r="A1276" s="66" t="s">
        <v>4611</v>
      </c>
      <c r="B1276" s="66" t="s">
        <v>4944</v>
      </c>
      <c r="C1276" s="67"/>
      <c r="D1276" s="68"/>
      <c r="E1276" s="69"/>
      <c r="F1276" s="70"/>
      <c r="G1276" s="67"/>
      <c r="H1276" s="71"/>
      <c r="I1276" s="72"/>
      <c r="J1276" s="72"/>
      <c r="K1276" s="36"/>
      <c r="L1276" s="79"/>
      <c r="M1276" s="79"/>
      <c r="N1276" s="74"/>
      <c r="O1276" s="81" t="s">
        <v>693</v>
      </c>
      <c r="P1276" s="83">
        <v>44465.581053240741</v>
      </c>
      <c r="Q1276" s="81" t="s">
        <v>5505</v>
      </c>
      <c r="R1276" s="81"/>
      <c r="S1276" s="81"/>
      <c r="T1276" s="81"/>
      <c r="U1276" s="81"/>
      <c r="V1276" s="84" t="str">
        <f>HYPERLINK("https://pbs.twimg.com/profile_images/1436115445308923905/A-v_u4mh_normal.jpg")</f>
        <v>https://pbs.twimg.com/profile_images/1436115445308923905/A-v_u4mh_normal.jpg</v>
      </c>
      <c r="W1276" s="83">
        <v>44465.581053240741</v>
      </c>
      <c r="X1276" s="89">
        <v>44465</v>
      </c>
      <c r="Y1276" s="86" t="s">
        <v>6258</v>
      </c>
      <c r="Z1276" s="84" t="str">
        <f>HYPERLINK("https://twitter.com/luciluladasilva/status/1442125988469645313")</f>
        <v>https://twitter.com/luciluladasilva/status/1442125988469645313</v>
      </c>
      <c r="AA1276" s="81"/>
      <c r="AB1276" s="81"/>
      <c r="AC1276" s="86" t="s">
        <v>7171</v>
      </c>
      <c r="AD1276" s="81"/>
      <c r="AE1276" s="81" t="b">
        <v>0</v>
      </c>
      <c r="AF1276" s="81">
        <v>0</v>
      </c>
      <c r="AG1276" s="86" t="s">
        <v>2084</v>
      </c>
      <c r="AH1276" s="81" t="b">
        <v>0</v>
      </c>
      <c r="AI1276" s="81" t="s">
        <v>2171</v>
      </c>
      <c r="AJ1276" s="81"/>
      <c r="AK1276" s="86" t="s">
        <v>2084</v>
      </c>
      <c r="AL1276" s="81" t="b">
        <v>0</v>
      </c>
      <c r="AM1276" s="81">
        <v>255</v>
      </c>
      <c r="AN1276" s="86" t="s">
        <v>7543</v>
      </c>
      <c r="AO1276" s="86" t="s">
        <v>2181</v>
      </c>
      <c r="AP1276" s="81" t="b">
        <v>0</v>
      </c>
      <c r="AQ1276" s="86" t="s">
        <v>7543</v>
      </c>
      <c r="AR1276" s="81" t="s">
        <v>179</v>
      </c>
      <c r="AS1276" s="81">
        <v>0</v>
      </c>
      <c r="AT1276" s="81">
        <v>0</v>
      </c>
      <c r="AU1276" s="81"/>
      <c r="AV1276" s="81"/>
      <c r="AW1276" s="81"/>
      <c r="AX1276" s="81"/>
      <c r="AY1276" s="81"/>
      <c r="AZ1276" s="81"/>
      <c r="BA1276" s="81"/>
      <c r="BB1276" s="81"/>
    </row>
    <row r="1277" spans="1:54" x14ac:dyDescent="0.35">
      <c r="A1277" s="66" t="s">
        <v>4612</v>
      </c>
      <c r="B1277" s="66" t="s">
        <v>4944</v>
      </c>
      <c r="C1277" s="67"/>
      <c r="D1277" s="68"/>
      <c r="E1277" s="69"/>
      <c r="F1277" s="70"/>
      <c r="G1277" s="67"/>
      <c r="H1277" s="71"/>
      <c r="I1277" s="72"/>
      <c r="J1277" s="72"/>
      <c r="K1277" s="36"/>
      <c r="L1277" s="79"/>
      <c r="M1277" s="79"/>
      <c r="N1277" s="74"/>
      <c r="O1277" s="81" t="s">
        <v>693</v>
      </c>
      <c r="P1277" s="83">
        <v>44465.586631944447</v>
      </c>
      <c r="Q1277" s="81" t="s">
        <v>5505</v>
      </c>
      <c r="R1277" s="81"/>
      <c r="S1277" s="81"/>
      <c r="T1277" s="81"/>
      <c r="U1277" s="81"/>
      <c r="V1277" s="84" t="str">
        <f>HYPERLINK("https://pbs.twimg.com/profile_images/1400174830062915589/24Roceeq_normal.jpg")</f>
        <v>https://pbs.twimg.com/profile_images/1400174830062915589/24Roceeq_normal.jpg</v>
      </c>
      <c r="W1277" s="83">
        <v>44465.586631944447</v>
      </c>
      <c r="X1277" s="89">
        <v>44465</v>
      </c>
      <c r="Y1277" s="86" t="s">
        <v>6259</v>
      </c>
      <c r="Z1277" s="84" t="str">
        <f>HYPERLINK("https://twitter.com/alexand04132949/status/1442128008077213702")</f>
        <v>https://twitter.com/alexand04132949/status/1442128008077213702</v>
      </c>
      <c r="AA1277" s="81"/>
      <c r="AB1277" s="81"/>
      <c r="AC1277" s="86" t="s">
        <v>7172</v>
      </c>
      <c r="AD1277" s="81"/>
      <c r="AE1277" s="81" t="b">
        <v>0</v>
      </c>
      <c r="AF1277" s="81">
        <v>0</v>
      </c>
      <c r="AG1277" s="86" t="s">
        <v>2084</v>
      </c>
      <c r="AH1277" s="81" t="b">
        <v>0</v>
      </c>
      <c r="AI1277" s="81" t="s">
        <v>2171</v>
      </c>
      <c r="AJ1277" s="81"/>
      <c r="AK1277" s="86" t="s">
        <v>2084</v>
      </c>
      <c r="AL1277" s="81" t="b">
        <v>0</v>
      </c>
      <c r="AM1277" s="81">
        <v>255</v>
      </c>
      <c r="AN1277" s="86" t="s">
        <v>7543</v>
      </c>
      <c r="AO1277" s="86" t="s">
        <v>2178</v>
      </c>
      <c r="AP1277" s="81" t="b">
        <v>0</v>
      </c>
      <c r="AQ1277" s="86" t="s">
        <v>7543</v>
      </c>
      <c r="AR1277" s="81" t="s">
        <v>179</v>
      </c>
      <c r="AS1277" s="81">
        <v>0</v>
      </c>
      <c r="AT1277" s="81">
        <v>0</v>
      </c>
      <c r="AU1277" s="81"/>
      <c r="AV1277" s="81"/>
      <c r="AW1277" s="81"/>
      <c r="AX1277" s="81"/>
      <c r="AY1277" s="81"/>
      <c r="AZ1277" s="81"/>
      <c r="BA1277" s="81"/>
      <c r="BB1277" s="81"/>
    </row>
    <row r="1278" spans="1:54" x14ac:dyDescent="0.35">
      <c r="A1278" s="66" t="s">
        <v>4613</v>
      </c>
      <c r="B1278" s="66" t="s">
        <v>4944</v>
      </c>
      <c r="C1278" s="67"/>
      <c r="D1278" s="68"/>
      <c r="E1278" s="69"/>
      <c r="F1278" s="70"/>
      <c r="G1278" s="67"/>
      <c r="H1278" s="71"/>
      <c r="I1278" s="72"/>
      <c r="J1278" s="72"/>
      <c r="K1278" s="36"/>
      <c r="L1278" s="79"/>
      <c r="M1278" s="79"/>
      <c r="N1278" s="74"/>
      <c r="O1278" s="81" t="s">
        <v>693</v>
      </c>
      <c r="P1278" s="83">
        <v>44465.587800925925</v>
      </c>
      <c r="Q1278" s="81" t="s">
        <v>5505</v>
      </c>
      <c r="R1278" s="81"/>
      <c r="S1278" s="81"/>
      <c r="T1278" s="81"/>
      <c r="U1278" s="81"/>
      <c r="V1278" s="84" t="str">
        <f>HYPERLINK("https://abs.twimg.com/sticky/default_profile_images/default_profile_normal.png")</f>
        <v>https://abs.twimg.com/sticky/default_profile_images/default_profile_normal.png</v>
      </c>
      <c r="W1278" s="83">
        <v>44465.587800925925</v>
      </c>
      <c r="X1278" s="89">
        <v>44465</v>
      </c>
      <c r="Y1278" s="86" t="s">
        <v>6260</v>
      </c>
      <c r="Z1278" s="84" t="str">
        <f>HYPERLINK("https://twitter.com/tania12446771/status/1442128431005593603")</f>
        <v>https://twitter.com/tania12446771/status/1442128431005593603</v>
      </c>
      <c r="AA1278" s="81"/>
      <c r="AB1278" s="81"/>
      <c r="AC1278" s="86" t="s">
        <v>7173</v>
      </c>
      <c r="AD1278" s="81"/>
      <c r="AE1278" s="81" t="b">
        <v>0</v>
      </c>
      <c r="AF1278" s="81">
        <v>0</v>
      </c>
      <c r="AG1278" s="86" t="s">
        <v>2084</v>
      </c>
      <c r="AH1278" s="81" t="b">
        <v>0</v>
      </c>
      <c r="AI1278" s="81" t="s">
        <v>2171</v>
      </c>
      <c r="AJ1278" s="81"/>
      <c r="AK1278" s="86" t="s">
        <v>2084</v>
      </c>
      <c r="AL1278" s="81" t="b">
        <v>0</v>
      </c>
      <c r="AM1278" s="81">
        <v>255</v>
      </c>
      <c r="AN1278" s="86" t="s">
        <v>7543</v>
      </c>
      <c r="AO1278" s="86" t="s">
        <v>2178</v>
      </c>
      <c r="AP1278" s="81" t="b">
        <v>0</v>
      </c>
      <c r="AQ1278" s="86" t="s">
        <v>7543</v>
      </c>
      <c r="AR1278" s="81" t="s">
        <v>179</v>
      </c>
      <c r="AS1278" s="81">
        <v>0</v>
      </c>
      <c r="AT1278" s="81">
        <v>0</v>
      </c>
      <c r="AU1278" s="81"/>
      <c r="AV1278" s="81"/>
      <c r="AW1278" s="81"/>
      <c r="AX1278" s="81"/>
      <c r="AY1278" s="81"/>
      <c r="AZ1278" s="81"/>
      <c r="BA1278" s="81"/>
      <c r="BB1278" s="81"/>
    </row>
    <row r="1279" spans="1:54" x14ac:dyDescent="0.35">
      <c r="A1279" s="66" t="s">
        <v>4614</v>
      </c>
      <c r="B1279" s="66" t="s">
        <v>4944</v>
      </c>
      <c r="C1279" s="67"/>
      <c r="D1279" s="68"/>
      <c r="E1279" s="69"/>
      <c r="F1279" s="70"/>
      <c r="G1279" s="67"/>
      <c r="H1279" s="71"/>
      <c r="I1279" s="72"/>
      <c r="J1279" s="72"/>
      <c r="K1279" s="36"/>
      <c r="L1279" s="79"/>
      <c r="M1279" s="79"/>
      <c r="N1279" s="74"/>
      <c r="O1279" s="81" t="s">
        <v>693</v>
      </c>
      <c r="P1279" s="83">
        <v>44465.589791666665</v>
      </c>
      <c r="Q1279" s="81" t="s">
        <v>5505</v>
      </c>
      <c r="R1279" s="81"/>
      <c r="S1279" s="81"/>
      <c r="T1279" s="81"/>
      <c r="U1279" s="81"/>
      <c r="V1279" s="84" t="str">
        <f>HYPERLINK("https://pbs.twimg.com/profile_images/1328907775485890563/re5j-4dt_normal.jpg")</f>
        <v>https://pbs.twimg.com/profile_images/1328907775485890563/re5j-4dt_normal.jpg</v>
      </c>
      <c r="W1279" s="83">
        <v>44465.589791666665</v>
      </c>
      <c r="X1279" s="89">
        <v>44465</v>
      </c>
      <c r="Y1279" s="86" t="s">
        <v>6261</v>
      </c>
      <c r="Z1279" s="84" t="str">
        <f>HYPERLINK("https://twitter.com/mariocrpl/status/1442129152891625478")</f>
        <v>https://twitter.com/mariocrpl/status/1442129152891625478</v>
      </c>
      <c r="AA1279" s="81"/>
      <c r="AB1279" s="81"/>
      <c r="AC1279" s="86" t="s">
        <v>7174</v>
      </c>
      <c r="AD1279" s="81"/>
      <c r="AE1279" s="81" t="b">
        <v>0</v>
      </c>
      <c r="AF1279" s="81">
        <v>0</v>
      </c>
      <c r="AG1279" s="86" t="s">
        <v>2084</v>
      </c>
      <c r="AH1279" s="81" t="b">
        <v>0</v>
      </c>
      <c r="AI1279" s="81" t="s">
        <v>2171</v>
      </c>
      <c r="AJ1279" s="81"/>
      <c r="AK1279" s="86" t="s">
        <v>2084</v>
      </c>
      <c r="AL1279" s="81" t="b">
        <v>0</v>
      </c>
      <c r="AM1279" s="81">
        <v>255</v>
      </c>
      <c r="AN1279" s="86" t="s">
        <v>7543</v>
      </c>
      <c r="AO1279" s="86" t="s">
        <v>2178</v>
      </c>
      <c r="AP1279" s="81" t="b">
        <v>0</v>
      </c>
      <c r="AQ1279" s="86" t="s">
        <v>7543</v>
      </c>
      <c r="AR1279" s="81" t="s">
        <v>179</v>
      </c>
      <c r="AS1279" s="81">
        <v>0</v>
      </c>
      <c r="AT1279" s="81">
        <v>0</v>
      </c>
      <c r="AU1279" s="81"/>
      <c r="AV1279" s="81"/>
      <c r="AW1279" s="81"/>
      <c r="AX1279" s="81"/>
      <c r="AY1279" s="81"/>
      <c r="AZ1279" s="81"/>
      <c r="BA1279" s="81"/>
      <c r="BB1279" s="81"/>
    </row>
    <row r="1280" spans="1:54" x14ac:dyDescent="0.35">
      <c r="A1280" s="66" t="s">
        <v>4615</v>
      </c>
      <c r="B1280" s="66" t="s">
        <v>4944</v>
      </c>
      <c r="C1280" s="67"/>
      <c r="D1280" s="68"/>
      <c r="E1280" s="69"/>
      <c r="F1280" s="70"/>
      <c r="G1280" s="67"/>
      <c r="H1280" s="71"/>
      <c r="I1280" s="72"/>
      <c r="J1280" s="72"/>
      <c r="K1280" s="36"/>
      <c r="L1280" s="79"/>
      <c r="M1280" s="79"/>
      <c r="N1280" s="74"/>
      <c r="O1280" s="81" t="s">
        <v>693</v>
      </c>
      <c r="P1280" s="83">
        <v>44465.590520833335</v>
      </c>
      <c r="Q1280" s="81" t="s">
        <v>5505</v>
      </c>
      <c r="R1280" s="81"/>
      <c r="S1280" s="81"/>
      <c r="T1280" s="81"/>
      <c r="U1280" s="81"/>
      <c r="V1280" s="84" t="str">
        <f>HYPERLINK("https://pbs.twimg.com/profile_images/512715077116366849/OB_YvcCP_normal.jpeg")</f>
        <v>https://pbs.twimg.com/profile_images/512715077116366849/OB_YvcCP_normal.jpeg</v>
      </c>
      <c r="W1280" s="83">
        <v>44465.590520833335</v>
      </c>
      <c r="X1280" s="89">
        <v>44465</v>
      </c>
      <c r="Y1280" s="86" t="s">
        <v>6262</v>
      </c>
      <c r="Z1280" s="84" t="str">
        <f>HYPERLINK("https://twitter.com/alessandresena/status/1442129419565293570")</f>
        <v>https://twitter.com/alessandresena/status/1442129419565293570</v>
      </c>
      <c r="AA1280" s="81"/>
      <c r="AB1280" s="81"/>
      <c r="AC1280" s="86" t="s">
        <v>7175</v>
      </c>
      <c r="AD1280" s="81"/>
      <c r="AE1280" s="81" t="b">
        <v>0</v>
      </c>
      <c r="AF1280" s="81">
        <v>0</v>
      </c>
      <c r="AG1280" s="86" t="s">
        <v>2084</v>
      </c>
      <c r="AH1280" s="81" t="b">
        <v>0</v>
      </c>
      <c r="AI1280" s="81" t="s">
        <v>2171</v>
      </c>
      <c r="AJ1280" s="81"/>
      <c r="AK1280" s="86" t="s">
        <v>2084</v>
      </c>
      <c r="AL1280" s="81" t="b">
        <v>0</v>
      </c>
      <c r="AM1280" s="81">
        <v>255</v>
      </c>
      <c r="AN1280" s="86" t="s">
        <v>7543</v>
      </c>
      <c r="AO1280" s="86" t="s">
        <v>2178</v>
      </c>
      <c r="AP1280" s="81" t="b">
        <v>0</v>
      </c>
      <c r="AQ1280" s="86" t="s">
        <v>7543</v>
      </c>
      <c r="AR1280" s="81" t="s">
        <v>179</v>
      </c>
      <c r="AS1280" s="81">
        <v>0</v>
      </c>
      <c r="AT1280" s="81">
        <v>0</v>
      </c>
      <c r="AU1280" s="81"/>
      <c r="AV1280" s="81"/>
      <c r="AW1280" s="81"/>
      <c r="AX1280" s="81"/>
      <c r="AY1280" s="81"/>
      <c r="AZ1280" s="81"/>
      <c r="BA1280" s="81"/>
      <c r="BB1280" s="81"/>
    </row>
    <row r="1281" spans="1:54" x14ac:dyDescent="0.35">
      <c r="A1281" s="66" t="s">
        <v>4616</v>
      </c>
      <c r="B1281" s="66" t="s">
        <v>4616</v>
      </c>
      <c r="C1281" s="67"/>
      <c r="D1281" s="68"/>
      <c r="E1281" s="69"/>
      <c r="F1281" s="70"/>
      <c r="G1281" s="67"/>
      <c r="H1281" s="71"/>
      <c r="I1281" s="72"/>
      <c r="J1281" s="72"/>
      <c r="K1281" s="36"/>
      <c r="L1281" s="79"/>
      <c r="M1281" s="79"/>
      <c r="N1281" s="74"/>
      <c r="O1281" s="81" t="s">
        <v>179</v>
      </c>
      <c r="P1281" s="83">
        <v>44465.590937499997</v>
      </c>
      <c r="Q1281" s="81" t="s">
        <v>5508</v>
      </c>
      <c r="R1281" s="84" t="str">
        <f>HYPERLINK("https://maisribatejo.pt/2021/09/26/presidente-marcelo-seria-dificil-de-entender-se-as-pessoas-nao-votassem-nestas-eleicoes-autarquicas/")</f>
        <v>https://maisribatejo.pt/2021/09/26/presidente-marcelo-seria-dificil-de-entender-se-as-pessoas-nao-votassem-nestas-eleicoes-autarquicas/</v>
      </c>
      <c r="S1281" s="81" t="s">
        <v>5736</v>
      </c>
      <c r="T1281" s="86" t="s">
        <v>5780</v>
      </c>
      <c r="U1281" s="84" t="str">
        <f>HYPERLINK("https://pbs.twimg.com/media/FAN5M-dWQAAhle4.jpg")</f>
        <v>https://pbs.twimg.com/media/FAN5M-dWQAAhle4.jpg</v>
      </c>
      <c r="V1281" s="84" t="str">
        <f>HYPERLINK("https://pbs.twimg.com/media/FAN5M-dWQAAhle4.jpg")</f>
        <v>https://pbs.twimg.com/media/FAN5M-dWQAAhle4.jpg</v>
      </c>
      <c r="W1281" s="83">
        <v>44465.590937499997</v>
      </c>
      <c r="X1281" s="89">
        <v>44465</v>
      </c>
      <c r="Y1281" s="86" t="s">
        <v>6263</v>
      </c>
      <c r="Z1281" s="84" t="str">
        <f>HYPERLINK("https://twitter.com/maisribatejo/status/1442129571365724160")</f>
        <v>https://twitter.com/maisribatejo/status/1442129571365724160</v>
      </c>
      <c r="AA1281" s="81"/>
      <c r="AB1281" s="81"/>
      <c r="AC1281" s="86" t="s">
        <v>7176</v>
      </c>
      <c r="AD1281" s="81"/>
      <c r="AE1281" s="81" t="b">
        <v>0</v>
      </c>
      <c r="AF1281" s="81">
        <v>0</v>
      </c>
      <c r="AG1281" s="86" t="s">
        <v>2084</v>
      </c>
      <c r="AH1281" s="81" t="b">
        <v>0</v>
      </c>
      <c r="AI1281" s="81" t="s">
        <v>2171</v>
      </c>
      <c r="AJ1281" s="81"/>
      <c r="AK1281" s="86" t="s">
        <v>2084</v>
      </c>
      <c r="AL1281" s="81" t="b">
        <v>0</v>
      </c>
      <c r="AM1281" s="81">
        <v>0</v>
      </c>
      <c r="AN1281" s="86" t="s">
        <v>2084</v>
      </c>
      <c r="AO1281" s="86" t="s">
        <v>2193</v>
      </c>
      <c r="AP1281" s="81" t="b">
        <v>0</v>
      </c>
      <c r="AQ1281" s="86" t="s">
        <v>7176</v>
      </c>
      <c r="AR1281" s="81" t="s">
        <v>179</v>
      </c>
      <c r="AS1281" s="81">
        <v>0</v>
      </c>
      <c r="AT1281" s="81">
        <v>0</v>
      </c>
      <c r="AU1281" s="81"/>
      <c r="AV1281" s="81"/>
      <c r="AW1281" s="81"/>
      <c r="AX1281" s="81"/>
      <c r="AY1281" s="81"/>
      <c r="AZ1281" s="81"/>
      <c r="BA1281" s="81"/>
      <c r="BB1281" s="81"/>
    </row>
    <row r="1282" spans="1:54" x14ac:dyDescent="0.35">
      <c r="A1282" s="66" t="s">
        <v>4617</v>
      </c>
      <c r="B1282" s="66" t="s">
        <v>4944</v>
      </c>
      <c r="C1282" s="67"/>
      <c r="D1282" s="68"/>
      <c r="E1282" s="69"/>
      <c r="F1282" s="70"/>
      <c r="G1282" s="67"/>
      <c r="H1282" s="71"/>
      <c r="I1282" s="72"/>
      <c r="J1282" s="72"/>
      <c r="K1282" s="36"/>
      <c r="L1282" s="79"/>
      <c r="M1282" s="79"/>
      <c r="N1282" s="74"/>
      <c r="O1282" s="81" t="s">
        <v>693</v>
      </c>
      <c r="P1282" s="83">
        <v>44465.591111111113</v>
      </c>
      <c r="Q1282" s="81" t="s">
        <v>5505</v>
      </c>
      <c r="R1282" s="81"/>
      <c r="S1282" s="81"/>
      <c r="T1282" s="81"/>
      <c r="U1282" s="81"/>
      <c r="V1282" s="84" t="str">
        <f>HYPERLINK("https://pbs.twimg.com/profile_images/1433935770772033539/VsexMFBo_normal.jpg")</f>
        <v>https://pbs.twimg.com/profile_images/1433935770772033539/VsexMFBo_normal.jpg</v>
      </c>
      <c r="W1282" s="83">
        <v>44465.591111111113</v>
      </c>
      <c r="X1282" s="89">
        <v>44465</v>
      </c>
      <c r="Y1282" s="86" t="s">
        <v>6264</v>
      </c>
      <c r="Z1282" s="84" t="str">
        <f>HYPERLINK("https://twitter.com/sage_nada/status/1442129630643716097")</f>
        <v>https://twitter.com/sage_nada/status/1442129630643716097</v>
      </c>
      <c r="AA1282" s="81"/>
      <c r="AB1282" s="81"/>
      <c r="AC1282" s="86" t="s">
        <v>7177</v>
      </c>
      <c r="AD1282" s="81"/>
      <c r="AE1282" s="81" t="b">
        <v>0</v>
      </c>
      <c r="AF1282" s="81">
        <v>0</v>
      </c>
      <c r="AG1282" s="86" t="s">
        <v>2084</v>
      </c>
      <c r="AH1282" s="81" t="b">
        <v>0</v>
      </c>
      <c r="AI1282" s="81" t="s">
        <v>2171</v>
      </c>
      <c r="AJ1282" s="81"/>
      <c r="AK1282" s="86" t="s">
        <v>2084</v>
      </c>
      <c r="AL1282" s="81" t="b">
        <v>0</v>
      </c>
      <c r="AM1282" s="81">
        <v>255</v>
      </c>
      <c r="AN1282" s="86" t="s">
        <v>7543</v>
      </c>
      <c r="AO1282" s="86" t="s">
        <v>2178</v>
      </c>
      <c r="AP1282" s="81" t="b">
        <v>0</v>
      </c>
      <c r="AQ1282" s="86" t="s">
        <v>7543</v>
      </c>
      <c r="AR1282" s="81" t="s">
        <v>179</v>
      </c>
      <c r="AS1282" s="81">
        <v>0</v>
      </c>
      <c r="AT1282" s="81">
        <v>0</v>
      </c>
      <c r="AU1282" s="81"/>
      <c r="AV1282" s="81"/>
      <c r="AW1282" s="81"/>
      <c r="AX1282" s="81"/>
      <c r="AY1282" s="81"/>
      <c r="AZ1282" s="81"/>
      <c r="BA1282" s="81"/>
      <c r="BB1282" s="81"/>
    </row>
    <row r="1283" spans="1:54" x14ac:dyDescent="0.35">
      <c r="A1283" s="66" t="s">
        <v>4618</v>
      </c>
      <c r="B1283" s="66" t="s">
        <v>4944</v>
      </c>
      <c r="C1283" s="67"/>
      <c r="D1283" s="68"/>
      <c r="E1283" s="69"/>
      <c r="F1283" s="70"/>
      <c r="G1283" s="67"/>
      <c r="H1283" s="71"/>
      <c r="I1283" s="72"/>
      <c r="J1283" s="72"/>
      <c r="K1283" s="36"/>
      <c r="L1283" s="79"/>
      <c r="M1283" s="79"/>
      <c r="N1283" s="74"/>
      <c r="O1283" s="81" t="s">
        <v>693</v>
      </c>
      <c r="P1283" s="83">
        <v>44465.59175925926</v>
      </c>
      <c r="Q1283" s="81" t="s">
        <v>5505</v>
      </c>
      <c r="R1283" s="81"/>
      <c r="S1283" s="81"/>
      <c r="T1283" s="81"/>
      <c r="U1283" s="81"/>
      <c r="V1283" s="84" t="str">
        <f>HYPERLINK("https://pbs.twimg.com/profile_images/1424443774982365192/JLiUHgHY_normal.jpg")</f>
        <v>https://pbs.twimg.com/profile_images/1424443774982365192/JLiUHgHY_normal.jpg</v>
      </c>
      <c r="W1283" s="83">
        <v>44465.59175925926</v>
      </c>
      <c r="X1283" s="89">
        <v>44465</v>
      </c>
      <c r="Y1283" s="86" t="s">
        <v>6265</v>
      </c>
      <c r="Z1283" s="84" t="str">
        <f>HYPERLINK("https://twitter.com/warley_lopes/status/1442129866636337154")</f>
        <v>https://twitter.com/warley_lopes/status/1442129866636337154</v>
      </c>
      <c r="AA1283" s="81"/>
      <c r="AB1283" s="81"/>
      <c r="AC1283" s="86" t="s">
        <v>7178</v>
      </c>
      <c r="AD1283" s="81"/>
      <c r="AE1283" s="81" t="b">
        <v>0</v>
      </c>
      <c r="AF1283" s="81">
        <v>0</v>
      </c>
      <c r="AG1283" s="86" t="s">
        <v>2084</v>
      </c>
      <c r="AH1283" s="81" t="b">
        <v>0</v>
      </c>
      <c r="AI1283" s="81" t="s">
        <v>2171</v>
      </c>
      <c r="AJ1283" s="81"/>
      <c r="AK1283" s="86" t="s">
        <v>2084</v>
      </c>
      <c r="AL1283" s="81" t="b">
        <v>0</v>
      </c>
      <c r="AM1283" s="81">
        <v>255</v>
      </c>
      <c r="AN1283" s="86" t="s">
        <v>7543</v>
      </c>
      <c r="AO1283" s="86" t="s">
        <v>2181</v>
      </c>
      <c r="AP1283" s="81" t="b">
        <v>0</v>
      </c>
      <c r="AQ1283" s="86" t="s">
        <v>7543</v>
      </c>
      <c r="AR1283" s="81" t="s">
        <v>179</v>
      </c>
      <c r="AS1283" s="81">
        <v>0</v>
      </c>
      <c r="AT1283" s="81">
        <v>0</v>
      </c>
      <c r="AU1283" s="81"/>
      <c r="AV1283" s="81"/>
      <c r="AW1283" s="81"/>
      <c r="AX1283" s="81"/>
      <c r="AY1283" s="81"/>
      <c r="AZ1283" s="81"/>
      <c r="BA1283" s="81"/>
      <c r="BB1283" s="81"/>
    </row>
    <row r="1284" spans="1:54" x14ac:dyDescent="0.35">
      <c r="A1284" s="66" t="s">
        <v>4619</v>
      </c>
      <c r="B1284" s="66" t="s">
        <v>4944</v>
      </c>
      <c r="C1284" s="67"/>
      <c r="D1284" s="68"/>
      <c r="E1284" s="69"/>
      <c r="F1284" s="70"/>
      <c r="G1284" s="67"/>
      <c r="H1284" s="71"/>
      <c r="I1284" s="72"/>
      <c r="J1284" s="72"/>
      <c r="K1284" s="36"/>
      <c r="L1284" s="79"/>
      <c r="M1284" s="79"/>
      <c r="N1284" s="74"/>
      <c r="O1284" s="81" t="s">
        <v>693</v>
      </c>
      <c r="P1284" s="83">
        <v>44465.592245370368</v>
      </c>
      <c r="Q1284" s="81" t="s">
        <v>5505</v>
      </c>
      <c r="R1284" s="81"/>
      <c r="S1284" s="81"/>
      <c r="T1284" s="81"/>
      <c r="U1284" s="81"/>
      <c r="V1284" s="84" t="str">
        <f>HYPERLINK("https://pbs.twimg.com/profile_images/1437471168165027851/SUNH3jDq_normal.jpg")</f>
        <v>https://pbs.twimg.com/profile_images/1437471168165027851/SUNH3jDq_normal.jpg</v>
      </c>
      <c r="W1284" s="83">
        <v>44465.592245370368</v>
      </c>
      <c r="X1284" s="89">
        <v>44465</v>
      </c>
      <c r="Y1284" s="86" t="s">
        <v>6266</v>
      </c>
      <c r="Z1284" s="84" t="str">
        <f>HYPERLINK("https://twitter.com/emidrr/status/1442130042478227459")</f>
        <v>https://twitter.com/emidrr/status/1442130042478227459</v>
      </c>
      <c r="AA1284" s="81"/>
      <c r="AB1284" s="81"/>
      <c r="AC1284" s="86" t="s">
        <v>7179</v>
      </c>
      <c r="AD1284" s="81"/>
      <c r="AE1284" s="81" t="b">
        <v>0</v>
      </c>
      <c r="AF1284" s="81">
        <v>0</v>
      </c>
      <c r="AG1284" s="86" t="s">
        <v>2084</v>
      </c>
      <c r="AH1284" s="81" t="b">
        <v>0</v>
      </c>
      <c r="AI1284" s="81" t="s">
        <v>2171</v>
      </c>
      <c r="AJ1284" s="81"/>
      <c r="AK1284" s="86" t="s">
        <v>2084</v>
      </c>
      <c r="AL1284" s="81" t="b">
        <v>0</v>
      </c>
      <c r="AM1284" s="81">
        <v>255</v>
      </c>
      <c r="AN1284" s="86" t="s">
        <v>7543</v>
      </c>
      <c r="AO1284" s="86" t="s">
        <v>2178</v>
      </c>
      <c r="AP1284" s="81" t="b">
        <v>0</v>
      </c>
      <c r="AQ1284" s="86" t="s">
        <v>7543</v>
      </c>
      <c r="AR1284" s="81" t="s">
        <v>179</v>
      </c>
      <c r="AS1284" s="81">
        <v>0</v>
      </c>
      <c r="AT1284" s="81">
        <v>0</v>
      </c>
      <c r="AU1284" s="81"/>
      <c r="AV1284" s="81"/>
      <c r="AW1284" s="81"/>
      <c r="AX1284" s="81"/>
      <c r="AY1284" s="81"/>
      <c r="AZ1284" s="81"/>
      <c r="BA1284" s="81"/>
      <c r="BB1284" s="81"/>
    </row>
    <row r="1285" spans="1:54" x14ac:dyDescent="0.35">
      <c r="A1285" s="66" t="s">
        <v>4620</v>
      </c>
      <c r="B1285" s="66" t="s">
        <v>4944</v>
      </c>
      <c r="C1285" s="67"/>
      <c r="D1285" s="68"/>
      <c r="E1285" s="69"/>
      <c r="F1285" s="70"/>
      <c r="G1285" s="67"/>
      <c r="H1285" s="71"/>
      <c r="I1285" s="72"/>
      <c r="J1285" s="72"/>
      <c r="K1285" s="36"/>
      <c r="L1285" s="79"/>
      <c r="M1285" s="79"/>
      <c r="N1285" s="74"/>
      <c r="O1285" s="81" t="s">
        <v>693</v>
      </c>
      <c r="P1285" s="83">
        <v>44465.594155092593</v>
      </c>
      <c r="Q1285" s="81" t="s">
        <v>5505</v>
      </c>
      <c r="R1285" s="81"/>
      <c r="S1285" s="81"/>
      <c r="T1285" s="81"/>
      <c r="U1285" s="81"/>
      <c r="V1285" s="84" t="str">
        <f>HYPERLINK("https://pbs.twimg.com/profile_images/1303077218533416960/dzzz42RE_normal.jpg")</f>
        <v>https://pbs.twimg.com/profile_images/1303077218533416960/dzzz42RE_normal.jpg</v>
      </c>
      <c r="W1285" s="83">
        <v>44465.594155092593</v>
      </c>
      <c r="X1285" s="89">
        <v>44465</v>
      </c>
      <c r="Y1285" s="86" t="s">
        <v>1512</v>
      </c>
      <c r="Z1285" s="84" t="str">
        <f>HYPERLINK("https://twitter.com/r1000nobrega/status/1442130734131654661")</f>
        <v>https://twitter.com/r1000nobrega/status/1442130734131654661</v>
      </c>
      <c r="AA1285" s="81"/>
      <c r="AB1285" s="81"/>
      <c r="AC1285" s="86" t="s">
        <v>7180</v>
      </c>
      <c r="AD1285" s="81"/>
      <c r="AE1285" s="81" t="b">
        <v>0</v>
      </c>
      <c r="AF1285" s="81">
        <v>0</v>
      </c>
      <c r="AG1285" s="86" t="s">
        <v>2084</v>
      </c>
      <c r="AH1285" s="81" t="b">
        <v>0</v>
      </c>
      <c r="AI1285" s="81" t="s">
        <v>2171</v>
      </c>
      <c r="AJ1285" s="81"/>
      <c r="AK1285" s="86" t="s">
        <v>2084</v>
      </c>
      <c r="AL1285" s="81" t="b">
        <v>0</v>
      </c>
      <c r="AM1285" s="81">
        <v>255</v>
      </c>
      <c r="AN1285" s="86" t="s">
        <v>7543</v>
      </c>
      <c r="AO1285" s="86" t="s">
        <v>2178</v>
      </c>
      <c r="AP1285" s="81" t="b">
        <v>0</v>
      </c>
      <c r="AQ1285" s="86" t="s">
        <v>7543</v>
      </c>
      <c r="AR1285" s="81" t="s">
        <v>179</v>
      </c>
      <c r="AS1285" s="81">
        <v>0</v>
      </c>
      <c r="AT1285" s="81">
        <v>0</v>
      </c>
      <c r="AU1285" s="81"/>
      <c r="AV1285" s="81"/>
      <c r="AW1285" s="81"/>
      <c r="AX1285" s="81"/>
      <c r="AY1285" s="81"/>
      <c r="AZ1285" s="81"/>
      <c r="BA1285" s="81"/>
      <c r="BB1285" s="81"/>
    </row>
    <row r="1286" spans="1:54" x14ac:dyDescent="0.35">
      <c r="A1286" s="66" t="s">
        <v>4621</v>
      </c>
      <c r="B1286" s="66" t="s">
        <v>4944</v>
      </c>
      <c r="C1286" s="67"/>
      <c r="D1286" s="68"/>
      <c r="E1286" s="69"/>
      <c r="F1286" s="70"/>
      <c r="G1286" s="67"/>
      <c r="H1286" s="71"/>
      <c r="I1286" s="72"/>
      <c r="J1286" s="72"/>
      <c r="K1286" s="36"/>
      <c r="L1286" s="79"/>
      <c r="M1286" s="79"/>
      <c r="N1286" s="74"/>
      <c r="O1286" s="81" t="s">
        <v>693</v>
      </c>
      <c r="P1286" s="83">
        <v>44465.594629629632</v>
      </c>
      <c r="Q1286" s="81" t="s">
        <v>5505</v>
      </c>
      <c r="R1286" s="81"/>
      <c r="S1286" s="81"/>
      <c r="T1286" s="81"/>
      <c r="U1286" s="81"/>
      <c r="V1286" s="84" t="str">
        <f>HYPERLINK("https://pbs.twimg.com/profile_images/1157805403/eu_praiana_normal.jpg")</f>
        <v>https://pbs.twimg.com/profile_images/1157805403/eu_praiana_normal.jpg</v>
      </c>
      <c r="W1286" s="83">
        <v>44465.594629629632</v>
      </c>
      <c r="X1286" s="89">
        <v>44465</v>
      </c>
      <c r="Y1286" s="86" t="s">
        <v>6267</v>
      </c>
      <c r="Z1286" s="84" t="str">
        <f>HYPERLINK("https://twitter.com/sylviofreitas/status/1442130908870492169")</f>
        <v>https://twitter.com/sylviofreitas/status/1442130908870492169</v>
      </c>
      <c r="AA1286" s="81"/>
      <c r="AB1286" s="81"/>
      <c r="AC1286" s="86" t="s">
        <v>7181</v>
      </c>
      <c r="AD1286" s="81"/>
      <c r="AE1286" s="81" t="b">
        <v>0</v>
      </c>
      <c r="AF1286" s="81">
        <v>0</v>
      </c>
      <c r="AG1286" s="86" t="s">
        <v>2084</v>
      </c>
      <c r="AH1286" s="81" t="b">
        <v>0</v>
      </c>
      <c r="AI1286" s="81" t="s">
        <v>2171</v>
      </c>
      <c r="AJ1286" s="81"/>
      <c r="AK1286" s="86" t="s">
        <v>2084</v>
      </c>
      <c r="AL1286" s="81" t="b">
        <v>0</v>
      </c>
      <c r="AM1286" s="81">
        <v>255</v>
      </c>
      <c r="AN1286" s="86" t="s">
        <v>7543</v>
      </c>
      <c r="AO1286" s="86" t="s">
        <v>2178</v>
      </c>
      <c r="AP1286" s="81" t="b">
        <v>0</v>
      </c>
      <c r="AQ1286" s="86" t="s">
        <v>7543</v>
      </c>
      <c r="AR1286" s="81" t="s">
        <v>179</v>
      </c>
      <c r="AS1286" s="81">
        <v>0</v>
      </c>
      <c r="AT1286" s="81">
        <v>0</v>
      </c>
      <c r="AU1286" s="81"/>
      <c r="AV1286" s="81"/>
      <c r="AW1286" s="81"/>
      <c r="AX1286" s="81"/>
      <c r="AY1286" s="81"/>
      <c r="AZ1286" s="81"/>
      <c r="BA1286" s="81"/>
      <c r="BB1286" s="81"/>
    </row>
    <row r="1287" spans="1:54" x14ac:dyDescent="0.35">
      <c r="A1287" s="66" t="s">
        <v>4622</v>
      </c>
      <c r="B1287" s="66" t="s">
        <v>4944</v>
      </c>
      <c r="C1287" s="67"/>
      <c r="D1287" s="68"/>
      <c r="E1287" s="69"/>
      <c r="F1287" s="70"/>
      <c r="G1287" s="67"/>
      <c r="H1287" s="71"/>
      <c r="I1287" s="72"/>
      <c r="J1287" s="72"/>
      <c r="K1287" s="36"/>
      <c r="L1287" s="79"/>
      <c r="M1287" s="79"/>
      <c r="N1287" s="74"/>
      <c r="O1287" s="81" t="s">
        <v>693</v>
      </c>
      <c r="P1287" s="83">
        <v>44465.594664351855</v>
      </c>
      <c r="Q1287" s="81" t="s">
        <v>5505</v>
      </c>
      <c r="R1287" s="81"/>
      <c r="S1287" s="81"/>
      <c r="T1287" s="81"/>
      <c r="U1287" s="81"/>
      <c r="V1287" s="84" t="str">
        <f>HYPERLINK("https://pbs.twimg.com/profile_images/1439971253176176642/0E1_oEll_normal.jpg")</f>
        <v>https://pbs.twimg.com/profile_images/1439971253176176642/0E1_oEll_normal.jpg</v>
      </c>
      <c r="W1287" s="83">
        <v>44465.594664351855</v>
      </c>
      <c r="X1287" s="89">
        <v>44465</v>
      </c>
      <c r="Y1287" s="86" t="s">
        <v>6268</v>
      </c>
      <c r="Z1287" s="84" t="str">
        <f>HYPERLINK("https://twitter.com/esequiaspierre/status/1442130920933404675")</f>
        <v>https://twitter.com/esequiaspierre/status/1442130920933404675</v>
      </c>
      <c r="AA1287" s="81"/>
      <c r="AB1287" s="81"/>
      <c r="AC1287" s="86" t="s">
        <v>7182</v>
      </c>
      <c r="AD1287" s="81"/>
      <c r="AE1287" s="81" t="b">
        <v>0</v>
      </c>
      <c r="AF1287" s="81">
        <v>0</v>
      </c>
      <c r="AG1287" s="86" t="s">
        <v>2084</v>
      </c>
      <c r="AH1287" s="81" t="b">
        <v>0</v>
      </c>
      <c r="AI1287" s="81" t="s">
        <v>2171</v>
      </c>
      <c r="AJ1287" s="81"/>
      <c r="AK1287" s="86" t="s">
        <v>2084</v>
      </c>
      <c r="AL1287" s="81" t="b">
        <v>0</v>
      </c>
      <c r="AM1287" s="81">
        <v>255</v>
      </c>
      <c r="AN1287" s="86" t="s">
        <v>7543</v>
      </c>
      <c r="AO1287" s="86" t="s">
        <v>2181</v>
      </c>
      <c r="AP1287" s="81" t="b">
        <v>0</v>
      </c>
      <c r="AQ1287" s="86" t="s">
        <v>7543</v>
      </c>
      <c r="AR1287" s="81" t="s">
        <v>179</v>
      </c>
      <c r="AS1287" s="81">
        <v>0</v>
      </c>
      <c r="AT1287" s="81">
        <v>0</v>
      </c>
      <c r="AU1287" s="81"/>
      <c r="AV1287" s="81"/>
      <c r="AW1287" s="81"/>
      <c r="AX1287" s="81"/>
      <c r="AY1287" s="81"/>
      <c r="AZ1287" s="81"/>
      <c r="BA1287" s="81"/>
      <c r="BB1287" s="81"/>
    </row>
    <row r="1288" spans="1:54" x14ac:dyDescent="0.35">
      <c r="A1288" s="66" t="s">
        <v>4623</v>
      </c>
      <c r="B1288" s="66" t="s">
        <v>4944</v>
      </c>
      <c r="C1288" s="67"/>
      <c r="D1288" s="68"/>
      <c r="E1288" s="69"/>
      <c r="F1288" s="70"/>
      <c r="G1288" s="67"/>
      <c r="H1288" s="71"/>
      <c r="I1288" s="72"/>
      <c r="J1288" s="72"/>
      <c r="K1288" s="36"/>
      <c r="L1288" s="79"/>
      <c r="M1288" s="79"/>
      <c r="N1288" s="74"/>
      <c r="O1288" s="81" t="s">
        <v>693</v>
      </c>
      <c r="P1288" s="83">
        <v>44465.597569444442</v>
      </c>
      <c r="Q1288" s="81" t="s">
        <v>5505</v>
      </c>
      <c r="R1288" s="81"/>
      <c r="S1288" s="81"/>
      <c r="T1288" s="81"/>
      <c r="U1288" s="81"/>
      <c r="V1288" s="84" t="str">
        <f>HYPERLINK("https://pbs.twimg.com/profile_images/1274809568112136193/Glu87dIW_normal.jpg")</f>
        <v>https://pbs.twimg.com/profile_images/1274809568112136193/Glu87dIW_normal.jpg</v>
      </c>
      <c r="W1288" s="83">
        <v>44465.597569444442</v>
      </c>
      <c r="X1288" s="89">
        <v>44465</v>
      </c>
      <c r="Y1288" s="86" t="s">
        <v>6269</v>
      </c>
      <c r="Z1288" s="84" t="str">
        <f>HYPERLINK("https://twitter.com/emillyluh/status/1442131973980311564")</f>
        <v>https://twitter.com/emillyluh/status/1442131973980311564</v>
      </c>
      <c r="AA1288" s="81"/>
      <c r="AB1288" s="81"/>
      <c r="AC1288" s="86" t="s">
        <v>7183</v>
      </c>
      <c r="AD1288" s="81"/>
      <c r="AE1288" s="81" t="b">
        <v>0</v>
      </c>
      <c r="AF1288" s="81">
        <v>0</v>
      </c>
      <c r="AG1288" s="86" t="s">
        <v>2084</v>
      </c>
      <c r="AH1288" s="81" t="b">
        <v>0</v>
      </c>
      <c r="AI1288" s="81" t="s">
        <v>2171</v>
      </c>
      <c r="AJ1288" s="81"/>
      <c r="AK1288" s="86" t="s">
        <v>2084</v>
      </c>
      <c r="AL1288" s="81" t="b">
        <v>0</v>
      </c>
      <c r="AM1288" s="81">
        <v>255</v>
      </c>
      <c r="AN1288" s="86" t="s">
        <v>7543</v>
      </c>
      <c r="AO1288" s="86" t="s">
        <v>2179</v>
      </c>
      <c r="AP1288" s="81" t="b">
        <v>0</v>
      </c>
      <c r="AQ1288" s="86" t="s">
        <v>7543</v>
      </c>
      <c r="AR1288" s="81" t="s">
        <v>179</v>
      </c>
      <c r="AS1288" s="81">
        <v>0</v>
      </c>
      <c r="AT1288" s="81">
        <v>0</v>
      </c>
      <c r="AU1288" s="81"/>
      <c r="AV1288" s="81"/>
      <c r="AW1288" s="81"/>
      <c r="AX1288" s="81"/>
      <c r="AY1288" s="81"/>
      <c r="AZ1288" s="81"/>
      <c r="BA1288" s="81"/>
      <c r="BB1288" s="81"/>
    </row>
    <row r="1289" spans="1:54" x14ac:dyDescent="0.35">
      <c r="A1289" s="66" t="s">
        <v>4624</v>
      </c>
      <c r="B1289" s="66" t="s">
        <v>4944</v>
      </c>
      <c r="C1289" s="67"/>
      <c r="D1289" s="68"/>
      <c r="E1289" s="69"/>
      <c r="F1289" s="70"/>
      <c r="G1289" s="67"/>
      <c r="H1289" s="71"/>
      <c r="I1289" s="72"/>
      <c r="J1289" s="72"/>
      <c r="K1289" s="36"/>
      <c r="L1289" s="79"/>
      <c r="M1289" s="79"/>
      <c r="N1289" s="74"/>
      <c r="O1289" s="81" t="s">
        <v>693</v>
      </c>
      <c r="P1289" s="83">
        <v>44465.600208333337</v>
      </c>
      <c r="Q1289" s="81" t="s">
        <v>5505</v>
      </c>
      <c r="R1289" s="81"/>
      <c r="S1289" s="81"/>
      <c r="T1289" s="81"/>
      <c r="U1289" s="81"/>
      <c r="V1289" s="84" t="str">
        <f>HYPERLINK("https://pbs.twimg.com/profile_images/1379097005318930432/J62hc51o_normal.jpg")</f>
        <v>https://pbs.twimg.com/profile_images/1379097005318930432/J62hc51o_normal.jpg</v>
      </c>
      <c r="W1289" s="83">
        <v>44465.600208333337</v>
      </c>
      <c r="X1289" s="89">
        <v>44465</v>
      </c>
      <c r="Y1289" s="86" t="s">
        <v>6270</v>
      </c>
      <c r="Z1289" s="84" t="str">
        <f>HYPERLINK("https://twitter.com/arrobanmg/status/1442132927693742089")</f>
        <v>https://twitter.com/arrobanmg/status/1442132927693742089</v>
      </c>
      <c r="AA1289" s="81"/>
      <c r="AB1289" s="81"/>
      <c r="AC1289" s="86" t="s">
        <v>7184</v>
      </c>
      <c r="AD1289" s="81"/>
      <c r="AE1289" s="81" t="b">
        <v>0</v>
      </c>
      <c r="AF1289" s="81">
        <v>0</v>
      </c>
      <c r="AG1289" s="86" t="s">
        <v>2084</v>
      </c>
      <c r="AH1289" s="81" t="b">
        <v>0</v>
      </c>
      <c r="AI1289" s="81" t="s">
        <v>2171</v>
      </c>
      <c r="AJ1289" s="81"/>
      <c r="AK1289" s="86" t="s">
        <v>2084</v>
      </c>
      <c r="AL1289" s="81" t="b">
        <v>0</v>
      </c>
      <c r="AM1289" s="81">
        <v>255</v>
      </c>
      <c r="AN1289" s="86" t="s">
        <v>7543</v>
      </c>
      <c r="AO1289" s="86" t="s">
        <v>2179</v>
      </c>
      <c r="AP1289" s="81" t="b">
        <v>0</v>
      </c>
      <c r="AQ1289" s="86" t="s">
        <v>7543</v>
      </c>
      <c r="AR1289" s="81" t="s">
        <v>179</v>
      </c>
      <c r="AS1289" s="81">
        <v>0</v>
      </c>
      <c r="AT1289" s="81">
        <v>0</v>
      </c>
      <c r="AU1289" s="81"/>
      <c r="AV1289" s="81"/>
      <c r="AW1289" s="81"/>
      <c r="AX1289" s="81"/>
      <c r="AY1289" s="81"/>
      <c r="AZ1289" s="81"/>
      <c r="BA1289" s="81"/>
      <c r="BB1289" s="81"/>
    </row>
    <row r="1290" spans="1:54" x14ac:dyDescent="0.35">
      <c r="A1290" s="66" t="s">
        <v>4625</v>
      </c>
      <c r="B1290" s="66" t="s">
        <v>4944</v>
      </c>
      <c r="C1290" s="67"/>
      <c r="D1290" s="68"/>
      <c r="E1290" s="69"/>
      <c r="F1290" s="70"/>
      <c r="G1290" s="67"/>
      <c r="H1290" s="71"/>
      <c r="I1290" s="72"/>
      <c r="J1290" s="72"/>
      <c r="K1290" s="36"/>
      <c r="L1290" s="79"/>
      <c r="M1290" s="79"/>
      <c r="N1290" s="74"/>
      <c r="O1290" s="81" t="s">
        <v>693</v>
      </c>
      <c r="P1290" s="83">
        <v>44465.600277777776</v>
      </c>
      <c r="Q1290" s="81" t="s">
        <v>5505</v>
      </c>
      <c r="R1290" s="81"/>
      <c r="S1290" s="81"/>
      <c r="T1290" s="81"/>
      <c r="U1290" s="81"/>
      <c r="V1290" s="84" t="str">
        <f>HYPERLINK("https://pbs.twimg.com/profile_images/1435004096176611335/ie4YdEMJ_normal.jpg")</f>
        <v>https://pbs.twimg.com/profile_images/1435004096176611335/ie4YdEMJ_normal.jpg</v>
      </c>
      <c r="W1290" s="83">
        <v>44465.600277777776</v>
      </c>
      <c r="X1290" s="89">
        <v>44465</v>
      </c>
      <c r="Y1290" s="86" t="s">
        <v>6271</v>
      </c>
      <c r="Z1290" s="84" t="str">
        <f>HYPERLINK("https://twitter.com/malusntssz/status/1442132955053371396")</f>
        <v>https://twitter.com/malusntssz/status/1442132955053371396</v>
      </c>
      <c r="AA1290" s="81"/>
      <c r="AB1290" s="81"/>
      <c r="AC1290" s="86" t="s">
        <v>7185</v>
      </c>
      <c r="AD1290" s="81"/>
      <c r="AE1290" s="81" t="b">
        <v>0</v>
      </c>
      <c r="AF1290" s="81">
        <v>0</v>
      </c>
      <c r="AG1290" s="86" t="s">
        <v>2084</v>
      </c>
      <c r="AH1290" s="81" t="b">
        <v>0</v>
      </c>
      <c r="AI1290" s="81" t="s">
        <v>2171</v>
      </c>
      <c r="AJ1290" s="81"/>
      <c r="AK1290" s="86" t="s">
        <v>2084</v>
      </c>
      <c r="AL1290" s="81" t="b">
        <v>0</v>
      </c>
      <c r="AM1290" s="81">
        <v>255</v>
      </c>
      <c r="AN1290" s="86" t="s">
        <v>7543</v>
      </c>
      <c r="AO1290" s="86" t="s">
        <v>2179</v>
      </c>
      <c r="AP1290" s="81" t="b">
        <v>0</v>
      </c>
      <c r="AQ1290" s="86" t="s">
        <v>7543</v>
      </c>
      <c r="AR1290" s="81" t="s">
        <v>179</v>
      </c>
      <c r="AS1290" s="81">
        <v>0</v>
      </c>
      <c r="AT1290" s="81">
        <v>0</v>
      </c>
      <c r="AU1290" s="81"/>
      <c r="AV1290" s="81"/>
      <c r="AW1290" s="81"/>
      <c r="AX1290" s="81"/>
      <c r="AY1290" s="81"/>
      <c r="AZ1290" s="81"/>
      <c r="BA1290" s="81"/>
      <c r="BB1290" s="81"/>
    </row>
    <row r="1291" spans="1:54" x14ac:dyDescent="0.35">
      <c r="A1291" s="66" t="s">
        <v>4626</v>
      </c>
      <c r="B1291" s="66" t="s">
        <v>4944</v>
      </c>
      <c r="C1291" s="67"/>
      <c r="D1291" s="68"/>
      <c r="E1291" s="69"/>
      <c r="F1291" s="70"/>
      <c r="G1291" s="67"/>
      <c r="H1291" s="71"/>
      <c r="I1291" s="72"/>
      <c r="J1291" s="72"/>
      <c r="K1291" s="36"/>
      <c r="L1291" s="79"/>
      <c r="M1291" s="79"/>
      <c r="N1291" s="74"/>
      <c r="O1291" s="81" t="s">
        <v>693</v>
      </c>
      <c r="P1291" s="83">
        <v>44465.601319444446</v>
      </c>
      <c r="Q1291" s="81" t="s">
        <v>5505</v>
      </c>
      <c r="R1291" s="81"/>
      <c r="S1291" s="81"/>
      <c r="T1291" s="81"/>
      <c r="U1291" s="81"/>
      <c r="V1291" s="84" t="str">
        <f>HYPERLINK("https://pbs.twimg.com/profile_images/1273040121202454528/cOztF564_normal.jpg")</f>
        <v>https://pbs.twimg.com/profile_images/1273040121202454528/cOztF564_normal.jpg</v>
      </c>
      <c r="W1291" s="83">
        <v>44465.601319444446</v>
      </c>
      <c r="X1291" s="89">
        <v>44465</v>
      </c>
      <c r="Y1291" s="86" t="s">
        <v>6272</v>
      </c>
      <c r="Z1291" s="84" t="str">
        <f>HYPERLINK("https://twitter.com/paulopaulada39/status/1442133333052329989")</f>
        <v>https://twitter.com/paulopaulada39/status/1442133333052329989</v>
      </c>
      <c r="AA1291" s="81"/>
      <c r="AB1291" s="81"/>
      <c r="AC1291" s="86" t="s">
        <v>7186</v>
      </c>
      <c r="AD1291" s="81"/>
      <c r="AE1291" s="81" t="b">
        <v>0</v>
      </c>
      <c r="AF1291" s="81">
        <v>0</v>
      </c>
      <c r="AG1291" s="86" t="s">
        <v>2084</v>
      </c>
      <c r="AH1291" s="81" t="b">
        <v>0</v>
      </c>
      <c r="AI1291" s="81" t="s">
        <v>2171</v>
      </c>
      <c r="AJ1291" s="81"/>
      <c r="AK1291" s="86" t="s">
        <v>2084</v>
      </c>
      <c r="AL1291" s="81" t="b">
        <v>0</v>
      </c>
      <c r="AM1291" s="81">
        <v>255</v>
      </c>
      <c r="AN1291" s="86" t="s">
        <v>7543</v>
      </c>
      <c r="AO1291" s="86" t="s">
        <v>2179</v>
      </c>
      <c r="AP1291" s="81" t="b">
        <v>0</v>
      </c>
      <c r="AQ1291" s="86" t="s">
        <v>7543</v>
      </c>
      <c r="AR1291" s="81" t="s">
        <v>179</v>
      </c>
      <c r="AS1291" s="81">
        <v>0</v>
      </c>
      <c r="AT1291" s="81">
        <v>0</v>
      </c>
      <c r="AU1291" s="81"/>
      <c r="AV1291" s="81"/>
      <c r="AW1291" s="81"/>
      <c r="AX1291" s="81"/>
      <c r="AY1291" s="81"/>
      <c r="AZ1291" s="81"/>
      <c r="BA1291" s="81"/>
      <c r="BB1291" s="81"/>
    </row>
    <row r="1292" spans="1:54" x14ac:dyDescent="0.35">
      <c r="A1292" s="66" t="s">
        <v>4628</v>
      </c>
      <c r="B1292" s="66" t="s">
        <v>4628</v>
      </c>
      <c r="C1292" s="67"/>
      <c r="D1292" s="68"/>
      <c r="E1292" s="69"/>
      <c r="F1292" s="70"/>
      <c r="G1292" s="67"/>
      <c r="H1292" s="71"/>
      <c r="I1292" s="72"/>
      <c r="J1292" s="72"/>
      <c r="K1292" s="36"/>
      <c r="L1292" s="79"/>
      <c r="M1292" s="79"/>
      <c r="N1292" s="74"/>
      <c r="O1292" s="81" t="s">
        <v>179</v>
      </c>
      <c r="P1292" s="83">
        <v>44465.603414351855</v>
      </c>
      <c r="Q1292" s="81" t="s">
        <v>5509</v>
      </c>
      <c r="R1292" s="84" t="str">
        <f>HYPERLINK("https://blogue.rbe.mec.pt/a-escola-no-pos-pandemia-2501977")</f>
        <v>https://blogue.rbe.mec.pt/a-escola-no-pos-pandemia-2501977</v>
      </c>
      <c r="S1292" s="81" t="s">
        <v>5737</v>
      </c>
      <c r="T1292" s="81"/>
      <c r="U1292" s="81"/>
      <c r="V1292" s="84" t="str">
        <f>HYPERLINK("https://abs.twimg.com/sticky/default_profile_images/default_profile_normal.png")</f>
        <v>https://abs.twimg.com/sticky/default_profile_images/default_profile_normal.png</v>
      </c>
      <c r="W1292" s="83">
        <v>44465.603414351855</v>
      </c>
      <c r="X1292" s="89">
        <v>44465</v>
      </c>
      <c r="Y1292" s="86" t="s">
        <v>6274</v>
      </c>
      <c r="Z1292" s="84" t="str">
        <f>HYPERLINK("https://twitter.com/liliana37799256/status/1442134092137447432")</f>
        <v>https://twitter.com/liliana37799256/status/1442134092137447432</v>
      </c>
      <c r="AA1292" s="81"/>
      <c r="AB1292" s="81"/>
      <c r="AC1292" s="86" t="s">
        <v>7188</v>
      </c>
      <c r="AD1292" s="81"/>
      <c r="AE1292" s="81" t="b">
        <v>0</v>
      </c>
      <c r="AF1292" s="81">
        <v>1</v>
      </c>
      <c r="AG1292" s="86" t="s">
        <v>2084</v>
      </c>
      <c r="AH1292" s="81" t="b">
        <v>0</v>
      </c>
      <c r="AI1292" s="81" t="s">
        <v>2171</v>
      </c>
      <c r="AJ1292" s="81"/>
      <c r="AK1292" s="86" t="s">
        <v>2084</v>
      </c>
      <c r="AL1292" s="81" t="b">
        <v>0</v>
      </c>
      <c r="AM1292" s="81">
        <v>0</v>
      </c>
      <c r="AN1292" s="86" t="s">
        <v>2084</v>
      </c>
      <c r="AO1292" s="86" t="s">
        <v>2181</v>
      </c>
      <c r="AP1292" s="81" t="b">
        <v>0</v>
      </c>
      <c r="AQ1292" s="86" t="s">
        <v>7188</v>
      </c>
      <c r="AR1292" s="81" t="s">
        <v>179</v>
      </c>
      <c r="AS1292" s="81">
        <v>0</v>
      </c>
      <c r="AT1292" s="81">
        <v>0</v>
      </c>
      <c r="AU1292" s="81"/>
      <c r="AV1292" s="81"/>
      <c r="AW1292" s="81"/>
      <c r="AX1292" s="81"/>
      <c r="AY1292" s="81"/>
      <c r="AZ1292" s="81"/>
      <c r="BA1292" s="81"/>
      <c r="BB1292" s="81"/>
    </row>
    <row r="1293" spans="1:54" x14ac:dyDescent="0.35">
      <c r="A1293" s="66" t="s">
        <v>4629</v>
      </c>
      <c r="B1293" s="66" t="s">
        <v>4944</v>
      </c>
      <c r="C1293" s="67"/>
      <c r="D1293" s="68"/>
      <c r="E1293" s="69"/>
      <c r="F1293" s="70"/>
      <c r="G1293" s="67"/>
      <c r="H1293" s="71"/>
      <c r="I1293" s="72"/>
      <c r="J1293" s="72"/>
      <c r="K1293" s="36"/>
      <c r="L1293" s="79"/>
      <c r="M1293" s="79"/>
      <c r="N1293" s="74"/>
      <c r="O1293" s="81" t="s">
        <v>693</v>
      </c>
      <c r="P1293" s="83">
        <v>44465.606886574074</v>
      </c>
      <c r="Q1293" s="81" t="s">
        <v>5505</v>
      </c>
      <c r="R1293" s="81"/>
      <c r="S1293" s="81"/>
      <c r="T1293" s="81"/>
      <c r="U1293" s="81"/>
      <c r="V1293" s="84" t="str">
        <f>HYPERLINK("https://pbs.twimg.com/profile_images/977574551369469954/LLn71PA5_normal.jpg")</f>
        <v>https://pbs.twimg.com/profile_images/977574551369469954/LLn71PA5_normal.jpg</v>
      </c>
      <c r="W1293" s="83">
        <v>44465.606886574074</v>
      </c>
      <c r="X1293" s="89">
        <v>44465</v>
      </c>
      <c r="Y1293" s="86" t="s">
        <v>6275</v>
      </c>
      <c r="Z1293" s="84" t="str">
        <f>HYPERLINK("https://twitter.com/paulinobrandim/status/1442135349354852358")</f>
        <v>https://twitter.com/paulinobrandim/status/1442135349354852358</v>
      </c>
      <c r="AA1293" s="81"/>
      <c r="AB1293" s="81"/>
      <c r="AC1293" s="86" t="s">
        <v>7189</v>
      </c>
      <c r="AD1293" s="81"/>
      <c r="AE1293" s="81" t="b">
        <v>0</v>
      </c>
      <c r="AF1293" s="81">
        <v>0</v>
      </c>
      <c r="AG1293" s="86" t="s">
        <v>2084</v>
      </c>
      <c r="AH1293" s="81" t="b">
        <v>0</v>
      </c>
      <c r="AI1293" s="81" t="s">
        <v>2171</v>
      </c>
      <c r="AJ1293" s="81"/>
      <c r="AK1293" s="86" t="s">
        <v>2084</v>
      </c>
      <c r="AL1293" s="81" t="b">
        <v>0</v>
      </c>
      <c r="AM1293" s="81">
        <v>255</v>
      </c>
      <c r="AN1293" s="86" t="s">
        <v>7543</v>
      </c>
      <c r="AO1293" s="86" t="s">
        <v>2178</v>
      </c>
      <c r="AP1293" s="81" t="b">
        <v>0</v>
      </c>
      <c r="AQ1293" s="86" t="s">
        <v>7543</v>
      </c>
      <c r="AR1293" s="81" t="s">
        <v>179</v>
      </c>
      <c r="AS1293" s="81">
        <v>0</v>
      </c>
      <c r="AT1293" s="81">
        <v>0</v>
      </c>
      <c r="AU1293" s="81"/>
      <c r="AV1293" s="81"/>
      <c r="AW1293" s="81"/>
      <c r="AX1293" s="81"/>
      <c r="AY1293" s="81"/>
      <c r="AZ1293" s="81"/>
      <c r="BA1293" s="81"/>
      <c r="BB1293" s="81"/>
    </row>
    <row r="1294" spans="1:54" x14ac:dyDescent="0.35">
      <c r="A1294" s="66" t="s">
        <v>4630</v>
      </c>
      <c r="B1294" s="66" t="s">
        <v>4944</v>
      </c>
      <c r="C1294" s="67"/>
      <c r="D1294" s="68"/>
      <c r="E1294" s="69"/>
      <c r="F1294" s="70"/>
      <c r="G1294" s="67"/>
      <c r="H1294" s="71"/>
      <c r="I1294" s="72"/>
      <c r="J1294" s="72"/>
      <c r="K1294" s="36"/>
      <c r="L1294" s="79"/>
      <c r="M1294" s="79"/>
      <c r="N1294" s="74"/>
      <c r="O1294" s="81" t="s">
        <v>693</v>
      </c>
      <c r="P1294" s="83">
        <v>44465.60738425926</v>
      </c>
      <c r="Q1294" s="81" t="s">
        <v>5505</v>
      </c>
      <c r="R1294" s="81"/>
      <c r="S1294" s="81"/>
      <c r="T1294" s="81"/>
      <c r="U1294" s="81"/>
      <c r="V1294" s="84" t="str">
        <f>HYPERLINK("https://pbs.twimg.com/profile_images/839284051173330944/Qskp9G6A_normal.jpg")</f>
        <v>https://pbs.twimg.com/profile_images/839284051173330944/Qskp9G6A_normal.jpg</v>
      </c>
      <c r="W1294" s="83">
        <v>44465.60738425926</v>
      </c>
      <c r="X1294" s="89">
        <v>44465</v>
      </c>
      <c r="Y1294" s="86" t="s">
        <v>6276</v>
      </c>
      <c r="Z1294" s="84" t="str">
        <f>HYPERLINK("https://twitter.com/matsia_/status/1442135528334401536")</f>
        <v>https://twitter.com/matsia_/status/1442135528334401536</v>
      </c>
      <c r="AA1294" s="81"/>
      <c r="AB1294" s="81"/>
      <c r="AC1294" s="86" t="s">
        <v>7190</v>
      </c>
      <c r="AD1294" s="81"/>
      <c r="AE1294" s="81" t="b">
        <v>0</v>
      </c>
      <c r="AF1294" s="81">
        <v>0</v>
      </c>
      <c r="AG1294" s="86" t="s">
        <v>2084</v>
      </c>
      <c r="AH1294" s="81" t="b">
        <v>0</v>
      </c>
      <c r="AI1294" s="81" t="s">
        <v>2171</v>
      </c>
      <c r="AJ1294" s="81"/>
      <c r="AK1294" s="86" t="s">
        <v>2084</v>
      </c>
      <c r="AL1294" s="81" t="b">
        <v>0</v>
      </c>
      <c r="AM1294" s="81">
        <v>255</v>
      </c>
      <c r="AN1294" s="86" t="s">
        <v>7543</v>
      </c>
      <c r="AO1294" s="86" t="s">
        <v>2178</v>
      </c>
      <c r="AP1294" s="81" t="b">
        <v>0</v>
      </c>
      <c r="AQ1294" s="86" t="s">
        <v>7543</v>
      </c>
      <c r="AR1294" s="81" t="s">
        <v>179</v>
      </c>
      <c r="AS1294" s="81">
        <v>0</v>
      </c>
      <c r="AT1294" s="81">
        <v>0</v>
      </c>
      <c r="AU1294" s="81"/>
      <c r="AV1294" s="81"/>
      <c r="AW1294" s="81"/>
      <c r="AX1294" s="81"/>
      <c r="AY1294" s="81"/>
      <c r="AZ1294" s="81"/>
      <c r="BA1294" s="81"/>
      <c r="BB1294" s="81"/>
    </row>
    <row r="1295" spans="1:54" x14ac:dyDescent="0.35">
      <c r="A1295" s="66" t="s">
        <v>4631</v>
      </c>
      <c r="B1295" s="66" t="s">
        <v>4944</v>
      </c>
      <c r="C1295" s="67"/>
      <c r="D1295" s="68"/>
      <c r="E1295" s="69"/>
      <c r="F1295" s="70"/>
      <c r="G1295" s="67"/>
      <c r="H1295" s="71"/>
      <c r="I1295" s="72"/>
      <c r="J1295" s="72"/>
      <c r="K1295" s="36"/>
      <c r="L1295" s="79"/>
      <c r="M1295" s="79"/>
      <c r="N1295" s="74"/>
      <c r="O1295" s="81" t="s">
        <v>693</v>
      </c>
      <c r="P1295" s="83">
        <v>44465.607824074075</v>
      </c>
      <c r="Q1295" s="81" t="s">
        <v>5505</v>
      </c>
      <c r="R1295" s="81"/>
      <c r="S1295" s="81"/>
      <c r="T1295" s="81"/>
      <c r="U1295" s="81"/>
      <c r="V1295" s="84" t="str">
        <f>HYPERLINK("https://pbs.twimg.com/profile_images/1440008476588118022/uigeI4iN_normal.jpg")</f>
        <v>https://pbs.twimg.com/profile_images/1440008476588118022/uigeI4iN_normal.jpg</v>
      </c>
      <c r="W1295" s="83">
        <v>44465.607824074075</v>
      </c>
      <c r="X1295" s="89">
        <v>44465</v>
      </c>
      <c r="Y1295" s="86" t="s">
        <v>6277</v>
      </c>
      <c r="Z1295" s="84" t="str">
        <f>HYPERLINK("https://twitter.com/patricia_paes10/status/1442135689395523584")</f>
        <v>https://twitter.com/patricia_paes10/status/1442135689395523584</v>
      </c>
      <c r="AA1295" s="81"/>
      <c r="AB1295" s="81"/>
      <c r="AC1295" s="86" t="s">
        <v>7191</v>
      </c>
      <c r="AD1295" s="81"/>
      <c r="AE1295" s="81" t="b">
        <v>0</v>
      </c>
      <c r="AF1295" s="81">
        <v>0</v>
      </c>
      <c r="AG1295" s="86" t="s">
        <v>2084</v>
      </c>
      <c r="AH1295" s="81" t="b">
        <v>0</v>
      </c>
      <c r="AI1295" s="81" t="s">
        <v>2171</v>
      </c>
      <c r="AJ1295" s="81"/>
      <c r="AK1295" s="86" t="s">
        <v>2084</v>
      </c>
      <c r="AL1295" s="81" t="b">
        <v>0</v>
      </c>
      <c r="AM1295" s="81">
        <v>255</v>
      </c>
      <c r="AN1295" s="86" t="s">
        <v>7543</v>
      </c>
      <c r="AO1295" s="86" t="s">
        <v>2178</v>
      </c>
      <c r="AP1295" s="81" t="b">
        <v>0</v>
      </c>
      <c r="AQ1295" s="86" t="s">
        <v>7543</v>
      </c>
      <c r="AR1295" s="81" t="s">
        <v>179</v>
      </c>
      <c r="AS1295" s="81">
        <v>0</v>
      </c>
      <c r="AT1295" s="81">
        <v>0</v>
      </c>
      <c r="AU1295" s="81"/>
      <c r="AV1295" s="81"/>
      <c r="AW1295" s="81"/>
      <c r="AX1295" s="81"/>
      <c r="AY1295" s="81"/>
      <c r="AZ1295" s="81"/>
      <c r="BA1295" s="81"/>
      <c r="BB1295" s="81"/>
    </row>
    <row r="1296" spans="1:54" x14ac:dyDescent="0.35">
      <c r="A1296" s="66" t="s">
        <v>4632</v>
      </c>
      <c r="B1296" s="66" t="s">
        <v>4944</v>
      </c>
      <c r="C1296" s="67"/>
      <c r="D1296" s="68"/>
      <c r="E1296" s="69"/>
      <c r="F1296" s="70"/>
      <c r="G1296" s="67"/>
      <c r="H1296" s="71"/>
      <c r="I1296" s="72"/>
      <c r="J1296" s="72"/>
      <c r="K1296" s="36"/>
      <c r="L1296" s="79"/>
      <c r="M1296" s="79"/>
      <c r="N1296" s="74"/>
      <c r="O1296" s="81" t="s">
        <v>693</v>
      </c>
      <c r="P1296" s="83">
        <v>44465.609305555554</v>
      </c>
      <c r="Q1296" s="81" t="s">
        <v>5505</v>
      </c>
      <c r="R1296" s="81"/>
      <c r="S1296" s="81"/>
      <c r="T1296" s="81"/>
      <c r="U1296" s="81"/>
      <c r="V1296" s="84" t="str">
        <f>HYPERLINK("https://pbs.twimg.com/profile_images/1186374912056934400/LdYImzmI_normal.jpg")</f>
        <v>https://pbs.twimg.com/profile_images/1186374912056934400/LdYImzmI_normal.jpg</v>
      </c>
      <c r="W1296" s="83">
        <v>44465.609305555554</v>
      </c>
      <c r="X1296" s="89">
        <v>44465</v>
      </c>
      <c r="Y1296" s="86" t="s">
        <v>6278</v>
      </c>
      <c r="Z1296" s="84" t="str">
        <f>HYPERLINK("https://twitter.com/ruialvesdasilv6/status/1442136227285807109")</f>
        <v>https://twitter.com/ruialvesdasilv6/status/1442136227285807109</v>
      </c>
      <c r="AA1296" s="81"/>
      <c r="AB1296" s="81"/>
      <c r="AC1296" s="86" t="s">
        <v>7192</v>
      </c>
      <c r="AD1296" s="81"/>
      <c r="AE1296" s="81" t="b">
        <v>0</v>
      </c>
      <c r="AF1296" s="81">
        <v>0</v>
      </c>
      <c r="AG1296" s="86" t="s">
        <v>2084</v>
      </c>
      <c r="AH1296" s="81" t="b">
        <v>0</v>
      </c>
      <c r="AI1296" s="81" t="s">
        <v>2171</v>
      </c>
      <c r="AJ1296" s="81"/>
      <c r="AK1296" s="86" t="s">
        <v>2084</v>
      </c>
      <c r="AL1296" s="81" t="b">
        <v>0</v>
      </c>
      <c r="AM1296" s="81">
        <v>255</v>
      </c>
      <c r="AN1296" s="86" t="s">
        <v>7543</v>
      </c>
      <c r="AO1296" s="86" t="s">
        <v>2181</v>
      </c>
      <c r="AP1296" s="81" t="b">
        <v>0</v>
      </c>
      <c r="AQ1296" s="86" t="s">
        <v>7543</v>
      </c>
      <c r="AR1296" s="81" t="s">
        <v>179</v>
      </c>
      <c r="AS1296" s="81">
        <v>0</v>
      </c>
      <c r="AT1296" s="81">
        <v>0</v>
      </c>
      <c r="AU1296" s="81"/>
      <c r="AV1296" s="81"/>
      <c r="AW1296" s="81"/>
      <c r="AX1296" s="81"/>
      <c r="AY1296" s="81"/>
      <c r="AZ1296" s="81"/>
      <c r="BA1296" s="81"/>
      <c r="BB1296" s="81"/>
    </row>
    <row r="1297" spans="1:54" x14ac:dyDescent="0.35">
      <c r="A1297" s="66" t="s">
        <v>4633</v>
      </c>
      <c r="B1297" s="66" t="s">
        <v>4633</v>
      </c>
      <c r="C1297" s="67"/>
      <c r="D1297" s="68"/>
      <c r="E1297" s="69"/>
      <c r="F1297" s="70"/>
      <c r="G1297" s="67"/>
      <c r="H1297" s="71"/>
      <c r="I1297" s="72"/>
      <c r="J1297" s="72"/>
      <c r="K1297" s="36"/>
      <c r="L1297" s="79"/>
      <c r="M1297" s="79"/>
      <c r="N1297" s="74"/>
      <c r="O1297" s="81" t="s">
        <v>179</v>
      </c>
      <c r="P1297" s="83">
        <v>44465.610335648147</v>
      </c>
      <c r="Q1297" s="81" t="s">
        <v>5510</v>
      </c>
      <c r="R1297" s="81"/>
      <c r="S1297" s="81"/>
      <c r="T1297" s="81"/>
      <c r="U1297" s="81"/>
      <c r="V1297" s="84" t="str">
        <f>HYPERLINK("https://pbs.twimg.com/profile_images/1420936856338845700/whNKYPe6_normal.jpg")</f>
        <v>https://pbs.twimg.com/profile_images/1420936856338845700/whNKYPe6_normal.jpg</v>
      </c>
      <c r="W1297" s="83">
        <v>44465.610335648147</v>
      </c>
      <c r="X1297" s="89">
        <v>44465</v>
      </c>
      <c r="Y1297" s="86" t="s">
        <v>6279</v>
      </c>
      <c r="Z1297" s="84" t="str">
        <f>HYPERLINK("https://twitter.com/psancandi/status/1442136598980661253")</f>
        <v>https://twitter.com/psancandi/status/1442136598980661253</v>
      </c>
      <c r="AA1297" s="81"/>
      <c r="AB1297" s="81"/>
      <c r="AC1297" s="86" t="s">
        <v>7193</v>
      </c>
      <c r="AD1297" s="81"/>
      <c r="AE1297" s="81" t="b">
        <v>0</v>
      </c>
      <c r="AF1297" s="81">
        <v>0</v>
      </c>
      <c r="AG1297" s="86" t="s">
        <v>2084</v>
      </c>
      <c r="AH1297" s="81" t="b">
        <v>0</v>
      </c>
      <c r="AI1297" s="81" t="s">
        <v>2171</v>
      </c>
      <c r="AJ1297" s="81"/>
      <c r="AK1297" s="86" t="s">
        <v>2084</v>
      </c>
      <c r="AL1297" s="81" t="b">
        <v>0</v>
      </c>
      <c r="AM1297" s="81">
        <v>0</v>
      </c>
      <c r="AN1297" s="86" t="s">
        <v>2084</v>
      </c>
      <c r="AO1297" s="86" t="s">
        <v>2179</v>
      </c>
      <c r="AP1297" s="81" t="b">
        <v>0</v>
      </c>
      <c r="AQ1297" s="86" t="s">
        <v>7193</v>
      </c>
      <c r="AR1297" s="81" t="s">
        <v>179</v>
      </c>
      <c r="AS1297" s="81">
        <v>0</v>
      </c>
      <c r="AT1297" s="81">
        <v>0</v>
      </c>
      <c r="AU1297" s="81"/>
      <c r="AV1297" s="81"/>
      <c r="AW1297" s="81"/>
      <c r="AX1297" s="81"/>
      <c r="AY1297" s="81"/>
      <c r="AZ1297" s="81"/>
      <c r="BA1297" s="81"/>
      <c r="BB1297" s="81"/>
    </row>
    <row r="1298" spans="1:54" x14ac:dyDescent="0.35">
      <c r="A1298" s="66" t="s">
        <v>4634</v>
      </c>
      <c r="B1298" s="66" t="s">
        <v>4944</v>
      </c>
      <c r="C1298" s="67"/>
      <c r="D1298" s="68"/>
      <c r="E1298" s="69"/>
      <c r="F1298" s="70"/>
      <c r="G1298" s="67"/>
      <c r="H1298" s="71"/>
      <c r="I1298" s="72"/>
      <c r="J1298" s="72"/>
      <c r="K1298" s="36"/>
      <c r="L1298" s="79"/>
      <c r="M1298" s="79"/>
      <c r="N1298" s="74"/>
      <c r="O1298" s="81" t="s">
        <v>693</v>
      </c>
      <c r="P1298" s="83">
        <v>44465.610532407409</v>
      </c>
      <c r="Q1298" s="81" t="s">
        <v>5505</v>
      </c>
      <c r="R1298" s="81"/>
      <c r="S1298" s="81"/>
      <c r="T1298" s="81"/>
      <c r="U1298" s="81"/>
      <c r="V1298" s="84" t="str">
        <f>HYPERLINK("https://pbs.twimg.com/profile_images/1191852952010592256/HRMrunGW_normal.jpg")</f>
        <v>https://pbs.twimg.com/profile_images/1191852952010592256/HRMrunGW_normal.jpg</v>
      </c>
      <c r="W1298" s="83">
        <v>44465.610532407409</v>
      </c>
      <c r="X1298" s="89">
        <v>44465</v>
      </c>
      <c r="Y1298" s="86" t="s">
        <v>6280</v>
      </c>
      <c r="Z1298" s="84" t="str">
        <f>HYPERLINK("https://twitter.com/duquegalvao/status/1442136668912291844")</f>
        <v>https://twitter.com/duquegalvao/status/1442136668912291844</v>
      </c>
      <c r="AA1298" s="81"/>
      <c r="AB1298" s="81"/>
      <c r="AC1298" s="86" t="s">
        <v>7194</v>
      </c>
      <c r="AD1298" s="81"/>
      <c r="AE1298" s="81" t="b">
        <v>0</v>
      </c>
      <c r="AF1298" s="81">
        <v>0</v>
      </c>
      <c r="AG1298" s="86" t="s">
        <v>2084</v>
      </c>
      <c r="AH1298" s="81" t="b">
        <v>0</v>
      </c>
      <c r="AI1298" s="81" t="s">
        <v>2171</v>
      </c>
      <c r="AJ1298" s="81"/>
      <c r="AK1298" s="86" t="s">
        <v>2084</v>
      </c>
      <c r="AL1298" s="81" t="b">
        <v>0</v>
      </c>
      <c r="AM1298" s="81">
        <v>255</v>
      </c>
      <c r="AN1298" s="86" t="s">
        <v>7543</v>
      </c>
      <c r="AO1298" s="86" t="s">
        <v>2178</v>
      </c>
      <c r="AP1298" s="81" t="b">
        <v>0</v>
      </c>
      <c r="AQ1298" s="86" t="s">
        <v>7543</v>
      </c>
      <c r="AR1298" s="81" t="s">
        <v>179</v>
      </c>
      <c r="AS1298" s="81">
        <v>0</v>
      </c>
      <c r="AT1298" s="81">
        <v>0</v>
      </c>
      <c r="AU1298" s="81"/>
      <c r="AV1298" s="81"/>
      <c r="AW1298" s="81"/>
      <c r="AX1298" s="81"/>
      <c r="AY1298" s="81"/>
      <c r="AZ1298" s="81"/>
      <c r="BA1298" s="81"/>
      <c r="BB1298" s="81"/>
    </row>
    <row r="1299" spans="1:54" x14ac:dyDescent="0.35">
      <c r="A1299" s="66" t="s">
        <v>4635</v>
      </c>
      <c r="B1299" s="66" t="s">
        <v>4944</v>
      </c>
      <c r="C1299" s="67"/>
      <c r="D1299" s="68"/>
      <c r="E1299" s="69"/>
      <c r="F1299" s="70"/>
      <c r="G1299" s="67"/>
      <c r="H1299" s="71"/>
      <c r="I1299" s="72"/>
      <c r="J1299" s="72"/>
      <c r="K1299" s="36"/>
      <c r="L1299" s="79"/>
      <c r="M1299" s="79"/>
      <c r="N1299" s="74"/>
      <c r="O1299" s="81" t="s">
        <v>693</v>
      </c>
      <c r="P1299" s="83">
        <v>44465.611585648148</v>
      </c>
      <c r="Q1299" s="81" t="s">
        <v>5505</v>
      </c>
      <c r="R1299" s="81"/>
      <c r="S1299" s="81"/>
      <c r="T1299" s="81"/>
      <c r="U1299" s="81"/>
      <c r="V1299" s="84" t="str">
        <f>HYPERLINK("https://pbs.twimg.com/profile_images/886173253835923457/psI59mVD_normal.jpg")</f>
        <v>https://pbs.twimg.com/profile_images/886173253835923457/psI59mVD_normal.jpg</v>
      </c>
      <c r="W1299" s="83">
        <v>44465.611585648148</v>
      </c>
      <c r="X1299" s="89">
        <v>44465</v>
      </c>
      <c r="Y1299" s="86" t="s">
        <v>6281</v>
      </c>
      <c r="Z1299" s="84" t="str">
        <f>HYPERLINK("https://twitter.com/alobarreto/status/1442137053475442691")</f>
        <v>https://twitter.com/alobarreto/status/1442137053475442691</v>
      </c>
      <c r="AA1299" s="81"/>
      <c r="AB1299" s="81"/>
      <c r="AC1299" s="86" t="s">
        <v>7195</v>
      </c>
      <c r="AD1299" s="81"/>
      <c r="AE1299" s="81" t="b">
        <v>0</v>
      </c>
      <c r="AF1299" s="81">
        <v>0</v>
      </c>
      <c r="AG1299" s="86" t="s">
        <v>2084</v>
      </c>
      <c r="AH1299" s="81" t="b">
        <v>0</v>
      </c>
      <c r="AI1299" s="81" t="s">
        <v>2171</v>
      </c>
      <c r="AJ1299" s="81"/>
      <c r="AK1299" s="86" t="s">
        <v>2084</v>
      </c>
      <c r="AL1299" s="81" t="b">
        <v>0</v>
      </c>
      <c r="AM1299" s="81">
        <v>255</v>
      </c>
      <c r="AN1299" s="86" t="s">
        <v>7543</v>
      </c>
      <c r="AO1299" s="86" t="s">
        <v>2178</v>
      </c>
      <c r="AP1299" s="81" t="b">
        <v>0</v>
      </c>
      <c r="AQ1299" s="86" t="s">
        <v>7543</v>
      </c>
      <c r="AR1299" s="81" t="s">
        <v>179</v>
      </c>
      <c r="AS1299" s="81">
        <v>0</v>
      </c>
      <c r="AT1299" s="81">
        <v>0</v>
      </c>
      <c r="AU1299" s="81"/>
      <c r="AV1299" s="81"/>
      <c r="AW1299" s="81"/>
      <c r="AX1299" s="81"/>
      <c r="AY1299" s="81"/>
      <c r="AZ1299" s="81"/>
      <c r="BA1299" s="81"/>
      <c r="BB1299" s="81"/>
    </row>
    <row r="1300" spans="1:54" x14ac:dyDescent="0.35">
      <c r="A1300" s="66" t="s">
        <v>4636</v>
      </c>
      <c r="B1300" s="66" t="s">
        <v>4944</v>
      </c>
      <c r="C1300" s="67"/>
      <c r="D1300" s="68"/>
      <c r="E1300" s="69"/>
      <c r="F1300" s="70"/>
      <c r="G1300" s="67"/>
      <c r="H1300" s="71"/>
      <c r="I1300" s="72"/>
      <c r="J1300" s="72"/>
      <c r="K1300" s="36"/>
      <c r="L1300" s="79"/>
      <c r="M1300" s="79"/>
      <c r="N1300" s="74"/>
      <c r="O1300" s="81" t="s">
        <v>693</v>
      </c>
      <c r="P1300" s="83">
        <v>44465.611967592595</v>
      </c>
      <c r="Q1300" s="81" t="s">
        <v>5505</v>
      </c>
      <c r="R1300" s="81"/>
      <c r="S1300" s="81"/>
      <c r="T1300" s="81"/>
      <c r="U1300" s="81"/>
      <c r="V1300" s="84" t="str">
        <f>HYPERLINK("https://pbs.twimg.com/profile_images/1226367623736233984/j6UicNIc_normal.jpg")</f>
        <v>https://pbs.twimg.com/profile_images/1226367623736233984/j6UicNIc_normal.jpg</v>
      </c>
      <c r="W1300" s="83">
        <v>44465.611967592595</v>
      </c>
      <c r="X1300" s="89">
        <v>44465</v>
      </c>
      <c r="Y1300" s="86" t="s">
        <v>6282</v>
      </c>
      <c r="Z1300" s="84" t="str">
        <f>HYPERLINK("https://twitter.com/manosp17/status/1442137190922850304")</f>
        <v>https://twitter.com/manosp17/status/1442137190922850304</v>
      </c>
      <c r="AA1300" s="81"/>
      <c r="AB1300" s="81"/>
      <c r="AC1300" s="86" t="s">
        <v>7196</v>
      </c>
      <c r="AD1300" s="81"/>
      <c r="AE1300" s="81" t="b">
        <v>0</v>
      </c>
      <c r="AF1300" s="81">
        <v>0</v>
      </c>
      <c r="AG1300" s="86" t="s">
        <v>2084</v>
      </c>
      <c r="AH1300" s="81" t="b">
        <v>0</v>
      </c>
      <c r="AI1300" s="81" t="s">
        <v>2171</v>
      </c>
      <c r="AJ1300" s="81"/>
      <c r="AK1300" s="86" t="s">
        <v>2084</v>
      </c>
      <c r="AL1300" s="81" t="b">
        <v>0</v>
      </c>
      <c r="AM1300" s="81">
        <v>255</v>
      </c>
      <c r="AN1300" s="86" t="s">
        <v>7543</v>
      </c>
      <c r="AO1300" s="86" t="s">
        <v>2178</v>
      </c>
      <c r="AP1300" s="81" t="b">
        <v>0</v>
      </c>
      <c r="AQ1300" s="86" t="s">
        <v>7543</v>
      </c>
      <c r="AR1300" s="81" t="s">
        <v>179</v>
      </c>
      <c r="AS1300" s="81">
        <v>0</v>
      </c>
      <c r="AT1300" s="81">
        <v>0</v>
      </c>
      <c r="AU1300" s="81"/>
      <c r="AV1300" s="81"/>
      <c r="AW1300" s="81"/>
      <c r="AX1300" s="81"/>
      <c r="AY1300" s="81"/>
      <c r="AZ1300" s="81"/>
      <c r="BA1300" s="81"/>
      <c r="BB1300" s="81"/>
    </row>
    <row r="1301" spans="1:54" x14ac:dyDescent="0.35">
      <c r="A1301" s="66" t="s">
        <v>4637</v>
      </c>
      <c r="B1301" s="66" t="s">
        <v>4944</v>
      </c>
      <c r="C1301" s="67"/>
      <c r="D1301" s="68"/>
      <c r="E1301" s="69"/>
      <c r="F1301" s="70"/>
      <c r="G1301" s="67"/>
      <c r="H1301" s="71"/>
      <c r="I1301" s="72"/>
      <c r="J1301" s="72"/>
      <c r="K1301" s="36"/>
      <c r="L1301" s="79"/>
      <c r="M1301" s="79"/>
      <c r="N1301" s="74"/>
      <c r="O1301" s="81" t="s">
        <v>693</v>
      </c>
      <c r="P1301" s="83">
        <v>44465.616307870368</v>
      </c>
      <c r="Q1301" s="81" t="s">
        <v>5505</v>
      </c>
      <c r="R1301" s="81"/>
      <c r="S1301" s="81"/>
      <c r="T1301" s="81"/>
      <c r="U1301" s="81"/>
      <c r="V1301" s="84" t="str">
        <f>HYPERLINK("https://pbs.twimg.com/profile_images/417026949836337152/BEJM9hcZ_normal.jpeg")</f>
        <v>https://pbs.twimg.com/profile_images/417026949836337152/BEJM9hcZ_normal.jpeg</v>
      </c>
      <c r="W1301" s="83">
        <v>44465.616307870368</v>
      </c>
      <c r="X1301" s="89">
        <v>44465</v>
      </c>
      <c r="Y1301" s="86" t="s">
        <v>6283</v>
      </c>
      <c r="Z1301" s="84" t="str">
        <f>HYPERLINK("https://twitter.com/keisaricisar/status/1442138762335621122")</f>
        <v>https://twitter.com/keisaricisar/status/1442138762335621122</v>
      </c>
      <c r="AA1301" s="81"/>
      <c r="AB1301" s="81"/>
      <c r="AC1301" s="86" t="s">
        <v>7197</v>
      </c>
      <c r="AD1301" s="81"/>
      <c r="AE1301" s="81" t="b">
        <v>0</v>
      </c>
      <c r="AF1301" s="81">
        <v>0</v>
      </c>
      <c r="AG1301" s="86" t="s">
        <v>2084</v>
      </c>
      <c r="AH1301" s="81" t="b">
        <v>0</v>
      </c>
      <c r="AI1301" s="81" t="s">
        <v>2171</v>
      </c>
      <c r="AJ1301" s="81"/>
      <c r="AK1301" s="86" t="s">
        <v>2084</v>
      </c>
      <c r="AL1301" s="81" t="b">
        <v>0</v>
      </c>
      <c r="AM1301" s="81">
        <v>255</v>
      </c>
      <c r="AN1301" s="86" t="s">
        <v>7543</v>
      </c>
      <c r="AO1301" s="86" t="s">
        <v>2178</v>
      </c>
      <c r="AP1301" s="81" t="b">
        <v>0</v>
      </c>
      <c r="AQ1301" s="86" t="s">
        <v>7543</v>
      </c>
      <c r="AR1301" s="81" t="s">
        <v>179</v>
      </c>
      <c r="AS1301" s="81">
        <v>0</v>
      </c>
      <c r="AT1301" s="81">
        <v>0</v>
      </c>
      <c r="AU1301" s="81"/>
      <c r="AV1301" s="81"/>
      <c r="AW1301" s="81"/>
      <c r="AX1301" s="81"/>
      <c r="AY1301" s="81"/>
      <c r="AZ1301" s="81"/>
      <c r="BA1301" s="81"/>
      <c r="BB1301" s="81"/>
    </row>
    <row r="1302" spans="1:54" x14ac:dyDescent="0.35">
      <c r="A1302" s="66" t="s">
        <v>4638</v>
      </c>
      <c r="B1302" s="66" t="s">
        <v>4944</v>
      </c>
      <c r="C1302" s="67"/>
      <c r="D1302" s="68"/>
      <c r="E1302" s="69"/>
      <c r="F1302" s="70"/>
      <c r="G1302" s="67"/>
      <c r="H1302" s="71"/>
      <c r="I1302" s="72"/>
      <c r="J1302" s="72"/>
      <c r="K1302" s="36"/>
      <c r="L1302" s="79"/>
      <c r="M1302" s="79"/>
      <c r="N1302" s="74"/>
      <c r="O1302" s="81" t="s">
        <v>693</v>
      </c>
      <c r="P1302" s="83">
        <v>44465.618437500001</v>
      </c>
      <c r="Q1302" s="81" t="s">
        <v>5505</v>
      </c>
      <c r="R1302" s="81"/>
      <c r="S1302" s="81"/>
      <c r="T1302" s="81"/>
      <c r="U1302" s="81"/>
      <c r="V1302" s="84" t="str">
        <f>HYPERLINK("https://pbs.twimg.com/profile_images/1429193775230951424/SLJmwmnc_normal.jpg")</f>
        <v>https://pbs.twimg.com/profile_images/1429193775230951424/SLJmwmnc_normal.jpg</v>
      </c>
      <c r="W1302" s="83">
        <v>44465.618437500001</v>
      </c>
      <c r="X1302" s="89">
        <v>44465</v>
      </c>
      <c r="Y1302" s="86" t="s">
        <v>6284</v>
      </c>
      <c r="Z1302" s="84" t="str">
        <f>HYPERLINK("https://twitter.com/taniarjreis/status/1442139535324946433")</f>
        <v>https://twitter.com/taniarjreis/status/1442139535324946433</v>
      </c>
      <c r="AA1302" s="81"/>
      <c r="AB1302" s="81"/>
      <c r="AC1302" s="86" t="s">
        <v>7198</v>
      </c>
      <c r="AD1302" s="81"/>
      <c r="AE1302" s="81" t="b">
        <v>0</v>
      </c>
      <c r="AF1302" s="81">
        <v>0</v>
      </c>
      <c r="AG1302" s="86" t="s">
        <v>2084</v>
      </c>
      <c r="AH1302" s="81" t="b">
        <v>0</v>
      </c>
      <c r="AI1302" s="81" t="s">
        <v>2171</v>
      </c>
      <c r="AJ1302" s="81"/>
      <c r="AK1302" s="86" t="s">
        <v>2084</v>
      </c>
      <c r="AL1302" s="81" t="b">
        <v>0</v>
      </c>
      <c r="AM1302" s="81">
        <v>255</v>
      </c>
      <c r="AN1302" s="86" t="s">
        <v>7543</v>
      </c>
      <c r="AO1302" s="86" t="s">
        <v>2178</v>
      </c>
      <c r="AP1302" s="81" t="b">
        <v>0</v>
      </c>
      <c r="AQ1302" s="86" t="s">
        <v>7543</v>
      </c>
      <c r="AR1302" s="81" t="s">
        <v>179</v>
      </c>
      <c r="AS1302" s="81">
        <v>0</v>
      </c>
      <c r="AT1302" s="81">
        <v>0</v>
      </c>
      <c r="AU1302" s="81"/>
      <c r="AV1302" s="81"/>
      <c r="AW1302" s="81"/>
      <c r="AX1302" s="81"/>
      <c r="AY1302" s="81"/>
      <c r="AZ1302" s="81"/>
      <c r="BA1302" s="81"/>
      <c r="BB1302" s="81"/>
    </row>
    <row r="1303" spans="1:54" x14ac:dyDescent="0.35">
      <c r="A1303" s="66" t="s">
        <v>4639</v>
      </c>
      <c r="B1303" s="66" t="s">
        <v>5134</v>
      </c>
      <c r="C1303" s="67"/>
      <c r="D1303" s="68"/>
      <c r="E1303" s="69"/>
      <c r="F1303" s="70"/>
      <c r="G1303" s="67"/>
      <c r="H1303" s="71"/>
      <c r="I1303" s="72"/>
      <c r="J1303" s="72"/>
      <c r="K1303" s="36"/>
      <c r="L1303" s="79"/>
      <c r="M1303" s="79"/>
      <c r="N1303" s="74"/>
      <c r="O1303" s="81" t="s">
        <v>695</v>
      </c>
      <c r="P1303" s="83">
        <v>44465.619305555556</v>
      </c>
      <c r="Q1303" s="81" t="s">
        <v>5511</v>
      </c>
      <c r="R1303" s="81"/>
      <c r="S1303" s="81"/>
      <c r="T1303" s="81"/>
      <c r="U1303" s="81"/>
      <c r="V1303" s="84" t="str">
        <f>HYPERLINK("https://pbs.twimg.com/profile_images/1422010679616212998/ld906NHe_normal.jpg")</f>
        <v>https://pbs.twimg.com/profile_images/1422010679616212998/ld906NHe_normal.jpg</v>
      </c>
      <c r="W1303" s="83">
        <v>44465.619305555556</v>
      </c>
      <c r="X1303" s="89">
        <v>44465</v>
      </c>
      <c r="Y1303" s="86" t="s">
        <v>6285</v>
      </c>
      <c r="Z1303" s="84" t="str">
        <f>HYPERLINK("https://twitter.com/jlia_cristinaa/status/1442139848429785089")</f>
        <v>https://twitter.com/jlia_cristinaa/status/1442139848429785089</v>
      </c>
      <c r="AA1303" s="81"/>
      <c r="AB1303" s="81"/>
      <c r="AC1303" s="86" t="s">
        <v>7199</v>
      </c>
      <c r="AD1303" s="86" t="s">
        <v>7709</v>
      </c>
      <c r="AE1303" s="81" t="b">
        <v>0</v>
      </c>
      <c r="AF1303" s="81">
        <v>1</v>
      </c>
      <c r="AG1303" s="86" t="s">
        <v>7886</v>
      </c>
      <c r="AH1303" s="81" t="b">
        <v>0</v>
      </c>
      <c r="AI1303" s="81" t="s">
        <v>2171</v>
      </c>
      <c r="AJ1303" s="81"/>
      <c r="AK1303" s="86" t="s">
        <v>2084</v>
      </c>
      <c r="AL1303" s="81" t="b">
        <v>0</v>
      </c>
      <c r="AM1303" s="81">
        <v>0</v>
      </c>
      <c r="AN1303" s="86" t="s">
        <v>2084</v>
      </c>
      <c r="AO1303" s="86" t="s">
        <v>2179</v>
      </c>
      <c r="AP1303" s="81" t="b">
        <v>0</v>
      </c>
      <c r="AQ1303" s="86" t="s">
        <v>7709</v>
      </c>
      <c r="AR1303" s="81" t="s">
        <v>179</v>
      </c>
      <c r="AS1303" s="81">
        <v>0</v>
      </c>
      <c r="AT1303" s="81">
        <v>0</v>
      </c>
      <c r="AU1303" s="81"/>
      <c r="AV1303" s="81"/>
      <c r="AW1303" s="81"/>
      <c r="AX1303" s="81"/>
      <c r="AY1303" s="81"/>
      <c r="AZ1303" s="81"/>
      <c r="BA1303" s="81"/>
      <c r="BB1303" s="81"/>
    </row>
    <row r="1304" spans="1:54" x14ac:dyDescent="0.35">
      <c r="A1304" s="66" t="s">
        <v>4640</v>
      </c>
      <c r="B1304" s="66" t="s">
        <v>4944</v>
      </c>
      <c r="C1304" s="67"/>
      <c r="D1304" s="68"/>
      <c r="E1304" s="69"/>
      <c r="F1304" s="70"/>
      <c r="G1304" s="67"/>
      <c r="H1304" s="71"/>
      <c r="I1304" s="72"/>
      <c r="J1304" s="72"/>
      <c r="K1304" s="36"/>
      <c r="L1304" s="79"/>
      <c r="M1304" s="79"/>
      <c r="N1304" s="74"/>
      <c r="O1304" s="81" t="s">
        <v>693</v>
      </c>
      <c r="P1304" s="83">
        <v>44465.619571759256</v>
      </c>
      <c r="Q1304" s="81" t="s">
        <v>5505</v>
      </c>
      <c r="R1304" s="81"/>
      <c r="S1304" s="81"/>
      <c r="T1304" s="81"/>
      <c r="U1304" s="81"/>
      <c r="V1304" s="84" t="str">
        <f>HYPERLINK("https://pbs.twimg.com/profile_images/1417259691495862273/0MtMtCER_normal.jpg")</f>
        <v>https://pbs.twimg.com/profile_images/1417259691495862273/0MtMtCER_normal.jpg</v>
      </c>
      <c r="W1304" s="83">
        <v>44465.619571759256</v>
      </c>
      <c r="X1304" s="89">
        <v>44465</v>
      </c>
      <c r="Y1304" s="86" t="s">
        <v>6286</v>
      </c>
      <c r="Z1304" s="84" t="str">
        <f>HYPERLINK("https://twitter.com/alex_kosteczka/status/1442139948052799492")</f>
        <v>https://twitter.com/alex_kosteczka/status/1442139948052799492</v>
      </c>
      <c r="AA1304" s="81"/>
      <c r="AB1304" s="81"/>
      <c r="AC1304" s="86" t="s">
        <v>7200</v>
      </c>
      <c r="AD1304" s="81"/>
      <c r="AE1304" s="81" t="b">
        <v>0</v>
      </c>
      <c r="AF1304" s="81">
        <v>0</v>
      </c>
      <c r="AG1304" s="86" t="s">
        <v>2084</v>
      </c>
      <c r="AH1304" s="81" t="b">
        <v>0</v>
      </c>
      <c r="AI1304" s="81" t="s">
        <v>2171</v>
      </c>
      <c r="AJ1304" s="81"/>
      <c r="AK1304" s="86" t="s">
        <v>2084</v>
      </c>
      <c r="AL1304" s="81" t="b">
        <v>0</v>
      </c>
      <c r="AM1304" s="81">
        <v>255</v>
      </c>
      <c r="AN1304" s="86" t="s">
        <v>7543</v>
      </c>
      <c r="AO1304" s="86" t="s">
        <v>2181</v>
      </c>
      <c r="AP1304" s="81" t="b">
        <v>0</v>
      </c>
      <c r="AQ1304" s="86" t="s">
        <v>7543</v>
      </c>
      <c r="AR1304" s="81" t="s">
        <v>179</v>
      </c>
      <c r="AS1304" s="81">
        <v>0</v>
      </c>
      <c r="AT1304" s="81">
        <v>0</v>
      </c>
      <c r="AU1304" s="81"/>
      <c r="AV1304" s="81"/>
      <c r="AW1304" s="81"/>
      <c r="AX1304" s="81"/>
      <c r="AY1304" s="81"/>
      <c r="AZ1304" s="81"/>
      <c r="BA1304" s="81"/>
      <c r="BB1304" s="81"/>
    </row>
    <row r="1305" spans="1:54" x14ac:dyDescent="0.35">
      <c r="A1305" s="66" t="s">
        <v>4641</v>
      </c>
      <c r="B1305" s="66" t="s">
        <v>4944</v>
      </c>
      <c r="C1305" s="67"/>
      <c r="D1305" s="68"/>
      <c r="E1305" s="69"/>
      <c r="F1305" s="70"/>
      <c r="G1305" s="67"/>
      <c r="H1305" s="71"/>
      <c r="I1305" s="72"/>
      <c r="J1305" s="72"/>
      <c r="K1305" s="36"/>
      <c r="L1305" s="79"/>
      <c r="M1305" s="79"/>
      <c r="N1305" s="74"/>
      <c r="O1305" s="81" t="s">
        <v>693</v>
      </c>
      <c r="P1305" s="83">
        <v>44465.622083333335</v>
      </c>
      <c r="Q1305" s="81" t="s">
        <v>5505</v>
      </c>
      <c r="R1305" s="81"/>
      <c r="S1305" s="81"/>
      <c r="T1305" s="81"/>
      <c r="U1305" s="81"/>
      <c r="V1305" s="84" t="str">
        <f>HYPERLINK("https://pbs.twimg.com/profile_images/1384309472462577665/NVhK9yEv_normal.jpg")</f>
        <v>https://pbs.twimg.com/profile_images/1384309472462577665/NVhK9yEv_normal.jpg</v>
      </c>
      <c r="W1305" s="83">
        <v>44465.622083333335</v>
      </c>
      <c r="X1305" s="89">
        <v>44465</v>
      </c>
      <c r="Y1305" s="86" t="s">
        <v>6287</v>
      </c>
      <c r="Z1305" s="84" t="str">
        <f>HYPERLINK("https://twitter.com/marcelojgonca/status/1442140856274796547")</f>
        <v>https://twitter.com/marcelojgonca/status/1442140856274796547</v>
      </c>
      <c r="AA1305" s="81"/>
      <c r="AB1305" s="81"/>
      <c r="AC1305" s="86" t="s">
        <v>7201</v>
      </c>
      <c r="AD1305" s="81"/>
      <c r="AE1305" s="81" t="b">
        <v>0</v>
      </c>
      <c r="AF1305" s="81">
        <v>0</v>
      </c>
      <c r="AG1305" s="86" t="s">
        <v>2084</v>
      </c>
      <c r="AH1305" s="81" t="b">
        <v>0</v>
      </c>
      <c r="AI1305" s="81" t="s">
        <v>2171</v>
      </c>
      <c r="AJ1305" s="81"/>
      <c r="AK1305" s="86" t="s">
        <v>2084</v>
      </c>
      <c r="AL1305" s="81" t="b">
        <v>0</v>
      </c>
      <c r="AM1305" s="81">
        <v>255</v>
      </c>
      <c r="AN1305" s="86" t="s">
        <v>7543</v>
      </c>
      <c r="AO1305" s="86" t="s">
        <v>2178</v>
      </c>
      <c r="AP1305" s="81" t="b">
        <v>0</v>
      </c>
      <c r="AQ1305" s="86" t="s">
        <v>7543</v>
      </c>
      <c r="AR1305" s="81" t="s">
        <v>179</v>
      </c>
      <c r="AS1305" s="81">
        <v>0</v>
      </c>
      <c r="AT1305" s="81">
        <v>0</v>
      </c>
      <c r="AU1305" s="81"/>
      <c r="AV1305" s="81"/>
      <c r="AW1305" s="81"/>
      <c r="AX1305" s="81"/>
      <c r="AY1305" s="81"/>
      <c r="AZ1305" s="81"/>
      <c r="BA1305" s="81"/>
      <c r="BB1305" s="81"/>
    </row>
    <row r="1306" spans="1:54" x14ac:dyDescent="0.35">
      <c r="A1306" s="66" t="s">
        <v>4642</v>
      </c>
      <c r="B1306" s="66" t="s">
        <v>4642</v>
      </c>
      <c r="C1306" s="67"/>
      <c r="D1306" s="68"/>
      <c r="E1306" s="69"/>
      <c r="F1306" s="70"/>
      <c r="G1306" s="67"/>
      <c r="H1306" s="71"/>
      <c r="I1306" s="72"/>
      <c r="J1306" s="72"/>
      <c r="K1306" s="36"/>
      <c r="L1306" s="79"/>
      <c r="M1306" s="79"/>
      <c r="N1306" s="74"/>
      <c r="O1306" s="81" t="s">
        <v>179</v>
      </c>
      <c r="P1306" s="83">
        <v>44465.622847222221</v>
      </c>
      <c r="Q1306" s="81" t="s">
        <v>5512</v>
      </c>
      <c r="R1306" s="81"/>
      <c r="S1306" s="81"/>
      <c r="T1306" s="81"/>
      <c r="U1306" s="81"/>
      <c r="V1306" s="84" t="str">
        <f>HYPERLINK("https://pbs.twimg.com/profile_images/1437858436021112833/tjLYVknH_normal.jpg")</f>
        <v>https://pbs.twimg.com/profile_images/1437858436021112833/tjLYVknH_normal.jpg</v>
      </c>
      <c r="W1306" s="83">
        <v>44465.622847222221</v>
      </c>
      <c r="X1306" s="89">
        <v>44465</v>
      </c>
      <c r="Y1306" s="86" t="s">
        <v>6288</v>
      </c>
      <c r="Z1306" s="84" t="str">
        <f>HYPERLINK("https://twitter.com/joaovitorjv/status/1442141132117446661")</f>
        <v>https://twitter.com/joaovitorjv/status/1442141132117446661</v>
      </c>
      <c r="AA1306" s="81"/>
      <c r="AB1306" s="81"/>
      <c r="AC1306" s="86" t="s">
        <v>7202</v>
      </c>
      <c r="AD1306" s="86" t="s">
        <v>7710</v>
      </c>
      <c r="AE1306" s="81" t="b">
        <v>0</v>
      </c>
      <c r="AF1306" s="81">
        <v>17</v>
      </c>
      <c r="AG1306" s="86" t="s">
        <v>7887</v>
      </c>
      <c r="AH1306" s="81" t="b">
        <v>0</v>
      </c>
      <c r="AI1306" s="81" t="s">
        <v>2171</v>
      </c>
      <c r="AJ1306" s="81"/>
      <c r="AK1306" s="86" t="s">
        <v>2084</v>
      </c>
      <c r="AL1306" s="81" t="b">
        <v>0</v>
      </c>
      <c r="AM1306" s="81">
        <v>1</v>
      </c>
      <c r="AN1306" s="86" t="s">
        <v>2084</v>
      </c>
      <c r="AO1306" s="86" t="s">
        <v>2178</v>
      </c>
      <c r="AP1306" s="81" t="b">
        <v>0</v>
      </c>
      <c r="AQ1306" s="86" t="s">
        <v>7710</v>
      </c>
      <c r="AR1306" s="81" t="s">
        <v>179</v>
      </c>
      <c r="AS1306" s="81">
        <v>0</v>
      </c>
      <c r="AT1306" s="81">
        <v>0</v>
      </c>
      <c r="AU1306" s="81"/>
      <c r="AV1306" s="81"/>
      <c r="AW1306" s="81"/>
      <c r="AX1306" s="81"/>
      <c r="AY1306" s="81"/>
      <c r="AZ1306" s="81"/>
      <c r="BA1306" s="81"/>
      <c r="BB1306" s="81"/>
    </row>
    <row r="1307" spans="1:54" x14ac:dyDescent="0.35">
      <c r="A1307" s="66" t="s">
        <v>4643</v>
      </c>
      <c r="B1307" s="66" t="s">
        <v>4944</v>
      </c>
      <c r="C1307" s="67"/>
      <c r="D1307" s="68"/>
      <c r="E1307" s="69"/>
      <c r="F1307" s="70"/>
      <c r="G1307" s="67"/>
      <c r="H1307" s="71"/>
      <c r="I1307" s="72"/>
      <c r="J1307" s="72"/>
      <c r="K1307" s="36"/>
      <c r="L1307" s="79"/>
      <c r="M1307" s="79"/>
      <c r="N1307" s="74"/>
      <c r="O1307" s="81" t="s">
        <v>693</v>
      </c>
      <c r="P1307" s="83">
        <v>44465.625428240739</v>
      </c>
      <c r="Q1307" s="81" t="s">
        <v>5505</v>
      </c>
      <c r="R1307" s="81"/>
      <c r="S1307" s="81"/>
      <c r="T1307" s="81"/>
      <c r="U1307" s="81"/>
      <c r="V1307" s="84" t="str">
        <f>HYPERLINK("https://pbs.twimg.com/profile_images/1336809791893725189/bymjqyIT_normal.jpg")</f>
        <v>https://pbs.twimg.com/profile_images/1336809791893725189/bymjqyIT_normal.jpg</v>
      </c>
      <c r="W1307" s="83">
        <v>44465.625428240739</v>
      </c>
      <c r="X1307" s="89">
        <v>44465</v>
      </c>
      <c r="Y1307" s="86" t="s">
        <v>6289</v>
      </c>
      <c r="Z1307" s="84" t="str">
        <f>HYPERLINK("https://twitter.com/selma_lula/status/1442142068206444554")</f>
        <v>https://twitter.com/selma_lula/status/1442142068206444554</v>
      </c>
      <c r="AA1307" s="81"/>
      <c r="AB1307" s="81"/>
      <c r="AC1307" s="86" t="s">
        <v>7203</v>
      </c>
      <c r="AD1307" s="81"/>
      <c r="AE1307" s="81" t="b">
        <v>0</v>
      </c>
      <c r="AF1307" s="81">
        <v>0</v>
      </c>
      <c r="AG1307" s="86" t="s">
        <v>2084</v>
      </c>
      <c r="AH1307" s="81" t="b">
        <v>0</v>
      </c>
      <c r="AI1307" s="81" t="s">
        <v>2171</v>
      </c>
      <c r="AJ1307" s="81"/>
      <c r="AK1307" s="86" t="s">
        <v>2084</v>
      </c>
      <c r="AL1307" s="81" t="b">
        <v>0</v>
      </c>
      <c r="AM1307" s="81">
        <v>255</v>
      </c>
      <c r="AN1307" s="86" t="s">
        <v>7543</v>
      </c>
      <c r="AO1307" s="86" t="s">
        <v>2178</v>
      </c>
      <c r="AP1307" s="81" t="b">
        <v>0</v>
      </c>
      <c r="AQ1307" s="86" t="s">
        <v>7543</v>
      </c>
      <c r="AR1307" s="81" t="s">
        <v>179</v>
      </c>
      <c r="AS1307" s="81">
        <v>0</v>
      </c>
      <c r="AT1307" s="81">
        <v>0</v>
      </c>
      <c r="AU1307" s="81"/>
      <c r="AV1307" s="81"/>
      <c r="AW1307" s="81"/>
      <c r="AX1307" s="81"/>
      <c r="AY1307" s="81"/>
      <c r="AZ1307" s="81"/>
      <c r="BA1307" s="81"/>
      <c r="BB1307" s="81"/>
    </row>
    <row r="1308" spans="1:54" x14ac:dyDescent="0.35">
      <c r="A1308" s="66" t="s">
        <v>4644</v>
      </c>
      <c r="B1308" s="66" t="s">
        <v>4944</v>
      </c>
      <c r="C1308" s="67"/>
      <c r="D1308" s="68"/>
      <c r="E1308" s="69"/>
      <c r="F1308" s="70"/>
      <c r="G1308" s="67"/>
      <c r="H1308" s="71"/>
      <c r="I1308" s="72"/>
      <c r="J1308" s="72"/>
      <c r="K1308" s="36"/>
      <c r="L1308" s="79"/>
      <c r="M1308" s="79"/>
      <c r="N1308" s="74"/>
      <c r="O1308" s="81" t="s">
        <v>693</v>
      </c>
      <c r="P1308" s="83">
        <v>44465.628761574073</v>
      </c>
      <c r="Q1308" s="81" t="s">
        <v>5505</v>
      </c>
      <c r="R1308" s="81"/>
      <c r="S1308" s="81"/>
      <c r="T1308" s="81"/>
      <c r="U1308" s="81"/>
      <c r="V1308" s="84" t="str">
        <f>HYPERLINK("https://pbs.twimg.com/profile_images/1197633403169972237/nHRJWS1j_normal.jpg")</f>
        <v>https://pbs.twimg.com/profile_images/1197633403169972237/nHRJWS1j_normal.jpg</v>
      </c>
      <c r="W1308" s="83">
        <v>44465.628761574073</v>
      </c>
      <c r="X1308" s="89">
        <v>44465</v>
      </c>
      <c r="Y1308" s="86" t="s">
        <v>6290</v>
      </c>
      <c r="Z1308" s="84" t="str">
        <f>HYPERLINK("https://twitter.com/maicao94/status/1442143277164089345")</f>
        <v>https://twitter.com/maicao94/status/1442143277164089345</v>
      </c>
      <c r="AA1308" s="81"/>
      <c r="AB1308" s="81"/>
      <c r="AC1308" s="86" t="s">
        <v>7204</v>
      </c>
      <c r="AD1308" s="81"/>
      <c r="AE1308" s="81" t="b">
        <v>0</v>
      </c>
      <c r="AF1308" s="81">
        <v>0</v>
      </c>
      <c r="AG1308" s="86" t="s">
        <v>2084</v>
      </c>
      <c r="AH1308" s="81" t="b">
        <v>0</v>
      </c>
      <c r="AI1308" s="81" t="s">
        <v>2171</v>
      </c>
      <c r="AJ1308" s="81"/>
      <c r="AK1308" s="86" t="s">
        <v>2084</v>
      </c>
      <c r="AL1308" s="81" t="b">
        <v>0</v>
      </c>
      <c r="AM1308" s="81">
        <v>255</v>
      </c>
      <c r="AN1308" s="86" t="s">
        <v>7543</v>
      </c>
      <c r="AO1308" s="86" t="s">
        <v>2178</v>
      </c>
      <c r="AP1308" s="81" t="b">
        <v>0</v>
      </c>
      <c r="AQ1308" s="86" t="s">
        <v>7543</v>
      </c>
      <c r="AR1308" s="81" t="s">
        <v>179</v>
      </c>
      <c r="AS1308" s="81">
        <v>0</v>
      </c>
      <c r="AT1308" s="81">
        <v>0</v>
      </c>
      <c r="AU1308" s="81"/>
      <c r="AV1308" s="81"/>
      <c r="AW1308" s="81"/>
      <c r="AX1308" s="81"/>
      <c r="AY1308" s="81"/>
      <c r="AZ1308" s="81"/>
      <c r="BA1308" s="81"/>
      <c r="BB1308" s="81"/>
    </row>
    <row r="1309" spans="1:54" x14ac:dyDescent="0.35">
      <c r="A1309" s="66" t="s">
        <v>4645</v>
      </c>
      <c r="B1309" s="66" t="s">
        <v>4944</v>
      </c>
      <c r="C1309" s="67"/>
      <c r="D1309" s="68"/>
      <c r="E1309" s="69"/>
      <c r="F1309" s="70"/>
      <c r="G1309" s="67"/>
      <c r="H1309" s="71"/>
      <c r="I1309" s="72"/>
      <c r="J1309" s="72"/>
      <c r="K1309" s="36"/>
      <c r="L1309" s="79"/>
      <c r="M1309" s="79"/>
      <c r="N1309" s="74"/>
      <c r="O1309" s="81" t="s">
        <v>693</v>
      </c>
      <c r="P1309" s="83">
        <v>44465.629699074074</v>
      </c>
      <c r="Q1309" s="81" t="s">
        <v>5505</v>
      </c>
      <c r="R1309" s="81"/>
      <c r="S1309" s="81"/>
      <c r="T1309" s="81"/>
      <c r="U1309" s="81"/>
      <c r="V1309" s="84" t="str">
        <f>HYPERLINK("https://pbs.twimg.com/profile_images/1442516523411673095/SvcwsvUz_normal.jpg")</f>
        <v>https://pbs.twimg.com/profile_images/1442516523411673095/SvcwsvUz_normal.jpg</v>
      </c>
      <c r="W1309" s="83">
        <v>44465.629699074074</v>
      </c>
      <c r="X1309" s="89">
        <v>44465</v>
      </c>
      <c r="Y1309" s="86" t="s">
        <v>6291</v>
      </c>
      <c r="Z1309" s="84" t="str">
        <f>HYPERLINK("https://twitter.com/vnssalin/status/1442143616961376260")</f>
        <v>https://twitter.com/vnssalin/status/1442143616961376260</v>
      </c>
      <c r="AA1309" s="81"/>
      <c r="AB1309" s="81"/>
      <c r="AC1309" s="86" t="s">
        <v>7205</v>
      </c>
      <c r="AD1309" s="81"/>
      <c r="AE1309" s="81" t="b">
        <v>0</v>
      </c>
      <c r="AF1309" s="81">
        <v>0</v>
      </c>
      <c r="AG1309" s="86" t="s">
        <v>2084</v>
      </c>
      <c r="AH1309" s="81" t="b">
        <v>0</v>
      </c>
      <c r="AI1309" s="81" t="s">
        <v>2171</v>
      </c>
      <c r="AJ1309" s="81"/>
      <c r="AK1309" s="86" t="s">
        <v>2084</v>
      </c>
      <c r="AL1309" s="81" t="b">
        <v>0</v>
      </c>
      <c r="AM1309" s="81">
        <v>255</v>
      </c>
      <c r="AN1309" s="86" t="s">
        <v>7543</v>
      </c>
      <c r="AO1309" s="86" t="s">
        <v>2179</v>
      </c>
      <c r="AP1309" s="81" t="b">
        <v>0</v>
      </c>
      <c r="AQ1309" s="86" t="s">
        <v>7543</v>
      </c>
      <c r="AR1309" s="81" t="s">
        <v>179</v>
      </c>
      <c r="AS1309" s="81">
        <v>0</v>
      </c>
      <c r="AT1309" s="81">
        <v>0</v>
      </c>
      <c r="AU1309" s="81"/>
      <c r="AV1309" s="81"/>
      <c r="AW1309" s="81"/>
      <c r="AX1309" s="81"/>
      <c r="AY1309" s="81"/>
      <c r="AZ1309" s="81"/>
      <c r="BA1309" s="81"/>
      <c r="BB1309" s="81"/>
    </row>
    <row r="1310" spans="1:54" x14ac:dyDescent="0.35">
      <c r="A1310" s="66" t="s">
        <v>4646</v>
      </c>
      <c r="B1310" s="66" t="s">
        <v>4944</v>
      </c>
      <c r="C1310" s="67"/>
      <c r="D1310" s="68"/>
      <c r="E1310" s="69"/>
      <c r="F1310" s="70"/>
      <c r="G1310" s="67"/>
      <c r="H1310" s="71"/>
      <c r="I1310" s="72"/>
      <c r="J1310" s="72"/>
      <c r="K1310" s="36"/>
      <c r="L1310" s="79"/>
      <c r="M1310" s="79"/>
      <c r="N1310" s="74"/>
      <c r="O1310" s="81" t="s">
        <v>693</v>
      </c>
      <c r="P1310" s="83">
        <v>44465.630868055552</v>
      </c>
      <c r="Q1310" s="81" t="s">
        <v>5505</v>
      </c>
      <c r="R1310" s="81"/>
      <c r="S1310" s="81"/>
      <c r="T1310" s="81"/>
      <c r="U1310" s="81"/>
      <c r="V1310" s="84" t="str">
        <f>HYPERLINK("https://pbs.twimg.com/profile_images/1438440924506468354/mpQ-YItn_normal.jpg")</f>
        <v>https://pbs.twimg.com/profile_images/1438440924506468354/mpQ-YItn_normal.jpg</v>
      </c>
      <c r="W1310" s="83">
        <v>44465.630868055552</v>
      </c>
      <c r="X1310" s="89">
        <v>44465</v>
      </c>
      <c r="Y1310" s="86" t="s">
        <v>6292</v>
      </c>
      <c r="Z1310" s="84" t="str">
        <f>HYPERLINK("https://twitter.com/maruxdopt/status/1442144040548540416")</f>
        <v>https://twitter.com/maruxdopt/status/1442144040548540416</v>
      </c>
      <c r="AA1310" s="81"/>
      <c r="AB1310" s="81"/>
      <c r="AC1310" s="86" t="s">
        <v>7206</v>
      </c>
      <c r="AD1310" s="81"/>
      <c r="AE1310" s="81" t="b">
        <v>0</v>
      </c>
      <c r="AF1310" s="81">
        <v>0</v>
      </c>
      <c r="AG1310" s="86" t="s">
        <v>2084</v>
      </c>
      <c r="AH1310" s="81" t="b">
        <v>0</v>
      </c>
      <c r="AI1310" s="81" t="s">
        <v>2171</v>
      </c>
      <c r="AJ1310" s="81"/>
      <c r="AK1310" s="86" t="s">
        <v>2084</v>
      </c>
      <c r="AL1310" s="81" t="b">
        <v>0</v>
      </c>
      <c r="AM1310" s="81">
        <v>255</v>
      </c>
      <c r="AN1310" s="86" t="s">
        <v>7543</v>
      </c>
      <c r="AO1310" s="86" t="s">
        <v>2178</v>
      </c>
      <c r="AP1310" s="81" t="b">
        <v>0</v>
      </c>
      <c r="AQ1310" s="86" t="s">
        <v>7543</v>
      </c>
      <c r="AR1310" s="81" t="s">
        <v>179</v>
      </c>
      <c r="AS1310" s="81">
        <v>0</v>
      </c>
      <c r="AT1310" s="81">
        <v>0</v>
      </c>
      <c r="AU1310" s="81"/>
      <c r="AV1310" s="81"/>
      <c r="AW1310" s="81"/>
      <c r="AX1310" s="81"/>
      <c r="AY1310" s="81"/>
      <c r="AZ1310" s="81"/>
      <c r="BA1310" s="81"/>
      <c r="BB1310" s="81"/>
    </row>
    <row r="1311" spans="1:54" x14ac:dyDescent="0.35">
      <c r="A1311" s="66" t="s">
        <v>4647</v>
      </c>
      <c r="B1311" s="66" t="s">
        <v>4944</v>
      </c>
      <c r="C1311" s="67"/>
      <c r="D1311" s="68"/>
      <c r="E1311" s="69"/>
      <c r="F1311" s="70"/>
      <c r="G1311" s="67"/>
      <c r="H1311" s="71"/>
      <c r="I1311" s="72"/>
      <c r="J1311" s="72"/>
      <c r="K1311" s="36"/>
      <c r="L1311" s="79"/>
      <c r="M1311" s="79"/>
      <c r="N1311" s="74"/>
      <c r="O1311" s="81" t="s">
        <v>693</v>
      </c>
      <c r="P1311" s="83">
        <v>44465.631643518522</v>
      </c>
      <c r="Q1311" s="81" t="s">
        <v>5505</v>
      </c>
      <c r="R1311" s="81"/>
      <c r="S1311" s="81"/>
      <c r="T1311" s="81"/>
      <c r="U1311" s="81"/>
      <c r="V1311" s="84" t="str">
        <f>HYPERLINK("https://pbs.twimg.com/profile_images/1440287636212437004/TjRbFuKd_normal.jpg")</f>
        <v>https://pbs.twimg.com/profile_images/1440287636212437004/TjRbFuKd_normal.jpg</v>
      </c>
      <c r="W1311" s="83">
        <v>44465.631643518522</v>
      </c>
      <c r="X1311" s="89">
        <v>44465</v>
      </c>
      <c r="Y1311" s="86" t="s">
        <v>6293</v>
      </c>
      <c r="Z1311" s="84" t="str">
        <f>HYPERLINK("https://twitter.com/milenialnarede/status/1442144322921586695")</f>
        <v>https://twitter.com/milenialnarede/status/1442144322921586695</v>
      </c>
      <c r="AA1311" s="81"/>
      <c r="AB1311" s="81"/>
      <c r="AC1311" s="86" t="s">
        <v>7207</v>
      </c>
      <c r="AD1311" s="81"/>
      <c r="AE1311" s="81" t="b">
        <v>0</v>
      </c>
      <c r="AF1311" s="81">
        <v>0</v>
      </c>
      <c r="AG1311" s="86" t="s">
        <v>2084</v>
      </c>
      <c r="AH1311" s="81" t="b">
        <v>0</v>
      </c>
      <c r="AI1311" s="81" t="s">
        <v>2171</v>
      </c>
      <c r="AJ1311" s="81"/>
      <c r="AK1311" s="86" t="s">
        <v>2084</v>
      </c>
      <c r="AL1311" s="81" t="b">
        <v>0</v>
      </c>
      <c r="AM1311" s="81">
        <v>255</v>
      </c>
      <c r="AN1311" s="86" t="s">
        <v>7543</v>
      </c>
      <c r="AO1311" s="86" t="s">
        <v>2178</v>
      </c>
      <c r="AP1311" s="81" t="b">
        <v>0</v>
      </c>
      <c r="AQ1311" s="86" t="s">
        <v>7543</v>
      </c>
      <c r="AR1311" s="81" t="s">
        <v>179</v>
      </c>
      <c r="AS1311" s="81">
        <v>0</v>
      </c>
      <c r="AT1311" s="81">
        <v>0</v>
      </c>
      <c r="AU1311" s="81"/>
      <c r="AV1311" s="81"/>
      <c r="AW1311" s="81"/>
      <c r="AX1311" s="81"/>
      <c r="AY1311" s="81"/>
      <c r="AZ1311" s="81"/>
      <c r="BA1311" s="81"/>
      <c r="BB1311" s="81"/>
    </row>
    <row r="1312" spans="1:54" x14ac:dyDescent="0.35">
      <c r="A1312" s="66" t="s">
        <v>4648</v>
      </c>
      <c r="B1312" s="66" t="s">
        <v>4944</v>
      </c>
      <c r="C1312" s="67"/>
      <c r="D1312" s="68"/>
      <c r="E1312" s="69"/>
      <c r="F1312" s="70"/>
      <c r="G1312" s="67"/>
      <c r="H1312" s="71"/>
      <c r="I1312" s="72"/>
      <c r="J1312" s="72"/>
      <c r="K1312" s="36"/>
      <c r="L1312" s="79"/>
      <c r="M1312" s="79"/>
      <c r="N1312" s="74"/>
      <c r="O1312" s="81" t="s">
        <v>693</v>
      </c>
      <c r="P1312" s="83">
        <v>44465.63244212963</v>
      </c>
      <c r="Q1312" s="81" t="s">
        <v>5505</v>
      </c>
      <c r="R1312" s="81"/>
      <c r="S1312" s="81"/>
      <c r="T1312" s="81"/>
      <c r="U1312" s="81"/>
      <c r="V1312" s="84" t="str">
        <f>HYPERLINK("https://pbs.twimg.com/profile_images/1241472025383907329/vwAXbEsi_normal.jpg")</f>
        <v>https://pbs.twimg.com/profile_images/1241472025383907329/vwAXbEsi_normal.jpg</v>
      </c>
      <c r="W1312" s="83">
        <v>44465.63244212963</v>
      </c>
      <c r="X1312" s="89">
        <v>44465</v>
      </c>
      <c r="Y1312" s="86" t="s">
        <v>6294</v>
      </c>
      <c r="Z1312" s="84" t="str">
        <f>HYPERLINK("https://twitter.com/anavalriatoled1/status/1442144610382336002")</f>
        <v>https://twitter.com/anavalriatoled1/status/1442144610382336002</v>
      </c>
      <c r="AA1312" s="81"/>
      <c r="AB1312" s="81"/>
      <c r="AC1312" s="86" t="s">
        <v>7208</v>
      </c>
      <c r="AD1312" s="81"/>
      <c r="AE1312" s="81" t="b">
        <v>0</v>
      </c>
      <c r="AF1312" s="81">
        <v>0</v>
      </c>
      <c r="AG1312" s="86" t="s">
        <v>2084</v>
      </c>
      <c r="AH1312" s="81" t="b">
        <v>0</v>
      </c>
      <c r="AI1312" s="81" t="s">
        <v>2171</v>
      </c>
      <c r="AJ1312" s="81"/>
      <c r="AK1312" s="86" t="s">
        <v>2084</v>
      </c>
      <c r="AL1312" s="81" t="b">
        <v>0</v>
      </c>
      <c r="AM1312" s="81">
        <v>255</v>
      </c>
      <c r="AN1312" s="86" t="s">
        <v>7543</v>
      </c>
      <c r="AO1312" s="86" t="s">
        <v>2178</v>
      </c>
      <c r="AP1312" s="81" t="b">
        <v>0</v>
      </c>
      <c r="AQ1312" s="86" t="s">
        <v>7543</v>
      </c>
      <c r="AR1312" s="81" t="s">
        <v>179</v>
      </c>
      <c r="AS1312" s="81">
        <v>0</v>
      </c>
      <c r="AT1312" s="81">
        <v>0</v>
      </c>
      <c r="AU1312" s="81"/>
      <c r="AV1312" s="81"/>
      <c r="AW1312" s="81"/>
      <c r="AX1312" s="81"/>
      <c r="AY1312" s="81"/>
      <c r="AZ1312" s="81"/>
      <c r="BA1312" s="81"/>
      <c r="BB1312" s="81"/>
    </row>
    <row r="1313" spans="1:54" x14ac:dyDescent="0.35">
      <c r="A1313" s="66" t="s">
        <v>4649</v>
      </c>
      <c r="B1313" s="66" t="s">
        <v>4944</v>
      </c>
      <c r="C1313" s="67"/>
      <c r="D1313" s="68"/>
      <c r="E1313" s="69"/>
      <c r="F1313" s="70"/>
      <c r="G1313" s="67"/>
      <c r="H1313" s="71"/>
      <c r="I1313" s="72"/>
      <c r="J1313" s="72"/>
      <c r="K1313" s="36"/>
      <c r="L1313" s="79"/>
      <c r="M1313" s="79"/>
      <c r="N1313" s="74"/>
      <c r="O1313" s="81" t="s">
        <v>693</v>
      </c>
      <c r="P1313" s="83">
        <v>44465.632916666669</v>
      </c>
      <c r="Q1313" s="81" t="s">
        <v>5505</v>
      </c>
      <c r="R1313" s="81"/>
      <c r="S1313" s="81"/>
      <c r="T1313" s="81"/>
      <c r="U1313" s="81"/>
      <c r="V1313" s="84" t="str">
        <f>HYPERLINK("https://pbs.twimg.com/profile_images/731563914073374720/1MlJEku-_normal.jpg")</f>
        <v>https://pbs.twimg.com/profile_images/731563914073374720/1MlJEku-_normal.jpg</v>
      </c>
      <c r="W1313" s="83">
        <v>44465.632916666669</v>
      </c>
      <c r="X1313" s="89">
        <v>44465</v>
      </c>
      <c r="Y1313" s="86" t="s">
        <v>6295</v>
      </c>
      <c r="Z1313" s="84" t="str">
        <f>HYPERLINK("https://twitter.com/jfmacedo/status/1442144781203738630")</f>
        <v>https://twitter.com/jfmacedo/status/1442144781203738630</v>
      </c>
      <c r="AA1313" s="81"/>
      <c r="AB1313" s="81"/>
      <c r="AC1313" s="86" t="s">
        <v>7209</v>
      </c>
      <c r="AD1313" s="81"/>
      <c r="AE1313" s="81" t="b">
        <v>0</v>
      </c>
      <c r="AF1313" s="81">
        <v>0</v>
      </c>
      <c r="AG1313" s="86" t="s">
        <v>2084</v>
      </c>
      <c r="AH1313" s="81" t="b">
        <v>0</v>
      </c>
      <c r="AI1313" s="81" t="s">
        <v>2171</v>
      </c>
      <c r="AJ1313" s="81"/>
      <c r="AK1313" s="86" t="s">
        <v>2084</v>
      </c>
      <c r="AL1313" s="81" t="b">
        <v>0</v>
      </c>
      <c r="AM1313" s="81">
        <v>255</v>
      </c>
      <c r="AN1313" s="86" t="s">
        <v>7543</v>
      </c>
      <c r="AO1313" s="86" t="s">
        <v>2179</v>
      </c>
      <c r="AP1313" s="81" t="b">
        <v>0</v>
      </c>
      <c r="AQ1313" s="86" t="s">
        <v>7543</v>
      </c>
      <c r="AR1313" s="81" t="s">
        <v>179</v>
      </c>
      <c r="AS1313" s="81">
        <v>0</v>
      </c>
      <c r="AT1313" s="81">
        <v>0</v>
      </c>
      <c r="AU1313" s="81"/>
      <c r="AV1313" s="81"/>
      <c r="AW1313" s="81"/>
      <c r="AX1313" s="81"/>
      <c r="AY1313" s="81"/>
      <c r="AZ1313" s="81"/>
      <c r="BA1313" s="81"/>
      <c r="BB1313" s="81"/>
    </row>
    <row r="1314" spans="1:54" x14ac:dyDescent="0.35">
      <c r="A1314" s="66" t="s">
        <v>4650</v>
      </c>
      <c r="B1314" s="66" t="s">
        <v>4944</v>
      </c>
      <c r="C1314" s="67"/>
      <c r="D1314" s="68"/>
      <c r="E1314" s="69"/>
      <c r="F1314" s="70"/>
      <c r="G1314" s="67"/>
      <c r="H1314" s="71"/>
      <c r="I1314" s="72"/>
      <c r="J1314" s="72"/>
      <c r="K1314" s="36"/>
      <c r="L1314" s="79"/>
      <c r="M1314" s="79"/>
      <c r="N1314" s="74"/>
      <c r="O1314" s="81" t="s">
        <v>693</v>
      </c>
      <c r="P1314" s="83">
        <v>44465.634513888886</v>
      </c>
      <c r="Q1314" s="81" t="s">
        <v>5505</v>
      </c>
      <c r="R1314" s="81"/>
      <c r="S1314" s="81"/>
      <c r="T1314" s="81"/>
      <c r="U1314" s="81"/>
      <c r="V1314" s="84" t="str">
        <f>HYPERLINK("https://pbs.twimg.com/profile_images/1436014570343174146/XgNtiQ5C_normal.jpg")</f>
        <v>https://pbs.twimg.com/profile_images/1436014570343174146/XgNtiQ5C_normal.jpg</v>
      </c>
      <c r="W1314" s="83">
        <v>44465.634513888886</v>
      </c>
      <c r="X1314" s="89">
        <v>44465</v>
      </c>
      <c r="Y1314" s="86" t="s">
        <v>6296</v>
      </c>
      <c r="Z1314" s="84" t="str">
        <f>HYPERLINK("https://twitter.com/bangslester/status/1442145360256847878")</f>
        <v>https://twitter.com/bangslester/status/1442145360256847878</v>
      </c>
      <c r="AA1314" s="81"/>
      <c r="AB1314" s="81"/>
      <c r="AC1314" s="86" t="s">
        <v>7210</v>
      </c>
      <c r="AD1314" s="81"/>
      <c r="AE1314" s="81" t="b">
        <v>0</v>
      </c>
      <c r="AF1314" s="81">
        <v>0</v>
      </c>
      <c r="AG1314" s="86" t="s">
        <v>2084</v>
      </c>
      <c r="AH1314" s="81" t="b">
        <v>0</v>
      </c>
      <c r="AI1314" s="81" t="s">
        <v>2171</v>
      </c>
      <c r="AJ1314" s="81"/>
      <c r="AK1314" s="86" t="s">
        <v>2084</v>
      </c>
      <c r="AL1314" s="81" t="b">
        <v>0</v>
      </c>
      <c r="AM1314" s="81">
        <v>255</v>
      </c>
      <c r="AN1314" s="86" t="s">
        <v>7543</v>
      </c>
      <c r="AO1314" s="86" t="s">
        <v>2178</v>
      </c>
      <c r="AP1314" s="81" t="b">
        <v>0</v>
      </c>
      <c r="AQ1314" s="86" t="s">
        <v>7543</v>
      </c>
      <c r="AR1314" s="81" t="s">
        <v>179</v>
      </c>
      <c r="AS1314" s="81">
        <v>0</v>
      </c>
      <c r="AT1314" s="81">
        <v>0</v>
      </c>
      <c r="AU1314" s="81"/>
      <c r="AV1314" s="81"/>
      <c r="AW1314" s="81"/>
      <c r="AX1314" s="81"/>
      <c r="AY1314" s="81"/>
      <c r="AZ1314" s="81"/>
      <c r="BA1314" s="81"/>
      <c r="BB1314" s="81"/>
    </row>
    <row r="1315" spans="1:54" x14ac:dyDescent="0.35">
      <c r="A1315" s="66" t="s">
        <v>4651</v>
      </c>
      <c r="B1315" s="66" t="s">
        <v>4944</v>
      </c>
      <c r="C1315" s="67"/>
      <c r="D1315" s="68"/>
      <c r="E1315" s="69"/>
      <c r="F1315" s="70"/>
      <c r="G1315" s="67"/>
      <c r="H1315" s="71"/>
      <c r="I1315" s="72"/>
      <c r="J1315" s="72"/>
      <c r="K1315" s="36"/>
      <c r="L1315" s="79"/>
      <c r="M1315" s="79"/>
      <c r="N1315" s="74"/>
      <c r="O1315" s="81" t="s">
        <v>693</v>
      </c>
      <c r="P1315" s="83">
        <v>44465.63517361111</v>
      </c>
      <c r="Q1315" s="81" t="s">
        <v>5505</v>
      </c>
      <c r="R1315" s="81"/>
      <c r="S1315" s="81"/>
      <c r="T1315" s="81"/>
      <c r="U1315" s="81"/>
      <c r="V1315" s="84" t="str">
        <f>HYPERLINK("https://pbs.twimg.com/profile_images/1390551205131214853/b3cY9Uye_normal.jpg")</f>
        <v>https://pbs.twimg.com/profile_images/1390551205131214853/b3cY9Uye_normal.jpg</v>
      </c>
      <c r="W1315" s="83">
        <v>44465.63517361111</v>
      </c>
      <c r="X1315" s="89">
        <v>44465</v>
      </c>
      <c r="Y1315" s="86" t="s">
        <v>6297</v>
      </c>
      <c r="Z1315" s="84" t="str">
        <f>HYPERLINK("https://twitter.com/omeuecomaga/status/1442145600670101514")</f>
        <v>https://twitter.com/omeuecomaga/status/1442145600670101514</v>
      </c>
      <c r="AA1315" s="81"/>
      <c r="AB1315" s="81"/>
      <c r="AC1315" s="86" t="s">
        <v>7211</v>
      </c>
      <c r="AD1315" s="81"/>
      <c r="AE1315" s="81" t="b">
        <v>0</v>
      </c>
      <c r="AF1315" s="81">
        <v>0</v>
      </c>
      <c r="AG1315" s="86" t="s">
        <v>2084</v>
      </c>
      <c r="AH1315" s="81" t="b">
        <v>0</v>
      </c>
      <c r="AI1315" s="81" t="s">
        <v>2171</v>
      </c>
      <c r="AJ1315" s="81"/>
      <c r="AK1315" s="86" t="s">
        <v>2084</v>
      </c>
      <c r="AL1315" s="81" t="b">
        <v>0</v>
      </c>
      <c r="AM1315" s="81">
        <v>255</v>
      </c>
      <c r="AN1315" s="86" t="s">
        <v>7543</v>
      </c>
      <c r="AO1315" s="86" t="s">
        <v>2178</v>
      </c>
      <c r="AP1315" s="81" t="b">
        <v>0</v>
      </c>
      <c r="AQ1315" s="86" t="s">
        <v>7543</v>
      </c>
      <c r="AR1315" s="81" t="s">
        <v>179</v>
      </c>
      <c r="AS1315" s="81">
        <v>0</v>
      </c>
      <c r="AT1315" s="81">
        <v>0</v>
      </c>
      <c r="AU1315" s="81"/>
      <c r="AV1315" s="81"/>
      <c r="AW1315" s="81"/>
      <c r="AX1315" s="81"/>
      <c r="AY1315" s="81"/>
      <c r="AZ1315" s="81"/>
      <c r="BA1315" s="81"/>
      <c r="BB1315" s="81"/>
    </row>
    <row r="1316" spans="1:54" x14ac:dyDescent="0.35">
      <c r="A1316" s="66" t="s">
        <v>4652</v>
      </c>
      <c r="B1316" s="66" t="s">
        <v>4944</v>
      </c>
      <c r="C1316" s="67"/>
      <c r="D1316" s="68"/>
      <c r="E1316" s="69"/>
      <c r="F1316" s="70"/>
      <c r="G1316" s="67"/>
      <c r="H1316" s="71"/>
      <c r="I1316" s="72"/>
      <c r="J1316" s="72"/>
      <c r="K1316" s="36"/>
      <c r="L1316" s="79"/>
      <c r="M1316" s="79"/>
      <c r="N1316" s="74"/>
      <c r="O1316" s="81" t="s">
        <v>693</v>
      </c>
      <c r="P1316" s="83">
        <v>44465.635729166665</v>
      </c>
      <c r="Q1316" s="81" t="s">
        <v>5505</v>
      </c>
      <c r="R1316" s="81"/>
      <c r="S1316" s="81"/>
      <c r="T1316" s="81"/>
      <c r="U1316" s="81"/>
      <c r="V1316" s="84" t="str">
        <f>HYPERLINK("https://pbs.twimg.com/profile_images/1438101689240801282/bWA6jTpk_normal.jpg")</f>
        <v>https://pbs.twimg.com/profile_images/1438101689240801282/bWA6jTpk_normal.jpg</v>
      </c>
      <c r="W1316" s="83">
        <v>44465.635729166665</v>
      </c>
      <c r="X1316" s="89">
        <v>44465</v>
      </c>
      <c r="Y1316" s="86" t="s">
        <v>6298</v>
      </c>
      <c r="Z1316" s="84" t="str">
        <f>HYPERLINK("https://twitter.com/paulo_profhis/status/1442145800893579264")</f>
        <v>https://twitter.com/paulo_profhis/status/1442145800893579264</v>
      </c>
      <c r="AA1316" s="81"/>
      <c r="AB1316" s="81"/>
      <c r="AC1316" s="86" t="s">
        <v>7212</v>
      </c>
      <c r="AD1316" s="81"/>
      <c r="AE1316" s="81" t="b">
        <v>0</v>
      </c>
      <c r="AF1316" s="81">
        <v>0</v>
      </c>
      <c r="AG1316" s="86" t="s">
        <v>2084</v>
      </c>
      <c r="AH1316" s="81" t="b">
        <v>0</v>
      </c>
      <c r="AI1316" s="81" t="s">
        <v>2171</v>
      </c>
      <c r="AJ1316" s="81"/>
      <c r="AK1316" s="86" t="s">
        <v>2084</v>
      </c>
      <c r="AL1316" s="81" t="b">
        <v>0</v>
      </c>
      <c r="AM1316" s="81">
        <v>255</v>
      </c>
      <c r="AN1316" s="86" t="s">
        <v>7543</v>
      </c>
      <c r="AO1316" s="86" t="s">
        <v>2179</v>
      </c>
      <c r="AP1316" s="81" t="b">
        <v>0</v>
      </c>
      <c r="AQ1316" s="86" t="s">
        <v>7543</v>
      </c>
      <c r="AR1316" s="81" t="s">
        <v>179</v>
      </c>
      <c r="AS1316" s="81">
        <v>0</v>
      </c>
      <c r="AT1316" s="81">
        <v>0</v>
      </c>
      <c r="AU1316" s="81"/>
      <c r="AV1316" s="81"/>
      <c r="AW1316" s="81"/>
      <c r="AX1316" s="81"/>
      <c r="AY1316" s="81"/>
      <c r="AZ1316" s="81"/>
      <c r="BA1316" s="81"/>
      <c r="BB1316" s="81"/>
    </row>
    <row r="1317" spans="1:54" x14ac:dyDescent="0.35">
      <c r="A1317" s="66" t="s">
        <v>499</v>
      </c>
      <c r="B1317" s="66" t="s">
        <v>667</v>
      </c>
      <c r="C1317" s="67"/>
      <c r="D1317" s="68"/>
      <c r="E1317" s="69"/>
      <c r="F1317" s="70"/>
      <c r="G1317" s="67"/>
      <c r="H1317" s="71"/>
      <c r="I1317" s="72"/>
      <c r="J1317" s="72"/>
      <c r="K1317" s="36"/>
      <c r="L1317" s="79"/>
      <c r="M1317" s="79"/>
      <c r="N1317" s="74"/>
      <c r="O1317" s="81" t="s">
        <v>695</v>
      </c>
      <c r="P1317" s="83">
        <v>44465.640659722223</v>
      </c>
      <c r="Q1317" s="81" t="s">
        <v>829</v>
      </c>
      <c r="R1317" s="81"/>
      <c r="S1317" s="81"/>
      <c r="T1317" s="81"/>
      <c r="U1317" s="81"/>
      <c r="V1317" s="84" t="str">
        <f>HYPERLINK("https://pbs.twimg.com/profile_images/1275777160213524482/ummI5RSO_normal.jpg")</f>
        <v>https://pbs.twimg.com/profile_images/1275777160213524482/ummI5RSO_normal.jpg</v>
      </c>
      <c r="W1317" s="83">
        <v>44465.640659722223</v>
      </c>
      <c r="X1317" s="89">
        <v>44465</v>
      </c>
      <c r="Y1317" s="86" t="s">
        <v>1357</v>
      </c>
      <c r="Z1317" s="84" t="str">
        <f>HYPERLINK("https://twitter.com/dyanahr/status/1442147586996011009")</f>
        <v>https://twitter.com/dyanahr/status/1442147586996011009</v>
      </c>
      <c r="AA1317" s="81"/>
      <c r="AB1317" s="81"/>
      <c r="AC1317" s="86" t="s">
        <v>1853</v>
      </c>
      <c r="AD1317" s="86" t="s">
        <v>2050</v>
      </c>
      <c r="AE1317" s="81" t="b">
        <v>0</v>
      </c>
      <c r="AF1317" s="81">
        <v>0</v>
      </c>
      <c r="AG1317" s="86" t="s">
        <v>2135</v>
      </c>
      <c r="AH1317" s="81" t="b">
        <v>0</v>
      </c>
      <c r="AI1317" s="81" t="s">
        <v>2167</v>
      </c>
      <c r="AJ1317" s="81"/>
      <c r="AK1317" s="86" t="s">
        <v>2084</v>
      </c>
      <c r="AL1317" s="81" t="b">
        <v>0</v>
      </c>
      <c r="AM1317" s="81">
        <v>0</v>
      </c>
      <c r="AN1317" s="86" t="s">
        <v>2084</v>
      </c>
      <c r="AO1317" s="86" t="s">
        <v>2179</v>
      </c>
      <c r="AP1317" s="81" t="b">
        <v>0</v>
      </c>
      <c r="AQ1317" s="86" t="s">
        <v>2050</v>
      </c>
      <c r="AR1317" s="81" t="s">
        <v>179</v>
      </c>
      <c r="AS1317" s="81">
        <v>0</v>
      </c>
      <c r="AT1317" s="81">
        <v>0</v>
      </c>
      <c r="AU1317" s="81"/>
      <c r="AV1317" s="81"/>
      <c r="AW1317" s="81"/>
      <c r="AX1317" s="81"/>
      <c r="AY1317" s="81"/>
      <c r="AZ1317" s="81"/>
      <c r="BA1317" s="81"/>
      <c r="BB1317" s="81"/>
    </row>
    <row r="1318" spans="1:54" x14ac:dyDescent="0.35">
      <c r="A1318" s="66" t="s">
        <v>4653</v>
      </c>
      <c r="B1318" s="66" t="s">
        <v>4944</v>
      </c>
      <c r="C1318" s="67"/>
      <c r="D1318" s="68"/>
      <c r="E1318" s="69"/>
      <c r="F1318" s="70"/>
      <c r="G1318" s="67"/>
      <c r="H1318" s="71"/>
      <c r="I1318" s="72"/>
      <c r="J1318" s="72"/>
      <c r="K1318" s="36"/>
      <c r="L1318" s="79"/>
      <c r="M1318" s="79"/>
      <c r="N1318" s="74"/>
      <c r="O1318" s="81" t="s">
        <v>693</v>
      </c>
      <c r="P1318" s="83">
        <v>44465.642858796295</v>
      </c>
      <c r="Q1318" s="81" t="s">
        <v>5505</v>
      </c>
      <c r="R1318" s="81"/>
      <c r="S1318" s="81"/>
      <c r="T1318" s="81"/>
      <c r="U1318" s="81"/>
      <c r="V1318" s="84" t="str">
        <f>HYPERLINK("https://pbs.twimg.com/profile_images/1402304806698598400/uarewNHK_normal.jpg")</f>
        <v>https://pbs.twimg.com/profile_images/1402304806698598400/uarewNHK_normal.jpg</v>
      </c>
      <c r="W1318" s="83">
        <v>44465.642858796295</v>
      </c>
      <c r="X1318" s="89">
        <v>44465</v>
      </c>
      <c r="Y1318" s="86" t="s">
        <v>6299</v>
      </c>
      <c r="Z1318" s="84" t="str">
        <f>HYPERLINK("https://twitter.com/geraldoazevedof/status/1442148387021860865")</f>
        <v>https://twitter.com/geraldoazevedof/status/1442148387021860865</v>
      </c>
      <c r="AA1318" s="81"/>
      <c r="AB1318" s="81"/>
      <c r="AC1318" s="86" t="s">
        <v>7213</v>
      </c>
      <c r="AD1318" s="81"/>
      <c r="AE1318" s="81" t="b">
        <v>0</v>
      </c>
      <c r="AF1318" s="81">
        <v>0</v>
      </c>
      <c r="AG1318" s="86" t="s">
        <v>2084</v>
      </c>
      <c r="AH1318" s="81" t="b">
        <v>0</v>
      </c>
      <c r="AI1318" s="81" t="s">
        <v>2171</v>
      </c>
      <c r="AJ1318" s="81"/>
      <c r="AK1318" s="86" t="s">
        <v>2084</v>
      </c>
      <c r="AL1318" s="81" t="b">
        <v>0</v>
      </c>
      <c r="AM1318" s="81">
        <v>255</v>
      </c>
      <c r="AN1318" s="86" t="s">
        <v>7543</v>
      </c>
      <c r="AO1318" s="86" t="s">
        <v>2179</v>
      </c>
      <c r="AP1318" s="81" t="b">
        <v>0</v>
      </c>
      <c r="AQ1318" s="86" t="s">
        <v>7543</v>
      </c>
      <c r="AR1318" s="81" t="s">
        <v>179</v>
      </c>
      <c r="AS1318" s="81">
        <v>0</v>
      </c>
      <c r="AT1318" s="81">
        <v>0</v>
      </c>
      <c r="AU1318" s="81"/>
      <c r="AV1318" s="81"/>
      <c r="AW1318" s="81"/>
      <c r="AX1318" s="81"/>
      <c r="AY1318" s="81"/>
      <c r="AZ1318" s="81"/>
      <c r="BA1318" s="81"/>
      <c r="BB1318" s="81"/>
    </row>
    <row r="1319" spans="1:54" x14ac:dyDescent="0.35">
      <c r="A1319" s="66" t="s">
        <v>4654</v>
      </c>
      <c r="B1319" s="66" t="s">
        <v>4944</v>
      </c>
      <c r="C1319" s="67"/>
      <c r="D1319" s="68"/>
      <c r="E1319" s="69"/>
      <c r="F1319" s="70"/>
      <c r="G1319" s="67"/>
      <c r="H1319" s="71"/>
      <c r="I1319" s="72"/>
      <c r="J1319" s="72"/>
      <c r="K1319" s="36"/>
      <c r="L1319" s="79"/>
      <c r="M1319" s="79"/>
      <c r="N1319" s="74"/>
      <c r="O1319" s="81" t="s">
        <v>693</v>
      </c>
      <c r="P1319" s="83">
        <v>44465.64402777778</v>
      </c>
      <c r="Q1319" s="81" t="s">
        <v>5505</v>
      </c>
      <c r="R1319" s="81"/>
      <c r="S1319" s="81"/>
      <c r="T1319" s="81"/>
      <c r="U1319" s="81"/>
      <c r="V1319" s="84" t="str">
        <f>HYPERLINK("https://pbs.twimg.com/profile_images/1032086437599039488/EqgP8smp_normal.jpg")</f>
        <v>https://pbs.twimg.com/profile_images/1032086437599039488/EqgP8smp_normal.jpg</v>
      </c>
      <c r="W1319" s="83">
        <v>44465.64402777778</v>
      </c>
      <c r="X1319" s="89">
        <v>44465</v>
      </c>
      <c r="Y1319" s="86" t="s">
        <v>6300</v>
      </c>
      <c r="Z1319" s="84" t="str">
        <f>HYPERLINK("https://twitter.com/igordrumond/status/1442148809857851401")</f>
        <v>https://twitter.com/igordrumond/status/1442148809857851401</v>
      </c>
      <c r="AA1319" s="81"/>
      <c r="AB1319" s="81"/>
      <c r="AC1319" s="86" t="s">
        <v>7214</v>
      </c>
      <c r="AD1319" s="81"/>
      <c r="AE1319" s="81" t="b">
        <v>0</v>
      </c>
      <c r="AF1319" s="81">
        <v>0</v>
      </c>
      <c r="AG1319" s="86" t="s">
        <v>2084</v>
      </c>
      <c r="AH1319" s="81" t="b">
        <v>0</v>
      </c>
      <c r="AI1319" s="81" t="s">
        <v>2171</v>
      </c>
      <c r="AJ1319" s="81"/>
      <c r="AK1319" s="86" t="s">
        <v>2084</v>
      </c>
      <c r="AL1319" s="81" t="b">
        <v>0</v>
      </c>
      <c r="AM1319" s="81">
        <v>255</v>
      </c>
      <c r="AN1319" s="86" t="s">
        <v>7543</v>
      </c>
      <c r="AO1319" s="86" t="s">
        <v>2179</v>
      </c>
      <c r="AP1319" s="81" t="b">
        <v>0</v>
      </c>
      <c r="AQ1319" s="86" t="s">
        <v>7543</v>
      </c>
      <c r="AR1319" s="81" t="s">
        <v>179</v>
      </c>
      <c r="AS1319" s="81">
        <v>0</v>
      </c>
      <c r="AT1319" s="81">
        <v>0</v>
      </c>
      <c r="AU1319" s="81"/>
      <c r="AV1319" s="81"/>
      <c r="AW1319" s="81"/>
      <c r="AX1319" s="81"/>
      <c r="AY1319" s="81"/>
      <c r="AZ1319" s="81"/>
      <c r="BA1319" s="81"/>
      <c r="BB1319" s="81"/>
    </row>
    <row r="1320" spans="1:54" x14ac:dyDescent="0.35">
      <c r="A1320" s="66" t="s">
        <v>4655</v>
      </c>
      <c r="B1320" s="66" t="s">
        <v>4944</v>
      </c>
      <c r="C1320" s="67"/>
      <c r="D1320" s="68"/>
      <c r="E1320" s="69"/>
      <c r="F1320" s="70"/>
      <c r="G1320" s="67"/>
      <c r="H1320" s="71"/>
      <c r="I1320" s="72"/>
      <c r="J1320" s="72"/>
      <c r="K1320" s="36"/>
      <c r="L1320" s="79"/>
      <c r="M1320" s="79"/>
      <c r="N1320" s="74"/>
      <c r="O1320" s="81" t="s">
        <v>693</v>
      </c>
      <c r="P1320" s="83">
        <v>44465.644131944442</v>
      </c>
      <c r="Q1320" s="81" t="s">
        <v>5505</v>
      </c>
      <c r="R1320" s="81"/>
      <c r="S1320" s="81"/>
      <c r="T1320" s="81"/>
      <c r="U1320" s="81"/>
      <c r="V1320" s="84" t="str">
        <f>HYPERLINK("https://pbs.twimg.com/profile_images/1158379798814756864/gW5utb6W_normal.jpg")</f>
        <v>https://pbs.twimg.com/profile_images/1158379798814756864/gW5utb6W_normal.jpg</v>
      </c>
      <c r="W1320" s="83">
        <v>44465.644131944442</v>
      </c>
      <c r="X1320" s="89">
        <v>44465</v>
      </c>
      <c r="Y1320" s="86" t="s">
        <v>6301</v>
      </c>
      <c r="Z1320" s="84" t="str">
        <f>HYPERLINK("https://twitter.com/sandro_cao/status/1442148846545608706")</f>
        <v>https://twitter.com/sandro_cao/status/1442148846545608706</v>
      </c>
      <c r="AA1320" s="81"/>
      <c r="AB1320" s="81"/>
      <c r="AC1320" s="86" t="s">
        <v>7215</v>
      </c>
      <c r="AD1320" s="81"/>
      <c r="AE1320" s="81" t="b">
        <v>0</v>
      </c>
      <c r="AF1320" s="81">
        <v>0</v>
      </c>
      <c r="AG1320" s="86" t="s">
        <v>2084</v>
      </c>
      <c r="AH1320" s="81" t="b">
        <v>0</v>
      </c>
      <c r="AI1320" s="81" t="s">
        <v>2171</v>
      </c>
      <c r="AJ1320" s="81"/>
      <c r="AK1320" s="86" t="s">
        <v>2084</v>
      </c>
      <c r="AL1320" s="81" t="b">
        <v>0</v>
      </c>
      <c r="AM1320" s="81">
        <v>255</v>
      </c>
      <c r="AN1320" s="86" t="s">
        <v>7543</v>
      </c>
      <c r="AO1320" s="86" t="s">
        <v>2178</v>
      </c>
      <c r="AP1320" s="81" t="b">
        <v>0</v>
      </c>
      <c r="AQ1320" s="86" t="s">
        <v>7543</v>
      </c>
      <c r="AR1320" s="81" t="s">
        <v>179</v>
      </c>
      <c r="AS1320" s="81">
        <v>0</v>
      </c>
      <c r="AT1320" s="81">
        <v>0</v>
      </c>
      <c r="AU1320" s="81"/>
      <c r="AV1320" s="81"/>
      <c r="AW1320" s="81"/>
      <c r="AX1320" s="81"/>
      <c r="AY1320" s="81"/>
      <c r="AZ1320" s="81"/>
      <c r="BA1320" s="81"/>
      <c r="BB1320" s="81"/>
    </row>
    <row r="1321" spans="1:54" x14ac:dyDescent="0.35">
      <c r="A1321" s="66" t="s">
        <v>500</v>
      </c>
      <c r="B1321" s="66" t="s">
        <v>500</v>
      </c>
      <c r="C1321" s="67"/>
      <c r="D1321" s="68"/>
      <c r="E1321" s="69"/>
      <c r="F1321" s="70"/>
      <c r="G1321" s="67"/>
      <c r="H1321" s="71"/>
      <c r="I1321" s="72"/>
      <c r="J1321" s="72"/>
      <c r="K1321" s="36"/>
      <c r="L1321" s="79"/>
      <c r="M1321" s="79"/>
      <c r="N1321" s="74"/>
      <c r="O1321" s="81" t="s">
        <v>179</v>
      </c>
      <c r="P1321" s="83">
        <v>44465.645416666666</v>
      </c>
      <c r="Q1321" s="81" t="s">
        <v>830</v>
      </c>
      <c r="R1321" s="81"/>
      <c r="S1321" s="81"/>
      <c r="T1321" s="81"/>
      <c r="U1321" s="81"/>
      <c r="V1321" s="84" t="str">
        <f>HYPERLINK("https://pbs.twimg.com/profile_images/1434816067323367427/blv2ecKY_normal.jpg")</f>
        <v>https://pbs.twimg.com/profile_images/1434816067323367427/blv2ecKY_normal.jpg</v>
      </c>
      <c r="W1321" s="83">
        <v>44465.645416666666</v>
      </c>
      <c r="X1321" s="89">
        <v>44465</v>
      </c>
      <c r="Y1321" s="86" t="s">
        <v>1358</v>
      </c>
      <c r="Z1321" s="84" t="str">
        <f>HYPERLINK("https://twitter.com/orchidpoison/status/1442149312360685568")</f>
        <v>https://twitter.com/orchidpoison/status/1442149312360685568</v>
      </c>
      <c r="AA1321" s="81"/>
      <c r="AB1321" s="81"/>
      <c r="AC1321" s="86" t="s">
        <v>1854</v>
      </c>
      <c r="AD1321" s="86" t="s">
        <v>2051</v>
      </c>
      <c r="AE1321" s="81" t="b">
        <v>0</v>
      </c>
      <c r="AF1321" s="81">
        <v>0</v>
      </c>
      <c r="AG1321" s="86" t="s">
        <v>2136</v>
      </c>
      <c r="AH1321" s="81" t="b">
        <v>0</v>
      </c>
      <c r="AI1321" s="81" t="s">
        <v>2167</v>
      </c>
      <c r="AJ1321" s="81"/>
      <c r="AK1321" s="86" t="s">
        <v>2084</v>
      </c>
      <c r="AL1321" s="81" t="b">
        <v>0</v>
      </c>
      <c r="AM1321" s="81">
        <v>0</v>
      </c>
      <c r="AN1321" s="86" t="s">
        <v>2084</v>
      </c>
      <c r="AO1321" s="86" t="s">
        <v>2179</v>
      </c>
      <c r="AP1321" s="81" t="b">
        <v>0</v>
      </c>
      <c r="AQ1321" s="86" t="s">
        <v>2051</v>
      </c>
      <c r="AR1321" s="81" t="s">
        <v>179</v>
      </c>
      <c r="AS1321" s="81">
        <v>0</v>
      </c>
      <c r="AT1321" s="81">
        <v>0</v>
      </c>
      <c r="AU1321" s="81"/>
      <c r="AV1321" s="81"/>
      <c r="AW1321" s="81"/>
      <c r="AX1321" s="81"/>
      <c r="AY1321" s="81"/>
      <c r="AZ1321" s="81"/>
      <c r="BA1321" s="81"/>
      <c r="BB1321" s="81"/>
    </row>
    <row r="1322" spans="1:54" x14ac:dyDescent="0.35">
      <c r="A1322" s="66" t="s">
        <v>4656</v>
      </c>
      <c r="B1322" s="66" t="s">
        <v>4944</v>
      </c>
      <c r="C1322" s="67"/>
      <c r="D1322" s="68"/>
      <c r="E1322" s="69"/>
      <c r="F1322" s="70"/>
      <c r="G1322" s="67"/>
      <c r="H1322" s="71"/>
      <c r="I1322" s="72"/>
      <c r="J1322" s="72"/>
      <c r="K1322" s="36"/>
      <c r="L1322" s="79"/>
      <c r="M1322" s="79"/>
      <c r="N1322" s="74"/>
      <c r="O1322" s="81" t="s">
        <v>693</v>
      </c>
      <c r="P1322" s="83">
        <v>44465.646666666667</v>
      </c>
      <c r="Q1322" s="81" t="s">
        <v>5505</v>
      </c>
      <c r="R1322" s="81"/>
      <c r="S1322" s="81"/>
      <c r="T1322" s="81"/>
      <c r="U1322" s="81"/>
      <c r="V1322" s="84" t="str">
        <f>HYPERLINK("https://pbs.twimg.com/profile_images/1434728728358268928/wEGVZKra_normal.jpg")</f>
        <v>https://pbs.twimg.com/profile_images/1434728728358268928/wEGVZKra_normal.jpg</v>
      </c>
      <c r="W1322" s="83">
        <v>44465.646666666667</v>
      </c>
      <c r="X1322" s="89">
        <v>44465</v>
      </c>
      <c r="Y1322" s="86" t="s">
        <v>6302</v>
      </c>
      <c r="Z1322" s="84" t="str">
        <f>HYPERLINK("https://twitter.com/euliricopistola/status/1442149763646898177")</f>
        <v>https://twitter.com/euliricopistola/status/1442149763646898177</v>
      </c>
      <c r="AA1322" s="81"/>
      <c r="AB1322" s="81"/>
      <c r="AC1322" s="86" t="s">
        <v>7216</v>
      </c>
      <c r="AD1322" s="81"/>
      <c r="AE1322" s="81" t="b">
        <v>0</v>
      </c>
      <c r="AF1322" s="81">
        <v>0</v>
      </c>
      <c r="AG1322" s="86" t="s">
        <v>2084</v>
      </c>
      <c r="AH1322" s="81" t="b">
        <v>0</v>
      </c>
      <c r="AI1322" s="81" t="s">
        <v>2171</v>
      </c>
      <c r="AJ1322" s="81"/>
      <c r="AK1322" s="86" t="s">
        <v>2084</v>
      </c>
      <c r="AL1322" s="81" t="b">
        <v>0</v>
      </c>
      <c r="AM1322" s="81">
        <v>255</v>
      </c>
      <c r="AN1322" s="86" t="s">
        <v>7543</v>
      </c>
      <c r="AO1322" s="86" t="s">
        <v>2181</v>
      </c>
      <c r="AP1322" s="81" t="b">
        <v>0</v>
      </c>
      <c r="AQ1322" s="86" t="s">
        <v>7543</v>
      </c>
      <c r="AR1322" s="81" t="s">
        <v>179</v>
      </c>
      <c r="AS1322" s="81">
        <v>0</v>
      </c>
      <c r="AT1322" s="81">
        <v>0</v>
      </c>
      <c r="AU1322" s="81"/>
      <c r="AV1322" s="81"/>
      <c r="AW1322" s="81"/>
      <c r="AX1322" s="81"/>
      <c r="AY1322" s="81"/>
      <c r="AZ1322" s="81"/>
      <c r="BA1322" s="81"/>
      <c r="BB1322" s="81"/>
    </row>
    <row r="1323" spans="1:54" x14ac:dyDescent="0.35">
      <c r="A1323" s="66" t="s">
        <v>4657</v>
      </c>
      <c r="B1323" s="66" t="s">
        <v>4657</v>
      </c>
      <c r="C1323" s="67"/>
      <c r="D1323" s="68"/>
      <c r="E1323" s="69"/>
      <c r="F1323" s="70"/>
      <c r="G1323" s="67"/>
      <c r="H1323" s="71"/>
      <c r="I1323" s="72"/>
      <c r="J1323" s="72"/>
      <c r="K1323" s="36"/>
      <c r="L1323" s="79"/>
      <c r="M1323" s="79"/>
      <c r="N1323" s="74"/>
      <c r="O1323" s="81" t="s">
        <v>179</v>
      </c>
      <c r="P1323" s="83">
        <v>44465.647337962961</v>
      </c>
      <c r="Q1323" s="81" t="s">
        <v>5513</v>
      </c>
      <c r="R1323" s="84" t="str">
        <f>HYPERLINK("https://www.rtp.pt/madeira/politica/-seria-difcil-de-entender-se-as-pessoas-no-votassem-nesta-eleies_74265")</f>
        <v>https://www.rtp.pt/madeira/politica/-seria-difcil-de-entender-se-as-pessoas-no-votassem-nesta-eleies_74265</v>
      </c>
      <c r="S1323" s="81" t="s">
        <v>5738</v>
      </c>
      <c r="T1323" s="81"/>
      <c r="U1323" s="81"/>
      <c r="V1323" s="84" t="str">
        <f>HYPERLINK("https://pbs.twimg.com/profile_images/889851626940399616/aWWE1s7z_normal.jpg")</f>
        <v>https://pbs.twimg.com/profile_images/889851626940399616/aWWE1s7z_normal.jpg</v>
      </c>
      <c r="W1323" s="83">
        <v>44465.647337962961</v>
      </c>
      <c r="X1323" s="89">
        <v>44465</v>
      </c>
      <c r="Y1323" s="86" t="s">
        <v>1332</v>
      </c>
      <c r="Z1323" s="84" t="str">
        <f>HYPERLINK("https://twitter.com/rtpmadeira/status/1442150008413954051")</f>
        <v>https://twitter.com/rtpmadeira/status/1442150008413954051</v>
      </c>
      <c r="AA1323" s="81"/>
      <c r="AB1323" s="81"/>
      <c r="AC1323" s="86" t="s">
        <v>7217</v>
      </c>
      <c r="AD1323" s="81"/>
      <c r="AE1323" s="81" t="b">
        <v>0</v>
      </c>
      <c r="AF1323" s="81">
        <v>1</v>
      </c>
      <c r="AG1323" s="86" t="s">
        <v>2084</v>
      </c>
      <c r="AH1323" s="81" t="b">
        <v>0</v>
      </c>
      <c r="AI1323" s="81" t="s">
        <v>2171</v>
      </c>
      <c r="AJ1323" s="81"/>
      <c r="AK1323" s="86" t="s">
        <v>2084</v>
      </c>
      <c r="AL1323" s="81" t="b">
        <v>0</v>
      </c>
      <c r="AM1323" s="81">
        <v>0</v>
      </c>
      <c r="AN1323" s="86" t="s">
        <v>2084</v>
      </c>
      <c r="AO1323" s="86" t="s">
        <v>2181</v>
      </c>
      <c r="AP1323" s="81" t="b">
        <v>0</v>
      </c>
      <c r="AQ1323" s="86" t="s">
        <v>7217</v>
      </c>
      <c r="AR1323" s="81" t="s">
        <v>179</v>
      </c>
      <c r="AS1323" s="81">
        <v>0</v>
      </c>
      <c r="AT1323" s="81">
        <v>0</v>
      </c>
      <c r="AU1323" s="81"/>
      <c r="AV1323" s="81"/>
      <c r="AW1323" s="81"/>
      <c r="AX1323" s="81"/>
      <c r="AY1323" s="81"/>
      <c r="AZ1323" s="81"/>
      <c r="BA1323" s="81"/>
      <c r="BB1323" s="81"/>
    </row>
    <row r="1324" spans="1:54" x14ac:dyDescent="0.35">
      <c r="A1324" s="66" t="s">
        <v>4658</v>
      </c>
      <c r="B1324" s="66" t="s">
        <v>4944</v>
      </c>
      <c r="C1324" s="67"/>
      <c r="D1324" s="68"/>
      <c r="E1324" s="69"/>
      <c r="F1324" s="70"/>
      <c r="G1324" s="67"/>
      <c r="H1324" s="71"/>
      <c r="I1324" s="72"/>
      <c r="J1324" s="72"/>
      <c r="K1324" s="36"/>
      <c r="L1324" s="79"/>
      <c r="M1324" s="79"/>
      <c r="N1324" s="74"/>
      <c r="O1324" s="81" t="s">
        <v>693</v>
      </c>
      <c r="P1324" s="83">
        <v>44465.649131944447</v>
      </c>
      <c r="Q1324" s="81" t="s">
        <v>5505</v>
      </c>
      <c r="R1324" s="81"/>
      <c r="S1324" s="81"/>
      <c r="T1324" s="81"/>
      <c r="U1324" s="81"/>
      <c r="V1324" s="84" t="str">
        <f>HYPERLINK("https://pbs.twimg.com/profile_images/939874976026505221/vJ4tTnD7_normal.jpg")</f>
        <v>https://pbs.twimg.com/profile_images/939874976026505221/vJ4tTnD7_normal.jpg</v>
      </c>
      <c r="W1324" s="83">
        <v>44465.649131944447</v>
      </c>
      <c r="X1324" s="89">
        <v>44465</v>
      </c>
      <c r="Y1324" s="86" t="s">
        <v>6303</v>
      </c>
      <c r="Z1324" s="84" t="str">
        <f>HYPERLINK("https://twitter.com/feduambiental/status/1442150657985683462")</f>
        <v>https://twitter.com/feduambiental/status/1442150657985683462</v>
      </c>
      <c r="AA1324" s="81"/>
      <c r="AB1324" s="81"/>
      <c r="AC1324" s="86" t="s">
        <v>7218</v>
      </c>
      <c r="AD1324" s="81"/>
      <c r="AE1324" s="81" t="b">
        <v>0</v>
      </c>
      <c r="AF1324" s="81">
        <v>0</v>
      </c>
      <c r="AG1324" s="86" t="s">
        <v>2084</v>
      </c>
      <c r="AH1324" s="81" t="b">
        <v>0</v>
      </c>
      <c r="AI1324" s="81" t="s">
        <v>2171</v>
      </c>
      <c r="AJ1324" s="81"/>
      <c r="AK1324" s="86" t="s">
        <v>2084</v>
      </c>
      <c r="AL1324" s="81" t="b">
        <v>0</v>
      </c>
      <c r="AM1324" s="81">
        <v>255</v>
      </c>
      <c r="AN1324" s="86" t="s">
        <v>7543</v>
      </c>
      <c r="AO1324" s="86" t="s">
        <v>2178</v>
      </c>
      <c r="AP1324" s="81" t="b">
        <v>0</v>
      </c>
      <c r="AQ1324" s="86" t="s">
        <v>7543</v>
      </c>
      <c r="AR1324" s="81" t="s">
        <v>179</v>
      </c>
      <c r="AS1324" s="81">
        <v>0</v>
      </c>
      <c r="AT1324" s="81">
        <v>0</v>
      </c>
      <c r="AU1324" s="81"/>
      <c r="AV1324" s="81"/>
      <c r="AW1324" s="81"/>
      <c r="AX1324" s="81"/>
      <c r="AY1324" s="81"/>
      <c r="AZ1324" s="81"/>
      <c r="BA1324" s="81"/>
      <c r="BB1324" s="81"/>
    </row>
    <row r="1325" spans="1:54" x14ac:dyDescent="0.35">
      <c r="A1325" s="66" t="s">
        <v>4659</v>
      </c>
      <c r="B1325" s="66" t="s">
        <v>4944</v>
      </c>
      <c r="C1325" s="67"/>
      <c r="D1325" s="68"/>
      <c r="E1325" s="69"/>
      <c r="F1325" s="70"/>
      <c r="G1325" s="67"/>
      <c r="H1325" s="71"/>
      <c r="I1325" s="72"/>
      <c r="J1325" s="72"/>
      <c r="K1325" s="36"/>
      <c r="L1325" s="79"/>
      <c r="M1325" s="79"/>
      <c r="N1325" s="74"/>
      <c r="O1325" s="81" t="s">
        <v>693</v>
      </c>
      <c r="P1325" s="83">
        <v>44465.653263888889</v>
      </c>
      <c r="Q1325" s="81" t="s">
        <v>5505</v>
      </c>
      <c r="R1325" s="81"/>
      <c r="S1325" s="81"/>
      <c r="T1325" s="81"/>
      <c r="U1325" s="81"/>
      <c r="V1325" s="84" t="str">
        <f>HYPERLINK("https://pbs.twimg.com/profile_images/1303461001740906496/zjKtzx5a_normal.jpg")</f>
        <v>https://pbs.twimg.com/profile_images/1303461001740906496/zjKtzx5a_normal.jpg</v>
      </c>
      <c r="W1325" s="83">
        <v>44465.653263888889</v>
      </c>
      <c r="X1325" s="89">
        <v>44465</v>
      </c>
      <c r="Y1325" s="86" t="s">
        <v>6304</v>
      </c>
      <c r="Z1325" s="84" t="str">
        <f>HYPERLINK("https://twitter.com/victornamatrix/status/1442152157780787203")</f>
        <v>https://twitter.com/victornamatrix/status/1442152157780787203</v>
      </c>
      <c r="AA1325" s="81"/>
      <c r="AB1325" s="81"/>
      <c r="AC1325" s="86" t="s">
        <v>7219</v>
      </c>
      <c r="AD1325" s="81"/>
      <c r="AE1325" s="81" t="b">
        <v>0</v>
      </c>
      <c r="AF1325" s="81">
        <v>0</v>
      </c>
      <c r="AG1325" s="86" t="s">
        <v>2084</v>
      </c>
      <c r="AH1325" s="81" t="b">
        <v>0</v>
      </c>
      <c r="AI1325" s="81" t="s">
        <v>2171</v>
      </c>
      <c r="AJ1325" s="81"/>
      <c r="AK1325" s="86" t="s">
        <v>2084</v>
      </c>
      <c r="AL1325" s="81" t="b">
        <v>0</v>
      </c>
      <c r="AM1325" s="81">
        <v>255</v>
      </c>
      <c r="AN1325" s="86" t="s">
        <v>7543</v>
      </c>
      <c r="AO1325" s="86" t="s">
        <v>2178</v>
      </c>
      <c r="AP1325" s="81" t="b">
        <v>0</v>
      </c>
      <c r="AQ1325" s="86" t="s">
        <v>7543</v>
      </c>
      <c r="AR1325" s="81" t="s">
        <v>179</v>
      </c>
      <c r="AS1325" s="81">
        <v>0</v>
      </c>
      <c r="AT1325" s="81">
        <v>0</v>
      </c>
      <c r="AU1325" s="81"/>
      <c r="AV1325" s="81"/>
      <c r="AW1325" s="81"/>
      <c r="AX1325" s="81"/>
      <c r="AY1325" s="81"/>
      <c r="AZ1325" s="81"/>
      <c r="BA1325" s="81"/>
      <c r="BB1325" s="81"/>
    </row>
    <row r="1326" spans="1:54" x14ac:dyDescent="0.35">
      <c r="A1326" s="66" t="s">
        <v>4660</v>
      </c>
      <c r="B1326" s="66" t="s">
        <v>4944</v>
      </c>
      <c r="C1326" s="67"/>
      <c r="D1326" s="68"/>
      <c r="E1326" s="69"/>
      <c r="F1326" s="70"/>
      <c r="G1326" s="67"/>
      <c r="H1326" s="71"/>
      <c r="I1326" s="72"/>
      <c r="J1326" s="72"/>
      <c r="K1326" s="36"/>
      <c r="L1326" s="79"/>
      <c r="M1326" s="79"/>
      <c r="N1326" s="74"/>
      <c r="O1326" s="81" t="s">
        <v>693</v>
      </c>
      <c r="P1326" s="83">
        <v>44465.653553240743</v>
      </c>
      <c r="Q1326" s="81" t="s">
        <v>5505</v>
      </c>
      <c r="R1326" s="81"/>
      <c r="S1326" s="81"/>
      <c r="T1326" s="81"/>
      <c r="U1326" s="81"/>
      <c r="V1326" s="84" t="str">
        <f>HYPERLINK("https://pbs.twimg.com/profile_images/1422048995866726400/DvJtDm5l_normal.jpg")</f>
        <v>https://pbs.twimg.com/profile_images/1422048995866726400/DvJtDm5l_normal.jpg</v>
      </c>
      <c r="W1326" s="83">
        <v>44465.653553240743</v>
      </c>
      <c r="X1326" s="89">
        <v>44465</v>
      </c>
      <c r="Y1326" s="86" t="s">
        <v>6305</v>
      </c>
      <c r="Z1326" s="84" t="str">
        <f>HYPERLINK("https://twitter.com/lobasolitari4/status/1442152260750950400")</f>
        <v>https://twitter.com/lobasolitari4/status/1442152260750950400</v>
      </c>
      <c r="AA1326" s="81"/>
      <c r="AB1326" s="81"/>
      <c r="AC1326" s="86" t="s">
        <v>7220</v>
      </c>
      <c r="AD1326" s="81"/>
      <c r="AE1326" s="81" t="b">
        <v>0</v>
      </c>
      <c r="AF1326" s="81">
        <v>0</v>
      </c>
      <c r="AG1326" s="86" t="s">
        <v>2084</v>
      </c>
      <c r="AH1326" s="81" t="b">
        <v>0</v>
      </c>
      <c r="AI1326" s="81" t="s">
        <v>2171</v>
      </c>
      <c r="AJ1326" s="81"/>
      <c r="AK1326" s="86" t="s">
        <v>2084</v>
      </c>
      <c r="AL1326" s="81" t="b">
        <v>0</v>
      </c>
      <c r="AM1326" s="81">
        <v>255</v>
      </c>
      <c r="AN1326" s="86" t="s">
        <v>7543</v>
      </c>
      <c r="AO1326" s="86" t="s">
        <v>2178</v>
      </c>
      <c r="AP1326" s="81" t="b">
        <v>0</v>
      </c>
      <c r="AQ1326" s="86" t="s">
        <v>7543</v>
      </c>
      <c r="AR1326" s="81" t="s">
        <v>179</v>
      </c>
      <c r="AS1326" s="81">
        <v>0</v>
      </c>
      <c r="AT1326" s="81">
        <v>0</v>
      </c>
      <c r="AU1326" s="81"/>
      <c r="AV1326" s="81"/>
      <c r="AW1326" s="81"/>
      <c r="AX1326" s="81"/>
      <c r="AY1326" s="81"/>
      <c r="AZ1326" s="81"/>
      <c r="BA1326" s="81"/>
      <c r="BB1326" s="81"/>
    </row>
    <row r="1327" spans="1:54" x14ac:dyDescent="0.35">
      <c r="A1327" s="66" t="s">
        <v>4661</v>
      </c>
      <c r="B1327" s="66" t="s">
        <v>4944</v>
      </c>
      <c r="C1327" s="67"/>
      <c r="D1327" s="68"/>
      <c r="E1327" s="69"/>
      <c r="F1327" s="70"/>
      <c r="G1327" s="67"/>
      <c r="H1327" s="71"/>
      <c r="I1327" s="72"/>
      <c r="J1327" s="72"/>
      <c r="K1327" s="36"/>
      <c r="L1327" s="79"/>
      <c r="M1327" s="79"/>
      <c r="N1327" s="74"/>
      <c r="O1327" s="81" t="s">
        <v>693</v>
      </c>
      <c r="P1327" s="83">
        <v>44465.654861111114</v>
      </c>
      <c r="Q1327" s="81" t="s">
        <v>5505</v>
      </c>
      <c r="R1327" s="81"/>
      <c r="S1327" s="81"/>
      <c r="T1327" s="81"/>
      <c r="U1327" s="81"/>
      <c r="V1327" s="84" t="str">
        <f>HYPERLINK("https://pbs.twimg.com/profile_images/722472696538361856/bNZ4C8JC_normal.jpg")</f>
        <v>https://pbs.twimg.com/profile_images/722472696538361856/bNZ4C8JC_normal.jpg</v>
      </c>
      <c r="W1327" s="83">
        <v>44465.654861111114</v>
      </c>
      <c r="X1327" s="89">
        <v>44465</v>
      </c>
      <c r="Y1327" s="86" t="s">
        <v>6306</v>
      </c>
      <c r="Z1327" s="84" t="str">
        <f>HYPERLINK("https://twitter.com/abnervinicius01/status/1442152734287925254")</f>
        <v>https://twitter.com/abnervinicius01/status/1442152734287925254</v>
      </c>
      <c r="AA1327" s="81"/>
      <c r="AB1327" s="81"/>
      <c r="AC1327" s="86" t="s">
        <v>7221</v>
      </c>
      <c r="AD1327" s="81"/>
      <c r="AE1327" s="81" t="b">
        <v>0</v>
      </c>
      <c r="AF1327" s="81">
        <v>0</v>
      </c>
      <c r="AG1327" s="86" t="s">
        <v>2084</v>
      </c>
      <c r="AH1327" s="81" t="b">
        <v>0</v>
      </c>
      <c r="AI1327" s="81" t="s">
        <v>2171</v>
      </c>
      <c r="AJ1327" s="81"/>
      <c r="AK1327" s="86" t="s">
        <v>2084</v>
      </c>
      <c r="AL1327" s="81" t="b">
        <v>0</v>
      </c>
      <c r="AM1327" s="81">
        <v>255</v>
      </c>
      <c r="AN1327" s="86" t="s">
        <v>7543</v>
      </c>
      <c r="AO1327" s="86" t="s">
        <v>2181</v>
      </c>
      <c r="AP1327" s="81" t="b">
        <v>0</v>
      </c>
      <c r="AQ1327" s="86" t="s">
        <v>7543</v>
      </c>
      <c r="AR1327" s="81" t="s">
        <v>179</v>
      </c>
      <c r="AS1327" s="81">
        <v>0</v>
      </c>
      <c r="AT1327" s="81">
        <v>0</v>
      </c>
      <c r="AU1327" s="81"/>
      <c r="AV1327" s="81"/>
      <c r="AW1327" s="81"/>
      <c r="AX1327" s="81"/>
      <c r="AY1327" s="81"/>
      <c r="AZ1327" s="81"/>
      <c r="BA1327" s="81"/>
      <c r="BB1327" s="81"/>
    </row>
    <row r="1328" spans="1:54" x14ac:dyDescent="0.35">
      <c r="A1328" s="66" t="s">
        <v>4662</v>
      </c>
      <c r="B1328" s="66" t="s">
        <v>4944</v>
      </c>
      <c r="C1328" s="67"/>
      <c r="D1328" s="68"/>
      <c r="E1328" s="69"/>
      <c r="F1328" s="70"/>
      <c r="G1328" s="67"/>
      <c r="H1328" s="71"/>
      <c r="I1328" s="72"/>
      <c r="J1328" s="72"/>
      <c r="K1328" s="36"/>
      <c r="L1328" s="79"/>
      <c r="M1328" s="79"/>
      <c r="N1328" s="74"/>
      <c r="O1328" s="81" t="s">
        <v>693</v>
      </c>
      <c r="P1328" s="83">
        <v>44465.656030092592</v>
      </c>
      <c r="Q1328" s="81" t="s">
        <v>5505</v>
      </c>
      <c r="R1328" s="81"/>
      <c r="S1328" s="81"/>
      <c r="T1328" s="81"/>
      <c r="U1328" s="81"/>
      <c r="V1328" s="84" t="str">
        <f>HYPERLINK("https://pbs.twimg.com/profile_images/1243979274236895235/-WiqDc5t_normal.jpg")</f>
        <v>https://pbs.twimg.com/profile_images/1243979274236895235/-WiqDc5t_normal.jpg</v>
      </c>
      <c r="W1328" s="83">
        <v>44465.656030092592</v>
      </c>
      <c r="X1328" s="89">
        <v>44465</v>
      </c>
      <c r="Y1328" s="86" t="s">
        <v>6307</v>
      </c>
      <c r="Z1328" s="84" t="str">
        <f>HYPERLINK("https://twitter.com/rosaskarlate/status/1442153157086351363")</f>
        <v>https://twitter.com/rosaskarlate/status/1442153157086351363</v>
      </c>
      <c r="AA1328" s="81"/>
      <c r="AB1328" s="81"/>
      <c r="AC1328" s="86" t="s">
        <v>7222</v>
      </c>
      <c r="AD1328" s="81"/>
      <c r="AE1328" s="81" t="b">
        <v>0</v>
      </c>
      <c r="AF1328" s="81">
        <v>0</v>
      </c>
      <c r="AG1328" s="86" t="s">
        <v>2084</v>
      </c>
      <c r="AH1328" s="81" t="b">
        <v>0</v>
      </c>
      <c r="AI1328" s="81" t="s">
        <v>2171</v>
      </c>
      <c r="AJ1328" s="81"/>
      <c r="AK1328" s="86" t="s">
        <v>2084</v>
      </c>
      <c r="AL1328" s="81" t="b">
        <v>0</v>
      </c>
      <c r="AM1328" s="81">
        <v>255</v>
      </c>
      <c r="AN1328" s="86" t="s">
        <v>7543</v>
      </c>
      <c r="AO1328" s="86" t="s">
        <v>2181</v>
      </c>
      <c r="AP1328" s="81" t="b">
        <v>0</v>
      </c>
      <c r="AQ1328" s="86" t="s">
        <v>7543</v>
      </c>
      <c r="AR1328" s="81" t="s">
        <v>179</v>
      </c>
      <c r="AS1328" s="81">
        <v>0</v>
      </c>
      <c r="AT1328" s="81">
        <v>0</v>
      </c>
      <c r="AU1328" s="81"/>
      <c r="AV1328" s="81"/>
      <c r="AW1328" s="81"/>
      <c r="AX1328" s="81"/>
      <c r="AY1328" s="81"/>
      <c r="AZ1328" s="81"/>
      <c r="BA1328" s="81"/>
      <c r="BB1328" s="81"/>
    </row>
    <row r="1329" spans="1:54" x14ac:dyDescent="0.35">
      <c r="A1329" s="66" t="s">
        <v>501</v>
      </c>
      <c r="B1329" s="66" t="s">
        <v>667</v>
      </c>
      <c r="C1329" s="67"/>
      <c r="D1329" s="68"/>
      <c r="E1329" s="69"/>
      <c r="F1329" s="70"/>
      <c r="G1329" s="67"/>
      <c r="H1329" s="71"/>
      <c r="I1329" s="72"/>
      <c r="J1329" s="72"/>
      <c r="K1329" s="36"/>
      <c r="L1329" s="79"/>
      <c r="M1329" s="79"/>
      <c r="N1329" s="74"/>
      <c r="O1329" s="81" t="s">
        <v>695</v>
      </c>
      <c r="P1329" s="83">
        <v>44465.656087962961</v>
      </c>
      <c r="Q1329" s="81" t="s">
        <v>831</v>
      </c>
      <c r="R1329" s="81"/>
      <c r="S1329" s="81"/>
      <c r="T1329" s="81"/>
      <c r="U1329" s="81"/>
      <c r="V1329" s="84" t="str">
        <f>HYPERLINK("https://pbs.twimg.com/profile_images/914798666367475712/FrpfZMrS_normal.jpg")</f>
        <v>https://pbs.twimg.com/profile_images/914798666367475712/FrpfZMrS_normal.jpg</v>
      </c>
      <c r="W1329" s="83">
        <v>44465.656087962961</v>
      </c>
      <c r="X1329" s="89">
        <v>44465</v>
      </c>
      <c r="Y1329" s="86" t="s">
        <v>1359</v>
      </c>
      <c r="Z1329" s="84" t="str">
        <f>HYPERLINK("https://twitter.com/sapepulakni/status/1442153177827069976")</f>
        <v>https://twitter.com/sapepulakni/status/1442153177827069976</v>
      </c>
      <c r="AA1329" s="81"/>
      <c r="AB1329" s="81"/>
      <c r="AC1329" s="86" t="s">
        <v>1855</v>
      </c>
      <c r="AD1329" s="86" t="s">
        <v>2050</v>
      </c>
      <c r="AE1329" s="81" t="b">
        <v>0</v>
      </c>
      <c r="AF1329" s="81">
        <v>0</v>
      </c>
      <c r="AG1329" s="86" t="s">
        <v>2135</v>
      </c>
      <c r="AH1329" s="81" t="b">
        <v>0</v>
      </c>
      <c r="AI1329" s="81" t="s">
        <v>2167</v>
      </c>
      <c r="AJ1329" s="81"/>
      <c r="AK1329" s="86" t="s">
        <v>2084</v>
      </c>
      <c r="AL1329" s="81" t="b">
        <v>0</v>
      </c>
      <c r="AM1329" s="81">
        <v>0</v>
      </c>
      <c r="AN1329" s="86" t="s">
        <v>2084</v>
      </c>
      <c r="AO1329" s="86" t="s">
        <v>2179</v>
      </c>
      <c r="AP1329" s="81" t="b">
        <v>0</v>
      </c>
      <c r="AQ1329" s="86" t="s">
        <v>2050</v>
      </c>
      <c r="AR1329" s="81" t="s">
        <v>179</v>
      </c>
      <c r="AS1329" s="81">
        <v>0</v>
      </c>
      <c r="AT1329" s="81">
        <v>0</v>
      </c>
      <c r="AU1329" s="81"/>
      <c r="AV1329" s="81"/>
      <c r="AW1329" s="81"/>
      <c r="AX1329" s="81"/>
      <c r="AY1329" s="81"/>
      <c r="AZ1329" s="81"/>
      <c r="BA1329" s="81"/>
      <c r="BB1329" s="81"/>
    </row>
    <row r="1330" spans="1:54" x14ac:dyDescent="0.35">
      <c r="A1330" s="66" t="s">
        <v>4663</v>
      </c>
      <c r="B1330" s="66" t="s">
        <v>4944</v>
      </c>
      <c r="C1330" s="67"/>
      <c r="D1330" s="68"/>
      <c r="E1330" s="69"/>
      <c r="F1330" s="70"/>
      <c r="G1330" s="67"/>
      <c r="H1330" s="71"/>
      <c r="I1330" s="72"/>
      <c r="J1330" s="72"/>
      <c r="K1330" s="36"/>
      <c r="L1330" s="79"/>
      <c r="M1330" s="79"/>
      <c r="N1330" s="74"/>
      <c r="O1330" s="81" t="s">
        <v>693</v>
      </c>
      <c r="P1330" s="83">
        <v>44465.656134259261</v>
      </c>
      <c r="Q1330" s="81" t="s">
        <v>5505</v>
      </c>
      <c r="R1330" s="81"/>
      <c r="S1330" s="81"/>
      <c r="T1330" s="81"/>
      <c r="U1330" s="81"/>
      <c r="V1330" s="84" t="str">
        <f>HYPERLINK("https://pbs.twimg.com/profile_images/1386113530877853701/lBkm8ubi_normal.jpg")</f>
        <v>https://pbs.twimg.com/profile_images/1386113530877853701/lBkm8ubi_normal.jpg</v>
      </c>
      <c r="W1330" s="83">
        <v>44465.656134259261</v>
      </c>
      <c r="X1330" s="89">
        <v>44465</v>
      </c>
      <c r="Y1330" s="86" t="s">
        <v>6308</v>
      </c>
      <c r="Z1330" s="84" t="str">
        <f>HYPERLINK("https://twitter.com/nelsony2/status/1442153195384438787")</f>
        <v>https://twitter.com/nelsony2/status/1442153195384438787</v>
      </c>
      <c r="AA1330" s="81"/>
      <c r="AB1330" s="81"/>
      <c r="AC1330" s="86" t="s">
        <v>7223</v>
      </c>
      <c r="AD1330" s="81"/>
      <c r="AE1330" s="81" t="b">
        <v>0</v>
      </c>
      <c r="AF1330" s="81">
        <v>0</v>
      </c>
      <c r="AG1330" s="86" t="s">
        <v>2084</v>
      </c>
      <c r="AH1330" s="81" t="b">
        <v>0</v>
      </c>
      <c r="AI1330" s="81" t="s">
        <v>2171</v>
      </c>
      <c r="AJ1330" s="81"/>
      <c r="AK1330" s="86" t="s">
        <v>2084</v>
      </c>
      <c r="AL1330" s="81" t="b">
        <v>0</v>
      </c>
      <c r="AM1330" s="81">
        <v>255</v>
      </c>
      <c r="AN1330" s="86" t="s">
        <v>7543</v>
      </c>
      <c r="AO1330" s="86" t="s">
        <v>2178</v>
      </c>
      <c r="AP1330" s="81" t="b">
        <v>0</v>
      </c>
      <c r="AQ1330" s="86" t="s">
        <v>7543</v>
      </c>
      <c r="AR1330" s="81" t="s">
        <v>179</v>
      </c>
      <c r="AS1330" s="81">
        <v>0</v>
      </c>
      <c r="AT1330" s="81">
        <v>0</v>
      </c>
      <c r="AU1330" s="81"/>
      <c r="AV1330" s="81"/>
      <c r="AW1330" s="81"/>
      <c r="AX1330" s="81"/>
      <c r="AY1330" s="81"/>
      <c r="AZ1330" s="81"/>
      <c r="BA1330" s="81"/>
      <c r="BB1330" s="81"/>
    </row>
    <row r="1331" spans="1:54" x14ac:dyDescent="0.35">
      <c r="A1331" s="66" t="s">
        <v>4664</v>
      </c>
      <c r="B1331" s="66" t="s">
        <v>4944</v>
      </c>
      <c r="C1331" s="67"/>
      <c r="D1331" s="68"/>
      <c r="E1331" s="69"/>
      <c r="F1331" s="70"/>
      <c r="G1331" s="67"/>
      <c r="H1331" s="71"/>
      <c r="I1331" s="72"/>
      <c r="J1331" s="72"/>
      <c r="K1331" s="36"/>
      <c r="L1331" s="79"/>
      <c r="M1331" s="79"/>
      <c r="N1331" s="74"/>
      <c r="O1331" s="81" t="s">
        <v>693</v>
      </c>
      <c r="P1331" s="83">
        <v>44465.657731481479</v>
      </c>
      <c r="Q1331" s="81" t="s">
        <v>5505</v>
      </c>
      <c r="R1331" s="81"/>
      <c r="S1331" s="81"/>
      <c r="T1331" s="81"/>
      <c r="U1331" s="81"/>
      <c r="V1331" s="84" t="str">
        <f>HYPERLINK("https://pbs.twimg.com/profile_images/1430000575513612291/wYdg0Mx4_normal.jpg")</f>
        <v>https://pbs.twimg.com/profile_images/1430000575513612291/wYdg0Mx4_normal.jpg</v>
      </c>
      <c r="W1331" s="83">
        <v>44465.657731481479</v>
      </c>
      <c r="X1331" s="89">
        <v>44465</v>
      </c>
      <c r="Y1331" s="86" t="s">
        <v>6309</v>
      </c>
      <c r="Z1331" s="84" t="str">
        <f>HYPERLINK("https://twitter.com/muauj/status/1442153776811368448")</f>
        <v>https://twitter.com/muauj/status/1442153776811368448</v>
      </c>
      <c r="AA1331" s="81"/>
      <c r="AB1331" s="81"/>
      <c r="AC1331" s="86" t="s">
        <v>7224</v>
      </c>
      <c r="AD1331" s="81"/>
      <c r="AE1331" s="81" t="b">
        <v>0</v>
      </c>
      <c r="AF1331" s="81">
        <v>0</v>
      </c>
      <c r="AG1331" s="86" t="s">
        <v>2084</v>
      </c>
      <c r="AH1331" s="81" t="b">
        <v>0</v>
      </c>
      <c r="AI1331" s="81" t="s">
        <v>2171</v>
      </c>
      <c r="AJ1331" s="81"/>
      <c r="AK1331" s="86" t="s">
        <v>2084</v>
      </c>
      <c r="AL1331" s="81" t="b">
        <v>0</v>
      </c>
      <c r="AM1331" s="81">
        <v>255</v>
      </c>
      <c r="AN1331" s="86" t="s">
        <v>7543</v>
      </c>
      <c r="AO1331" s="86" t="s">
        <v>2178</v>
      </c>
      <c r="AP1331" s="81" t="b">
        <v>0</v>
      </c>
      <c r="AQ1331" s="86" t="s">
        <v>7543</v>
      </c>
      <c r="AR1331" s="81" t="s">
        <v>179</v>
      </c>
      <c r="AS1331" s="81">
        <v>0</v>
      </c>
      <c r="AT1331" s="81">
        <v>0</v>
      </c>
      <c r="AU1331" s="81"/>
      <c r="AV1331" s="81"/>
      <c r="AW1331" s="81"/>
      <c r="AX1331" s="81"/>
      <c r="AY1331" s="81"/>
      <c r="AZ1331" s="81"/>
      <c r="BA1331" s="81"/>
      <c r="BB1331" s="81"/>
    </row>
    <row r="1332" spans="1:54" x14ac:dyDescent="0.35">
      <c r="A1332" s="66" t="s">
        <v>4665</v>
      </c>
      <c r="B1332" s="66" t="s">
        <v>4944</v>
      </c>
      <c r="C1332" s="67"/>
      <c r="D1332" s="68"/>
      <c r="E1332" s="69"/>
      <c r="F1332" s="70"/>
      <c r="G1332" s="67"/>
      <c r="H1332" s="71"/>
      <c r="I1332" s="72"/>
      <c r="J1332" s="72"/>
      <c r="K1332" s="36"/>
      <c r="L1332" s="79"/>
      <c r="M1332" s="79"/>
      <c r="N1332" s="74"/>
      <c r="O1332" s="81" t="s">
        <v>693</v>
      </c>
      <c r="P1332" s="83">
        <v>44465.658460648148</v>
      </c>
      <c r="Q1332" s="81" t="s">
        <v>5505</v>
      </c>
      <c r="R1332" s="81"/>
      <c r="S1332" s="81"/>
      <c r="T1332" s="81"/>
      <c r="U1332" s="81"/>
      <c r="V1332" s="84" t="str">
        <f>HYPERLINK("https://pbs.twimg.com/profile_images/1394050300210728968/LTyneq32_normal.jpg")</f>
        <v>https://pbs.twimg.com/profile_images/1394050300210728968/LTyneq32_normal.jpg</v>
      </c>
      <c r="W1332" s="83">
        <v>44465.658460648148</v>
      </c>
      <c r="X1332" s="89">
        <v>44465</v>
      </c>
      <c r="Y1332" s="86" t="s">
        <v>6310</v>
      </c>
      <c r="Z1332" s="84" t="str">
        <f>HYPERLINK("https://twitter.com/nilzasilvana/status/1442154038070501378")</f>
        <v>https://twitter.com/nilzasilvana/status/1442154038070501378</v>
      </c>
      <c r="AA1332" s="81"/>
      <c r="AB1332" s="81"/>
      <c r="AC1332" s="86" t="s">
        <v>7225</v>
      </c>
      <c r="AD1332" s="81"/>
      <c r="AE1332" s="81" t="b">
        <v>0</v>
      </c>
      <c r="AF1332" s="81">
        <v>0</v>
      </c>
      <c r="AG1332" s="86" t="s">
        <v>2084</v>
      </c>
      <c r="AH1332" s="81" t="b">
        <v>0</v>
      </c>
      <c r="AI1332" s="81" t="s">
        <v>2171</v>
      </c>
      <c r="AJ1332" s="81"/>
      <c r="AK1332" s="86" t="s">
        <v>2084</v>
      </c>
      <c r="AL1332" s="81" t="b">
        <v>0</v>
      </c>
      <c r="AM1332" s="81">
        <v>255</v>
      </c>
      <c r="AN1332" s="86" t="s">
        <v>7543</v>
      </c>
      <c r="AO1332" s="86" t="s">
        <v>2179</v>
      </c>
      <c r="AP1332" s="81" t="b">
        <v>0</v>
      </c>
      <c r="AQ1332" s="86" t="s">
        <v>7543</v>
      </c>
      <c r="AR1332" s="81" t="s">
        <v>179</v>
      </c>
      <c r="AS1332" s="81">
        <v>0</v>
      </c>
      <c r="AT1332" s="81">
        <v>0</v>
      </c>
      <c r="AU1332" s="81"/>
      <c r="AV1332" s="81"/>
      <c r="AW1332" s="81"/>
      <c r="AX1332" s="81"/>
      <c r="AY1332" s="81"/>
      <c r="AZ1332" s="81"/>
      <c r="BA1332" s="81"/>
      <c r="BB1332" s="81"/>
    </row>
    <row r="1333" spans="1:54" x14ac:dyDescent="0.35">
      <c r="A1333" s="66" t="s">
        <v>4666</v>
      </c>
      <c r="B1333" s="66" t="s">
        <v>4982</v>
      </c>
      <c r="C1333" s="67"/>
      <c r="D1333" s="68"/>
      <c r="E1333" s="69"/>
      <c r="F1333" s="70"/>
      <c r="G1333" s="67"/>
      <c r="H1333" s="71"/>
      <c r="I1333" s="72"/>
      <c r="J1333" s="72"/>
      <c r="K1333" s="36"/>
      <c r="L1333" s="79"/>
      <c r="M1333" s="79"/>
      <c r="N1333" s="74"/>
      <c r="O1333" s="81" t="s">
        <v>696</v>
      </c>
      <c r="P1333" s="83">
        <v>44464.846759259257</v>
      </c>
      <c r="Q1333" s="81" t="s">
        <v>5514</v>
      </c>
      <c r="R1333" s="81"/>
      <c r="S1333" s="81"/>
      <c r="T1333" s="81"/>
      <c r="U1333" s="81"/>
      <c r="V1333" s="84" t="str">
        <f>HYPERLINK("https://pbs.twimg.com/profile_images/3092939456/e0a5f7d74633a770c0cab1cc7e3541a5_normal.jpeg")</f>
        <v>https://pbs.twimg.com/profile_images/3092939456/e0a5f7d74633a770c0cab1cc7e3541a5_normal.jpeg</v>
      </c>
      <c r="W1333" s="83">
        <v>44464.846759259257</v>
      </c>
      <c r="X1333" s="89">
        <v>44464</v>
      </c>
      <c r="Y1333" s="86" t="s">
        <v>6311</v>
      </c>
      <c r="Z1333" s="84" t="str">
        <f>HYPERLINK("https://twitter.com/irondant/status/1441859890008449030")</f>
        <v>https://twitter.com/irondant/status/1441859890008449030</v>
      </c>
      <c r="AA1333" s="81"/>
      <c r="AB1333" s="81"/>
      <c r="AC1333" s="86" t="s">
        <v>7226</v>
      </c>
      <c r="AD1333" s="86" t="s">
        <v>7711</v>
      </c>
      <c r="AE1333" s="81" t="b">
        <v>0</v>
      </c>
      <c r="AF1333" s="81">
        <v>5</v>
      </c>
      <c r="AG1333" s="86" t="s">
        <v>7888</v>
      </c>
      <c r="AH1333" s="81" t="b">
        <v>0</v>
      </c>
      <c r="AI1333" s="81" t="s">
        <v>2171</v>
      </c>
      <c r="AJ1333" s="81"/>
      <c r="AK1333" s="86" t="s">
        <v>2084</v>
      </c>
      <c r="AL1333" s="81" t="b">
        <v>0</v>
      </c>
      <c r="AM1333" s="81">
        <v>1</v>
      </c>
      <c r="AN1333" s="86" t="s">
        <v>2084</v>
      </c>
      <c r="AO1333" s="86" t="s">
        <v>2178</v>
      </c>
      <c r="AP1333" s="81" t="b">
        <v>0</v>
      </c>
      <c r="AQ1333" s="86" t="s">
        <v>7711</v>
      </c>
      <c r="AR1333" s="81" t="s">
        <v>179</v>
      </c>
      <c r="AS1333" s="81">
        <v>0</v>
      </c>
      <c r="AT1333" s="81">
        <v>0</v>
      </c>
      <c r="AU1333" s="81"/>
      <c r="AV1333" s="81"/>
      <c r="AW1333" s="81"/>
      <c r="AX1333" s="81"/>
      <c r="AY1333" s="81"/>
      <c r="AZ1333" s="81"/>
      <c r="BA1333" s="81"/>
      <c r="BB1333" s="81"/>
    </row>
    <row r="1334" spans="1:54" x14ac:dyDescent="0.35">
      <c r="A1334" s="66" t="s">
        <v>4666</v>
      </c>
      <c r="B1334" s="66" t="s">
        <v>5126</v>
      </c>
      <c r="C1334" s="67"/>
      <c r="D1334" s="68"/>
      <c r="E1334" s="69"/>
      <c r="F1334" s="70"/>
      <c r="G1334" s="67"/>
      <c r="H1334" s="71"/>
      <c r="I1334" s="72"/>
      <c r="J1334" s="72"/>
      <c r="K1334" s="36"/>
      <c r="L1334" s="79"/>
      <c r="M1334" s="79"/>
      <c r="N1334" s="74"/>
      <c r="O1334" s="81" t="s">
        <v>696</v>
      </c>
      <c r="P1334" s="83">
        <v>44464.846759259257</v>
      </c>
      <c r="Q1334" s="81" t="s">
        <v>5514</v>
      </c>
      <c r="R1334" s="81"/>
      <c r="S1334" s="81"/>
      <c r="T1334" s="81"/>
      <c r="U1334" s="81"/>
      <c r="V1334" s="84" t="str">
        <f>HYPERLINK("https://pbs.twimg.com/profile_images/3092939456/e0a5f7d74633a770c0cab1cc7e3541a5_normal.jpeg")</f>
        <v>https://pbs.twimg.com/profile_images/3092939456/e0a5f7d74633a770c0cab1cc7e3541a5_normal.jpeg</v>
      </c>
      <c r="W1334" s="83">
        <v>44464.846759259257</v>
      </c>
      <c r="X1334" s="89">
        <v>44464</v>
      </c>
      <c r="Y1334" s="86" t="s">
        <v>6311</v>
      </c>
      <c r="Z1334" s="84" t="str">
        <f>HYPERLINK("https://twitter.com/irondant/status/1441859890008449030")</f>
        <v>https://twitter.com/irondant/status/1441859890008449030</v>
      </c>
      <c r="AA1334" s="81"/>
      <c r="AB1334" s="81"/>
      <c r="AC1334" s="86" t="s">
        <v>7226</v>
      </c>
      <c r="AD1334" s="86" t="s">
        <v>7711</v>
      </c>
      <c r="AE1334" s="81" t="b">
        <v>0</v>
      </c>
      <c r="AF1334" s="81">
        <v>5</v>
      </c>
      <c r="AG1334" s="86" t="s">
        <v>7888</v>
      </c>
      <c r="AH1334" s="81" t="b">
        <v>0</v>
      </c>
      <c r="AI1334" s="81" t="s">
        <v>2171</v>
      </c>
      <c r="AJ1334" s="81"/>
      <c r="AK1334" s="86" t="s">
        <v>2084</v>
      </c>
      <c r="AL1334" s="81" t="b">
        <v>0</v>
      </c>
      <c r="AM1334" s="81">
        <v>1</v>
      </c>
      <c r="AN1334" s="86" t="s">
        <v>2084</v>
      </c>
      <c r="AO1334" s="86" t="s">
        <v>2178</v>
      </c>
      <c r="AP1334" s="81" t="b">
        <v>0</v>
      </c>
      <c r="AQ1334" s="86" t="s">
        <v>7711</v>
      </c>
      <c r="AR1334" s="81" t="s">
        <v>179</v>
      </c>
      <c r="AS1334" s="81">
        <v>0</v>
      </c>
      <c r="AT1334" s="81">
        <v>0</v>
      </c>
      <c r="AU1334" s="81"/>
      <c r="AV1334" s="81"/>
      <c r="AW1334" s="81"/>
      <c r="AX1334" s="81"/>
      <c r="AY1334" s="81"/>
      <c r="AZ1334" s="81"/>
      <c r="BA1334" s="81"/>
      <c r="BB1334" s="81"/>
    </row>
    <row r="1335" spans="1:54" x14ac:dyDescent="0.35">
      <c r="A1335" s="66" t="s">
        <v>4666</v>
      </c>
      <c r="B1335" s="66" t="s">
        <v>5127</v>
      </c>
      <c r="C1335" s="67"/>
      <c r="D1335" s="68"/>
      <c r="E1335" s="69"/>
      <c r="F1335" s="70"/>
      <c r="G1335" s="67"/>
      <c r="H1335" s="71"/>
      <c r="I1335" s="72"/>
      <c r="J1335" s="72"/>
      <c r="K1335" s="36"/>
      <c r="L1335" s="79"/>
      <c r="M1335" s="79"/>
      <c r="N1335" s="74"/>
      <c r="O1335" s="81" t="s">
        <v>695</v>
      </c>
      <c r="P1335" s="83">
        <v>44464.846759259257</v>
      </c>
      <c r="Q1335" s="81" t="s">
        <v>5514</v>
      </c>
      <c r="R1335" s="81"/>
      <c r="S1335" s="81"/>
      <c r="T1335" s="81"/>
      <c r="U1335" s="81"/>
      <c r="V1335" s="84" t="str">
        <f>HYPERLINK("https://pbs.twimg.com/profile_images/3092939456/e0a5f7d74633a770c0cab1cc7e3541a5_normal.jpeg")</f>
        <v>https://pbs.twimg.com/profile_images/3092939456/e0a5f7d74633a770c0cab1cc7e3541a5_normal.jpeg</v>
      </c>
      <c r="W1335" s="83">
        <v>44464.846759259257</v>
      </c>
      <c r="X1335" s="89">
        <v>44464</v>
      </c>
      <c r="Y1335" s="86" t="s">
        <v>6311</v>
      </c>
      <c r="Z1335" s="84" t="str">
        <f>HYPERLINK("https://twitter.com/irondant/status/1441859890008449030")</f>
        <v>https://twitter.com/irondant/status/1441859890008449030</v>
      </c>
      <c r="AA1335" s="81"/>
      <c r="AB1335" s="81"/>
      <c r="AC1335" s="86" t="s">
        <v>7226</v>
      </c>
      <c r="AD1335" s="86" t="s">
        <v>7711</v>
      </c>
      <c r="AE1335" s="81" t="b">
        <v>0</v>
      </c>
      <c r="AF1335" s="81">
        <v>5</v>
      </c>
      <c r="AG1335" s="86" t="s">
        <v>7888</v>
      </c>
      <c r="AH1335" s="81" t="b">
        <v>0</v>
      </c>
      <c r="AI1335" s="81" t="s">
        <v>2171</v>
      </c>
      <c r="AJ1335" s="81"/>
      <c r="AK1335" s="86" t="s">
        <v>2084</v>
      </c>
      <c r="AL1335" s="81" t="b">
        <v>0</v>
      </c>
      <c r="AM1335" s="81">
        <v>1</v>
      </c>
      <c r="AN1335" s="86" t="s">
        <v>2084</v>
      </c>
      <c r="AO1335" s="86" t="s">
        <v>2178</v>
      </c>
      <c r="AP1335" s="81" t="b">
        <v>0</v>
      </c>
      <c r="AQ1335" s="86" t="s">
        <v>7711</v>
      </c>
      <c r="AR1335" s="81" t="s">
        <v>179</v>
      </c>
      <c r="AS1335" s="81">
        <v>0</v>
      </c>
      <c r="AT1335" s="81">
        <v>0</v>
      </c>
      <c r="AU1335" s="81"/>
      <c r="AV1335" s="81"/>
      <c r="AW1335" s="81"/>
      <c r="AX1335" s="81"/>
      <c r="AY1335" s="81"/>
      <c r="AZ1335" s="81"/>
      <c r="BA1335" s="81"/>
      <c r="BB1335" s="81"/>
    </row>
    <row r="1336" spans="1:54" x14ac:dyDescent="0.35">
      <c r="A1336" s="66" t="s">
        <v>4667</v>
      </c>
      <c r="B1336" s="66" t="s">
        <v>4666</v>
      </c>
      <c r="C1336" s="67"/>
      <c r="D1336" s="68"/>
      <c r="E1336" s="69"/>
      <c r="F1336" s="70"/>
      <c r="G1336" s="67"/>
      <c r="H1336" s="71"/>
      <c r="I1336" s="72"/>
      <c r="J1336" s="72"/>
      <c r="K1336" s="36"/>
      <c r="L1336" s="79"/>
      <c r="M1336" s="79"/>
      <c r="N1336" s="74"/>
      <c r="O1336" s="81" t="s">
        <v>693</v>
      </c>
      <c r="P1336" s="83">
        <v>44465.659050925926</v>
      </c>
      <c r="Q1336" s="81" t="s">
        <v>5514</v>
      </c>
      <c r="R1336" s="81"/>
      <c r="S1336" s="81"/>
      <c r="T1336" s="81"/>
      <c r="U1336" s="81"/>
      <c r="V1336" s="84" t="str">
        <f>HYPERLINK("https://pbs.twimg.com/profile_images/646355444722716672/X_Vm9zYF_normal.jpg")</f>
        <v>https://pbs.twimg.com/profile_images/646355444722716672/X_Vm9zYF_normal.jpg</v>
      </c>
      <c r="W1336" s="83">
        <v>44465.659050925926</v>
      </c>
      <c r="X1336" s="89">
        <v>44465</v>
      </c>
      <c r="Y1336" s="86" t="s">
        <v>6312</v>
      </c>
      <c r="Z1336" s="84" t="str">
        <f>HYPERLINK("https://twitter.com/alessandrakoren/status/1442154254588858375")</f>
        <v>https://twitter.com/alessandrakoren/status/1442154254588858375</v>
      </c>
      <c r="AA1336" s="81"/>
      <c r="AB1336" s="81"/>
      <c r="AC1336" s="86" t="s">
        <v>7227</v>
      </c>
      <c r="AD1336" s="81"/>
      <c r="AE1336" s="81" t="b">
        <v>0</v>
      </c>
      <c r="AF1336" s="81">
        <v>0</v>
      </c>
      <c r="AG1336" s="86" t="s">
        <v>2084</v>
      </c>
      <c r="AH1336" s="81" t="b">
        <v>0</v>
      </c>
      <c r="AI1336" s="81" t="s">
        <v>2171</v>
      </c>
      <c r="AJ1336" s="81"/>
      <c r="AK1336" s="86" t="s">
        <v>2084</v>
      </c>
      <c r="AL1336" s="81" t="b">
        <v>0</v>
      </c>
      <c r="AM1336" s="81">
        <v>1</v>
      </c>
      <c r="AN1336" s="86" t="s">
        <v>7226</v>
      </c>
      <c r="AO1336" s="86" t="s">
        <v>2178</v>
      </c>
      <c r="AP1336" s="81" t="b">
        <v>0</v>
      </c>
      <c r="AQ1336" s="86" t="s">
        <v>7226</v>
      </c>
      <c r="AR1336" s="81" t="s">
        <v>179</v>
      </c>
      <c r="AS1336" s="81">
        <v>0</v>
      </c>
      <c r="AT1336" s="81">
        <v>0</v>
      </c>
      <c r="AU1336" s="81"/>
      <c r="AV1336" s="81"/>
      <c r="AW1336" s="81"/>
      <c r="AX1336" s="81"/>
      <c r="AY1336" s="81"/>
      <c r="AZ1336" s="81"/>
      <c r="BA1336" s="81"/>
      <c r="BB1336" s="81"/>
    </row>
    <row r="1337" spans="1:54" x14ac:dyDescent="0.35">
      <c r="A1337" s="66" t="s">
        <v>4667</v>
      </c>
      <c r="B1337" s="66" t="s">
        <v>4982</v>
      </c>
      <c r="C1337" s="67"/>
      <c r="D1337" s="68"/>
      <c r="E1337" s="69"/>
      <c r="F1337" s="70"/>
      <c r="G1337" s="67"/>
      <c r="H1337" s="71"/>
      <c r="I1337" s="72"/>
      <c r="J1337" s="72"/>
      <c r="K1337" s="36"/>
      <c r="L1337" s="79"/>
      <c r="M1337" s="79"/>
      <c r="N1337" s="74"/>
      <c r="O1337" s="81" t="s">
        <v>694</v>
      </c>
      <c r="P1337" s="83">
        <v>44465.659050925926</v>
      </c>
      <c r="Q1337" s="81" t="s">
        <v>5514</v>
      </c>
      <c r="R1337" s="81"/>
      <c r="S1337" s="81"/>
      <c r="T1337" s="81"/>
      <c r="U1337" s="81"/>
      <c r="V1337" s="84" t="str">
        <f>HYPERLINK("https://pbs.twimg.com/profile_images/646355444722716672/X_Vm9zYF_normal.jpg")</f>
        <v>https://pbs.twimg.com/profile_images/646355444722716672/X_Vm9zYF_normal.jpg</v>
      </c>
      <c r="W1337" s="83">
        <v>44465.659050925926</v>
      </c>
      <c r="X1337" s="89">
        <v>44465</v>
      </c>
      <c r="Y1337" s="86" t="s">
        <v>6312</v>
      </c>
      <c r="Z1337" s="84" t="str">
        <f>HYPERLINK("https://twitter.com/alessandrakoren/status/1442154254588858375")</f>
        <v>https://twitter.com/alessandrakoren/status/1442154254588858375</v>
      </c>
      <c r="AA1337" s="81"/>
      <c r="AB1337" s="81"/>
      <c r="AC1337" s="86" t="s">
        <v>7227</v>
      </c>
      <c r="AD1337" s="81"/>
      <c r="AE1337" s="81" t="b">
        <v>0</v>
      </c>
      <c r="AF1337" s="81">
        <v>0</v>
      </c>
      <c r="AG1337" s="86" t="s">
        <v>2084</v>
      </c>
      <c r="AH1337" s="81" t="b">
        <v>0</v>
      </c>
      <c r="AI1337" s="81" t="s">
        <v>2171</v>
      </c>
      <c r="AJ1337" s="81"/>
      <c r="AK1337" s="86" t="s">
        <v>2084</v>
      </c>
      <c r="AL1337" s="81" t="b">
        <v>0</v>
      </c>
      <c r="AM1337" s="81">
        <v>1</v>
      </c>
      <c r="AN1337" s="86" t="s">
        <v>7226</v>
      </c>
      <c r="AO1337" s="86" t="s">
        <v>2178</v>
      </c>
      <c r="AP1337" s="81" t="b">
        <v>0</v>
      </c>
      <c r="AQ1337" s="86" t="s">
        <v>7226</v>
      </c>
      <c r="AR1337" s="81" t="s">
        <v>179</v>
      </c>
      <c r="AS1337" s="81">
        <v>0</v>
      </c>
      <c r="AT1337" s="81">
        <v>0</v>
      </c>
      <c r="AU1337" s="81"/>
      <c r="AV1337" s="81"/>
      <c r="AW1337" s="81"/>
      <c r="AX1337" s="81"/>
      <c r="AY1337" s="81"/>
      <c r="AZ1337" s="81"/>
      <c r="BA1337" s="81"/>
      <c r="BB1337" s="81"/>
    </row>
    <row r="1338" spans="1:54" x14ac:dyDescent="0.35">
      <c r="A1338" s="66" t="s">
        <v>4667</v>
      </c>
      <c r="B1338" s="66" t="s">
        <v>5126</v>
      </c>
      <c r="C1338" s="67"/>
      <c r="D1338" s="68"/>
      <c r="E1338" s="69"/>
      <c r="F1338" s="70"/>
      <c r="G1338" s="67"/>
      <c r="H1338" s="71"/>
      <c r="I1338" s="72"/>
      <c r="J1338" s="72"/>
      <c r="K1338" s="36"/>
      <c r="L1338" s="79"/>
      <c r="M1338" s="79"/>
      <c r="N1338" s="74"/>
      <c r="O1338" s="81" t="s">
        <v>694</v>
      </c>
      <c r="P1338" s="83">
        <v>44465.659050925926</v>
      </c>
      <c r="Q1338" s="81" t="s">
        <v>5514</v>
      </c>
      <c r="R1338" s="81"/>
      <c r="S1338" s="81"/>
      <c r="T1338" s="81"/>
      <c r="U1338" s="81"/>
      <c r="V1338" s="84" t="str">
        <f>HYPERLINK("https://pbs.twimg.com/profile_images/646355444722716672/X_Vm9zYF_normal.jpg")</f>
        <v>https://pbs.twimg.com/profile_images/646355444722716672/X_Vm9zYF_normal.jpg</v>
      </c>
      <c r="W1338" s="83">
        <v>44465.659050925926</v>
      </c>
      <c r="X1338" s="89">
        <v>44465</v>
      </c>
      <c r="Y1338" s="86" t="s">
        <v>6312</v>
      </c>
      <c r="Z1338" s="84" t="str">
        <f>HYPERLINK("https://twitter.com/alessandrakoren/status/1442154254588858375")</f>
        <v>https://twitter.com/alessandrakoren/status/1442154254588858375</v>
      </c>
      <c r="AA1338" s="81"/>
      <c r="AB1338" s="81"/>
      <c r="AC1338" s="86" t="s">
        <v>7227</v>
      </c>
      <c r="AD1338" s="81"/>
      <c r="AE1338" s="81" t="b">
        <v>0</v>
      </c>
      <c r="AF1338" s="81">
        <v>0</v>
      </c>
      <c r="AG1338" s="86" t="s">
        <v>2084</v>
      </c>
      <c r="AH1338" s="81" t="b">
        <v>0</v>
      </c>
      <c r="AI1338" s="81" t="s">
        <v>2171</v>
      </c>
      <c r="AJ1338" s="81"/>
      <c r="AK1338" s="86" t="s">
        <v>2084</v>
      </c>
      <c r="AL1338" s="81" t="b">
        <v>0</v>
      </c>
      <c r="AM1338" s="81">
        <v>1</v>
      </c>
      <c r="AN1338" s="86" t="s">
        <v>7226</v>
      </c>
      <c r="AO1338" s="86" t="s">
        <v>2178</v>
      </c>
      <c r="AP1338" s="81" t="b">
        <v>0</v>
      </c>
      <c r="AQ1338" s="86" t="s">
        <v>7226</v>
      </c>
      <c r="AR1338" s="81" t="s">
        <v>179</v>
      </c>
      <c r="AS1338" s="81">
        <v>0</v>
      </c>
      <c r="AT1338" s="81">
        <v>0</v>
      </c>
      <c r="AU1338" s="81"/>
      <c r="AV1338" s="81"/>
      <c r="AW1338" s="81"/>
      <c r="AX1338" s="81"/>
      <c r="AY1338" s="81"/>
      <c r="AZ1338" s="81"/>
      <c r="BA1338" s="81"/>
      <c r="BB1338" s="81"/>
    </row>
    <row r="1339" spans="1:54" x14ac:dyDescent="0.35">
      <c r="A1339" s="66" t="s">
        <v>4667</v>
      </c>
      <c r="B1339" s="66" t="s">
        <v>5127</v>
      </c>
      <c r="C1339" s="67"/>
      <c r="D1339" s="68"/>
      <c r="E1339" s="69"/>
      <c r="F1339" s="70"/>
      <c r="G1339" s="67"/>
      <c r="H1339" s="71"/>
      <c r="I1339" s="72"/>
      <c r="J1339" s="72"/>
      <c r="K1339" s="36"/>
      <c r="L1339" s="79"/>
      <c r="M1339" s="79"/>
      <c r="N1339" s="74"/>
      <c r="O1339" s="81" t="s">
        <v>695</v>
      </c>
      <c r="P1339" s="83">
        <v>44465.659050925926</v>
      </c>
      <c r="Q1339" s="81" t="s">
        <v>5514</v>
      </c>
      <c r="R1339" s="81"/>
      <c r="S1339" s="81"/>
      <c r="T1339" s="81"/>
      <c r="U1339" s="81"/>
      <c r="V1339" s="84" t="str">
        <f>HYPERLINK("https://pbs.twimg.com/profile_images/646355444722716672/X_Vm9zYF_normal.jpg")</f>
        <v>https://pbs.twimg.com/profile_images/646355444722716672/X_Vm9zYF_normal.jpg</v>
      </c>
      <c r="W1339" s="83">
        <v>44465.659050925926</v>
      </c>
      <c r="X1339" s="89">
        <v>44465</v>
      </c>
      <c r="Y1339" s="86" t="s">
        <v>6312</v>
      </c>
      <c r="Z1339" s="84" t="str">
        <f>HYPERLINK("https://twitter.com/alessandrakoren/status/1442154254588858375")</f>
        <v>https://twitter.com/alessandrakoren/status/1442154254588858375</v>
      </c>
      <c r="AA1339" s="81"/>
      <c r="AB1339" s="81"/>
      <c r="AC1339" s="86" t="s">
        <v>7227</v>
      </c>
      <c r="AD1339" s="81"/>
      <c r="AE1339" s="81" t="b">
        <v>0</v>
      </c>
      <c r="AF1339" s="81">
        <v>0</v>
      </c>
      <c r="AG1339" s="86" t="s">
        <v>2084</v>
      </c>
      <c r="AH1339" s="81" t="b">
        <v>0</v>
      </c>
      <c r="AI1339" s="81" t="s">
        <v>2171</v>
      </c>
      <c r="AJ1339" s="81"/>
      <c r="AK1339" s="86" t="s">
        <v>2084</v>
      </c>
      <c r="AL1339" s="81" t="b">
        <v>0</v>
      </c>
      <c r="AM1339" s="81">
        <v>1</v>
      </c>
      <c r="AN1339" s="86" t="s">
        <v>7226</v>
      </c>
      <c r="AO1339" s="86" t="s">
        <v>2178</v>
      </c>
      <c r="AP1339" s="81" t="b">
        <v>0</v>
      </c>
      <c r="AQ1339" s="86" t="s">
        <v>7226</v>
      </c>
      <c r="AR1339" s="81" t="s">
        <v>179</v>
      </c>
      <c r="AS1339" s="81">
        <v>0</v>
      </c>
      <c r="AT1339" s="81">
        <v>0</v>
      </c>
      <c r="AU1339" s="81"/>
      <c r="AV1339" s="81"/>
      <c r="AW1339" s="81"/>
      <c r="AX1339" s="81"/>
      <c r="AY1339" s="81"/>
      <c r="AZ1339" s="81"/>
      <c r="BA1339" s="81"/>
      <c r="BB1339" s="81"/>
    </row>
    <row r="1340" spans="1:54" x14ac:dyDescent="0.35">
      <c r="A1340" s="66" t="s">
        <v>4668</v>
      </c>
      <c r="B1340" s="66" t="s">
        <v>4944</v>
      </c>
      <c r="C1340" s="67"/>
      <c r="D1340" s="68"/>
      <c r="E1340" s="69"/>
      <c r="F1340" s="70"/>
      <c r="G1340" s="67"/>
      <c r="H1340" s="71"/>
      <c r="I1340" s="72"/>
      <c r="J1340" s="72"/>
      <c r="K1340" s="36"/>
      <c r="L1340" s="79"/>
      <c r="M1340" s="79"/>
      <c r="N1340" s="74"/>
      <c r="O1340" s="81" t="s">
        <v>693</v>
      </c>
      <c r="P1340" s="83">
        <v>44465.661168981482</v>
      </c>
      <c r="Q1340" s="81" t="s">
        <v>5505</v>
      </c>
      <c r="R1340" s="81"/>
      <c r="S1340" s="81"/>
      <c r="T1340" s="81"/>
      <c r="U1340" s="81"/>
      <c r="V1340" s="84" t="str">
        <f>HYPERLINK("https://pbs.twimg.com/profile_images/1394846283882536966/CZ1t5Om7_normal.jpg")</f>
        <v>https://pbs.twimg.com/profile_images/1394846283882536966/CZ1t5Om7_normal.jpg</v>
      </c>
      <c r="W1340" s="83">
        <v>44465.661168981482</v>
      </c>
      <c r="X1340" s="89">
        <v>44465</v>
      </c>
      <c r="Y1340" s="86" t="s">
        <v>6313</v>
      </c>
      <c r="Z1340" s="84" t="str">
        <f>HYPERLINK("https://twitter.com/elianadacruzro1/status/1442155020917501957")</f>
        <v>https://twitter.com/elianadacruzro1/status/1442155020917501957</v>
      </c>
      <c r="AA1340" s="81"/>
      <c r="AB1340" s="81"/>
      <c r="AC1340" s="86" t="s">
        <v>7228</v>
      </c>
      <c r="AD1340" s="81"/>
      <c r="AE1340" s="81" t="b">
        <v>0</v>
      </c>
      <c r="AF1340" s="81">
        <v>0</v>
      </c>
      <c r="AG1340" s="86" t="s">
        <v>2084</v>
      </c>
      <c r="AH1340" s="81" t="b">
        <v>0</v>
      </c>
      <c r="AI1340" s="81" t="s">
        <v>2171</v>
      </c>
      <c r="AJ1340" s="81"/>
      <c r="AK1340" s="86" t="s">
        <v>2084</v>
      </c>
      <c r="AL1340" s="81" t="b">
        <v>0</v>
      </c>
      <c r="AM1340" s="81">
        <v>255</v>
      </c>
      <c r="AN1340" s="86" t="s">
        <v>7543</v>
      </c>
      <c r="AO1340" s="86" t="s">
        <v>2178</v>
      </c>
      <c r="AP1340" s="81" t="b">
        <v>0</v>
      </c>
      <c r="AQ1340" s="86" t="s">
        <v>7543</v>
      </c>
      <c r="AR1340" s="81" t="s">
        <v>179</v>
      </c>
      <c r="AS1340" s="81">
        <v>0</v>
      </c>
      <c r="AT1340" s="81">
        <v>0</v>
      </c>
      <c r="AU1340" s="81"/>
      <c r="AV1340" s="81"/>
      <c r="AW1340" s="81"/>
      <c r="AX1340" s="81"/>
      <c r="AY1340" s="81"/>
      <c r="AZ1340" s="81"/>
      <c r="BA1340" s="81"/>
      <c r="BB1340" s="81"/>
    </row>
    <row r="1341" spans="1:54" x14ac:dyDescent="0.35">
      <c r="A1341" s="66" t="s">
        <v>4669</v>
      </c>
      <c r="B1341" s="66" t="s">
        <v>5133</v>
      </c>
      <c r="C1341" s="67"/>
      <c r="D1341" s="68"/>
      <c r="E1341" s="69"/>
      <c r="F1341" s="70"/>
      <c r="G1341" s="67"/>
      <c r="H1341" s="71"/>
      <c r="I1341" s="72"/>
      <c r="J1341" s="72"/>
      <c r="K1341" s="36"/>
      <c r="L1341" s="79"/>
      <c r="M1341" s="79"/>
      <c r="N1341" s="74"/>
      <c r="O1341" s="81" t="s">
        <v>695</v>
      </c>
      <c r="P1341" s="83">
        <v>44465.658680555556</v>
      </c>
      <c r="Q1341" s="81" t="s">
        <v>5515</v>
      </c>
      <c r="R1341" s="81"/>
      <c r="S1341" s="81"/>
      <c r="T1341" s="81"/>
      <c r="U1341" s="81"/>
      <c r="V1341" s="84" t="str">
        <f>HYPERLINK("https://pbs.twimg.com/profile_images/1243303827358584835/nNsA36ht_normal.jpg")</f>
        <v>https://pbs.twimg.com/profile_images/1243303827358584835/nNsA36ht_normal.jpg</v>
      </c>
      <c r="W1341" s="83">
        <v>44465.658680555556</v>
      </c>
      <c r="X1341" s="89">
        <v>44465</v>
      </c>
      <c r="Y1341" s="86" t="s">
        <v>6314</v>
      </c>
      <c r="Z1341" s="84" t="str">
        <f>HYPERLINK("https://twitter.com/marcoscruzeiro5/status/1442154117330137091")</f>
        <v>https://twitter.com/marcoscruzeiro5/status/1442154117330137091</v>
      </c>
      <c r="AA1341" s="81"/>
      <c r="AB1341" s="81"/>
      <c r="AC1341" s="86" t="s">
        <v>7229</v>
      </c>
      <c r="AD1341" s="86" t="s">
        <v>7712</v>
      </c>
      <c r="AE1341" s="81" t="b">
        <v>0</v>
      </c>
      <c r="AF1341" s="81">
        <v>6</v>
      </c>
      <c r="AG1341" s="86" t="s">
        <v>7885</v>
      </c>
      <c r="AH1341" s="81" t="b">
        <v>0</v>
      </c>
      <c r="AI1341" s="81" t="s">
        <v>2171</v>
      </c>
      <c r="AJ1341" s="81"/>
      <c r="AK1341" s="86" t="s">
        <v>2084</v>
      </c>
      <c r="AL1341" s="81" t="b">
        <v>0</v>
      </c>
      <c r="AM1341" s="81">
        <v>1</v>
      </c>
      <c r="AN1341" s="86" t="s">
        <v>2084</v>
      </c>
      <c r="AO1341" s="86" t="s">
        <v>2178</v>
      </c>
      <c r="AP1341" s="81" t="b">
        <v>0</v>
      </c>
      <c r="AQ1341" s="86" t="s">
        <v>7712</v>
      </c>
      <c r="AR1341" s="81" t="s">
        <v>179</v>
      </c>
      <c r="AS1341" s="81">
        <v>0</v>
      </c>
      <c r="AT1341" s="81">
        <v>0</v>
      </c>
      <c r="AU1341" s="81"/>
      <c r="AV1341" s="81"/>
      <c r="AW1341" s="81"/>
      <c r="AX1341" s="81"/>
      <c r="AY1341" s="81"/>
      <c r="AZ1341" s="81"/>
      <c r="BA1341" s="81"/>
      <c r="BB1341" s="81"/>
    </row>
    <row r="1342" spans="1:54" x14ac:dyDescent="0.35">
      <c r="A1342" s="66" t="s">
        <v>4670</v>
      </c>
      <c r="B1342" s="66" t="s">
        <v>4669</v>
      </c>
      <c r="C1342" s="67"/>
      <c r="D1342" s="68"/>
      <c r="E1342" s="69"/>
      <c r="F1342" s="70"/>
      <c r="G1342" s="67"/>
      <c r="H1342" s="71"/>
      <c r="I1342" s="72"/>
      <c r="J1342" s="72"/>
      <c r="K1342" s="36"/>
      <c r="L1342" s="79"/>
      <c r="M1342" s="79"/>
      <c r="N1342" s="74"/>
      <c r="O1342" s="81" t="s">
        <v>693</v>
      </c>
      <c r="P1342" s="83">
        <v>44465.662685185183</v>
      </c>
      <c r="Q1342" s="81" t="s">
        <v>5515</v>
      </c>
      <c r="R1342" s="81"/>
      <c r="S1342" s="81"/>
      <c r="T1342" s="81"/>
      <c r="U1342" s="81"/>
      <c r="V1342" s="84" t="str">
        <f>HYPERLINK("https://pbs.twimg.com/profile_images/1360338698722828292/uTqIX3bj_normal.jpg")</f>
        <v>https://pbs.twimg.com/profile_images/1360338698722828292/uTqIX3bj_normal.jpg</v>
      </c>
      <c r="W1342" s="83">
        <v>44465.662685185183</v>
      </c>
      <c r="X1342" s="89">
        <v>44465</v>
      </c>
      <c r="Y1342" s="86" t="s">
        <v>6315</v>
      </c>
      <c r="Z1342" s="84" t="str">
        <f>HYPERLINK("https://twitter.com/cassianacotica/status/1442155571789115392")</f>
        <v>https://twitter.com/cassianacotica/status/1442155571789115392</v>
      </c>
      <c r="AA1342" s="81"/>
      <c r="AB1342" s="81"/>
      <c r="AC1342" s="86" t="s">
        <v>7230</v>
      </c>
      <c r="AD1342" s="81"/>
      <c r="AE1342" s="81" t="b">
        <v>0</v>
      </c>
      <c r="AF1342" s="81">
        <v>0</v>
      </c>
      <c r="AG1342" s="86" t="s">
        <v>2084</v>
      </c>
      <c r="AH1342" s="81" t="b">
        <v>0</v>
      </c>
      <c r="AI1342" s="81" t="s">
        <v>2171</v>
      </c>
      <c r="AJ1342" s="81"/>
      <c r="AK1342" s="86" t="s">
        <v>2084</v>
      </c>
      <c r="AL1342" s="81" t="b">
        <v>0</v>
      </c>
      <c r="AM1342" s="81">
        <v>1</v>
      </c>
      <c r="AN1342" s="86" t="s">
        <v>7229</v>
      </c>
      <c r="AO1342" s="86" t="s">
        <v>2179</v>
      </c>
      <c r="AP1342" s="81" t="b">
        <v>0</v>
      </c>
      <c r="AQ1342" s="86" t="s">
        <v>7229</v>
      </c>
      <c r="AR1342" s="81" t="s">
        <v>179</v>
      </c>
      <c r="AS1342" s="81">
        <v>0</v>
      </c>
      <c r="AT1342" s="81">
        <v>0</v>
      </c>
      <c r="AU1342" s="81"/>
      <c r="AV1342" s="81"/>
      <c r="AW1342" s="81"/>
      <c r="AX1342" s="81"/>
      <c r="AY1342" s="81"/>
      <c r="AZ1342" s="81"/>
      <c r="BA1342" s="81"/>
      <c r="BB1342" s="81"/>
    </row>
    <row r="1343" spans="1:54" x14ac:dyDescent="0.35">
      <c r="A1343" s="66" t="s">
        <v>4670</v>
      </c>
      <c r="B1343" s="66" t="s">
        <v>5133</v>
      </c>
      <c r="C1343" s="67"/>
      <c r="D1343" s="68"/>
      <c r="E1343" s="69"/>
      <c r="F1343" s="70"/>
      <c r="G1343" s="67"/>
      <c r="H1343" s="71"/>
      <c r="I1343" s="72"/>
      <c r="J1343" s="72"/>
      <c r="K1343" s="36"/>
      <c r="L1343" s="79"/>
      <c r="M1343" s="79"/>
      <c r="N1343" s="74"/>
      <c r="O1343" s="81" t="s">
        <v>695</v>
      </c>
      <c r="P1343" s="83">
        <v>44465.662685185183</v>
      </c>
      <c r="Q1343" s="81" t="s">
        <v>5515</v>
      </c>
      <c r="R1343" s="81"/>
      <c r="S1343" s="81"/>
      <c r="T1343" s="81"/>
      <c r="U1343" s="81"/>
      <c r="V1343" s="84" t="str">
        <f>HYPERLINK("https://pbs.twimg.com/profile_images/1360338698722828292/uTqIX3bj_normal.jpg")</f>
        <v>https://pbs.twimg.com/profile_images/1360338698722828292/uTqIX3bj_normal.jpg</v>
      </c>
      <c r="W1343" s="83">
        <v>44465.662685185183</v>
      </c>
      <c r="X1343" s="89">
        <v>44465</v>
      </c>
      <c r="Y1343" s="86" t="s">
        <v>6315</v>
      </c>
      <c r="Z1343" s="84" t="str">
        <f>HYPERLINK("https://twitter.com/cassianacotica/status/1442155571789115392")</f>
        <v>https://twitter.com/cassianacotica/status/1442155571789115392</v>
      </c>
      <c r="AA1343" s="81"/>
      <c r="AB1343" s="81"/>
      <c r="AC1343" s="86" t="s">
        <v>7230</v>
      </c>
      <c r="AD1343" s="81"/>
      <c r="AE1343" s="81" t="b">
        <v>0</v>
      </c>
      <c r="AF1343" s="81">
        <v>0</v>
      </c>
      <c r="AG1343" s="86" t="s">
        <v>2084</v>
      </c>
      <c r="AH1343" s="81" t="b">
        <v>0</v>
      </c>
      <c r="AI1343" s="81" t="s">
        <v>2171</v>
      </c>
      <c r="AJ1343" s="81"/>
      <c r="AK1343" s="86" t="s">
        <v>2084</v>
      </c>
      <c r="AL1343" s="81" t="b">
        <v>0</v>
      </c>
      <c r="AM1343" s="81">
        <v>1</v>
      </c>
      <c r="AN1343" s="86" t="s">
        <v>7229</v>
      </c>
      <c r="AO1343" s="86" t="s">
        <v>2179</v>
      </c>
      <c r="AP1343" s="81" t="b">
        <v>0</v>
      </c>
      <c r="AQ1343" s="86" t="s">
        <v>7229</v>
      </c>
      <c r="AR1343" s="81" t="s">
        <v>179</v>
      </c>
      <c r="AS1343" s="81">
        <v>0</v>
      </c>
      <c r="AT1343" s="81">
        <v>0</v>
      </c>
      <c r="AU1343" s="81"/>
      <c r="AV1343" s="81"/>
      <c r="AW1343" s="81"/>
      <c r="AX1343" s="81"/>
      <c r="AY1343" s="81"/>
      <c r="AZ1343" s="81"/>
      <c r="BA1343" s="81"/>
      <c r="BB1343" s="81"/>
    </row>
    <row r="1344" spans="1:54" x14ac:dyDescent="0.35">
      <c r="A1344" s="66" t="s">
        <v>4671</v>
      </c>
      <c r="B1344" s="66" t="s">
        <v>4944</v>
      </c>
      <c r="C1344" s="67"/>
      <c r="D1344" s="68"/>
      <c r="E1344" s="69"/>
      <c r="F1344" s="70"/>
      <c r="G1344" s="67"/>
      <c r="H1344" s="71"/>
      <c r="I1344" s="72"/>
      <c r="J1344" s="72"/>
      <c r="K1344" s="36"/>
      <c r="L1344" s="79"/>
      <c r="M1344" s="79"/>
      <c r="N1344" s="74"/>
      <c r="O1344" s="81" t="s">
        <v>693</v>
      </c>
      <c r="P1344" s="83">
        <v>44465.67591435185</v>
      </c>
      <c r="Q1344" s="81" t="s">
        <v>5505</v>
      </c>
      <c r="R1344" s="81"/>
      <c r="S1344" s="81"/>
      <c r="T1344" s="81"/>
      <c r="U1344" s="81"/>
      <c r="V1344" s="84" t="str">
        <f>HYPERLINK("https://pbs.twimg.com/profile_images/1433528388711374851/mHd_gWtG_normal.jpg")</f>
        <v>https://pbs.twimg.com/profile_images/1433528388711374851/mHd_gWtG_normal.jpg</v>
      </c>
      <c r="W1344" s="83">
        <v>44465.67591435185</v>
      </c>
      <c r="X1344" s="89">
        <v>44465</v>
      </c>
      <c r="Y1344" s="86" t="s">
        <v>6316</v>
      </c>
      <c r="Z1344" s="84" t="str">
        <f>HYPERLINK("https://twitter.com/sanguineeliane/status/1442160366104895488")</f>
        <v>https://twitter.com/sanguineeliane/status/1442160366104895488</v>
      </c>
      <c r="AA1344" s="81"/>
      <c r="AB1344" s="81"/>
      <c r="AC1344" s="86" t="s">
        <v>7231</v>
      </c>
      <c r="AD1344" s="81"/>
      <c r="AE1344" s="81" t="b">
        <v>0</v>
      </c>
      <c r="AF1344" s="81">
        <v>0</v>
      </c>
      <c r="AG1344" s="86" t="s">
        <v>2084</v>
      </c>
      <c r="AH1344" s="81" t="b">
        <v>0</v>
      </c>
      <c r="AI1344" s="81" t="s">
        <v>2171</v>
      </c>
      <c r="AJ1344" s="81"/>
      <c r="AK1344" s="86" t="s">
        <v>2084</v>
      </c>
      <c r="AL1344" s="81" t="b">
        <v>0</v>
      </c>
      <c r="AM1344" s="81">
        <v>255</v>
      </c>
      <c r="AN1344" s="86" t="s">
        <v>7543</v>
      </c>
      <c r="AO1344" s="86" t="s">
        <v>2179</v>
      </c>
      <c r="AP1344" s="81" t="b">
        <v>0</v>
      </c>
      <c r="AQ1344" s="86" t="s">
        <v>7543</v>
      </c>
      <c r="AR1344" s="81" t="s">
        <v>179</v>
      </c>
      <c r="AS1344" s="81">
        <v>0</v>
      </c>
      <c r="AT1344" s="81">
        <v>0</v>
      </c>
      <c r="AU1344" s="81"/>
      <c r="AV1344" s="81"/>
      <c r="AW1344" s="81"/>
      <c r="AX1344" s="81"/>
      <c r="AY1344" s="81"/>
      <c r="AZ1344" s="81"/>
      <c r="BA1344" s="81"/>
      <c r="BB1344" s="81"/>
    </row>
    <row r="1345" spans="1:54" x14ac:dyDescent="0.35">
      <c r="A1345" s="66" t="s">
        <v>4672</v>
      </c>
      <c r="B1345" s="66" t="s">
        <v>4672</v>
      </c>
      <c r="C1345" s="67"/>
      <c r="D1345" s="68"/>
      <c r="E1345" s="69"/>
      <c r="F1345" s="70"/>
      <c r="G1345" s="67"/>
      <c r="H1345" s="71"/>
      <c r="I1345" s="72"/>
      <c r="J1345" s="72"/>
      <c r="K1345" s="36"/>
      <c r="L1345" s="79"/>
      <c r="M1345" s="79"/>
      <c r="N1345" s="74"/>
      <c r="O1345" s="81" t="s">
        <v>179</v>
      </c>
      <c r="P1345" s="83">
        <v>44465.678831018522</v>
      </c>
      <c r="Q1345" s="81" t="s">
        <v>5516</v>
      </c>
      <c r="R1345" s="81"/>
      <c r="S1345" s="81"/>
      <c r="T1345" s="81"/>
      <c r="U1345" s="81"/>
      <c r="V1345" s="84" t="str">
        <f>HYPERLINK("https://pbs.twimg.com/profile_images/741616284085944320/8xpLm-sF_normal.jpg")</f>
        <v>https://pbs.twimg.com/profile_images/741616284085944320/8xpLm-sF_normal.jpg</v>
      </c>
      <c r="W1345" s="83">
        <v>44465.678831018522</v>
      </c>
      <c r="X1345" s="89">
        <v>44465</v>
      </c>
      <c r="Y1345" s="86" t="s">
        <v>6317</v>
      </c>
      <c r="Z1345" s="84" t="str">
        <f>HYPERLINK("https://twitter.com/avozdocerrado_/status/1442161421211475969")</f>
        <v>https://twitter.com/avozdocerrado_/status/1442161421211475969</v>
      </c>
      <c r="AA1345" s="81"/>
      <c r="AB1345" s="81"/>
      <c r="AC1345" s="86" t="s">
        <v>7232</v>
      </c>
      <c r="AD1345" s="86" t="s">
        <v>7713</v>
      </c>
      <c r="AE1345" s="81" t="b">
        <v>0</v>
      </c>
      <c r="AF1345" s="81">
        <v>2</v>
      </c>
      <c r="AG1345" s="86" t="s">
        <v>7889</v>
      </c>
      <c r="AH1345" s="81" t="b">
        <v>0</v>
      </c>
      <c r="AI1345" s="81" t="s">
        <v>2171</v>
      </c>
      <c r="AJ1345" s="81"/>
      <c r="AK1345" s="86" t="s">
        <v>2084</v>
      </c>
      <c r="AL1345" s="81" t="b">
        <v>0</v>
      </c>
      <c r="AM1345" s="81">
        <v>1</v>
      </c>
      <c r="AN1345" s="86" t="s">
        <v>2084</v>
      </c>
      <c r="AO1345" s="86" t="s">
        <v>2181</v>
      </c>
      <c r="AP1345" s="81" t="b">
        <v>0</v>
      </c>
      <c r="AQ1345" s="86" t="s">
        <v>7713</v>
      </c>
      <c r="AR1345" s="81" t="s">
        <v>179</v>
      </c>
      <c r="AS1345" s="81">
        <v>0</v>
      </c>
      <c r="AT1345" s="81">
        <v>0</v>
      </c>
      <c r="AU1345" s="81"/>
      <c r="AV1345" s="81"/>
      <c r="AW1345" s="81"/>
      <c r="AX1345" s="81"/>
      <c r="AY1345" s="81"/>
      <c r="AZ1345" s="81"/>
      <c r="BA1345" s="81"/>
      <c r="BB1345" s="81"/>
    </row>
    <row r="1346" spans="1:54" x14ac:dyDescent="0.35">
      <c r="A1346" s="66" t="s">
        <v>4673</v>
      </c>
      <c r="B1346" s="66" t="s">
        <v>5135</v>
      </c>
      <c r="C1346" s="67"/>
      <c r="D1346" s="68"/>
      <c r="E1346" s="69"/>
      <c r="F1346" s="70"/>
      <c r="G1346" s="67"/>
      <c r="H1346" s="71"/>
      <c r="I1346" s="72"/>
      <c r="J1346" s="72"/>
      <c r="K1346" s="36"/>
      <c r="L1346" s="79"/>
      <c r="M1346" s="79"/>
      <c r="N1346" s="74"/>
      <c r="O1346" s="81" t="s">
        <v>696</v>
      </c>
      <c r="P1346" s="83">
        <v>44465.680960648147</v>
      </c>
      <c r="Q1346" s="81" t="s">
        <v>5517</v>
      </c>
      <c r="R1346" s="81"/>
      <c r="S1346" s="81"/>
      <c r="T1346" s="81"/>
      <c r="U1346" s="81"/>
      <c r="V1346" s="84" t="str">
        <f>HYPERLINK("https://pbs.twimg.com/profile_images/1352767690214158338/qtEQGSZ8_normal.jpg")</f>
        <v>https://pbs.twimg.com/profile_images/1352767690214158338/qtEQGSZ8_normal.jpg</v>
      </c>
      <c r="W1346" s="83">
        <v>44465.680960648147</v>
      </c>
      <c r="X1346" s="89">
        <v>44465</v>
      </c>
      <c r="Y1346" s="86" t="s">
        <v>6318</v>
      </c>
      <c r="Z1346" s="84" t="str">
        <f>HYPERLINK("https://twitter.com/andresifernande/status/1442162191642341381")</f>
        <v>https://twitter.com/andresifernande/status/1442162191642341381</v>
      </c>
      <c r="AA1346" s="81"/>
      <c r="AB1346" s="81"/>
      <c r="AC1346" s="86" t="s">
        <v>7233</v>
      </c>
      <c r="AD1346" s="86" t="s">
        <v>7714</v>
      </c>
      <c r="AE1346" s="81" t="b">
        <v>0</v>
      </c>
      <c r="AF1346" s="81">
        <v>2</v>
      </c>
      <c r="AG1346" s="86" t="s">
        <v>7890</v>
      </c>
      <c r="AH1346" s="81" t="b">
        <v>0</v>
      </c>
      <c r="AI1346" s="81" t="s">
        <v>2171</v>
      </c>
      <c r="AJ1346" s="81"/>
      <c r="AK1346" s="86" t="s">
        <v>2084</v>
      </c>
      <c r="AL1346" s="81" t="b">
        <v>0</v>
      </c>
      <c r="AM1346" s="81">
        <v>0</v>
      </c>
      <c r="AN1346" s="86" t="s">
        <v>2084</v>
      </c>
      <c r="AO1346" s="86" t="s">
        <v>2179</v>
      </c>
      <c r="AP1346" s="81" t="b">
        <v>0</v>
      </c>
      <c r="AQ1346" s="86" t="s">
        <v>7714</v>
      </c>
      <c r="AR1346" s="81" t="s">
        <v>179</v>
      </c>
      <c r="AS1346" s="81">
        <v>0</v>
      </c>
      <c r="AT1346" s="81">
        <v>0</v>
      </c>
      <c r="AU1346" s="81"/>
      <c r="AV1346" s="81"/>
      <c r="AW1346" s="81"/>
      <c r="AX1346" s="81"/>
      <c r="AY1346" s="81"/>
      <c r="AZ1346" s="81"/>
      <c r="BA1346" s="81"/>
      <c r="BB1346" s="81"/>
    </row>
    <row r="1347" spans="1:54" x14ac:dyDescent="0.35">
      <c r="A1347" s="66" t="s">
        <v>4673</v>
      </c>
      <c r="B1347" s="66" t="s">
        <v>5136</v>
      </c>
      <c r="C1347" s="67"/>
      <c r="D1347" s="68"/>
      <c r="E1347" s="69"/>
      <c r="F1347" s="70"/>
      <c r="G1347" s="67"/>
      <c r="H1347" s="71"/>
      <c r="I1347" s="72"/>
      <c r="J1347" s="72"/>
      <c r="K1347" s="36"/>
      <c r="L1347" s="79"/>
      <c r="M1347" s="79"/>
      <c r="N1347" s="74"/>
      <c r="O1347" s="81" t="s">
        <v>696</v>
      </c>
      <c r="P1347" s="83">
        <v>44465.680960648147</v>
      </c>
      <c r="Q1347" s="81" t="s">
        <v>5517</v>
      </c>
      <c r="R1347" s="81"/>
      <c r="S1347" s="81"/>
      <c r="T1347" s="81"/>
      <c r="U1347" s="81"/>
      <c r="V1347" s="84" t="str">
        <f>HYPERLINK("https://pbs.twimg.com/profile_images/1352767690214158338/qtEQGSZ8_normal.jpg")</f>
        <v>https://pbs.twimg.com/profile_images/1352767690214158338/qtEQGSZ8_normal.jpg</v>
      </c>
      <c r="W1347" s="83">
        <v>44465.680960648147</v>
      </c>
      <c r="X1347" s="89">
        <v>44465</v>
      </c>
      <c r="Y1347" s="86" t="s">
        <v>6318</v>
      </c>
      <c r="Z1347" s="84" t="str">
        <f>HYPERLINK("https://twitter.com/andresifernande/status/1442162191642341381")</f>
        <v>https://twitter.com/andresifernande/status/1442162191642341381</v>
      </c>
      <c r="AA1347" s="81"/>
      <c r="AB1347" s="81"/>
      <c r="AC1347" s="86" t="s">
        <v>7233</v>
      </c>
      <c r="AD1347" s="86" t="s">
        <v>7714</v>
      </c>
      <c r="AE1347" s="81" t="b">
        <v>0</v>
      </c>
      <c r="AF1347" s="81">
        <v>2</v>
      </c>
      <c r="AG1347" s="86" t="s">
        <v>7890</v>
      </c>
      <c r="AH1347" s="81" t="b">
        <v>0</v>
      </c>
      <c r="AI1347" s="81" t="s">
        <v>2171</v>
      </c>
      <c r="AJ1347" s="81"/>
      <c r="AK1347" s="86" t="s">
        <v>2084</v>
      </c>
      <c r="AL1347" s="81" t="b">
        <v>0</v>
      </c>
      <c r="AM1347" s="81">
        <v>0</v>
      </c>
      <c r="AN1347" s="86" t="s">
        <v>2084</v>
      </c>
      <c r="AO1347" s="86" t="s">
        <v>2179</v>
      </c>
      <c r="AP1347" s="81" t="b">
        <v>0</v>
      </c>
      <c r="AQ1347" s="86" t="s">
        <v>7714</v>
      </c>
      <c r="AR1347" s="81" t="s">
        <v>179</v>
      </c>
      <c r="AS1347" s="81">
        <v>0</v>
      </c>
      <c r="AT1347" s="81">
        <v>0</v>
      </c>
      <c r="AU1347" s="81"/>
      <c r="AV1347" s="81"/>
      <c r="AW1347" s="81"/>
      <c r="AX1347" s="81"/>
      <c r="AY1347" s="81"/>
      <c r="AZ1347" s="81"/>
      <c r="BA1347" s="81"/>
      <c r="BB1347" s="81"/>
    </row>
    <row r="1348" spans="1:54" x14ac:dyDescent="0.35">
      <c r="A1348" s="66" t="s">
        <v>4673</v>
      </c>
      <c r="B1348" s="66" t="s">
        <v>5137</v>
      </c>
      <c r="C1348" s="67"/>
      <c r="D1348" s="68"/>
      <c r="E1348" s="69"/>
      <c r="F1348" s="70"/>
      <c r="G1348" s="67"/>
      <c r="H1348" s="71"/>
      <c r="I1348" s="72"/>
      <c r="J1348" s="72"/>
      <c r="K1348" s="36"/>
      <c r="L1348" s="79"/>
      <c r="M1348" s="79"/>
      <c r="N1348" s="74"/>
      <c r="O1348" s="81" t="s">
        <v>695</v>
      </c>
      <c r="P1348" s="83">
        <v>44465.680960648147</v>
      </c>
      <c r="Q1348" s="81" t="s">
        <v>5517</v>
      </c>
      <c r="R1348" s="81"/>
      <c r="S1348" s="81"/>
      <c r="T1348" s="81"/>
      <c r="U1348" s="81"/>
      <c r="V1348" s="84" t="str">
        <f>HYPERLINK("https://pbs.twimg.com/profile_images/1352767690214158338/qtEQGSZ8_normal.jpg")</f>
        <v>https://pbs.twimg.com/profile_images/1352767690214158338/qtEQGSZ8_normal.jpg</v>
      </c>
      <c r="W1348" s="83">
        <v>44465.680960648147</v>
      </c>
      <c r="X1348" s="89">
        <v>44465</v>
      </c>
      <c r="Y1348" s="86" t="s">
        <v>6318</v>
      </c>
      <c r="Z1348" s="84" t="str">
        <f>HYPERLINK("https://twitter.com/andresifernande/status/1442162191642341381")</f>
        <v>https://twitter.com/andresifernande/status/1442162191642341381</v>
      </c>
      <c r="AA1348" s="81"/>
      <c r="AB1348" s="81"/>
      <c r="AC1348" s="86" t="s">
        <v>7233</v>
      </c>
      <c r="AD1348" s="86" t="s">
        <v>7714</v>
      </c>
      <c r="AE1348" s="81" t="b">
        <v>0</v>
      </c>
      <c r="AF1348" s="81">
        <v>2</v>
      </c>
      <c r="AG1348" s="86" t="s">
        <v>7890</v>
      </c>
      <c r="AH1348" s="81" t="b">
        <v>0</v>
      </c>
      <c r="AI1348" s="81" t="s">
        <v>2171</v>
      </c>
      <c r="AJ1348" s="81"/>
      <c r="AK1348" s="86" t="s">
        <v>2084</v>
      </c>
      <c r="AL1348" s="81" t="b">
        <v>0</v>
      </c>
      <c r="AM1348" s="81">
        <v>0</v>
      </c>
      <c r="AN1348" s="86" t="s">
        <v>2084</v>
      </c>
      <c r="AO1348" s="86" t="s">
        <v>2179</v>
      </c>
      <c r="AP1348" s="81" t="b">
        <v>0</v>
      </c>
      <c r="AQ1348" s="86" t="s">
        <v>7714</v>
      </c>
      <c r="AR1348" s="81" t="s">
        <v>179</v>
      </c>
      <c r="AS1348" s="81">
        <v>0</v>
      </c>
      <c r="AT1348" s="81">
        <v>0</v>
      </c>
      <c r="AU1348" s="81"/>
      <c r="AV1348" s="81"/>
      <c r="AW1348" s="81"/>
      <c r="AX1348" s="81"/>
      <c r="AY1348" s="81"/>
      <c r="AZ1348" s="81"/>
      <c r="BA1348" s="81"/>
      <c r="BB1348" s="81"/>
    </row>
    <row r="1349" spans="1:54" x14ac:dyDescent="0.35">
      <c r="A1349" s="66" t="s">
        <v>4673</v>
      </c>
      <c r="B1349" s="66" t="s">
        <v>5138</v>
      </c>
      <c r="C1349" s="67"/>
      <c r="D1349" s="68"/>
      <c r="E1349" s="69"/>
      <c r="F1349" s="70"/>
      <c r="G1349" s="67"/>
      <c r="H1349" s="71"/>
      <c r="I1349" s="72"/>
      <c r="J1349" s="72"/>
      <c r="K1349" s="36"/>
      <c r="L1349" s="79"/>
      <c r="M1349" s="79"/>
      <c r="N1349" s="74"/>
      <c r="O1349" s="81" t="s">
        <v>696</v>
      </c>
      <c r="P1349" s="83">
        <v>44465.680960648147</v>
      </c>
      <c r="Q1349" s="81" t="s">
        <v>5517</v>
      </c>
      <c r="R1349" s="81"/>
      <c r="S1349" s="81"/>
      <c r="T1349" s="81"/>
      <c r="U1349" s="81"/>
      <c r="V1349" s="84" t="str">
        <f>HYPERLINK("https://pbs.twimg.com/profile_images/1352767690214158338/qtEQGSZ8_normal.jpg")</f>
        <v>https://pbs.twimg.com/profile_images/1352767690214158338/qtEQGSZ8_normal.jpg</v>
      </c>
      <c r="W1349" s="83">
        <v>44465.680960648147</v>
      </c>
      <c r="X1349" s="89">
        <v>44465</v>
      </c>
      <c r="Y1349" s="86" t="s">
        <v>6318</v>
      </c>
      <c r="Z1349" s="84" t="str">
        <f>HYPERLINK("https://twitter.com/andresifernande/status/1442162191642341381")</f>
        <v>https://twitter.com/andresifernande/status/1442162191642341381</v>
      </c>
      <c r="AA1349" s="81"/>
      <c r="AB1349" s="81"/>
      <c r="AC1349" s="86" t="s">
        <v>7233</v>
      </c>
      <c r="AD1349" s="86" t="s">
        <v>7714</v>
      </c>
      <c r="AE1349" s="81" t="b">
        <v>0</v>
      </c>
      <c r="AF1349" s="81">
        <v>2</v>
      </c>
      <c r="AG1349" s="86" t="s">
        <v>7890</v>
      </c>
      <c r="AH1349" s="81" t="b">
        <v>0</v>
      </c>
      <c r="AI1349" s="81" t="s">
        <v>2171</v>
      </c>
      <c r="AJ1349" s="81"/>
      <c r="AK1349" s="86" t="s">
        <v>2084</v>
      </c>
      <c r="AL1349" s="81" t="b">
        <v>0</v>
      </c>
      <c r="AM1349" s="81">
        <v>0</v>
      </c>
      <c r="AN1349" s="86" t="s">
        <v>2084</v>
      </c>
      <c r="AO1349" s="86" t="s">
        <v>2179</v>
      </c>
      <c r="AP1349" s="81" t="b">
        <v>0</v>
      </c>
      <c r="AQ1349" s="86" t="s">
        <v>7714</v>
      </c>
      <c r="AR1349" s="81" t="s">
        <v>179</v>
      </c>
      <c r="AS1349" s="81">
        <v>0</v>
      </c>
      <c r="AT1349" s="81">
        <v>0</v>
      </c>
      <c r="AU1349" s="81"/>
      <c r="AV1349" s="81"/>
      <c r="AW1349" s="81"/>
      <c r="AX1349" s="81"/>
      <c r="AY1349" s="81"/>
      <c r="AZ1349" s="81"/>
      <c r="BA1349" s="81"/>
      <c r="BB1349" s="81"/>
    </row>
    <row r="1350" spans="1:54" x14ac:dyDescent="0.35">
      <c r="A1350" s="66" t="s">
        <v>4674</v>
      </c>
      <c r="B1350" s="66" t="s">
        <v>4944</v>
      </c>
      <c r="C1350" s="67"/>
      <c r="D1350" s="68"/>
      <c r="E1350" s="69"/>
      <c r="F1350" s="70"/>
      <c r="G1350" s="67"/>
      <c r="H1350" s="71"/>
      <c r="I1350" s="72"/>
      <c r="J1350" s="72"/>
      <c r="K1350" s="36"/>
      <c r="L1350" s="79"/>
      <c r="M1350" s="79"/>
      <c r="N1350" s="74"/>
      <c r="O1350" s="81" t="s">
        <v>693</v>
      </c>
      <c r="P1350" s="83">
        <v>44465.68204861111</v>
      </c>
      <c r="Q1350" s="81" t="s">
        <v>5505</v>
      </c>
      <c r="R1350" s="81"/>
      <c r="S1350" s="81"/>
      <c r="T1350" s="81"/>
      <c r="U1350" s="81"/>
      <c r="V1350" s="84" t="str">
        <f>HYPERLINK("https://pbs.twimg.com/profile_images/1375567519474417666/POhBhY33_normal.jpg")</f>
        <v>https://pbs.twimg.com/profile_images/1375567519474417666/POhBhY33_normal.jpg</v>
      </c>
      <c r="W1350" s="83">
        <v>44465.68204861111</v>
      </c>
      <c r="X1350" s="89">
        <v>44465</v>
      </c>
      <c r="Y1350" s="86" t="s">
        <v>6319</v>
      </c>
      <c r="Z1350" s="84" t="str">
        <f>HYPERLINK("https://twitter.com/isabeatle/status/1442162586418655237")</f>
        <v>https://twitter.com/isabeatle/status/1442162586418655237</v>
      </c>
      <c r="AA1350" s="81"/>
      <c r="AB1350" s="81"/>
      <c r="AC1350" s="86" t="s">
        <v>7234</v>
      </c>
      <c r="AD1350" s="81"/>
      <c r="AE1350" s="81" t="b">
        <v>0</v>
      </c>
      <c r="AF1350" s="81">
        <v>0</v>
      </c>
      <c r="AG1350" s="86" t="s">
        <v>2084</v>
      </c>
      <c r="AH1350" s="81" t="b">
        <v>0</v>
      </c>
      <c r="AI1350" s="81" t="s">
        <v>2171</v>
      </c>
      <c r="AJ1350" s="81"/>
      <c r="AK1350" s="86" t="s">
        <v>2084</v>
      </c>
      <c r="AL1350" s="81" t="b">
        <v>0</v>
      </c>
      <c r="AM1350" s="81">
        <v>255</v>
      </c>
      <c r="AN1350" s="86" t="s">
        <v>7543</v>
      </c>
      <c r="AO1350" s="86" t="s">
        <v>2181</v>
      </c>
      <c r="AP1350" s="81" t="b">
        <v>0</v>
      </c>
      <c r="AQ1350" s="86" t="s">
        <v>7543</v>
      </c>
      <c r="AR1350" s="81" t="s">
        <v>179</v>
      </c>
      <c r="AS1350" s="81">
        <v>0</v>
      </c>
      <c r="AT1350" s="81">
        <v>0</v>
      </c>
      <c r="AU1350" s="81"/>
      <c r="AV1350" s="81"/>
      <c r="AW1350" s="81"/>
      <c r="AX1350" s="81"/>
      <c r="AY1350" s="81"/>
      <c r="AZ1350" s="81"/>
      <c r="BA1350" s="81"/>
      <c r="BB1350" s="81"/>
    </row>
    <row r="1351" spans="1:54" x14ac:dyDescent="0.35">
      <c r="A1351" s="66" t="s">
        <v>502</v>
      </c>
      <c r="B1351" s="66" t="s">
        <v>668</v>
      </c>
      <c r="C1351" s="67"/>
      <c r="D1351" s="68"/>
      <c r="E1351" s="69"/>
      <c r="F1351" s="70"/>
      <c r="G1351" s="67"/>
      <c r="H1351" s="71"/>
      <c r="I1351" s="72"/>
      <c r="J1351" s="72"/>
      <c r="K1351" s="36"/>
      <c r="L1351" s="79"/>
      <c r="M1351" s="79"/>
      <c r="N1351" s="74"/>
      <c r="O1351" s="81" t="s">
        <v>696</v>
      </c>
      <c r="P1351" s="83">
        <v>44465.682175925926</v>
      </c>
      <c r="Q1351" s="81" t="s">
        <v>832</v>
      </c>
      <c r="R1351" s="81"/>
      <c r="S1351" s="81"/>
      <c r="T1351" s="81"/>
      <c r="U1351" s="81"/>
      <c r="V1351" s="84" t="str">
        <f>HYPERLINK("https://pbs.twimg.com/profile_images/1426679799313960960/uc_0K0z5_normal.jpg")</f>
        <v>https://pbs.twimg.com/profile_images/1426679799313960960/uc_0K0z5_normal.jpg</v>
      </c>
      <c r="W1351" s="83">
        <v>44465.682175925926</v>
      </c>
      <c r="X1351" s="89">
        <v>44465</v>
      </c>
      <c r="Y1351" s="86" t="s">
        <v>1360</v>
      </c>
      <c r="Z1351" s="84" t="str">
        <f>HYPERLINK("https://twitter.com/khairudinzack07/status/1442162631968624646")</f>
        <v>https://twitter.com/khairudinzack07/status/1442162631968624646</v>
      </c>
      <c r="AA1351" s="81"/>
      <c r="AB1351" s="81"/>
      <c r="AC1351" s="86" t="s">
        <v>1856</v>
      </c>
      <c r="AD1351" s="86" t="s">
        <v>2052</v>
      </c>
      <c r="AE1351" s="81" t="b">
        <v>0</v>
      </c>
      <c r="AF1351" s="81">
        <v>0</v>
      </c>
      <c r="AG1351" s="86" t="s">
        <v>2137</v>
      </c>
      <c r="AH1351" s="81" t="b">
        <v>0</v>
      </c>
      <c r="AI1351" s="81" t="s">
        <v>2167</v>
      </c>
      <c r="AJ1351" s="81"/>
      <c r="AK1351" s="86" t="s">
        <v>2084</v>
      </c>
      <c r="AL1351" s="81" t="b">
        <v>0</v>
      </c>
      <c r="AM1351" s="81">
        <v>0</v>
      </c>
      <c r="AN1351" s="86" t="s">
        <v>2084</v>
      </c>
      <c r="AO1351" s="86" t="s">
        <v>2179</v>
      </c>
      <c r="AP1351" s="81" t="b">
        <v>0</v>
      </c>
      <c r="AQ1351" s="86" t="s">
        <v>2052</v>
      </c>
      <c r="AR1351" s="81" t="s">
        <v>179</v>
      </c>
      <c r="AS1351" s="81">
        <v>0</v>
      </c>
      <c r="AT1351" s="81">
        <v>0</v>
      </c>
      <c r="AU1351" s="81"/>
      <c r="AV1351" s="81"/>
      <c r="AW1351" s="81"/>
      <c r="AX1351" s="81"/>
      <c r="AY1351" s="81"/>
      <c r="AZ1351" s="81"/>
      <c r="BA1351" s="81"/>
      <c r="BB1351" s="81"/>
    </row>
    <row r="1352" spans="1:54" x14ac:dyDescent="0.35">
      <c r="A1352" s="66" t="s">
        <v>502</v>
      </c>
      <c r="B1352" s="66" t="s">
        <v>668</v>
      </c>
      <c r="C1352" s="67"/>
      <c r="D1352" s="68"/>
      <c r="E1352" s="69"/>
      <c r="F1352" s="70"/>
      <c r="G1352" s="67"/>
      <c r="H1352" s="71"/>
      <c r="I1352" s="72"/>
      <c r="J1352" s="72"/>
      <c r="K1352" s="36"/>
      <c r="L1352" s="79"/>
      <c r="M1352" s="79"/>
      <c r="N1352" s="74"/>
      <c r="O1352" s="81" t="s">
        <v>696</v>
      </c>
      <c r="P1352" s="83">
        <v>44465.684675925928</v>
      </c>
      <c r="Q1352" s="81" t="s">
        <v>833</v>
      </c>
      <c r="R1352" s="81"/>
      <c r="S1352" s="81"/>
      <c r="T1352" s="81"/>
      <c r="U1352" s="81"/>
      <c r="V1352" s="84" t="str">
        <f>HYPERLINK("https://pbs.twimg.com/profile_images/1426679799313960960/uc_0K0z5_normal.jpg")</f>
        <v>https://pbs.twimg.com/profile_images/1426679799313960960/uc_0K0z5_normal.jpg</v>
      </c>
      <c r="W1352" s="83">
        <v>44465.684675925928</v>
      </c>
      <c r="X1352" s="89">
        <v>44465</v>
      </c>
      <c r="Y1352" s="86" t="s">
        <v>1361</v>
      </c>
      <c r="Z1352" s="84" t="str">
        <f>HYPERLINK("https://twitter.com/khairudinzack07/status/1442163541050462215")</f>
        <v>https://twitter.com/khairudinzack07/status/1442163541050462215</v>
      </c>
      <c r="AA1352" s="81"/>
      <c r="AB1352" s="81"/>
      <c r="AC1352" s="86" t="s">
        <v>1857</v>
      </c>
      <c r="AD1352" s="86" t="s">
        <v>2053</v>
      </c>
      <c r="AE1352" s="81" t="b">
        <v>0</v>
      </c>
      <c r="AF1352" s="81">
        <v>0</v>
      </c>
      <c r="AG1352" s="86" t="s">
        <v>2137</v>
      </c>
      <c r="AH1352" s="81" t="b">
        <v>0</v>
      </c>
      <c r="AI1352" s="81" t="s">
        <v>2167</v>
      </c>
      <c r="AJ1352" s="81"/>
      <c r="AK1352" s="86" t="s">
        <v>2084</v>
      </c>
      <c r="AL1352" s="81" t="b">
        <v>0</v>
      </c>
      <c r="AM1352" s="81">
        <v>0</v>
      </c>
      <c r="AN1352" s="86" t="s">
        <v>2084</v>
      </c>
      <c r="AO1352" s="86" t="s">
        <v>2179</v>
      </c>
      <c r="AP1352" s="81" t="b">
        <v>0</v>
      </c>
      <c r="AQ1352" s="86" t="s">
        <v>2053</v>
      </c>
      <c r="AR1352" s="81" t="s">
        <v>179</v>
      </c>
      <c r="AS1352" s="81">
        <v>0</v>
      </c>
      <c r="AT1352" s="81">
        <v>0</v>
      </c>
      <c r="AU1352" s="81"/>
      <c r="AV1352" s="81"/>
      <c r="AW1352" s="81"/>
      <c r="AX1352" s="81"/>
      <c r="AY1352" s="81"/>
      <c r="AZ1352" s="81"/>
      <c r="BA1352" s="81"/>
      <c r="BB1352" s="81"/>
    </row>
    <row r="1353" spans="1:54" x14ac:dyDescent="0.35">
      <c r="A1353" s="66" t="s">
        <v>502</v>
      </c>
      <c r="B1353" s="66" t="s">
        <v>669</v>
      </c>
      <c r="C1353" s="67"/>
      <c r="D1353" s="68"/>
      <c r="E1353" s="69"/>
      <c r="F1353" s="70"/>
      <c r="G1353" s="67"/>
      <c r="H1353" s="71"/>
      <c r="I1353" s="72"/>
      <c r="J1353" s="72"/>
      <c r="K1353" s="36"/>
      <c r="L1353" s="79"/>
      <c r="M1353" s="79"/>
      <c r="N1353" s="74"/>
      <c r="O1353" s="81" t="s">
        <v>695</v>
      </c>
      <c r="P1353" s="83">
        <v>44465.682175925926</v>
      </c>
      <c r="Q1353" s="81" t="s">
        <v>832</v>
      </c>
      <c r="R1353" s="81"/>
      <c r="S1353" s="81"/>
      <c r="T1353" s="81"/>
      <c r="U1353" s="81"/>
      <c r="V1353" s="84" t="str">
        <f>HYPERLINK("https://pbs.twimg.com/profile_images/1426679799313960960/uc_0K0z5_normal.jpg")</f>
        <v>https://pbs.twimg.com/profile_images/1426679799313960960/uc_0K0z5_normal.jpg</v>
      </c>
      <c r="W1353" s="83">
        <v>44465.682175925926</v>
      </c>
      <c r="X1353" s="89">
        <v>44465</v>
      </c>
      <c r="Y1353" s="86" t="s">
        <v>1360</v>
      </c>
      <c r="Z1353" s="84" t="str">
        <f>HYPERLINK("https://twitter.com/khairudinzack07/status/1442162631968624646")</f>
        <v>https://twitter.com/khairudinzack07/status/1442162631968624646</v>
      </c>
      <c r="AA1353" s="81"/>
      <c r="AB1353" s="81"/>
      <c r="AC1353" s="86" t="s">
        <v>1856</v>
      </c>
      <c r="AD1353" s="86" t="s">
        <v>2052</v>
      </c>
      <c r="AE1353" s="81" t="b">
        <v>0</v>
      </c>
      <c r="AF1353" s="81">
        <v>0</v>
      </c>
      <c r="AG1353" s="86" t="s">
        <v>2137</v>
      </c>
      <c r="AH1353" s="81" t="b">
        <v>0</v>
      </c>
      <c r="AI1353" s="81" t="s">
        <v>2167</v>
      </c>
      <c r="AJ1353" s="81"/>
      <c r="AK1353" s="86" t="s">
        <v>2084</v>
      </c>
      <c r="AL1353" s="81" t="b">
        <v>0</v>
      </c>
      <c r="AM1353" s="81">
        <v>0</v>
      </c>
      <c r="AN1353" s="86" t="s">
        <v>2084</v>
      </c>
      <c r="AO1353" s="86" t="s">
        <v>2179</v>
      </c>
      <c r="AP1353" s="81" t="b">
        <v>0</v>
      </c>
      <c r="AQ1353" s="86" t="s">
        <v>2052</v>
      </c>
      <c r="AR1353" s="81" t="s">
        <v>179</v>
      </c>
      <c r="AS1353" s="81">
        <v>0</v>
      </c>
      <c r="AT1353" s="81">
        <v>0</v>
      </c>
      <c r="AU1353" s="81"/>
      <c r="AV1353" s="81"/>
      <c r="AW1353" s="81"/>
      <c r="AX1353" s="81"/>
      <c r="AY1353" s="81"/>
      <c r="AZ1353" s="81"/>
      <c r="BA1353" s="81"/>
      <c r="BB1353" s="81"/>
    </row>
    <row r="1354" spans="1:54" x14ac:dyDescent="0.35">
      <c r="A1354" s="66" t="s">
        <v>502</v>
      </c>
      <c r="B1354" s="66" t="s">
        <v>669</v>
      </c>
      <c r="C1354" s="67"/>
      <c r="D1354" s="68"/>
      <c r="E1354" s="69"/>
      <c r="F1354" s="70"/>
      <c r="G1354" s="67"/>
      <c r="H1354" s="71"/>
      <c r="I1354" s="72"/>
      <c r="J1354" s="72"/>
      <c r="K1354" s="36"/>
      <c r="L1354" s="79"/>
      <c r="M1354" s="79"/>
      <c r="N1354" s="74"/>
      <c r="O1354" s="81" t="s">
        <v>695</v>
      </c>
      <c r="P1354" s="83">
        <v>44465.684675925928</v>
      </c>
      <c r="Q1354" s="81" t="s">
        <v>833</v>
      </c>
      <c r="R1354" s="81"/>
      <c r="S1354" s="81"/>
      <c r="T1354" s="81"/>
      <c r="U1354" s="81"/>
      <c r="V1354" s="84" t="str">
        <f>HYPERLINK("https://pbs.twimg.com/profile_images/1426679799313960960/uc_0K0z5_normal.jpg")</f>
        <v>https://pbs.twimg.com/profile_images/1426679799313960960/uc_0K0z5_normal.jpg</v>
      </c>
      <c r="W1354" s="83">
        <v>44465.684675925928</v>
      </c>
      <c r="X1354" s="89">
        <v>44465</v>
      </c>
      <c r="Y1354" s="86" t="s">
        <v>1361</v>
      </c>
      <c r="Z1354" s="84" t="str">
        <f>HYPERLINK("https://twitter.com/khairudinzack07/status/1442163541050462215")</f>
        <v>https://twitter.com/khairudinzack07/status/1442163541050462215</v>
      </c>
      <c r="AA1354" s="81"/>
      <c r="AB1354" s="81"/>
      <c r="AC1354" s="86" t="s">
        <v>1857</v>
      </c>
      <c r="AD1354" s="86" t="s">
        <v>2053</v>
      </c>
      <c r="AE1354" s="81" t="b">
        <v>0</v>
      </c>
      <c r="AF1354" s="81">
        <v>0</v>
      </c>
      <c r="AG1354" s="86" t="s">
        <v>2137</v>
      </c>
      <c r="AH1354" s="81" t="b">
        <v>0</v>
      </c>
      <c r="AI1354" s="81" t="s">
        <v>2167</v>
      </c>
      <c r="AJ1354" s="81"/>
      <c r="AK1354" s="86" t="s">
        <v>2084</v>
      </c>
      <c r="AL1354" s="81" t="b">
        <v>0</v>
      </c>
      <c r="AM1354" s="81">
        <v>0</v>
      </c>
      <c r="AN1354" s="86" t="s">
        <v>2084</v>
      </c>
      <c r="AO1354" s="86" t="s">
        <v>2179</v>
      </c>
      <c r="AP1354" s="81" t="b">
        <v>0</v>
      </c>
      <c r="AQ1354" s="86" t="s">
        <v>2053</v>
      </c>
      <c r="AR1354" s="81" t="s">
        <v>179</v>
      </c>
      <c r="AS1354" s="81">
        <v>0</v>
      </c>
      <c r="AT1354" s="81">
        <v>0</v>
      </c>
      <c r="AU1354" s="81"/>
      <c r="AV1354" s="81"/>
      <c r="AW1354" s="81"/>
      <c r="AX1354" s="81"/>
      <c r="AY1354" s="81"/>
      <c r="AZ1354" s="81"/>
      <c r="BA1354" s="81"/>
      <c r="BB1354" s="81"/>
    </row>
    <row r="1355" spans="1:54" x14ac:dyDescent="0.35">
      <c r="A1355" s="66" t="s">
        <v>4675</v>
      </c>
      <c r="B1355" s="66" t="s">
        <v>4944</v>
      </c>
      <c r="C1355" s="67"/>
      <c r="D1355" s="68"/>
      <c r="E1355" s="69"/>
      <c r="F1355" s="70"/>
      <c r="G1355" s="67"/>
      <c r="H1355" s="71"/>
      <c r="I1355" s="72"/>
      <c r="J1355" s="72"/>
      <c r="K1355" s="36"/>
      <c r="L1355" s="79"/>
      <c r="M1355" s="79"/>
      <c r="N1355" s="74"/>
      <c r="O1355" s="81" t="s">
        <v>693</v>
      </c>
      <c r="P1355" s="83">
        <v>44465.530162037037</v>
      </c>
      <c r="Q1355" s="81" t="s">
        <v>5505</v>
      </c>
      <c r="R1355" s="81"/>
      <c r="S1355" s="81"/>
      <c r="T1355" s="81"/>
      <c r="U1355" s="81"/>
      <c r="V1355" s="84" t="str">
        <f>HYPERLINK("https://pbs.twimg.com/profile_images/1433528373716799488/cNAZzMqo_normal.jpg")</f>
        <v>https://pbs.twimg.com/profile_images/1433528373716799488/cNAZzMqo_normal.jpg</v>
      </c>
      <c r="W1355" s="83">
        <v>44465.530162037037</v>
      </c>
      <c r="X1355" s="89">
        <v>44465</v>
      </c>
      <c r="Y1355" s="86" t="s">
        <v>6320</v>
      </c>
      <c r="Z1355" s="84" t="str">
        <f>HYPERLINK("https://twitter.com/elisaraujo2010/status/1442107544705634308")</f>
        <v>https://twitter.com/elisaraujo2010/status/1442107544705634308</v>
      </c>
      <c r="AA1355" s="81"/>
      <c r="AB1355" s="81"/>
      <c r="AC1355" s="86" t="s">
        <v>7235</v>
      </c>
      <c r="AD1355" s="81"/>
      <c r="AE1355" s="81" t="b">
        <v>0</v>
      </c>
      <c r="AF1355" s="81">
        <v>0</v>
      </c>
      <c r="AG1355" s="86" t="s">
        <v>2084</v>
      </c>
      <c r="AH1355" s="81" t="b">
        <v>0</v>
      </c>
      <c r="AI1355" s="81" t="s">
        <v>2171</v>
      </c>
      <c r="AJ1355" s="81"/>
      <c r="AK1355" s="86" t="s">
        <v>2084</v>
      </c>
      <c r="AL1355" s="81" t="b">
        <v>0</v>
      </c>
      <c r="AM1355" s="81">
        <v>255</v>
      </c>
      <c r="AN1355" s="86" t="s">
        <v>7543</v>
      </c>
      <c r="AO1355" s="86" t="s">
        <v>2179</v>
      </c>
      <c r="AP1355" s="81" t="b">
        <v>0</v>
      </c>
      <c r="AQ1355" s="86" t="s">
        <v>7543</v>
      </c>
      <c r="AR1355" s="81" t="s">
        <v>179</v>
      </c>
      <c r="AS1355" s="81">
        <v>0</v>
      </c>
      <c r="AT1355" s="81">
        <v>0</v>
      </c>
      <c r="AU1355" s="81"/>
      <c r="AV1355" s="81"/>
      <c r="AW1355" s="81"/>
      <c r="AX1355" s="81"/>
      <c r="AY1355" s="81"/>
      <c r="AZ1355" s="81"/>
      <c r="BA1355" s="81"/>
      <c r="BB1355" s="81"/>
    </row>
    <row r="1356" spans="1:54" x14ac:dyDescent="0.35">
      <c r="A1356" s="66" t="s">
        <v>4676</v>
      </c>
      <c r="B1356" s="66" t="s">
        <v>4675</v>
      </c>
      <c r="C1356" s="67"/>
      <c r="D1356" s="68"/>
      <c r="E1356" s="69"/>
      <c r="F1356" s="70"/>
      <c r="G1356" s="67"/>
      <c r="H1356" s="71"/>
      <c r="I1356" s="72"/>
      <c r="J1356" s="72"/>
      <c r="K1356" s="36"/>
      <c r="L1356" s="79"/>
      <c r="M1356" s="79"/>
      <c r="N1356" s="74"/>
      <c r="O1356" s="81" t="s">
        <v>695</v>
      </c>
      <c r="P1356" s="83">
        <v>44465.686990740738</v>
      </c>
      <c r="Q1356" s="81" t="s">
        <v>5518</v>
      </c>
      <c r="R1356" s="81"/>
      <c r="S1356" s="81"/>
      <c r="T1356" s="81"/>
      <c r="U1356" s="81"/>
      <c r="V1356" s="84" t="str">
        <f>HYPERLINK("https://pbs.twimg.com/profile_images/1422873297465843712/BBoFZJzG_normal.jpg")</f>
        <v>https://pbs.twimg.com/profile_images/1422873297465843712/BBoFZJzG_normal.jpg</v>
      </c>
      <c r="W1356" s="83">
        <v>44465.686990740738</v>
      </c>
      <c r="X1356" s="89">
        <v>44465</v>
      </c>
      <c r="Y1356" s="86" t="s">
        <v>6321</v>
      </c>
      <c r="Z1356" s="84" t="str">
        <f>HYPERLINK("https://twitter.com/cmdrmoreira/status/1442164379982647297")</f>
        <v>https://twitter.com/cmdrmoreira/status/1442164379982647297</v>
      </c>
      <c r="AA1356" s="81"/>
      <c r="AB1356" s="81"/>
      <c r="AC1356" s="86" t="s">
        <v>7236</v>
      </c>
      <c r="AD1356" s="86" t="s">
        <v>7715</v>
      </c>
      <c r="AE1356" s="81" t="b">
        <v>0</v>
      </c>
      <c r="AF1356" s="81">
        <v>0</v>
      </c>
      <c r="AG1356" s="86" t="s">
        <v>7891</v>
      </c>
      <c r="AH1356" s="81" t="b">
        <v>0</v>
      </c>
      <c r="AI1356" s="81" t="s">
        <v>2171</v>
      </c>
      <c r="AJ1356" s="81"/>
      <c r="AK1356" s="86" t="s">
        <v>2084</v>
      </c>
      <c r="AL1356" s="81" t="b">
        <v>0</v>
      </c>
      <c r="AM1356" s="81">
        <v>0</v>
      </c>
      <c r="AN1356" s="86" t="s">
        <v>2084</v>
      </c>
      <c r="AO1356" s="86" t="s">
        <v>2179</v>
      </c>
      <c r="AP1356" s="81" t="b">
        <v>0</v>
      </c>
      <c r="AQ1356" s="86" t="s">
        <v>7715</v>
      </c>
      <c r="AR1356" s="81" t="s">
        <v>179</v>
      </c>
      <c r="AS1356" s="81">
        <v>0</v>
      </c>
      <c r="AT1356" s="81">
        <v>0</v>
      </c>
      <c r="AU1356" s="81"/>
      <c r="AV1356" s="81"/>
      <c r="AW1356" s="81"/>
      <c r="AX1356" s="81"/>
      <c r="AY1356" s="81"/>
      <c r="AZ1356" s="81"/>
      <c r="BA1356" s="81"/>
      <c r="BB1356" s="81"/>
    </row>
    <row r="1357" spans="1:54" x14ac:dyDescent="0.35">
      <c r="A1357" s="66" t="s">
        <v>4677</v>
      </c>
      <c r="B1357" s="66" t="s">
        <v>4944</v>
      </c>
      <c r="C1357" s="67"/>
      <c r="D1357" s="68"/>
      <c r="E1357" s="69"/>
      <c r="F1357" s="70"/>
      <c r="G1357" s="67"/>
      <c r="H1357" s="71"/>
      <c r="I1357" s="72"/>
      <c r="J1357" s="72"/>
      <c r="K1357" s="36"/>
      <c r="L1357" s="79"/>
      <c r="M1357" s="79"/>
      <c r="N1357" s="74"/>
      <c r="O1357" s="81" t="s">
        <v>693</v>
      </c>
      <c r="P1357" s="83">
        <v>44465.687893518516</v>
      </c>
      <c r="Q1357" s="81" t="s">
        <v>5505</v>
      </c>
      <c r="R1357" s="81"/>
      <c r="S1357" s="81"/>
      <c r="T1357" s="81"/>
      <c r="U1357" s="81"/>
      <c r="V1357" s="84" t="str">
        <f>HYPERLINK("https://pbs.twimg.com/profile_images/1399113132329607178/81ALhcTU_normal.jpg")</f>
        <v>https://pbs.twimg.com/profile_images/1399113132329607178/81ALhcTU_normal.jpg</v>
      </c>
      <c r="W1357" s="83">
        <v>44465.687893518516</v>
      </c>
      <c r="X1357" s="89">
        <v>44465</v>
      </c>
      <c r="Y1357" s="86" t="s">
        <v>6322</v>
      </c>
      <c r="Z1357" s="84" t="str">
        <f>HYPERLINK("https://twitter.com/leonard20717489/status/1442164703573286913")</f>
        <v>https://twitter.com/leonard20717489/status/1442164703573286913</v>
      </c>
      <c r="AA1357" s="81"/>
      <c r="AB1357" s="81"/>
      <c r="AC1357" s="86" t="s">
        <v>7237</v>
      </c>
      <c r="AD1357" s="81"/>
      <c r="AE1357" s="81" t="b">
        <v>0</v>
      </c>
      <c r="AF1357" s="81">
        <v>0</v>
      </c>
      <c r="AG1357" s="86" t="s">
        <v>2084</v>
      </c>
      <c r="AH1357" s="81" t="b">
        <v>0</v>
      </c>
      <c r="AI1357" s="81" t="s">
        <v>2171</v>
      </c>
      <c r="AJ1357" s="81"/>
      <c r="AK1357" s="86" t="s">
        <v>2084</v>
      </c>
      <c r="AL1357" s="81" t="b">
        <v>0</v>
      </c>
      <c r="AM1357" s="81">
        <v>255</v>
      </c>
      <c r="AN1357" s="86" t="s">
        <v>7543</v>
      </c>
      <c r="AO1357" s="86" t="s">
        <v>2178</v>
      </c>
      <c r="AP1357" s="81" t="b">
        <v>0</v>
      </c>
      <c r="AQ1357" s="86" t="s">
        <v>7543</v>
      </c>
      <c r="AR1357" s="81" t="s">
        <v>179</v>
      </c>
      <c r="AS1357" s="81">
        <v>0</v>
      </c>
      <c r="AT1357" s="81">
        <v>0</v>
      </c>
      <c r="AU1357" s="81"/>
      <c r="AV1357" s="81"/>
      <c r="AW1357" s="81"/>
      <c r="AX1357" s="81"/>
      <c r="AY1357" s="81"/>
      <c r="AZ1357" s="81"/>
      <c r="BA1357" s="81"/>
      <c r="BB1357" s="81"/>
    </row>
    <row r="1358" spans="1:54" x14ac:dyDescent="0.35">
      <c r="A1358" s="66" t="s">
        <v>4678</v>
      </c>
      <c r="B1358" s="66" t="s">
        <v>4944</v>
      </c>
      <c r="C1358" s="67"/>
      <c r="D1358" s="68"/>
      <c r="E1358" s="69"/>
      <c r="F1358" s="70"/>
      <c r="G1358" s="67"/>
      <c r="H1358" s="71"/>
      <c r="I1358" s="72"/>
      <c r="J1358" s="72"/>
      <c r="K1358" s="36"/>
      <c r="L1358" s="79"/>
      <c r="M1358" s="79"/>
      <c r="N1358" s="74"/>
      <c r="O1358" s="81" t="s">
        <v>693</v>
      </c>
      <c r="P1358" s="83">
        <v>44465.689236111109</v>
      </c>
      <c r="Q1358" s="81" t="s">
        <v>5505</v>
      </c>
      <c r="R1358" s="81"/>
      <c r="S1358" s="81"/>
      <c r="T1358" s="81"/>
      <c r="U1358" s="81"/>
      <c r="V1358" s="84" t="str">
        <f>HYPERLINK("https://pbs.twimg.com/profile_images/1408302593370165249/DTRAH7ZB_normal.jpg")</f>
        <v>https://pbs.twimg.com/profile_images/1408302593370165249/DTRAH7ZB_normal.jpg</v>
      </c>
      <c r="W1358" s="83">
        <v>44465.689236111109</v>
      </c>
      <c r="X1358" s="89">
        <v>44465</v>
      </c>
      <c r="Y1358" s="86" t="s">
        <v>6323</v>
      </c>
      <c r="Z1358" s="84" t="str">
        <f>HYPERLINK("https://twitter.com/sandraffarias/status/1442165193430216706")</f>
        <v>https://twitter.com/sandraffarias/status/1442165193430216706</v>
      </c>
      <c r="AA1358" s="81"/>
      <c r="AB1358" s="81"/>
      <c r="AC1358" s="86" t="s">
        <v>7238</v>
      </c>
      <c r="AD1358" s="81"/>
      <c r="AE1358" s="81" t="b">
        <v>0</v>
      </c>
      <c r="AF1358" s="81">
        <v>0</v>
      </c>
      <c r="AG1358" s="86" t="s">
        <v>2084</v>
      </c>
      <c r="AH1358" s="81" t="b">
        <v>0</v>
      </c>
      <c r="AI1358" s="81" t="s">
        <v>2171</v>
      </c>
      <c r="AJ1358" s="81"/>
      <c r="AK1358" s="86" t="s">
        <v>2084</v>
      </c>
      <c r="AL1358" s="81" t="b">
        <v>0</v>
      </c>
      <c r="AM1358" s="81">
        <v>255</v>
      </c>
      <c r="AN1358" s="86" t="s">
        <v>7543</v>
      </c>
      <c r="AO1358" s="86" t="s">
        <v>2178</v>
      </c>
      <c r="AP1358" s="81" t="b">
        <v>0</v>
      </c>
      <c r="AQ1358" s="86" t="s">
        <v>7543</v>
      </c>
      <c r="AR1358" s="81" t="s">
        <v>179</v>
      </c>
      <c r="AS1358" s="81">
        <v>0</v>
      </c>
      <c r="AT1358" s="81">
        <v>0</v>
      </c>
      <c r="AU1358" s="81"/>
      <c r="AV1358" s="81"/>
      <c r="AW1358" s="81"/>
      <c r="AX1358" s="81"/>
      <c r="AY1358" s="81"/>
      <c r="AZ1358" s="81"/>
      <c r="BA1358" s="81"/>
      <c r="BB1358" s="81"/>
    </row>
    <row r="1359" spans="1:54" x14ac:dyDescent="0.35">
      <c r="A1359" s="66" t="s">
        <v>4679</v>
      </c>
      <c r="B1359" s="66" t="s">
        <v>4944</v>
      </c>
      <c r="C1359" s="67"/>
      <c r="D1359" s="68"/>
      <c r="E1359" s="69"/>
      <c r="F1359" s="70"/>
      <c r="G1359" s="67"/>
      <c r="H1359" s="71"/>
      <c r="I1359" s="72"/>
      <c r="J1359" s="72"/>
      <c r="K1359" s="36"/>
      <c r="L1359" s="79"/>
      <c r="M1359" s="79"/>
      <c r="N1359" s="74"/>
      <c r="O1359" s="81" t="s">
        <v>693</v>
      </c>
      <c r="P1359" s="83">
        <v>44465.693425925929</v>
      </c>
      <c r="Q1359" s="81" t="s">
        <v>5505</v>
      </c>
      <c r="R1359" s="81"/>
      <c r="S1359" s="81"/>
      <c r="T1359" s="81"/>
      <c r="U1359" s="81"/>
      <c r="V1359" s="84" t="str">
        <f>HYPERLINK("https://pbs.twimg.com/profile_images/1429870245288755207/2nc7pyW7_normal.jpg")</f>
        <v>https://pbs.twimg.com/profile_images/1429870245288755207/2nc7pyW7_normal.jpg</v>
      </c>
      <c r="W1359" s="83">
        <v>44465.693425925929</v>
      </c>
      <c r="X1359" s="89">
        <v>44465</v>
      </c>
      <c r="Y1359" s="86" t="s">
        <v>6324</v>
      </c>
      <c r="Z1359" s="84" t="str">
        <f>HYPERLINK("https://twitter.com/cristinareisarq/status/1442166711038382081")</f>
        <v>https://twitter.com/cristinareisarq/status/1442166711038382081</v>
      </c>
      <c r="AA1359" s="81"/>
      <c r="AB1359" s="81"/>
      <c r="AC1359" s="86" t="s">
        <v>7239</v>
      </c>
      <c r="AD1359" s="81"/>
      <c r="AE1359" s="81" t="b">
        <v>0</v>
      </c>
      <c r="AF1359" s="81">
        <v>0</v>
      </c>
      <c r="AG1359" s="86" t="s">
        <v>2084</v>
      </c>
      <c r="AH1359" s="81" t="b">
        <v>0</v>
      </c>
      <c r="AI1359" s="81" t="s">
        <v>2171</v>
      </c>
      <c r="AJ1359" s="81"/>
      <c r="AK1359" s="86" t="s">
        <v>2084</v>
      </c>
      <c r="AL1359" s="81" t="b">
        <v>0</v>
      </c>
      <c r="AM1359" s="81">
        <v>255</v>
      </c>
      <c r="AN1359" s="86" t="s">
        <v>7543</v>
      </c>
      <c r="AO1359" s="86" t="s">
        <v>2178</v>
      </c>
      <c r="AP1359" s="81" t="b">
        <v>0</v>
      </c>
      <c r="AQ1359" s="86" t="s">
        <v>7543</v>
      </c>
      <c r="AR1359" s="81" t="s">
        <v>179</v>
      </c>
      <c r="AS1359" s="81">
        <v>0</v>
      </c>
      <c r="AT1359" s="81">
        <v>0</v>
      </c>
      <c r="AU1359" s="81"/>
      <c r="AV1359" s="81"/>
      <c r="AW1359" s="81"/>
      <c r="AX1359" s="81"/>
      <c r="AY1359" s="81"/>
      <c r="AZ1359" s="81"/>
      <c r="BA1359" s="81"/>
      <c r="BB1359" s="81"/>
    </row>
    <row r="1360" spans="1:54" x14ac:dyDescent="0.35">
      <c r="A1360" s="66" t="s">
        <v>4680</v>
      </c>
      <c r="B1360" s="66" t="s">
        <v>4944</v>
      </c>
      <c r="C1360" s="67"/>
      <c r="D1360" s="68"/>
      <c r="E1360" s="69"/>
      <c r="F1360" s="70"/>
      <c r="G1360" s="67"/>
      <c r="H1360" s="71"/>
      <c r="I1360" s="72"/>
      <c r="J1360" s="72"/>
      <c r="K1360" s="36"/>
      <c r="L1360" s="79"/>
      <c r="M1360" s="79"/>
      <c r="N1360" s="74"/>
      <c r="O1360" s="81" t="s">
        <v>693</v>
      </c>
      <c r="P1360" s="83">
        <v>44465.694525462961</v>
      </c>
      <c r="Q1360" s="81" t="s">
        <v>5505</v>
      </c>
      <c r="R1360" s="81"/>
      <c r="S1360" s="81"/>
      <c r="T1360" s="81"/>
      <c r="U1360" s="81"/>
      <c r="V1360" s="84" t="str">
        <f>HYPERLINK("https://pbs.twimg.com/profile_images/1407041419148247044/VNEVrVVN_normal.jpg")</f>
        <v>https://pbs.twimg.com/profile_images/1407041419148247044/VNEVrVVN_normal.jpg</v>
      </c>
      <c r="W1360" s="83">
        <v>44465.694525462961</v>
      </c>
      <c r="X1360" s="89">
        <v>44465</v>
      </c>
      <c r="Y1360" s="86" t="s">
        <v>6325</v>
      </c>
      <c r="Z1360" s="84" t="str">
        <f>HYPERLINK("https://twitter.com/wannessaalves13/status/1442167109388275712")</f>
        <v>https://twitter.com/wannessaalves13/status/1442167109388275712</v>
      </c>
      <c r="AA1360" s="81"/>
      <c r="AB1360" s="81"/>
      <c r="AC1360" s="86" t="s">
        <v>7240</v>
      </c>
      <c r="AD1360" s="81"/>
      <c r="AE1360" s="81" t="b">
        <v>0</v>
      </c>
      <c r="AF1360" s="81">
        <v>0</v>
      </c>
      <c r="AG1360" s="86" t="s">
        <v>2084</v>
      </c>
      <c r="AH1360" s="81" t="b">
        <v>0</v>
      </c>
      <c r="AI1360" s="81" t="s">
        <v>2171</v>
      </c>
      <c r="AJ1360" s="81"/>
      <c r="AK1360" s="86" t="s">
        <v>2084</v>
      </c>
      <c r="AL1360" s="81" t="b">
        <v>0</v>
      </c>
      <c r="AM1360" s="81">
        <v>255</v>
      </c>
      <c r="AN1360" s="86" t="s">
        <v>7543</v>
      </c>
      <c r="AO1360" s="86" t="s">
        <v>2178</v>
      </c>
      <c r="AP1360" s="81" t="b">
        <v>0</v>
      </c>
      <c r="AQ1360" s="86" t="s">
        <v>7543</v>
      </c>
      <c r="AR1360" s="81" t="s">
        <v>179</v>
      </c>
      <c r="AS1360" s="81">
        <v>0</v>
      </c>
      <c r="AT1360" s="81">
        <v>0</v>
      </c>
      <c r="AU1360" s="81"/>
      <c r="AV1360" s="81"/>
      <c r="AW1360" s="81"/>
      <c r="AX1360" s="81"/>
      <c r="AY1360" s="81"/>
      <c r="AZ1360" s="81"/>
      <c r="BA1360" s="81"/>
      <c r="BB1360" s="81"/>
    </row>
    <row r="1361" spans="1:54" x14ac:dyDescent="0.35">
      <c r="A1361" s="66" t="s">
        <v>4681</v>
      </c>
      <c r="B1361" s="66" t="s">
        <v>5065</v>
      </c>
      <c r="C1361" s="67"/>
      <c r="D1361" s="68"/>
      <c r="E1361" s="69"/>
      <c r="F1361" s="70"/>
      <c r="G1361" s="67"/>
      <c r="H1361" s="71"/>
      <c r="I1361" s="72"/>
      <c r="J1361" s="72"/>
      <c r="K1361" s="36"/>
      <c r="L1361" s="79"/>
      <c r="M1361" s="79"/>
      <c r="N1361" s="74"/>
      <c r="O1361" s="81" t="s">
        <v>695</v>
      </c>
      <c r="P1361" s="83">
        <v>44465.696412037039</v>
      </c>
      <c r="Q1361" s="81" t="s">
        <v>5519</v>
      </c>
      <c r="R1361" s="81"/>
      <c r="S1361" s="81"/>
      <c r="T1361" s="81"/>
      <c r="U1361" s="81"/>
      <c r="V1361" s="84" t="str">
        <f>HYPERLINK("https://pbs.twimg.com/profile_images/1417176260732755982/uPAXhvdF_normal.jpg")</f>
        <v>https://pbs.twimg.com/profile_images/1417176260732755982/uPAXhvdF_normal.jpg</v>
      </c>
      <c r="W1361" s="83">
        <v>44465.696412037039</v>
      </c>
      <c r="X1361" s="89">
        <v>44465</v>
      </c>
      <c r="Y1361" s="86" t="s">
        <v>6326</v>
      </c>
      <c r="Z1361" s="84" t="str">
        <f>HYPERLINK("https://twitter.com/tmaioria/status/1442167791654690822")</f>
        <v>https://twitter.com/tmaioria/status/1442167791654690822</v>
      </c>
      <c r="AA1361" s="81"/>
      <c r="AB1361" s="81"/>
      <c r="AC1361" s="86" t="s">
        <v>7241</v>
      </c>
      <c r="AD1361" s="86" t="s">
        <v>7716</v>
      </c>
      <c r="AE1361" s="81" t="b">
        <v>0</v>
      </c>
      <c r="AF1361" s="81">
        <v>22</v>
      </c>
      <c r="AG1361" s="86" t="s">
        <v>7862</v>
      </c>
      <c r="AH1361" s="81" t="b">
        <v>0</v>
      </c>
      <c r="AI1361" s="81" t="s">
        <v>2171</v>
      </c>
      <c r="AJ1361" s="81"/>
      <c r="AK1361" s="86" t="s">
        <v>2084</v>
      </c>
      <c r="AL1361" s="81" t="b">
        <v>0</v>
      </c>
      <c r="AM1361" s="81">
        <v>0</v>
      </c>
      <c r="AN1361" s="86" t="s">
        <v>2084</v>
      </c>
      <c r="AO1361" s="86" t="s">
        <v>2178</v>
      </c>
      <c r="AP1361" s="81" t="b">
        <v>0</v>
      </c>
      <c r="AQ1361" s="86" t="s">
        <v>7716</v>
      </c>
      <c r="AR1361" s="81" t="s">
        <v>179</v>
      </c>
      <c r="AS1361" s="81">
        <v>0</v>
      </c>
      <c r="AT1361" s="81">
        <v>0</v>
      </c>
      <c r="AU1361" s="81"/>
      <c r="AV1361" s="81"/>
      <c r="AW1361" s="81"/>
      <c r="AX1361" s="81"/>
      <c r="AY1361" s="81"/>
      <c r="AZ1361" s="81"/>
      <c r="BA1361" s="81"/>
      <c r="BB1361" s="81"/>
    </row>
    <row r="1362" spans="1:54" x14ac:dyDescent="0.35">
      <c r="A1362" s="66" t="s">
        <v>4682</v>
      </c>
      <c r="B1362" s="66" t="s">
        <v>4944</v>
      </c>
      <c r="C1362" s="67"/>
      <c r="D1362" s="68"/>
      <c r="E1362" s="69"/>
      <c r="F1362" s="70"/>
      <c r="G1362" s="67"/>
      <c r="H1362" s="71"/>
      <c r="I1362" s="72"/>
      <c r="J1362" s="72"/>
      <c r="K1362" s="36"/>
      <c r="L1362" s="79"/>
      <c r="M1362" s="79"/>
      <c r="N1362" s="74"/>
      <c r="O1362" s="81" t="s">
        <v>693</v>
      </c>
      <c r="P1362" s="83">
        <v>44465.696562500001</v>
      </c>
      <c r="Q1362" s="81" t="s">
        <v>5505</v>
      </c>
      <c r="R1362" s="81"/>
      <c r="S1362" s="81"/>
      <c r="T1362" s="81"/>
      <c r="U1362" s="81"/>
      <c r="V1362" s="84" t="str">
        <f>HYPERLINK("https://pbs.twimg.com/profile_images/1394490672493780994/Gc-0m6U-_normal.jpg")</f>
        <v>https://pbs.twimg.com/profile_images/1394490672493780994/Gc-0m6U-_normal.jpg</v>
      </c>
      <c r="W1362" s="83">
        <v>44465.696562500001</v>
      </c>
      <c r="X1362" s="89">
        <v>44465</v>
      </c>
      <c r="Y1362" s="86" t="s">
        <v>6327</v>
      </c>
      <c r="Z1362" s="84" t="str">
        <f>HYPERLINK("https://twitter.com/brendaheloisa/status/1442167845153030148")</f>
        <v>https://twitter.com/brendaheloisa/status/1442167845153030148</v>
      </c>
      <c r="AA1362" s="81"/>
      <c r="AB1362" s="81"/>
      <c r="AC1362" s="86" t="s">
        <v>7242</v>
      </c>
      <c r="AD1362" s="81"/>
      <c r="AE1362" s="81" t="b">
        <v>0</v>
      </c>
      <c r="AF1362" s="81">
        <v>0</v>
      </c>
      <c r="AG1362" s="86" t="s">
        <v>2084</v>
      </c>
      <c r="AH1362" s="81" t="b">
        <v>0</v>
      </c>
      <c r="AI1362" s="81" t="s">
        <v>2171</v>
      </c>
      <c r="AJ1362" s="81"/>
      <c r="AK1362" s="86" t="s">
        <v>2084</v>
      </c>
      <c r="AL1362" s="81" t="b">
        <v>0</v>
      </c>
      <c r="AM1362" s="81">
        <v>255</v>
      </c>
      <c r="AN1362" s="86" t="s">
        <v>7543</v>
      </c>
      <c r="AO1362" s="86" t="s">
        <v>2179</v>
      </c>
      <c r="AP1362" s="81" t="b">
        <v>0</v>
      </c>
      <c r="AQ1362" s="86" t="s">
        <v>7543</v>
      </c>
      <c r="AR1362" s="81" t="s">
        <v>179</v>
      </c>
      <c r="AS1362" s="81">
        <v>0</v>
      </c>
      <c r="AT1362" s="81">
        <v>0</v>
      </c>
      <c r="AU1362" s="81"/>
      <c r="AV1362" s="81"/>
      <c r="AW1362" s="81"/>
      <c r="AX1362" s="81"/>
      <c r="AY1362" s="81"/>
      <c r="AZ1362" s="81"/>
      <c r="BA1362" s="81"/>
      <c r="BB1362" s="81"/>
    </row>
    <row r="1363" spans="1:54" x14ac:dyDescent="0.35">
      <c r="A1363" s="66" t="s">
        <v>4683</v>
      </c>
      <c r="B1363" s="66" t="s">
        <v>4944</v>
      </c>
      <c r="C1363" s="67"/>
      <c r="D1363" s="68"/>
      <c r="E1363" s="69"/>
      <c r="F1363" s="70"/>
      <c r="G1363" s="67"/>
      <c r="H1363" s="71"/>
      <c r="I1363" s="72"/>
      <c r="J1363" s="72"/>
      <c r="K1363" s="36"/>
      <c r="L1363" s="79"/>
      <c r="M1363" s="79"/>
      <c r="N1363" s="74"/>
      <c r="O1363" s="81" t="s">
        <v>693</v>
      </c>
      <c r="P1363" s="83">
        <v>44465.696701388886</v>
      </c>
      <c r="Q1363" s="81" t="s">
        <v>5505</v>
      </c>
      <c r="R1363" s="81"/>
      <c r="S1363" s="81"/>
      <c r="T1363" s="81"/>
      <c r="U1363" s="81"/>
      <c r="V1363" s="84" t="str">
        <f>HYPERLINK("https://pbs.twimg.com/profile_images/1152797322465742849/sUXbOBo7_normal.jpg")</f>
        <v>https://pbs.twimg.com/profile_images/1152797322465742849/sUXbOBo7_normal.jpg</v>
      </c>
      <c r="W1363" s="83">
        <v>44465.696701388886</v>
      </c>
      <c r="X1363" s="89">
        <v>44465</v>
      </c>
      <c r="Y1363" s="86" t="s">
        <v>6328</v>
      </c>
      <c r="Z1363" s="84" t="str">
        <f>HYPERLINK("https://twitter.com/lgsfroufe/status/1442167896810000395")</f>
        <v>https://twitter.com/lgsfroufe/status/1442167896810000395</v>
      </c>
      <c r="AA1363" s="81"/>
      <c r="AB1363" s="81"/>
      <c r="AC1363" s="86" t="s">
        <v>7243</v>
      </c>
      <c r="AD1363" s="81"/>
      <c r="AE1363" s="81" t="b">
        <v>0</v>
      </c>
      <c r="AF1363" s="81">
        <v>0</v>
      </c>
      <c r="AG1363" s="86" t="s">
        <v>2084</v>
      </c>
      <c r="AH1363" s="81" t="b">
        <v>0</v>
      </c>
      <c r="AI1363" s="81" t="s">
        <v>2171</v>
      </c>
      <c r="AJ1363" s="81"/>
      <c r="AK1363" s="86" t="s">
        <v>2084</v>
      </c>
      <c r="AL1363" s="81" t="b">
        <v>0</v>
      </c>
      <c r="AM1363" s="81">
        <v>255</v>
      </c>
      <c r="AN1363" s="86" t="s">
        <v>7543</v>
      </c>
      <c r="AO1363" s="86" t="s">
        <v>2178</v>
      </c>
      <c r="AP1363" s="81" t="b">
        <v>0</v>
      </c>
      <c r="AQ1363" s="86" t="s">
        <v>7543</v>
      </c>
      <c r="AR1363" s="81" t="s">
        <v>179</v>
      </c>
      <c r="AS1363" s="81">
        <v>0</v>
      </c>
      <c r="AT1363" s="81">
        <v>0</v>
      </c>
      <c r="AU1363" s="81"/>
      <c r="AV1363" s="81"/>
      <c r="AW1363" s="81"/>
      <c r="AX1363" s="81"/>
      <c r="AY1363" s="81"/>
      <c r="AZ1363" s="81"/>
      <c r="BA1363" s="81"/>
      <c r="BB1363" s="81"/>
    </row>
    <row r="1364" spans="1:54" x14ac:dyDescent="0.35">
      <c r="A1364" s="66" t="s">
        <v>4684</v>
      </c>
      <c r="B1364" s="66" t="s">
        <v>4944</v>
      </c>
      <c r="C1364" s="67"/>
      <c r="D1364" s="68"/>
      <c r="E1364" s="69"/>
      <c r="F1364" s="70"/>
      <c r="G1364" s="67"/>
      <c r="H1364" s="71"/>
      <c r="I1364" s="72"/>
      <c r="J1364" s="72"/>
      <c r="K1364" s="36"/>
      <c r="L1364" s="79"/>
      <c r="M1364" s="79"/>
      <c r="N1364" s="74"/>
      <c r="O1364" s="81" t="s">
        <v>693</v>
      </c>
      <c r="P1364" s="83">
        <v>44465.700474537036</v>
      </c>
      <c r="Q1364" s="81" t="s">
        <v>5505</v>
      </c>
      <c r="R1364" s="81"/>
      <c r="S1364" s="81"/>
      <c r="T1364" s="81"/>
      <c r="U1364" s="81"/>
      <c r="V1364" s="84" t="str">
        <f>HYPERLINK("https://pbs.twimg.com/profile_images/1387906104030543881/Lmt0qqmn_normal.jpg")</f>
        <v>https://pbs.twimg.com/profile_images/1387906104030543881/Lmt0qqmn_normal.jpg</v>
      </c>
      <c r="W1364" s="83">
        <v>44465.700474537036</v>
      </c>
      <c r="X1364" s="89">
        <v>44465</v>
      </c>
      <c r="Y1364" s="86" t="s">
        <v>6329</v>
      </c>
      <c r="Z1364" s="84" t="str">
        <f>HYPERLINK("https://twitter.com/gerusaide/status/1442169264102785026")</f>
        <v>https://twitter.com/gerusaide/status/1442169264102785026</v>
      </c>
      <c r="AA1364" s="81"/>
      <c r="AB1364" s="81"/>
      <c r="AC1364" s="86" t="s">
        <v>7244</v>
      </c>
      <c r="AD1364" s="81"/>
      <c r="AE1364" s="81" t="b">
        <v>0</v>
      </c>
      <c r="AF1364" s="81">
        <v>0</v>
      </c>
      <c r="AG1364" s="86" t="s">
        <v>2084</v>
      </c>
      <c r="AH1364" s="81" t="b">
        <v>0</v>
      </c>
      <c r="AI1364" s="81" t="s">
        <v>2171</v>
      </c>
      <c r="AJ1364" s="81"/>
      <c r="AK1364" s="86" t="s">
        <v>2084</v>
      </c>
      <c r="AL1364" s="81" t="b">
        <v>0</v>
      </c>
      <c r="AM1364" s="81">
        <v>255</v>
      </c>
      <c r="AN1364" s="86" t="s">
        <v>7543</v>
      </c>
      <c r="AO1364" s="86" t="s">
        <v>2181</v>
      </c>
      <c r="AP1364" s="81" t="b">
        <v>0</v>
      </c>
      <c r="AQ1364" s="86" t="s">
        <v>7543</v>
      </c>
      <c r="AR1364" s="81" t="s">
        <v>179</v>
      </c>
      <c r="AS1364" s="81">
        <v>0</v>
      </c>
      <c r="AT1364" s="81">
        <v>0</v>
      </c>
      <c r="AU1364" s="81"/>
      <c r="AV1364" s="81"/>
      <c r="AW1364" s="81"/>
      <c r="AX1364" s="81"/>
      <c r="AY1364" s="81"/>
      <c r="AZ1364" s="81"/>
      <c r="BA1364" s="81"/>
      <c r="BB1364" s="81"/>
    </row>
    <row r="1365" spans="1:54" x14ac:dyDescent="0.35">
      <c r="A1365" s="66" t="s">
        <v>4685</v>
      </c>
      <c r="B1365" s="66" t="s">
        <v>4944</v>
      </c>
      <c r="C1365" s="67"/>
      <c r="D1365" s="68"/>
      <c r="E1365" s="69"/>
      <c r="F1365" s="70"/>
      <c r="G1365" s="67"/>
      <c r="H1365" s="71"/>
      <c r="I1365" s="72"/>
      <c r="J1365" s="72"/>
      <c r="K1365" s="36"/>
      <c r="L1365" s="79"/>
      <c r="M1365" s="79"/>
      <c r="N1365" s="74"/>
      <c r="O1365" s="81" t="s">
        <v>693</v>
      </c>
      <c r="P1365" s="83">
        <v>44465.702789351853</v>
      </c>
      <c r="Q1365" s="81" t="s">
        <v>5505</v>
      </c>
      <c r="R1365" s="81"/>
      <c r="S1365" s="81"/>
      <c r="T1365" s="81"/>
      <c r="U1365" s="81"/>
      <c r="V1365" s="84" t="str">
        <f>HYPERLINK("https://pbs.twimg.com/profile_images/378800000464409124/2bb3f666b94082e0e967602455191961_normal.jpeg")</f>
        <v>https://pbs.twimg.com/profile_images/378800000464409124/2bb3f666b94082e0e967602455191961_normal.jpeg</v>
      </c>
      <c r="W1365" s="83">
        <v>44465.702789351853</v>
      </c>
      <c r="X1365" s="89">
        <v>44465</v>
      </c>
      <c r="Y1365" s="86" t="s">
        <v>6330</v>
      </c>
      <c r="Z1365" s="84" t="str">
        <f>HYPERLINK("https://twitter.com/ovelhavermelha7/status/1442170104620408832")</f>
        <v>https://twitter.com/ovelhavermelha7/status/1442170104620408832</v>
      </c>
      <c r="AA1365" s="81"/>
      <c r="AB1365" s="81"/>
      <c r="AC1365" s="86" t="s">
        <v>7245</v>
      </c>
      <c r="AD1365" s="81"/>
      <c r="AE1365" s="81" t="b">
        <v>0</v>
      </c>
      <c r="AF1365" s="81">
        <v>0</v>
      </c>
      <c r="AG1365" s="86" t="s">
        <v>2084</v>
      </c>
      <c r="AH1365" s="81" t="b">
        <v>0</v>
      </c>
      <c r="AI1365" s="81" t="s">
        <v>2171</v>
      </c>
      <c r="AJ1365" s="81"/>
      <c r="AK1365" s="86" t="s">
        <v>2084</v>
      </c>
      <c r="AL1365" s="81" t="b">
        <v>0</v>
      </c>
      <c r="AM1365" s="81">
        <v>255</v>
      </c>
      <c r="AN1365" s="86" t="s">
        <v>7543</v>
      </c>
      <c r="AO1365" s="86" t="s">
        <v>2178</v>
      </c>
      <c r="AP1365" s="81" t="b">
        <v>0</v>
      </c>
      <c r="AQ1365" s="86" t="s">
        <v>7543</v>
      </c>
      <c r="AR1365" s="81" t="s">
        <v>179</v>
      </c>
      <c r="AS1365" s="81">
        <v>0</v>
      </c>
      <c r="AT1365" s="81">
        <v>0</v>
      </c>
      <c r="AU1365" s="81"/>
      <c r="AV1365" s="81"/>
      <c r="AW1365" s="81"/>
      <c r="AX1365" s="81"/>
      <c r="AY1365" s="81"/>
      <c r="AZ1365" s="81"/>
      <c r="BA1365" s="81"/>
      <c r="BB1365" s="81"/>
    </row>
    <row r="1366" spans="1:54" x14ac:dyDescent="0.35">
      <c r="A1366" s="66" t="s">
        <v>4686</v>
      </c>
      <c r="B1366" s="66" t="s">
        <v>4944</v>
      </c>
      <c r="C1366" s="67"/>
      <c r="D1366" s="68"/>
      <c r="E1366" s="69"/>
      <c r="F1366" s="70"/>
      <c r="G1366" s="67"/>
      <c r="H1366" s="71"/>
      <c r="I1366" s="72"/>
      <c r="J1366" s="72"/>
      <c r="K1366" s="36"/>
      <c r="L1366" s="79"/>
      <c r="M1366" s="79"/>
      <c r="N1366" s="74"/>
      <c r="O1366" s="81" t="s">
        <v>693</v>
      </c>
      <c r="P1366" s="83">
        <v>44465.704664351855</v>
      </c>
      <c r="Q1366" s="81" t="s">
        <v>5505</v>
      </c>
      <c r="R1366" s="81"/>
      <c r="S1366" s="81"/>
      <c r="T1366" s="81"/>
      <c r="U1366" s="81"/>
      <c r="V1366" s="84" t="str">
        <f>HYPERLINK("https://pbs.twimg.com/profile_images/1350253174238679040/QJhVm736_normal.jpg")</f>
        <v>https://pbs.twimg.com/profile_images/1350253174238679040/QJhVm736_normal.jpg</v>
      </c>
      <c r="W1366" s="83">
        <v>44465.704664351855</v>
      </c>
      <c r="X1366" s="89">
        <v>44465</v>
      </c>
      <c r="Y1366" s="86" t="s">
        <v>6331</v>
      </c>
      <c r="Z1366" s="84" t="str">
        <f>HYPERLINK("https://twitter.com/melatolira/status/1442170781702795268")</f>
        <v>https://twitter.com/melatolira/status/1442170781702795268</v>
      </c>
      <c r="AA1366" s="81"/>
      <c r="AB1366" s="81"/>
      <c r="AC1366" s="86" t="s">
        <v>7246</v>
      </c>
      <c r="AD1366" s="81"/>
      <c r="AE1366" s="81" t="b">
        <v>0</v>
      </c>
      <c r="AF1366" s="81">
        <v>0</v>
      </c>
      <c r="AG1366" s="86" t="s">
        <v>2084</v>
      </c>
      <c r="AH1366" s="81" t="b">
        <v>0</v>
      </c>
      <c r="AI1366" s="81" t="s">
        <v>2171</v>
      </c>
      <c r="AJ1366" s="81"/>
      <c r="AK1366" s="86" t="s">
        <v>2084</v>
      </c>
      <c r="AL1366" s="81" t="b">
        <v>0</v>
      </c>
      <c r="AM1366" s="81">
        <v>255</v>
      </c>
      <c r="AN1366" s="86" t="s">
        <v>7543</v>
      </c>
      <c r="AO1366" s="86" t="s">
        <v>2178</v>
      </c>
      <c r="AP1366" s="81" t="b">
        <v>0</v>
      </c>
      <c r="AQ1366" s="86" t="s">
        <v>7543</v>
      </c>
      <c r="AR1366" s="81" t="s">
        <v>179</v>
      </c>
      <c r="AS1366" s="81">
        <v>0</v>
      </c>
      <c r="AT1366" s="81">
        <v>0</v>
      </c>
      <c r="AU1366" s="81"/>
      <c r="AV1366" s="81"/>
      <c r="AW1366" s="81"/>
      <c r="AX1366" s="81"/>
      <c r="AY1366" s="81"/>
      <c r="AZ1366" s="81"/>
      <c r="BA1366" s="81"/>
      <c r="BB1366" s="81"/>
    </row>
    <row r="1367" spans="1:54" x14ac:dyDescent="0.35">
      <c r="A1367" s="66" t="s">
        <v>4687</v>
      </c>
      <c r="B1367" s="66" t="s">
        <v>4944</v>
      </c>
      <c r="C1367" s="67"/>
      <c r="D1367" s="68"/>
      <c r="E1367" s="69"/>
      <c r="F1367" s="70"/>
      <c r="G1367" s="67"/>
      <c r="H1367" s="71"/>
      <c r="I1367" s="72"/>
      <c r="J1367" s="72"/>
      <c r="K1367" s="36"/>
      <c r="L1367" s="79"/>
      <c r="M1367" s="79"/>
      <c r="N1367" s="74"/>
      <c r="O1367" s="81" t="s">
        <v>693</v>
      </c>
      <c r="P1367" s="83">
        <v>44465.710833333331</v>
      </c>
      <c r="Q1367" s="81" t="s">
        <v>5505</v>
      </c>
      <c r="R1367" s="81"/>
      <c r="S1367" s="81"/>
      <c r="T1367" s="81"/>
      <c r="U1367" s="81"/>
      <c r="V1367" s="84" t="str">
        <f>HYPERLINK("https://pbs.twimg.com/profile_images/1482010695/Avatar_novo_normal.jpg")</f>
        <v>https://pbs.twimg.com/profile_images/1482010695/Avatar_novo_normal.jpg</v>
      </c>
      <c r="W1367" s="83">
        <v>44465.710833333331</v>
      </c>
      <c r="X1367" s="89">
        <v>44465</v>
      </c>
      <c r="Y1367" s="86" t="s">
        <v>6332</v>
      </c>
      <c r="Z1367" s="84" t="str">
        <f>HYPERLINK("https://twitter.com/fallen_arch/status/1442173019082969094")</f>
        <v>https://twitter.com/fallen_arch/status/1442173019082969094</v>
      </c>
      <c r="AA1367" s="81"/>
      <c r="AB1367" s="81"/>
      <c r="AC1367" s="86" t="s">
        <v>7247</v>
      </c>
      <c r="AD1367" s="81"/>
      <c r="AE1367" s="81" t="b">
        <v>0</v>
      </c>
      <c r="AF1367" s="81">
        <v>0</v>
      </c>
      <c r="AG1367" s="86" t="s">
        <v>2084</v>
      </c>
      <c r="AH1367" s="81" t="b">
        <v>0</v>
      </c>
      <c r="AI1367" s="81" t="s">
        <v>2171</v>
      </c>
      <c r="AJ1367" s="81"/>
      <c r="AK1367" s="86" t="s">
        <v>2084</v>
      </c>
      <c r="AL1367" s="81" t="b">
        <v>0</v>
      </c>
      <c r="AM1367" s="81">
        <v>255</v>
      </c>
      <c r="AN1367" s="86" t="s">
        <v>7543</v>
      </c>
      <c r="AO1367" s="86" t="s">
        <v>2181</v>
      </c>
      <c r="AP1367" s="81" t="b">
        <v>0</v>
      </c>
      <c r="AQ1367" s="86" t="s">
        <v>7543</v>
      </c>
      <c r="AR1367" s="81" t="s">
        <v>179</v>
      </c>
      <c r="AS1367" s="81">
        <v>0</v>
      </c>
      <c r="AT1367" s="81">
        <v>0</v>
      </c>
      <c r="AU1367" s="81"/>
      <c r="AV1367" s="81"/>
      <c r="AW1367" s="81"/>
      <c r="AX1367" s="81"/>
      <c r="AY1367" s="81"/>
      <c r="AZ1367" s="81"/>
      <c r="BA1367" s="81"/>
      <c r="BB1367" s="81"/>
    </row>
    <row r="1368" spans="1:54" x14ac:dyDescent="0.35">
      <c r="A1368" s="66" t="s">
        <v>4688</v>
      </c>
      <c r="B1368" s="66" t="s">
        <v>4944</v>
      </c>
      <c r="C1368" s="67"/>
      <c r="D1368" s="68"/>
      <c r="E1368" s="69"/>
      <c r="F1368" s="70"/>
      <c r="G1368" s="67"/>
      <c r="H1368" s="71"/>
      <c r="I1368" s="72"/>
      <c r="J1368" s="72"/>
      <c r="K1368" s="36"/>
      <c r="L1368" s="79"/>
      <c r="M1368" s="79"/>
      <c r="N1368" s="74"/>
      <c r="O1368" s="81" t="s">
        <v>693</v>
      </c>
      <c r="P1368" s="83">
        <v>44465.711006944446</v>
      </c>
      <c r="Q1368" s="81" t="s">
        <v>5505</v>
      </c>
      <c r="R1368" s="81"/>
      <c r="S1368" s="81"/>
      <c r="T1368" s="81"/>
      <c r="U1368" s="81"/>
      <c r="V1368" s="84" t="str">
        <f>HYPERLINK("https://pbs.twimg.com/profile_images/708136381462274048/ILtdktJl_normal.jpg")</f>
        <v>https://pbs.twimg.com/profile_images/708136381462274048/ILtdktJl_normal.jpg</v>
      </c>
      <c r="W1368" s="83">
        <v>44465.711006944446</v>
      </c>
      <c r="X1368" s="89">
        <v>44465</v>
      </c>
      <c r="Y1368" s="86" t="s">
        <v>6333</v>
      </c>
      <c r="Z1368" s="84" t="str">
        <f>HYPERLINK("https://twitter.com/arretada13/status/1442173080030400515")</f>
        <v>https://twitter.com/arretada13/status/1442173080030400515</v>
      </c>
      <c r="AA1368" s="81"/>
      <c r="AB1368" s="81"/>
      <c r="AC1368" s="86" t="s">
        <v>7248</v>
      </c>
      <c r="AD1368" s="81"/>
      <c r="AE1368" s="81" t="b">
        <v>0</v>
      </c>
      <c r="AF1368" s="81">
        <v>0</v>
      </c>
      <c r="AG1368" s="86" t="s">
        <v>2084</v>
      </c>
      <c r="AH1368" s="81" t="b">
        <v>0</v>
      </c>
      <c r="AI1368" s="81" t="s">
        <v>2171</v>
      </c>
      <c r="AJ1368" s="81"/>
      <c r="AK1368" s="86" t="s">
        <v>2084</v>
      </c>
      <c r="AL1368" s="81" t="b">
        <v>0</v>
      </c>
      <c r="AM1368" s="81">
        <v>255</v>
      </c>
      <c r="AN1368" s="86" t="s">
        <v>7543</v>
      </c>
      <c r="AO1368" s="86" t="s">
        <v>2181</v>
      </c>
      <c r="AP1368" s="81" t="b">
        <v>0</v>
      </c>
      <c r="AQ1368" s="86" t="s">
        <v>7543</v>
      </c>
      <c r="AR1368" s="81" t="s">
        <v>179</v>
      </c>
      <c r="AS1368" s="81">
        <v>0</v>
      </c>
      <c r="AT1368" s="81">
        <v>0</v>
      </c>
      <c r="AU1368" s="81"/>
      <c r="AV1368" s="81"/>
      <c r="AW1368" s="81"/>
      <c r="AX1368" s="81"/>
      <c r="AY1368" s="81"/>
      <c r="AZ1368" s="81"/>
      <c r="BA1368" s="81"/>
      <c r="BB1368" s="81"/>
    </row>
    <row r="1369" spans="1:54" x14ac:dyDescent="0.35">
      <c r="A1369" s="66" t="s">
        <v>4689</v>
      </c>
      <c r="B1369" s="66" t="s">
        <v>4944</v>
      </c>
      <c r="C1369" s="67"/>
      <c r="D1369" s="68"/>
      <c r="E1369" s="69"/>
      <c r="F1369" s="70"/>
      <c r="G1369" s="67"/>
      <c r="H1369" s="71"/>
      <c r="I1369" s="72"/>
      <c r="J1369" s="72"/>
      <c r="K1369" s="36"/>
      <c r="L1369" s="79"/>
      <c r="M1369" s="79"/>
      <c r="N1369" s="74"/>
      <c r="O1369" s="81" t="s">
        <v>693</v>
      </c>
      <c r="P1369" s="83">
        <v>44465.713425925926</v>
      </c>
      <c r="Q1369" s="81" t="s">
        <v>5505</v>
      </c>
      <c r="R1369" s="81"/>
      <c r="S1369" s="81"/>
      <c r="T1369" s="81"/>
      <c r="U1369" s="81"/>
      <c r="V1369" s="84" t="str">
        <f>HYPERLINK("https://pbs.twimg.com/profile_images/1184233540168364037/5rpF4gb1_normal.jpg")</f>
        <v>https://pbs.twimg.com/profile_images/1184233540168364037/5rpF4gb1_normal.jpg</v>
      </c>
      <c r="W1369" s="83">
        <v>44465.713425925926</v>
      </c>
      <c r="X1369" s="89">
        <v>44465</v>
      </c>
      <c r="Y1369" s="86" t="s">
        <v>6334</v>
      </c>
      <c r="Z1369" s="84" t="str">
        <f>HYPERLINK("https://twitter.com/seoade/status/1442173956115603466")</f>
        <v>https://twitter.com/seoade/status/1442173956115603466</v>
      </c>
      <c r="AA1369" s="81"/>
      <c r="AB1369" s="81"/>
      <c r="AC1369" s="86" t="s">
        <v>7249</v>
      </c>
      <c r="AD1369" s="81"/>
      <c r="AE1369" s="81" t="b">
        <v>0</v>
      </c>
      <c r="AF1369" s="81">
        <v>0</v>
      </c>
      <c r="AG1369" s="86" t="s">
        <v>2084</v>
      </c>
      <c r="AH1369" s="81" t="b">
        <v>0</v>
      </c>
      <c r="AI1369" s="81" t="s">
        <v>2171</v>
      </c>
      <c r="AJ1369" s="81"/>
      <c r="AK1369" s="86" t="s">
        <v>2084</v>
      </c>
      <c r="AL1369" s="81" t="b">
        <v>0</v>
      </c>
      <c r="AM1369" s="81">
        <v>255</v>
      </c>
      <c r="AN1369" s="86" t="s">
        <v>7543</v>
      </c>
      <c r="AO1369" s="86" t="s">
        <v>2178</v>
      </c>
      <c r="AP1369" s="81" t="b">
        <v>0</v>
      </c>
      <c r="AQ1369" s="86" t="s">
        <v>7543</v>
      </c>
      <c r="AR1369" s="81" t="s">
        <v>179</v>
      </c>
      <c r="AS1369" s="81">
        <v>0</v>
      </c>
      <c r="AT1369" s="81">
        <v>0</v>
      </c>
      <c r="AU1369" s="81"/>
      <c r="AV1369" s="81"/>
      <c r="AW1369" s="81"/>
      <c r="AX1369" s="81"/>
      <c r="AY1369" s="81"/>
      <c r="AZ1369" s="81"/>
      <c r="BA1369" s="81"/>
      <c r="BB1369" s="81"/>
    </row>
    <row r="1370" spans="1:54" x14ac:dyDescent="0.35">
      <c r="A1370" s="66" t="s">
        <v>4690</v>
      </c>
      <c r="B1370" s="66" t="s">
        <v>4944</v>
      </c>
      <c r="C1370" s="67"/>
      <c r="D1370" s="68"/>
      <c r="E1370" s="69"/>
      <c r="F1370" s="70"/>
      <c r="G1370" s="67"/>
      <c r="H1370" s="71"/>
      <c r="I1370" s="72"/>
      <c r="J1370" s="72"/>
      <c r="K1370" s="36"/>
      <c r="L1370" s="79"/>
      <c r="M1370" s="79"/>
      <c r="N1370" s="74"/>
      <c r="O1370" s="81" t="s">
        <v>693</v>
      </c>
      <c r="P1370" s="83">
        <v>44465.715902777774</v>
      </c>
      <c r="Q1370" s="81" t="s">
        <v>5505</v>
      </c>
      <c r="R1370" s="81"/>
      <c r="S1370" s="81"/>
      <c r="T1370" s="81"/>
      <c r="U1370" s="81"/>
      <c r="V1370" s="84" t="str">
        <f>HYPERLINK("https://pbs.twimg.com/profile_images/1396574153113747457/SpSGxjlr_normal.jpg")</f>
        <v>https://pbs.twimg.com/profile_images/1396574153113747457/SpSGxjlr_normal.jpg</v>
      </c>
      <c r="W1370" s="83">
        <v>44465.715902777774</v>
      </c>
      <c r="X1370" s="89">
        <v>44465</v>
      </c>
      <c r="Y1370" s="86" t="s">
        <v>6335</v>
      </c>
      <c r="Z1370" s="84" t="str">
        <f>HYPERLINK("https://twitter.com/democraciasempr/status/1442174855147704329")</f>
        <v>https://twitter.com/democraciasempr/status/1442174855147704329</v>
      </c>
      <c r="AA1370" s="81"/>
      <c r="AB1370" s="81"/>
      <c r="AC1370" s="86" t="s">
        <v>7250</v>
      </c>
      <c r="AD1370" s="81"/>
      <c r="AE1370" s="81" t="b">
        <v>0</v>
      </c>
      <c r="AF1370" s="81">
        <v>0</v>
      </c>
      <c r="AG1370" s="86" t="s">
        <v>2084</v>
      </c>
      <c r="AH1370" s="81" t="b">
        <v>0</v>
      </c>
      <c r="AI1370" s="81" t="s">
        <v>2171</v>
      </c>
      <c r="AJ1370" s="81"/>
      <c r="AK1370" s="86" t="s">
        <v>2084</v>
      </c>
      <c r="AL1370" s="81" t="b">
        <v>0</v>
      </c>
      <c r="AM1370" s="81">
        <v>255</v>
      </c>
      <c r="AN1370" s="86" t="s">
        <v>7543</v>
      </c>
      <c r="AO1370" s="86" t="s">
        <v>2178</v>
      </c>
      <c r="AP1370" s="81" t="b">
        <v>0</v>
      </c>
      <c r="AQ1370" s="86" t="s">
        <v>7543</v>
      </c>
      <c r="AR1370" s="81" t="s">
        <v>179</v>
      </c>
      <c r="AS1370" s="81">
        <v>0</v>
      </c>
      <c r="AT1370" s="81">
        <v>0</v>
      </c>
      <c r="AU1370" s="81"/>
      <c r="AV1370" s="81"/>
      <c r="AW1370" s="81"/>
      <c r="AX1370" s="81"/>
      <c r="AY1370" s="81"/>
      <c r="AZ1370" s="81"/>
      <c r="BA1370" s="81"/>
      <c r="BB1370" s="81"/>
    </row>
    <row r="1371" spans="1:54" x14ac:dyDescent="0.35">
      <c r="A1371" s="66" t="s">
        <v>4691</v>
      </c>
      <c r="B1371" s="66" t="s">
        <v>4944</v>
      </c>
      <c r="C1371" s="67"/>
      <c r="D1371" s="68"/>
      <c r="E1371" s="69"/>
      <c r="F1371" s="70"/>
      <c r="G1371" s="67"/>
      <c r="H1371" s="71"/>
      <c r="I1371" s="72"/>
      <c r="J1371" s="72"/>
      <c r="K1371" s="36"/>
      <c r="L1371" s="79"/>
      <c r="M1371" s="79"/>
      <c r="N1371" s="74"/>
      <c r="O1371" s="81" t="s">
        <v>693</v>
      </c>
      <c r="P1371" s="83">
        <v>44465.725162037037</v>
      </c>
      <c r="Q1371" s="81" t="s">
        <v>5505</v>
      </c>
      <c r="R1371" s="81"/>
      <c r="S1371" s="81"/>
      <c r="T1371" s="81"/>
      <c r="U1371" s="81"/>
      <c r="V1371" s="84" t="str">
        <f>HYPERLINK("https://pbs.twimg.com/profile_images/1263838169939742720/3xhzybDp_normal.jpg")</f>
        <v>https://pbs.twimg.com/profile_images/1263838169939742720/3xhzybDp_normal.jpg</v>
      </c>
      <c r="W1371" s="83">
        <v>44465.725162037037</v>
      </c>
      <c r="X1371" s="89">
        <v>44465</v>
      </c>
      <c r="Y1371" s="86" t="s">
        <v>6336</v>
      </c>
      <c r="Z1371" s="84" t="str">
        <f>HYPERLINK("https://twitter.com/james_glima/status/1442178210913865729")</f>
        <v>https://twitter.com/james_glima/status/1442178210913865729</v>
      </c>
      <c r="AA1371" s="81"/>
      <c r="AB1371" s="81"/>
      <c r="AC1371" s="86" t="s">
        <v>7251</v>
      </c>
      <c r="AD1371" s="81"/>
      <c r="AE1371" s="81" t="b">
        <v>0</v>
      </c>
      <c r="AF1371" s="81">
        <v>0</v>
      </c>
      <c r="AG1371" s="86" t="s">
        <v>2084</v>
      </c>
      <c r="AH1371" s="81" t="b">
        <v>0</v>
      </c>
      <c r="AI1371" s="81" t="s">
        <v>2171</v>
      </c>
      <c r="AJ1371" s="81"/>
      <c r="AK1371" s="86" t="s">
        <v>2084</v>
      </c>
      <c r="AL1371" s="81" t="b">
        <v>0</v>
      </c>
      <c r="AM1371" s="81">
        <v>255</v>
      </c>
      <c r="AN1371" s="86" t="s">
        <v>7543</v>
      </c>
      <c r="AO1371" s="86" t="s">
        <v>2178</v>
      </c>
      <c r="AP1371" s="81" t="b">
        <v>0</v>
      </c>
      <c r="AQ1371" s="86" t="s">
        <v>7543</v>
      </c>
      <c r="AR1371" s="81" t="s">
        <v>179</v>
      </c>
      <c r="AS1371" s="81">
        <v>0</v>
      </c>
      <c r="AT1371" s="81">
        <v>0</v>
      </c>
      <c r="AU1371" s="81"/>
      <c r="AV1371" s="81"/>
      <c r="AW1371" s="81"/>
      <c r="AX1371" s="81"/>
      <c r="AY1371" s="81"/>
      <c r="AZ1371" s="81"/>
      <c r="BA1371" s="81"/>
      <c r="BB1371" s="81"/>
    </row>
    <row r="1372" spans="1:54" x14ac:dyDescent="0.35">
      <c r="A1372" s="66" t="s">
        <v>4692</v>
      </c>
      <c r="B1372" s="66" t="s">
        <v>4944</v>
      </c>
      <c r="C1372" s="67"/>
      <c r="D1372" s="68"/>
      <c r="E1372" s="69"/>
      <c r="F1372" s="70"/>
      <c r="G1372" s="67"/>
      <c r="H1372" s="71"/>
      <c r="I1372" s="72"/>
      <c r="J1372" s="72"/>
      <c r="K1372" s="36"/>
      <c r="L1372" s="79"/>
      <c r="M1372" s="79"/>
      <c r="N1372" s="74"/>
      <c r="O1372" s="81" t="s">
        <v>693</v>
      </c>
      <c r="P1372" s="83">
        <v>44465.727083333331</v>
      </c>
      <c r="Q1372" s="81" t="s">
        <v>5505</v>
      </c>
      <c r="R1372" s="81"/>
      <c r="S1372" s="81"/>
      <c r="T1372" s="81"/>
      <c r="U1372" s="81"/>
      <c r="V1372" s="84" t="str">
        <f>HYPERLINK("https://pbs.twimg.com/profile_images/656260292469485568/pls7DThJ_normal.jpg")</f>
        <v>https://pbs.twimg.com/profile_images/656260292469485568/pls7DThJ_normal.jpg</v>
      </c>
      <c r="W1372" s="83">
        <v>44465.727083333331</v>
      </c>
      <c r="X1372" s="89">
        <v>44465</v>
      </c>
      <c r="Y1372" s="86" t="s">
        <v>6337</v>
      </c>
      <c r="Z1372" s="84" t="str">
        <f>HYPERLINK("https://twitter.com/mister_renque/status/1442178908426620936")</f>
        <v>https://twitter.com/mister_renque/status/1442178908426620936</v>
      </c>
      <c r="AA1372" s="81"/>
      <c r="AB1372" s="81"/>
      <c r="AC1372" s="86" t="s">
        <v>7252</v>
      </c>
      <c r="AD1372" s="81"/>
      <c r="AE1372" s="81" t="b">
        <v>0</v>
      </c>
      <c r="AF1372" s="81">
        <v>0</v>
      </c>
      <c r="AG1372" s="86" t="s">
        <v>2084</v>
      </c>
      <c r="AH1372" s="81" t="b">
        <v>0</v>
      </c>
      <c r="AI1372" s="81" t="s">
        <v>2171</v>
      </c>
      <c r="AJ1372" s="81"/>
      <c r="AK1372" s="86" t="s">
        <v>2084</v>
      </c>
      <c r="AL1372" s="81" t="b">
        <v>0</v>
      </c>
      <c r="AM1372" s="81">
        <v>255</v>
      </c>
      <c r="AN1372" s="86" t="s">
        <v>7543</v>
      </c>
      <c r="AO1372" s="86" t="s">
        <v>2178</v>
      </c>
      <c r="AP1372" s="81" t="b">
        <v>0</v>
      </c>
      <c r="AQ1372" s="86" t="s">
        <v>7543</v>
      </c>
      <c r="AR1372" s="81" t="s">
        <v>179</v>
      </c>
      <c r="AS1372" s="81">
        <v>0</v>
      </c>
      <c r="AT1372" s="81">
        <v>0</v>
      </c>
      <c r="AU1372" s="81"/>
      <c r="AV1372" s="81"/>
      <c r="AW1372" s="81"/>
      <c r="AX1372" s="81"/>
      <c r="AY1372" s="81"/>
      <c r="AZ1372" s="81"/>
      <c r="BA1372" s="81"/>
      <c r="BB1372" s="81"/>
    </row>
    <row r="1373" spans="1:54" x14ac:dyDescent="0.35">
      <c r="A1373" s="66" t="s">
        <v>4693</v>
      </c>
      <c r="B1373" s="66" t="s">
        <v>4944</v>
      </c>
      <c r="C1373" s="67"/>
      <c r="D1373" s="68"/>
      <c r="E1373" s="69"/>
      <c r="F1373" s="70"/>
      <c r="G1373" s="67"/>
      <c r="H1373" s="71"/>
      <c r="I1373" s="72"/>
      <c r="J1373" s="72"/>
      <c r="K1373" s="36"/>
      <c r="L1373" s="79"/>
      <c r="M1373" s="79"/>
      <c r="N1373" s="74"/>
      <c r="O1373" s="81" t="s">
        <v>693</v>
      </c>
      <c r="P1373" s="83">
        <v>44465.730312500003</v>
      </c>
      <c r="Q1373" s="81" t="s">
        <v>5505</v>
      </c>
      <c r="R1373" s="81"/>
      <c r="S1373" s="81"/>
      <c r="T1373" s="81"/>
      <c r="U1373" s="81"/>
      <c r="V1373" s="84" t="str">
        <f>HYPERLINK("https://pbs.twimg.com/profile_images/1436103492775596033/5LB7YYUy_normal.jpg")</f>
        <v>https://pbs.twimg.com/profile_images/1436103492775596033/5LB7YYUy_normal.jpg</v>
      </c>
      <c r="W1373" s="83">
        <v>44465.730312500003</v>
      </c>
      <c r="X1373" s="89">
        <v>44465</v>
      </c>
      <c r="Y1373" s="86" t="s">
        <v>6338</v>
      </c>
      <c r="Z1373" s="84" t="str">
        <f>HYPERLINK("https://twitter.com/jairdesgovernad/status/1442180075936522241")</f>
        <v>https://twitter.com/jairdesgovernad/status/1442180075936522241</v>
      </c>
      <c r="AA1373" s="81"/>
      <c r="AB1373" s="81"/>
      <c r="AC1373" s="86" t="s">
        <v>7253</v>
      </c>
      <c r="AD1373" s="81"/>
      <c r="AE1373" s="81" t="b">
        <v>0</v>
      </c>
      <c r="AF1373" s="81">
        <v>0</v>
      </c>
      <c r="AG1373" s="86" t="s">
        <v>2084</v>
      </c>
      <c r="AH1373" s="81" t="b">
        <v>0</v>
      </c>
      <c r="AI1373" s="81" t="s">
        <v>2171</v>
      </c>
      <c r="AJ1373" s="81"/>
      <c r="AK1373" s="86" t="s">
        <v>2084</v>
      </c>
      <c r="AL1373" s="81" t="b">
        <v>0</v>
      </c>
      <c r="AM1373" s="81">
        <v>255</v>
      </c>
      <c r="AN1373" s="86" t="s">
        <v>7543</v>
      </c>
      <c r="AO1373" s="86" t="s">
        <v>2178</v>
      </c>
      <c r="AP1373" s="81" t="b">
        <v>0</v>
      </c>
      <c r="AQ1373" s="86" t="s">
        <v>7543</v>
      </c>
      <c r="AR1373" s="81" t="s">
        <v>179</v>
      </c>
      <c r="AS1373" s="81">
        <v>0</v>
      </c>
      <c r="AT1373" s="81">
        <v>0</v>
      </c>
      <c r="AU1373" s="81"/>
      <c r="AV1373" s="81"/>
      <c r="AW1373" s="81"/>
      <c r="AX1373" s="81"/>
      <c r="AY1373" s="81"/>
      <c r="AZ1373" s="81"/>
      <c r="BA1373" s="81"/>
      <c r="BB1373" s="81"/>
    </row>
    <row r="1374" spans="1:54" x14ac:dyDescent="0.35">
      <c r="A1374" s="66" t="s">
        <v>4694</v>
      </c>
      <c r="B1374" s="66" t="s">
        <v>4944</v>
      </c>
      <c r="C1374" s="67"/>
      <c r="D1374" s="68"/>
      <c r="E1374" s="69"/>
      <c r="F1374" s="70"/>
      <c r="G1374" s="67"/>
      <c r="H1374" s="71"/>
      <c r="I1374" s="72"/>
      <c r="J1374" s="72"/>
      <c r="K1374" s="36"/>
      <c r="L1374" s="79"/>
      <c r="M1374" s="79"/>
      <c r="N1374" s="74"/>
      <c r="O1374" s="81" t="s">
        <v>693</v>
      </c>
      <c r="P1374" s="83">
        <v>44465.731909722221</v>
      </c>
      <c r="Q1374" s="81" t="s">
        <v>5505</v>
      </c>
      <c r="R1374" s="81"/>
      <c r="S1374" s="81"/>
      <c r="T1374" s="81"/>
      <c r="U1374" s="81"/>
      <c r="V1374" s="84" t="str">
        <f>HYPERLINK("https://pbs.twimg.com/profile_images/1410751419800489985/pkrX94B5_normal.jpg")</f>
        <v>https://pbs.twimg.com/profile_images/1410751419800489985/pkrX94B5_normal.jpg</v>
      </c>
      <c r="W1374" s="83">
        <v>44465.731909722221</v>
      </c>
      <c r="X1374" s="89">
        <v>44465</v>
      </c>
      <c r="Y1374" s="86" t="s">
        <v>6339</v>
      </c>
      <c r="Z1374" s="84" t="str">
        <f>HYPERLINK("https://twitter.com/marianemundim/status/1442180654783942664")</f>
        <v>https://twitter.com/marianemundim/status/1442180654783942664</v>
      </c>
      <c r="AA1374" s="81"/>
      <c r="AB1374" s="81"/>
      <c r="AC1374" s="86" t="s">
        <v>7254</v>
      </c>
      <c r="AD1374" s="81"/>
      <c r="AE1374" s="81" t="b">
        <v>0</v>
      </c>
      <c r="AF1374" s="81">
        <v>0</v>
      </c>
      <c r="AG1374" s="86" t="s">
        <v>2084</v>
      </c>
      <c r="AH1374" s="81" t="b">
        <v>0</v>
      </c>
      <c r="AI1374" s="81" t="s">
        <v>2171</v>
      </c>
      <c r="AJ1374" s="81"/>
      <c r="AK1374" s="86" t="s">
        <v>2084</v>
      </c>
      <c r="AL1374" s="81" t="b">
        <v>0</v>
      </c>
      <c r="AM1374" s="81">
        <v>255</v>
      </c>
      <c r="AN1374" s="86" t="s">
        <v>7543</v>
      </c>
      <c r="AO1374" s="86" t="s">
        <v>2181</v>
      </c>
      <c r="AP1374" s="81" t="b">
        <v>0</v>
      </c>
      <c r="AQ1374" s="86" t="s">
        <v>7543</v>
      </c>
      <c r="AR1374" s="81" t="s">
        <v>179</v>
      </c>
      <c r="AS1374" s="81">
        <v>0</v>
      </c>
      <c r="AT1374" s="81">
        <v>0</v>
      </c>
      <c r="AU1374" s="81"/>
      <c r="AV1374" s="81"/>
      <c r="AW1374" s="81"/>
      <c r="AX1374" s="81"/>
      <c r="AY1374" s="81"/>
      <c r="AZ1374" s="81"/>
      <c r="BA1374" s="81"/>
      <c r="BB1374" s="81"/>
    </row>
    <row r="1375" spans="1:54" x14ac:dyDescent="0.35">
      <c r="A1375" s="66" t="s">
        <v>4695</v>
      </c>
      <c r="B1375" s="66" t="s">
        <v>4944</v>
      </c>
      <c r="C1375" s="67"/>
      <c r="D1375" s="68"/>
      <c r="E1375" s="69"/>
      <c r="F1375" s="70"/>
      <c r="G1375" s="67"/>
      <c r="H1375" s="71"/>
      <c r="I1375" s="72"/>
      <c r="J1375" s="72"/>
      <c r="K1375" s="36"/>
      <c r="L1375" s="79"/>
      <c r="M1375" s="79"/>
      <c r="N1375" s="74"/>
      <c r="O1375" s="81" t="s">
        <v>693</v>
      </c>
      <c r="P1375" s="83">
        <v>44465.746215277781</v>
      </c>
      <c r="Q1375" s="81" t="s">
        <v>5505</v>
      </c>
      <c r="R1375" s="81"/>
      <c r="S1375" s="81"/>
      <c r="T1375" s="81"/>
      <c r="U1375" s="81"/>
      <c r="V1375" s="84" t="str">
        <f>HYPERLINK("https://pbs.twimg.com/profile_images/1347739812804100098/13ptMJew_normal.jpg")</f>
        <v>https://pbs.twimg.com/profile_images/1347739812804100098/13ptMJew_normal.jpg</v>
      </c>
      <c r="W1375" s="83">
        <v>44465.746215277781</v>
      </c>
      <c r="X1375" s="89">
        <v>44465</v>
      </c>
      <c r="Y1375" s="86" t="s">
        <v>6340</v>
      </c>
      <c r="Z1375" s="84" t="str">
        <f>HYPERLINK("https://twitter.com/elaneide/status/1442185841548292106")</f>
        <v>https://twitter.com/elaneide/status/1442185841548292106</v>
      </c>
      <c r="AA1375" s="81"/>
      <c r="AB1375" s="81"/>
      <c r="AC1375" s="86" t="s">
        <v>7255</v>
      </c>
      <c r="AD1375" s="81"/>
      <c r="AE1375" s="81" t="b">
        <v>0</v>
      </c>
      <c r="AF1375" s="81">
        <v>0</v>
      </c>
      <c r="AG1375" s="86" t="s">
        <v>2084</v>
      </c>
      <c r="AH1375" s="81" t="b">
        <v>0</v>
      </c>
      <c r="AI1375" s="81" t="s">
        <v>2171</v>
      </c>
      <c r="AJ1375" s="81"/>
      <c r="AK1375" s="86" t="s">
        <v>2084</v>
      </c>
      <c r="AL1375" s="81" t="b">
        <v>0</v>
      </c>
      <c r="AM1375" s="81">
        <v>255</v>
      </c>
      <c r="AN1375" s="86" t="s">
        <v>7543</v>
      </c>
      <c r="AO1375" s="86" t="s">
        <v>2179</v>
      </c>
      <c r="AP1375" s="81" t="b">
        <v>0</v>
      </c>
      <c r="AQ1375" s="86" t="s">
        <v>7543</v>
      </c>
      <c r="AR1375" s="81" t="s">
        <v>179</v>
      </c>
      <c r="AS1375" s="81">
        <v>0</v>
      </c>
      <c r="AT1375" s="81">
        <v>0</v>
      </c>
      <c r="AU1375" s="81"/>
      <c r="AV1375" s="81"/>
      <c r="AW1375" s="81"/>
      <c r="AX1375" s="81"/>
      <c r="AY1375" s="81"/>
      <c r="AZ1375" s="81"/>
      <c r="BA1375" s="81"/>
      <c r="BB1375" s="81"/>
    </row>
    <row r="1376" spans="1:54" x14ac:dyDescent="0.35">
      <c r="A1376" s="66" t="s">
        <v>4696</v>
      </c>
      <c r="B1376" s="66" t="s">
        <v>4944</v>
      </c>
      <c r="C1376" s="67"/>
      <c r="D1376" s="68"/>
      <c r="E1376" s="69"/>
      <c r="F1376" s="70"/>
      <c r="G1376" s="67"/>
      <c r="H1376" s="71"/>
      <c r="I1376" s="72"/>
      <c r="J1376" s="72"/>
      <c r="K1376" s="36"/>
      <c r="L1376" s="79"/>
      <c r="M1376" s="79"/>
      <c r="N1376" s="74"/>
      <c r="O1376" s="81" t="s">
        <v>693</v>
      </c>
      <c r="P1376" s="83">
        <v>44465.748993055553</v>
      </c>
      <c r="Q1376" s="81" t="s">
        <v>5505</v>
      </c>
      <c r="R1376" s="81"/>
      <c r="S1376" s="81"/>
      <c r="T1376" s="81"/>
      <c r="U1376" s="81"/>
      <c r="V1376" s="84" t="str">
        <f>HYPERLINK("https://pbs.twimg.com/profile_images/1057701800269225984/Eg_Zoctj_normal.jpg")</f>
        <v>https://pbs.twimg.com/profile_images/1057701800269225984/Eg_Zoctj_normal.jpg</v>
      </c>
      <c r="W1376" s="83">
        <v>44465.748993055553</v>
      </c>
      <c r="X1376" s="89">
        <v>44465</v>
      </c>
      <c r="Y1376" s="86" t="s">
        <v>6341</v>
      </c>
      <c r="Z1376" s="84" t="str">
        <f>HYPERLINK("https://twitter.com/painsthiago/status/1442186848441356291")</f>
        <v>https://twitter.com/painsthiago/status/1442186848441356291</v>
      </c>
      <c r="AA1376" s="81"/>
      <c r="AB1376" s="81"/>
      <c r="AC1376" s="86" t="s">
        <v>7256</v>
      </c>
      <c r="AD1376" s="81"/>
      <c r="AE1376" s="81" t="b">
        <v>0</v>
      </c>
      <c r="AF1376" s="81">
        <v>0</v>
      </c>
      <c r="AG1376" s="86" t="s">
        <v>2084</v>
      </c>
      <c r="AH1376" s="81" t="b">
        <v>0</v>
      </c>
      <c r="AI1376" s="81" t="s">
        <v>2171</v>
      </c>
      <c r="AJ1376" s="81"/>
      <c r="AK1376" s="86" t="s">
        <v>2084</v>
      </c>
      <c r="AL1376" s="81" t="b">
        <v>0</v>
      </c>
      <c r="AM1376" s="81">
        <v>255</v>
      </c>
      <c r="AN1376" s="86" t="s">
        <v>7543</v>
      </c>
      <c r="AO1376" s="86" t="s">
        <v>2178</v>
      </c>
      <c r="AP1376" s="81" t="b">
        <v>0</v>
      </c>
      <c r="AQ1376" s="86" t="s">
        <v>7543</v>
      </c>
      <c r="AR1376" s="81" t="s">
        <v>179</v>
      </c>
      <c r="AS1376" s="81">
        <v>0</v>
      </c>
      <c r="AT1376" s="81">
        <v>0</v>
      </c>
      <c r="AU1376" s="81"/>
      <c r="AV1376" s="81"/>
      <c r="AW1376" s="81"/>
      <c r="AX1376" s="81"/>
      <c r="AY1376" s="81"/>
      <c r="AZ1376" s="81"/>
      <c r="BA1376" s="81"/>
      <c r="BB1376" s="81"/>
    </row>
    <row r="1377" spans="1:54" x14ac:dyDescent="0.35">
      <c r="A1377" s="66" t="s">
        <v>4697</v>
      </c>
      <c r="B1377" s="66" t="s">
        <v>4944</v>
      </c>
      <c r="C1377" s="67"/>
      <c r="D1377" s="68"/>
      <c r="E1377" s="69"/>
      <c r="F1377" s="70"/>
      <c r="G1377" s="67"/>
      <c r="H1377" s="71"/>
      <c r="I1377" s="72"/>
      <c r="J1377" s="72"/>
      <c r="K1377" s="36"/>
      <c r="L1377" s="79"/>
      <c r="M1377" s="79"/>
      <c r="N1377" s="74"/>
      <c r="O1377" s="81" t="s">
        <v>693</v>
      </c>
      <c r="P1377" s="83">
        <v>44465.750173611108</v>
      </c>
      <c r="Q1377" s="81" t="s">
        <v>5505</v>
      </c>
      <c r="R1377" s="81"/>
      <c r="S1377" s="81"/>
      <c r="T1377" s="81"/>
      <c r="U1377" s="81"/>
      <c r="V1377" s="84" t="str">
        <f>HYPERLINK("https://pbs.twimg.com/profile_images/1390326709887672328/2kzscFCL_normal.jpg")</f>
        <v>https://pbs.twimg.com/profile_images/1390326709887672328/2kzscFCL_normal.jpg</v>
      </c>
      <c r="W1377" s="83">
        <v>44465.750173611108</v>
      </c>
      <c r="X1377" s="89">
        <v>44465</v>
      </c>
      <c r="Y1377" s="86" t="s">
        <v>6342</v>
      </c>
      <c r="Z1377" s="84" t="str">
        <f>HYPERLINK("https://twitter.com/kakashi10/status/1442187272925839364")</f>
        <v>https://twitter.com/kakashi10/status/1442187272925839364</v>
      </c>
      <c r="AA1377" s="81"/>
      <c r="AB1377" s="81"/>
      <c r="AC1377" s="86" t="s">
        <v>7257</v>
      </c>
      <c r="AD1377" s="81"/>
      <c r="AE1377" s="81" t="b">
        <v>0</v>
      </c>
      <c r="AF1377" s="81">
        <v>0</v>
      </c>
      <c r="AG1377" s="86" t="s">
        <v>2084</v>
      </c>
      <c r="AH1377" s="81" t="b">
        <v>0</v>
      </c>
      <c r="AI1377" s="81" t="s">
        <v>2171</v>
      </c>
      <c r="AJ1377" s="81"/>
      <c r="AK1377" s="86" t="s">
        <v>2084</v>
      </c>
      <c r="AL1377" s="81" t="b">
        <v>0</v>
      </c>
      <c r="AM1377" s="81">
        <v>255</v>
      </c>
      <c r="AN1377" s="86" t="s">
        <v>7543</v>
      </c>
      <c r="AO1377" s="86" t="s">
        <v>2181</v>
      </c>
      <c r="AP1377" s="81" t="b">
        <v>0</v>
      </c>
      <c r="AQ1377" s="86" t="s">
        <v>7543</v>
      </c>
      <c r="AR1377" s="81" t="s">
        <v>179</v>
      </c>
      <c r="AS1377" s="81">
        <v>0</v>
      </c>
      <c r="AT1377" s="81">
        <v>0</v>
      </c>
      <c r="AU1377" s="81"/>
      <c r="AV1377" s="81"/>
      <c r="AW1377" s="81"/>
      <c r="AX1377" s="81"/>
      <c r="AY1377" s="81"/>
      <c r="AZ1377" s="81"/>
      <c r="BA1377" s="81"/>
      <c r="BB1377" s="81"/>
    </row>
    <row r="1378" spans="1:54" x14ac:dyDescent="0.35">
      <c r="A1378" s="66" t="s">
        <v>4698</v>
      </c>
      <c r="B1378" s="66" t="s">
        <v>5139</v>
      </c>
      <c r="C1378" s="67"/>
      <c r="D1378" s="68"/>
      <c r="E1378" s="69"/>
      <c r="F1378" s="70"/>
      <c r="G1378" s="67"/>
      <c r="H1378" s="71"/>
      <c r="I1378" s="72"/>
      <c r="J1378" s="72"/>
      <c r="K1378" s="36"/>
      <c r="L1378" s="79"/>
      <c r="M1378" s="79"/>
      <c r="N1378" s="74"/>
      <c r="O1378" s="81" t="s">
        <v>696</v>
      </c>
      <c r="P1378" s="83">
        <v>44465.762233796297</v>
      </c>
      <c r="Q1378" s="81" t="s">
        <v>5520</v>
      </c>
      <c r="R1378" s="81"/>
      <c r="S1378" s="81"/>
      <c r="T1378" s="81"/>
      <c r="U1378" s="81"/>
      <c r="V1378" s="84" t="str">
        <f>HYPERLINK("https://pbs.twimg.com/profile_images/1157962784942043136/-gqAEf34_normal.jpg")</f>
        <v>https://pbs.twimg.com/profile_images/1157962784942043136/-gqAEf34_normal.jpg</v>
      </c>
      <c r="W1378" s="83">
        <v>44465.762233796297</v>
      </c>
      <c r="X1378" s="89">
        <v>44465</v>
      </c>
      <c r="Y1378" s="86" t="s">
        <v>6343</v>
      </c>
      <c r="Z1378" s="84" t="str">
        <f>HYPERLINK("https://twitter.com/rac_pt/status/1442191647287037953")</f>
        <v>https://twitter.com/rac_pt/status/1442191647287037953</v>
      </c>
      <c r="AA1378" s="81"/>
      <c r="AB1378" s="81"/>
      <c r="AC1378" s="86" t="s">
        <v>7258</v>
      </c>
      <c r="AD1378" s="86" t="s">
        <v>7717</v>
      </c>
      <c r="AE1378" s="81" t="b">
        <v>0</v>
      </c>
      <c r="AF1378" s="81">
        <v>3</v>
      </c>
      <c r="AG1378" s="86" t="s">
        <v>7892</v>
      </c>
      <c r="AH1378" s="81" t="b">
        <v>0</v>
      </c>
      <c r="AI1378" s="81" t="s">
        <v>2171</v>
      </c>
      <c r="AJ1378" s="81"/>
      <c r="AK1378" s="86" t="s">
        <v>2084</v>
      </c>
      <c r="AL1378" s="81" t="b">
        <v>0</v>
      </c>
      <c r="AM1378" s="81">
        <v>0</v>
      </c>
      <c r="AN1378" s="86" t="s">
        <v>2084</v>
      </c>
      <c r="AO1378" s="86" t="s">
        <v>2178</v>
      </c>
      <c r="AP1378" s="81" t="b">
        <v>0</v>
      </c>
      <c r="AQ1378" s="86" t="s">
        <v>7717</v>
      </c>
      <c r="AR1378" s="81" t="s">
        <v>179</v>
      </c>
      <c r="AS1378" s="81">
        <v>0</v>
      </c>
      <c r="AT1378" s="81">
        <v>0</v>
      </c>
      <c r="AU1378" s="81"/>
      <c r="AV1378" s="81"/>
      <c r="AW1378" s="81"/>
      <c r="AX1378" s="81"/>
      <c r="AY1378" s="81"/>
      <c r="AZ1378" s="81"/>
      <c r="BA1378" s="81"/>
      <c r="BB1378" s="81"/>
    </row>
    <row r="1379" spans="1:54" x14ac:dyDescent="0.35">
      <c r="A1379" s="66" t="s">
        <v>4698</v>
      </c>
      <c r="B1379" s="66" t="s">
        <v>5140</v>
      </c>
      <c r="C1379" s="67"/>
      <c r="D1379" s="68"/>
      <c r="E1379" s="69"/>
      <c r="F1379" s="70"/>
      <c r="G1379" s="67"/>
      <c r="H1379" s="71"/>
      <c r="I1379" s="72"/>
      <c r="J1379" s="72"/>
      <c r="K1379" s="36"/>
      <c r="L1379" s="79"/>
      <c r="M1379" s="79"/>
      <c r="N1379" s="74"/>
      <c r="O1379" s="81" t="s">
        <v>695</v>
      </c>
      <c r="P1379" s="83">
        <v>44465.762233796297</v>
      </c>
      <c r="Q1379" s="81" t="s">
        <v>5520</v>
      </c>
      <c r="R1379" s="81"/>
      <c r="S1379" s="81"/>
      <c r="T1379" s="81"/>
      <c r="U1379" s="81"/>
      <c r="V1379" s="84" t="str">
        <f>HYPERLINK("https://pbs.twimg.com/profile_images/1157962784942043136/-gqAEf34_normal.jpg")</f>
        <v>https://pbs.twimg.com/profile_images/1157962784942043136/-gqAEf34_normal.jpg</v>
      </c>
      <c r="W1379" s="83">
        <v>44465.762233796297</v>
      </c>
      <c r="X1379" s="89">
        <v>44465</v>
      </c>
      <c r="Y1379" s="86" t="s">
        <v>6343</v>
      </c>
      <c r="Z1379" s="84" t="str">
        <f>HYPERLINK("https://twitter.com/rac_pt/status/1442191647287037953")</f>
        <v>https://twitter.com/rac_pt/status/1442191647287037953</v>
      </c>
      <c r="AA1379" s="81"/>
      <c r="AB1379" s="81"/>
      <c r="AC1379" s="86" t="s">
        <v>7258</v>
      </c>
      <c r="AD1379" s="86" t="s">
        <v>7717</v>
      </c>
      <c r="AE1379" s="81" t="b">
        <v>0</v>
      </c>
      <c r="AF1379" s="81">
        <v>3</v>
      </c>
      <c r="AG1379" s="86" t="s">
        <v>7892</v>
      </c>
      <c r="AH1379" s="81" t="b">
        <v>0</v>
      </c>
      <c r="AI1379" s="81" t="s">
        <v>2171</v>
      </c>
      <c r="AJ1379" s="81"/>
      <c r="AK1379" s="86" t="s">
        <v>2084</v>
      </c>
      <c r="AL1379" s="81" t="b">
        <v>0</v>
      </c>
      <c r="AM1379" s="81">
        <v>0</v>
      </c>
      <c r="AN1379" s="86" t="s">
        <v>2084</v>
      </c>
      <c r="AO1379" s="86" t="s">
        <v>2178</v>
      </c>
      <c r="AP1379" s="81" t="b">
        <v>0</v>
      </c>
      <c r="AQ1379" s="86" t="s">
        <v>7717</v>
      </c>
      <c r="AR1379" s="81" t="s">
        <v>179</v>
      </c>
      <c r="AS1379" s="81">
        <v>0</v>
      </c>
      <c r="AT1379" s="81">
        <v>0</v>
      </c>
      <c r="AU1379" s="81"/>
      <c r="AV1379" s="81"/>
      <c r="AW1379" s="81"/>
      <c r="AX1379" s="81"/>
      <c r="AY1379" s="81"/>
      <c r="AZ1379" s="81"/>
      <c r="BA1379" s="81"/>
      <c r="BB1379" s="81"/>
    </row>
    <row r="1380" spans="1:54" x14ac:dyDescent="0.35">
      <c r="A1380" s="66" t="s">
        <v>4699</v>
      </c>
      <c r="B1380" s="66" t="s">
        <v>4944</v>
      </c>
      <c r="C1380" s="67"/>
      <c r="D1380" s="68"/>
      <c r="E1380" s="69"/>
      <c r="F1380" s="70"/>
      <c r="G1380" s="67"/>
      <c r="H1380" s="71"/>
      <c r="I1380" s="72"/>
      <c r="J1380" s="72"/>
      <c r="K1380" s="36"/>
      <c r="L1380" s="79"/>
      <c r="M1380" s="79"/>
      <c r="N1380" s="74"/>
      <c r="O1380" s="81" t="s">
        <v>693</v>
      </c>
      <c r="P1380" s="83">
        <v>44465.767523148148</v>
      </c>
      <c r="Q1380" s="81" t="s">
        <v>5505</v>
      </c>
      <c r="R1380" s="81"/>
      <c r="S1380" s="81"/>
      <c r="T1380" s="81"/>
      <c r="U1380" s="81"/>
      <c r="V1380" s="84" t="str">
        <f>HYPERLINK("https://pbs.twimg.com/profile_images/1254857629224112128/JKj4o_GP_normal.jpg")</f>
        <v>https://pbs.twimg.com/profile_images/1254857629224112128/JKj4o_GP_normal.jpg</v>
      </c>
      <c r="W1380" s="83">
        <v>44465.767523148148</v>
      </c>
      <c r="X1380" s="89">
        <v>44465</v>
      </c>
      <c r="Y1380" s="86" t="s">
        <v>6344</v>
      </c>
      <c r="Z1380" s="84" t="str">
        <f>HYPERLINK("https://twitter.com/joaoflaviobg/status/1442193563060633609")</f>
        <v>https://twitter.com/joaoflaviobg/status/1442193563060633609</v>
      </c>
      <c r="AA1380" s="81"/>
      <c r="AB1380" s="81"/>
      <c r="AC1380" s="86" t="s">
        <v>7259</v>
      </c>
      <c r="AD1380" s="81"/>
      <c r="AE1380" s="81" t="b">
        <v>0</v>
      </c>
      <c r="AF1380" s="81">
        <v>0</v>
      </c>
      <c r="AG1380" s="86" t="s">
        <v>2084</v>
      </c>
      <c r="AH1380" s="81" t="b">
        <v>0</v>
      </c>
      <c r="AI1380" s="81" t="s">
        <v>2171</v>
      </c>
      <c r="AJ1380" s="81"/>
      <c r="AK1380" s="86" t="s">
        <v>2084</v>
      </c>
      <c r="AL1380" s="81" t="b">
        <v>0</v>
      </c>
      <c r="AM1380" s="81">
        <v>255</v>
      </c>
      <c r="AN1380" s="86" t="s">
        <v>7543</v>
      </c>
      <c r="AO1380" s="86" t="s">
        <v>2178</v>
      </c>
      <c r="AP1380" s="81" t="b">
        <v>0</v>
      </c>
      <c r="AQ1380" s="86" t="s">
        <v>7543</v>
      </c>
      <c r="AR1380" s="81" t="s">
        <v>179</v>
      </c>
      <c r="AS1380" s="81">
        <v>0</v>
      </c>
      <c r="AT1380" s="81">
        <v>0</v>
      </c>
      <c r="AU1380" s="81"/>
      <c r="AV1380" s="81"/>
      <c r="AW1380" s="81"/>
      <c r="AX1380" s="81"/>
      <c r="AY1380" s="81"/>
      <c r="AZ1380" s="81"/>
      <c r="BA1380" s="81"/>
      <c r="BB1380" s="81"/>
    </row>
    <row r="1381" spans="1:54" x14ac:dyDescent="0.35">
      <c r="A1381" s="66" t="s">
        <v>4700</v>
      </c>
      <c r="B1381" s="66" t="s">
        <v>4944</v>
      </c>
      <c r="C1381" s="67"/>
      <c r="D1381" s="68"/>
      <c r="E1381" s="69"/>
      <c r="F1381" s="70"/>
      <c r="G1381" s="67"/>
      <c r="H1381" s="71"/>
      <c r="I1381" s="72"/>
      <c r="J1381" s="72"/>
      <c r="K1381" s="36"/>
      <c r="L1381" s="79"/>
      <c r="M1381" s="79"/>
      <c r="N1381" s="74"/>
      <c r="O1381" s="81" t="s">
        <v>693</v>
      </c>
      <c r="P1381" s="83">
        <v>44465.767962962964</v>
      </c>
      <c r="Q1381" s="81" t="s">
        <v>5505</v>
      </c>
      <c r="R1381" s="81"/>
      <c r="S1381" s="81"/>
      <c r="T1381" s="81"/>
      <c r="U1381" s="81"/>
      <c r="V1381" s="84" t="str">
        <f>HYPERLINK("https://pbs.twimg.com/profile_images/1262120379398656001/BNPRBCrU_normal.jpg")</f>
        <v>https://pbs.twimg.com/profile_images/1262120379398656001/BNPRBCrU_normal.jpg</v>
      </c>
      <c r="W1381" s="83">
        <v>44465.767962962964</v>
      </c>
      <c r="X1381" s="89">
        <v>44465</v>
      </c>
      <c r="Y1381" s="86" t="s">
        <v>6345</v>
      </c>
      <c r="Z1381" s="84" t="str">
        <f>HYPERLINK("https://twitter.com/wjjunyor/status/1442193719378300928")</f>
        <v>https://twitter.com/wjjunyor/status/1442193719378300928</v>
      </c>
      <c r="AA1381" s="81"/>
      <c r="AB1381" s="81"/>
      <c r="AC1381" s="86" t="s">
        <v>7260</v>
      </c>
      <c r="AD1381" s="81"/>
      <c r="AE1381" s="81" t="b">
        <v>0</v>
      </c>
      <c r="AF1381" s="81">
        <v>0</v>
      </c>
      <c r="AG1381" s="86" t="s">
        <v>2084</v>
      </c>
      <c r="AH1381" s="81" t="b">
        <v>0</v>
      </c>
      <c r="AI1381" s="81" t="s">
        <v>2171</v>
      </c>
      <c r="AJ1381" s="81"/>
      <c r="AK1381" s="86" t="s">
        <v>2084</v>
      </c>
      <c r="AL1381" s="81" t="b">
        <v>0</v>
      </c>
      <c r="AM1381" s="81">
        <v>255</v>
      </c>
      <c r="AN1381" s="86" t="s">
        <v>7543</v>
      </c>
      <c r="AO1381" s="86" t="s">
        <v>2178</v>
      </c>
      <c r="AP1381" s="81" t="b">
        <v>0</v>
      </c>
      <c r="AQ1381" s="86" t="s">
        <v>7543</v>
      </c>
      <c r="AR1381" s="81" t="s">
        <v>179</v>
      </c>
      <c r="AS1381" s="81">
        <v>0</v>
      </c>
      <c r="AT1381" s="81">
        <v>0</v>
      </c>
      <c r="AU1381" s="81"/>
      <c r="AV1381" s="81"/>
      <c r="AW1381" s="81"/>
      <c r="AX1381" s="81"/>
      <c r="AY1381" s="81"/>
      <c r="AZ1381" s="81"/>
      <c r="BA1381" s="81"/>
      <c r="BB1381" s="81"/>
    </row>
    <row r="1382" spans="1:54" x14ac:dyDescent="0.35">
      <c r="A1382" s="66" t="s">
        <v>4701</v>
      </c>
      <c r="B1382" s="66" t="s">
        <v>4944</v>
      </c>
      <c r="C1382" s="67"/>
      <c r="D1382" s="68"/>
      <c r="E1382" s="69"/>
      <c r="F1382" s="70"/>
      <c r="G1382" s="67"/>
      <c r="H1382" s="71"/>
      <c r="I1382" s="72"/>
      <c r="J1382" s="72"/>
      <c r="K1382" s="36"/>
      <c r="L1382" s="79"/>
      <c r="M1382" s="79"/>
      <c r="N1382" s="74"/>
      <c r="O1382" s="81" t="s">
        <v>693</v>
      </c>
      <c r="P1382" s="83">
        <v>44465.774768518517</v>
      </c>
      <c r="Q1382" s="81" t="s">
        <v>5505</v>
      </c>
      <c r="R1382" s="81"/>
      <c r="S1382" s="81"/>
      <c r="T1382" s="81"/>
      <c r="U1382" s="81"/>
      <c r="V1382" s="84" t="str">
        <f>HYPERLINK("https://pbs.twimg.com/profile_images/1420042211668885516/9n-OCnPo_normal.jpg")</f>
        <v>https://pbs.twimg.com/profile_images/1420042211668885516/9n-OCnPo_normal.jpg</v>
      </c>
      <c r="W1382" s="83">
        <v>44465.774768518517</v>
      </c>
      <c r="X1382" s="89">
        <v>44465</v>
      </c>
      <c r="Y1382" s="86" t="s">
        <v>6346</v>
      </c>
      <c r="Z1382" s="84" t="str">
        <f>HYPERLINK("https://twitter.com/thejuds_/status/1442196186765529090")</f>
        <v>https://twitter.com/thejuds_/status/1442196186765529090</v>
      </c>
      <c r="AA1382" s="81"/>
      <c r="AB1382" s="81"/>
      <c r="AC1382" s="86" t="s">
        <v>7261</v>
      </c>
      <c r="AD1382" s="81"/>
      <c r="AE1382" s="81" t="b">
        <v>0</v>
      </c>
      <c r="AF1382" s="81">
        <v>0</v>
      </c>
      <c r="AG1382" s="86" t="s">
        <v>2084</v>
      </c>
      <c r="AH1382" s="81" t="b">
        <v>0</v>
      </c>
      <c r="AI1382" s="81" t="s">
        <v>2171</v>
      </c>
      <c r="AJ1382" s="81"/>
      <c r="AK1382" s="86" t="s">
        <v>2084</v>
      </c>
      <c r="AL1382" s="81" t="b">
        <v>0</v>
      </c>
      <c r="AM1382" s="81">
        <v>255</v>
      </c>
      <c r="AN1382" s="86" t="s">
        <v>7543</v>
      </c>
      <c r="AO1382" s="86" t="s">
        <v>2179</v>
      </c>
      <c r="AP1382" s="81" t="b">
        <v>0</v>
      </c>
      <c r="AQ1382" s="86" t="s">
        <v>7543</v>
      </c>
      <c r="AR1382" s="81" t="s">
        <v>179</v>
      </c>
      <c r="AS1382" s="81">
        <v>0</v>
      </c>
      <c r="AT1382" s="81">
        <v>0</v>
      </c>
      <c r="AU1382" s="81"/>
      <c r="AV1382" s="81"/>
      <c r="AW1382" s="81"/>
      <c r="AX1382" s="81"/>
      <c r="AY1382" s="81"/>
      <c r="AZ1382" s="81"/>
      <c r="BA1382" s="81"/>
      <c r="BB1382" s="81"/>
    </row>
    <row r="1383" spans="1:54" x14ac:dyDescent="0.35">
      <c r="A1383" s="66" t="s">
        <v>4702</v>
      </c>
      <c r="B1383" s="66" t="s">
        <v>4944</v>
      </c>
      <c r="C1383" s="67"/>
      <c r="D1383" s="68"/>
      <c r="E1383" s="69"/>
      <c r="F1383" s="70"/>
      <c r="G1383" s="67"/>
      <c r="H1383" s="71"/>
      <c r="I1383" s="72"/>
      <c r="J1383" s="72"/>
      <c r="K1383" s="36"/>
      <c r="L1383" s="79"/>
      <c r="M1383" s="79"/>
      <c r="N1383" s="74"/>
      <c r="O1383" s="81" t="s">
        <v>693</v>
      </c>
      <c r="P1383" s="83">
        <v>44465.781851851854</v>
      </c>
      <c r="Q1383" s="81" t="s">
        <v>5505</v>
      </c>
      <c r="R1383" s="81"/>
      <c r="S1383" s="81"/>
      <c r="T1383" s="81"/>
      <c r="U1383" s="81"/>
      <c r="V1383" s="84" t="str">
        <f>HYPERLINK("https://pbs.twimg.com/profile_images/2976750073/3a261698868b6ce64c2b18f8de140e5a_normal.jpeg")</f>
        <v>https://pbs.twimg.com/profile_images/2976750073/3a261698868b6ce64c2b18f8de140e5a_normal.jpeg</v>
      </c>
      <c r="W1383" s="83">
        <v>44465.781851851854</v>
      </c>
      <c r="X1383" s="89">
        <v>44465</v>
      </c>
      <c r="Y1383" s="86" t="s">
        <v>6347</v>
      </c>
      <c r="Z1383" s="84" t="str">
        <f>HYPERLINK("https://twitter.com/heroial/status/1442198756212936709")</f>
        <v>https://twitter.com/heroial/status/1442198756212936709</v>
      </c>
      <c r="AA1383" s="81"/>
      <c r="AB1383" s="81"/>
      <c r="AC1383" s="86" t="s">
        <v>7262</v>
      </c>
      <c r="AD1383" s="81"/>
      <c r="AE1383" s="81" t="b">
        <v>0</v>
      </c>
      <c r="AF1383" s="81">
        <v>0</v>
      </c>
      <c r="AG1383" s="86" t="s">
        <v>2084</v>
      </c>
      <c r="AH1383" s="81" t="b">
        <v>0</v>
      </c>
      <c r="AI1383" s="81" t="s">
        <v>2171</v>
      </c>
      <c r="AJ1383" s="81"/>
      <c r="AK1383" s="86" t="s">
        <v>2084</v>
      </c>
      <c r="AL1383" s="81" t="b">
        <v>0</v>
      </c>
      <c r="AM1383" s="81">
        <v>255</v>
      </c>
      <c r="AN1383" s="86" t="s">
        <v>7543</v>
      </c>
      <c r="AO1383" s="86" t="s">
        <v>2178</v>
      </c>
      <c r="AP1383" s="81" t="b">
        <v>0</v>
      </c>
      <c r="AQ1383" s="86" t="s">
        <v>7543</v>
      </c>
      <c r="AR1383" s="81" t="s">
        <v>179</v>
      </c>
      <c r="AS1383" s="81">
        <v>0</v>
      </c>
      <c r="AT1383" s="81">
        <v>0</v>
      </c>
      <c r="AU1383" s="81"/>
      <c r="AV1383" s="81"/>
      <c r="AW1383" s="81"/>
      <c r="AX1383" s="81"/>
      <c r="AY1383" s="81"/>
      <c r="AZ1383" s="81"/>
      <c r="BA1383" s="81"/>
      <c r="BB1383" s="81"/>
    </row>
    <row r="1384" spans="1:54" x14ac:dyDescent="0.35">
      <c r="A1384" s="66" t="s">
        <v>4703</v>
      </c>
      <c r="B1384" s="66" t="s">
        <v>4944</v>
      </c>
      <c r="C1384" s="67"/>
      <c r="D1384" s="68"/>
      <c r="E1384" s="69"/>
      <c r="F1384" s="70"/>
      <c r="G1384" s="67"/>
      <c r="H1384" s="71"/>
      <c r="I1384" s="72"/>
      <c r="J1384" s="72"/>
      <c r="K1384" s="36"/>
      <c r="L1384" s="79"/>
      <c r="M1384" s="79"/>
      <c r="N1384" s="74"/>
      <c r="O1384" s="81" t="s">
        <v>693</v>
      </c>
      <c r="P1384" s="83">
        <v>44465.784791666665</v>
      </c>
      <c r="Q1384" s="81" t="s">
        <v>5505</v>
      </c>
      <c r="R1384" s="81"/>
      <c r="S1384" s="81"/>
      <c r="T1384" s="81"/>
      <c r="U1384" s="81"/>
      <c r="V1384" s="84" t="str">
        <f>HYPERLINK("https://pbs.twimg.com/profile_images/1409623759842156545/EBhWkLBl_normal.jpg")</f>
        <v>https://pbs.twimg.com/profile_images/1409623759842156545/EBhWkLBl_normal.jpg</v>
      </c>
      <c r="W1384" s="83">
        <v>44465.784791666665</v>
      </c>
      <c r="X1384" s="89">
        <v>44465</v>
      </c>
      <c r="Y1384" s="86" t="s">
        <v>6348</v>
      </c>
      <c r="Z1384" s="84" t="str">
        <f>HYPERLINK("https://twitter.com/ocardozzo/status/1442199819129327616")</f>
        <v>https://twitter.com/ocardozzo/status/1442199819129327616</v>
      </c>
      <c r="AA1384" s="81"/>
      <c r="AB1384" s="81"/>
      <c r="AC1384" s="86" t="s">
        <v>7263</v>
      </c>
      <c r="AD1384" s="81"/>
      <c r="AE1384" s="81" t="b">
        <v>0</v>
      </c>
      <c r="AF1384" s="81">
        <v>0</v>
      </c>
      <c r="AG1384" s="86" t="s">
        <v>2084</v>
      </c>
      <c r="AH1384" s="81" t="b">
        <v>0</v>
      </c>
      <c r="AI1384" s="81" t="s">
        <v>2171</v>
      </c>
      <c r="AJ1384" s="81"/>
      <c r="AK1384" s="86" t="s">
        <v>2084</v>
      </c>
      <c r="AL1384" s="81" t="b">
        <v>0</v>
      </c>
      <c r="AM1384" s="81">
        <v>255</v>
      </c>
      <c r="AN1384" s="86" t="s">
        <v>7543</v>
      </c>
      <c r="AO1384" s="86" t="s">
        <v>2179</v>
      </c>
      <c r="AP1384" s="81" t="b">
        <v>0</v>
      </c>
      <c r="AQ1384" s="86" t="s">
        <v>7543</v>
      </c>
      <c r="AR1384" s="81" t="s">
        <v>179</v>
      </c>
      <c r="AS1384" s="81">
        <v>0</v>
      </c>
      <c r="AT1384" s="81">
        <v>0</v>
      </c>
      <c r="AU1384" s="81"/>
      <c r="AV1384" s="81"/>
      <c r="AW1384" s="81"/>
      <c r="AX1384" s="81"/>
      <c r="AY1384" s="81"/>
      <c r="AZ1384" s="81"/>
      <c r="BA1384" s="81"/>
      <c r="BB1384" s="81"/>
    </row>
    <row r="1385" spans="1:54" x14ac:dyDescent="0.35">
      <c r="A1385" s="66" t="s">
        <v>4704</v>
      </c>
      <c r="B1385" s="66" t="s">
        <v>5141</v>
      </c>
      <c r="C1385" s="67"/>
      <c r="D1385" s="68"/>
      <c r="E1385" s="69"/>
      <c r="F1385" s="70"/>
      <c r="G1385" s="67"/>
      <c r="H1385" s="71"/>
      <c r="I1385" s="72"/>
      <c r="J1385" s="72"/>
      <c r="K1385" s="36"/>
      <c r="L1385" s="79"/>
      <c r="M1385" s="79"/>
      <c r="N1385" s="74"/>
      <c r="O1385" s="81" t="s">
        <v>696</v>
      </c>
      <c r="P1385" s="83">
        <v>44465.785555555558</v>
      </c>
      <c r="Q1385" s="81" t="s">
        <v>5521</v>
      </c>
      <c r="R1385" s="81"/>
      <c r="S1385" s="81"/>
      <c r="T1385" s="81"/>
      <c r="U1385" s="81"/>
      <c r="V1385" s="84" t="str">
        <f>HYPERLINK("https://pbs.twimg.com/profile_images/1416930580843876353/WP_ZnaIn_normal.jpg")</f>
        <v>https://pbs.twimg.com/profile_images/1416930580843876353/WP_ZnaIn_normal.jpg</v>
      </c>
      <c r="W1385" s="83">
        <v>44465.785555555558</v>
      </c>
      <c r="X1385" s="89">
        <v>44465</v>
      </c>
      <c r="Y1385" s="86" t="s">
        <v>6349</v>
      </c>
      <c r="Z1385" s="84" t="str">
        <f>HYPERLINK("https://twitter.com/legnar03615740/status/1442200095005544453")</f>
        <v>https://twitter.com/legnar03615740/status/1442200095005544453</v>
      </c>
      <c r="AA1385" s="81"/>
      <c r="AB1385" s="81"/>
      <c r="AC1385" s="86" t="s">
        <v>7264</v>
      </c>
      <c r="AD1385" s="86" t="s">
        <v>7718</v>
      </c>
      <c r="AE1385" s="81" t="b">
        <v>0</v>
      </c>
      <c r="AF1385" s="81">
        <v>0</v>
      </c>
      <c r="AG1385" s="86" t="s">
        <v>7893</v>
      </c>
      <c r="AH1385" s="81" t="b">
        <v>0</v>
      </c>
      <c r="AI1385" s="81" t="s">
        <v>2171</v>
      </c>
      <c r="AJ1385" s="81"/>
      <c r="AK1385" s="86" t="s">
        <v>2084</v>
      </c>
      <c r="AL1385" s="81" t="b">
        <v>0</v>
      </c>
      <c r="AM1385" s="81">
        <v>0</v>
      </c>
      <c r="AN1385" s="86" t="s">
        <v>2084</v>
      </c>
      <c r="AO1385" s="86" t="s">
        <v>2178</v>
      </c>
      <c r="AP1385" s="81" t="b">
        <v>0</v>
      </c>
      <c r="AQ1385" s="86" t="s">
        <v>7718</v>
      </c>
      <c r="AR1385" s="81" t="s">
        <v>179</v>
      </c>
      <c r="AS1385" s="81">
        <v>0</v>
      </c>
      <c r="AT1385" s="81">
        <v>0</v>
      </c>
      <c r="AU1385" s="81"/>
      <c r="AV1385" s="81"/>
      <c r="AW1385" s="81"/>
      <c r="AX1385" s="81"/>
      <c r="AY1385" s="81"/>
      <c r="AZ1385" s="81"/>
      <c r="BA1385" s="81"/>
      <c r="BB1385" s="81"/>
    </row>
    <row r="1386" spans="1:54" x14ac:dyDescent="0.35">
      <c r="A1386" s="66" t="s">
        <v>4704</v>
      </c>
      <c r="B1386" s="66" t="s">
        <v>5065</v>
      </c>
      <c r="C1386" s="67"/>
      <c r="D1386" s="68"/>
      <c r="E1386" s="69"/>
      <c r="F1386" s="70"/>
      <c r="G1386" s="67"/>
      <c r="H1386" s="71"/>
      <c r="I1386" s="72"/>
      <c r="J1386" s="72"/>
      <c r="K1386" s="36"/>
      <c r="L1386" s="79"/>
      <c r="M1386" s="79"/>
      <c r="N1386" s="74"/>
      <c r="O1386" s="81" t="s">
        <v>696</v>
      </c>
      <c r="P1386" s="83">
        <v>44465.785555555558</v>
      </c>
      <c r="Q1386" s="81" t="s">
        <v>5521</v>
      </c>
      <c r="R1386" s="81"/>
      <c r="S1386" s="81"/>
      <c r="T1386" s="81"/>
      <c r="U1386" s="81"/>
      <c r="V1386" s="84" t="str">
        <f>HYPERLINK("https://pbs.twimg.com/profile_images/1416930580843876353/WP_ZnaIn_normal.jpg")</f>
        <v>https://pbs.twimg.com/profile_images/1416930580843876353/WP_ZnaIn_normal.jpg</v>
      </c>
      <c r="W1386" s="83">
        <v>44465.785555555558</v>
      </c>
      <c r="X1386" s="89">
        <v>44465</v>
      </c>
      <c r="Y1386" s="86" t="s">
        <v>6349</v>
      </c>
      <c r="Z1386" s="84" t="str">
        <f>HYPERLINK("https://twitter.com/legnar03615740/status/1442200095005544453")</f>
        <v>https://twitter.com/legnar03615740/status/1442200095005544453</v>
      </c>
      <c r="AA1386" s="81"/>
      <c r="AB1386" s="81"/>
      <c r="AC1386" s="86" t="s">
        <v>7264</v>
      </c>
      <c r="AD1386" s="86" t="s">
        <v>7718</v>
      </c>
      <c r="AE1386" s="81" t="b">
        <v>0</v>
      </c>
      <c r="AF1386" s="81">
        <v>0</v>
      </c>
      <c r="AG1386" s="86" t="s">
        <v>7893</v>
      </c>
      <c r="AH1386" s="81" t="b">
        <v>0</v>
      </c>
      <c r="AI1386" s="81" t="s">
        <v>2171</v>
      </c>
      <c r="AJ1386" s="81"/>
      <c r="AK1386" s="86" t="s">
        <v>2084</v>
      </c>
      <c r="AL1386" s="81" t="b">
        <v>0</v>
      </c>
      <c r="AM1386" s="81">
        <v>0</v>
      </c>
      <c r="AN1386" s="86" t="s">
        <v>2084</v>
      </c>
      <c r="AO1386" s="86" t="s">
        <v>2178</v>
      </c>
      <c r="AP1386" s="81" t="b">
        <v>0</v>
      </c>
      <c r="AQ1386" s="86" t="s">
        <v>7718</v>
      </c>
      <c r="AR1386" s="81" t="s">
        <v>179</v>
      </c>
      <c r="AS1386" s="81">
        <v>0</v>
      </c>
      <c r="AT1386" s="81">
        <v>0</v>
      </c>
      <c r="AU1386" s="81"/>
      <c r="AV1386" s="81"/>
      <c r="AW1386" s="81"/>
      <c r="AX1386" s="81"/>
      <c r="AY1386" s="81"/>
      <c r="AZ1386" s="81"/>
      <c r="BA1386" s="81"/>
      <c r="BB1386" s="81"/>
    </row>
    <row r="1387" spans="1:54" x14ac:dyDescent="0.35">
      <c r="A1387" s="66" t="s">
        <v>4704</v>
      </c>
      <c r="B1387" s="66" t="s">
        <v>5142</v>
      </c>
      <c r="C1387" s="67"/>
      <c r="D1387" s="68"/>
      <c r="E1387" s="69"/>
      <c r="F1387" s="70"/>
      <c r="G1387" s="67"/>
      <c r="H1387" s="71"/>
      <c r="I1387" s="72"/>
      <c r="J1387" s="72"/>
      <c r="K1387" s="36"/>
      <c r="L1387" s="79"/>
      <c r="M1387" s="79"/>
      <c r="N1387" s="74"/>
      <c r="O1387" s="81" t="s">
        <v>696</v>
      </c>
      <c r="P1387" s="83">
        <v>44465.785555555558</v>
      </c>
      <c r="Q1387" s="81" t="s">
        <v>5521</v>
      </c>
      <c r="R1387" s="81"/>
      <c r="S1387" s="81"/>
      <c r="T1387" s="81"/>
      <c r="U1387" s="81"/>
      <c r="V1387" s="84" t="str">
        <f>HYPERLINK("https://pbs.twimg.com/profile_images/1416930580843876353/WP_ZnaIn_normal.jpg")</f>
        <v>https://pbs.twimg.com/profile_images/1416930580843876353/WP_ZnaIn_normal.jpg</v>
      </c>
      <c r="W1387" s="83">
        <v>44465.785555555558</v>
      </c>
      <c r="X1387" s="89">
        <v>44465</v>
      </c>
      <c r="Y1387" s="86" t="s">
        <v>6349</v>
      </c>
      <c r="Z1387" s="84" t="str">
        <f>HYPERLINK("https://twitter.com/legnar03615740/status/1442200095005544453")</f>
        <v>https://twitter.com/legnar03615740/status/1442200095005544453</v>
      </c>
      <c r="AA1387" s="81"/>
      <c r="AB1387" s="81"/>
      <c r="AC1387" s="86" t="s">
        <v>7264</v>
      </c>
      <c r="AD1387" s="86" t="s">
        <v>7718</v>
      </c>
      <c r="AE1387" s="81" t="b">
        <v>0</v>
      </c>
      <c r="AF1387" s="81">
        <v>0</v>
      </c>
      <c r="AG1387" s="86" t="s">
        <v>7893</v>
      </c>
      <c r="AH1387" s="81" t="b">
        <v>0</v>
      </c>
      <c r="AI1387" s="81" t="s">
        <v>2171</v>
      </c>
      <c r="AJ1387" s="81"/>
      <c r="AK1387" s="86" t="s">
        <v>2084</v>
      </c>
      <c r="AL1387" s="81" t="b">
        <v>0</v>
      </c>
      <c r="AM1387" s="81">
        <v>0</v>
      </c>
      <c r="AN1387" s="86" t="s">
        <v>2084</v>
      </c>
      <c r="AO1387" s="86" t="s">
        <v>2178</v>
      </c>
      <c r="AP1387" s="81" t="b">
        <v>0</v>
      </c>
      <c r="AQ1387" s="86" t="s">
        <v>7718</v>
      </c>
      <c r="AR1387" s="81" t="s">
        <v>179</v>
      </c>
      <c r="AS1387" s="81">
        <v>0</v>
      </c>
      <c r="AT1387" s="81">
        <v>0</v>
      </c>
      <c r="AU1387" s="81"/>
      <c r="AV1387" s="81"/>
      <c r="AW1387" s="81"/>
      <c r="AX1387" s="81"/>
      <c r="AY1387" s="81"/>
      <c r="AZ1387" s="81"/>
      <c r="BA1387" s="81"/>
      <c r="BB1387" s="81"/>
    </row>
    <row r="1388" spans="1:54" x14ac:dyDescent="0.35">
      <c r="A1388" s="66" t="s">
        <v>4704</v>
      </c>
      <c r="B1388" s="66" t="s">
        <v>5143</v>
      </c>
      <c r="C1388" s="67"/>
      <c r="D1388" s="68"/>
      <c r="E1388" s="69"/>
      <c r="F1388" s="70"/>
      <c r="G1388" s="67"/>
      <c r="H1388" s="71"/>
      <c r="I1388" s="72"/>
      <c r="J1388" s="72"/>
      <c r="K1388" s="36"/>
      <c r="L1388" s="79"/>
      <c r="M1388" s="79"/>
      <c r="N1388" s="74"/>
      <c r="O1388" s="81" t="s">
        <v>695</v>
      </c>
      <c r="P1388" s="83">
        <v>44465.785555555558</v>
      </c>
      <c r="Q1388" s="81" t="s">
        <v>5521</v>
      </c>
      <c r="R1388" s="81"/>
      <c r="S1388" s="81"/>
      <c r="T1388" s="81"/>
      <c r="U1388" s="81"/>
      <c r="V1388" s="84" t="str">
        <f>HYPERLINK("https://pbs.twimg.com/profile_images/1416930580843876353/WP_ZnaIn_normal.jpg")</f>
        <v>https://pbs.twimg.com/profile_images/1416930580843876353/WP_ZnaIn_normal.jpg</v>
      </c>
      <c r="W1388" s="83">
        <v>44465.785555555558</v>
      </c>
      <c r="X1388" s="89">
        <v>44465</v>
      </c>
      <c r="Y1388" s="86" t="s">
        <v>6349</v>
      </c>
      <c r="Z1388" s="84" t="str">
        <f>HYPERLINK("https://twitter.com/legnar03615740/status/1442200095005544453")</f>
        <v>https://twitter.com/legnar03615740/status/1442200095005544453</v>
      </c>
      <c r="AA1388" s="81"/>
      <c r="AB1388" s="81"/>
      <c r="AC1388" s="86" t="s">
        <v>7264</v>
      </c>
      <c r="AD1388" s="86" t="s">
        <v>7718</v>
      </c>
      <c r="AE1388" s="81" t="b">
        <v>0</v>
      </c>
      <c r="AF1388" s="81">
        <v>0</v>
      </c>
      <c r="AG1388" s="86" t="s">
        <v>7893</v>
      </c>
      <c r="AH1388" s="81" t="b">
        <v>0</v>
      </c>
      <c r="AI1388" s="81" t="s">
        <v>2171</v>
      </c>
      <c r="AJ1388" s="81"/>
      <c r="AK1388" s="86" t="s">
        <v>2084</v>
      </c>
      <c r="AL1388" s="81" t="b">
        <v>0</v>
      </c>
      <c r="AM1388" s="81">
        <v>0</v>
      </c>
      <c r="AN1388" s="86" t="s">
        <v>2084</v>
      </c>
      <c r="AO1388" s="86" t="s">
        <v>2178</v>
      </c>
      <c r="AP1388" s="81" t="b">
        <v>0</v>
      </c>
      <c r="AQ1388" s="86" t="s">
        <v>7718</v>
      </c>
      <c r="AR1388" s="81" t="s">
        <v>179</v>
      </c>
      <c r="AS1388" s="81">
        <v>0</v>
      </c>
      <c r="AT1388" s="81">
        <v>0</v>
      </c>
      <c r="AU1388" s="81"/>
      <c r="AV1388" s="81"/>
      <c r="AW1388" s="81"/>
      <c r="AX1388" s="81"/>
      <c r="AY1388" s="81"/>
      <c r="AZ1388" s="81"/>
      <c r="BA1388" s="81"/>
      <c r="BB1388" s="81"/>
    </row>
    <row r="1389" spans="1:54" x14ac:dyDescent="0.35">
      <c r="A1389" s="66" t="s">
        <v>4705</v>
      </c>
      <c r="B1389" s="66" t="s">
        <v>4944</v>
      </c>
      <c r="C1389" s="67"/>
      <c r="D1389" s="68"/>
      <c r="E1389" s="69"/>
      <c r="F1389" s="70"/>
      <c r="G1389" s="67"/>
      <c r="H1389" s="71"/>
      <c r="I1389" s="72"/>
      <c r="J1389" s="72"/>
      <c r="K1389" s="36"/>
      <c r="L1389" s="79"/>
      <c r="M1389" s="79"/>
      <c r="N1389" s="74"/>
      <c r="O1389" s="81" t="s">
        <v>693</v>
      </c>
      <c r="P1389" s="83">
        <v>44465.788425925923</v>
      </c>
      <c r="Q1389" s="81" t="s">
        <v>5505</v>
      </c>
      <c r="R1389" s="81"/>
      <c r="S1389" s="81"/>
      <c r="T1389" s="81"/>
      <c r="U1389" s="81"/>
      <c r="V1389" s="84" t="str">
        <f>HYPERLINK("https://pbs.twimg.com/profile_images/1360018147655450625/gsyZMAGi_normal.jpg")</f>
        <v>https://pbs.twimg.com/profile_images/1360018147655450625/gsyZMAGi_normal.jpg</v>
      </c>
      <c r="W1389" s="83">
        <v>44465.788425925923</v>
      </c>
      <c r="X1389" s="89">
        <v>44465</v>
      </c>
      <c r="Y1389" s="86" t="s">
        <v>6350</v>
      </c>
      <c r="Z1389" s="84" t="str">
        <f>HYPERLINK("https://twitter.com/solhidramix/status/1442201137529212930")</f>
        <v>https://twitter.com/solhidramix/status/1442201137529212930</v>
      </c>
      <c r="AA1389" s="81"/>
      <c r="AB1389" s="81"/>
      <c r="AC1389" s="86" t="s">
        <v>7265</v>
      </c>
      <c r="AD1389" s="81"/>
      <c r="AE1389" s="81" t="b">
        <v>0</v>
      </c>
      <c r="AF1389" s="81">
        <v>0</v>
      </c>
      <c r="AG1389" s="86" t="s">
        <v>2084</v>
      </c>
      <c r="AH1389" s="81" t="b">
        <v>0</v>
      </c>
      <c r="AI1389" s="81" t="s">
        <v>2171</v>
      </c>
      <c r="AJ1389" s="81"/>
      <c r="AK1389" s="86" t="s">
        <v>2084</v>
      </c>
      <c r="AL1389" s="81" t="b">
        <v>0</v>
      </c>
      <c r="AM1389" s="81">
        <v>255</v>
      </c>
      <c r="AN1389" s="86" t="s">
        <v>7543</v>
      </c>
      <c r="AO1389" s="86" t="s">
        <v>2178</v>
      </c>
      <c r="AP1389" s="81" t="b">
        <v>0</v>
      </c>
      <c r="AQ1389" s="86" t="s">
        <v>7543</v>
      </c>
      <c r="AR1389" s="81" t="s">
        <v>179</v>
      </c>
      <c r="AS1389" s="81">
        <v>0</v>
      </c>
      <c r="AT1389" s="81">
        <v>0</v>
      </c>
      <c r="AU1389" s="81"/>
      <c r="AV1389" s="81"/>
      <c r="AW1389" s="81"/>
      <c r="AX1389" s="81"/>
      <c r="AY1389" s="81"/>
      <c r="AZ1389" s="81"/>
      <c r="BA1389" s="81"/>
      <c r="BB1389" s="81"/>
    </row>
    <row r="1390" spans="1:54" x14ac:dyDescent="0.35">
      <c r="A1390" s="66" t="s">
        <v>4706</v>
      </c>
      <c r="B1390" s="66" t="s">
        <v>4944</v>
      </c>
      <c r="C1390" s="67"/>
      <c r="D1390" s="68"/>
      <c r="E1390" s="69"/>
      <c r="F1390" s="70"/>
      <c r="G1390" s="67"/>
      <c r="H1390" s="71"/>
      <c r="I1390" s="72"/>
      <c r="J1390" s="72"/>
      <c r="K1390" s="36"/>
      <c r="L1390" s="79"/>
      <c r="M1390" s="79"/>
      <c r="N1390" s="74"/>
      <c r="O1390" s="81" t="s">
        <v>693</v>
      </c>
      <c r="P1390" s="83">
        <v>44465.7971412037</v>
      </c>
      <c r="Q1390" s="81" t="s">
        <v>5505</v>
      </c>
      <c r="R1390" s="81"/>
      <c r="S1390" s="81"/>
      <c r="T1390" s="81"/>
      <c r="U1390" s="81"/>
      <c r="V1390" s="84" t="str">
        <f>HYPERLINK("https://pbs.twimg.com/profile_images/1399927843535138816/RGryAj8V_normal.jpg")</f>
        <v>https://pbs.twimg.com/profile_images/1399927843535138816/RGryAj8V_normal.jpg</v>
      </c>
      <c r="W1390" s="83">
        <v>44465.7971412037</v>
      </c>
      <c r="X1390" s="89">
        <v>44465</v>
      </c>
      <c r="Y1390" s="86" t="s">
        <v>6351</v>
      </c>
      <c r="Z1390" s="84" t="str">
        <f>HYPERLINK("https://twitter.com/mgdiegogo/status/1442204295378653188")</f>
        <v>https://twitter.com/mgdiegogo/status/1442204295378653188</v>
      </c>
      <c r="AA1390" s="81"/>
      <c r="AB1390" s="81"/>
      <c r="AC1390" s="86" t="s">
        <v>7266</v>
      </c>
      <c r="AD1390" s="81"/>
      <c r="AE1390" s="81" t="b">
        <v>0</v>
      </c>
      <c r="AF1390" s="81">
        <v>0</v>
      </c>
      <c r="AG1390" s="86" t="s">
        <v>2084</v>
      </c>
      <c r="AH1390" s="81" t="b">
        <v>0</v>
      </c>
      <c r="AI1390" s="81" t="s">
        <v>2171</v>
      </c>
      <c r="AJ1390" s="81"/>
      <c r="AK1390" s="86" t="s">
        <v>2084</v>
      </c>
      <c r="AL1390" s="81" t="b">
        <v>0</v>
      </c>
      <c r="AM1390" s="81">
        <v>255</v>
      </c>
      <c r="AN1390" s="86" t="s">
        <v>7543</v>
      </c>
      <c r="AO1390" s="86" t="s">
        <v>2181</v>
      </c>
      <c r="AP1390" s="81" t="b">
        <v>0</v>
      </c>
      <c r="AQ1390" s="86" t="s">
        <v>7543</v>
      </c>
      <c r="AR1390" s="81" t="s">
        <v>179</v>
      </c>
      <c r="AS1390" s="81">
        <v>0</v>
      </c>
      <c r="AT1390" s="81">
        <v>0</v>
      </c>
      <c r="AU1390" s="81"/>
      <c r="AV1390" s="81"/>
      <c r="AW1390" s="81"/>
      <c r="AX1390" s="81"/>
      <c r="AY1390" s="81"/>
      <c r="AZ1390" s="81"/>
      <c r="BA1390" s="81"/>
      <c r="BB1390" s="81"/>
    </row>
    <row r="1391" spans="1:54" x14ac:dyDescent="0.35">
      <c r="A1391" s="66" t="s">
        <v>4707</v>
      </c>
      <c r="B1391" s="66" t="s">
        <v>4944</v>
      </c>
      <c r="C1391" s="67"/>
      <c r="D1391" s="68"/>
      <c r="E1391" s="69"/>
      <c r="F1391" s="70"/>
      <c r="G1391" s="67"/>
      <c r="H1391" s="71"/>
      <c r="I1391" s="72"/>
      <c r="J1391" s="72"/>
      <c r="K1391" s="36"/>
      <c r="L1391" s="79"/>
      <c r="M1391" s="79"/>
      <c r="N1391" s="74"/>
      <c r="O1391" s="81" t="s">
        <v>693</v>
      </c>
      <c r="P1391" s="83">
        <v>44465.798113425924</v>
      </c>
      <c r="Q1391" s="81" t="s">
        <v>5505</v>
      </c>
      <c r="R1391" s="81"/>
      <c r="S1391" s="81"/>
      <c r="T1391" s="81"/>
      <c r="U1391" s="81"/>
      <c r="V1391" s="84" t="str">
        <f>HYPERLINK("https://pbs.twimg.com/profile_images/1424494114037510151/-mPan37P_normal.jpg")</f>
        <v>https://pbs.twimg.com/profile_images/1424494114037510151/-mPan37P_normal.jpg</v>
      </c>
      <c r="W1391" s="83">
        <v>44465.798113425924</v>
      </c>
      <c r="X1391" s="89">
        <v>44465</v>
      </c>
      <c r="Y1391" s="86" t="s">
        <v>6352</v>
      </c>
      <c r="Z1391" s="84" t="str">
        <f>HYPERLINK("https://twitter.com/tadeuuuuu/status/1442204649281490944")</f>
        <v>https://twitter.com/tadeuuuuu/status/1442204649281490944</v>
      </c>
      <c r="AA1391" s="81"/>
      <c r="AB1391" s="81"/>
      <c r="AC1391" s="86" t="s">
        <v>7267</v>
      </c>
      <c r="AD1391" s="81"/>
      <c r="AE1391" s="81" t="b">
        <v>0</v>
      </c>
      <c r="AF1391" s="81">
        <v>0</v>
      </c>
      <c r="AG1391" s="86" t="s">
        <v>2084</v>
      </c>
      <c r="AH1391" s="81" t="b">
        <v>0</v>
      </c>
      <c r="AI1391" s="81" t="s">
        <v>2171</v>
      </c>
      <c r="AJ1391" s="81"/>
      <c r="AK1391" s="86" t="s">
        <v>2084</v>
      </c>
      <c r="AL1391" s="81" t="b">
        <v>0</v>
      </c>
      <c r="AM1391" s="81">
        <v>255</v>
      </c>
      <c r="AN1391" s="86" t="s">
        <v>7543</v>
      </c>
      <c r="AO1391" s="86" t="s">
        <v>2178</v>
      </c>
      <c r="AP1391" s="81" t="b">
        <v>0</v>
      </c>
      <c r="AQ1391" s="86" t="s">
        <v>7543</v>
      </c>
      <c r="AR1391" s="81" t="s">
        <v>179</v>
      </c>
      <c r="AS1391" s="81">
        <v>0</v>
      </c>
      <c r="AT1391" s="81">
        <v>0</v>
      </c>
      <c r="AU1391" s="81"/>
      <c r="AV1391" s="81"/>
      <c r="AW1391" s="81"/>
      <c r="AX1391" s="81"/>
      <c r="AY1391" s="81"/>
      <c r="AZ1391" s="81"/>
      <c r="BA1391" s="81"/>
      <c r="BB1391" s="81"/>
    </row>
    <row r="1392" spans="1:54" x14ac:dyDescent="0.35">
      <c r="A1392" s="66" t="s">
        <v>4708</v>
      </c>
      <c r="B1392" s="66" t="s">
        <v>4944</v>
      </c>
      <c r="C1392" s="67"/>
      <c r="D1392" s="68"/>
      <c r="E1392" s="69"/>
      <c r="F1392" s="70"/>
      <c r="G1392" s="67"/>
      <c r="H1392" s="71"/>
      <c r="I1392" s="72"/>
      <c r="J1392" s="72"/>
      <c r="K1392" s="36"/>
      <c r="L1392" s="79"/>
      <c r="M1392" s="79"/>
      <c r="N1392" s="74"/>
      <c r="O1392" s="81" t="s">
        <v>693</v>
      </c>
      <c r="P1392" s="83">
        <v>44465.808217592596</v>
      </c>
      <c r="Q1392" s="81" t="s">
        <v>5505</v>
      </c>
      <c r="R1392" s="81"/>
      <c r="S1392" s="81"/>
      <c r="T1392" s="81"/>
      <c r="U1392" s="81"/>
      <c r="V1392" s="84" t="str">
        <f>HYPERLINK("https://pbs.twimg.com/profile_images/1150209341833789440/UOi8yrLP_normal.jpg")</f>
        <v>https://pbs.twimg.com/profile_images/1150209341833789440/UOi8yrLP_normal.jpg</v>
      </c>
      <c r="W1392" s="83">
        <v>44465.808217592596</v>
      </c>
      <c r="X1392" s="89">
        <v>44465</v>
      </c>
      <c r="Y1392" s="86" t="s">
        <v>6353</v>
      </c>
      <c r="Z1392" s="84" t="str">
        <f>HYPERLINK("https://twitter.com/dilibra22maria/status/1442208308878880776")</f>
        <v>https://twitter.com/dilibra22maria/status/1442208308878880776</v>
      </c>
      <c r="AA1392" s="81"/>
      <c r="AB1392" s="81"/>
      <c r="AC1392" s="86" t="s">
        <v>7268</v>
      </c>
      <c r="AD1392" s="81"/>
      <c r="AE1392" s="81" t="b">
        <v>0</v>
      </c>
      <c r="AF1392" s="81">
        <v>0</v>
      </c>
      <c r="AG1392" s="86" t="s">
        <v>2084</v>
      </c>
      <c r="AH1392" s="81" t="b">
        <v>0</v>
      </c>
      <c r="AI1392" s="81" t="s">
        <v>2171</v>
      </c>
      <c r="AJ1392" s="81"/>
      <c r="AK1392" s="86" t="s">
        <v>2084</v>
      </c>
      <c r="AL1392" s="81" t="b">
        <v>0</v>
      </c>
      <c r="AM1392" s="81">
        <v>255</v>
      </c>
      <c r="AN1392" s="86" t="s">
        <v>7543</v>
      </c>
      <c r="AO1392" s="86" t="s">
        <v>2178</v>
      </c>
      <c r="AP1392" s="81" t="b">
        <v>0</v>
      </c>
      <c r="AQ1392" s="86" t="s">
        <v>7543</v>
      </c>
      <c r="AR1392" s="81" t="s">
        <v>179</v>
      </c>
      <c r="AS1392" s="81">
        <v>0</v>
      </c>
      <c r="AT1392" s="81">
        <v>0</v>
      </c>
      <c r="AU1392" s="81"/>
      <c r="AV1392" s="81"/>
      <c r="AW1392" s="81"/>
      <c r="AX1392" s="81"/>
      <c r="AY1392" s="81"/>
      <c r="AZ1392" s="81"/>
      <c r="BA1392" s="81"/>
      <c r="BB1392" s="81"/>
    </row>
    <row r="1393" spans="1:54" x14ac:dyDescent="0.35">
      <c r="A1393" s="66" t="s">
        <v>4709</v>
      </c>
      <c r="B1393" s="66" t="s">
        <v>4944</v>
      </c>
      <c r="C1393" s="67"/>
      <c r="D1393" s="68"/>
      <c r="E1393" s="69"/>
      <c r="F1393" s="70"/>
      <c r="G1393" s="67"/>
      <c r="H1393" s="71"/>
      <c r="I1393" s="72"/>
      <c r="J1393" s="72"/>
      <c r="K1393" s="36"/>
      <c r="L1393" s="79"/>
      <c r="M1393" s="79"/>
      <c r="N1393" s="74"/>
      <c r="O1393" s="81" t="s">
        <v>693</v>
      </c>
      <c r="P1393" s="83">
        <v>44465.810543981483</v>
      </c>
      <c r="Q1393" s="81" t="s">
        <v>5505</v>
      </c>
      <c r="R1393" s="81"/>
      <c r="S1393" s="81"/>
      <c r="T1393" s="81"/>
      <c r="U1393" s="81"/>
      <c r="V1393" s="84" t="str">
        <f>HYPERLINK("https://pbs.twimg.com/profile_images/1435406243758231555/xfmzp8_C_normal.jpg")</f>
        <v>https://pbs.twimg.com/profile_images/1435406243758231555/xfmzp8_C_normal.jpg</v>
      </c>
      <c r="W1393" s="83">
        <v>44465.810543981483</v>
      </c>
      <c r="X1393" s="89">
        <v>44465</v>
      </c>
      <c r="Y1393" s="86" t="s">
        <v>6354</v>
      </c>
      <c r="Z1393" s="84" t="str">
        <f>HYPERLINK("https://twitter.com/olivrubia/status/1442209150759411720")</f>
        <v>https://twitter.com/olivrubia/status/1442209150759411720</v>
      </c>
      <c r="AA1393" s="81"/>
      <c r="AB1393" s="81"/>
      <c r="AC1393" s="86" t="s">
        <v>7269</v>
      </c>
      <c r="AD1393" s="81"/>
      <c r="AE1393" s="81" t="b">
        <v>0</v>
      </c>
      <c r="AF1393" s="81">
        <v>0</v>
      </c>
      <c r="AG1393" s="86" t="s">
        <v>2084</v>
      </c>
      <c r="AH1393" s="81" t="b">
        <v>0</v>
      </c>
      <c r="AI1393" s="81" t="s">
        <v>2171</v>
      </c>
      <c r="AJ1393" s="81"/>
      <c r="AK1393" s="86" t="s">
        <v>2084</v>
      </c>
      <c r="AL1393" s="81" t="b">
        <v>0</v>
      </c>
      <c r="AM1393" s="81">
        <v>255</v>
      </c>
      <c r="AN1393" s="86" t="s">
        <v>7543</v>
      </c>
      <c r="AO1393" s="86" t="s">
        <v>2178</v>
      </c>
      <c r="AP1393" s="81" t="b">
        <v>0</v>
      </c>
      <c r="AQ1393" s="86" t="s">
        <v>7543</v>
      </c>
      <c r="AR1393" s="81" t="s">
        <v>179</v>
      </c>
      <c r="AS1393" s="81">
        <v>0</v>
      </c>
      <c r="AT1393" s="81">
        <v>0</v>
      </c>
      <c r="AU1393" s="81"/>
      <c r="AV1393" s="81"/>
      <c r="AW1393" s="81"/>
      <c r="AX1393" s="81"/>
      <c r="AY1393" s="81"/>
      <c r="AZ1393" s="81"/>
      <c r="BA1393" s="81"/>
      <c r="BB1393" s="81"/>
    </row>
    <row r="1394" spans="1:54" x14ac:dyDescent="0.35">
      <c r="A1394" s="66" t="s">
        <v>4710</v>
      </c>
      <c r="B1394" s="66" t="s">
        <v>4944</v>
      </c>
      <c r="C1394" s="67"/>
      <c r="D1394" s="68"/>
      <c r="E1394" s="69"/>
      <c r="F1394" s="70"/>
      <c r="G1394" s="67"/>
      <c r="H1394" s="71"/>
      <c r="I1394" s="72"/>
      <c r="J1394" s="72"/>
      <c r="K1394" s="36"/>
      <c r="L1394" s="79"/>
      <c r="M1394" s="79"/>
      <c r="N1394" s="74"/>
      <c r="O1394" s="81" t="s">
        <v>693</v>
      </c>
      <c r="P1394" s="83">
        <v>44465.811400462961</v>
      </c>
      <c r="Q1394" s="81" t="s">
        <v>5505</v>
      </c>
      <c r="R1394" s="81"/>
      <c r="S1394" s="81"/>
      <c r="T1394" s="81"/>
      <c r="U1394" s="81"/>
      <c r="V1394" s="84" t="str">
        <f>HYPERLINK("https://pbs.twimg.com/profile_images/1439041140016259075/9khM2cNL_normal.jpg")</f>
        <v>https://pbs.twimg.com/profile_images/1439041140016259075/9khM2cNL_normal.jpg</v>
      </c>
      <c r="W1394" s="83">
        <v>44465.811400462961</v>
      </c>
      <c r="X1394" s="89">
        <v>44465</v>
      </c>
      <c r="Y1394" s="86" t="s">
        <v>6355</v>
      </c>
      <c r="Z1394" s="84" t="str">
        <f>HYPERLINK("https://twitter.com/messiasvinii/status/1442209463042289668")</f>
        <v>https://twitter.com/messiasvinii/status/1442209463042289668</v>
      </c>
      <c r="AA1394" s="81"/>
      <c r="AB1394" s="81"/>
      <c r="AC1394" s="86" t="s">
        <v>7270</v>
      </c>
      <c r="AD1394" s="81"/>
      <c r="AE1394" s="81" t="b">
        <v>0</v>
      </c>
      <c r="AF1394" s="81">
        <v>0</v>
      </c>
      <c r="AG1394" s="86" t="s">
        <v>2084</v>
      </c>
      <c r="AH1394" s="81" t="b">
        <v>0</v>
      </c>
      <c r="AI1394" s="81" t="s">
        <v>2171</v>
      </c>
      <c r="AJ1394" s="81"/>
      <c r="AK1394" s="86" t="s">
        <v>2084</v>
      </c>
      <c r="AL1394" s="81" t="b">
        <v>0</v>
      </c>
      <c r="AM1394" s="81">
        <v>255</v>
      </c>
      <c r="AN1394" s="86" t="s">
        <v>7543</v>
      </c>
      <c r="AO1394" s="86" t="s">
        <v>2178</v>
      </c>
      <c r="AP1394" s="81" t="b">
        <v>0</v>
      </c>
      <c r="AQ1394" s="86" t="s">
        <v>7543</v>
      </c>
      <c r="AR1394" s="81" t="s">
        <v>179</v>
      </c>
      <c r="AS1394" s="81">
        <v>0</v>
      </c>
      <c r="AT1394" s="81">
        <v>0</v>
      </c>
      <c r="AU1394" s="81"/>
      <c r="AV1394" s="81"/>
      <c r="AW1394" s="81"/>
      <c r="AX1394" s="81"/>
      <c r="AY1394" s="81"/>
      <c r="AZ1394" s="81"/>
      <c r="BA1394" s="81"/>
      <c r="BB1394" s="81"/>
    </row>
    <row r="1395" spans="1:54" x14ac:dyDescent="0.35">
      <c r="A1395" s="66" t="s">
        <v>4711</v>
      </c>
      <c r="B1395" s="66" t="s">
        <v>4944</v>
      </c>
      <c r="C1395" s="67"/>
      <c r="D1395" s="68"/>
      <c r="E1395" s="69"/>
      <c r="F1395" s="70"/>
      <c r="G1395" s="67"/>
      <c r="H1395" s="71"/>
      <c r="I1395" s="72"/>
      <c r="J1395" s="72"/>
      <c r="K1395" s="36"/>
      <c r="L1395" s="79"/>
      <c r="M1395" s="79"/>
      <c r="N1395" s="74"/>
      <c r="O1395" s="81" t="s">
        <v>693</v>
      </c>
      <c r="P1395" s="83">
        <v>44465.812141203707</v>
      </c>
      <c r="Q1395" s="81" t="s">
        <v>5505</v>
      </c>
      <c r="R1395" s="81"/>
      <c r="S1395" s="81"/>
      <c r="T1395" s="81"/>
      <c r="U1395" s="81"/>
      <c r="V1395" s="84" t="str">
        <f>HYPERLINK("https://pbs.twimg.com/profile_images/1423507954423238663/pLgGDIbw_normal.jpg")</f>
        <v>https://pbs.twimg.com/profile_images/1423507954423238663/pLgGDIbw_normal.jpg</v>
      </c>
      <c r="W1395" s="83">
        <v>44465.812141203707</v>
      </c>
      <c r="X1395" s="89">
        <v>44465</v>
      </c>
      <c r="Y1395" s="86" t="s">
        <v>6356</v>
      </c>
      <c r="Z1395" s="84" t="str">
        <f>HYPERLINK("https://twitter.com/anakajsantos/status/1442209729334362115")</f>
        <v>https://twitter.com/anakajsantos/status/1442209729334362115</v>
      </c>
      <c r="AA1395" s="81"/>
      <c r="AB1395" s="81"/>
      <c r="AC1395" s="86" t="s">
        <v>7271</v>
      </c>
      <c r="AD1395" s="81"/>
      <c r="AE1395" s="81" t="b">
        <v>0</v>
      </c>
      <c r="AF1395" s="81">
        <v>0</v>
      </c>
      <c r="AG1395" s="86" t="s">
        <v>2084</v>
      </c>
      <c r="AH1395" s="81" t="b">
        <v>0</v>
      </c>
      <c r="AI1395" s="81" t="s">
        <v>2171</v>
      </c>
      <c r="AJ1395" s="81"/>
      <c r="AK1395" s="86" t="s">
        <v>2084</v>
      </c>
      <c r="AL1395" s="81" t="b">
        <v>0</v>
      </c>
      <c r="AM1395" s="81">
        <v>255</v>
      </c>
      <c r="AN1395" s="86" t="s">
        <v>7543</v>
      </c>
      <c r="AO1395" s="86" t="s">
        <v>2178</v>
      </c>
      <c r="AP1395" s="81" t="b">
        <v>0</v>
      </c>
      <c r="AQ1395" s="86" t="s">
        <v>7543</v>
      </c>
      <c r="AR1395" s="81" t="s">
        <v>179</v>
      </c>
      <c r="AS1395" s="81">
        <v>0</v>
      </c>
      <c r="AT1395" s="81">
        <v>0</v>
      </c>
      <c r="AU1395" s="81"/>
      <c r="AV1395" s="81"/>
      <c r="AW1395" s="81"/>
      <c r="AX1395" s="81"/>
      <c r="AY1395" s="81"/>
      <c r="AZ1395" s="81"/>
      <c r="BA1395" s="81"/>
      <c r="BB1395" s="81"/>
    </row>
    <row r="1396" spans="1:54" x14ac:dyDescent="0.35">
      <c r="A1396" s="66" t="s">
        <v>4712</v>
      </c>
      <c r="B1396" s="66" t="s">
        <v>4944</v>
      </c>
      <c r="C1396" s="67"/>
      <c r="D1396" s="68"/>
      <c r="E1396" s="69"/>
      <c r="F1396" s="70"/>
      <c r="G1396" s="67"/>
      <c r="H1396" s="71"/>
      <c r="I1396" s="72"/>
      <c r="J1396" s="72"/>
      <c r="K1396" s="36"/>
      <c r="L1396" s="79"/>
      <c r="M1396" s="79"/>
      <c r="N1396" s="74"/>
      <c r="O1396" s="81" t="s">
        <v>693</v>
      </c>
      <c r="P1396" s="83">
        <v>44465.813090277778</v>
      </c>
      <c r="Q1396" s="81" t="s">
        <v>5505</v>
      </c>
      <c r="R1396" s="81"/>
      <c r="S1396" s="81"/>
      <c r="T1396" s="81"/>
      <c r="U1396" s="81"/>
      <c r="V1396" s="84" t="str">
        <f>HYPERLINK("https://pbs.twimg.com/profile_images/1430664186468655104/GIPc0CXm_normal.jpg")</f>
        <v>https://pbs.twimg.com/profile_images/1430664186468655104/GIPc0CXm_normal.jpg</v>
      </c>
      <c r="W1396" s="83">
        <v>44465.813090277778</v>
      </c>
      <c r="X1396" s="89">
        <v>44465</v>
      </c>
      <c r="Y1396" s="86" t="s">
        <v>6357</v>
      </c>
      <c r="Z1396" s="84" t="str">
        <f>HYPERLINK("https://twitter.com/juspartidaria/status/1442210074089361414")</f>
        <v>https://twitter.com/juspartidaria/status/1442210074089361414</v>
      </c>
      <c r="AA1396" s="81"/>
      <c r="AB1396" s="81"/>
      <c r="AC1396" s="86" t="s">
        <v>7272</v>
      </c>
      <c r="AD1396" s="81"/>
      <c r="AE1396" s="81" t="b">
        <v>0</v>
      </c>
      <c r="AF1396" s="81">
        <v>0</v>
      </c>
      <c r="AG1396" s="86" t="s">
        <v>2084</v>
      </c>
      <c r="AH1396" s="81" t="b">
        <v>0</v>
      </c>
      <c r="AI1396" s="81" t="s">
        <v>2171</v>
      </c>
      <c r="AJ1396" s="81"/>
      <c r="AK1396" s="86" t="s">
        <v>2084</v>
      </c>
      <c r="AL1396" s="81" t="b">
        <v>0</v>
      </c>
      <c r="AM1396" s="81">
        <v>255</v>
      </c>
      <c r="AN1396" s="86" t="s">
        <v>7543</v>
      </c>
      <c r="AO1396" s="86" t="s">
        <v>2178</v>
      </c>
      <c r="AP1396" s="81" t="b">
        <v>0</v>
      </c>
      <c r="AQ1396" s="86" t="s">
        <v>7543</v>
      </c>
      <c r="AR1396" s="81" t="s">
        <v>179</v>
      </c>
      <c r="AS1396" s="81">
        <v>0</v>
      </c>
      <c r="AT1396" s="81">
        <v>0</v>
      </c>
      <c r="AU1396" s="81"/>
      <c r="AV1396" s="81"/>
      <c r="AW1396" s="81"/>
      <c r="AX1396" s="81"/>
      <c r="AY1396" s="81"/>
      <c r="AZ1396" s="81"/>
      <c r="BA1396" s="81"/>
      <c r="BB1396" s="81"/>
    </row>
    <row r="1397" spans="1:54" x14ac:dyDescent="0.35">
      <c r="A1397" s="66" t="s">
        <v>4713</v>
      </c>
      <c r="B1397" s="66" t="s">
        <v>4944</v>
      </c>
      <c r="C1397" s="67"/>
      <c r="D1397" s="68"/>
      <c r="E1397" s="69"/>
      <c r="F1397" s="70"/>
      <c r="G1397" s="67"/>
      <c r="H1397" s="71"/>
      <c r="I1397" s="72"/>
      <c r="J1397" s="72"/>
      <c r="K1397" s="36"/>
      <c r="L1397" s="79"/>
      <c r="M1397" s="79"/>
      <c r="N1397" s="74"/>
      <c r="O1397" s="81" t="s">
        <v>693</v>
      </c>
      <c r="P1397" s="83">
        <v>44465.814305555556</v>
      </c>
      <c r="Q1397" s="81" t="s">
        <v>5505</v>
      </c>
      <c r="R1397" s="81"/>
      <c r="S1397" s="81"/>
      <c r="T1397" s="81"/>
      <c r="U1397" s="81"/>
      <c r="V1397" s="84" t="str">
        <f>HYPERLINK("https://pbs.twimg.com/profile_images/1159289046084009984/Gz_8pB8H_normal.jpg")</f>
        <v>https://pbs.twimg.com/profile_images/1159289046084009984/Gz_8pB8H_normal.jpg</v>
      </c>
      <c r="W1397" s="83">
        <v>44465.814305555556</v>
      </c>
      <c r="X1397" s="89">
        <v>44465</v>
      </c>
      <c r="Y1397" s="86" t="s">
        <v>6358</v>
      </c>
      <c r="Z1397" s="84" t="str">
        <f>HYPERLINK("https://twitter.com/mariademirai/status/1442210516366241792")</f>
        <v>https://twitter.com/mariademirai/status/1442210516366241792</v>
      </c>
      <c r="AA1397" s="81"/>
      <c r="AB1397" s="81"/>
      <c r="AC1397" s="86" t="s">
        <v>7273</v>
      </c>
      <c r="AD1397" s="81"/>
      <c r="AE1397" s="81" t="b">
        <v>0</v>
      </c>
      <c r="AF1397" s="81">
        <v>0</v>
      </c>
      <c r="AG1397" s="86" t="s">
        <v>2084</v>
      </c>
      <c r="AH1397" s="81" t="b">
        <v>0</v>
      </c>
      <c r="AI1397" s="81" t="s">
        <v>2171</v>
      </c>
      <c r="AJ1397" s="81"/>
      <c r="AK1397" s="86" t="s">
        <v>2084</v>
      </c>
      <c r="AL1397" s="81" t="b">
        <v>0</v>
      </c>
      <c r="AM1397" s="81">
        <v>255</v>
      </c>
      <c r="AN1397" s="86" t="s">
        <v>7543</v>
      </c>
      <c r="AO1397" s="86" t="s">
        <v>2181</v>
      </c>
      <c r="AP1397" s="81" t="b">
        <v>0</v>
      </c>
      <c r="AQ1397" s="86" t="s">
        <v>7543</v>
      </c>
      <c r="AR1397" s="81" t="s">
        <v>179</v>
      </c>
      <c r="AS1397" s="81">
        <v>0</v>
      </c>
      <c r="AT1397" s="81">
        <v>0</v>
      </c>
      <c r="AU1397" s="81"/>
      <c r="AV1397" s="81"/>
      <c r="AW1397" s="81"/>
      <c r="AX1397" s="81"/>
      <c r="AY1397" s="81"/>
      <c r="AZ1397" s="81"/>
      <c r="BA1397" s="81"/>
      <c r="BB1397" s="81"/>
    </row>
    <row r="1398" spans="1:54" x14ac:dyDescent="0.35">
      <c r="A1398" s="66" t="s">
        <v>4714</v>
      </c>
      <c r="B1398" s="66" t="s">
        <v>4944</v>
      </c>
      <c r="C1398" s="67"/>
      <c r="D1398" s="68"/>
      <c r="E1398" s="69"/>
      <c r="F1398" s="70"/>
      <c r="G1398" s="67"/>
      <c r="H1398" s="71"/>
      <c r="I1398" s="72"/>
      <c r="J1398" s="72"/>
      <c r="K1398" s="36"/>
      <c r="L1398" s="79"/>
      <c r="M1398" s="79"/>
      <c r="N1398" s="74"/>
      <c r="O1398" s="81" t="s">
        <v>693</v>
      </c>
      <c r="P1398" s="83">
        <v>44465.814340277779</v>
      </c>
      <c r="Q1398" s="81" t="s">
        <v>5505</v>
      </c>
      <c r="R1398" s="81"/>
      <c r="S1398" s="81"/>
      <c r="T1398" s="81"/>
      <c r="U1398" s="81"/>
      <c r="V1398" s="84" t="str">
        <f>HYPERLINK("https://pbs.twimg.com/profile_images/998905371476475904/iMVOp17b_normal.jpg")</f>
        <v>https://pbs.twimg.com/profile_images/998905371476475904/iMVOp17b_normal.jpg</v>
      </c>
      <c r="W1398" s="83">
        <v>44465.814340277779</v>
      </c>
      <c r="X1398" s="89">
        <v>44465</v>
      </c>
      <c r="Y1398" s="86" t="s">
        <v>6359</v>
      </c>
      <c r="Z1398" s="84" t="str">
        <f>HYPERLINK("https://twitter.com/josealfredojr/status/1442210526914879488")</f>
        <v>https://twitter.com/josealfredojr/status/1442210526914879488</v>
      </c>
      <c r="AA1398" s="81"/>
      <c r="AB1398" s="81"/>
      <c r="AC1398" s="86" t="s">
        <v>7274</v>
      </c>
      <c r="AD1398" s="81"/>
      <c r="AE1398" s="81" t="b">
        <v>0</v>
      </c>
      <c r="AF1398" s="81">
        <v>0</v>
      </c>
      <c r="AG1398" s="86" t="s">
        <v>2084</v>
      </c>
      <c r="AH1398" s="81" t="b">
        <v>0</v>
      </c>
      <c r="AI1398" s="81" t="s">
        <v>2171</v>
      </c>
      <c r="AJ1398" s="81"/>
      <c r="AK1398" s="86" t="s">
        <v>2084</v>
      </c>
      <c r="AL1398" s="81" t="b">
        <v>0</v>
      </c>
      <c r="AM1398" s="81">
        <v>255</v>
      </c>
      <c r="AN1398" s="86" t="s">
        <v>7543</v>
      </c>
      <c r="AO1398" s="86" t="s">
        <v>2178</v>
      </c>
      <c r="AP1398" s="81" t="b">
        <v>0</v>
      </c>
      <c r="AQ1398" s="86" t="s">
        <v>7543</v>
      </c>
      <c r="AR1398" s="81" t="s">
        <v>179</v>
      </c>
      <c r="AS1398" s="81">
        <v>0</v>
      </c>
      <c r="AT1398" s="81">
        <v>0</v>
      </c>
      <c r="AU1398" s="81"/>
      <c r="AV1398" s="81"/>
      <c r="AW1398" s="81"/>
      <c r="AX1398" s="81"/>
      <c r="AY1398" s="81"/>
      <c r="AZ1398" s="81"/>
      <c r="BA1398" s="81"/>
      <c r="BB1398" s="81"/>
    </row>
    <row r="1399" spans="1:54" x14ac:dyDescent="0.35">
      <c r="A1399" s="66" t="s">
        <v>4715</v>
      </c>
      <c r="B1399" s="66" t="s">
        <v>5144</v>
      </c>
      <c r="C1399" s="67"/>
      <c r="D1399" s="68"/>
      <c r="E1399" s="69"/>
      <c r="F1399" s="70"/>
      <c r="G1399" s="67"/>
      <c r="H1399" s="71"/>
      <c r="I1399" s="72"/>
      <c r="J1399" s="72"/>
      <c r="K1399" s="36"/>
      <c r="L1399" s="79"/>
      <c r="M1399" s="79"/>
      <c r="N1399" s="74"/>
      <c r="O1399" s="81" t="s">
        <v>696</v>
      </c>
      <c r="P1399" s="83">
        <v>44465.815706018519</v>
      </c>
      <c r="Q1399" s="81" t="s">
        <v>5522</v>
      </c>
      <c r="R1399" s="81"/>
      <c r="S1399" s="81"/>
      <c r="T1399" s="81"/>
      <c r="U1399" s="81"/>
      <c r="V1399" s="84" t="str">
        <f>HYPERLINK("https://pbs.twimg.com/profile_images/641465441186127872/EOdW4ghH_normal.jpg")</f>
        <v>https://pbs.twimg.com/profile_images/641465441186127872/EOdW4ghH_normal.jpg</v>
      </c>
      <c r="W1399" s="83">
        <v>44465.815706018519</v>
      </c>
      <c r="X1399" s="89">
        <v>44465</v>
      </c>
      <c r="Y1399" s="86" t="s">
        <v>6360</v>
      </c>
      <c r="Z1399" s="84" t="str">
        <f>HYPERLINK("https://twitter.com/gabrielmusso/status/1442211024313143296")</f>
        <v>https://twitter.com/gabrielmusso/status/1442211024313143296</v>
      </c>
      <c r="AA1399" s="81"/>
      <c r="AB1399" s="81"/>
      <c r="AC1399" s="86" t="s">
        <v>7275</v>
      </c>
      <c r="AD1399" s="86" t="s">
        <v>7719</v>
      </c>
      <c r="AE1399" s="81" t="b">
        <v>0</v>
      </c>
      <c r="AF1399" s="81">
        <v>1</v>
      </c>
      <c r="AG1399" s="86" t="s">
        <v>7894</v>
      </c>
      <c r="AH1399" s="81" t="b">
        <v>0</v>
      </c>
      <c r="AI1399" s="81" t="s">
        <v>2171</v>
      </c>
      <c r="AJ1399" s="81"/>
      <c r="AK1399" s="86" t="s">
        <v>2084</v>
      </c>
      <c r="AL1399" s="81" t="b">
        <v>0</v>
      </c>
      <c r="AM1399" s="81">
        <v>0</v>
      </c>
      <c r="AN1399" s="86" t="s">
        <v>2084</v>
      </c>
      <c r="AO1399" s="86" t="s">
        <v>2178</v>
      </c>
      <c r="AP1399" s="81" t="b">
        <v>0</v>
      </c>
      <c r="AQ1399" s="86" t="s">
        <v>7719</v>
      </c>
      <c r="AR1399" s="81" t="s">
        <v>179</v>
      </c>
      <c r="AS1399" s="81">
        <v>0</v>
      </c>
      <c r="AT1399" s="81">
        <v>0</v>
      </c>
      <c r="AU1399" s="81"/>
      <c r="AV1399" s="81"/>
      <c r="AW1399" s="81"/>
      <c r="AX1399" s="81"/>
      <c r="AY1399" s="81"/>
      <c r="AZ1399" s="81"/>
      <c r="BA1399" s="81"/>
      <c r="BB1399" s="81"/>
    </row>
    <row r="1400" spans="1:54" x14ac:dyDescent="0.35">
      <c r="A1400" s="66" t="s">
        <v>4715</v>
      </c>
      <c r="B1400" s="66" t="s">
        <v>5145</v>
      </c>
      <c r="C1400" s="67"/>
      <c r="D1400" s="68"/>
      <c r="E1400" s="69"/>
      <c r="F1400" s="70"/>
      <c r="G1400" s="67"/>
      <c r="H1400" s="71"/>
      <c r="I1400" s="72"/>
      <c r="J1400" s="72"/>
      <c r="K1400" s="36"/>
      <c r="L1400" s="79"/>
      <c r="M1400" s="79"/>
      <c r="N1400" s="74"/>
      <c r="O1400" s="81" t="s">
        <v>695</v>
      </c>
      <c r="P1400" s="83">
        <v>44465.815706018519</v>
      </c>
      <c r="Q1400" s="81" t="s">
        <v>5522</v>
      </c>
      <c r="R1400" s="81"/>
      <c r="S1400" s="81"/>
      <c r="T1400" s="81"/>
      <c r="U1400" s="81"/>
      <c r="V1400" s="84" t="str">
        <f>HYPERLINK("https://pbs.twimg.com/profile_images/641465441186127872/EOdW4ghH_normal.jpg")</f>
        <v>https://pbs.twimg.com/profile_images/641465441186127872/EOdW4ghH_normal.jpg</v>
      </c>
      <c r="W1400" s="83">
        <v>44465.815706018519</v>
      </c>
      <c r="X1400" s="89">
        <v>44465</v>
      </c>
      <c r="Y1400" s="86" t="s">
        <v>6360</v>
      </c>
      <c r="Z1400" s="84" t="str">
        <f>HYPERLINK("https://twitter.com/gabrielmusso/status/1442211024313143296")</f>
        <v>https://twitter.com/gabrielmusso/status/1442211024313143296</v>
      </c>
      <c r="AA1400" s="81"/>
      <c r="AB1400" s="81"/>
      <c r="AC1400" s="86" t="s">
        <v>7275</v>
      </c>
      <c r="AD1400" s="86" t="s">
        <v>7719</v>
      </c>
      <c r="AE1400" s="81" t="b">
        <v>0</v>
      </c>
      <c r="AF1400" s="81">
        <v>1</v>
      </c>
      <c r="AG1400" s="86" t="s">
        <v>7894</v>
      </c>
      <c r="AH1400" s="81" t="b">
        <v>0</v>
      </c>
      <c r="AI1400" s="81" t="s">
        <v>2171</v>
      </c>
      <c r="AJ1400" s="81"/>
      <c r="AK1400" s="86" t="s">
        <v>2084</v>
      </c>
      <c r="AL1400" s="81" t="b">
        <v>0</v>
      </c>
      <c r="AM1400" s="81">
        <v>0</v>
      </c>
      <c r="AN1400" s="86" t="s">
        <v>2084</v>
      </c>
      <c r="AO1400" s="86" t="s">
        <v>2178</v>
      </c>
      <c r="AP1400" s="81" t="b">
        <v>0</v>
      </c>
      <c r="AQ1400" s="86" t="s">
        <v>7719</v>
      </c>
      <c r="AR1400" s="81" t="s">
        <v>179</v>
      </c>
      <c r="AS1400" s="81">
        <v>0</v>
      </c>
      <c r="AT1400" s="81">
        <v>0</v>
      </c>
      <c r="AU1400" s="81"/>
      <c r="AV1400" s="81"/>
      <c r="AW1400" s="81"/>
      <c r="AX1400" s="81"/>
      <c r="AY1400" s="81"/>
      <c r="AZ1400" s="81"/>
      <c r="BA1400" s="81"/>
      <c r="BB1400" s="81"/>
    </row>
    <row r="1401" spans="1:54" x14ac:dyDescent="0.35">
      <c r="A1401" s="66" t="s">
        <v>4716</v>
      </c>
      <c r="B1401" s="66" t="s">
        <v>4944</v>
      </c>
      <c r="C1401" s="67"/>
      <c r="D1401" s="68"/>
      <c r="E1401" s="69"/>
      <c r="F1401" s="70"/>
      <c r="G1401" s="67"/>
      <c r="H1401" s="71"/>
      <c r="I1401" s="72"/>
      <c r="J1401" s="72"/>
      <c r="K1401" s="36"/>
      <c r="L1401" s="79"/>
      <c r="M1401" s="79"/>
      <c r="N1401" s="74"/>
      <c r="O1401" s="81" t="s">
        <v>693</v>
      </c>
      <c r="P1401" s="83">
        <v>44465.820370370369</v>
      </c>
      <c r="Q1401" s="81" t="s">
        <v>5505</v>
      </c>
      <c r="R1401" s="81"/>
      <c r="S1401" s="81"/>
      <c r="T1401" s="81"/>
      <c r="U1401" s="81"/>
      <c r="V1401" s="84" t="str">
        <f>HYPERLINK("https://pbs.twimg.com/profile_images/1363795170743975938/gxVox66m_normal.jpg")</f>
        <v>https://pbs.twimg.com/profile_images/1363795170743975938/gxVox66m_normal.jpg</v>
      </c>
      <c r="W1401" s="83">
        <v>44465.820370370369</v>
      </c>
      <c r="X1401" s="89">
        <v>44465</v>
      </c>
      <c r="Y1401" s="86" t="s">
        <v>6361</v>
      </c>
      <c r="Z1401" s="84" t="str">
        <f>HYPERLINK("https://twitter.com/beguinho9/status/1442212712998596611")</f>
        <v>https://twitter.com/beguinho9/status/1442212712998596611</v>
      </c>
      <c r="AA1401" s="81"/>
      <c r="AB1401" s="81"/>
      <c r="AC1401" s="86" t="s">
        <v>7276</v>
      </c>
      <c r="AD1401" s="81"/>
      <c r="AE1401" s="81" t="b">
        <v>0</v>
      </c>
      <c r="AF1401" s="81">
        <v>0</v>
      </c>
      <c r="AG1401" s="86" t="s">
        <v>2084</v>
      </c>
      <c r="AH1401" s="81" t="b">
        <v>0</v>
      </c>
      <c r="AI1401" s="81" t="s">
        <v>2171</v>
      </c>
      <c r="AJ1401" s="81"/>
      <c r="AK1401" s="86" t="s">
        <v>2084</v>
      </c>
      <c r="AL1401" s="81" t="b">
        <v>0</v>
      </c>
      <c r="AM1401" s="81">
        <v>255</v>
      </c>
      <c r="AN1401" s="86" t="s">
        <v>7543</v>
      </c>
      <c r="AO1401" s="86" t="s">
        <v>2178</v>
      </c>
      <c r="AP1401" s="81" t="b">
        <v>0</v>
      </c>
      <c r="AQ1401" s="86" t="s">
        <v>7543</v>
      </c>
      <c r="AR1401" s="81" t="s">
        <v>179</v>
      </c>
      <c r="AS1401" s="81">
        <v>0</v>
      </c>
      <c r="AT1401" s="81">
        <v>0</v>
      </c>
      <c r="AU1401" s="81"/>
      <c r="AV1401" s="81"/>
      <c r="AW1401" s="81"/>
      <c r="AX1401" s="81"/>
      <c r="AY1401" s="81"/>
      <c r="AZ1401" s="81"/>
      <c r="BA1401" s="81"/>
      <c r="BB1401" s="81"/>
    </row>
    <row r="1402" spans="1:54" x14ac:dyDescent="0.35">
      <c r="A1402" s="66" t="s">
        <v>4717</v>
      </c>
      <c r="B1402" s="66" t="s">
        <v>4944</v>
      </c>
      <c r="C1402" s="67"/>
      <c r="D1402" s="68"/>
      <c r="E1402" s="69"/>
      <c r="F1402" s="70"/>
      <c r="G1402" s="67"/>
      <c r="H1402" s="71"/>
      <c r="I1402" s="72"/>
      <c r="J1402" s="72"/>
      <c r="K1402" s="36"/>
      <c r="L1402" s="79"/>
      <c r="M1402" s="79"/>
      <c r="N1402" s="74"/>
      <c r="O1402" s="81" t="s">
        <v>693</v>
      </c>
      <c r="P1402" s="83">
        <v>44465.83085648148</v>
      </c>
      <c r="Q1402" s="81" t="s">
        <v>5505</v>
      </c>
      <c r="R1402" s="81"/>
      <c r="S1402" s="81"/>
      <c r="T1402" s="81"/>
      <c r="U1402" s="81"/>
      <c r="V1402" s="84" t="str">
        <f>HYPERLINK("https://pbs.twimg.com/profile_images/1387577616580976647/uOWoF_SA_normal.jpg")</f>
        <v>https://pbs.twimg.com/profile_images/1387577616580976647/uOWoF_SA_normal.jpg</v>
      </c>
      <c r="W1402" s="83">
        <v>44465.83085648148</v>
      </c>
      <c r="X1402" s="89">
        <v>44465</v>
      </c>
      <c r="Y1402" s="86" t="s">
        <v>6362</v>
      </c>
      <c r="Z1402" s="84" t="str">
        <f>HYPERLINK("https://twitter.com/maurorato74/status/1442216515160272900")</f>
        <v>https://twitter.com/maurorato74/status/1442216515160272900</v>
      </c>
      <c r="AA1402" s="81"/>
      <c r="AB1402" s="81"/>
      <c r="AC1402" s="86" t="s">
        <v>7277</v>
      </c>
      <c r="AD1402" s="81"/>
      <c r="AE1402" s="81" t="b">
        <v>0</v>
      </c>
      <c r="AF1402" s="81">
        <v>0</v>
      </c>
      <c r="AG1402" s="86" t="s">
        <v>2084</v>
      </c>
      <c r="AH1402" s="81" t="b">
        <v>0</v>
      </c>
      <c r="AI1402" s="81" t="s">
        <v>2171</v>
      </c>
      <c r="AJ1402" s="81"/>
      <c r="AK1402" s="86" t="s">
        <v>2084</v>
      </c>
      <c r="AL1402" s="81" t="b">
        <v>0</v>
      </c>
      <c r="AM1402" s="81">
        <v>255</v>
      </c>
      <c r="AN1402" s="86" t="s">
        <v>7543</v>
      </c>
      <c r="AO1402" s="86" t="s">
        <v>2181</v>
      </c>
      <c r="AP1402" s="81" t="b">
        <v>0</v>
      </c>
      <c r="AQ1402" s="86" t="s">
        <v>7543</v>
      </c>
      <c r="AR1402" s="81" t="s">
        <v>179</v>
      </c>
      <c r="AS1402" s="81">
        <v>0</v>
      </c>
      <c r="AT1402" s="81">
        <v>0</v>
      </c>
      <c r="AU1402" s="81"/>
      <c r="AV1402" s="81"/>
      <c r="AW1402" s="81"/>
      <c r="AX1402" s="81"/>
      <c r="AY1402" s="81"/>
      <c r="AZ1402" s="81"/>
      <c r="BA1402" s="81"/>
      <c r="BB1402" s="81"/>
    </row>
    <row r="1403" spans="1:54" x14ac:dyDescent="0.35">
      <c r="A1403" s="66" t="s">
        <v>4718</v>
      </c>
      <c r="B1403" s="66" t="s">
        <v>4944</v>
      </c>
      <c r="C1403" s="67"/>
      <c r="D1403" s="68"/>
      <c r="E1403" s="69"/>
      <c r="F1403" s="70"/>
      <c r="G1403" s="67"/>
      <c r="H1403" s="71"/>
      <c r="I1403" s="72"/>
      <c r="J1403" s="72"/>
      <c r="K1403" s="36"/>
      <c r="L1403" s="79"/>
      <c r="M1403" s="79"/>
      <c r="N1403" s="74"/>
      <c r="O1403" s="81" t="s">
        <v>693</v>
      </c>
      <c r="P1403" s="83">
        <v>44465.839398148149</v>
      </c>
      <c r="Q1403" s="81" t="s">
        <v>5505</v>
      </c>
      <c r="R1403" s="81"/>
      <c r="S1403" s="81"/>
      <c r="T1403" s="81"/>
      <c r="U1403" s="81"/>
      <c r="V1403" s="84" t="str">
        <f>HYPERLINK("https://pbs.twimg.com/profile_images/1411444737723277318/wFDmFElu_normal.jpg")</f>
        <v>https://pbs.twimg.com/profile_images/1411444737723277318/wFDmFElu_normal.jpg</v>
      </c>
      <c r="W1403" s="83">
        <v>44465.839398148149</v>
      </c>
      <c r="X1403" s="89">
        <v>44465</v>
      </c>
      <c r="Y1403" s="86" t="s">
        <v>6363</v>
      </c>
      <c r="Z1403" s="84" t="str">
        <f>HYPERLINK("https://twitter.com/malipe6/status/1442219608652632064")</f>
        <v>https://twitter.com/malipe6/status/1442219608652632064</v>
      </c>
      <c r="AA1403" s="81"/>
      <c r="AB1403" s="81"/>
      <c r="AC1403" s="86" t="s">
        <v>7278</v>
      </c>
      <c r="AD1403" s="81"/>
      <c r="AE1403" s="81" t="b">
        <v>0</v>
      </c>
      <c r="AF1403" s="81">
        <v>0</v>
      </c>
      <c r="AG1403" s="86" t="s">
        <v>2084</v>
      </c>
      <c r="AH1403" s="81" t="b">
        <v>0</v>
      </c>
      <c r="AI1403" s="81" t="s">
        <v>2171</v>
      </c>
      <c r="AJ1403" s="81"/>
      <c r="AK1403" s="86" t="s">
        <v>2084</v>
      </c>
      <c r="AL1403" s="81" t="b">
        <v>0</v>
      </c>
      <c r="AM1403" s="81">
        <v>255</v>
      </c>
      <c r="AN1403" s="86" t="s">
        <v>7543</v>
      </c>
      <c r="AO1403" s="86" t="s">
        <v>2181</v>
      </c>
      <c r="AP1403" s="81" t="b">
        <v>0</v>
      </c>
      <c r="AQ1403" s="86" t="s">
        <v>7543</v>
      </c>
      <c r="AR1403" s="81" t="s">
        <v>179</v>
      </c>
      <c r="AS1403" s="81">
        <v>0</v>
      </c>
      <c r="AT1403" s="81">
        <v>0</v>
      </c>
      <c r="AU1403" s="81"/>
      <c r="AV1403" s="81"/>
      <c r="AW1403" s="81"/>
      <c r="AX1403" s="81"/>
      <c r="AY1403" s="81"/>
      <c r="AZ1403" s="81"/>
      <c r="BA1403" s="81"/>
      <c r="BB1403" s="81"/>
    </row>
    <row r="1404" spans="1:54" x14ac:dyDescent="0.35">
      <c r="A1404" s="66" t="s">
        <v>4720</v>
      </c>
      <c r="B1404" s="66" t="s">
        <v>4719</v>
      </c>
      <c r="C1404" s="67"/>
      <c r="D1404" s="68"/>
      <c r="E1404" s="69"/>
      <c r="F1404" s="70"/>
      <c r="G1404" s="67"/>
      <c r="H1404" s="71"/>
      <c r="I1404" s="72"/>
      <c r="J1404" s="72"/>
      <c r="K1404" s="36"/>
      <c r="L1404" s="79"/>
      <c r="M1404" s="79"/>
      <c r="N1404" s="74"/>
      <c r="O1404" s="81" t="s">
        <v>693</v>
      </c>
      <c r="P1404" s="83">
        <v>44465.84175925926</v>
      </c>
      <c r="Q1404" s="81" t="s">
        <v>5523</v>
      </c>
      <c r="R1404" s="84" t="str">
        <f>HYPERLINK("https://maisfutebol.iol.pt/sp-braga/liga/carlos-carvalhal-a-equipa-pos-se-atras-e-pos-se-a-jeito?utm_campaign=auto-tw&amp;utm_source=twitter&amp;utm_medium=social")</f>
        <v>https://maisfutebol.iol.pt/sp-braga/liga/carlos-carvalhal-a-equipa-pos-se-atras-e-pos-se-a-jeito?utm_campaign=auto-tw&amp;utm_source=twitter&amp;utm_medium=social</v>
      </c>
      <c r="S1404" s="81" t="s">
        <v>5705</v>
      </c>
      <c r="T1404" s="81"/>
      <c r="U1404" s="84" t="str">
        <f>HYPERLINK("https://pbs.twimg.com/media/FAPLbk3VkAIdVbj.jpg")</f>
        <v>https://pbs.twimg.com/media/FAPLbk3VkAIdVbj.jpg</v>
      </c>
      <c r="V1404" s="84" t="str">
        <f>HYPERLINK("https://pbs.twimg.com/media/FAPLbk3VkAIdVbj.jpg")</f>
        <v>https://pbs.twimg.com/media/FAPLbk3VkAIdVbj.jpg</v>
      </c>
      <c r="W1404" s="83">
        <v>44465.84175925926</v>
      </c>
      <c r="X1404" s="89">
        <v>44465</v>
      </c>
      <c r="Y1404" s="86" t="s">
        <v>6365</v>
      </c>
      <c r="Z1404" s="84" t="str">
        <f>HYPERLINK("https://twitter.com/ivo_borges19/status/1442220464756203524")</f>
        <v>https://twitter.com/ivo_borges19/status/1442220464756203524</v>
      </c>
      <c r="AA1404" s="81"/>
      <c r="AB1404" s="81"/>
      <c r="AC1404" s="86" t="s">
        <v>7280</v>
      </c>
      <c r="AD1404" s="81"/>
      <c r="AE1404" s="81" t="b">
        <v>0</v>
      </c>
      <c r="AF1404" s="81">
        <v>0</v>
      </c>
      <c r="AG1404" s="86" t="s">
        <v>2084</v>
      </c>
      <c r="AH1404" s="81" t="b">
        <v>0</v>
      </c>
      <c r="AI1404" s="81" t="s">
        <v>2171</v>
      </c>
      <c r="AJ1404" s="81"/>
      <c r="AK1404" s="86" t="s">
        <v>2084</v>
      </c>
      <c r="AL1404" s="81" t="b">
        <v>0</v>
      </c>
      <c r="AM1404" s="81">
        <v>1</v>
      </c>
      <c r="AN1404" s="86" t="s">
        <v>7279</v>
      </c>
      <c r="AO1404" s="86" t="s">
        <v>2178</v>
      </c>
      <c r="AP1404" s="81" t="b">
        <v>0</v>
      </c>
      <c r="AQ1404" s="86" t="s">
        <v>7279</v>
      </c>
      <c r="AR1404" s="81" t="s">
        <v>179</v>
      </c>
      <c r="AS1404" s="81">
        <v>0</v>
      </c>
      <c r="AT1404" s="81">
        <v>0</v>
      </c>
      <c r="AU1404" s="81"/>
      <c r="AV1404" s="81"/>
      <c r="AW1404" s="81"/>
      <c r="AX1404" s="81"/>
      <c r="AY1404" s="81"/>
      <c r="AZ1404" s="81"/>
      <c r="BA1404" s="81"/>
      <c r="BB1404" s="81"/>
    </row>
    <row r="1405" spans="1:54" x14ac:dyDescent="0.35">
      <c r="A1405" s="66" t="s">
        <v>4721</v>
      </c>
      <c r="B1405" s="66" t="s">
        <v>4944</v>
      </c>
      <c r="C1405" s="67"/>
      <c r="D1405" s="68"/>
      <c r="E1405" s="69"/>
      <c r="F1405" s="70"/>
      <c r="G1405" s="67"/>
      <c r="H1405" s="71"/>
      <c r="I1405" s="72"/>
      <c r="J1405" s="72"/>
      <c r="K1405" s="36"/>
      <c r="L1405" s="79"/>
      <c r="M1405" s="79"/>
      <c r="N1405" s="74"/>
      <c r="O1405" s="81" t="s">
        <v>693</v>
      </c>
      <c r="P1405" s="83">
        <v>44465.84878472222</v>
      </c>
      <c r="Q1405" s="81" t="s">
        <v>5505</v>
      </c>
      <c r="R1405" s="81"/>
      <c r="S1405" s="81"/>
      <c r="T1405" s="81"/>
      <c r="U1405" s="81"/>
      <c r="V1405" s="84" t="str">
        <f>HYPERLINK("https://pbs.twimg.com/profile_images/1079548762597539843/FfqkEh3f_normal.jpg")</f>
        <v>https://pbs.twimg.com/profile_images/1079548762597539843/FfqkEh3f_normal.jpg</v>
      </c>
      <c r="W1405" s="83">
        <v>44465.84878472222</v>
      </c>
      <c r="X1405" s="89">
        <v>44465</v>
      </c>
      <c r="Y1405" s="86" t="s">
        <v>6366</v>
      </c>
      <c r="Z1405" s="84" t="str">
        <f>HYPERLINK("https://twitter.com/filipamm/status/1442223010405093377")</f>
        <v>https://twitter.com/filipamm/status/1442223010405093377</v>
      </c>
      <c r="AA1405" s="81"/>
      <c r="AB1405" s="81"/>
      <c r="AC1405" s="86" t="s">
        <v>7281</v>
      </c>
      <c r="AD1405" s="81"/>
      <c r="AE1405" s="81" t="b">
        <v>0</v>
      </c>
      <c r="AF1405" s="81">
        <v>0</v>
      </c>
      <c r="AG1405" s="86" t="s">
        <v>2084</v>
      </c>
      <c r="AH1405" s="81" t="b">
        <v>0</v>
      </c>
      <c r="AI1405" s="81" t="s">
        <v>2171</v>
      </c>
      <c r="AJ1405" s="81"/>
      <c r="AK1405" s="86" t="s">
        <v>2084</v>
      </c>
      <c r="AL1405" s="81" t="b">
        <v>0</v>
      </c>
      <c r="AM1405" s="81">
        <v>255</v>
      </c>
      <c r="AN1405" s="86" t="s">
        <v>7543</v>
      </c>
      <c r="AO1405" s="86" t="s">
        <v>2178</v>
      </c>
      <c r="AP1405" s="81" t="b">
        <v>0</v>
      </c>
      <c r="AQ1405" s="86" t="s">
        <v>7543</v>
      </c>
      <c r="AR1405" s="81" t="s">
        <v>179</v>
      </c>
      <c r="AS1405" s="81">
        <v>0</v>
      </c>
      <c r="AT1405" s="81">
        <v>0</v>
      </c>
      <c r="AU1405" s="81"/>
      <c r="AV1405" s="81"/>
      <c r="AW1405" s="81"/>
      <c r="AX1405" s="81"/>
      <c r="AY1405" s="81"/>
      <c r="AZ1405" s="81"/>
      <c r="BA1405" s="81"/>
      <c r="BB1405" s="81"/>
    </row>
    <row r="1406" spans="1:54" x14ac:dyDescent="0.35">
      <c r="A1406" s="66" t="s">
        <v>4722</v>
      </c>
      <c r="B1406" s="66" t="s">
        <v>4722</v>
      </c>
      <c r="C1406" s="67"/>
      <c r="D1406" s="68"/>
      <c r="E1406" s="69"/>
      <c r="F1406" s="70"/>
      <c r="G1406" s="67"/>
      <c r="H1406" s="71"/>
      <c r="I1406" s="72"/>
      <c r="J1406" s="72"/>
      <c r="K1406" s="36"/>
      <c r="L1406" s="79"/>
      <c r="M1406" s="79"/>
      <c r="N1406" s="74"/>
      <c r="O1406" s="81" t="s">
        <v>179</v>
      </c>
      <c r="P1406" s="83">
        <v>44465.848807870374</v>
      </c>
      <c r="Q1406" s="81" t="s">
        <v>5524</v>
      </c>
      <c r="R1406" s="84" t="str">
        <f>HYPERLINK("https://ominho.pt/a-equipa-pos-se-ca-atras-e-pos-se-a-jeito/")</f>
        <v>https://ominho.pt/a-equipa-pos-se-ca-atras-e-pos-se-a-jeito/</v>
      </c>
      <c r="S1406" s="81" t="s">
        <v>5739</v>
      </c>
      <c r="T1406" s="86" t="s">
        <v>5781</v>
      </c>
      <c r="U1406" s="81"/>
      <c r="V1406" s="84" t="str">
        <f>HYPERLINK("https://pbs.twimg.com/profile_images/759550775861317633/jTogZy4c_normal.jpg")</f>
        <v>https://pbs.twimg.com/profile_images/759550775861317633/jTogZy4c_normal.jpg</v>
      </c>
      <c r="W1406" s="83">
        <v>44465.848807870374</v>
      </c>
      <c r="X1406" s="89">
        <v>44465</v>
      </c>
      <c r="Y1406" s="86" t="s">
        <v>6367</v>
      </c>
      <c r="Z1406" s="84" t="str">
        <f>HYPERLINK("https://twitter.com/ominhopt/status/1442223017506000900")</f>
        <v>https://twitter.com/ominhopt/status/1442223017506000900</v>
      </c>
      <c r="AA1406" s="81"/>
      <c r="AB1406" s="81"/>
      <c r="AC1406" s="86" t="s">
        <v>7282</v>
      </c>
      <c r="AD1406" s="81"/>
      <c r="AE1406" s="81" t="b">
        <v>0</v>
      </c>
      <c r="AF1406" s="81">
        <v>1</v>
      </c>
      <c r="AG1406" s="86" t="s">
        <v>2084</v>
      </c>
      <c r="AH1406" s="81" t="b">
        <v>0</v>
      </c>
      <c r="AI1406" s="81" t="s">
        <v>2171</v>
      </c>
      <c r="AJ1406" s="81"/>
      <c r="AK1406" s="86" t="s">
        <v>2084</v>
      </c>
      <c r="AL1406" s="81" t="b">
        <v>0</v>
      </c>
      <c r="AM1406" s="81">
        <v>0</v>
      </c>
      <c r="AN1406" s="86" t="s">
        <v>2084</v>
      </c>
      <c r="AO1406" s="86" t="s">
        <v>7987</v>
      </c>
      <c r="AP1406" s="81" t="b">
        <v>0</v>
      </c>
      <c r="AQ1406" s="86" t="s">
        <v>7282</v>
      </c>
      <c r="AR1406" s="81" t="s">
        <v>179</v>
      </c>
      <c r="AS1406" s="81">
        <v>0</v>
      </c>
      <c r="AT1406" s="81">
        <v>0</v>
      </c>
      <c r="AU1406" s="81"/>
      <c r="AV1406" s="81"/>
      <c r="AW1406" s="81"/>
      <c r="AX1406" s="81"/>
      <c r="AY1406" s="81"/>
      <c r="AZ1406" s="81"/>
      <c r="BA1406" s="81"/>
      <c r="BB1406" s="81"/>
    </row>
    <row r="1407" spans="1:54" x14ac:dyDescent="0.35">
      <c r="A1407" s="66" t="s">
        <v>4723</v>
      </c>
      <c r="B1407" s="66" t="s">
        <v>5146</v>
      </c>
      <c r="C1407" s="67"/>
      <c r="D1407" s="68"/>
      <c r="E1407" s="69"/>
      <c r="F1407" s="70"/>
      <c r="G1407" s="67"/>
      <c r="H1407" s="71"/>
      <c r="I1407" s="72"/>
      <c r="J1407" s="72"/>
      <c r="K1407" s="36"/>
      <c r="L1407" s="79"/>
      <c r="M1407" s="79"/>
      <c r="N1407" s="74"/>
      <c r="O1407" s="81" t="s">
        <v>695</v>
      </c>
      <c r="P1407" s="83">
        <v>44465.859039351853</v>
      </c>
      <c r="Q1407" s="81" t="s">
        <v>5525</v>
      </c>
      <c r="R1407" s="84" t="str">
        <f>HYPERLINK("https://www.dn.pt/mundo/ivan-marquez-o-ex-guerrilheiro-das-farc-que-negociou-a-paz-a-agora-volta-as-armas-11264306.html")</f>
        <v>https://www.dn.pt/mundo/ivan-marquez-o-ex-guerrilheiro-das-farc-que-negociou-a-paz-a-agora-volta-as-armas-11264306.html</v>
      </c>
      <c r="S1407" s="81" t="s">
        <v>5706</v>
      </c>
      <c r="T1407" s="81"/>
      <c r="U1407" s="81"/>
      <c r="V1407" s="84" t="str">
        <f>HYPERLINK("https://pbs.twimg.com/profile_images/1239661853581680642/P3yTB-D1_normal.jpg")</f>
        <v>https://pbs.twimg.com/profile_images/1239661853581680642/P3yTB-D1_normal.jpg</v>
      </c>
      <c r="W1407" s="83">
        <v>44465.859039351853</v>
      </c>
      <c r="X1407" s="89">
        <v>44465</v>
      </c>
      <c r="Y1407" s="86" t="s">
        <v>6368</v>
      </c>
      <c r="Z1407" s="84" t="str">
        <f>HYPERLINK("https://twitter.com/jjsilva4/status/1442226724574531584")</f>
        <v>https://twitter.com/jjsilva4/status/1442226724574531584</v>
      </c>
      <c r="AA1407" s="81"/>
      <c r="AB1407" s="81"/>
      <c r="AC1407" s="86" t="s">
        <v>7283</v>
      </c>
      <c r="AD1407" s="86" t="s">
        <v>7720</v>
      </c>
      <c r="AE1407" s="81" t="b">
        <v>0</v>
      </c>
      <c r="AF1407" s="81">
        <v>0</v>
      </c>
      <c r="AG1407" s="86" t="s">
        <v>7895</v>
      </c>
      <c r="AH1407" s="81" t="b">
        <v>0</v>
      </c>
      <c r="AI1407" s="81" t="s">
        <v>2171</v>
      </c>
      <c r="AJ1407" s="81"/>
      <c r="AK1407" s="86" t="s">
        <v>2084</v>
      </c>
      <c r="AL1407" s="81" t="b">
        <v>0</v>
      </c>
      <c r="AM1407" s="81">
        <v>0</v>
      </c>
      <c r="AN1407" s="86" t="s">
        <v>2084</v>
      </c>
      <c r="AO1407" s="86" t="s">
        <v>2181</v>
      </c>
      <c r="AP1407" s="81" t="b">
        <v>0</v>
      </c>
      <c r="AQ1407" s="86" t="s">
        <v>7720</v>
      </c>
      <c r="AR1407" s="81" t="s">
        <v>179</v>
      </c>
      <c r="AS1407" s="81">
        <v>0</v>
      </c>
      <c r="AT1407" s="81">
        <v>0</v>
      </c>
      <c r="AU1407" s="81"/>
      <c r="AV1407" s="81"/>
      <c r="AW1407" s="81"/>
      <c r="AX1407" s="81"/>
      <c r="AY1407" s="81"/>
      <c r="AZ1407" s="81"/>
      <c r="BA1407" s="81"/>
      <c r="BB1407" s="81"/>
    </row>
    <row r="1408" spans="1:54" x14ac:dyDescent="0.35">
      <c r="A1408" s="66" t="s">
        <v>4724</v>
      </c>
      <c r="B1408" s="66" t="s">
        <v>4944</v>
      </c>
      <c r="C1408" s="67"/>
      <c r="D1408" s="68"/>
      <c r="E1408" s="69"/>
      <c r="F1408" s="70"/>
      <c r="G1408" s="67"/>
      <c r="H1408" s="71"/>
      <c r="I1408" s="72"/>
      <c r="J1408" s="72"/>
      <c r="K1408" s="36"/>
      <c r="L1408" s="79"/>
      <c r="M1408" s="79"/>
      <c r="N1408" s="74"/>
      <c r="O1408" s="81" t="s">
        <v>693</v>
      </c>
      <c r="P1408" s="83">
        <v>44465.877337962964</v>
      </c>
      <c r="Q1408" s="81" t="s">
        <v>5505</v>
      </c>
      <c r="R1408" s="81"/>
      <c r="S1408" s="81"/>
      <c r="T1408" s="81"/>
      <c r="U1408" s="81"/>
      <c r="V1408" s="84" t="str">
        <f>HYPERLINK("https://pbs.twimg.com/profile_images/1430294800121597960/AVhpa9Zh_normal.jpg")</f>
        <v>https://pbs.twimg.com/profile_images/1430294800121597960/AVhpa9Zh_normal.jpg</v>
      </c>
      <c r="W1408" s="83">
        <v>44465.877337962964</v>
      </c>
      <c r="X1408" s="89">
        <v>44465</v>
      </c>
      <c r="Y1408" s="86" t="s">
        <v>6369</v>
      </c>
      <c r="Z1408" s="84" t="str">
        <f>HYPERLINK("https://twitter.com/naosouoiuar/status/1442233357341974530")</f>
        <v>https://twitter.com/naosouoiuar/status/1442233357341974530</v>
      </c>
      <c r="AA1408" s="81"/>
      <c r="AB1408" s="81"/>
      <c r="AC1408" s="86" t="s">
        <v>7284</v>
      </c>
      <c r="AD1408" s="81"/>
      <c r="AE1408" s="81" t="b">
        <v>0</v>
      </c>
      <c r="AF1408" s="81">
        <v>0</v>
      </c>
      <c r="AG1408" s="86" t="s">
        <v>2084</v>
      </c>
      <c r="AH1408" s="81" t="b">
        <v>0</v>
      </c>
      <c r="AI1408" s="81" t="s">
        <v>2171</v>
      </c>
      <c r="AJ1408" s="81"/>
      <c r="AK1408" s="86" t="s">
        <v>2084</v>
      </c>
      <c r="AL1408" s="81" t="b">
        <v>0</v>
      </c>
      <c r="AM1408" s="81">
        <v>255</v>
      </c>
      <c r="AN1408" s="86" t="s">
        <v>7543</v>
      </c>
      <c r="AO1408" s="86" t="s">
        <v>2178</v>
      </c>
      <c r="AP1408" s="81" t="b">
        <v>0</v>
      </c>
      <c r="AQ1408" s="86" t="s">
        <v>7543</v>
      </c>
      <c r="AR1408" s="81" t="s">
        <v>179</v>
      </c>
      <c r="AS1408" s="81">
        <v>0</v>
      </c>
      <c r="AT1408" s="81">
        <v>0</v>
      </c>
      <c r="AU1408" s="81"/>
      <c r="AV1408" s="81"/>
      <c r="AW1408" s="81"/>
      <c r="AX1408" s="81"/>
      <c r="AY1408" s="81"/>
      <c r="AZ1408" s="81"/>
      <c r="BA1408" s="81"/>
      <c r="BB1408" s="81"/>
    </row>
    <row r="1409" spans="1:54" x14ac:dyDescent="0.35">
      <c r="A1409" s="66" t="s">
        <v>4725</v>
      </c>
      <c r="B1409" s="66" t="s">
        <v>4944</v>
      </c>
      <c r="C1409" s="67"/>
      <c r="D1409" s="68"/>
      <c r="E1409" s="69"/>
      <c r="F1409" s="70"/>
      <c r="G1409" s="67"/>
      <c r="H1409" s="71"/>
      <c r="I1409" s="72"/>
      <c r="J1409" s="72"/>
      <c r="K1409" s="36"/>
      <c r="L1409" s="79"/>
      <c r="M1409" s="79"/>
      <c r="N1409" s="74"/>
      <c r="O1409" s="81" t="s">
        <v>693</v>
      </c>
      <c r="P1409" s="83">
        <v>44465.880046296297</v>
      </c>
      <c r="Q1409" s="81" t="s">
        <v>5505</v>
      </c>
      <c r="R1409" s="81"/>
      <c r="S1409" s="81"/>
      <c r="T1409" s="81"/>
      <c r="U1409" s="81"/>
      <c r="V1409" s="84" t="str">
        <f>HYPERLINK("https://pbs.twimg.com/profile_images/1435397863018745857/IkwNCrJz_normal.jpg")</f>
        <v>https://pbs.twimg.com/profile_images/1435397863018745857/IkwNCrJz_normal.jpg</v>
      </c>
      <c r="W1409" s="83">
        <v>44465.880046296297</v>
      </c>
      <c r="X1409" s="89">
        <v>44465</v>
      </c>
      <c r="Y1409" s="86" t="s">
        <v>6370</v>
      </c>
      <c r="Z1409" s="84" t="str">
        <f>HYPERLINK("https://twitter.com/doraaamora/status/1442234339098517508")</f>
        <v>https://twitter.com/doraaamora/status/1442234339098517508</v>
      </c>
      <c r="AA1409" s="81"/>
      <c r="AB1409" s="81"/>
      <c r="AC1409" s="86" t="s">
        <v>7285</v>
      </c>
      <c r="AD1409" s="81"/>
      <c r="AE1409" s="81" t="b">
        <v>0</v>
      </c>
      <c r="AF1409" s="81">
        <v>0</v>
      </c>
      <c r="AG1409" s="86" t="s">
        <v>2084</v>
      </c>
      <c r="AH1409" s="81" t="b">
        <v>0</v>
      </c>
      <c r="AI1409" s="81" t="s">
        <v>2171</v>
      </c>
      <c r="AJ1409" s="81"/>
      <c r="AK1409" s="86" t="s">
        <v>2084</v>
      </c>
      <c r="AL1409" s="81" t="b">
        <v>0</v>
      </c>
      <c r="AM1409" s="81">
        <v>255</v>
      </c>
      <c r="AN1409" s="86" t="s">
        <v>7543</v>
      </c>
      <c r="AO1409" s="86" t="s">
        <v>2182</v>
      </c>
      <c r="AP1409" s="81" t="b">
        <v>0</v>
      </c>
      <c r="AQ1409" s="86" t="s">
        <v>7543</v>
      </c>
      <c r="AR1409" s="81" t="s">
        <v>179</v>
      </c>
      <c r="AS1409" s="81">
        <v>0</v>
      </c>
      <c r="AT1409" s="81">
        <v>0</v>
      </c>
      <c r="AU1409" s="81"/>
      <c r="AV1409" s="81"/>
      <c r="AW1409" s="81"/>
      <c r="AX1409" s="81"/>
      <c r="AY1409" s="81"/>
      <c r="AZ1409" s="81"/>
      <c r="BA1409" s="81"/>
      <c r="BB1409" s="81"/>
    </row>
    <row r="1410" spans="1:54" x14ac:dyDescent="0.35">
      <c r="A1410" s="66" t="s">
        <v>4726</v>
      </c>
      <c r="B1410" s="66" t="s">
        <v>4944</v>
      </c>
      <c r="C1410" s="67"/>
      <c r="D1410" s="68"/>
      <c r="E1410" s="69"/>
      <c r="F1410" s="70"/>
      <c r="G1410" s="67"/>
      <c r="H1410" s="71"/>
      <c r="I1410" s="72"/>
      <c r="J1410" s="72"/>
      <c r="K1410" s="36"/>
      <c r="L1410" s="79"/>
      <c r="M1410" s="79"/>
      <c r="N1410" s="74"/>
      <c r="O1410" s="81" t="s">
        <v>693</v>
      </c>
      <c r="P1410" s="83">
        <v>44465.883900462963</v>
      </c>
      <c r="Q1410" s="81" t="s">
        <v>5505</v>
      </c>
      <c r="R1410" s="81"/>
      <c r="S1410" s="81"/>
      <c r="T1410" s="81"/>
      <c r="U1410" s="81"/>
      <c r="V1410" s="84" t="str">
        <f>HYPERLINK("https://pbs.twimg.com/profile_images/1323075802267865093/F0Ci6AoD_normal.jpg")</f>
        <v>https://pbs.twimg.com/profile_images/1323075802267865093/F0Ci6AoD_normal.jpg</v>
      </c>
      <c r="W1410" s="83">
        <v>44465.883900462963</v>
      </c>
      <c r="X1410" s="89">
        <v>44465</v>
      </c>
      <c r="Y1410" s="86" t="s">
        <v>6371</v>
      </c>
      <c r="Z1410" s="84" t="str">
        <f>HYPERLINK("https://twitter.com/oleomorato/status/1442235736581976065")</f>
        <v>https://twitter.com/oleomorato/status/1442235736581976065</v>
      </c>
      <c r="AA1410" s="81"/>
      <c r="AB1410" s="81"/>
      <c r="AC1410" s="86" t="s">
        <v>7286</v>
      </c>
      <c r="AD1410" s="81"/>
      <c r="AE1410" s="81" t="b">
        <v>0</v>
      </c>
      <c r="AF1410" s="81">
        <v>0</v>
      </c>
      <c r="AG1410" s="86" t="s">
        <v>2084</v>
      </c>
      <c r="AH1410" s="81" t="b">
        <v>0</v>
      </c>
      <c r="AI1410" s="81" t="s">
        <v>2171</v>
      </c>
      <c r="AJ1410" s="81"/>
      <c r="AK1410" s="86" t="s">
        <v>2084</v>
      </c>
      <c r="AL1410" s="81" t="b">
        <v>0</v>
      </c>
      <c r="AM1410" s="81">
        <v>255</v>
      </c>
      <c r="AN1410" s="86" t="s">
        <v>7543</v>
      </c>
      <c r="AO1410" s="86" t="s">
        <v>2178</v>
      </c>
      <c r="AP1410" s="81" t="b">
        <v>0</v>
      </c>
      <c r="AQ1410" s="86" t="s">
        <v>7543</v>
      </c>
      <c r="AR1410" s="81" t="s">
        <v>179</v>
      </c>
      <c r="AS1410" s="81">
        <v>0</v>
      </c>
      <c r="AT1410" s="81">
        <v>0</v>
      </c>
      <c r="AU1410" s="81"/>
      <c r="AV1410" s="81"/>
      <c r="AW1410" s="81"/>
      <c r="AX1410" s="81"/>
      <c r="AY1410" s="81"/>
      <c r="AZ1410" s="81"/>
      <c r="BA1410" s="81"/>
      <c r="BB1410" s="81"/>
    </row>
    <row r="1411" spans="1:54" x14ac:dyDescent="0.35">
      <c r="A1411" s="66" t="s">
        <v>4727</v>
      </c>
      <c r="B1411" s="66" t="s">
        <v>4944</v>
      </c>
      <c r="C1411" s="67"/>
      <c r="D1411" s="68"/>
      <c r="E1411" s="69"/>
      <c r="F1411" s="70"/>
      <c r="G1411" s="67"/>
      <c r="H1411" s="71"/>
      <c r="I1411" s="72"/>
      <c r="J1411" s="72"/>
      <c r="K1411" s="36"/>
      <c r="L1411" s="79"/>
      <c r="M1411" s="79"/>
      <c r="N1411" s="74"/>
      <c r="O1411" s="81" t="s">
        <v>693</v>
      </c>
      <c r="P1411" s="83">
        <v>44465.886250000003</v>
      </c>
      <c r="Q1411" s="81" t="s">
        <v>5505</v>
      </c>
      <c r="R1411" s="81"/>
      <c r="S1411" s="81"/>
      <c r="T1411" s="81"/>
      <c r="U1411" s="81"/>
      <c r="V1411" s="84" t="str">
        <f>HYPERLINK("https://pbs.twimg.com/profile_images/1109472870810423296/9KYWDUQt_normal.jpg")</f>
        <v>https://pbs.twimg.com/profile_images/1109472870810423296/9KYWDUQt_normal.jpg</v>
      </c>
      <c r="W1411" s="83">
        <v>44465.886250000003</v>
      </c>
      <c r="X1411" s="89">
        <v>44465</v>
      </c>
      <c r="Y1411" s="86" t="s">
        <v>6372</v>
      </c>
      <c r="Z1411" s="84" t="str">
        <f>HYPERLINK("https://twitter.com/quelemem1908/status/1442236586951729159")</f>
        <v>https://twitter.com/quelemem1908/status/1442236586951729159</v>
      </c>
      <c r="AA1411" s="81"/>
      <c r="AB1411" s="81"/>
      <c r="AC1411" s="86" t="s">
        <v>7287</v>
      </c>
      <c r="AD1411" s="81"/>
      <c r="AE1411" s="81" t="b">
        <v>0</v>
      </c>
      <c r="AF1411" s="81">
        <v>0</v>
      </c>
      <c r="AG1411" s="86" t="s">
        <v>2084</v>
      </c>
      <c r="AH1411" s="81" t="b">
        <v>0</v>
      </c>
      <c r="AI1411" s="81" t="s">
        <v>2171</v>
      </c>
      <c r="AJ1411" s="81"/>
      <c r="AK1411" s="86" t="s">
        <v>2084</v>
      </c>
      <c r="AL1411" s="81" t="b">
        <v>0</v>
      </c>
      <c r="AM1411" s="81">
        <v>255</v>
      </c>
      <c r="AN1411" s="86" t="s">
        <v>7543</v>
      </c>
      <c r="AO1411" s="86" t="s">
        <v>2178</v>
      </c>
      <c r="AP1411" s="81" t="b">
        <v>0</v>
      </c>
      <c r="AQ1411" s="86" t="s">
        <v>7543</v>
      </c>
      <c r="AR1411" s="81" t="s">
        <v>179</v>
      </c>
      <c r="AS1411" s="81">
        <v>0</v>
      </c>
      <c r="AT1411" s="81">
        <v>0</v>
      </c>
      <c r="AU1411" s="81"/>
      <c r="AV1411" s="81"/>
      <c r="AW1411" s="81"/>
      <c r="AX1411" s="81"/>
      <c r="AY1411" s="81"/>
      <c r="AZ1411" s="81"/>
      <c r="BA1411" s="81"/>
      <c r="BB1411" s="81"/>
    </row>
    <row r="1412" spans="1:54" x14ac:dyDescent="0.35">
      <c r="A1412" s="66" t="s">
        <v>4728</v>
      </c>
      <c r="B1412" s="66" t="s">
        <v>4944</v>
      </c>
      <c r="C1412" s="67"/>
      <c r="D1412" s="68"/>
      <c r="E1412" s="69"/>
      <c r="F1412" s="70"/>
      <c r="G1412" s="67"/>
      <c r="H1412" s="71"/>
      <c r="I1412" s="72"/>
      <c r="J1412" s="72"/>
      <c r="K1412" s="36"/>
      <c r="L1412" s="79"/>
      <c r="M1412" s="79"/>
      <c r="N1412" s="74"/>
      <c r="O1412" s="81" t="s">
        <v>693</v>
      </c>
      <c r="P1412" s="83">
        <v>44465.889120370368</v>
      </c>
      <c r="Q1412" s="81" t="s">
        <v>5505</v>
      </c>
      <c r="R1412" s="81"/>
      <c r="S1412" s="81"/>
      <c r="T1412" s="81"/>
      <c r="U1412" s="81"/>
      <c r="V1412" s="84" t="str">
        <f>HYPERLINK("https://pbs.twimg.com/profile_images/1433557216703901709/Ztsl1llC_normal.jpg")</f>
        <v>https://pbs.twimg.com/profile_images/1433557216703901709/Ztsl1llC_normal.jpg</v>
      </c>
      <c r="W1412" s="83">
        <v>44465.889120370368</v>
      </c>
      <c r="X1412" s="89">
        <v>44465</v>
      </c>
      <c r="Y1412" s="86" t="s">
        <v>6373</v>
      </c>
      <c r="Z1412" s="84" t="str">
        <f>HYPERLINK("https://twitter.com/manudenora/status/1442237626879123457")</f>
        <v>https://twitter.com/manudenora/status/1442237626879123457</v>
      </c>
      <c r="AA1412" s="81"/>
      <c r="AB1412" s="81"/>
      <c r="AC1412" s="86" t="s">
        <v>7288</v>
      </c>
      <c r="AD1412" s="81"/>
      <c r="AE1412" s="81" t="b">
        <v>0</v>
      </c>
      <c r="AF1412" s="81">
        <v>0</v>
      </c>
      <c r="AG1412" s="86" t="s">
        <v>2084</v>
      </c>
      <c r="AH1412" s="81" t="b">
        <v>0</v>
      </c>
      <c r="AI1412" s="81" t="s">
        <v>2171</v>
      </c>
      <c r="AJ1412" s="81"/>
      <c r="AK1412" s="86" t="s">
        <v>2084</v>
      </c>
      <c r="AL1412" s="81" t="b">
        <v>0</v>
      </c>
      <c r="AM1412" s="81">
        <v>255</v>
      </c>
      <c r="AN1412" s="86" t="s">
        <v>7543</v>
      </c>
      <c r="AO1412" s="86" t="s">
        <v>2179</v>
      </c>
      <c r="AP1412" s="81" t="b">
        <v>0</v>
      </c>
      <c r="AQ1412" s="86" t="s">
        <v>7543</v>
      </c>
      <c r="AR1412" s="81" t="s">
        <v>179</v>
      </c>
      <c r="AS1412" s="81">
        <v>0</v>
      </c>
      <c r="AT1412" s="81">
        <v>0</v>
      </c>
      <c r="AU1412" s="81"/>
      <c r="AV1412" s="81"/>
      <c r="AW1412" s="81"/>
      <c r="AX1412" s="81"/>
      <c r="AY1412" s="81"/>
      <c r="AZ1412" s="81"/>
      <c r="BA1412" s="81"/>
      <c r="BB1412" s="81"/>
    </row>
    <row r="1413" spans="1:54" x14ac:dyDescent="0.35">
      <c r="A1413" s="66" t="s">
        <v>4729</v>
      </c>
      <c r="B1413" s="66" t="s">
        <v>4944</v>
      </c>
      <c r="C1413" s="67"/>
      <c r="D1413" s="68"/>
      <c r="E1413" s="69"/>
      <c r="F1413" s="70"/>
      <c r="G1413" s="67"/>
      <c r="H1413" s="71"/>
      <c r="I1413" s="72"/>
      <c r="J1413" s="72"/>
      <c r="K1413" s="36"/>
      <c r="L1413" s="79"/>
      <c r="M1413" s="79"/>
      <c r="N1413" s="74"/>
      <c r="O1413" s="81" t="s">
        <v>693</v>
      </c>
      <c r="P1413" s="83">
        <v>44465.893645833334</v>
      </c>
      <c r="Q1413" s="81" t="s">
        <v>5505</v>
      </c>
      <c r="R1413" s="81"/>
      <c r="S1413" s="81"/>
      <c r="T1413" s="81"/>
      <c r="U1413" s="81"/>
      <c r="V1413" s="84" t="str">
        <f>HYPERLINK("https://pbs.twimg.com/profile_images/1442175986829647872/CbH3rdH8_normal.jpg")</f>
        <v>https://pbs.twimg.com/profile_images/1442175986829647872/CbH3rdH8_normal.jpg</v>
      </c>
      <c r="W1413" s="83">
        <v>44465.893645833334</v>
      </c>
      <c r="X1413" s="89">
        <v>44465</v>
      </c>
      <c r="Y1413" s="86" t="s">
        <v>6374</v>
      </c>
      <c r="Z1413" s="84" t="str">
        <f>HYPERLINK("https://twitter.com/tuiterdomarvin/status/1442239267736932361")</f>
        <v>https://twitter.com/tuiterdomarvin/status/1442239267736932361</v>
      </c>
      <c r="AA1413" s="81"/>
      <c r="AB1413" s="81"/>
      <c r="AC1413" s="86" t="s">
        <v>7289</v>
      </c>
      <c r="AD1413" s="81"/>
      <c r="AE1413" s="81" t="b">
        <v>0</v>
      </c>
      <c r="AF1413" s="81">
        <v>0</v>
      </c>
      <c r="AG1413" s="86" t="s">
        <v>2084</v>
      </c>
      <c r="AH1413" s="81" t="b">
        <v>0</v>
      </c>
      <c r="AI1413" s="81" t="s">
        <v>2171</v>
      </c>
      <c r="AJ1413" s="81"/>
      <c r="AK1413" s="86" t="s">
        <v>2084</v>
      </c>
      <c r="AL1413" s="81" t="b">
        <v>0</v>
      </c>
      <c r="AM1413" s="81">
        <v>255</v>
      </c>
      <c r="AN1413" s="86" t="s">
        <v>7543</v>
      </c>
      <c r="AO1413" s="86" t="s">
        <v>2178</v>
      </c>
      <c r="AP1413" s="81" t="b">
        <v>0</v>
      </c>
      <c r="AQ1413" s="86" t="s">
        <v>7543</v>
      </c>
      <c r="AR1413" s="81" t="s">
        <v>179</v>
      </c>
      <c r="AS1413" s="81">
        <v>0</v>
      </c>
      <c r="AT1413" s="81">
        <v>0</v>
      </c>
      <c r="AU1413" s="81"/>
      <c r="AV1413" s="81"/>
      <c r="AW1413" s="81"/>
      <c r="AX1413" s="81"/>
      <c r="AY1413" s="81"/>
      <c r="AZ1413" s="81"/>
      <c r="BA1413" s="81"/>
      <c r="BB1413" s="81"/>
    </row>
    <row r="1414" spans="1:54" x14ac:dyDescent="0.35">
      <c r="A1414" s="66" t="s">
        <v>4730</v>
      </c>
      <c r="B1414" s="66" t="s">
        <v>4944</v>
      </c>
      <c r="C1414" s="67"/>
      <c r="D1414" s="68"/>
      <c r="E1414" s="69"/>
      <c r="F1414" s="70"/>
      <c r="G1414" s="67"/>
      <c r="H1414" s="71"/>
      <c r="I1414" s="72"/>
      <c r="J1414" s="72"/>
      <c r="K1414" s="36"/>
      <c r="L1414" s="79"/>
      <c r="M1414" s="79"/>
      <c r="N1414" s="74"/>
      <c r="O1414" s="81" t="s">
        <v>693</v>
      </c>
      <c r="P1414" s="83">
        <v>44465.894780092596</v>
      </c>
      <c r="Q1414" s="81" t="s">
        <v>5505</v>
      </c>
      <c r="R1414" s="81"/>
      <c r="S1414" s="81"/>
      <c r="T1414" s="81"/>
      <c r="U1414" s="81"/>
      <c r="V1414" s="84" t="str">
        <f>HYPERLINK("https://pbs.twimg.com/profile_images/1624675518/DSC00446c_normal.JPG")</f>
        <v>https://pbs.twimg.com/profile_images/1624675518/DSC00446c_normal.JPG</v>
      </c>
      <c r="W1414" s="83">
        <v>44465.894780092596</v>
      </c>
      <c r="X1414" s="89">
        <v>44465</v>
      </c>
      <c r="Y1414" s="86" t="s">
        <v>6375</v>
      </c>
      <c r="Z1414" s="84" t="str">
        <f>HYPERLINK("https://twitter.com/osmagna/status/1442239680326422529")</f>
        <v>https://twitter.com/osmagna/status/1442239680326422529</v>
      </c>
      <c r="AA1414" s="81"/>
      <c r="AB1414" s="81"/>
      <c r="AC1414" s="86" t="s">
        <v>7290</v>
      </c>
      <c r="AD1414" s="81"/>
      <c r="AE1414" s="81" t="b">
        <v>0</v>
      </c>
      <c r="AF1414" s="81">
        <v>0</v>
      </c>
      <c r="AG1414" s="86" t="s">
        <v>2084</v>
      </c>
      <c r="AH1414" s="81" t="b">
        <v>0</v>
      </c>
      <c r="AI1414" s="81" t="s">
        <v>2171</v>
      </c>
      <c r="AJ1414" s="81"/>
      <c r="AK1414" s="86" t="s">
        <v>2084</v>
      </c>
      <c r="AL1414" s="81" t="b">
        <v>0</v>
      </c>
      <c r="AM1414" s="81">
        <v>255</v>
      </c>
      <c r="AN1414" s="86" t="s">
        <v>7543</v>
      </c>
      <c r="AO1414" s="86" t="s">
        <v>2178</v>
      </c>
      <c r="AP1414" s="81" t="b">
        <v>0</v>
      </c>
      <c r="AQ1414" s="86" t="s">
        <v>7543</v>
      </c>
      <c r="AR1414" s="81" t="s">
        <v>179</v>
      </c>
      <c r="AS1414" s="81">
        <v>0</v>
      </c>
      <c r="AT1414" s="81">
        <v>0</v>
      </c>
      <c r="AU1414" s="81"/>
      <c r="AV1414" s="81"/>
      <c r="AW1414" s="81"/>
      <c r="AX1414" s="81"/>
      <c r="AY1414" s="81"/>
      <c r="AZ1414" s="81"/>
      <c r="BA1414" s="81"/>
      <c r="BB1414" s="81"/>
    </row>
    <row r="1415" spans="1:54" x14ac:dyDescent="0.35">
      <c r="A1415" s="66" t="s">
        <v>4731</v>
      </c>
      <c r="B1415" s="66" t="s">
        <v>4944</v>
      </c>
      <c r="C1415" s="67"/>
      <c r="D1415" s="68"/>
      <c r="E1415" s="69"/>
      <c r="F1415" s="70"/>
      <c r="G1415" s="67"/>
      <c r="H1415" s="71"/>
      <c r="I1415" s="72"/>
      <c r="J1415" s="72"/>
      <c r="K1415" s="36"/>
      <c r="L1415" s="79"/>
      <c r="M1415" s="79"/>
      <c r="N1415" s="74"/>
      <c r="O1415" s="81" t="s">
        <v>693</v>
      </c>
      <c r="P1415" s="83">
        <v>44465.898125</v>
      </c>
      <c r="Q1415" s="81" t="s">
        <v>5505</v>
      </c>
      <c r="R1415" s="81"/>
      <c r="S1415" s="81"/>
      <c r="T1415" s="81"/>
      <c r="U1415" s="81"/>
      <c r="V1415" s="84" t="str">
        <f>HYPERLINK("https://pbs.twimg.com/profile_images/1395162614792081408/Up84B9qy_normal.jpg")</f>
        <v>https://pbs.twimg.com/profile_images/1395162614792081408/Up84B9qy_normal.jpg</v>
      </c>
      <c r="W1415" s="83">
        <v>44465.898125</v>
      </c>
      <c r="X1415" s="89">
        <v>44465</v>
      </c>
      <c r="Y1415" s="86" t="s">
        <v>6376</v>
      </c>
      <c r="Z1415" s="84" t="str">
        <f>HYPERLINK("https://twitter.com/fabiosoares0/status/1442240889821220864")</f>
        <v>https://twitter.com/fabiosoares0/status/1442240889821220864</v>
      </c>
      <c r="AA1415" s="81"/>
      <c r="AB1415" s="81"/>
      <c r="AC1415" s="86" t="s">
        <v>7291</v>
      </c>
      <c r="AD1415" s="81"/>
      <c r="AE1415" s="81" t="b">
        <v>0</v>
      </c>
      <c r="AF1415" s="81">
        <v>0</v>
      </c>
      <c r="AG1415" s="86" t="s">
        <v>2084</v>
      </c>
      <c r="AH1415" s="81" t="b">
        <v>0</v>
      </c>
      <c r="AI1415" s="81" t="s">
        <v>2171</v>
      </c>
      <c r="AJ1415" s="81"/>
      <c r="AK1415" s="86" t="s">
        <v>2084</v>
      </c>
      <c r="AL1415" s="81" t="b">
        <v>0</v>
      </c>
      <c r="AM1415" s="81">
        <v>255</v>
      </c>
      <c r="AN1415" s="86" t="s">
        <v>7543</v>
      </c>
      <c r="AO1415" s="86" t="s">
        <v>2179</v>
      </c>
      <c r="AP1415" s="81" t="b">
        <v>0</v>
      </c>
      <c r="AQ1415" s="86" t="s">
        <v>7543</v>
      </c>
      <c r="AR1415" s="81" t="s">
        <v>179</v>
      </c>
      <c r="AS1415" s="81">
        <v>0</v>
      </c>
      <c r="AT1415" s="81">
        <v>0</v>
      </c>
      <c r="AU1415" s="81"/>
      <c r="AV1415" s="81"/>
      <c r="AW1415" s="81"/>
      <c r="AX1415" s="81"/>
      <c r="AY1415" s="81"/>
      <c r="AZ1415" s="81"/>
      <c r="BA1415" s="81"/>
      <c r="BB1415" s="81"/>
    </row>
    <row r="1416" spans="1:54" x14ac:dyDescent="0.35">
      <c r="A1416" s="66" t="s">
        <v>4732</v>
      </c>
      <c r="B1416" s="66" t="s">
        <v>4944</v>
      </c>
      <c r="C1416" s="67"/>
      <c r="D1416" s="68"/>
      <c r="E1416" s="69"/>
      <c r="F1416" s="70"/>
      <c r="G1416" s="67"/>
      <c r="H1416" s="71"/>
      <c r="I1416" s="72"/>
      <c r="J1416" s="72"/>
      <c r="K1416" s="36"/>
      <c r="L1416" s="79"/>
      <c r="M1416" s="79"/>
      <c r="N1416" s="74"/>
      <c r="O1416" s="81" t="s">
        <v>693</v>
      </c>
      <c r="P1416" s="83">
        <v>44465.899965277778</v>
      </c>
      <c r="Q1416" s="81" t="s">
        <v>5505</v>
      </c>
      <c r="R1416" s="81"/>
      <c r="S1416" s="81"/>
      <c r="T1416" s="81"/>
      <c r="U1416" s="81"/>
      <c r="V1416" s="84" t="str">
        <f>HYPERLINK("https://pbs.twimg.com/profile_images/1419318991366103042/cgKnLHLm_normal.jpg")</f>
        <v>https://pbs.twimg.com/profile_images/1419318991366103042/cgKnLHLm_normal.jpg</v>
      </c>
      <c r="W1416" s="83">
        <v>44465.899965277778</v>
      </c>
      <c r="X1416" s="89">
        <v>44465</v>
      </c>
      <c r="Y1416" s="86" t="s">
        <v>6377</v>
      </c>
      <c r="Z1416" s="84" t="str">
        <f>HYPERLINK("https://twitter.com/larissnacif/status/1442241558372290565")</f>
        <v>https://twitter.com/larissnacif/status/1442241558372290565</v>
      </c>
      <c r="AA1416" s="81"/>
      <c r="AB1416" s="81"/>
      <c r="AC1416" s="86" t="s">
        <v>7292</v>
      </c>
      <c r="AD1416" s="81"/>
      <c r="AE1416" s="81" t="b">
        <v>0</v>
      </c>
      <c r="AF1416" s="81">
        <v>0</v>
      </c>
      <c r="AG1416" s="86" t="s">
        <v>2084</v>
      </c>
      <c r="AH1416" s="81" t="b">
        <v>0</v>
      </c>
      <c r="AI1416" s="81" t="s">
        <v>2171</v>
      </c>
      <c r="AJ1416" s="81"/>
      <c r="AK1416" s="86" t="s">
        <v>2084</v>
      </c>
      <c r="AL1416" s="81" t="b">
        <v>0</v>
      </c>
      <c r="AM1416" s="81">
        <v>255</v>
      </c>
      <c r="AN1416" s="86" t="s">
        <v>7543</v>
      </c>
      <c r="AO1416" s="86" t="s">
        <v>2179</v>
      </c>
      <c r="AP1416" s="81" t="b">
        <v>0</v>
      </c>
      <c r="AQ1416" s="86" t="s">
        <v>7543</v>
      </c>
      <c r="AR1416" s="81" t="s">
        <v>179</v>
      </c>
      <c r="AS1416" s="81">
        <v>0</v>
      </c>
      <c r="AT1416" s="81">
        <v>0</v>
      </c>
      <c r="AU1416" s="81"/>
      <c r="AV1416" s="81"/>
      <c r="AW1416" s="81"/>
      <c r="AX1416" s="81"/>
      <c r="AY1416" s="81"/>
      <c r="AZ1416" s="81"/>
      <c r="BA1416" s="81"/>
      <c r="BB1416" s="81"/>
    </row>
    <row r="1417" spans="1:54" x14ac:dyDescent="0.35">
      <c r="A1417" s="66" t="s">
        <v>4733</v>
      </c>
      <c r="B1417" s="66" t="s">
        <v>4944</v>
      </c>
      <c r="C1417" s="67"/>
      <c r="D1417" s="68"/>
      <c r="E1417" s="69"/>
      <c r="F1417" s="70"/>
      <c r="G1417" s="67"/>
      <c r="H1417" s="71"/>
      <c r="I1417" s="72"/>
      <c r="J1417" s="72"/>
      <c r="K1417" s="36"/>
      <c r="L1417" s="79"/>
      <c r="M1417" s="79"/>
      <c r="N1417" s="74"/>
      <c r="O1417" s="81" t="s">
        <v>693</v>
      </c>
      <c r="P1417" s="83">
        <v>44465.908738425926</v>
      </c>
      <c r="Q1417" s="81" t="s">
        <v>5505</v>
      </c>
      <c r="R1417" s="81"/>
      <c r="S1417" s="81"/>
      <c r="T1417" s="81"/>
      <c r="U1417" s="81"/>
      <c r="V1417" s="84" t="str">
        <f>HYPERLINK("https://pbs.twimg.com/profile_images/1437914092875001862/fsoRujZt_normal.jpg")</f>
        <v>https://pbs.twimg.com/profile_images/1437914092875001862/fsoRujZt_normal.jpg</v>
      </c>
      <c r="W1417" s="83">
        <v>44465.908738425926</v>
      </c>
      <c r="X1417" s="89">
        <v>44465</v>
      </c>
      <c r="Y1417" s="86" t="s">
        <v>6378</v>
      </c>
      <c r="Z1417" s="84" t="str">
        <f>HYPERLINK("https://twitter.com/geraldodelfim/status/1442244735133913090")</f>
        <v>https://twitter.com/geraldodelfim/status/1442244735133913090</v>
      </c>
      <c r="AA1417" s="81"/>
      <c r="AB1417" s="81"/>
      <c r="AC1417" s="86" t="s">
        <v>7293</v>
      </c>
      <c r="AD1417" s="81"/>
      <c r="AE1417" s="81" t="b">
        <v>0</v>
      </c>
      <c r="AF1417" s="81">
        <v>0</v>
      </c>
      <c r="AG1417" s="86" t="s">
        <v>2084</v>
      </c>
      <c r="AH1417" s="81" t="b">
        <v>0</v>
      </c>
      <c r="AI1417" s="81" t="s">
        <v>2171</v>
      </c>
      <c r="AJ1417" s="81"/>
      <c r="AK1417" s="86" t="s">
        <v>2084</v>
      </c>
      <c r="AL1417" s="81" t="b">
        <v>0</v>
      </c>
      <c r="AM1417" s="81">
        <v>255</v>
      </c>
      <c r="AN1417" s="86" t="s">
        <v>7543</v>
      </c>
      <c r="AO1417" s="86" t="s">
        <v>2178</v>
      </c>
      <c r="AP1417" s="81" t="b">
        <v>0</v>
      </c>
      <c r="AQ1417" s="86" t="s">
        <v>7543</v>
      </c>
      <c r="AR1417" s="81" t="s">
        <v>179</v>
      </c>
      <c r="AS1417" s="81">
        <v>0</v>
      </c>
      <c r="AT1417" s="81">
        <v>0</v>
      </c>
      <c r="AU1417" s="81"/>
      <c r="AV1417" s="81"/>
      <c r="AW1417" s="81"/>
      <c r="AX1417" s="81"/>
      <c r="AY1417" s="81"/>
      <c r="AZ1417" s="81"/>
      <c r="BA1417" s="81"/>
      <c r="BB1417" s="81"/>
    </row>
    <row r="1418" spans="1:54" x14ac:dyDescent="0.35">
      <c r="A1418" s="66" t="s">
        <v>4734</v>
      </c>
      <c r="B1418" s="66" t="s">
        <v>4944</v>
      </c>
      <c r="C1418" s="67"/>
      <c r="D1418" s="68"/>
      <c r="E1418" s="69"/>
      <c r="F1418" s="70"/>
      <c r="G1418" s="67"/>
      <c r="H1418" s="71"/>
      <c r="I1418" s="72"/>
      <c r="J1418" s="72"/>
      <c r="K1418" s="36"/>
      <c r="L1418" s="79"/>
      <c r="M1418" s="79"/>
      <c r="N1418" s="74"/>
      <c r="O1418" s="81" t="s">
        <v>693</v>
      </c>
      <c r="P1418" s="83">
        <v>44465.909907407404</v>
      </c>
      <c r="Q1418" s="81" t="s">
        <v>5505</v>
      </c>
      <c r="R1418" s="81"/>
      <c r="S1418" s="81"/>
      <c r="T1418" s="81"/>
      <c r="U1418" s="81"/>
      <c r="V1418" s="84" t="str">
        <f>HYPERLINK("https://pbs.twimg.com/profile_images/922271461276086272/84dcnweF_normal.jpg")</f>
        <v>https://pbs.twimg.com/profile_images/922271461276086272/84dcnweF_normal.jpg</v>
      </c>
      <c r="W1418" s="83">
        <v>44465.909907407404</v>
      </c>
      <c r="X1418" s="89">
        <v>44465</v>
      </c>
      <c r="Y1418" s="86" t="s">
        <v>6379</v>
      </c>
      <c r="Z1418" s="84" t="str">
        <f>HYPERLINK("https://twitter.com/artista_fran/status/1442245159496921097")</f>
        <v>https://twitter.com/artista_fran/status/1442245159496921097</v>
      </c>
      <c r="AA1418" s="81"/>
      <c r="AB1418" s="81"/>
      <c r="AC1418" s="86" t="s">
        <v>7294</v>
      </c>
      <c r="AD1418" s="81"/>
      <c r="AE1418" s="81" t="b">
        <v>0</v>
      </c>
      <c r="AF1418" s="81">
        <v>0</v>
      </c>
      <c r="AG1418" s="86" t="s">
        <v>2084</v>
      </c>
      <c r="AH1418" s="81" t="b">
        <v>0</v>
      </c>
      <c r="AI1418" s="81" t="s">
        <v>2171</v>
      </c>
      <c r="AJ1418" s="81"/>
      <c r="AK1418" s="86" t="s">
        <v>2084</v>
      </c>
      <c r="AL1418" s="81" t="b">
        <v>0</v>
      </c>
      <c r="AM1418" s="81">
        <v>255</v>
      </c>
      <c r="AN1418" s="86" t="s">
        <v>7543</v>
      </c>
      <c r="AO1418" s="86" t="s">
        <v>2181</v>
      </c>
      <c r="AP1418" s="81" t="b">
        <v>0</v>
      </c>
      <c r="AQ1418" s="86" t="s">
        <v>7543</v>
      </c>
      <c r="AR1418" s="81" t="s">
        <v>179</v>
      </c>
      <c r="AS1418" s="81">
        <v>0</v>
      </c>
      <c r="AT1418" s="81">
        <v>0</v>
      </c>
      <c r="AU1418" s="81"/>
      <c r="AV1418" s="81"/>
      <c r="AW1418" s="81"/>
      <c r="AX1418" s="81"/>
      <c r="AY1418" s="81"/>
      <c r="AZ1418" s="81"/>
      <c r="BA1418" s="81"/>
      <c r="BB1418" s="81"/>
    </row>
    <row r="1419" spans="1:54" x14ac:dyDescent="0.35">
      <c r="A1419" s="66" t="s">
        <v>4735</v>
      </c>
      <c r="B1419" s="66" t="s">
        <v>4944</v>
      </c>
      <c r="C1419" s="67"/>
      <c r="D1419" s="68"/>
      <c r="E1419" s="69"/>
      <c r="F1419" s="70"/>
      <c r="G1419" s="67"/>
      <c r="H1419" s="71"/>
      <c r="I1419" s="72"/>
      <c r="J1419" s="72"/>
      <c r="K1419" s="36"/>
      <c r="L1419" s="79"/>
      <c r="M1419" s="79"/>
      <c r="N1419" s="74"/>
      <c r="O1419" s="81" t="s">
        <v>693</v>
      </c>
      <c r="P1419" s="83">
        <v>44465.918969907405</v>
      </c>
      <c r="Q1419" s="81" t="s">
        <v>5505</v>
      </c>
      <c r="R1419" s="81"/>
      <c r="S1419" s="81"/>
      <c r="T1419" s="81"/>
      <c r="U1419" s="81"/>
      <c r="V1419" s="84" t="str">
        <f>HYPERLINK("https://pbs.twimg.com/profile_images/1260265868585566208/YViFKIq0_normal.jpg")</f>
        <v>https://pbs.twimg.com/profile_images/1260265868585566208/YViFKIq0_normal.jpg</v>
      </c>
      <c r="W1419" s="83">
        <v>44465.918969907405</v>
      </c>
      <c r="X1419" s="89">
        <v>44465</v>
      </c>
      <c r="Y1419" s="86" t="s">
        <v>6380</v>
      </c>
      <c r="Z1419" s="84" t="str">
        <f>HYPERLINK("https://twitter.com/antniod22914115/status/1442248444643446786")</f>
        <v>https://twitter.com/antniod22914115/status/1442248444643446786</v>
      </c>
      <c r="AA1419" s="81"/>
      <c r="AB1419" s="81"/>
      <c r="AC1419" s="86" t="s">
        <v>7295</v>
      </c>
      <c r="AD1419" s="81"/>
      <c r="AE1419" s="81" t="b">
        <v>0</v>
      </c>
      <c r="AF1419" s="81">
        <v>0</v>
      </c>
      <c r="AG1419" s="86" t="s">
        <v>2084</v>
      </c>
      <c r="AH1419" s="81" t="b">
        <v>0</v>
      </c>
      <c r="AI1419" s="81" t="s">
        <v>2171</v>
      </c>
      <c r="AJ1419" s="81"/>
      <c r="AK1419" s="86" t="s">
        <v>2084</v>
      </c>
      <c r="AL1419" s="81" t="b">
        <v>0</v>
      </c>
      <c r="AM1419" s="81">
        <v>255</v>
      </c>
      <c r="AN1419" s="86" t="s">
        <v>7543</v>
      </c>
      <c r="AO1419" s="86" t="s">
        <v>2178</v>
      </c>
      <c r="AP1419" s="81" t="b">
        <v>0</v>
      </c>
      <c r="AQ1419" s="86" t="s">
        <v>7543</v>
      </c>
      <c r="AR1419" s="81" t="s">
        <v>179</v>
      </c>
      <c r="AS1419" s="81">
        <v>0</v>
      </c>
      <c r="AT1419" s="81">
        <v>0</v>
      </c>
      <c r="AU1419" s="81"/>
      <c r="AV1419" s="81"/>
      <c r="AW1419" s="81"/>
      <c r="AX1419" s="81"/>
      <c r="AY1419" s="81"/>
      <c r="AZ1419" s="81"/>
      <c r="BA1419" s="81"/>
      <c r="BB1419" s="81"/>
    </row>
    <row r="1420" spans="1:54" x14ac:dyDescent="0.35">
      <c r="A1420" s="66" t="s">
        <v>4736</v>
      </c>
      <c r="B1420" s="66" t="s">
        <v>4944</v>
      </c>
      <c r="C1420" s="67"/>
      <c r="D1420" s="68"/>
      <c r="E1420" s="69"/>
      <c r="F1420" s="70"/>
      <c r="G1420" s="67"/>
      <c r="H1420" s="71"/>
      <c r="I1420" s="72"/>
      <c r="J1420" s="72"/>
      <c r="K1420" s="36"/>
      <c r="L1420" s="79"/>
      <c r="M1420" s="79"/>
      <c r="N1420" s="74"/>
      <c r="O1420" s="81" t="s">
        <v>693</v>
      </c>
      <c r="P1420" s="83">
        <v>44465.921215277776</v>
      </c>
      <c r="Q1420" s="81" t="s">
        <v>5505</v>
      </c>
      <c r="R1420" s="81"/>
      <c r="S1420" s="81"/>
      <c r="T1420" s="81"/>
      <c r="U1420" s="81"/>
      <c r="V1420" s="84" t="str">
        <f>HYPERLINK("https://pbs.twimg.com/profile_images/1442284936292089856/F0naYNDo_normal.jpg")</f>
        <v>https://pbs.twimg.com/profile_images/1442284936292089856/F0naYNDo_normal.jpg</v>
      </c>
      <c r="W1420" s="83">
        <v>44465.921215277776</v>
      </c>
      <c r="X1420" s="89">
        <v>44465</v>
      </c>
      <c r="Y1420" s="86" t="s">
        <v>6381</v>
      </c>
      <c r="Z1420" s="84" t="str">
        <f>HYPERLINK("https://twitter.com/pavulagem__/status/1442249256484708352")</f>
        <v>https://twitter.com/pavulagem__/status/1442249256484708352</v>
      </c>
      <c r="AA1420" s="81"/>
      <c r="AB1420" s="81"/>
      <c r="AC1420" s="86" t="s">
        <v>7296</v>
      </c>
      <c r="AD1420" s="81"/>
      <c r="AE1420" s="81" t="b">
        <v>0</v>
      </c>
      <c r="AF1420" s="81">
        <v>0</v>
      </c>
      <c r="AG1420" s="86" t="s">
        <v>2084</v>
      </c>
      <c r="AH1420" s="81" t="b">
        <v>0</v>
      </c>
      <c r="AI1420" s="81" t="s">
        <v>2171</v>
      </c>
      <c r="AJ1420" s="81"/>
      <c r="AK1420" s="86" t="s">
        <v>2084</v>
      </c>
      <c r="AL1420" s="81" t="b">
        <v>0</v>
      </c>
      <c r="AM1420" s="81">
        <v>255</v>
      </c>
      <c r="AN1420" s="86" t="s">
        <v>7543</v>
      </c>
      <c r="AO1420" s="86" t="s">
        <v>2178</v>
      </c>
      <c r="AP1420" s="81" t="b">
        <v>0</v>
      </c>
      <c r="AQ1420" s="86" t="s">
        <v>7543</v>
      </c>
      <c r="AR1420" s="81" t="s">
        <v>179</v>
      </c>
      <c r="AS1420" s="81">
        <v>0</v>
      </c>
      <c r="AT1420" s="81">
        <v>0</v>
      </c>
      <c r="AU1420" s="81"/>
      <c r="AV1420" s="81"/>
      <c r="AW1420" s="81"/>
      <c r="AX1420" s="81"/>
      <c r="AY1420" s="81"/>
      <c r="AZ1420" s="81"/>
      <c r="BA1420" s="81"/>
      <c r="BB1420" s="81"/>
    </row>
    <row r="1421" spans="1:54" x14ac:dyDescent="0.35">
      <c r="A1421" s="66" t="s">
        <v>4737</v>
      </c>
      <c r="B1421" s="66" t="s">
        <v>4944</v>
      </c>
      <c r="C1421" s="67"/>
      <c r="D1421" s="68"/>
      <c r="E1421" s="69"/>
      <c r="F1421" s="70"/>
      <c r="G1421" s="67"/>
      <c r="H1421" s="71"/>
      <c r="I1421" s="72"/>
      <c r="J1421" s="72"/>
      <c r="K1421" s="36"/>
      <c r="L1421" s="79"/>
      <c r="M1421" s="79"/>
      <c r="N1421" s="74"/>
      <c r="O1421" s="81" t="s">
        <v>693</v>
      </c>
      <c r="P1421" s="83">
        <v>44465.926562499997</v>
      </c>
      <c r="Q1421" s="81" t="s">
        <v>5505</v>
      </c>
      <c r="R1421" s="81"/>
      <c r="S1421" s="81"/>
      <c r="T1421" s="81"/>
      <c r="U1421" s="81"/>
      <c r="V1421" s="84" t="str">
        <f>HYPERLINK("https://pbs.twimg.com/profile_images/1436811568851869700/qD-TzJG0_normal.jpg")</f>
        <v>https://pbs.twimg.com/profile_images/1436811568851869700/qD-TzJG0_normal.jpg</v>
      </c>
      <c r="W1421" s="83">
        <v>44465.926562499997</v>
      </c>
      <c r="X1421" s="89">
        <v>44465</v>
      </c>
      <c r="Y1421" s="86" t="s">
        <v>6382</v>
      </c>
      <c r="Z1421" s="84" t="str">
        <f>HYPERLINK("https://twitter.com/kotonoaware/status/1442251196216000514")</f>
        <v>https://twitter.com/kotonoaware/status/1442251196216000514</v>
      </c>
      <c r="AA1421" s="81"/>
      <c r="AB1421" s="81"/>
      <c r="AC1421" s="86" t="s">
        <v>7297</v>
      </c>
      <c r="AD1421" s="81"/>
      <c r="AE1421" s="81" t="b">
        <v>0</v>
      </c>
      <c r="AF1421" s="81">
        <v>0</v>
      </c>
      <c r="AG1421" s="86" t="s">
        <v>2084</v>
      </c>
      <c r="AH1421" s="81" t="b">
        <v>0</v>
      </c>
      <c r="AI1421" s="81" t="s">
        <v>2171</v>
      </c>
      <c r="AJ1421" s="81"/>
      <c r="AK1421" s="86" t="s">
        <v>2084</v>
      </c>
      <c r="AL1421" s="81" t="b">
        <v>0</v>
      </c>
      <c r="AM1421" s="81">
        <v>255</v>
      </c>
      <c r="AN1421" s="86" t="s">
        <v>7543</v>
      </c>
      <c r="AO1421" s="86" t="s">
        <v>2181</v>
      </c>
      <c r="AP1421" s="81" t="b">
        <v>0</v>
      </c>
      <c r="AQ1421" s="86" t="s">
        <v>7543</v>
      </c>
      <c r="AR1421" s="81" t="s">
        <v>179</v>
      </c>
      <c r="AS1421" s="81">
        <v>0</v>
      </c>
      <c r="AT1421" s="81">
        <v>0</v>
      </c>
      <c r="AU1421" s="81"/>
      <c r="AV1421" s="81"/>
      <c r="AW1421" s="81"/>
      <c r="AX1421" s="81"/>
      <c r="AY1421" s="81"/>
      <c r="AZ1421" s="81"/>
      <c r="BA1421" s="81"/>
      <c r="BB1421" s="81"/>
    </row>
    <row r="1422" spans="1:54" x14ac:dyDescent="0.35">
      <c r="A1422" s="66" t="s">
        <v>4738</v>
      </c>
      <c r="B1422" s="66" t="s">
        <v>5147</v>
      </c>
      <c r="C1422" s="67"/>
      <c r="D1422" s="68"/>
      <c r="E1422" s="69"/>
      <c r="F1422" s="70"/>
      <c r="G1422" s="67"/>
      <c r="H1422" s="71"/>
      <c r="I1422" s="72"/>
      <c r="J1422" s="72"/>
      <c r="K1422" s="36"/>
      <c r="L1422" s="79"/>
      <c r="M1422" s="79"/>
      <c r="N1422" s="74"/>
      <c r="O1422" s="81" t="s">
        <v>695</v>
      </c>
      <c r="P1422" s="83">
        <v>44465.930648148147</v>
      </c>
      <c r="Q1422" s="81" t="s">
        <v>5526</v>
      </c>
      <c r="R1422" s="84" t="str">
        <f>HYPERLINK("https://sas.unl.pt/alimentacao/cantina-da-faculdade-de-ciencias-sociais-e-humanas-fcsh/")</f>
        <v>https://sas.unl.pt/alimentacao/cantina-da-faculdade-de-ciencias-sociais-e-humanas-fcsh/</v>
      </c>
      <c r="S1422" s="81" t="s">
        <v>5740</v>
      </c>
      <c r="T1422" s="81"/>
      <c r="U1422" s="81"/>
      <c r="V1422" s="84" t="str">
        <f>HYPERLINK("https://pbs.twimg.com/profile_images/1394303253387612163/DZXjP_jN_normal.jpg")</f>
        <v>https://pbs.twimg.com/profile_images/1394303253387612163/DZXjP_jN_normal.jpg</v>
      </c>
      <c r="W1422" s="83">
        <v>44465.930648148147</v>
      </c>
      <c r="X1422" s="89">
        <v>44465</v>
      </c>
      <c r="Y1422" s="86" t="s">
        <v>6383</v>
      </c>
      <c r="Z1422" s="84" t="str">
        <f>HYPERLINK("https://twitter.com/strwbblipa/status/1442252676130131968")</f>
        <v>https://twitter.com/strwbblipa/status/1442252676130131968</v>
      </c>
      <c r="AA1422" s="81"/>
      <c r="AB1422" s="81"/>
      <c r="AC1422" s="86" t="s">
        <v>7298</v>
      </c>
      <c r="AD1422" s="86" t="s">
        <v>7721</v>
      </c>
      <c r="AE1422" s="81" t="b">
        <v>0</v>
      </c>
      <c r="AF1422" s="81">
        <v>0</v>
      </c>
      <c r="AG1422" s="86" t="s">
        <v>7896</v>
      </c>
      <c r="AH1422" s="81" t="b">
        <v>0</v>
      </c>
      <c r="AI1422" s="81" t="s">
        <v>2171</v>
      </c>
      <c r="AJ1422" s="81"/>
      <c r="AK1422" s="86" t="s">
        <v>2084</v>
      </c>
      <c r="AL1422" s="81" t="b">
        <v>0</v>
      </c>
      <c r="AM1422" s="81">
        <v>0</v>
      </c>
      <c r="AN1422" s="86" t="s">
        <v>2084</v>
      </c>
      <c r="AO1422" s="86" t="s">
        <v>2181</v>
      </c>
      <c r="AP1422" s="81" t="b">
        <v>0</v>
      </c>
      <c r="AQ1422" s="86" t="s">
        <v>7721</v>
      </c>
      <c r="AR1422" s="81" t="s">
        <v>179</v>
      </c>
      <c r="AS1422" s="81">
        <v>0</v>
      </c>
      <c r="AT1422" s="81">
        <v>0</v>
      </c>
      <c r="AU1422" s="81"/>
      <c r="AV1422" s="81"/>
      <c r="AW1422" s="81"/>
      <c r="AX1422" s="81"/>
      <c r="AY1422" s="81"/>
      <c r="AZ1422" s="81"/>
      <c r="BA1422" s="81"/>
      <c r="BB1422" s="81"/>
    </row>
    <row r="1423" spans="1:54" x14ac:dyDescent="0.35">
      <c r="A1423" s="66" t="s">
        <v>4739</v>
      </c>
      <c r="B1423" s="66" t="s">
        <v>4944</v>
      </c>
      <c r="C1423" s="67"/>
      <c r="D1423" s="68"/>
      <c r="E1423" s="69"/>
      <c r="F1423" s="70"/>
      <c r="G1423" s="67"/>
      <c r="H1423" s="71"/>
      <c r="I1423" s="72"/>
      <c r="J1423" s="72"/>
      <c r="K1423" s="36"/>
      <c r="L1423" s="79"/>
      <c r="M1423" s="79"/>
      <c r="N1423" s="74"/>
      <c r="O1423" s="81" t="s">
        <v>693</v>
      </c>
      <c r="P1423" s="83">
        <v>44465.936215277776</v>
      </c>
      <c r="Q1423" s="81" t="s">
        <v>5505</v>
      </c>
      <c r="R1423" s="81"/>
      <c r="S1423" s="81"/>
      <c r="T1423" s="81"/>
      <c r="U1423" s="81"/>
      <c r="V1423" s="84" t="str">
        <f>HYPERLINK("https://pbs.twimg.com/profile_images/1361700392053182464/-y8tU1sx_normal.jpg")</f>
        <v>https://pbs.twimg.com/profile_images/1361700392053182464/-y8tU1sx_normal.jpg</v>
      </c>
      <c r="W1423" s="83">
        <v>44465.936215277776</v>
      </c>
      <c r="X1423" s="89">
        <v>44465</v>
      </c>
      <c r="Y1423" s="86" t="s">
        <v>6384</v>
      </c>
      <c r="Z1423" s="84" t="str">
        <f>HYPERLINK("https://twitter.com/lopes_jorgeluiz/status/1442254692256342032")</f>
        <v>https://twitter.com/lopes_jorgeluiz/status/1442254692256342032</v>
      </c>
      <c r="AA1423" s="81"/>
      <c r="AB1423" s="81"/>
      <c r="AC1423" s="86" t="s">
        <v>7299</v>
      </c>
      <c r="AD1423" s="81"/>
      <c r="AE1423" s="81" t="b">
        <v>0</v>
      </c>
      <c r="AF1423" s="81">
        <v>0</v>
      </c>
      <c r="AG1423" s="86" t="s">
        <v>2084</v>
      </c>
      <c r="AH1423" s="81" t="b">
        <v>0</v>
      </c>
      <c r="AI1423" s="81" t="s">
        <v>2171</v>
      </c>
      <c r="AJ1423" s="81"/>
      <c r="AK1423" s="86" t="s">
        <v>2084</v>
      </c>
      <c r="AL1423" s="81" t="b">
        <v>0</v>
      </c>
      <c r="AM1423" s="81">
        <v>255</v>
      </c>
      <c r="AN1423" s="86" t="s">
        <v>7543</v>
      </c>
      <c r="AO1423" s="86" t="s">
        <v>2178</v>
      </c>
      <c r="AP1423" s="81" t="b">
        <v>0</v>
      </c>
      <c r="AQ1423" s="86" t="s">
        <v>7543</v>
      </c>
      <c r="AR1423" s="81" t="s">
        <v>179</v>
      </c>
      <c r="AS1423" s="81">
        <v>0</v>
      </c>
      <c r="AT1423" s="81">
        <v>0</v>
      </c>
      <c r="AU1423" s="81"/>
      <c r="AV1423" s="81"/>
      <c r="AW1423" s="81"/>
      <c r="AX1423" s="81"/>
      <c r="AY1423" s="81"/>
      <c r="AZ1423" s="81"/>
      <c r="BA1423" s="81"/>
      <c r="BB1423" s="81"/>
    </row>
    <row r="1424" spans="1:54" x14ac:dyDescent="0.35">
      <c r="A1424" s="66" t="s">
        <v>4740</v>
      </c>
      <c r="B1424" s="66" t="s">
        <v>4944</v>
      </c>
      <c r="C1424" s="67"/>
      <c r="D1424" s="68"/>
      <c r="E1424" s="69"/>
      <c r="F1424" s="70"/>
      <c r="G1424" s="67"/>
      <c r="H1424" s="71"/>
      <c r="I1424" s="72"/>
      <c r="J1424" s="72"/>
      <c r="K1424" s="36"/>
      <c r="L1424" s="79"/>
      <c r="M1424" s="79"/>
      <c r="N1424" s="74"/>
      <c r="O1424" s="81" t="s">
        <v>693</v>
      </c>
      <c r="P1424" s="83">
        <v>44465.940011574072</v>
      </c>
      <c r="Q1424" s="81" t="s">
        <v>5505</v>
      </c>
      <c r="R1424" s="81"/>
      <c r="S1424" s="81"/>
      <c r="T1424" s="81"/>
      <c r="U1424" s="81"/>
      <c r="V1424" s="84" t="str">
        <f>HYPERLINK("https://pbs.twimg.com/profile_images/1111292578824142848/bO70aBl4_normal.jpg")</f>
        <v>https://pbs.twimg.com/profile_images/1111292578824142848/bO70aBl4_normal.jpg</v>
      </c>
      <c r="W1424" s="83">
        <v>44465.940011574072</v>
      </c>
      <c r="X1424" s="89">
        <v>44465</v>
      </c>
      <c r="Y1424" s="86" t="s">
        <v>6385</v>
      </c>
      <c r="Z1424" s="84" t="str">
        <f>HYPERLINK("https://twitter.com/morenacl_/status/1442256071280713732")</f>
        <v>https://twitter.com/morenacl_/status/1442256071280713732</v>
      </c>
      <c r="AA1424" s="81"/>
      <c r="AB1424" s="81"/>
      <c r="AC1424" s="86" t="s">
        <v>7300</v>
      </c>
      <c r="AD1424" s="81"/>
      <c r="AE1424" s="81" t="b">
        <v>0</v>
      </c>
      <c r="AF1424" s="81">
        <v>0</v>
      </c>
      <c r="AG1424" s="86" t="s">
        <v>2084</v>
      </c>
      <c r="AH1424" s="81" t="b">
        <v>0</v>
      </c>
      <c r="AI1424" s="81" t="s">
        <v>2171</v>
      </c>
      <c r="AJ1424" s="81"/>
      <c r="AK1424" s="86" t="s">
        <v>2084</v>
      </c>
      <c r="AL1424" s="81" t="b">
        <v>0</v>
      </c>
      <c r="AM1424" s="81">
        <v>255</v>
      </c>
      <c r="AN1424" s="86" t="s">
        <v>7543</v>
      </c>
      <c r="AO1424" s="86" t="s">
        <v>2178</v>
      </c>
      <c r="AP1424" s="81" t="b">
        <v>0</v>
      </c>
      <c r="AQ1424" s="86" t="s">
        <v>7543</v>
      </c>
      <c r="AR1424" s="81" t="s">
        <v>179</v>
      </c>
      <c r="AS1424" s="81">
        <v>0</v>
      </c>
      <c r="AT1424" s="81">
        <v>0</v>
      </c>
      <c r="AU1424" s="81"/>
      <c r="AV1424" s="81"/>
      <c r="AW1424" s="81"/>
      <c r="AX1424" s="81"/>
      <c r="AY1424" s="81"/>
      <c r="AZ1424" s="81"/>
      <c r="BA1424" s="81"/>
      <c r="BB1424" s="81"/>
    </row>
    <row r="1425" spans="1:54" x14ac:dyDescent="0.35">
      <c r="A1425" s="66" t="s">
        <v>4741</v>
      </c>
      <c r="B1425" s="66" t="s">
        <v>4944</v>
      </c>
      <c r="C1425" s="67"/>
      <c r="D1425" s="68"/>
      <c r="E1425" s="69"/>
      <c r="F1425" s="70"/>
      <c r="G1425" s="67"/>
      <c r="H1425" s="71"/>
      <c r="I1425" s="72"/>
      <c r="J1425" s="72"/>
      <c r="K1425" s="36"/>
      <c r="L1425" s="79"/>
      <c r="M1425" s="79"/>
      <c r="N1425" s="74"/>
      <c r="O1425" s="81" t="s">
        <v>693</v>
      </c>
      <c r="P1425" s="83">
        <v>44465.94803240741</v>
      </c>
      <c r="Q1425" s="81" t="s">
        <v>5505</v>
      </c>
      <c r="R1425" s="81"/>
      <c r="S1425" s="81"/>
      <c r="T1425" s="81"/>
      <c r="U1425" s="81"/>
      <c r="V1425" s="84" t="str">
        <f>HYPERLINK("https://pbs.twimg.com/profile_images/1440320671272226828/YrH_nPS9_normal.jpg")</f>
        <v>https://pbs.twimg.com/profile_images/1440320671272226828/YrH_nPS9_normal.jpg</v>
      </c>
      <c r="W1425" s="83">
        <v>44465.94803240741</v>
      </c>
      <c r="X1425" s="89">
        <v>44465</v>
      </c>
      <c r="Y1425" s="86" t="s">
        <v>6386</v>
      </c>
      <c r="Z1425" s="84" t="str">
        <f>HYPERLINK("https://twitter.com/cleopatradobr/status/1442258975211261955")</f>
        <v>https://twitter.com/cleopatradobr/status/1442258975211261955</v>
      </c>
      <c r="AA1425" s="81"/>
      <c r="AB1425" s="81"/>
      <c r="AC1425" s="86" t="s">
        <v>7301</v>
      </c>
      <c r="AD1425" s="81"/>
      <c r="AE1425" s="81" t="b">
        <v>0</v>
      </c>
      <c r="AF1425" s="81">
        <v>0</v>
      </c>
      <c r="AG1425" s="86" t="s">
        <v>2084</v>
      </c>
      <c r="AH1425" s="81" t="b">
        <v>0</v>
      </c>
      <c r="AI1425" s="81" t="s">
        <v>2171</v>
      </c>
      <c r="AJ1425" s="81"/>
      <c r="AK1425" s="86" t="s">
        <v>2084</v>
      </c>
      <c r="AL1425" s="81" t="b">
        <v>0</v>
      </c>
      <c r="AM1425" s="81">
        <v>255</v>
      </c>
      <c r="AN1425" s="86" t="s">
        <v>7543</v>
      </c>
      <c r="AO1425" s="86" t="s">
        <v>2178</v>
      </c>
      <c r="AP1425" s="81" t="b">
        <v>0</v>
      </c>
      <c r="AQ1425" s="86" t="s">
        <v>7543</v>
      </c>
      <c r="AR1425" s="81" t="s">
        <v>179</v>
      </c>
      <c r="AS1425" s="81">
        <v>0</v>
      </c>
      <c r="AT1425" s="81">
        <v>0</v>
      </c>
      <c r="AU1425" s="81"/>
      <c r="AV1425" s="81"/>
      <c r="AW1425" s="81"/>
      <c r="AX1425" s="81"/>
      <c r="AY1425" s="81"/>
      <c r="AZ1425" s="81"/>
      <c r="BA1425" s="81"/>
      <c r="BB1425" s="81"/>
    </row>
    <row r="1426" spans="1:54" x14ac:dyDescent="0.35">
      <c r="A1426" s="66" t="s">
        <v>4742</v>
      </c>
      <c r="B1426" s="66" t="s">
        <v>4944</v>
      </c>
      <c r="C1426" s="67"/>
      <c r="D1426" s="68"/>
      <c r="E1426" s="69"/>
      <c r="F1426" s="70"/>
      <c r="G1426" s="67"/>
      <c r="H1426" s="71"/>
      <c r="I1426" s="72"/>
      <c r="J1426" s="72"/>
      <c r="K1426" s="36"/>
      <c r="L1426" s="79"/>
      <c r="M1426" s="79"/>
      <c r="N1426" s="74"/>
      <c r="O1426" s="81" t="s">
        <v>693</v>
      </c>
      <c r="P1426" s="83">
        <v>44465.951493055552</v>
      </c>
      <c r="Q1426" s="81" t="s">
        <v>5505</v>
      </c>
      <c r="R1426" s="81"/>
      <c r="S1426" s="81"/>
      <c r="T1426" s="81"/>
      <c r="U1426" s="81"/>
      <c r="V1426" s="84" t="str">
        <f>HYPERLINK("https://pbs.twimg.com/profile_images/1389596446110982147/KW6nO2fU_normal.jpg")</f>
        <v>https://pbs.twimg.com/profile_images/1389596446110982147/KW6nO2fU_normal.jpg</v>
      </c>
      <c r="W1426" s="83">
        <v>44465.951493055552</v>
      </c>
      <c r="X1426" s="89">
        <v>44465</v>
      </c>
      <c r="Y1426" s="86" t="s">
        <v>6387</v>
      </c>
      <c r="Z1426" s="84" t="str">
        <f>HYPERLINK("https://twitter.com/pelintrate/status/1442260230486757376")</f>
        <v>https://twitter.com/pelintrate/status/1442260230486757376</v>
      </c>
      <c r="AA1426" s="81"/>
      <c r="AB1426" s="81"/>
      <c r="AC1426" s="86" t="s">
        <v>7302</v>
      </c>
      <c r="AD1426" s="81"/>
      <c r="AE1426" s="81" t="b">
        <v>0</v>
      </c>
      <c r="AF1426" s="81">
        <v>0</v>
      </c>
      <c r="AG1426" s="86" t="s">
        <v>2084</v>
      </c>
      <c r="AH1426" s="81" t="b">
        <v>0</v>
      </c>
      <c r="AI1426" s="81" t="s">
        <v>2171</v>
      </c>
      <c r="AJ1426" s="81"/>
      <c r="AK1426" s="86" t="s">
        <v>2084</v>
      </c>
      <c r="AL1426" s="81" t="b">
        <v>0</v>
      </c>
      <c r="AM1426" s="81">
        <v>255</v>
      </c>
      <c r="AN1426" s="86" t="s">
        <v>7543</v>
      </c>
      <c r="AO1426" s="86" t="s">
        <v>2178</v>
      </c>
      <c r="AP1426" s="81" t="b">
        <v>0</v>
      </c>
      <c r="AQ1426" s="86" t="s">
        <v>7543</v>
      </c>
      <c r="AR1426" s="81" t="s">
        <v>179</v>
      </c>
      <c r="AS1426" s="81">
        <v>0</v>
      </c>
      <c r="AT1426" s="81">
        <v>0</v>
      </c>
      <c r="AU1426" s="81"/>
      <c r="AV1426" s="81"/>
      <c r="AW1426" s="81"/>
      <c r="AX1426" s="81"/>
      <c r="AY1426" s="81"/>
      <c r="AZ1426" s="81"/>
      <c r="BA1426" s="81"/>
      <c r="BB1426" s="81"/>
    </row>
    <row r="1427" spans="1:54" x14ac:dyDescent="0.35">
      <c r="A1427" s="66" t="s">
        <v>4743</v>
      </c>
      <c r="B1427" s="66" t="s">
        <v>4944</v>
      </c>
      <c r="C1427" s="67"/>
      <c r="D1427" s="68"/>
      <c r="E1427" s="69"/>
      <c r="F1427" s="70"/>
      <c r="G1427" s="67"/>
      <c r="H1427" s="71"/>
      <c r="I1427" s="72"/>
      <c r="J1427" s="72"/>
      <c r="K1427" s="36"/>
      <c r="L1427" s="79"/>
      <c r="M1427" s="79"/>
      <c r="N1427" s="74"/>
      <c r="O1427" s="81" t="s">
        <v>693</v>
      </c>
      <c r="P1427" s="83">
        <v>44465.961134259262</v>
      </c>
      <c r="Q1427" s="81" t="s">
        <v>5505</v>
      </c>
      <c r="R1427" s="81"/>
      <c r="S1427" s="81"/>
      <c r="T1427" s="81"/>
      <c r="U1427" s="81"/>
      <c r="V1427" s="84" t="str">
        <f>HYPERLINK("https://pbs.twimg.com/profile_images/1095074678287273993/fh5LPVVa_normal.jpg")</f>
        <v>https://pbs.twimg.com/profile_images/1095074678287273993/fh5LPVVa_normal.jpg</v>
      </c>
      <c r="W1427" s="83">
        <v>44465.961134259262</v>
      </c>
      <c r="X1427" s="89">
        <v>44465</v>
      </c>
      <c r="Y1427" s="86" t="s">
        <v>6388</v>
      </c>
      <c r="Z1427" s="84" t="str">
        <f>HYPERLINK("https://twitter.com/deco_lima2/status/1442263723821858824")</f>
        <v>https://twitter.com/deco_lima2/status/1442263723821858824</v>
      </c>
      <c r="AA1427" s="81"/>
      <c r="AB1427" s="81"/>
      <c r="AC1427" s="86" t="s">
        <v>7303</v>
      </c>
      <c r="AD1427" s="81"/>
      <c r="AE1427" s="81" t="b">
        <v>0</v>
      </c>
      <c r="AF1427" s="81">
        <v>0</v>
      </c>
      <c r="AG1427" s="86" t="s">
        <v>2084</v>
      </c>
      <c r="AH1427" s="81" t="b">
        <v>0</v>
      </c>
      <c r="AI1427" s="81" t="s">
        <v>2171</v>
      </c>
      <c r="AJ1427" s="81"/>
      <c r="AK1427" s="86" t="s">
        <v>2084</v>
      </c>
      <c r="AL1427" s="81" t="b">
        <v>0</v>
      </c>
      <c r="AM1427" s="81">
        <v>255</v>
      </c>
      <c r="AN1427" s="86" t="s">
        <v>7543</v>
      </c>
      <c r="AO1427" s="86" t="s">
        <v>2178</v>
      </c>
      <c r="AP1427" s="81" t="b">
        <v>0</v>
      </c>
      <c r="AQ1427" s="86" t="s">
        <v>7543</v>
      </c>
      <c r="AR1427" s="81" t="s">
        <v>179</v>
      </c>
      <c r="AS1427" s="81">
        <v>0</v>
      </c>
      <c r="AT1427" s="81">
        <v>0</v>
      </c>
      <c r="AU1427" s="81"/>
      <c r="AV1427" s="81"/>
      <c r="AW1427" s="81"/>
      <c r="AX1427" s="81"/>
      <c r="AY1427" s="81"/>
      <c r="AZ1427" s="81"/>
      <c r="BA1427" s="81"/>
      <c r="BB1427" s="81"/>
    </row>
    <row r="1428" spans="1:54" x14ac:dyDescent="0.35">
      <c r="A1428" s="66" t="s">
        <v>4744</v>
      </c>
      <c r="B1428" s="66" t="s">
        <v>4944</v>
      </c>
      <c r="C1428" s="67"/>
      <c r="D1428" s="68"/>
      <c r="E1428" s="69"/>
      <c r="F1428" s="70"/>
      <c r="G1428" s="67"/>
      <c r="H1428" s="71"/>
      <c r="I1428" s="72"/>
      <c r="J1428" s="72"/>
      <c r="K1428" s="36"/>
      <c r="L1428" s="79"/>
      <c r="M1428" s="79"/>
      <c r="N1428" s="74"/>
      <c r="O1428" s="81" t="s">
        <v>693</v>
      </c>
      <c r="P1428" s="83">
        <v>44465.969143518516</v>
      </c>
      <c r="Q1428" s="81" t="s">
        <v>5505</v>
      </c>
      <c r="R1428" s="81"/>
      <c r="S1428" s="81"/>
      <c r="T1428" s="81"/>
      <c r="U1428" s="81"/>
      <c r="V1428" s="84" t="str">
        <f>HYPERLINK("https://pbs.twimg.com/profile_images/1438723356753289216/l3uaVaqL_normal.jpg")</f>
        <v>https://pbs.twimg.com/profile_images/1438723356753289216/l3uaVaqL_normal.jpg</v>
      </c>
      <c r="W1428" s="83">
        <v>44465.969143518516</v>
      </c>
      <c r="X1428" s="89">
        <v>44465</v>
      </c>
      <c r="Y1428" s="86" t="s">
        <v>1511</v>
      </c>
      <c r="Z1428" s="84" t="str">
        <f>HYPERLINK("https://twitter.com/weltoncalves/status/1442266626531807236")</f>
        <v>https://twitter.com/weltoncalves/status/1442266626531807236</v>
      </c>
      <c r="AA1428" s="81"/>
      <c r="AB1428" s="81"/>
      <c r="AC1428" s="86" t="s">
        <v>7304</v>
      </c>
      <c r="AD1428" s="81"/>
      <c r="AE1428" s="81" t="b">
        <v>0</v>
      </c>
      <c r="AF1428" s="81">
        <v>0</v>
      </c>
      <c r="AG1428" s="86" t="s">
        <v>2084</v>
      </c>
      <c r="AH1428" s="81" t="b">
        <v>0</v>
      </c>
      <c r="AI1428" s="81" t="s">
        <v>2171</v>
      </c>
      <c r="AJ1428" s="81"/>
      <c r="AK1428" s="86" t="s">
        <v>2084</v>
      </c>
      <c r="AL1428" s="81" t="b">
        <v>0</v>
      </c>
      <c r="AM1428" s="81">
        <v>255</v>
      </c>
      <c r="AN1428" s="86" t="s">
        <v>7543</v>
      </c>
      <c r="AO1428" s="86" t="s">
        <v>2178</v>
      </c>
      <c r="AP1428" s="81" t="b">
        <v>0</v>
      </c>
      <c r="AQ1428" s="86" t="s">
        <v>7543</v>
      </c>
      <c r="AR1428" s="81" t="s">
        <v>179</v>
      </c>
      <c r="AS1428" s="81">
        <v>0</v>
      </c>
      <c r="AT1428" s="81">
        <v>0</v>
      </c>
      <c r="AU1428" s="81"/>
      <c r="AV1428" s="81"/>
      <c r="AW1428" s="81"/>
      <c r="AX1428" s="81"/>
      <c r="AY1428" s="81"/>
      <c r="AZ1428" s="81"/>
      <c r="BA1428" s="81"/>
      <c r="BB1428" s="81"/>
    </row>
    <row r="1429" spans="1:54" x14ac:dyDescent="0.35">
      <c r="A1429" s="66" t="s">
        <v>4745</v>
      </c>
      <c r="B1429" s="66" t="s">
        <v>4944</v>
      </c>
      <c r="C1429" s="67"/>
      <c r="D1429" s="68"/>
      <c r="E1429" s="69"/>
      <c r="F1429" s="70"/>
      <c r="G1429" s="67"/>
      <c r="H1429" s="71"/>
      <c r="I1429" s="72"/>
      <c r="J1429" s="72"/>
      <c r="K1429" s="36"/>
      <c r="L1429" s="79"/>
      <c r="M1429" s="79"/>
      <c r="N1429" s="74"/>
      <c r="O1429" s="81" t="s">
        <v>693</v>
      </c>
      <c r="P1429" s="83">
        <v>44465.969988425924</v>
      </c>
      <c r="Q1429" s="81" t="s">
        <v>5505</v>
      </c>
      <c r="R1429" s="81"/>
      <c r="S1429" s="81"/>
      <c r="T1429" s="81"/>
      <c r="U1429" s="81"/>
      <c r="V1429" s="84" t="str">
        <f>HYPERLINK("https://pbs.twimg.com/profile_images/1430168745671110661/WGZf-fRt_normal.jpg")</f>
        <v>https://pbs.twimg.com/profile_images/1430168745671110661/WGZf-fRt_normal.jpg</v>
      </c>
      <c r="W1429" s="83">
        <v>44465.969988425924</v>
      </c>
      <c r="X1429" s="89">
        <v>44465</v>
      </c>
      <c r="Y1429" s="86" t="s">
        <v>6389</v>
      </c>
      <c r="Z1429" s="84" t="str">
        <f>HYPERLINK("https://twitter.com/olguitarj/status/1442266931168530432")</f>
        <v>https://twitter.com/olguitarj/status/1442266931168530432</v>
      </c>
      <c r="AA1429" s="81"/>
      <c r="AB1429" s="81"/>
      <c r="AC1429" s="86" t="s">
        <v>7305</v>
      </c>
      <c r="AD1429" s="81"/>
      <c r="AE1429" s="81" t="b">
        <v>0</v>
      </c>
      <c r="AF1429" s="81">
        <v>0</v>
      </c>
      <c r="AG1429" s="86" t="s">
        <v>2084</v>
      </c>
      <c r="AH1429" s="81" t="b">
        <v>0</v>
      </c>
      <c r="AI1429" s="81" t="s">
        <v>2171</v>
      </c>
      <c r="AJ1429" s="81"/>
      <c r="AK1429" s="86" t="s">
        <v>2084</v>
      </c>
      <c r="AL1429" s="81" t="b">
        <v>0</v>
      </c>
      <c r="AM1429" s="81">
        <v>255</v>
      </c>
      <c r="AN1429" s="86" t="s">
        <v>7543</v>
      </c>
      <c r="AO1429" s="86" t="s">
        <v>2178</v>
      </c>
      <c r="AP1429" s="81" t="b">
        <v>0</v>
      </c>
      <c r="AQ1429" s="86" t="s">
        <v>7543</v>
      </c>
      <c r="AR1429" s="81" t="s">
        <v>179</v>
      </c>
      <c r="AS1429" s="81">
        <v>0</v>
      </c>
      <c r="AT1429" s="81">
        <v>0</v>
      </c>
      <c r="AU1429" s="81"/>
      <c r="AV1429" s="81"/>
      <c r="AW1429" s="81"/>
      <c r="AX1429" s="81"/>
      <c r="AY1429" s="81"/>
      <c r="AZ1429" s="81"/>
      <c r="BA1429" s="81"/>
      <c r="BB1429" s="81"/>
    </row>
    <row r="1430" spans="1:54" x14ac:dyDescent="0.35">
      <c r="A1430" s="66" t="s">
        <v>4746</v>
      </c>
      <c r="B1430" s="66" t="s">
        <v>4944</v>
      </c>
      <c r="C1430" s="67"/>
      <c r="D1430" s="68"/>
      <c r="E1430" s="69"/>
      <c r="F1430" s="70"/>
      <c r="G1430" s="67"/>
      <c r="H1430" s="71"/>
      <c r="I1430" s="72"/>
      <c r="J1430" s="72"/>
      <c r="K1430" s="36"/>
      <c r="L1430" s="79"/>
      <c r="M1430" s="79"/>
      <c r="N1430" s="74"/>
      <c r="O1430" s="81" t="s">
        <v>693</v>
      </c>
      <c r="P1430" s="83">
        <v>44465.970381944448</v>
      </c>
      <c r="Q1430" s="81" t="s">
        <v>5505</v>
      </c>
      <c r="R1430" s="81"/>
      <c r="S1430" s="81"/>
      <c r="T1430" s="81"/>
      <c r="U1430" s="81"/>
      <c r="V1430" s="84" t="str">
        <f>HYPERLINK("https://pbs.twimg.com/profile_images/1405005434600267781/Sltei58q_normal.jpg")</f>
        <v>https://pbs.twimg.com/profile_images/1405005434600267781/Sltei58q_normal.jpg</v>
      </c>
      <c r="W1430" s="83">
        <v>44465.970381944448</v>
      </c>
      <c r="X1430" s="89">
        <v>44465</v>
      </c>
      <c r="Y1430" s="86" t="s">
        <v>6390</v>
      </c>
      <c r="Z1430" s="84" t="str">
        <f>HYPERLINK("https://twitter.com/raquelrnogueira/status/1442267077176270854")</f>
        <v>https://twitter.com/raquelrnogueira/status/1442267077176270854</v>
      </c>
      <c r="AA1430" s="81"/>
      <c r="AB1430" s="81"/>
      <c r="AC1430" s="86" t="s">
        <v>7306</v>
      </c>
      <c r="AD1430" s="81"/>
      <c r="AE1430" s="81" t="b">
        <v>0</v>
      </c>
      <c r="AF1430" s="81">
        <v>0</v>
      </c>
      <c r="AG1430" s="86" t="s">
        <v>2084</v>
      </c>
      <c r="AH1430" s="81" t="b">
        <v>0</v>
      </c>
      <c r="AI1430" s="81" t="s">
        <v>2171</v>
      </c>
      <c r="AJ1430" s="81"/>
      <c r="AK1430" s="86" t="s">
        <v>2084</v>
      </c>
      <c r="AL1430" s="81" t="b">
        <v>0</v>
      </c>
      <c r="AM1430" s="81">
        <v>255</v>
      </c>
      <c r="AN1430" s="86" t="s">
        <v>7543</v>
      </c>
      <c r="AO1430" s="86" t="s">
        <v>2178</v>
      </c>
      <c r="AP1430" s="81" t="b">
        <v>0</v>
      </c>
      <c r="AQ1430" s="86" t="s">
        <v>7543</v>
      </c>
      <c r="AR1430" s="81" t="s">
        <v>179</v>
      </c>
      <c r="AS1430" s="81">
        <v>0</v>
      </c>
      <c r="AT1430" s="81">
        <v>0</v>
      </c>
      <c r="AU1430" s="81"/>
      <c r="AV1430" s="81"/>
      <c r="AW1430" s="81"/>
      <c r="AX1430" s="81"/>
      <c r="AY1430" s="81"/>
      <c r="AZ1430" s="81"/>
      <c r="BA1430" s="81"/>
      <c r="BB1430" s="81"/>
    </row>
    <row r="1431" spans="1:54" x14ac:dyDescent="0.35">
      <c r="A1431" s="66" t="s">
        <v>4747</v>
      </c>
      <c r="B1431" s="66" t="s">
        <v>5148</v>
      </c>
      <c r="C1431" s="67"/>
      <c r="D1431" s="68"/>
      <c r="E1431" s="69"/>
      <c r="F1431" s="70"/>
      <c r="G1431" s="67"/>
      <c r="H1431" s="71"/>
      <c r="I1431" s="72"/>
      <c r="J1431" s="72"/>
      <c r="K1431" s="36"/>
      <c r="L1431" s="79"/>
      <c r="M1431" s="79"/>
      <c r="N1431" s="74"/>
      <c r="O1431" s="81" t="s">
        <v>696</v>
      </c>
      <c r="P1431" s="83">
        <v>44465.970590277779</v>
      </c>
      <c r="Q1431" s="81" t="s">
        <v>5527</v>
      </c>
      <c r="R1431" s="81"/>
      <c r="S1431" s="81"/>
      <c r="T1431" s="81"/>
      <c r="U1431" s="81"/>
      <c r="V1431" s="84" t="str">
        <f>HYPERLINK("https://pbs.twimg.com/profile_images/1270597268496760838/kAwlNM97_normal.jpg")</f>
        <v>https://pbs.twimg.com/profile_images/1270597268496760838/kAwlNM97_normal.jpg</v>
      </c>
      <c r="W1431" s="83">
        <v>44465.970590277779</v>
      </c>
      <c r="X1431" s="89">
        <v>44465</v>
      </c>
      <c r="Y1431" s="86" t="s">
        <v>6391</v>
      </c>
      <c r="Z1431" s="84" t="str">
        <f>HYPERLINK("https://twitter.com/bozbobo1/status/1442267152011038726")</f>
        <v>https://twitter.com/bozbobo1/status/1442267152011038726</v>
      </c>
      <c r="AA1431" s="81"/>
      <c r="AB1431" s="81"/>
      <c r="AC1431" s="86" t="s">
        <v>7307</v>
      </c>
      <c r="AD1431" s="86" t="s">
        <v>7722</v>
      </c>
      <c r="AE1431" s="81" t="b">
        <v>0</v>
      </c>
      <c r="AF1431" s="81">
        <v>0</v>
      </c>
      <c r="AG1431" s="86" t="s">
        <v>7897</v>
      </c>
      <c r="AH1431" s="81" t="b">
        <v>0</v>
      </c>
      <c r="AI1431" s="81" t="s">
        <v>2171</v>
      </c>
      <c r="AJ1431" s="81"/>
      <c r="AK1431" s="86" t="s">
        <v>2084</v>
      </c>
      <c r="AL1431" s="81" t="b">
        <v>0</v>
      </c>
      <c r="AM1431" s="81">
        <v>0</v>
      </c>
      <c r="AN1431" s="86" t="s">
        <v>2084</v>
      </c>
      <c r="AO1431" s="86" t="s">
        <v>2181</v>
      </c>
      <c r="AP1431" s="81" t="b">
        <v>0</v>
      </c>
      <c r="AQ1431" s="86" t="s">
        <v>7722</v>
      </c>
      <c r="AR1431" s="81" t="s">
        <v>179</v>
      </c>
      <c r="AS1431" s="81">
        <v>0</v>
      </c>
      <c r="AT1431" s="81">
        <v>0</v>
      </c>
      <c r="AU1431" s="81"/>
      <c r="AV1431" s="81"/>
      <c r="AW1431" s="81"/>
      <c r="AX1431" s="81"/>
      <c r="AY1431" s="81"/>
      <c r="AZ1431" s="81"/>
      <c r="BA1431" s="81"/>
      <c r="BB1431" s="81"/>
    </row>
    <row r="1432" spans="1:54" x14ac:dyDescent="0.35">
      <c r="A1432" s="66" t="s">
        <v>4747</v>
      </c>
      <c r="B1432" s="66" t="s">
        <v>5149</v>
      </c>
      <c r="C1432" s="67"/>
      <c r="D1432" s="68"/>
      <c r="E1432" s="69"/>
      <c r="F1432" s="70"/>
      <c r="G1432" s="67"/>
      <c r="H1432" s="71"/>
      <c r="I1432" s="72"/>
      <c r="J1432" s="72"/>
      <c r="K1432" s="36"/>
      <c r="L1432" s="79"/>
      <c r="M1432" s="79"/>
      <c r="N1432" s="74"/>
      <c r="O1432" s="81" t="s">
        <v>695</v>
      </c>
      <c r="P1432" s="83">
        <v>44465.970590277779</v>
      </c>
      <c r="Q1432" s="81" t="s">
        <v>5527</v>
      </c>
      <c r="R1432" s="81"/>
      <c r="S1432" s="81"/>
      <c r="T1432" s="81"/>
      <c r="U1432" s="81"/>
      <c r="V1432" s="84" t="str">
        <f>HYPERLINK("https://pbs.twimg.com/profile_images/1270597268496760838/kAwlNM97_normal.jpg")</f>
        <v>https://pbs.twimg.com/profile_images/1270597268496760838/kAwlNM97_normal.jpg</v>
      </c>
      <c r="W1432" s="83">
        <v>44465.970590277779</v>
      </c>
      <c r="X1432" s="89">
        <v>44465</v>
      </c>
      <c r="Y1432" s="86" t="s">
        <v>6391</v>
      </c>
      <c r="Z1432" s="84" t="str">
        <f>HYPERLINK("https://twitter.com/bozbobo1/status/1442267152011038726")</f>
        <v>https://twitter.com/bozbobo1/status/1442267152011038726</v>
      </c>
      <c r="AA1432" s="81"/>
      <c r="AB1432" s="81"/>
      <c r="AC1432" s="86" t="s">
        <v>7307</v>
      </c>
      <c r="AD1432" s="86" t="s">
        <v>7722</v>
      </c>
      <c r="AE1432" s="81" t="b">
        <v>0</v>
      </c>
      <c r="AF1432" s="81">
        <v>0</v>
      </c>
      <c r="AG1432" s="86" t="s">
        <v>7897</v>
      </c>
      <c r="AH1432" s="81" t="b">
        <v>0</v>
      </c>
      <c r="AI1432" s="81" t="s">
        <v>2171</v>
      </c>
      <c r="AJ1432" s="81"/>
      <c r="AK1432" s="86" t="s">
        <v>2084</v>
      </c>
      <c r="AL1432" s="81" t="b">
        <v>0</v>
      </c>
      <c r="AM1432" s="81">
        <v>0</v>
      </c>
      <c r="AN1432" s="86" t="s">
        <v>2084</v>
      </c>
      <c r="AO1432" s="86" t="s">
        <v>2181</v>
      </c>
      <c r="AP1432" s="81" t="b">
        <v>0</v>
      </c>
      <c r="AQ1432" s="86" t="s">
        <v>7722</v>
      </c>
      <c r="AR1432" s="81" t="s">
        <v>179</v>
      </c>
      <c r="AS1432" s="81">
        <v>0</v>
      </c>
      <c r="AT1432" s="81">
        <v>0</v>
      </c>
      <c r="AU1432" s="81"/>
      <c r="AV1432" s="81"/>
      <c r="AW1432" s="81"/>
      <c r="AX1432" s="81"/>
      <c r="AY1432" s="81"/>
      <c r="AZ1432" s="81"/>
      <c r="BA1432" s="81"/>
      <c r="BB1432" s="81"/>
    </row>
    <row r="1433" spans="1:54" x14ac:dyDescent="0.35">
      <c r="A1433" s="66" t="s">
        <v>4747</v>
      </c>
      <c r="B1433" s="66" t="s">
        <v>4982</v>
      </c>
      <c r="C1433" s="67"/>
      <c r="D1433" s="68"/>
      <c r="E1433" s="69"/>
      <c r="F1433" s="70"/>
      <c r="G1433" s="67"/>
      <c r="H1433" s="71"/>
      <c r="I1433" s="72"/>
      <c r="J1433" s="72"/>
      <c r="K1433" s="36"/>
      <c r="L1433" s="79"/>
      <c r="M1433" s="79"/>
      <c r="N1433" s="74"/>
      <c r="O1433" s="81" t="s">
        <v>696</v>
      </c>
      <c r="P1433" s="83">
        <v>44465.970590277779</v>
      </c>
      <c r="Q1433" s="81" t="s">
        <v>5527</v>
      </c>
      <c r="R1433" s="81"/>
      <c r="S1433" s="81"/>
      <c r="T1433" s="81"/>
      <c r="U1433" s="81"/>
      <c r="V1433" s="84" t="str">
        <f>HYPERLINK("https://pbs.twimg.com/profile_images/1270597268496760838/kAwlNM97_normal.jpg")</f>
        <v>https://pbs.twimg.com/profile_images/1270597268496760838/kAwlNM97_normal.jpg</v>
      </c>
      <c r="W1433" s="83">
        <v>44465.970590277779</v>
      </c>
      <c r="X1433" s="89">
        <v>44465</v>
      </c>
      <c r="Y1433" s="86" t="s">
        <v>6391</v>
      </c>
      <c r="Z1433" s="84" t="str">
        <f>HYPERLINK("https://twitter.com/bozbobo1/status/1442267152011038726")</f>
        <v>https://twitter.com/bozbobo1/status/1442267152011038726</v>
      </c>
      <c r="AA1433" s="81"/>
      <c r="AB1433" s="81"/>
      <c r="AC1433" s="86" t="s">
        <v>7307</v>
      </c>
      <c r="AD1433" s="86" t="s">
        <v>7722</v>
      </c>
      <c r="AE1433" s="81" t="b">
        <v>0</v>
      </c>
      <c r="AF1433" s="81">
        <v>0</v>
      </c>
      <c r="AG1433" s="86" t="s">
        <v>7897</v>
      </c>
      <c r="AH1433" s="81" t="b">
        <v>0</v>
      </c>
      <c r="AI1433" s="81" t="s">
        <v>2171</v>
      </c>
      <c r="AJ1433" s="81"/>
      <c r="AK1433" s="86" t="s">
        <v>2084</v>
      </c>
      <c r="AL1433" s="81" t="b">
        <v>0</v>
      </c>
      <c r="AM1433" s="81">
        <v>0</v>
      </c>
      <c r="AN1433" s="86" t="s">
        <v>2084</v>
      </c>
      <c r="AO1433" s="86" t="s">
        <v>2181</v>
      </c>
      <c r="AP1433" s="81" t="b">
        <v>0</v>
      </c>
      <c r="AQ1433" s="86" t="s">
        <v>7722</v>
      </c>
      <c r="AR1433" s="81" t="s">
        <v>179</v>
      </c>
      <c r="AS1433" s="81">
        <v>0</v>
      </c>
      <c r="AT1433" s="81">
        <v>0</v>
      </c>
      <c r="AU1433" s="81"/>
      <c r="AV1433" s="81"/>
      <c r="AW1433" s="81"/>
      <c r="AX1433" s="81"/>
      <c r="AY1433" s="81"/>
      <c r="AZ1433" s="81"/>
      <c r="BA1433" s="81"/>
      <c r="BB1433" s="81"/>
    </row>
    <row r="1434" spans="1:54" x14ac:dyDescent="0.35">
      <c r="A1434" s="66" t="s">
        <v>503</v>
      </c>
      <c r="B1434" s="66" t="s">
        <v>503</v>
      </c>
      <c r="C1434" s="67"/>
      <c r="D1434" s="68"/>
      <c r="E1434" s="69"/>
      <c r="F1434" s="70"/>
      <c r="G1434" s="67"/>
      <c r="H1434" s="71"/>
      <c r="I1434" s="72"/>
      <c r="J1434" s="72"/>
      <c r="K1434" s="36"/>
      <c r="L1434" s="79"/>
      <c r="M1434" s="79"/>
      <c r="N1434" s="74"/>
      <c r="O1434" s="81" t="s">
        <v>179</v>
      </c>
      <c r="P1434" s="83">
        <v>44465.982974537037</v>
      </c>
      <c r="Q1434" s="81" t="s">
        <v>834</v>
      </c>
      <c r="R1434" s="81" t="s">
        <v>932</v>
      </c>
      <c r="S1434" s="81" t="s">
        <v>962</v>
      </c>
      <c r="T1434" s="81"/>
      <c r="U1434" s="84" t="str">
        <f>HYPERLINK("https://pbs.twimg.com/media/FAP6aRnVcAAbgNl.jpg")</f>
        <v>https://pbs.twimg.com/media/FAP6aRnVcAAbgNl.jpg</v>
      </c>
      <c r="V1434" s="84" t="str">
        <f>HYPERLINK("https://pbs.twimg.com/media/FAP6aRnVcAAbgNl.jpg")</f>
        <v>https://pbs.twimg.com/media/FAP6aRnVcAAbgNl.jpg</v>
      </c>
      <c r="W1434" s="83">
        <v>44465.982974537037</v>
      </c>
      <c r="X1434" s="89">
        <v>44465</v>
      </c>
      <c r="Y1434" s="86" t="s">
        <v>1362</v>
      </c>
      <c r="Z1434" s="84" t="str">
        <f>HYPERLINK("https://twitter.com/helloindonesian/status/1442271637156417540")</f>
        <v>https://twitter.com/helloindonesian/status/1442271637156417540</v>
      </c>
      <c r="AA1434" s="81"/>
      <c r="AB1434" s="81"/>
      <c r="AC1434" s="86" t="s">
        <v>1858</v>
      </c>
      <c r="AD1434" s="81"/>
      <c r="AE1434" s="81" t="b">
        <v>0</v>
      </c>
      <c r="AF1434" s="81">
        <v>0</v>
      </c>
      <c r="AG1434" s="86" t="s">
        <v>2084</v>
      </c>
      <c r="AH1434" s="81" t="b">
        <v>0</v>
      </c>
      <c r="AI1434" s="81" t="s">
        <v>2168</v>
      </c>
      <c r="AJ1434" s="81"/>
      <c r="AK1434" s="86" t="s">
        <v>2084</v>
      </c>
      <c r="AL1434" s="81" t="b">
        <v>0</v>
      </c>
      <c r="AM1434" s="81">
        <v>0</v>
      </c>
      <c r="AN1434" s="86" t="s">
        <v>2084</v>
      </c>
      <c r="AO1434" s="86" t="s">
        <v>2193</v>
      </c>
      <c r="AP1434" s="81" t="b">
        <v>0</v>
      </c>
      <c r="AQ1434" s="86" t="s">
        <v>1858</v>
      </c>
      <c r="AR1434" s="81" t="s">
        <v>179</v>
      </c>
      <c r="AS1434" s="81">
        <v>0</v>
      </c>
      <c r="AT1434" s="81">
        <v>0</v>
      </c>
      <c r="AU1434" s="81"/>
      <c r="AV1434" s="81"/>
      <c r="AW1434" s="81"/>
      <c r="AX1434" s="81"/>
      <c r="AY1434" s="81"/>
      <c r="AZ1434" s="81"/>
      <c r="BA1434" s="81"/>
      <c r="BB1434" s="81"/>
    </row>
    <row r="1435" spans="1:54" x14ac:dyDescent="0.35">
      <c r="A1435" s="66" t="s">
        <v>4748</v>
      </c>
      <c r="B1435" s="66" t="s">
        <v>4944</v>
      </c>
      <c r="C1435" s="67"/>
      <c r="D1435" s="68"/>
      <c r="E1435" s="69"/>
      <c r="F1435" s="70"/>
      <c r="G1435" s="67"/>
      <c r="H1435" s="71"/>
      <c r="I1435" s="72"/>
      <c r="J1435" s="72"/>
      <c r="K1435" s="36"/>
      <c r="L1435" s="79"/>
      <c r="M1435" s="79"/>
      <c r="N1435" s="74"/>
      <c r="O1435" s="81" t="s">
        <v>693</v>
      </c>
      <c r="P1435" s="83">
        <v>44465.990543981483</v>
      </c>
      <c r="Q1435" s="81" t="s">
        <v>5505</v>
      </c>
      <c r="R1435" s="81"/>
      <c r="S1435" s="81"/>
      <c r="T1435" s="81"/>
      <c r="U1435" s="81"/>
      <c r="V1435" s="84" t="str">
        <f>HYPERLINK("https://pbs.twimg.com/profile_images/1392976740100853765/tVqOoWt6_normal.jpg")</f>
        <v>https://pbs.twimg.com/profile_images/1392976740100853765/tVqOoWt6_normal.jpg</v>
      </c>
      <c r="W1435" s="83">
        <v>44465.990543981483</v>
      </c>
      <c r="X1435" s="89">
        <v>44465</v>
      </c>
      <c r="Y1435" s="86" t="s">
        <v>6392</v>
      </c>
      <c r="Z1435" s="84" t="str">
        <f>HYPERLINK("https://twitter.com/gilhistoria/status/1442274382873718785")</f>
        <v>https://twitter.com/gilhistoria/status/1442274382873718785</v>
      </c>
      <c r="AA1435" s="81"/>
      <c r="AB1435" s="81"/>
      <c r="AC1435" s="86" t="s">
        <v>7308</v>
      </c>
      <c r="AD1435" s="81"/>
      <c r="AE1435" s="81" t="b">
        <v>0</v>
      </c>
      <c r="AF1435" s="81">
        <v>0</v>
      </c>
      <c r="AG1435" s="86" t="s">
        <v>2084</v>
      </c>
      <c r="AH1435" s="81" t="b">
        <v>0</v>
      </c>
      <c r="AI1435" s="81" t="s">
        <v>2171</v>
      </c>
      <c r="AJ1435" s="81"/>
      <c r="AK1435" s="86" t="s">
        <v>2084</v>
      </c>
      <c r="AL1435" s="81" t="b">
        <v>0</v>
      </c>
      <c r="AM1435" s="81">
        <v>255</v>
      </c>
      <c r="AN1435" s="86" t="s">
        <v>7543</v>
      </c>
      <c r="AO1435" s="86" t="s">
        <v>2179</v>
      </c>
      <c r="AP1435" s="81" t="b">
        <v>0</v>
      </c>
      <c r="AQ1435" s="86" t="s">
        <v>7543</v>
      </c>
      <c r="AR1435" s="81" t="s">
        <v>179</v>
      </c>
      <c r="AS1435" s="81">
        <v>0</v>
      </c>
      <c r="AT1435" s="81">
        <v>0</v>
      </c>
      <c r="AU1435" s="81"/>
      <c r="AV1435" s="81"/>
      <c r="AW1435" s="81"/>
      <c r="AX1435" s="81"/>
      <c r="AY1435" s="81"/>
      <c r="AZ1435" s="81"/>
      <c r="BA1435" s="81"/>
      <c r="BB1435" s="81"/>
    </row>
    <row r="1436" spans="1:54" x14ac:dyDescent="0.35">
      <c r="A1436" s="66" t="s">
        <v>4749</v>
      </c>
      <c r="B1436" s="66" t="s">
        <v>4944</v>
      </c>
      <c r="C1436" s="67"/>
      <c r="D1436" s="68"/>
      <c r="E1436" s="69"/>
      <c r="F1436" s="70"/>
      <c r="G1436" s="67"/>
      <c r="H1436" s="71"/>
      <c r="I1436" s="72"/>
      <c r="J1436" s="72"/>
      <c r="K1436" s="36"/>
      <c r="L1436" s="79"/>
      <c r="M1436" s="79"/>
      <c r="N1436" s="74"/>
      <c r="O1436" s="81" t="s">
        <v>693</v>
      </c>
      <c r="P1436" s="83">
        <v>44465.990636574075</v>
      </c>
      <c r="Q1436" s="81" t="s">
        <v>5505</v>
      </c>
      <c r="R1436" s="81"/>
      <c r="S1436" s="81"/>
      <c r="T1436" s="81"/>
      <c r="U1436" s="81"/>
      <c r="V1436" s="84" t="str">
        <f>HYPERLINK("https://pbs.twimg.com/profile_images/343631509/FIL2019_normal.JPG")</f>
        <v>https://pbs.twimg.com/profile_images/343631509/FIL2019_normal.JPG</v>
      </c>
      <c r="W1436" s="83">
        <v>44465.990636574075</v>
      </c>
      <c r="X1436" s="89">
        <v>44465</v>
      </c>
      <c r="Y1436" s="86" t="s">
        <v>6393</v>
      </c>
      <c r="Z1436" s="84" t="str">
        <f>HYPERLINK("https://twitter.com/lincolnloos/status/1442274417208217606")</f>
        <v>https://twitter.com/lincolnloos/status/1442274417208217606</v>
      </c>
      <c r="AA1436" s="81"/>
      <c r="AB1436" s="81"/>
      <c r="AC1436" s="86" t="s">
        <v>7309</v>
      </c>
      <c r="AD1436" s="81"/>
      <c r="AE1436" s="81" t="b">
        <v>0</v>
      </c>
      <c r="AF1436" s="81">
        <v>0</v>
      </c>
      <c r="AG1436" s="86" t="s">
        <v>2084</v>
      </c>
      <c r="AH1436" s="81" t="b">
        <v>0</v>
      </c>
      <c r="AI1436" s="81" t="s">
        <v>2171</v>
      </c>
      <c r="AJ1436" s="81"/>
      <c r="AK1436" s="86" t="s">
        <v>2084</v>
      </c>
      <c r="AL1436" s="81" t="b">
        <v>0</v>
      </c>
      <c r="AM1436" s="81">
        <v>255</v>
      </c>
      <c r="AN1436" s="86" t="s">
        <v>7543</v>
      </c>
      <c r="AO1436" s="86" t="s">
        <v>2178</v>
      </c>
      <c r="AP1436" s="81" t="b">
        <v>0</v>
      </c>
      <c r="AQ1436" s="86" t="s">
        <v>7543</v>
      </c>
      <c r="AR1436" s="81" t="s">
        <v>179</v>
      </c>
      <c r="AS1436" s="81">
        <v>0</v>
      </c>
      <c r="AT1436" s="81">
        <v>0</v>
      </c>
      <c r="AU1436" s="81"/>
      <c r="AV1436" s="81"/>
      <c r="AW1436" s="81"/>
      <c r="AX1436" s="81"/>
      <c r="AY1436" s="81"/>
      <c r="AZ1436" s="81"/>
      <c r="BA1436" s="81"/>
      <c r="BB1436" s="81"/>
    </row>
    <row r="1437" spans="1:54" x14ac:dyDescent="0.35">
      <c r="A1437" s="66" t="s">
        <v>4750</v>
      </c>
      <c r="B1437" s="66" t="s">
        <v>4944</v>
      </c>
      <c r="C1437" s="67"/>
      <c r="D1437" s="68"/>
      <c r="E1437" s="69"/>
      <c r="F1437" s="70"/>
      <c r="G1437" s="67"/>
      <c r="H1437" s="71"/>
      <c r="I1437" s="72"/>
      <c r="J1437" s="72"/>
      <c r="K1437" s="36"/>
      <c r="L1437" s="79"/>
      <c r="M1437" s="79"/>
      <c r="N1437" s="74"/>
      <c r="O1437" s="81" t="s">
        <v>693</v>
      </c>
      <c r="P1437" s="83">
        <v>44466.005624999998</v>
      </c>
      <c r="Q1437" s="81" t="s">
        <v>5505</v>
      </c>
      <c r="R1437" s="81"/>
      <c r="S1437" s="81"/>
      <c r="T1437" s="81"/>
      <c r="U1437" s="81"/>
      <c r="V1437" s="84" t="str">
        <f>HYPERLINK("https://pbs.twimg.com/profile_images/1346043870379995136/jgb9bUc1_normal.jpg")</f>
        <v>https://pbs.twimg.com/profile_images/1346043870379995136/jgb9bUc1_normal.jpg</v>
      </c>
      <c r="W1437" s="83">
        <v>44466.005624999998</v>
      </c>
      <c r="X1437" s="89">
        <v>44466</v>
      </c>
      <c r="Y1437" s="86" t="s">
        <v>6394</v>
      </c>
      <c r="Z1437" s="84" t="str">
        <f>HYPERLINK("https://twitter.com/paulinhopt2020/status/1442279848089640960")</f>
        <v>https://twitter.com/paulinhopt2020/status/1442279848089640960</v>
      </c>
      <c r="AA1437" s="81"/>
      <c r="AB1437" s="81"/>
      <c r="AC1437" s="86" t="s">
        <v>7310</v>
      </c>
      <c r="AD1437" s="81"/>
      <c r="AE1437" s="81" t="b">
        <v>0</v>
      </c>
      <c r="AF1437" s="81">
        <v>0</v>
      </c>
      <c r="AG1437" s="86" t="s">
        <v>2084</v>
      </c>
      <c r="AH1437" s="81" t="b">
        <v>0</v>
      </c>
      <c r="AI1437" s="81" t="s">
        <v>2171</v>
      </c>
      <c r="AJ1437" s="81"/>
      <c r="AK1437" s="86" t="s">
        <v>2084</v>
      </c>
      <c r="AL1437" s="81" t="b">
        <v>0</v>
      </c>
      <c r="AM1437" s="81">
        <v>255</v>
      </c>
      <c r="AN1437" s="86" t="s">
        <v>7543</v>
      </c>
      <c r="AO1437" s="86" t="s">
        <v>2181</v>
      </c>
      <c r="AP1437" s="81" t="b">
        <v>0</v>
      </c>
      <c r="AQ1437" s="86" t="s">
        <v>7543</v>
      </c>
      <c r="AR1437" s="81" t="s">
        <v>179</v>
      </c>
      <c r="AS1437" s="81">
        <v>0</v>
      </c>
      <c r="AT1437" s="81">
        <v>0</v>
      </c>
      <c r="AU1437" s="81"/>
      <c r="AV1437" s="81"/>
      <c r="AW1437" s="81"/>
      <c r="AX1437" s="81"/>
      <c r="AY1437" s="81"/>
      <c r="AZ1437" s="81"/>
      <c r="BA1437" s="81"/>
      <c r="BB1437" s="81"/>
    </row>
    <row r="1438" spans="1:54" x14ac:dyDescent="0.35">
      <c r="A1438" s="66" t="s">
        <v>4751</v>
      </c>
      <c r="B1438" s="66" t="s">
        <v>4751</v>
      </c>
      <c r="C1438" s="67"/>
      <c r="D1438" s="68"/>
      <c r="E1438" s="69"/>
      <c r="F1438" s="70"/>
      <c r="G1438" s="67"/>
      <c r="H1438" s="71"/>
      <c r="I1438" s="72"/>
      <c r="J1438" s="72"/>
      <c r="K1438" s="36"/>
      <c r="L1438" s="79"/>
      <c r="M1438" s="79"/>
      <c r="N1438" s="74"/>
      <c r="O1438" s="81" t="s">
        <v>179</v>
      </c>
      <c r="P1438" s="83">
        <v>44466.013553240744</v>
      </c>
      <c r="Q1438" s="81" t="s">
        <v>5528</v>
      </c>
      <c r="R1438" s="81"/>
      <c r="S1438" s="81"/>
      <c r="T1438" s="81"/>
      <c r="U1438" s="81"/>
      <c r="V1438" s="84" t="str">
        <f>HYPERLINK("https://pbs.twimg.com/profile_images/1438114016312758272/a1pNGArH_normal.jpg")</f>
        <v>https://pbs.twimg.com/profile_images/1438114016312758272/a1pNGArH_normal.jpg</v>
      </c>
      <c r="W1438" s="83">
        <v>44466.013553240744</v>
      </c>
      <c r="X1438" s="89">
        <v>44466</v>
      </c>
      <c r="Y1438" s="86" t="s">
        <v>6395</v>
      </c>
      <c r="Z1438" s="84" t="str">
        <f>HYPERLINK("https://twitter.com/starsuka_ff14/status/1442282719875006467")</f>
        <v>https://twitter.com/starsuka_ff14/status/1442282719875006467</v>
      </c>
      <c r="AA1438" s="81"/>
      <c r="AB1438" s="81"/>
      <c r="AC1438" s="86" t="s">
        <v>7311</v>
      </c>
      <c r="AD1438" s="81"/>
      <c r="AE1438" s="81" t="b">
        <v>0</v>
      </c>
      <c r="AF1438" s="81">
        <v>0</v>
      </c>
      <c r="AG1438" s="86" t="s">
        <v>2084</v>
      </c>
      <c r="AH1438" s="81" t="b">
        <v>0</v>
      </c>
      <c r="AI1438" s="81" t="s">
        <v>2169</v>
      </c>
      <c r="AJ1438" s="81"/>
      <c r="AK1438" s="86" t="s">
        <v>2084</v>
      </c>
      <c r="AL1438" s="81" t="b">
        <v>0</v>
      </c>
      <c r="AM1438" s="81">
        <v>0</v>
      </c>
      <c r="AN1438" s="86" t="s">
        <v>2084</v>
      </c>
      <c r="AO1438" s="86" t="s">
        <v>2179</v>
      </c>
      <c r="AP1438" s="81" t="b">
        <v>0</v>
      </c>
      <c r="AQ1438" s="86" t="s">
        <v>7311</v>
      </c>
      <c r="AR1438" s="81" t="s">
        <v>179</v>
      </c>
      <c r="AS1438" s="81">
        <v>0</v>
      </c>
      <c r="AT1438" s="81">
        <v>0</v>
      </c>
      <c r="AU1438" s="81"/>
      <c r="AV1438" s="81"/>
      <c r="AW1438" s="81"/>
      <c r="AX1438" s="81"/>
      <c r="AY1438" s="81"/>
      <c r="AZ1438" s="81"/>
      <c r="BA1438" s="81"/>
      <c r="BB1438" s="81"/>
    </row>
    <row r="1439" spans="1:54" x14ac:dyDescent="0.35">
      <c r="A1439" s="66" t="s">
        <v>4752</v>
      </c>
      <c r="B1439" s="66" t="s">
        <v>4752</v>
      </c>
      <c r="C1439" s="67"/>
      <c r="D1439" s="68"/>
      <c r="E1439" s="69"/>
      <c r="F1439" s="70"/>
      <c r="G1439" s="67"/>
      <c r="H1439" s="71"/>
      <c r="I1439" s="72"/>
      <c r="J1439" s="72"/>
      <c r="K1439" s="36"/>
      <c r="L1439" s="79"/>
      <c r="M1439" s="79"/>
      <c r="N1439" s="74"/>
      <c r="O1439" s="81" t="s">
        <v>179</v>
      </c>
      <c r="P1439" s="83">
        <v>44466.018229166664</v>
      </c>
      <c r="Q1439" s="81" t="s">
        <v>5529</v>
      </c>
      <c r="R1439" s="81"/>
      <c r="S1439" s="81"/>
      <c r="T1439" s="81"/>
      <c r="U1439" s="81"/>
      <c r="V1439" s="84" t="str">
        <f>HYPERLINK("https://pbs.twimg.com/profile_images/1373080996749451267/9JdkuJth_normal.jpg")</f>
        <v>https://pbs.twimg.com/profile_images/1373080996749451267/9JdkuJth_normal.jpg</v>
      </c>
      <c r="W1439" s="83">
        <v>44466.018229166664</v>
      </c>
      <c r="X1439" s="89">
        <v>44466</v>
      </c>
      <c r="Y1439" s="86" t="s">
        <v>6396</v>
      </c>
      <c r="Z1439" s="84" t="str">
        <f>HYPERLINK("https://twitter.com/ataminhaquerida/status/1442284416349442049")</f>
        <v>https://twitter.com/ataminhaquerida/status/1442284416349442049</v>
      </c>
      <c r="AA1439" s="81"/>
      <c r="AB1439" s="81"/>
      <c r="AC1439" s="86" t="s">
        <v>7312</v>
      </c>
      <c r="AD1439" s="81"/>
      <c r="AE1439" s="81" t="b">
        <v>0</v>
      </c>
      <c r="AF1439" s="81">
        <v>1</v>
      </c>
      <c r="AG1439" s="86" t="s">
        <v>2084</v>
      </c>
      <c r="AH1439" s="81" t="b">
        <v>0</v>
      </c>
      <c r="AI1439" s="81" t="s">
        <v>2171</v>
      </c>
      <c r="AJ1439" s="81"/>
      <c r="AK1439" s="86" t="s">
        <v>2084</v>
      </c>
      <c r="AL1439" s="81" t="b">
        <v>0</v>
      </c>
      <c r="AM1439" s="81">
        <v>0</v>
      </c>
      <c r="AN1439" s="86" t="s">
        <v>2084</v>
      </c>
      <c r="AO1439" s="86" t="s">
        <v>2178</v>
      </c>
      <c r="AP1439" s="81" t="b">
        <v>0</v>
      </c>
      <c r="AQ1439" s="86" t="s">
        <v>7312</v>
      </c>
      <c r="AR1439" s="81" t="s">
        <v>179</v>
      </c>
      <c r="AS1439" s="81">
        <v>0</v>
      </c>
      <c r="AT1439" s="81">
        <v>0</v>
      </c>
      <c r="AU1439" s="81"/>
      <c r="AV1439" s="81"/>
      <c r="AW1439" s="81"/>
      <c r="AX1439" s="81"/>
      <c r="AY1439" s="81"/>
      <c r="AZ1439" s="81"/>
      <c r="BA1439" s="81"/>
      <c r="BB1439" s="81"/>
    </row>
    <row r="1440" spans="1:54" x14ac:dyDescent="0.35">
      <c r="A1440" s="66" t="s">
        <v>4753</v>
      </c>
      <c r="B1440" s="66" t="s">
        <v>4944</v>
      </c>
      <c r="C1440" s="67"/>
      <c r="D1440" s="68"/>
      <c r="E1440" s="69"/>
      <c r="F1440" s="70"/>
      <c r="G1440" s="67"/>
      <c r="H1440" s="71"/>
      <c r="I1440" s="72"/>
      <c r="J1440" s="72"/>
      <c r="K1440" s="36"/>
      <c r="L1440" s="79"/>
      <c r="M1440" s="79"/>
      <c r="N1440" s="74"/>
      <c r="O1440" s="81" t="s">
        <v>693</v>
      </c>
      <c r="P1440" s="83">
        <v>44466.034814814811</v>
      </c>
      <c r="Q1440" s="81" t="s">
        <v>5505</v>
      </c>
      <c r="R1440" s="81"/>
      <c r="S1440" s="81"/>
      <c r="T1440" s="81"/>
      <c r="U1440" s="81"/>
      <c r="V1440" s="84" t="str">
        <f>HYPERLINK("https://pbs.twimg.com/profile_images/1442458939661201410/VTnqsWwd_normal.jpg")</f>
        <v>https://pbs.twimg.com/profile_images/1442458939661201410/VTnqsWwd_normal.jpg</v>
      </c>
      <c r="W1440" s="83">
        <v>44466.034814814811</v>
      </c>
      <c r="X1440" s="89">
        <v>44466</v>
      </c>
      <c r="Y1440" s="86" t="s">
        <v>6397</v>
      </c>
      <c r="Z1440" s="84" t="str">
        <f>HYPERLINK("https://twitter.com/semtaramela/status/1442290425977581574")</f>
        <v>https://twitter.com/semtaramela/status/1442290425977581574</v>
      </c>
      <c r="AA1440" s="81"/>
      <c r="AB1440" s="81"/>
      <c r="AC1440" s="86" t="s">
        <v>7313</v>
      </c>
      <c r="AD1440" s="81"/>
      <c r="AE1440" s="81" t="b">
        <v>0</v>
      </c>
      <c r="AF1440" s="81">
        <v>0</v>
      </c>
      <c r="AG1440" s="86" t="s">
        <v>2084</v>
      </c>
      <c r="AH1440" s="81" t="b">
        <v>0</v>
      </c>
      <c r="AI1440" s="81" t="s">
        <v>2171</v>
      </c>
      <c r="AJ1440" s="81"/>
      <c r="AK1440" s="86" t="s">
        <v>2084</v>
      </c>
      <c r="AL1440" s="81" t="b">
        <v>0</v>
      </c>
      <c r="AM1440" s="81">
        <v>255</v>
      </c>
      <c r="AN1440" s="86" t="s">
        <v>7543</v>
      </c>
      <c r="AO1440" s="86" t="s">
        <v>2178</v>
      </c>
      <c r="AP1440" s="81" t="b">
        <v>0</v>
      </c>
      <c r="AQ1440" s="86" t="s">
        <v>7543</v>
      </c>
      <c r="AR1440" s="81" t="s">
        <v>179</v>
      </c>
      <c r="AS1440" s="81">
        <v>0</v>
      </c>
      <c r="AT1440" s="81">
        <v>0</v>
      </c>
      <c r="AU1440" s="81"/>
      <c r="AV1440" s="81"/>
      <c r="AW1440" s="81"/>
      <c r="AX1440" s="81"/>
      <c r="AY1440" s="81"/>
      <c r="AZ1440" s="81"/>
      <c r="BA1440" s="81"/>
      <c r="BB1440" s="81"/>
    </row>
    <row r="1441" spans="1:54" x14ac:dyDescent="0.35">
      <c r="A1441" s="66" t="s">
        <v>4754</v>
      </c>
      <c r="B1441" s="66" t="s">
        <v>4944</v>
      </c>
      <c r="C1441" s="67"/>
      <c r="D1441" s="68"/>
      <c r="E1441" s="69"/>
      <c r="F1441" s="70"/>
      <c r="G1441" s="67"/>
      <c r="H1441" s="71"/>
      <c r="I1441" s="72"/>
      <c r="J1441" s="72"/>
      <c r="K1441" s="36"/>
      <c r="L1441" s="79"/>
      <c r="M1441" s="79"/>
      <c r="N1441" s="74"/>
      <c r="O1441" s="81" t="s">
        <v>693</v>
      </c>
      <c r="P1441" s="83">
        <v>44466.035196759258</v>
      </c>
      <c r="Q1441" s="81" t="s">
        <v>5505</v>
      </c>
      <c r="R1441" s="81"/>
      <c r="S1441" s="81"/>
      <c r="T1441" s="81"/>
      <c r="U1441" s="81"/>
      <c r="V1441" s="84" t="str">
        <f>HYPERLINK("https://pbs.twimg.com/profile_images/1210054656749133824/2TmIVBBZ_normal.jpg")</f>
        <v>https://pbs.twimg.com/profile_images/1210054656749133824/2TmIVBBZ_normal.jpg</v>
      </c>
      <c r="W1441" s="83">
        <v>44466.035196759258</v>
      </c>
      <c r="X1441" s="89">
        <v>44466</v>
      </c>
      <c r="Y1441" s="86" t="s">
        <v>6398</v>
      </c>
      <c r="Z1441" s="84" t="str">
        <f>HYPERLINK("https://twitter.com/barretonessa/status/1442290564465057798")</f>
        <v>https://twitter.com/barretonessa/status/1442290564465057798</v>
      </c>
      <c r="AA1441" s="81"/>
      <c r="AB1441" s="81"/>
      <c r="AC1441" s="86" t="s">
        <v>7314</v>
      </c>
      <c r="AD1441" s="81"/>
      <c r="AE1441" s="81" t="b">
        <v>0</v>
      </c>
      <c r="AF1441" s="81">
        <v>0</v>
      </c>
      <c r="AG1441" s="86" t="s">
        <v>2084</v>
      </c>
      <c r="AH1441" s="81" t="b">
        <v>0</v>
      </c>
      <c r="AI1441" s="81" t="s">
        <v>2171</v>
      </c>
      <c r="AJ1441" s="81"/>
      <c r="AK1441" s="86" t="s">
        <v>2084</v>
      </c>
      <c r="AL1441" s="81" t="b">
        <v>0</v>
      </c>
      <c r="AM1441" s="81">
        <v>255</v>
      </c>
      <c r="AN1441" s="86" t="s">
        <v>7543</v>
      </c>
      <c r="AO1441" s="86" t="s">
        <v>2178</v>
      </c>
      <c r="AP1441" s="81" t="b">
        <v>0</v>
      </c>
      <c r="AQ1441" s="86" t="s">
        <v>7543</v>
      </c>
      <c r="AR1441" s="81" t="s">
        <v>179</v>
      </c>
      <c r="AS1441" s="81">
        <v>0</v>
      </c>
      <c r="AT1441" s="81">
        <v>0</v>
      </c>
      <c r="AU1441" s="81"/>
      <c r="AV1441" s="81"/>
      <c r="AW1441" s="81"/>
      <c r="AX1441" s="81"/>
      <c r="AY1441" s="81"/>
      <c r="AZ1441" s="81"/>
      <c r="BA1441" s="81"/>
      <c r="BB1441" s="81"/>
    </row>
    <row r="1442" spans="1:54" x14ac:dyDescent="0.35">
      <c r="A1442" s="66" t="s">
        <v>4755</v>
      </c>
      <c r="B1442" s="66" t="s">
        <v>4944</v>
      </c>
      <c r="C1442" s="67"/>
      <c r="D1442" s="68"/>
      <c r="E1442" s="69"/>
      <c r="F1442" s="70"/>
      <c r="G1442" s="67"/>
      <c r="H1442" s="71"/>
      <c r="I1442" s="72"/>
      <c r="J1442" s="72"/>
      <c r="K1442" s="36"/>
      <c r="L1442" s="79"/>
      <c r="M1442" s="79"/>
      <c r="N1442" s="74"/>
      <c r="O1442" s="81" t="s">
        <v>693</v>
      </c>
      <c r="P1442" s="83">
        <v>44466.035902777781</v>
      </c>
      <c r="Q1442" s="81" t="s">
        <v>5505</v>
      </c>
      <c r="R1442" s="81"/>
      <c r="S1442" s="81"/>
      <c r="T1442" s="81"/>
      <c r="U1442" s="81"/>
      <c r="V1442" s="84" t="str">
        <f>HYPERLINK("https://pbs.twimg.com/profile_images/541277815203569664/cr_dKkyM_normal.jpeg")</f>
        <v>https://pbs.twimg.com/profile_images/541277815203569664/cr_dKkyM_normal.jpeg</v>
      </c>
      <c r="W1442" s="83">
        <v>44466.035902777781</v>
      </c>
      <c r="X1442" s="89">
        <v>44466</v>
      </c>
      <c r="Y1442" s="86" t="s">
        <v>6399</v>
      </c>
      <c r="Z1442" s="84" t="str">
        <f>HYPERLINK("https://twitter.com/zabumbista/status/1442290818186977280")</f>
        <v>https://twitter.com/zabumbista/status/1442290818186977280</v>
      </c>
      <c r="AA1442" s="81"/>
      <c r="AB1442" s="81"/>
      <c r="AC1442" s="86" t="s">
        <v>7315</v>
      </c>
      <c r="AD1442" s="81"/>
      <c r="AE1442" s="81" t="b">
        <v>0</v>
      </c>
      <c r="AF1442" s="81">
        <v>0</v>
      </c>
      <c r="AG1442" s="86" t="s">
        <v>2084</v>
      </c>
      <c r="AH1442" s="81" t="b">
        <v>0</v>
      </c>
      <c r="AI1442" s="81" t="s">
        <v>2171</v>
      </c>
      <c r="AJ1442" s="81"/>
      <c r="AK1442" s="86" t="s">
        <v>2084</v>
      </c>
      <c r="AL1442" s="81" t="b">
        <v>0</v>
      </c>
      <c r="AM1442" s="81">
        <v>255</v>
      </c>
      <c r="AN1442" s="86" t="s">
        <v>7543</v>
      </c>
      <c r="AO1442" s="86" t="s">
        <v>2181</v>
      </c>
      <c r="AP1442" s="81" t="b">
        <v>0</v>
      </c>
      <c r="AQ1442" s="86" t="s">
        <v>7543</v>
      </c>
      <c r="AR1442" s="81" t="s">
        <v>179</v>
      </c>
      <c r="AS1442" s="81">
        <v>0</v>
      </c>
      <c r="AT1442" s="81">
        <v>0</v>
      </c>
      <c r="AU1442" s="81"/>
      <c r="AV1442" s="81"/>
      <c r="AW1442" s="81"/>
      <c r="AX1442" s="81"/>
      <c r="AY1442" s="81"/>
      <c r="AZ1442" s="81"/>
      <c r="BA1442" s="81"/>
      <c r="BB1442" s="81"/>
    </row>
    <row r="1443" spans="1:54" x14ac:dyDescent="0.35">
      <c r="A1443" s="66" t="s">
        <v>4756</v>
      </c>
      <c r="B1443" s="66" t="s">
        <v>4944</v>
      </c>
      <c r="C1443" s="67"/>
      <c r="D1443" s="68"/>
      <c r="E1443" s="69"/>
      <c r="F1443" s="70"/>
      <c r="G1443" s="67"/>
      <c r="H1443" s="71"/>
      <c r="I1443" s="72"/>
      <c r="J1443" s="72"/>
      <c r="K1443" s="36"/>
      <c r="L1443" s="79"/>
      <c r="M1443" s="79"/>
      <c r="N1443" s="74"/>
      <c r="O1443" s="81" t="s">
        <v>693</v>
      </c>
      <c r="P1443" s="83">
        <v>44466.037476851852</v>
      </c>
      <c r="Q1443" s="81" t="s">
        <v>5505</v>
      </c>
      <c r="R1443" s="81"/>
      <c r="S1443" s="81"/>
      <c r="T1443" s="81"/>
      <c r="U1443" s="81"/>
      <c r="V1443" s="84" t="str">
        <f>HYPERLINK("https://pbs.twimg.com/profile_images/1549881969/400920726_normal.jpg")</f>
        <v>https://pbs.twimg.com/profile_images/1549881969/400920726_normal.jpg</v>
      </c>
      <c r="W1443" s="83">
        <v>44466.037476851852</v>
      </c>
      <c r="X1443" s="89">
        <v>44466</v>
      </c>
      <c r="Y1443" s="86" t="s">
        <v>6400</v>
      </c>
      <c r="Z1443" s="84" t="str">
        <f>HYPERLINK("https://twitter.com/br_green_heart/status/1442291388159123462")</f>
        <v>https://twitter.com/br_green_heart/status/1442291388159123462</v>
      </c>
      <c r="AA1443" s="81"/>
      <c r="AB1443" s="81"/>
      <c r="AC1443" s="86" t="s">
        <v>7316</v>
      </c>
      <c r="AD1443" s="81"/>
      <c r="AE1443" s="81" t="b">
        <v>0</v>
      </c>
      <c r="AF1443" s="81">
        <v>0</v>
      </c>
      <c r="AG1443" s="86" t="s">
        <v>2084</v>
      </c>
      <c r="AH1443" s="81" t="b">
        <v>0</v>
      </c>
      <c r="AI1443" s="81" t="s">
        <v>2171</v>
      </c>
      <c r="AJ1443" s="81"/>
      <c r="AK1443" s="86" t="s">
        <v>2084</v>
      </c>
      <c r="AL1443" s="81" t="b">
        <v>0</v>
      </c>
      <c r="AM1443" s="81">
        <v>255</v>
      </c>
      <c r="AN1443" s="86" t="s">
        <v>7543</v>
      </c>
      <c r="AO1443" s="86" t="s">
        <v>2181</v>
      </c>
      <c r="AP1443" s="81" t="b">
        <v>0</v>
      </c>
      <c r="AQ1443" s="86" t="s">
        <v>7543</v>
      </c>
      <c r="AR1443" s="81" t="s">
        <v>179</v>
      </c>
      <c r="AS1443" s="81">
        <v>0</v>
      </c>
      <c r="AT1443" s="81">
        <v>0</v>
      </c>
      <c r="AU1443" s="81"/>
      <c r="AV1443" s="81"/>
      <c r="AW1443" s="81"/>
      <c r="AX1443" s="81"/>
      <c r="AY1443" s="81"/>
      <c r="AZ1443" s="81"/>
      <c r="BA1443" s="81"/>
      <c r="BB1443" s="81"/>
    </row>
    <row r="1444" spans="1:54" x14ac:dyDescent="0.35">
      <c r="A1444" s="66" t="s">
        <v>4757</v>
      </c>
      <c r="B1444" s="66" t="s">
        <v>4944</v>
      </c>
      <c r="C1444" s="67"/>
      <c r="D1444" s="68"/>
      <c r="E1444" s="69"/>
      <c r="F1444" s="70"/>
      <c r="G1444" s="67"/>
      <c r="H1444" s="71"/>
      <c r="I1444" s="72"/>
      <c r="J1444" s="72"/>
      <c r="K1444" s="36"/>
      <c r="L1444" s="79"/>
      <c r="M1444" s="79"/>
      <c r="N1444" s="74"/>
      <c r="O1444" s="81" t="s">
        <v>693</v>
      </c>
      <c r="P1444" s="83">
        <v>44466.042037037034</v>
      </c>
      <c r="Q1444" s="81" t="s">
        <v>5505</v>
      </c>
      <c r="R1444" s="81"/>
      <c r="S1444" s="81"/>
      <c r="T1444" s="81"/>
      <c r="U1444" s="81"/>
      <c r="V1444" s="84" t="str">
        <f>HYPERLINK("https://pbs.twimg.com/profile_images/908506652533514240/_qu7eZCH_normal.jpg")</f>
        <v>https://pbs.twimg.com/profile_images/908506652533514240/_qu7eZCH_normal.jpg</v>
      </c>
      <c r="W1444" s="83">
        <v>44466.042037037034</v>
      </c>
      <c r="X1444" s="89">
        <v>44466</v>
      </c>
      <c r="Y1444" s="86" t="s">
        <v>6401</v>
      </c>
      <c r="Z1444" s="84" t="str">
        <f>HYPERLINK("https://twitter.com/lia004_/status/1442293040987713536")</f>
        <v>https://twitter.com/lia004_/status/1442293040987713536</v>
      </c>
      <c r="AA1444" s="81"/>
      <c r="AB1444" s="81"/>
      <c r="AC1444" s="86" t="s">
        <v>7317</v>
      </c>
      <c r="AD1444" s="81"/>
      <c r="AE1444" s="81" t="b">
        <v>0</v>
      </c>
      <c r="AF1444" s="81">
        <v>0</v>
      </c>
      <c r="AG1444" s="86" t="s">
        <v>2084</v>
      </c>
      <c r="AH1444" s="81" t="b">
        <v>0</v>
      </c>
      <c r="AI1444" s="81" t="s">
        <v>2171</v>
      </c>
      <c r="AJ1444" s="81"/>
      <c r="AK1444" s="86" t="s">
        <v>2084</v>
      </c>
      <c r="AL1444" s="81" t="b">
        <v>0</v>
      </c>
      <c r="AM1444" s="81">
        <v>255</v>
      </c>
      <c r="AN1444" s="86" t="s">
        <v>7543</v>
      </c>
      <c r="AO1444" s="86" t="s">
        <v>2181</v>
      </c>
      <c r="AP1444" s="81" t="b">
        <v>0</v>
      </c>
      <c r="AQ1444" s="86" t="s">
        <v>7543</v>
      </c>
      <c r="AR1444" s="81" t="s">
        <v>179</v>
      </c>
      <c r="AS1444" s="81">
        <v>0</v>
      </c>
      <c r="AT1444" s="81">
        <v>0</v>
      </c>
      <c r="AU1444" s="81"/>
      <c r="AV1444" s="81"/>
      <c r="AW1444" s="81"/>
      <c r="AX1444" s="81"/>
      <c r="AY1444" s="81"/>
      <c r="AZ1444" s="81"/>
      <c r="BA1444" s="81"/>
      <c r="BB1444" s="81"/>
    </row>
    <row r="1445" spans="1:54" x14ac:dyDescent="0.35">
      <c r="A1445" s="66" t="s">
        <v>4758</v>
      </c>
      <c r="B1445" s="66" t="s">
        <v>4944</v>
      </c>
      <c r="C1445" s="67"/>
      <c r="D1445" s="68"/>
      <c r="E1445" s="69"/>
      <c r="F1445" s="70"/>
      <c r="G1445" s="67"/>
      <c r="H1445" s="71"/>
      <c r="I1445" s="72"/>
      <c r="J1445" s="72"/>
      <c r="K1445" s="36"/>
      <c r="L1445" s="79"/>
      <c r="M1445" s="79"/>
      <c r="N1445" s="74"/>
      <c r="O1445" s="81" t="s">
        <v>693</v>
      </c>
      <c r="P1445" s="83">
        <v>44466.042523148149</v>
      </c>
      <c r="Q1445" s="81" t="s">
        <v>5505</v>
      </c>
      <c r="R1445" s="81"/>
      <c r="S1445" s="81"/>
      <c r="T1445" s="81"/>
      <c r="U1445" s="81"/>
      <c r="V1445" s="84" t="str">
        <f>HYPERLINK("https://pbs.twimg.com/profile_images/1442621541771010055/sfb02xA2_normal.jpg")</f>
        <v>https://pbs.twimg.com/profile_images/1442621541771010055/sfb02xA2_normal.jpg</v>
      </c>
      <c r="W1445" s="83">
        <v>44466.042523148149</v>
      </c>
      <c r="X1445" s="89">
        <v>44466</v>
      </c>
      <c r="Y1445" s="86" t="s">
        <v>6402</v>
      </c>
      <c r="Z1445" s="84" t="str">
        <f>HYPERLINK("https://twitter.com/fabi_muniz/status/1442293218238894080")</f>
        <v>https://twitter.com/fabi_muniz/status/1442293218238894080</v>
      </c>
      <c r="AA1445" s="81"/>
      <c r="AB1445" s="81"/>
      <c r="AC1445" s="86" t="s">
        <v>7318</v>
      </c>
      <c r="AD1445" s="81"/>
      <c r="AE1445" s="81" t="b">
        <v>0</v>
      </c>
      <c r="AF1445" s="81">
        <v>0</v>
      </c>
      <c r="AG1445" s="86" t="s">
        <v>2084</v>
      </c>
      <c r="AH1445" s="81" t="b">
        <v>0</v>
      </c>
      <c r="AI1445" s="81" t="s">
        <v>2171</v>
      </c>
      <c r="AJ1445" s="81"/>
      <c r="AK1445" s="86" t="s">
        <v>2084</v>
      </c>
      <c r="AL1445" s="81" t="b">
        <v>0</v>
      </c>
      <c r="AM1445" s="81">
        <v>255</v>
      </c>
      <c r="AN1445" s="86" t="s">
        <v>7543</v>
      </c>
      <c r="AO1445" s="86" t="s">
        <v>2178</v>
      </c>
      <c r="AP1445" s="81" t="b">
        <v>0</v>
      </c>
      <c r="AQ1445" s="86" t="s">
        <v>7543</v>
      </c>
      <c r="AR1445" s="81" t="s">
        <v>179</v>
      </c>
      <c r="AS1445" s="81">
        <v>0</v>
      </c>
      <c r="AT1445" s="81">
        <v>0</v>
      </c>
      <c r="AU1445" s="81"/>
      <c r="AV1445" s="81"/>
      <c r="AW1445" s="81"/>
      <c r="AX1445" s="81"/>
      <c r="AY1445" s="81"/>
      <c r="AZ1445" s="81"/>
      <c r="BA1445" s="81"/>
      <c r="BB1445" s="81"/>
    </row>
    <row r="1446" spans="1:54" x14ac:dyDescent="0.35">
      <c r="A1446" s="66" t="s">
        <v>4759</v>
      </c>
      <c r="B1446" s="66" t="s">
        <v>4944</v>
      </c>
      <c r="C1446" s="67"/>
      <c r="D1446" s="68"/>
      <c r="E1446" s="69"/>
      <c r="F1446" s="70"/>
      <c r="G1446" s="67"/>
      <c r="H1446" s="71"/>
      <c r="I1446" s="72"/>
      <c r="J1446" s="72"/>
      <c r="K1446" s="36"/>
      <c r="L1446" s="79"/>
      <c r="M1446" s="79"/>
      <c r="N1446" s="74"/>
      <c r="O1446" s="81" t="s">
        <v>693</v>
      </c>
      <c r="P1446" s="83">
        <v>44466.043541666666</v>
      </c>
      <c r="Q1446" s="81" t="s">
        <v>5505</v>
      </c>
      <c r="R1446" s="81"/>
      <c r="S1446" s="81"/>
      <c r="T1446" s="81"/>
      <c r="U1446" s="81"/>
      <c r="V1446" s="84" t="str">
        <f>HYPERLINK("https://abs.twimg.com/sticky/default_profile_images/default_profile_normal.png")</f>
        <v>https://abs.twimg.com/sticky/default_profile_images/default_profile_normal.png</v>
      </c>
      <c r="W1446" s="83">
        <v>44466.043541666666</v>
      </c>
      <c r="X1446" s="89">
        <v>44466</v>
      </c>
      <c r="Y1446" s="86" t="s">
        <v>6403</v>
      </c>
      <c r="Z1446" s="84" t="str">
        <f>HYPERLINK("https://twitter.com/lucier96025171/status/1442293585764835336")</f>
        <v>https://twitter.com/lucier96025171/status/1442293585764835336</v>
      </c>
      <c r="AA1446" s="81"/>
      <c r="AB1446" s="81"/>
      <c r="AC1446" s="86" t="s">
        <v>7319</v>
      </c>
      <c r="AD1446" s="81"/>
      <c r="AE1446" s="81" t="b">
        <v>0</v>
      </c>
      <c r="AF1446" s="81">
        <v>0</v>
      </c>
      <c r="AG1446" s="86" t="s">
        <v>2084</v>
      </c>
      <c r="AH1446" s="81" t="b">
        <v>0</v>
      </c>
      <c r="AI1446" s="81" t="s">
        <v>2171</v>
      </c>
      <c r="AJ1446" s="81"/>
      <c r="AK1446" s="86" t="s">
        <v>2084</v>
      </c>
      <c r="AL1446" s="81" t="b">
        <v>0</v>
      </c>
      <c r="AM1446" s="81">
        <v>255</v>
      </c>
      <c r="AN1446" s="86" t="s">
        <v>7543</v>
      </c>
      <c r="AO1446" s="86" t="s">
        <v>2181</v>
      </c>
      <c r="AP1446" s="81" t="b">
        <v>0</v>
      </c>
      <c r="AQ1446" s="86" t="s">
        <v>7543</v>
      </c>
      <c r="AR1446" s="81" t="s">
        <v>179</v>
      </c>
      <c r="AS1446" s="81">
        <v>0</v>
      </c>
      <c r="AT1446" s="81">
        <v>0</v>
      </c>
      <c r="AU1446" s="81"/>
      <c r="AV1446" s="81"/>
      <c r="AW1446" s="81"/>
      <c r="AX1446" s="81"/>
      <c r="AY1446" s="81"/>
      <c r="AZ1446" s="81"/>
      <c r="BA1446" s="81"/>
      <c r="BB1446" s="81"/>
    </row>
    <row r="1447" spans="1:54" x14ac:dyDescent="0.35">
      <c r="A1447" s="66" t="s">
        <v>4760</v>
      </c>
      <c r="B1447" s="66" t="s">
        <v>5150</v>
      </c>
      <c r="C1447" s="67"/>
      <c r="D1447" s="68"/>
      <c r="E1447" s="69"/>
      <c r="F1447" s="70"/>
      <c r="G1447" s="67"/>
      <c r="H1447" s="71"/>
      <c r="I1447" s="72"/>
      <c r="J1447" s="72"/>
      <c r="K1447" s="36"/>
      <c r="L1447" s="79"/>
      <c r="M1447" s="79"/>
      <c r="N1447" s="74"/>
      <c r="O1447" s="81" t="s">
        <v>695</v>
      </c>
      <c r="P1447" s="83">
        <v>44466.055011574077</v>
      </c>
      <c r="Q1447" s="81" t="s">
        <v>5530</v>
      </c>
      <c r="R1447" s="81"/>
      <c r="S1447" s="81"/>
      <c r="T1447" s="81"/>
      <c r="U1447" s="81"/>
      <c r="V1447" s="84" t="str">
        <f>HYPERLINK("https://pbs.twimg.com/profile_images/1440881848436109312/XqZnSI5C_normal.jpg")</f>
        <v>https://pbs.twimg.com/profile_images/1440881848436109312/XqZnSI5C_normal.jpg</v>
      </c>
      <c r="W1447" s="83">
        <v>44466.055011574077</v>
      </c>
      <c r="X1447" s="89">
        <v>44466</v>
      </c>
      <c r="Y1447" s="86" t="s">
        <v>6404</v>
      </c>
      <c r="Z1447" s="84" t="str">
        <f>HYPERLINK("https://twitter.com/josapar99649858/status/1442297745700794370")</f>
        <v>https://twitter.com/josapar99649858/status/1442297745700794370</v>
      </c>
      <c r="AA1447" s="81"/>
      <c r="AB1447" s="81"/>
      <c r="AC1447" s="86" t="s">
        <v>7320</v>
      </c>
      <c r="AD1447" s="86" t="s">
        <v>7723</v>
      </c>
      <c r="AE1447" s="81" t="b">
        <v>0</v>
      </c>
      <c r="AF1447" s="81">
        <v>0</v>
      </c>
      <c r="AG1447" s="86" t="s">
        <v>7898</v>
      </c>
      <c r="AH1447" s="81" t="b">
        <v>0</v>
      </c>
      <c r="AI1447" s="81" t="s">
        <v>2171</v>
      </c>
      <c r="AJ1447" s="81"/>
      <c r="AK1447" s="86" t="s">
        <v>2084</v>
      </c>
      <c r="AL1447" s="81" t="b">
        <v>0</v>
      </c>
      <c r="AM1447" s="81">
        <v>0</v>
      </c>
      <c r="AN1447" s="86" t="s">
        <v>2084</v>
      </c>
      <c r="AO1447" s="86" t="s">
        <v>2178</v>
      </c>
      <c r="AP1447" s="81" t="b">
        <v>0</v>
      </c>
      <c r="AQ1447" s="86" t="s">
        <v>7723</v>
      </c>
      <c r="AR1447" s="81" t="s">
        <v>179</v>
      </c>
      <c r="AS1447" s="81">
        <v>0</v>
      </c>
      <c r="AT1447" s="81">
        <v>0</v>
      </c>
      <c r="AU1447" s="81"/>
      <c r="AV1447" s="81"/>
      <c r="AW1447" s="81"/>
      <c r="AX1447" s="81"/>
      <c r="AY1447" s="81"/>
      <c r="AZ1447" s="81"/>
      <c r="BA1447" s="81"/>
      <c r="BB1447" s="81"/>
    </row>
    <row r="1448" spans="1:54" x14ac:dyDescent="0.35">
      <c r="A1448" s="66" t="s">
        <v>4761</v>
      </c>
      <c r="B1448" s="66" t="s">
        <v>5151</v>
      </c>
      <c r="C1448" s="67"/>
      <c r="D1448" s="68"/>
      <c r="E1448" s="69"/>
      <c r="F1448" s="70"/>
      <c r="G1448" s="67"/>
      <c r="H1448" s="71"/>
      <c r="I1448" s="72"/>
      <c r="J1448" s="72"/>
      <c r="K1448" s="36"/>
      <c r="L1448" s="79"/>
      <c r="M1448" s="79"/>
      <c r="N1448" s="74"/>
      <c r="O1448" s="81" t="s">
        <v>695</v>
      </c>
      <c r="P1448" s="83">
        <v>44466.05736111111</v>
      </c>
      <c r="Q1448" s="81" t="s">
        <v>5531</v>
      </c>
      <c r="R1448" s="81"/>
      <c r="S1448" s="81"/>
      <c r="T1448" s="81"/>
      <c r="U1448" s="81"/>
      <c r="V1448" s="84" t="str">
        <f>HYPERLINK("https://pbs.twimg.com/profile_images/1381559858466586624/8Y4RdM8Y_normal.jpg")</f>
        <v>https://pbs.twimg.com/profile_images/1381559858466586624/8Y4RdM8Y_normal.jpg</v>
      </c>
      <c r="W1448" s="83">
        <v>44466.05736111111</v>
      </c>
      <c r="X1448" s="89">
        <v>44466</v>
      </c>
      <c r="Y1448" s="86" t="s">
        <v>6405</v>
      </c>
      <c r="Z1448" s="84" t="str">
        <f>HYPERLINK("https://twitter.com/purisimp/status/1442298596536328192")</f>
        <v>https://twitter.com/purisimp/status/1442298596536328192</v>
      </c>
      <c r="AA1448" s="81"/>
      <c r="AB1448" s="81"/>
      <c r="AC1448" s="86" t="s">
        <v>7321</v>
      </c>
      <c r="AD1448" s="86" t="s">
        <v>7724</v>
      </c>
      <c r="AE1448" s="81" t="b">
        <v>0</v>
      </c>
      <c r="AF1448" s="81">
        <v>29</v>
      </c>
      <c r="AG1448" s="86" t="s">
        <v>7899</v>
      </c>
      <c r="AH1448" s="81" t="b">
        <v>0</v>
      </c>
      <c r="AI1448" s="81" t="s">
        <v>2171</v>
      </c>
      <c r="AJ1448" s="81"/>
      <c r="AK1448" s="86" t="s">
        <v>2084</v>
      </c>
      <c r="AL1448" s="81" t="b">
        <v>0</v>
      </c>
      <c r="AM1448" s="81">
        <v>3</v>
      </c>
      <c r="AN1448" s="86" t="s">
        <v>2084</v>
      </c>
      <c r="AO1448" s="86" t="s">
        <v>2179</v>
      </c>
      <c r="AP1448" s="81" t="b">
        <v>0</v>
      </c>
      <c r="AQ1448" s="86" t="s">
        <v>7724</v>
      </c>
      <c r="AR1448" s="81" t="s">
        <v>693</v>
      </c>
      <c r="AS1448" s="81">
        <v>0</v>
      </c>
      <c r="AT1448" s="81">
        <v>0</v>
      </c>
      <c r="AU1448" s="81"/>
      <c r="AV1448" s="81"/>
      <c r="AW1448" s="81"/>
      <c r="AX1448" s="81"/>
      <c r="AY1448" s="81"/>
      <c r="AZ1448" s="81"/>
      <c r="BA1448" s="81"/>
      <c r="BB1448" s="81"/>
    </row>
    <row r="1449" spans="1:54" x14ac:dyDescent="0.35">
      <c r="A1449" s="66" t="s">
        <v>4762</v>
      </c>
      <c r="B1449" s="66" t="s">
        <v>4761</v>
      </c>
      <c r="C1449" s="67"/>
      <c r="D1449" s="68"/>
      <c r="E1449" s="69"/>
      <c r="F1449" s="70"/>
      <c r="G1449" s="67"/>
      <c r="H1449" s="71"/>
      <c r="I1449" s="72"/>
      <c r="J1449" s="72"/>
      <c r="K1449" s="36"/>
      <c r="L1449" s="79"/>
      <c r="M1449" s="79"/>
      <c r="N1449" s="74"/>
      <c r="O1449" s="81" t="s">
        <v>693</v>
      </c>
      <c r="P1449" s="83">
        <v>44466.058819444443</v>
      </c>
      <c r="Q1449" s="81" t="s">
        <v>5531</v>
      </c>
      <c r="R1449" s="81"/>
      <c r="S1449" s="81"/>
      <c r="T1449" s="81"/>
      <c r="U1449" s="81"/>
      <c r="V1449" s="84" t="str">
        <f>HYPERLINK("https://pbs.twimg.com/profile_images/1431009655753412611/uNskWPjD_normal.jpg")</f>
        <v>https://pbs.twimg.com/profile_images/1431009655753412611/uNskWPjD_normal.jpg</v>
      </c>
      <c r="W1449" s="83">
        <v>44466.058819444443</v>
      </c>
      <c r="X1449" s="89">
        <v>44466</v>
      </c>
      <c r="Y1449" s="86" t="s">
        <v>6406</v>
      </c>
      <c r="Z1449" s="84" t="str">
        <f>HYPERLINK("https://twitter.com/osodrac_pt/status/1442299123886002176")</f>
        <v>https://twitter.com/osodrac_pt/status/1442299123886002176</v>
      </c>
      <c r="AA1449" s="81"/>
      <c r="AB1449" s="81"/>
      <c r="AC1449" s="86" t="s">
        <v>7322</v>
      </c>
      <c r="AD1449" s="81"/>
      <c r="AE1449" s="81" t="b">
        <v>0</v>
      </c>
      <c r="AF1449" s="81">
        <v>0</v>
      </c>
      <c r="AG1449" s="86" t="s">
        <v>2084</v>
      </c>
      <c r="AH1449" s="81" t="b">
        <v>0</v>
      </c>
      <c r="AI1449" s="81" t="s">
        <v>2171</v>
      </c>
      <c r="AJ1449" s="81"/>
      <c r="AK1449" s="86" t="s">
        <v>2084</v>
      </c>
      <c r="AL1449" s="81" t="b">
        <v>0</v>
      </c>
      <c r="AM1449" s="81">
        <v>3</v>
      </c>
      <c r="AN1449" s="86" t="s">
        <v>7321</v>
      </c>
      <c r="AO1449" s="86" t="s">
        <v>2178</v>
      </c>
      <c r="AP1449" s="81" t="b">
        <v>0</v>
      </c>
      <c r="AQ1449" s="86" t="s">
        <v>7321</v>
      </c>
      <c r="AR1449" s="81" t="s">
        <v>179</v>
      </c>
      <c r="AS1449" s="81">
        <v>0</v>
      </c>
      <c r="AT1449" s="81">
        <v>0</v>
      </c>
      <c r="AU1449" s="81"/>
      <c r="AV1449" s="81"/>
      <c r="AW1449" s="81"/>
      <c r="AX1449" s="81"/>
      <c r="AY1449" s="81"/>
      <c r="AZ1449" s="81"/>
      <c r="BA1449" s="81"/>
      <c r="BB1449" s="81"/>
    </row>
    <row r="1450" spans="1:54" x14ac:dyDescent="0.35">
      <c r="A1450" s="66" t="s">
        <v>4762</v>
      </c>
      <c r="B1450" s="66" t="s">
        <v>5151</v>
      </c>
      <c r="C1450" s="67"/>
      <c r="D1450" s="68"/>
      <c r="E1450" s="69"/>
      <c r="F1450" s="70"/>
      <c r="G1450" s="67"/>
      <c r="H1450" s="71"/>
      <c r="I1450" s="72"/>
      <c r="J1450" s="72"/>
      <c r="K1450" s="36"/>
      <c r="L1450" s="79"/>
      <c r="M1450" s="79"/>
      <c r="N1450" s="74"/>
      <c r="O1450" s="81" t="s">
        <v>695</v>
      </c>
      <c r="P1450" s="83">
        <v>44466.058819444443</v>
      </c>
      <c r="Q1450" s="81" t="s">
        <v>5531</v>
      </c>
      <c r="R1450" s="81"/>
      <c r="S1450" s="81"/>
      <c r="T1450" s="81"/>
      <c r="U1450" s="81"/>
      <c r="V1450" s="84" t="str">
        <f>HYPERLINK("https://pbs.twimg.com/profile_images/1431009655753412611/uNskWPjD_normal.jpg")</f>
        <v>https://pbs.twimg.com/profile_images/1431009655753412611/uNskWPjD_normal.jpg</v>
      </c>
      <c r="W1450" s="83">
        <v>44466.058819444443</v>
      </c>
      <c r="X1450" s="89">
        <v>44466</v>
      </c>
      <c r="Y1450" s="86" t="s">
        <v>6406</v>
      </c>
      <c r="Z1450" s="84" t="str">
        <f>HYPERLINK("https://twitter.com/osodrac_pt/status/1442299123886002176")</f>
        <v>https://twitter.com/osodrac_pt/status/1442299123886002176</v>
      </c>
      <c r="AA1450" s="81"/>
      <c r="AB1450" s="81"/>
      <c r="AC1450" s="86" t="s">
        <v>7322</v>
      </c>
      <c r="AD1450" s="81"/>
      <c r="AE1450" s="81" t="b">
        <v>0</v>
      </c>
      <c r="AF1450" s="81">
        <v>0</v>
      </c>
      <c r="AG1450" s="86" t="s">
        <v>2084</v>
      </c>
      <c r="AH1450" s="81" t="b">
        <v>0</v>
      </c>
      <c r="AI1450" s="81" t="s">
        <v>2171</v>
      </c>
      <c r="AJ1450" s="81"/>
      <c r="AK1450" s="86" t="s">
        <v>2084</v>
      </c>
      <c r="AL1450" s="81" t="b">
        <v>0</v>
      </c>
      <c r="AM1450" s="81">
        <v>3</v>
      </c>
      <c r="AN1450" s="86" t="s">
        <v>7321</v>
      </c>
      <c r="AO1450" s="86" t="s">
        <v>2178</v>
      </c>
      <c r="AP1450" s="81" t="b">
        <v>0</v>
      </c>
      <c r="AQ1450" s="86" t="s">
        <v>7321</v>
      </c>
      <c r="AR1450" s="81" t="s">
        <v>179</v>
      </c>
      <c r="AS1450" s="81">
        <v>0</v>
      </c>
      <c r="AT1450" s="81">
        <v>0</v>
      </c>
      <c r="AU1450" s="81"/>
      <c r="AV1450" s="81"/>
      <c r="AW1450" s="81"/>
      <c r="AX1450" s="81"/>
      <c r="AY1450" s="81"/>
      <c r="AZ1450" s="81"/>
      <c r="BA1450" s="81"/>
      <c r="BB1450" s="81"/>
    </row>
    <row r="1451" spans="1:54" x14ac:dyDescent="0.35">
      <c r="A1451" s="66" t="s">
        <v>504</v>
      </c>
      <c r="B1451" s="66" t="s">
        <v>670</v>
      </c>
      <c r="C1451" s="67"/>
      <c r="D1451" s="68"/>
      <c r="E1451" s="69"/>
      <c r="F1451" s="70"/>
      <c r="G1451" s="67"/>
      <c r="H1451" s="71"/>
      <c r="I1451" s="72"/>
      <c r="J1451" s="72"/>
      <c r="K1451" s="36"/>
      <c r="L1451" s="79"/>
      <c r="M1451" s="79"/>
      <c r="N1451" s="74"/>
      <c r="O1451" s="81" t="s">
        <v>696</v>
      </c>
      <c r="P1451" s="83">
        <v>44460.584236111114</v>
      </c>
      <c r="Q1451" s="81" t="s">
        <v>835</v>
      </c>
      <c r="R1451" s="81"/>
      <c r="S1451" s="81"/>
      <c r="T1451" s="81"/>
      <c r="U1451" s="81"/>
      <c r="V1451" s="84" t="str">
        <f>HYPERLINK("https://pbs.twimg.com/profile_images/1258369905016975361/BuhU3A0Q_normal.jpg")</f>
        <v>https://pbs.twimg.com/profile_images/1258369905016975361/BuhU3A0Q_normal.jpg</v>
      </c>
      <c r="W1451" s="83">
        <v>44460.584236111114</v>
      </c>
      <c r="X1451" s="89">
        <v>44460</v>
      </c>
      <c r="Y1451" s="86" t="s">
        <v>1363</v>
      </c>
      <c r="Z1451" s="84" t="str">
        <f>HYPERLINK("https://twitter.com/along_pura/status/1440315201350344704")</f>
        <v>https://twitter.com/along_pura/status/1440315201350344704</v>
      </c>
      <c r="AA1451" s="81"/>
      <c r="AB1451" s="81"/>
      <c r="AC1451" s="86" t="s">
        <v>1859</v>
      </c>
      <c r="AD1451" s="86" t="s">
        <v>2054</v>
      </c>
      <c r="AE1451" s="81" t="b">
        <v>0</v>
      </c>
      <c r="AF1451" s="81">
        <v>0</v>
      </c>
      <c r="AG1451" s="86" t="s">
        <v>2119</v>
      </c>
      <c r="AH1451" s="81" t="b">
        <v>0</v>
      </c>
      <c r="AI1451" s="81" t="s">
        <v>2167</v>
      </c>
      <c r="AJ1451" s="81"/>
      <c r="AK1451" s="86" t="s">
        <v>2084</v>
      </c>
      <c r="AL1451" s="81" t="b">
        <v>0</v>
      </c>
      <c r="AM1451" s="81">
        <v>0</v>
      </c>
      <c r="AN1451" s="86" t="s">
        <v>2084</v>
      </c>
      <c r="AO1451" s="86" t="s">
        <v>2178</v>
      </c>
      <c r="AP1451" s="81" t="b">
        <v>0</v>
      </c>
      <c r="AQ1451" s="86" t="s">
        <v>2054</v>
      </c>
      <c r="AR1451" s="81" t="s">
        <v>179</v>
      </c>
      <c r="AS1451" s="81">
        <v>0</v>
      </c>
      <c r="AT1451" s="81">
        <v>0</v>
      </c>
      <c r="AU1451" s="81"/>
      <c r="AV1451" s="81"/>
      <c r="AW1451" s="81"/>
      <c r="AX1451" s="81"/>
      <c r="AY1451" s="81"/>
      <c r="AZ1451" s="81"/>
      <c r="BA1451" s="81"/>
      <c r="BB1451" s="81"/>
    </row>
    <row r="1452" spans="1:54" x14ac:dyDescent="0.35">
      <c r="A1452" s="66" t="s">
        <v>504</v>
      </c>
      <c r="B1452" s="66" t="s">
        <v>644</v>
      </c>
      <c r="C1452" s="67"/>
      <c r="D1452" s="68"/>
      <c r="E1452" s="69"/>
      <c r="F1452" s="70"/>
      <c r="G1452" s="67"/>
      <c r="H1452" s="71"/>
      <c r="I1452" s="72"/>
      <c r="J1452" s="72"/>
      <c r="K1452" s="36"/>
      <c r="L1452" s="79"/>
      <c r="M1452" s="79"/>
      <c r="N1452" s="74"/>
      <c r="O1452" s="81" t="s">
        <v>695</v>
      </c>
      <c r="P1452" s="83">
        <v>44460.584236111114</v>
      </c>
      <c r="Q1452" s="81" t="s">
        <v>835</v>
      </c>
      <c r="R1452" s="81"/>
      <c r="S1452" s="81"/>
      <c r="T1452" s="81"/>
      <c r="U1452" s="81"/>
      <c r="V1452" s="84" t="str">
        <f>HYPERLINK("https://pbs.twimg.com/profile_images/1258369905016975361/BuhU3A0Q_normal.jpg")</f>
        <v>https://pbs.twimg.com/profile_images/1258369905016975361/BuhU3A0Q_normal.jpg</v>
      </c>
      <c r="W1452" s="83">
        <v>44460.584236111114</v>
      </c>
      <c r="X1452" s="89">
        <v>44460</v>
      </c>
      <c r="Y1452" s="86" t="s">
        <v>1363</v>
      </c>
      <c r="Z1452" s="84" t="str">
        <f>HYPERLINK("https://twitter.com/along_pura/status/1440315201350344704")</f>
        <v>https://twitter.com/along_pura/status/1440315201350344704</v>
      </c>
      <c r="AA1452" s="81"/>
      <c r="AB1452" s="81"/>
      <c r="AC1452" s="86" t="s">
        <v>1859</v>
      </c>
      <c r="AD1452" s="86" t="s">
        <v>2054</v>
      </c>
      <c r="AE1452" s="81" t="b">
        <v>0</v>
      </c>
      <c r="AF1452" s="81">
        <v>0</v>
      </c>
      <c r="AG1452" s="86" t="s">
        <v>2119</v>
      </c>
      <c r="AH1452" s="81" t="b">
        <v>0</v>
      </c>
      <c r="AI1452" s="81" t="s">
        <v>2167</v>
      </c>
      <c r="AJ1452" s="81"/>
      <c r="AK1452" s="86" t="s">
        <v>2084</v>
      </c>
      <c r="AL1452" s="81" t="b">
        <v>0</v>
      </c>
      <c r="AM1452" s="81">
        <v>0</v>
      </c>
      <c r="AN1452" s="86" t="s">
        <v>2084</v>
      </c>
      <c r="AO1452" s="86" t="s">
        <v>2178</v>
      </c>
      <c r="AP1452" s="81" t="b">
        <v>0</v>
      </c>
      <c r="AQ1452" s="86" t="s">
        <v>2054</v>
      </c>
      <c r="AR1452" s="81" t="s">
        <v>179</v>
      </c>
      <c r="AS1452" s="81">
        <v>0</v>
      </c>
      <c r="AT1452" s="81">
        <v>0</v>
      </c>
      <c r="AU1452" s="81"/>
      <c r="AV1452" s="81"/>
      <c r="AW1452" s="81"/>
      <c r="AX1452" s="81"/>
      <c r="AY1452" s="81"/>
      <c r="AZ1452" s="81"/>
      <c r="BA1452" s="81"/>
      <c r="BB1452" s="81"/>
    </row>
    <row r="1453" spans="1:54" x14ac:dyDescent="0.35">
      <c r="A1453" s="66" t="s">
        <v>504</v>
      </c>
      <c r="B1453" s="66" t="s">
        <v>659</v>
      </c>
      <c r="C1453" s="67"/>
      <c r="D1453" s="68"/>
      <c r="E1453" s="69"/>
      <c r="F1453" s="70"/>
      <c r="G1453" s="67"/>
      <c r="H1453" s="71"/>
      <c r="I1453" s="72"/>
      <c r="J1453" s="72"/>
      <c r="K1453" s="36"/>
      <c r="L1453" s="79"/>
      <c r="M1453" s="79"/>
      <c r="N1453" s="74"/>
      <c r="O1453" s="81" t="s">
        <v>695</v>
      </c>
      <c r="P1453" s="83">
        <v>44460.584166666667</v>
      </c>
      <c r="Q1453" s="81" t="s">
        <v>836</v>
      </c>
      <c r="R1453" s="81"/>
      <c r="S1453" s="81"/>
      <c r="T1453" s="81"/>
      <c r="U1453" s="81"/>
      <c r="V1453" s="84" t="str">
        <f>HYPERLINK("https://pbs.twimg.com/profile_images/1258369905016975361/BuhU3A0Q_normal.jpg")</f>
        <v>https://pbs.twimg.com/profile_images/1258369905016975361/BuhU3A0Q_normal.jpg</v>
      </c>
      <c r="W1453" s="83">
        <v>44460.584166666667</v>
      </c>
      <c r="X1453" s="89">
        <v>44460</v>
      </c>
      <c r="Y1453" s="86" t="s">
        <v>1364</v>
      </c>
      <c r="Z1453" s="84" t="str">
        <f>HYPERLINK("https://twitter.com/along_pura/status/1440315175375032332")</f>
        <v>https://twitter.com/along_pura/status/1440315175375032332</v>
      </c>
      <c r="AA1453" s="81"/>
      <c r="AB1453" s="81"/>
      <c r="AC1453" s="86" t="s">
        <v>1860</v>
      </c>
      <c r="AD1453" s="86" t="s">
        <v>2055</v>
      </c>
      <c r="AE1453" s="81" t="b">
        <v>0</v>
      </c>
      <c r="AF1453" s="81">
        <v>0</v>
      </c>
      <c r="AG1453" s="86" t="s">
        <v>2126</v>
      </c>
      <c r="AH1453" s="81" t="b">
        <v>0</v>
      </c>
      <c r="AI1453" s="81" t="s">
        <v>2167</v>
      </c>
      <c r="AJ1453" s="81"/>
      <c r="AK1453" s="86" t="s">
        <v>2084</v>
      </c>
      <c r="AL1453" s="81" t="b">
        <v>0</v>
      </c>
      <c r="AM1453" s="81">
        <v>0</v>
      </c>
      <c r="AN1453" s="86" t="s">
        <v>2084</v>
      </c>
      <c r="AO1453" s="86" t="s">
        <v>2178</v>
      </c>
      <c r="AP1453" s="81" t="b">
        <v>0</v>
      </c>
      <c r="AQ1453" s="86" t="s">
        <v>2055</v>
      </c>
      <c r="AR1453" s="81" t="s">
        <v>179</v>
      </c>
      <c r="AS1453" s="81">
        <v>0</v>
      </c>
      <c r="AT1453" s="81">
        <v>0</v>
      </c>
      <c r="AU1453" s="81"/>
      <c r="AV1453" s="81"/>
      <c r="AW1453" s="81"/>
      <c r="AX1453" s="81"/>
      <c r="AY1453" s="81"/>
      <c r="AZ1453" s="81"/>
      <c r="BA1453" s="81"/>
      <c r="BB1453" s="81"/>
    </row>
    <row r="1454" spans="1:54" x14ac:dyDescent="0.35">
      <c r="A1454" s="66" t="s">
        <v>504</v>
      </c>
      <c r="B1454" s="66" t="s">
        <v>659</v>
      </c>
      <c r="C1454" s="67"/>
      <c r="D1454" s="68"/>
      <c r="E1454" s="69"/>
      <c r="F1454" s="70"/>
      <c r="G1454" s="67"/>
      <c r="H1454" s="71"/>
      <c r="I1454" s="72"/>
      <c r="J1454" s="72"/>
      <c r="K1454" s="36"/>
      <c r="L1454" s="79"/>
      <c r="M1454" s="79"/>
      <c r="N1454" s="74"/>
      <c r="O1454" s="81" t="s">
        <v>695</v>
      </c>
      <c r="P1454" s="83">
        <v>44462.042858796296</v>
      </c>
      <c r="Q1454" s="81" t="s">
        <v>836</v>
      </c>
      <c r="R1454" s="81"/>
      <c r="S1454" s="81"/>
      <c r="T1454" s="81"/>
      <c r="U1454" s="81"/>
      <c r="V1454" s="84" t="str">
        <f>HYPERLINK("https://pbs.twimg.com/profile_images/1258369905016975361/BuhU3A0Q_normal.jpg")</f>
        <v>https://pbs.twimg.com/profile_images/1258369905016975361/BuhU3A0Q_normal.jpg</v>
      </c>
      <c r="W1454" s="83">
        <v>44462.042858796296</v>
      </c>
      <c r="X1454" s="89">
        <v>44462</v>
      </c>
      <c r="Y1454" s="86" t="s">
        <v>1201</v>
      </c>
      <c r="Z1454" s="84" t="str">
        <f>HYPERLINK("https://twitter.com/along_pura/status/1440843788021161992")</f>
        <v>https://twitter.com/along_pura/status/1440843788021161992</v>
      </c>
      <c r="AA1454" s="81"/>
      <c r="AB1454" s="81"/>
      <c r="AC1454" s="86" t="s">
        <v>1861</v>
      </c>
      <c r="AD1454" s="86" t="s">
        <v>2056</v>
      </c>
      <c r="AE1454" s="81" t="b">
        <v>0</v>
      </c>
      <c r="AF1454" s="81">
        <v>0</v>
      </c>
      <c r="AG1454" s="86" t="s">
        <v>2126</v>
      </c>
      <c r="AH1454" s="81" t="b">
        <v>0</v>
      </c>
      <c r="AI1454" s="81" t="s">
        <v>2167</v>
      </c>
      <c r="AJ1454" s="81"/>
      <c r="AK1454" s="86" t="s">
        <v>2084</v>
      </c>
      <c r="AL1454" s="81" t="b">
        <v>0</v>
      </c>
      <c r="AM1454" s="81">
        <v>0</v>
      </c>
      <c r="AN1454" s="86" t="s">
        <v>2084</v>
      </c>
      <c r="AO1454" s="86" t="s">
        <v>2178</v>
      </c>
      <c r="AP1454" s="81" t="b">
        <v>0</v>
      </c>
      <c r="AQ1454" s="86" t="s">
        <v>2056</v>
      </c>
      <c r="AR1454" s="81" t="s">
        <v>179</v>
      </c>
      <c r="AS1454" s="81">
        <v>0</v>
      </c>
      <c r="AT1454" s="81">
        <v>0</v>
      </c>
      <c r="AU1454" s="81"/>
      <c r="AV1454" s="81"/>
      <c r="AW1454" s="81"/>
      <c r="AX1454" s="81"/>
      <c r="AY1454" s="81"/>
      <c r="AZ1454" s="81"/>
      <c r="BA1454" s="81"/>
      <c r="BB1454" s="81"/>
    </row>
    <row r="1455" spans="1:54" x14ac:dyDescent="0.35">
      <c r="A1455" s="66" t="s">
        <v>504</v>
      </c>
      <c r="B1455" s="66" t="s">
        <v>671</v>
      </c>
      <c r="C1455" s="67"/>
      <c r="D1455" s="68"/>
      <c r="E1455" s="69"/>
      <c r="F1455" s="70"/>
      <c r="G1455" s="67"/>
      <c r="H1455" s="71"/>
      <c r="I1455" s="72"/>
      <c r="J1455" s="72"/>
      <c r="K1455" s="36"/>
      <c r="L1455" s="79"/>
      <c r="M1455" s="79"/>
      <c r="N1455" s="74"/>
      <c r="O1455" s="81" t="s">
        <v>695</v>
      </c>
      <c r="P1455" s="83">
        <v>44465.005925925929</v>
      </c>
      <c r="Q1455" s="81" t="s">
        <v>837</v>
      </c>
      <c r="R1455" s="81"/>
      <c r="S1455" s="81"/>
      <c r="T1455" s="81"/>
      <c r="U1455" s="81"/>
      <c r="V1455" s="84" t="str">
        <f>HYPERLINK("https://pbs.twimg.com/profile_images/1258369905016975361/BuhU3A0Q_normal.jpg")</f>
        <v>https://pbs.twimg.com/profile_images/1258369905016975361/BuhU3A0Q_normal.jpg</v>
      </c>
      <c r="W1455" s="83">
        <v>44465.005925925929</v>
      </c>
      <c r="X1455" s="89">
        <v>44465</v>
      </c>
      <c r="Y1455" s="86" t="s">
        <v>1365</v>
      </c>
      <c r="Z1455" s="84" t="str">
        <f>HYPERLINK("https://twitter.com/along_pura/status/1441917570374799362")</f>
        <v>https://twitter.com/along_pura/status/1441917570374799362</v>
      </c>
      <c r="AA1455" s="81"/>
      <c r="AB1455" s="81"/>
      <c r="AC1455" s="86" t="s">
        <v>1862</v>
      </c>
      <c r="AD1455" s="86" t="s">
        <v>2057</v>
      </c>
      <c r="AE1455" s="81" t="b">
        <v>0</v>
      </c>
      <c r="AF1455" s="81">
        <v>0</v>
      </c>
      <c r="AG1455" s="86" t="s">
        <v>2138</v>
      </c>
      <c r="AH1455" s="81" t="b">
        <v>0</v>
      </c>
      <c r="AI1455" s="81" t="s">
        <v>2167</v>
      </c>
      <c r="AJ1455" s="81"/>
      <c r="AK1455" s="86" t="s">
        <v>2084</v>
      </c>
      <c r="AL1455" s="81" t="b">
        <v>0</v>
      </c>
      <c r="AM1455" s="81">
        <v>0</v>
      </c>
      <c r="AN1455" s="86" t="s">
        <v>2084</v>
      </c>
      <c r="AO1455" s="86" t="s">
        <v>2178</v>
      </c>
      <c r="AP1455" s="81" t="b">
        <v>0</v>
      </c>
      <c r="AQ1455" s="86" t="s">
        <v>2057</v>
      </c>
      <c r="AR1455" s="81" t="s">
        <v>179</v>
      </c>
      <c r="AS1455" s="81">
        <v>0</v>
      </c>
      <c r="AT1455" s="81">
        <v>0</v>
      </c>
      <c r="AU1455" s="81"/>
      <c r="AV1455" s="81"/>
      <c r="AW1455" s="81"/>
      <c r="AX1455" s="81"/>
      <c r="AY1455" s="81"/>
      <c r="AZ1455" s="81"/>
      <c r="BA1455" s="81"/>
      <c r="BB1455" s="81"/>
    </row>
    <row r="1456" spans="1:54" x14ac:dyDescent="0.35">
      <c r="A1456" s="66" t="s">
        <v>504</v>
      </c>
      <c r="B1456" s="66" t="s">
        <v>672</v>
      </c>
      <c r="C1456" s="67"/>
      <c r="D1456" s="68"/>
      <c r="E1456" s="69"/>
      <c r="F1456" s="70"/>
      <c r="G1456" s="67"/>
      <c r="H1456" s="71"/>
      <c r="I1456" s="72"/>
      <c r="J1456" s="72"/>
      <c r="K1456" s="36"/>
      <c r="L1456" s="79"/>
      <c r="M1456" s="79"/>
      <c r="N1456" s="74"/>
      <c r="O1456" s="81" t="s">
        <v>695</v>
      </c>
      <c r="P1456" s="83">
        <v>44465.006006944444</v>
      </c>
      <c r="Q1456" s="81" t="s">
        <v>838</v>
      </c>
      <c r="R1456" s="81"/>
      <c r="S1456" s="81"/>
      <c r="T1456" s="81"/>
      <c r="U1456" s="81"/>
      <c r="V1456" s="84" t="str">
        <f>HYPERLINK("https://pbs.twimg.com/profile_images/1258369905016975361/BuhU3A0Q_normal.jpg")</f>
        <v>https://pbs.twimg.com/profile_images/1258369905016975361/BuhU3A0Q_normal.jpg</v>
      </c>
      <c r="W1456" s="83">
        <v>44465.006006944444</v>
      </c>
      <c r="X1456" s="89">
        <v>44465</v>
      </c>
      <c r="Y1456" s="86" t="s">
        <v>1366</v>
      </c>
      <c r="Z1456" s="84" t="str">
        <f>HYPERLINK("https://twitter.com/along_pura/status/1441917599248379908")</f>
        <v>https://twitter.com/along_pura/status/1441917599248379908</v>
      </c>
      <c r="AA1456" s="81"/>
      <c r="AB1456" s="81"/>
      <c r="AC1456" s="86" t="s">
        <v>1863</v>
      </c>
      <c r="AD1456" s="86" t="s">
        <v>2058</v>
      </c>
      <c r="AE1456" s="81" t="b">
        <v>0</v>
      </c>
      <c r="AF1456" s="81">
        <v>0</v>
      </c>
      <c r="AG1456" s="86" t="s">
        <v>2139</v>
      </c>
      <c r="AH1456" s="81" t="b">
        <v>0</v>
      </c>
      <c r="AI1456" s="81" t="s">
        <v>2167</v>
      </c>
      <c r="AJ1456" s="81"/>
      <c r="AK1456" s="86" t="s">
        <v>2084</v>
      </c>
      <c r="AL1456" s="81" t="b">
        <v>0</v>
      </c>
      <c r="AM1456" s="81">
        <v>0</v>
      </c>
      <c r="AN1456" s="86" t="s">
        <v>2084</v>
      </c>
      <c r="AO1456" s="86" t="s">
        <v>2178</v>
      </c>
      <c r="AP1456" s="81" t="b">
        <v>0</v>
      </c>
      <c r="AQ1456" s="86" t="s">
        <v>2058</v>
      </c>
      <c r="AR1456" s="81" t="s">
        <v>179</v>
      </c>
      <c r="AS1456" s="81">
        <v>0</v>
      </c>
      <c r="AT1456" s="81">
        <v>0</v>
      </c>
      <c r="AU1456" s="81"/>
      <c r="AV1456" s="81"/>
      <c r="AW1456" s="81"/>
      <c r="AX1456" s="81"/>
      <c r="AY1456" s="81"/>
      <c r="AZ1456" s="81"/>
      <c r="BA1456" s="81"/>
      <c r="BB1456" s="81"/>
    </row>
    <row r="1457" spans="1:54" x14ac:dyDescent="0.35">
      <c r="A1457" s="66" t="s">
        <v>504</v>
      </c>
      <c r="B1457" s="66" t="s">
        <v>673</v>
      </c>
      <c r="C1457" s="67"/>
      <c r="D1457" s="68"/>
      <c r="E1457" s="69"/>
      <c r="F1457" s="70"/>
      <c r="G1457" s="67"/>
      <c r="H1457" s="71"/>
      <c r="I1457" s="72"/>
      <c r="J1457" s="72"/>
      <c r="K1457" s="36"/>
      <c r="L1457" s="79"/>
      <c r="M1457" s="79"/>
      <c r="N1457" s="74"/>
      <c r="O1457" s="81" t="s">
        <v>695</v>
      </c>
      <c r="P1457" s="83">
        <v>44465.006944444445</v>
      </c>
      <c r="Q1457" s="81" t="s">
        <v>839</v>
      </c>
      <c r="R1457" s="81"/>
      <c r="S1457" s="81"/>
      <c r="T1457" s="81"/>
      <c r="U1457" s="81"/>
      <c r="V1457" s="84" t="str">
        <f>HYPERLINK("https://pbs.twimg.com/profile_images/1258369905016975361/BuhU3A0Q_normal.jpg")</f>
        <v>https://pbs.twimg.com/profile_images/1258369905016975361/BuhU3A0Q_normal.jpg</v>
      </c>
      <c r="W1457" s="83">
        <v>44465.006944444445</v>
      </c>
      <c r="X1457" s="89">
        <v>44465</v>
      </c>
      <c r="Y1457" s="86" t="s">
        <v>1367</v>
      </c>
      <c r="Z1457" s="84" t="str">
        <f>HYPERLINK("https://twitter.com/along_pura/status/1441917938039099393")</f>
        <v>https://twitter.com/along_pura/status/1441917938039099393</v>
      </c>
      <c r="AA1457" s="81"/>
      <c r="AB1457" s="81"/>
      <c r="AC1457" s="86" t="s">
        <v>1864</v>
      </c>
      <c r="AD1457" s="86" t="s">
        <v>2059</v>
      </c>
      <c r="AE1457" s="81" t="b">
        <v>0</v>
      </c>
      <c r="AF1457" s="81">
        <v>0</v>
      </c>
      <c r="AG1457" s="86" t="s">
        <v>2140</v>
      </c>
      <c r="AH1457" s="81" t="b">
        <v>0</v>
      </c>
      <c r="AI1457" s="81" t="s">
        <v>2167</v>
      </c>
      <c r="AJ1457" s="81"/>
      <c r="AK1457" s="86" t="s">
        <v>2084</v>
      </c>
      <c r="AL1457" s="81" t="b">
        <v>0</v>
      </c>
      <c r="AM1457" s="81">
        <v>0</v>
      </c>
      <c r="AN1457" s="86" t="s">
        <v>2084</v>
      </c>
      <c r="AO1457" s="86" t="s">
        <v>2178</v>
      </c>
      <c r="AP1457" s="81" t="b">
        <v>0</v>
      </c>
      <c r="AQ1457" s="86" t="s">
        <v>2059</v>
      </c>
      <c r="AR1457" s="81" t="s">
        <v>179</v>
      </c>
      <c r="AS1457" s="81">
        <v>0</v>
      </c>
      <c r="AT1457" s="81">
        <v>0</v>
      </c>
      <c r="AU1457" s="81"/>
      <c r="AV1457" s="81"/>
      <c r="AW1457" s="81"/>
      <c r="AX1457" s="81"/>
      <c r="AY1457" s="81"/>
      <c r="AZ1457" s="81"/>
      <c r="BA1457" s="81"/>
      <c r="BB1457" s="81"/>
    </row>
    <row r="1458" spans="1:54" x14ac:dyDescent="0.35">
      <c r="A1458" s="66" t="s">
        <v>504</v>
      </c>
      <c r="B1458" s="66" t="s">
        <v>674</v>
      </c>
      <c r="C1458" s="67"/>
      <c r="D1458" s="68"/>
      <c r="E1458" s="69"/>
      <c r="F1458" s="70"/>
      <c r="G1458" s="67"/>
      <c r="H1458" s="71"/>
      <c r="I1458" s="72"/>
      <c r="J1458" s="72"/>
      <c r="K1458" s="36"/>
      <c r="L1458" s="79"/>
      <c r="M1458" s="79"/>
      <c r="N1458" s="74"/>
      <c r="O1458" s="81" t="s">
        <v>695</v>
      </c>
      <c r="P1458" s="83">
        <v>44465.4997337963</v>
      </c>
      <c r="Q1458" s="81" t="s">
        <v>840</v>
      </c>
      <c r="R1458" s="81"/>
      <c r="S1458" s="81"/>
      <c r="T1458" s="81"/>
      <c r="U1458" s="81"/>
      <c r="V1458" s="84" t="str">
        <f>HYPERLINK("https://pbs.twimg.com/profile_images/1258369905016975361/BuhU3A0Q_normal.jpg")</f>
        <v>https://pbs.twimg.com/profile_images/1258369905016975361/BuhU3A0Q_normal.jpg</v>
      </c>
      <c r="W1458" s="83">
        <v>44465.4997337963</v>
      </c>
      <c r="X1458" s="89">
        <v>44465</v>
      </c>
      <c r="Y1458" s="86" t="s">
        <v>1368</v>
      </c>
      <c r="Z1458" s="84" t="str">
        <f>HYPERLINK("https://twitter.com/along_pura/status/1442096516647194629")</f>
        <v>https://twitter.com/along_pura/status/1442096516647194629</v>
      </c>
      <c r="AA1458" s="81"/>
      <c r="AB1458" s="81"/>
      <c r="AC1458" s="86" t="s">
        <v>1865</v>
      </c>
      <c r="AD1458" s="86" t="s">
        <v>2060</v>
      </c>
      <c r="AE1458" s="81" t="b">
        <v>0</v>
      </c>
      <c r="AF1458" s="81">
        <v>0</v>
      </c>
      <c r="AG1458" s="86" t="s">
        <v>2141</v>
      </c>
      <c r="AH1458" s="81" t="b">
        <v>0</v>
      </c>
      <c r="AI1458" s="81" t="s">
        <v>2167</v>
      </c>
      <c r="AJ1458" s="81"/>
      <c r="AK1458" s="86" t="s">
        <v>2084</v>
      </c>
      <c r="AL1458" s="81" t="b">
        <v>0</v>
      </c>
      <c r="AM1458" s="81">
        <v>0</v>
      </c>
      <c r="AN1458" s="86" t="s">
        <v>2084</v>
      </c>
      <c r="AO1458" s="86" t="s">
        <v>2178</v>
      </c>
      <c r="AP1458" s="81" t="b">
        <v>0</v>
      </c>
      <c r="AQ1458" s="86" t="s">
        <v>2060</v>
      </c>
      <c r="AR1458" s="81" t="s">
        <v>179</v>
      </c>
      <c r="AS1458" s="81">
        <v>0</v>
      </c>
      <c r="AT1458" s="81">
        <v>0</v>
      </c>
      <c r="AU1458" s="81"/>
      <c r="AV1458" s="81"/>
      <c r="AW1458" s="81"/>
      <c r="AX1458" s="81"/>
      <c r="AY1458" s="81"/>
      <c r="AZ1458" s="81"/>
      <c r="BA1458" s="81"/>
      <c r="BB1458" s="81"/>
    </row>
    <row r="1459" spans="1:54" x14ac:dyDescent="0.35">
      <c r="A1459" s="66" t="s">
        <v>504</v>
      </c>
      <c r="B1459" s="66" t="s">
        <v>674</v>
      </c>
      <c r="C1459" s="67"/>
      <c r="D1459" s="68"/>
      <c r="E1459" s="69"/>
      <c r="F1459" s="70"/>
      <c r="G1459" s="67"/>
      <c r="H1459" s="71"/>
      <c r="I1459" s="72"/>
      <c r="J1459" s="72"/>
      <c r="K1459" s="36"/>
      <c r="L1459" s="79"/>
      <c r="M1459" s="79"/>
      <c r="N1459" s="74"/>
      <c r="O1459" s="81" t="s">
        <v>695</v>
      </c>
      <c r="P1459" s="83">
        <v>44466.067395833335</v>
      </c>
      <c r="Q1459" s="81" t="s">
        <v>840</v>
      </c>
      <c r="R1459" s="81"/>
      <c r="S1459" s="81"/>
      <c r="T1459" s="81"/>
      <c r="U1459" s="81"/>
      <c r="V1459" s="84" t="str">
        <f>HYPERLINK("https://pbs.twimg.com/profile_images/1258369905016975361/BuhU3A0Q_normal.jpg")</f>
        <v>https://pbs.twimg.com/profile_images/1258369905016975361/BuhU3A0Q_normal.jpg</v>
      </c>
      <c r="W1459" s="83">
        <v>44466.067395833335</v>
      </c>
      <c r="X1459" s="89">
        <v>44466</v>
      </c>
      <c r="Y1459" s="86" t="s">
        <v>1369</v>
      </c>
      <c r="Z1459" s="84" t="str">
        <f>HYPERLINK("https://twitter.com/along_pura/status/1442302230770552834")</f>
        <v>https://twitter.com/along_pura/status/1442302230770552834</v>
      </c>
      <c r="AA1459" s="81"/>
      <c r="AB1459" s="81"/>
      <c r="AC1459" s="86" t="s">
        <v>1866</v>
      </c>
      <c r="AD1459" s="86" t="s">
        <v>2060</v>
      </c>
      <c r="AE1459" s="81" t="b">
        <v>0</v>
      </c>
      <c r="AF1459" s="81">
        <v>0</v>
      </c>
      <c r="AG1459" s="86" t="s">
        <v>2141</v>
      </c>
      <c r="AH1459" s="81" t="b">
        <v>0</v>
      </c>
      <c r="AI1459" s="81" t="s">
        <v>2167</v>
      </c>
      <c r="AJ1459" s="81"/>
      <c r="AK1459" s="86" t="s">
        <v>2084</v>
      </c>
      <c r="AL1459" s="81" t="b">
        <v>0</v>
      </c>
      <c r="AM1459" s="81">
        <v>0</v>
      </c>
      <c r="AN1459" s="86" t="s">
        <v>2084</v>
      </c>
      <c r="AO1459" s="86" t="s">
        <v>2178</v>
      </c>
      <c r="AP1459" s="81" t="b">
        <v>0</v>
      </c>
      <c r="AQ1459" s="86" t="s">
        <v>2060</v>
      </c>
      <c r="AR1459" s="81" t="s">
        <v>179</v>
      </c>
      <c r="AS1459" s="81">
        <v>0</v>
      </c>
      <c r="AT1459" s="81">
        <v>0</v>
      </c>
      <c r="AU1459" s="81"/>
      <c r="AV1459" s="81"/>
      <c r="AW1459" s="81"/>
      <c r="AX1459" s="81"/>
      <c r="AY1459" s="81"/>
      <c r="AZ1459" s="81"/>
      <c r="BA1459" s="81"/>
      <c r="BB1459" s="81"/>
    </row>
    <row r="1460" spans="1:54" x14ac:dyDescent="0.35">
      <c r="A1460" s="66" t="s">
        <v>504</v>
      </c>
      <c r="B1460" s="66" t="s">
        <v>604</v>
      </c>
      <c r="C1460" s="67"/>
      <c r="D1460" s="68"/>
      <c r="E1460" s="69"/>
      <c r="F1460" s="70"/>
      <c r="G1460" s="67"/>
      <c r="H1460" s="71"/>
      <c r="I1460" s="72"/>
      <c r="J1460" s="72"/>
      <c r="K1460" s="36"/>
      <c r="L1460" s="79"/>
      <c r="M1460" s="79"/>
      <c r="N1460" s="74"/>
      <c r="O1460" s="81" t="s">
        <v>695</v>
      </c>
      <c r="P1460" s="83">
        <v>44466.068483796298</v>
      </c>
      <c r="Q1460" s="81" t="s">
        <v>841</v>
      </c>
      <c r="R1460" s="81"/>
      <c r="S1460" s="81"/>
      <c r="T1460" s="81"/>
      <c r="U1460" s="81"/>
      <c r="V1460" s="84" t="str">
        <f>HYPERLINK("https://pbs.twimg.com/profile_images/1258369905016975361/BuhU3A0Q_normal.jpg")</f>
        <v>https://pbs.twimg.com/profile_images/1258369905016975361/BuhU3A0Q_normal.jpg</v>
      </c>
      <c r="W1460" s="83">
        <v>44466.068483796298</v>
      </c>
      <c r="X1460" s="89">
        <v>44466</v>
      </c>
      <c r="Y1460" s="86" t="s">
        <v>1370</v>
      </c>
      <c r="Z1460" s="84" t="str">
        <f>HYPERLINK("https://twitter.com/along_pura/status/1442302624749932554")</f>
        <v>https://twitter.com/along_pura/status/1442302624749932554</v>
      </c>
      <c r="AA1460" s="81"/>
      <c r="AB1460" s="81"/>
      <c r="AC1460" s="86" t="s">
        <v>1867</v>
      </c>
      <c r="AD1460" s="86" t="s">
        <v>2061</v>
      </c>
      <c r="AE1460" s="81" t="b">
        <v>0</v>
      </c>
      <c r="AF1460" s="81">
        <v>0</v>
      </c>
      <c r="AG1460" s="86" t="s">
        <v>2087</v>
      </c>
      <c r="AH1460" s="81" t="b">
        <v>0</v>
      </c>
      <c r="AI1460" s="81" t="s">
        <v>2167</v>
      </c>
      <c r="AJ1460" s="81"/>
      <c r="AK1460" s="86" t="s">
        <v>2084</v>
      </c>
      <c r="AL1460" s="81" t="b">
        <v>0</v>
      </c>
      <c r="AM1460" s="81">
        <v>0</v>
      </c>
      <c r="AN1460" s="86" t="s">
        <v>2084</v>
      </c>
      <c r="AO1460" s="86" t="s">
        <v>2178</v>
      </c>
      <c r="AP1460" s="81" t="b">
        <v>0</v>
      </c>
      <c r="AQ1460" s="86" t="s">
        <v>2061</v>
      </c>
      <c r="AR1460" s="81" t="s">
        <v>179</v>
      </c>
      <c r="AS1460" s="81">
        <v>0</v>
      </c>
      <c r="AT1460" s="81">
        <v>0</v>
      </c>
      <c r="AU1460" s="81"/>
      <c r="AV1460" s="81"/>
      <c r="AW1460" s="81"/>
      <c r="AX1460" s="81"/>
      <c r="AY1460" s="81"/>
      <c r="AZ1460" s="81"/>
      <c r="BA1460" s="81"/>
      <c r="BB1460" s="81"/>
    </row>
    <row r="1461" spans="1:54" x14ac:dyDescent="0.35">
      <c r="A1461" s="66" t="s">
        <v>504</v>
      </c>
      <c r="B1461" s="66" t="s">
        <v>675</v>
      </c>
      <c r="C1461" s="67"/>
      <c r="D1461" s="68"/>
      <c r="E1461" s="69"/>
      <c r="F1461" s="70"/>
      <c r="G1461" s="67"/>
      <c r="H1461" s="71"/>
      <c r="I1461" s="72"/>
      <c r="J1461" s="72"/>
      <c r="K1461" s="36"/>
      <c r="L1461" s="79"/>
      <c r="M1461" s="79"/>
      <c r="N1461" s="74"/>
      <c r="O1461" s="81" t="s">
        <v>695</v>
      </c>
      <c r="P1461" s="83">
        <v>44466.071504629632</v>
      </c>
      <c r="Q1461" s="81" t="s">
        <v>842</v>
      </c>
      <c r="R1461" s="81"/>
      <c r="S1461" s="81"/>
      <c r="T1461" s="81"/>
      <c r="U1461" s="81"/>
      <c r="V1461" s="84" t="str">
        <f>HYPERLINK("https://pbs.twimg.com/profile_images/1258369905016975361/BuhU3A0Q_normal.jpg")</f>
        <v>https://pbs.twimg.com/profile_images/1258369905016975361/BuhU3A0Q_normal.jpg</v>
      </c>
      <c r="W1461" s="83">
        <v>44466.071504629632</v>
      </c>
      <c r="X1461" s="89">
        <v>44466</v>
      </c>
      <c r="Y1461" s="86" t="s">
        <v>1371</v>
      </c>
      <c r="Z1461" s="84" t="str">
        <f>HYPERLINK("https://twitter.com/along_pura/status/1442303722105688066")</f>
        <v>https://twitter.com/along_pura/status/1442303722105688066</v>
      </c>
      <c r="AA1461" s="81"/>
      <c r="AB1461" s="81"/>
      <c r="AC1461" s="86" t="s">
        <v>1868</v>
      </c>
      <c r="AD1461" s="86" t="s">
        <v>2062</v>
      </c>
      <c r="AE1461" s="81" t="b">
        <v>0</v>
      </c>
      <c r="AF1461" s="81">
        <v>0</v>
      </c>
      <c r="AG1461" s="86" t="s">
        <v>2142</v>
      </c>
      <c r="AH1461" s="81" t="b">
        <v>0</v>
      </c>
      <c r="AI1461" s="81" t="s">
        <v>2167</v>
      </c>
      <c r="AJ1461" s="81"/>
      <c r="AK1461" s="86" t="s">
        <v>2084</v>
      </c>
      <c r="AL1461" s="81" t="b">
        <v>0</v>
      </c>
      <c r="AM1461" s="81">
        <v>0</v>
      </c>
      <c r="AN1461" s="86" t="s">
        <v>2084</v>
      </c>
      <c r="AO1461" s="86" t="s">
        <v>2178</v>
      </c>
      <c r="AP1461" s="81" t="b">
        <v>0</v>
      </c>
      <c r="AQ1461" s="86" t="s">
        <v>2062</v>
      </c>
      <c r="AR1461" s="81" t="s">
        <v>179</v>
      </c>
      <c r="AS1461" s="81">
        <v>0</v>
      </c>
      <c r="AT1461" s="81">
        <v>0</v>
      </c>
      <c r="AU1461" s="81"/>
      <c r="AV1461" s="81"/>
      <c r="AW1461" s="81"/>
      <c r="AX1461" s="81"/>
      <c r="AY1461" s="81"/>
      <c r="AZ1461" s="81"/>
      <c r="BA1461" s="81"/>
      <c r="BB1461" s="81"/>
    </row>
    <row r="1462" spans="1:54" x14ac:dyDescent="0.35">
      <c r="A1462" s="66" t="s">
        <v>504</v>
      </c>
      <c r="B1462" s="66" t="s">
        <v>676</v>
      </c>
      <c r="C1462" s="67"/>
      <c r="D1462" s="68"/>
      <c r="E1462" s="69"/>
      <c r="F1462" s="70"/>
      <c r="G1462" s="67"/>
      <c r="H1462" s="71"/>
      <c r="I1462" s="72"/>
      <c r="J1462" s="72"/>
      <c r="K1462" s="36"/>
      <c r="L1462" s="79"/>
      <c r="M1462" s="79"/>
      <c r="N1462" s="74"/>
      <c r="O1462" s="81" t="s">
        <v>695</v>
      </c>
      <c r="P1462" s="83">
        <v>44466.071956018517</v>
      </c>
      <c r="Q1462" s="81" t="s">
        <v>843</v>
      </c>
      <c r="R1462" s="81"/>
      <c r="S1462" s="81"/>
      <c r="T1462" s="81"/>
      <c r="U1462" s="81"/>
      <c r="V1462" s="84" t="str">
        <f>HYPERLINK("https://pbs.twimg.com/profile_images/1258369905016975361/BuhU3A0Q_normal.jpg")</f>
        <v>https://pbs.twimg.com/profile_images/1258369905016975361/BuhU3A0Q_normal.jpg</v>
      </c>
      <c r="W1462" s="83">
        <v>44466.071956018517</v>
      </c>
      <c r="X1462" s="89">
        <v>44466</v>
      </c>
      <c r="Y1462" s="86" t="s">
        <v>1372</v>
      </c>
      <c r="Z1462" s="84" t="str">
        <f>HYPERLINK("https://twitter.com/along_pura/status/1442303884714655745")</f>
        <v>https://twitter.com/along_pura/status/1442303884714655745</v>
      </c>
      <c r="AA1462" s="81"/>
      <c r="AB1462" s="81"/>
      <c r="AC1462" s="86" t="s">
        <v>1869</v>
      </c>
      <c r="AD1462" s="86" t="s">
        <v>2063</v>
      </c>
      <c r="AE1462" s="81" t="b">
        <v>0</v>
      </c>
      <c r="AF1462" s="81">
        <v>0</v>
      </c>
      <c r="AG1462" s="86" t="s">
        <v>2143</v>
      </c>
      <c r="AH1462" s="81" t="b">
        <v>0</v>
      </c>
      <c r="AI1462" s="81" t="s">
        <v>2167</v>
      </c>
      <c r="AJ1462" s="81"/>
      <c r="AK1462" s="86" t="s">
        <v>2084</v>
      </c>
      <c r="AL1462" s="81" t="b">
        <v>0</v>
      </c>
      <c r="AM1462" s="81">
        <v>0</v>
      </c>
      <c r="AN1462" s="86" t="s">
        <v>2084</v>
      </c>
      <c r="AO1462" s="86" t="s">
        <v>2178</v>
      </c>
      <c r="AP1462" s="81" t="b">
        <v>0</v>
      </c>
      <c r="AQ1462" s="86" t="s">
        <v>2063</v>
      </c>
      <c r="AR1462" s="81" t="s">
        <v>179</v>
      </c>
      <c r="AS1462" s="81">
        <v>0</v>
      </c>
      <c r="AT1462" s="81">
        <v>0</v>
      </c>
      <c r="AU1462" s="81"/>
      <c r="AV1462" s="81"/>
      <c r="AW1462" s="81"/>
      <c r="AX1462" s="81"/>
      <c r="AY1462" s="81"/>
      <c r="AZ1462" s="81"/>
      <c r="BA1462" s="81"/>
      <c r="BB1462" s="81"/>
    </row>
    <row r="1463" spans="1:54" x14ac:dyDescent="0.35">
      <c r="A1463" s="66" t="s">
        <v>504</v>
      </c>
      <c r="B1463" s="66" t="s">
        <v>677</v>
      </c>
      <c r="C1463" s="67"/>
      <c r="D1463" s="68"/>
      <c r="E1463" s="69"/>
      <c r="F1463" s="70"/>
      <c r="G1463" s="67"/>
      <c r="H1463" s="71"/>
      <c r="I1463" s="72"/>
      <c r="J1463" s="72"/>
      <c r="K1463" s="36"/>
      <c r="L1463" s="79"/>
      <c r="M1463" s="79"/>
      <c r="N1463" s="74"/>
      <c r="O1463" s="81" t="s">
        <v>695</v>
      </c>
      <c r="P1463" s="83">
        <v>44466.072141203702</v>
      </c>
      <c r="Q1463" s="81" t="s">
        <v>844</v>
      </c>
      <c r="R1463" s="81"/>
      <c r="S1463" s="81"/>
      <c r="T1463" s="81"/>
      <c r="U1463" s="81"/>
      <c r="V1463" s="84" t="str">
        <f>HYPERLINK("https://pbs.twimg.com/profile_images/1258369905016975361/BuhU3A0Q_normal.jpg")</f>
        <v>https://pbs.twimg.com/profile_images/1258369905016975361/BuhU3A0Q_normal.jpg</v>
      </c>
      <c r="W1463" s="83">
        <v>44466.072141203702</v>
      </c>
      <c r="X1463" s="89">
        <v>44466</v>
      </c>
      <c r="Y1463" s="86" t="s">
        <v>1373</v>
      </c>
      <c r="Z1463" s="84" t="str">
        <f>HYPERLINK("https://twitter.com/along_pura/status/1442303950221312001")</f>
        <v>https://twitter.com/along_pura/status/1442303950221312001</v>
      </c>
      <c r="AA1463" s="81"/>
      <c r="AB1463" s="81"/>
      <c r="AC1463" s="86" t="s">
        <v>1870</v>
      </c>
      <c r="AD1463" s="86" t="s">
        <v>2064</v>
      </c>
      <c r="AE1463" s="81" t="b">
        <v>0</v>
      </c>
      <c r="AF1463" s="81">
        <v>0</v>
      </c>
      <c r="AG1463" s="86" t="s">
        <v>2144</v>
      </c>
      <c r="AH1463" s="81" t="b">
        <v>0</v>
      </c>
      <c r="AI1463" s="81" t="s">
        <v>2167</v>
      </c>
      <c r="AJ1463" s="81"/>
      <c r="AK1463" s="86" t="s">
        <v>2084</v>
      </c>
      <c r="AL1463" s="81" t="b">
        <v>0</v>
      </c>
      <c r="AM1463" s="81">
        <v>0</v>
      </c>
      <c r="AN1463" s="86" t="s">
        <v>2084</v>
      </c>
      <c r="AO1463" s="86" t="s">
        <v>2178</v>
      </c>
      <c r="AP1463" s="81" t="b">
        <v>0</v>
      </c>
      <c r="AQ1463" s="86" t="s">
        <v>2064</v>
      </c>
      <c r="AR1463" s="81" t="s">
        <v>179</v>
      </c>
      <c r="AS1463" s="81">
        <v>0</v>
      </c>
      <c r="AT1463" s="81">
        <v>0</v>
      </c>
      <c r="AU1463" s="81"/>
      <c r="AV1463" s="81"/>
      <c r="AW1463" s="81"/>
      <c r="AX1463" s="81"/>
      <c r="AY1463" s="81"/>
      <c r="AZ1463" s="81"/>
      <c r="BA1463" s="81"/>
      <c r="BB1463" s="81"/>
    </row>
    <row r="1464" spans="1:54" x14ac:dyDescent="0.35">
      <c r="A1464" s="66" t="s">
        <v>504</v>
      </c>
      <c r="B1464" s="66" t="s">
        <v>678</v>
      </c>
      <c r="C1464" s="67"/>
      <c r="D1464" s="68"/>
      <c r="E1464" s="69"/>
      <c r="F1464" s="70"/>
      <c r="G1464" s="67"/>
      <c r="H1464" s="71"/>
      <c r="I1464" s="72"/>
      <c r="J1464" s="72"/>
      <c r="K1464" s="36"/>
      <c r="L1464" s="79"/>
      <c r="M1464" s="79"/>
      <c r="N1464" s="74"/>
      <c r="O1464" s="81" t="s">
        <v>696</v>
      </c>
      <c r="P1464" s="83">
        <v>44466.072939814818</v>
      </c>
      <c r="Q1464" s="81" t="s">
        <v>845</v>
      </c>
      <c r="R1464" s="81"/>
      <c r="S1464" s="81"/>
      <c r="T1464" s="81"/>
      <c r="U1464" s="81"/>
      <c r="V1464" s="84" t="str">
        <f>HYPERLINK("https://pbs.twimg.com/profile_images/1258369905016975361/BuhU3A0Q_normal.jpg")</f>
        <v>https://pbs.twimg.com/profile_images/1258369905016975361/BuhU3A0Q_normal.jpg</v>
      </c>
      <c r="W1464" s="83">
        <v>44466.072939814818</v>
      </c>
      <c r="X1464" s="89">
        <v>44466</v>
      </c>
      <c r="Y1464" s="86" t="s">
        <v>1374</v>
      </c>
      <c r="Z1464" s="84" t="str">
        <f>HYPERLINK("https://twitter.com/along_pura/status/1442304240706154497")</f>
        <v>https://twitter.com/along_pura/status/1442304240706154497</v>
      </c>
      <c r="AA1464" s="81"/>
      <c r="AB1464" s="81"/>
      <c r="AC1464" s="86" t="s">
        <v>1871</v>
      </c>
      <c r="AD1464" s="86" t="s">
        <v>2065</v>
      </c>
      <c r="AE1464" s="81" t="b">
        <v>0</v>
      </c>
      <c r="AF1464" s="81">
        <v>0</v>
      </c>
      <c r="AG1464" s="86" t="s">
        <v>2145</v>
      </c>
      <c r="AH1464" s="81" t="b">
        <v>0</v>
      </c>
      <c r="AI1464" s="81" t="s">
        <v>2167</v>
      </c>
      <c r="AJ1464" s="81"/>
      <c r="AK1464" s="86" t="s">
        <v>2084</v>
      </c>
      <c r="AL1464" s="81" t="b">
        <v>0</v>
      </c>
      <c r="AM1464" s="81">
        <v>0</v>
      </c>
      <c r="AN1464" s="86" t="s">
        <v>2084</v>
      </c>
      <c r="AO1464" s="86" t="s">
        <v>2178</v>
      </c>
      <c r="AP1464" s="81" t="b">
        <v>0</v>
      </c>
      <c r="AQ1464" s="86" t="s">
        <v>2065</v>
      </c>
      <c r="AR1464" s="81" t="s">
        <v>179</v>
      </c>
      <c r="AS1464" s="81">
        <v>0</v>
      </c>
      <c r="AT1464" s="81">
        <v>0</v>
      </c>
      <c r="AU1464" s="81"/>
      <c r="AV1464" s="81"/>
      <c r="AW1464" s="81"/>
      <c r="AX1464" s="81"/>
      <c r="AY1464" s="81"/>
      <c r="AZ1464" s="81"/>
      <c r="BA1464" s="81"/>
      <c r="BB1464" s="81"/>
    </row>
    <row r="1465" spans="1:54" x14ac:dyDescent="0.35">
      <c r="A1465" s="66" t="s">
        <v>504</v>
      </c>
      <c r="B1465" s="66" t="s">
        <v>679</v>
      </c>
      <c r="C1465" s="67"/>
      <c r="D1465" s="68"/>
      <c r="E1465" s="69"/>
      <c r="F1465" s="70"/>
      <c r="G1465" s="67"/>
      <c r="H1465" s="71"/>
      <c r="I1465" s="72"/>
      <c r="J1465" s="72"/>
      <c r="K1465" s="36"/>
      <c r="L1465" s="79"/>
      <c r="M1465" s="79"/>
      <c r="N1465" s="74"/>
      <c r="O1465" s="81" t="s">
        <v>695</v>
      </c>
      <c r="P1465" s="83">
        <v>44466.072939814818</v>
      </c>
      <c r="Q1465" s="81" t="s">
        <v>845</v>
      </c>
      <c r="R1465" s="81"/>
      <c r="S1465" s="81"/>
      <c r="T1465" s="81"/>
      <c r="U1465" s="81"/>
      <c r="V1465" s="84" t="str">
        <f>HYPERLINK("https://pbs.twimg.com/profile_images/1258369905016975361/BuhU3A0Q_normal.jpg")</f>
        <v>https://pbs.twimg.com/profile_images/1258369905016975361/BuhU3A0Q_normal.jpg</v>
      </c>
      <c r="W1465" s="83">
        <v>44466.072939814818</v>
      </c>
      <c r="X1465" s="89">
        <v>44466</v>
      </c>
      <c r="Y1465" s="86" t="s">
        <v>1374</v>
      </c>
      <c r="Z1465" s="84" t="str">
        <f>HYPERLINK("https://twitter.com/along_pura/status/1442304240706154497")</f>
        <v>https://twitter.com/along_pura/status/1442304240706154497</v>
      </c>
      <c r="AA1465" s="81"/>
      <c r="AB1465" s="81"/>
      <c r="AC1465" s="86" t="s">
        <v>1871</v>
      </c>
      <c r="AD1465" s="86" t="s">
        <v>2065</v>
      </c>
      <c r="AE1465" s="81" t="b">
        <v>0</v>
      </c>
      <c r="AF1465" s="81">
        <v>0</v>
      </c>
      <c r="AG1465" s="86" t="s">
        <v>2145</v>
      </c>
      <c r="AH1465" s="81" t="b">
        <v>0</v>
      </c>
      <c r="AI1465" s="81" t="s">
        <v>2167</v>
      </c>
      <c r="AJ1465" s="81"/>
      <c r="AK1465" s="86" t="s">
        <v>2084</v>
      </c>
      <c r="AL1465" s="81" t="b">
        <v>0</v>
      </c>
      <c r="AM1465" s="81">
        <v>0</v>
      </c>
      <c r="AN1465" s="86" t="s">
        <v>2084</v>
      </c>
      <c r="AO1465" s="86" t="s">
        <v>2178</v>
      </c>
      <c r="AP1465" s="81" t="b">
        <v>0</v>
      </c>
      <c r="AQ1465" s="86" t="s">
        <v>2065</v>
      </c>
      <c r="AR1465" s="81" t="s">
        <v>179</v>
      </c>
      <c r="AS1465" s="81">
        <v>0</v>
      </c>
      <c r="AT1465" s="81">
        <v>0</v>
      </c>
      <c r="AU1465" s="81"/>
      <c r="AV1465" s="81"/>
      <c r="AW1465" s="81"/>
      <c r="AX1465" s="81"/>
      <c r="AY1465" s="81"/>
      <c r="AZ1465" s="81"/>
      <c r="BA1465" s="81"/>
      <c r="BB1465" s="81"/>
    </row>
    <row r="1466" spans="1:54" x14ac:dyDescent="0.35">
      <c r="A1466" s="66" t="s">
        <v>504</v>
      </c>
      <c r="B1466" s="66" t="s">
        <v>680</v>
      </c>
      <c r="C1466" s="67"/>
      <c r="D1466" s="68"/>
      <c r="E1466" s="69"/>
      <c r="F1466" s="70"/>
      <c r="G1466" s="67"/>
      <c r="H1466" s="71"/>
      <c r="I1466" s="72"/>
      <c r="J1466" s="72"/>
      <c r="K1466" s="36"/>
      <c r="L1466" s="79"/>
      <c r="M1466" s="79"/>
      <c r="N1466" s="74"/>
      <c r="O1466" s="81" t="s">
        <v>695</v>
      </c>
      <c r="P1466" s="83">
        <v>44466.073182870372</v>
      </c>
      <c r="Q1466" s="81" t="s">
        <v>846</v>
      </c>
      <c r="R1466" s="81"/>
      <c r="S1466" s="81"/>
      <c r="T1466" s="81"/>
      <c r="U1466" s="81"/>
      <c r="V1466" s="84" t="str">
        <f>HYPERLINK("https://pbs.twimg.com/profile_images/1258369905016975361/BuhU3A0Q_normal.jpg")</f>
        <v>https://pbs.twimg.com/profile_images/1258369905016975361/BuhU3A0Q_normal.jpg</v>
      </c>
      <c r="W1466" s="83">
        <v>44466.073182870372</v>
      </c>
      <c r="X1466" s="89">
        <v>44466</v>
      </c>
      <c r="Y1466" s="86" t="s">
        <v>1375</v>
      </c>
      <c r="Z1466" s="84" t="str">
        <f>HYPERLINK("https://twitter.com/along_pura/status/1442304331286417411")</f>
        <v>https://twitter.com/along_pura/status/1442304331286417411</v>
      </c>
      <c r="AA1466" s="81"/>
      <c r="AB1466" s="81"/>
      <c r="AC1466" s="86" t="s">
        <v>1872</v>
      </c>
      <c r="AD1466" s="86" t="s">
        <v>2066</v>
      </c>
      <c r="AE1466" s="81" t="b">
        <v>0</v>
      </c>
      <c r="AF1466" s="81">
        <v>0</v>
      </c>
      <c r="AG1466" s="86" t="s">
        <v>2146</v>
      </c>
      <c r="AH1466" s="81" t="b">
        <v>0</v>
      </c>
      <c r="AI1466" s="81" t="s">
        <v>2167</v>
      </c>
      <c r="AJ1466" s="81"/>
      <c r="AK1466" s="86" t="s">
        <v>2084</v>
      </c>
      <c r="AL1466" s="81" t="b">
        <v>0</v>
      </c>
      <c r="AM1466" s="81">
        <v>0</v>
      </c>
      <c r="AN1466" s="86" t="s">
        <v>2084</v>
      </c>
      <c r="AO1466" s="86" t="s">
        <v>2178</v>
      </c>
      <c r="AP1466" s="81" t="b">
        <v>0</v>
      </c>
      <c r="AQ1466" s="86" t="s">
        <v>2066</v>
      </c>
      <c r="AR1466" s="81" t="s">
        <v>179</v>
      </c>
      <c r="AS1466" s="81">
        <v>0</v>
      </c>
      <c r="AT1466" s="81">
        <v>0</v>
      </c>
      <c r="AU1466" s="81"/>
      <c r="AV1466" s="81"/>
      <c r="AW1466" s="81"/>
      <c r="AX1466" s="81"/>
      <c r="AY1466" s="81"/>
      <c r="AZ1466" s="81"/>
      <c r="BA1466" s="81"/>
      <c r="BB1466" s="81"/>
    </row>
    <row r="1467" spans="1:54" x14ac:dyDescent="0.35">
      <c r="A1467" s="66" t="s">
        <v>504</v>
      </c>
      <c r="B1467" s="66" t="s">
        <v>681</v>
      </c>
      <c r="C1467" s="67"/>
      <c r="D1467" s="68"/>
      <c r="E1467" s="69"/>
      <c r="F1467" s="70"/>
      <c r="G1467" s="67"/>
      <c r="H1467" s="71"/>
      <c r="I1467" s="72"/>
      <c r="J1467" s="72"/>
      <c r="K1467" s="36"/>
      <c r="L1467" s="79"/>
      <c r="M1467" s="79"/>
      <c r="N1467" s="74"/>
      <c r="O1467" s="81" t="s">
        <v>696</v>
      </c>
      <c r="P1467" s="83">
        <v>44466.074131944442</v>
      </c>
      <c r="Q1467" s="81" t="s">
        <v>847</v>
      </c>
      <c r="R1467" s="81"/>
      <c r="S1467" s="81"/>
      <c r="T1467" s="81"/>
      <c r="U1467" s="81"/>
      <c r="V1467" s="84" t="str">
        <f>HYPERLINK("https://pbs.twimg.com/profile_images/1258369905016975361/BuhU3A0Q_normal.jpg")</f>
        <v>https://pbs.twimg.com/profile_images/1258369905016975361/BuhU3A0Q_normal.jpg</v>
      </c>
      <c r="W1467" s="83">
        <v>44466.074131944442</v>
      </c>
      <c r="X1467" s="89">
        <v>44466</v>
      </c>
      <c r="Y1467" s="86" t="s">
        <v>1376</v>
      </c>
      <c r="Z1467" s="84" t="str">
        <f>HYPERLINK("https://twitter.com/along_pura/status/1442304671318614018")</f>
        <v>https://twitter.com/along_pura/status/1442304671318614018</v>
      </c>
      <c r="AA1467" s="81"/>
      <c r="AB1467" s="81"/>
      <c r="AC1467" s="86" t="s">
        <v>1873</v>
      </c>
      <c r="AD1467" s="86" t="s">
        <v>2067</v>
      </c>
      <c r="AE1467" s="81" t="b">
        <v>0</v>
      </c>
      <c r="AF1467" s="81">
        <v>0</v>
      </c>
      <c r="AG1467" s="86" t="s">
        <v>2147</v>
      </c>
      <c r="AH1467" s="81" t="b">
        <v>0</v>
      </c>
      <c r="AI1467" s="81" t="s">
        <v>2167</v>
      </c>
      <c r="AJ1467" s="81"/>
      <c r="AK1467" s="86" t="s">
        <v>2084</v>
      </c>
      <c r="AL1467" s="81" t="b">
        <v>0</v>
      </c>
      <c r="AM1467" s="81">
        <v>0</v>
      </c>
      <c r="AN1467" s="86" t="s">
        <v>2084</v>
      </c>
      <c r="AO1467" s="86" t="s">
        <v>2178</v>
      </c>
      <c r="AP1467" s="81" t="b">
        <v>0</v>
      </c>
      <c r="AQ1467" s="86" t="s">
        <v>2067</v>
      </c>
      <c r="AR1467" s="81" t="s">
        <v>179</v>
      </c>
      <c r="AS1467" s="81">
        <v>0</v>
      </c>
      <c r="AT1467" s="81">
        <v>0</v>
      </c>
      <c r="AU1467" s="81"/>
      <c r="AV1467" s="81"/>
      <c r="AW1467" s="81"/>
      <c r="AX1467" s="81"/>
      <c r="AY1467" s="81"/>
      <c r="AZ1467" s="81"/>
      <c r="BA1467" s="81"/>
      <c r="BB1467" s="81"/>
    </row>
    <row r="1468" spans="1:54" x14ac:dyDescent="0.35">
      <c r="A1468" s="66" t="s">
        <v>504</v>
      </c>
      <c r="B1468" s="66" t="s">
        <v>682</v>
      </c>
      <c r="C1468" s="67"/>
      <c r="D1468" s="68"/>
      <c r="E1468" s="69"/>
      <c r="F1468" s="70"/>
      <c r="G1468" s="67"/>
      <c r="H1468" s="71"/>
      <c r="I1468" s="72"/>
      <c r="J1468" s="72"/>
      <c r="K1468" s="36"/>
      <c r="L1468" s="79"/>
      <c r="M1468" s="79"/>
      <c r="N1468" s="74"/>
      <c r="O1468" s="81" t="s">
        <v>696</v>
      </c>
      <c r="P1468" s="83">
        <v>44466.074131944442</v>
      </c>
      <c r="Q1468" s="81" t="s">
        <v>847</v>
      </c>
      <c r="R1468" s="81"/>
      <c r="S1468" s="81"/>
      <c r="T1468" s="81"/>
      <c r="U1468" s="81"/>
      <c r="V1468" s="84" t="str">
        <f>HYPERLINK("https://pbs.twimg.com/profile_images/1258369905016975361/BuhU3A0Q_normal.jpg")</f>
        <v>https://pbs.twimg.com/profile_images/1258369905016975361/BuhU3A0Q_normal.jpg</v>
      </c>
      <c r="W1468" s="83">
        <v>44466.074131944442</v>
      </c>
      <c r="X1468" s="89">
        <v>44466</v>
      </c>
      <c r="Y1468" s="86" t="s">
        <v>1376</v>
      </c>
      <c r="Z1468" s="84" t="str">
        <f>HYPERLINK("https://twitter.com/along_pura/status/1442304671318614018")</f>
        <v>https://twitter.com/along_pura/status/1442304671318614018</v>
      </c>
      <c r="AA1468" s="81"/>
      <c r="AB1468" s="81"/>
      <c r="AC1468" s="86" t="s">
        <v>1873</v>
      </c>
      <c r="AD1468" s="86" t="s">
        <v>2067</v>
      </c>
      <c r="AE1468" s="81" t="b">
        <v>0</v>
      </c>
      <c r="AF1468" s="81">
        <v>0</v>
      </c>
      <c r="AG1468" s="86" t="s">
        <v>2147</v>
      </c>
      <c r="AH1468" s="81" t="b">
        <v>0</v>
      </c>
      <c r="AI1468" s="81" t="s">
        <v>2167</v>
      </c>
      <c r="AJ1468" s="81"/>
      <c r="AK1468" s="86" t="s">
        <v>2084</v>
      </c>
      <c r="AL1468" s="81" t="b">
        <v>0</v>
      </c>
      <c r="AM1468" s="81">
        <v>0</v>
      </c>
      <c r="AN1468" s="86" t="s">
        <v>2084</v>
      </c>
      <c r="AO1468" s="86" t="s">
        <v>2178</v>
      </c>
      <c r="AP1468" s="81" t="b">
        <v>0</v>
      </c>
      <c r="AQ1468" s="86" t="s">
        <v>2067</v>
      </c>
      <c r="AR1468" s="81" t="s">
        <v>179</v>
      </c>
      <c r="AS1468" s="81">
        <v>0</v>
      </c>
      <c r="AT1468" s="81">
        <v>0</v>
      </c>
      <c r="AU1468" s="81"/>
      <c r="AV1468" s="81"/>
      <c r="AW1468" s="81"/>
      <c r="AX1468" s="81"/>
      <c r="AY1468" s="81"/>
      <c r="AZ1468" s="81"/>
      <c r="BA1468" s="81"/>
      <c r="BB1468" s="81"/>
    </row>
    <row r="1469" spans="1:54" x14ac:dyDescent="0.35">
      <c r="A1469" s="66" t="s">
        <v>504</v>
      </c>
      <c r="B1469" s="66" t="s">
        <v>683</v>
      </c>
      <c r="C1469" s="67"/>
      <c r="D1469" s="68"/>
      <c r="E1469" s="69"/>
      <c r="F1469" s="70"/>
      <c r="G1469" s="67"/>
      <c r="H1469" s="71"/>
      <c r="I1469" s="72"/>
      <c r="J1469" s="72"/>
      <c r="K1469" s="36"/>
      <c r="L1469" s="79"/>
      <c r="M1469" s="79"/>
      <c r="N1469" s="74"/>
      <c r="O1469" s="81" t="s">
        <v>695</v>
      </c>
      <c r="P1469" s="83">
        <v>44466.074131944442</v>
      </c>
      <c r="Q1469" s="81" t="s">
        <v>847</v>
      </c>
      <c r="R1469" s="81"/>
      <c r="S1469" s="81"/>
      <c r="T1469" s="81"/>
      <c r="U1469" s="81"/>
      <c r="V1469" s="84" t="str">
        <f>HYPERLINK("https://pbs.twimg.com/profile_images/1258369905016975361/BuhU3A0Q_normal.jpg")</f>
        <v>https://pbs.twimg.com/profile_images/1258369905016975361/BuhU3A0Q_normal.jpg</v>
      </c>
      <c r="W1469" s="83">
        <v>44466.074131944442</v>
      </c>
      <c r="X1469" s="89">
        <v>44466</v>
      </c>
      <c r="Y1469" s="86" t="s">
        <v>1376</v>
      </c>
      <c r="Z1469" s="84" t="str">
        <f>HYPERLINK("https://twitter.com/along_pura/status/1442304671318614018")</f>
        <v>https://twitter.com/along_pura/status/1442304671318614018</v>
      </c>
      <c r="AA1469" s="81"/>
      <c r="AB1469" s="81"/>
      <c r="AC1469" s="86" t="s">
        <v>1873</v>
      </c>
      <c r="AD1469" s="86" t="s">
        <v>2067</v>
      </c>
      <c r="AE1469" s="81" t="b">
        <v>0</v>
      </c>
      <c r="AF1469" s="81">
        <v>0</v>
      </c>
      <c r="AG1469" s="86" t="s">
        <v>2147</v>
      </c>
      <c r="AH1469" s="81" t="b">
        <v>0</v>
      </c>
      <c r="AI1469" s="81" t="s">
        <v>2167</v>
      </c>
      <c r="AJ1469" s="81"/>
      <c r="AK1469" s="86" t="s">
        <v>2084</v>
      </c>
      <c r="AL1469" s="81" t="b">
        <v>0</v>
      </c>
      <c r="AM1469" s="81">
        <v>0</v>
      </c>
      <c r="AN1469" s="86" t="s">
        <v>2084</v>
      </c>
      <c r="AO1469" s="86" t="s">
        <v>2178</v>
      </c>
      <c r="AP1469" s="81" t="b">
        <v>0</v>
      </c>
      <c r="AQ1469" s="86" t="s">
        <v>2067</v>
      </c>
      <c r="AR1469" s="81" t="s">
        <v>179</v>
      </c>
      <c r="AS1469" s="81">
        <v>0</v>
      </c>
      <c r="AT1469" s="81">
        <v>0</v>
      </c>
      <c r="AU1469" s="81"/>
      <c r="AV1469" s="81"/>
      <c r="AW1469" s="81"/>
      <c r="AX1469" s="81"/>
      <c r="AY1469" s="81"/>
      <c r="AZ1469" s="81"/>
      <c r="BA1469" s="81"/>
      <c r="BB1469" s="81"/>
    </row>
    <row r="1470" spans="1:54" x14ac:dyDescent="0.35">
      <c r="A1470" s="66" t="s">
        <v>504</v>
      </c>
      <c r="B1470" s="66" t="s">
        <v>684</v>
      </c>
      <c r="C1470" s="67"/>
      <c r="D1470" s="68"/>
      <c r="E1470" s="69"/>
      <c r="F1470" s="70"/>
      <c r="G1470" s="67"/>
      <c r="H1470" s="71"/>
      <c r="I1470" s="72"/>
      <c r="J1470" s="72"/>
      <c r="K1470" s="36"/>
      <c r="L1470" s="79"/>
      <c r="M1470" s="79"/>
      <c r="N1470" s="74"/>
      <c r="O1470" s="81" t="s">
        <v>695</v>
      </c>
      <c r="P1470" s="83">
        <v>44466.074131944442</v>
      </c>
      <c r="Q1470" s="81" t="s">
        <v>848</v>
      </c>
      <c r="R1470" s="81"/>
      <c r="S1470" s="81"/>
      <c r="T1470" s="81"/>
      <c r="U1470" s="81"/>
      <c r="V1470" s="84" t="str">
        <f>HYPERLINK("https://pbs.twimg.com/profile_images/1258369905016975361/BuhU3A0Q_normal.jpg")</f>
        <v>https://pbs.twimg.com/profile_images/1258369905016975361/BuhU3A0Q_normal.jpg</v>
      </c>
      <c r="W1470" s="83">
        <v>44466.074131944442</v>
      </c>
      <c r="X1470" s="89">
        <v>44466</v>
      </c>
      <c r="Y1470" s="86" t="s">
        <v>1376</v>
      </c>
      <c r="Z1470" s="84" t="str">
        <f>HYPERLINK("https://twitter.com/along_pura/status/1442304672123867136")</f>
        <v>https://twitter.com/along_pura/status/1442304672123867136</v>
      </c>
      <c r="AA1470" s="81"/>
      <c r="AB1470" s="81"/>
      <c r="AC1470" s="86" t="s">
        <v>1874</v>
      </c>
      <c r="AD1470" s="86" t="s">
        <v>2068</v>
      </c>
      <c r="AE1470" s="81" t="b">
        <v>0</v>
      </c>
      <c r="AF1470" s="81">
        <v>0</v>
      </c>
      <c r="AG1470" s="86" t="s">
        <v>2148</v>
      </c>
      <c r="AH1470" s="81" t="b">
        <v>0</v>
      </c>
      <c r="AI1470" s="81" t="s">
        <v>2167</v>
      </c>
      <c r="AJ1470" s="81"/>
      <c r="AK1470" s="86" t="s">
        <v>2084</v>
      </c>
      <c r="AL1470" s="81" t="b">
        <v>0</v>
      </c>
      <c r="AM1470" s="81">
        <v>0</v>
      </c>
      <c r="AN1470" s="86" t="s">
        <v>2084</v>
      </c>
      <c r="AO1470" s="86" t="s">
        <v>2178</v>
      </c>
      <c r="AP1470" s="81" t="b">
        <v>0</v>
      </c>
      <c r="AQ1470" s="86" t="s">
        <v>2068</v>
      </c>
      <c r="AR1470" s="81" t="s">
        <v>179</v>
      </c>
      <c r="AS1470" s="81">
        <v>0</v>
      </c>
      <c r="AT1470" s="81">
        <v>0</v>
      </c>
      <c r="AU1470" s="81"/>
      <c r="AV1470" s="81"/>
      <c r="AW1470" s="81"/>
      <c r="AX1470" s="81"/>
      <c r="AY1470" s="81"/>
      <c r="AZ1470" s="81"/>
      <c r="BA1470" s="81"/>
      <c r="BB1470" s="81"/>
    </row>
    <row r="1471" spans="1:54" x14ac:dyDescent="0.35">
      <c r="A1471" s="66" t="s">
        <v>504</v>
      </c>
      <c r="B1471" s="66" t="s">
        <v>685</v>
      </c>
      <c r="C1471" s="67"/>
      <c r="D1471" s="68"/>
      <c r="E1471" s="69"/>
      <c r="F1471" s="70"/>
      <c r="G1471" s="67"/>
      <c r="H1471" s="71"/>
      <c r="I1471" s="72"/>
      <c r="J1471" s="72"/>
      <c r="K1471" s="36"/>
      <c r="L1471" s="79"/>
      <c r="M1471" s="79"/>
      <c r="N1471" s="74"/>
      <c r="O1471" s="81" t="s">
        <v>695</v>
      </c>
      <c r="P1471" s="83">
        <v>44466.07435185185</v>
      </c>
      <c r="Q1471" s="81" t="s">
        <v>849</v>
      </c>
      <c r="R1471" s="81"/>
      <c r="S1471" s="81"/>
      <c r="T1471" s="81"/>
      <c r="U1471" s="81"/>
      <c r="V1471" s="84" t="str">
        <f>HYPERLINK("https://pbs.twimg.com/profile_images/1258369905016975361/BuhU3A0Q_normal.jpg")</f>
        <v>https://pbs.twimg.com/profile_images/1258369905016975361/BuhU3A0Q_normal.jpg</v>
      </c>
      <c r="W1471" s="83">
        <v>44466.07435185185</v>
      </c>
      <c r="X1471" s="89">
        <v>44466</v>
      </c>
      <c r="Y1471" s="86" t="s">
        <v>1377</v>
      </c>
      <c r="Z1471" s="84" t="str">
        <f>HYPERLINK("https://twitter.com/along_pura/status/1442304751937282049")</f>
        <v>https://twitter.com/along_pura/status/1442304751937282049</v>
      </c>
      <c r="AA1471" s="81"/>
      <c r="AB1471" s="81"/>
      <c r="AC1471" s="86" t="s">
        <v>1875</v>
      </c>
      <c r="AD1471" s="86" t="s">
        <v>2069</v>
      </c>
      <c r="AE1471" s="81" t="b">
        <v>0</v>
      </c>
      <c r="AF1471" s="81">
        <v>0</v>
      </c>
      <c r="AG1471" s="86" t="s">
        <v>2149</v>
      </c>
      <c r="AH1471" s="81" t="b">
        <v>0</v>
      </c>
      <c r="AI1471" s="81" t="s">
        <v>2167</v>
      </c>
      <c r="AJ1471" s="81"/>
      <c r="AK1471" s="86" t="s">
        <v>2084</v>
      </c>
      <c r="AL1471" s="81" t="b">
        <v>0</v>
      </c>
      <c r="AM1471" s="81">
        <v>0</v>
      </c>
      <c r="AN1471" s="86" t="s">
        <v>2084</v>
      </c>
      <c r="AO1471" s="86" t="s">
        <v>2178</v>
      </c>
      <c r="AP1471" s="81" t="b">
        <v>0</v>
      </c>
      <c r="AQ1471" s="86" t="s">
        <v>2069</v>
      </c>
      <c r="AR1471" s="81" t="s">
        <v>179</v>
      </c>
      <c r="AS1471" s="81">
        <v>0</v>
      </c>
      <c r="AT1471" s="81">
        <v>0</v>
      </c>
      <c r="AU1471" s="81"/>
      <c r="AV1471" s="81"/>
      <c r="AW1471" s="81"/>
      <c r="AX1471" s="81"/>
      <c r="AY1471" s="81"/>
      <c r="AZ1471" s="81"/>
      <c r="BA1471" s="81"/>
      <c r="BB1471" s="81"/>
    </row>
    <row r="1472" spans="1:54" x14ac:dyDescent="0.35">
      <c r="A1472" s="66" t="s">
        <v>4763</v>
      </c>
      <c r="B1472" s="66" t="s">
        <v>4829</v>
      </c>
      <c r="C1472" s="67"/>
      <c r="D1472" s="68"/>
      <c r="E1472" s="69"/>
      <c r="F1472" s="70"/>
      <c r="G1472" s="67"/>
      <c r="H1472" s="71"/>
      <c r="I1472" s="72"/>
      <c r="J1472" s="72"/>
      <c r="K1472" s="36"/>
      <c r="L1472" s="79"/>
      <c r="M1472" s="79"/>
      <c r="N1472" s="74"/>
      <c r="O1472" s="81" t="s">
        <v>693</v>
      </c>
      <c r="P1472" s="83">
        <v>44466.075879629629</v>
      </c>
      <c r="Q1472" s="81" t="s">
        <v>5532</v>
      </c>
      <c r="R1472" s="84" t="str">
        <f>HYPERLINK("https://www.gov.br/anvisa/pt-br/assuntos/noticias-anvisa/2021/anvisa-alerta-sobre-risco-de-miocardite-e-pericardite-pos-vacinacao")</f>
        <v>https://www.gov.br/anvisa/pt-br/assuntos/noticias-anvisa/2021/anvisa-alerta-sobre-risco-de-miocardite-e-pericardite-pos-vacinacao</v>
      </c>
      <c r="S1472" s="81" t="s">
        <v>5686</v>
      </c>
      <c r="T1472" s="81"/>
      <c r="U1472" s="81"/>
      <c r="V1472" s="84" t="str">
        <f>HYPERLINK("https://pbs.twimg.com/profile_images/1398447281171484675/W2Z6UH8N_normal.jpg")</f>
        <v>https://pbs.twimg.com/profile_images/1398447281171484675/W2Z6UH8N_normal.jpg</v>
      </c>
      <c r="W1472" s="83">
        <v>44466.075879629629</v>
      </c>
      <c r="X1472" s="89">
        <v>44466</v>
      </c>
      <c r="Y1472" s="86" t="s">
        <v>6407</v>
      </c>
      <c r="Z1472" s="84" t="str">
        <f>HYPERLINK("https://twitter.com/ricardo00805054/status/1442305304868253700")</f>
        <v>https://twitter.com/ricardo00805054/status/1442305304868253700</v>
      </c>
      <c r="AA1472" s="81"/>
      <c r="AB1472" s="81"/>
      <c r="AC1472" s="86" t="s">
        <v>7323</v>
      </c>
      <c r="AD1472" s="81"/>
      <c r="AE1472" s="81" t="b">
        <v>0</v>
      </c>
      <c r="AF1472" s="81">
        <v>0</v>
      </c>
      <c r="AG1472" s="86" t="s">
        <v>2084</v>
      </c>
      <c r="AH1472" s="81" t="b">
        <v>0</v>
      </c>
      <c r="AI1472" s="81" t="s">
        <v>2171</v>
      </c>
      <c r="AJ1472" s="81"/>
      <c r="AK1472" s="86" t="s">
        <v>2084</v>
      </c>
      <c r="AL1472" s="81" t="b">
        <v>0</v>
      </c>
      <c r="AM1472" s="81">
        <v>15</v>
      </c>
      <c r="AN1472" s="86" t="s">
        <v>7399</v>
      </c>
      <c r="AO1472" s="86" t="s">
        <v>2178</v>
      </c>
      <c r="AP1472" s="81" t="b">
        <v>0</v>
      </c>
      <c r="AQ1472" s="86" t="s">
        <v>7399</v>
      </c>
      <c r="AR1472" s="81" t="s">
        <v>179</v>
      </c>
      <c r="AS1472" s="81">
        <v>0</v>
      </c>
      <c r="AT1472" s="81">
        <v>0</v>
      </c>
      <c r="AU1472" s="81"/>
      <c r="AV1472" s="81"/>
      <c r="AW1472" s="81"/>
      <c r="AX1472" s="81"/>
      <c r="AY1472" s="81"/>
      <c r="AZ1472" s="81"/>
      <c r="BA1472" s="81"/>
      <c r="BB1472" s="81"/>
    </row>
    <row r="1473" spans="1:54" x14ac:dyDescent="0.35">
      <c r="A1473" s="66" t="s">
        <v>4764</v>
      </c>
      <c r="B1473" s="66" t="s">
        <v>4829</v>
      </c>
      <c r="C1473" s="67"/>
      <c r="D1473" s="68"/>
      <c r="E1473" s="69"/>
      <c r="F1473" s="70"/>
      <c r="G1473" s="67"/>
      <c r="H1473" s="71"/>
      <c r="I1473" s="72"/>
      <c r="J1473" s="72"/>
      <c r="K1473" s="36"/>
      <c r="L1473" s="79"/>
      <c r="M1473" s="79"/>
      <c r="N1473" s="74"/>
      <c r="O1473" s="81" t="s">
        <v>693</v>
      </c>
      <c r="P1473" s="83">
        <v>44466.076770833337</v>
      </c>
      <c r="Q1473" s="81" t="s">
        <v>5532</v>
      </c>
      <c r="R1473" s="84" t="str">
        <f>HYPERLINK("https://www.gov.br/anvisa/pt-br/assuntos/noticias-anvisa/2021/anvisa-alerta-sobre-risco-de-miocardite-e-pericardite-pos-vacinacao")</f>
        <v>https://www.gov.br/anvisa/pt-br/assuntos/noticias-anvisa/2021/anvisa-alerta-sobre-risco-de-miocardite-e-pericardite-pos-vacinacao</v>
      </c>
      <c r="S1473" s="81" t="s">
        <v>5686</v>
      </c>
      <c r="T1473" s="81"/>
      <c r="U1473" s="81"/>
      <c r="V1473" s="84" t="str">
        <f>HYPERLINK("https://pbs.twimg.com/profile_images/1376937027099373571/GEVTNTlE_normal.jpg")</f>
        <v>https://pbs.twimg.com/profile_images/1376937027099373571/GEVTNTlE_normal.jpg</v>
      </c>
      <c r="W1473" s="83">
        <v>44466.076770833337</v>
      </c>
      <c r="X1473" s="89">
        <v>44466</v>
      </c>
      <c r="Y1473" s="86" t="s">
        <v>6408</v>
      </c>
      <c r="Z1473" s="84" t="str">
        <f>HYPERLINK("https://twitter.com/miranimota/status/1442305628920287238")</f>
        <v>https://twitter.com/miranimota/status/1442305628920287238</v>
      </c>
      <c r="AA1473" s="81"/>
      <c r="AB1473" s="81"/>
      <c r="AC1473" s="86" t="s">
        <v>7324</v>
      </c>
      <c r="AD1473" s="81"/>
      <c r="AE1473" s="81" t="b">
        <v>0</v>
      </c>
      <c r="AF1473" s="81">
        <v>0</v>
      </c>
      <c r="AG1473" s="86" t="s">
        <v>2084</v>
      </c>
      <c r="AH1473" s="81" t="b">
        <v>0</v>
      </c>
      <c r="AI1473" s="81" t="s">
        <v>2171</v>
      </c>
      <c r="AJ1473" s="81"/>
      <c r="AK1473" s="86" t="s">
        <v>2084</v>
      </c>
      <c r="AL1473" s="81" t="b">
        <v>0</v>
      </c>
      <c r="AM1473" s="81">
        <v>15</v>
      </c>
      <c r="AN1473" s="86" t="s">
        <v>7399</v>
      </c>
      <c r="AO1473" s="86" t="s">
        <v>2178</v>
      </c>
      <c r="AP1473" s="81" t="b">
        <v>0</v>
      </c>
      <c r="AQ1473" s="86" t="s">
        <v>7399</v>
      </c>
      <c r="AR1473" s="81" t="s">
        <v>179</v>
      </c>
      <c r="AS1473" s="81">
        <v>0</v>
      </c>
      <c r="AT1473" s="81">
        <v>0</v>
      </c>
      <c r="AU1473" s="81"/>
      <c r="AV1473" s="81"/>
      <c r="AW1473" s="81"/>
      <c r="AX1473" s="81"/>
      <c r="AY1473" s="81"/>
      <c r="AZ1473" s="81"/>
      <c r="BA1473" s="81"/>
      <c r="BB1473" s="81"/>
    </row>
    <row r="1474" spans="1:54" x14ac:dyDescent="0.35">
      <c r="A1474" s="66" t="s">
        <v>4765</v>
      </c>
      <c r="B1474" s="66" t="s">
        <v>4944</v>
      </c>
      <c r="C1474" s="67"/>
      <c r="D1474" s="68"/>
      <c r="E1474" s="69"/>
      <c r="F1474" s="70"/>
      <c r="G1474" s="67"/>
      <c r="H1474" s="71"/>
      <c r="I1474" s="72"/>
      <c r="J1474" s="72"/>
      <c r="K1474" s="36"/>
      <c r="L1474" s="79"/>
      <c r="M1474" s="79"/>
      <c r="N1474" s="74"/>
      <c r="O1474" s="81" t="s">
        <v>693</v>
      </c>
      <c r="P1474" s="83">
        <v>44466.083634259259</v>
      </c>
      <c r="Q1474" s="81" t="s">
        <v>5505</v>
      </c>
      <c r="R1474" s="81"/>
      <c r="S1474" s="81"/>
      <c r="T1474" s="81"/>
      <c r="U1474" s="81"/>
      <c r="V1474" s="84" t="str">
        <f>HYPERLINK("https://pbs.twimg.com/profile_images/1438359878494527491/Hkb1GCOX_normal.jpg")</f>
        <v>https://pbs.twimg.com/profile_images/1438359878494527491/Hkb1GCOX_normal.jpg</v>
      </c>
      <c r="W1474" s="83">
        <v>44466.083634259259</v>
      </c>
      <c r="X1474" s="89">
        <v>44466</v>
      </c>
      <c r="Y1474" s="86" t="s">
        <v>6409</v>
      </c>
      <c r="Z1474" s="84" t="str">
        <f>HYPERLINK("https://twitter.com/jessilva/status/1442308118134747139")</f>
        <v>https://twitter.com/jessilva/status/1442308118134747139</v>
      </c>
      <c r="AA1474" s="81"/>
      <c r="AB1474" s="81"/>
      <c r="AC1474" s="86" t="s">
        <v>7325</v>
      </c>
      <c r="AD1474" s="81"/>
      <c r="AE1474" s="81" t="b">
        <v>0</v>
      </c>
      <c r="AF1474" s="81">
        <v>0</v>
      </c>
      <c r="AG1474" s="86" t="s">
        <v>2084</v>
      </c>
      <c r="AH1474" s="81" t="b">
        <v>0</v>
      </c>
      <c r="AI1474" s="81" t="s">
        <v>2171</v>
      </c>
      <c r="AJ1474" s="81"/>
      <c r="AK1474" s="86" t="s">
        <v>2084</v>
      </c>
      <c r="AL1474" s="81" t="b">
        <v>0</v>
      </c>
      <c r="AM1474" s="81">
        <v>255</v>
      </c>
      <c r="AN1474" s="86" t="s">
        <v>7543</v>
      </c>
      <c r="AO1474" s="86" t="s">
        <v>2179</v>
      </c>
      <c r="AP1474" s="81" t="b">
        <v>0</v>
      </c>
      <c r="AQ1474" s="86" t="s">
        <v>7543</v>
      </c>
      <c r="AR1474" s="81" t="s">
        <v>179</v>
      </c>
      <c r="AS1474" s="81">
        <v>0</v>
      </c>
      <c r="AT1474" s="81">
        <v>0</v>
      </c>
      <c r="AU1474" s="81"/>
      <c r="AV1474" s="81"/>
      <c r="AW1474" s="81"/>
      <c r="AX1474" s="81"/>
      <c r="AY1474" s="81"/>
      <c r="AZ1474" s="81"/>
      <c r="BA1474" s="81"/>
      <c r="BB1474" s="81"/>
    </row>
    <row r="1475" spans="1:54" x14ac:dyDescent="0.35">
      <c r="A1475" s="66" t="s">
        <v>4766</v>
      </c>
      <c r="B1475" s="66" t="s">
        <v>4829</v>
      </c>
      <c r="C1475" s="67"/>
      <c r="D1475" s="68"/>
      <c r="E1475" s="69"/>
      <c r="F1475" s="70"/>
      <c r="G1475" s="67"/>
      <c r="H1475" s="71"/>
      <c r="I1475" s="72"/>
      <c r="J1475" s="72"/>
      <c r="K1475" s="36"/>
      <c r="L1475" s="79"/>
      <c r="M1475" s="79"/>
      <c r="N1475" s="74"/>
      <c r="O1475" s="81" t="s">
        <v>693</v>
      </c>
      <c r="P1475" s="83">
        <v>44466.095717592594</v>
      </c>
      <c r="Q1475" s="81" t="s">
        <v>5532</v>
      </c>
      <c r="R1475" s="84" t="str">
        <f>HYPERLINK("https://www.gov.br/anvisa/pt-br/assuntos/noticias-anvisa/2021/anvisa-alerta-sobre-risco-de-miocardite-e-pericardite-pos-vacinacao")</f>
        <v>https://www.gov.br/anvisa/pt-br/assuntos/noticias-anvisa/2021/anvisa-alerta-sobre-risco-de-miocardite-e-pericardite-pos-vacinacao</v>
      </c>
      <c r="S1475" s="81" t="s">
        <v>5686</v>
      </c>
      <c r="T1475" s="81"/>
      <c r="U1475" s="81"/>
      <c r="V1475" s="84" t="str">
        <f>HYPERLINK("https://pbs.twimg.com/profile_images/1335761711970865153/7gf-xVNg_normal.jpg")</f>
        <v>https://pbs.twimg.com/profile_images/1335761711970865153/7gf-xVNg_normal.jpg</v>
      </c>
      <c r="W1475" s="83">
        <v>44466.095717592594</v>
      </c>
      <c r="X1475" s="89">
        <v>44466</v>
      </c>
      <c r="Y1475" s="86" t="s">
        <v>6410</v>
      </c>
      <c r="Z1475" s="84" t="str">
        <f>HYPERLINK("https://twitter.com/amamolli/status/1442312497315287043")</f>
        <v>https://twitter.com/amamolli/status/1442312497315287043</v>
      </c>
      <c r="AA1475" s="81"/>
      <c r="AB1475" s="81"/>
      <c r="AC1475" s="86" t="s">
        <v>7326</v>
      </c>
      <c r="AD1475" s="81"/>
      <c r="AE1475" s="81" t="b">
        <v>0</v>
      </c>
      <c r="AF1475" s="81">
        <v>0</v>
      </c>
      <c r="AG1475" s="86" t="s">
        <v>2084</v>
      </c>
      <c r="AH1475" s="81" t="b">
        <v>0</v>
      </c>
      <c r="AI1475" s="81" t="s">
        <v>2171</v>
      </c>
      <c r="AJ1475" s="81"/>
      <c r="AK1475" s="86" t="s">
        <v>2084</v>
      </c>
      <c r="AL1475" s="81" t="b">
        <v>0</v>
      </c>
      <c r="AM1475" s="81">
        <v>15</v>
      </c>
      <c r="AN1475" s="86" t="s">
        <v>7399</v>
      </c>
      <c r="AO1475" s="86" t="s">
        <v>2181</v>
      </c>
      <c r="AP1475" s="81" t="b">
        <v>0</v>
      </c>
      <c r="AQ1475" s="86" t="s">
        <v>7399</v>
      </c>
      <c r="AR1475" s="81" t="s">
        <v>179</v>
      </c>
      <c r="AS1475" s="81">
        <v>0</v>
      </c>
      <c r="AT1475" s="81">
        <v>0</v>
      </c>
      <c r="AU1475" s="81"/>
      <c r="AV1475" s="81"/>
      <c r="AW1475" s="81"/>
      <c r="AX1475" s="81"/>
      <c r="AY1475" s="81"/>
      <c r="AZ1475" s="81"/>
      <c r="BA1475" s="81"/>
      <c r="BB1475" s="81"/>
    </row>
    <row r="1476" spans="1:54" x14ac:dyDescent="0.35">
      <c r="A1476" s="66" t="s">
        <v>505</v>
      </c>
      <c r="B1476" s="66" t="s">
        <v>505</v>
      </c>
      <c r="C1476" s="67"/>
      <c r="D1476" s="68"/>
      <c r="E1476" s="69"/>
      <c r="F1476" s="70"/>
      <c r="G1476" s="67"/>
      <c r="H1476" s="71"/>
      <c r="I1476" s="72"/>
      <c r="J1476" s="72"/>
      <c r="K1476" s="36"/>
      <c r="L1476" s="79"/>
      <c r="M1476" s="79"/>
      <c r="N1476" s="74"/>
      <c r="O1476" s="81" t="s">
        <v>179</v>
      </c>
      <c r="P1476" s="83">
        <v>44466.111435185187</v>
      </c>
      <c r="Q1476" s="81" t="s">
        <v>850</v>
      </c>
      <c r="R1476" s="81"/>
      <c r="S1476" s="81"/>
      <c r="T1476" s="86" t="s">
        <v>987</v>
      </c>
      <c r="U1476" s="84" t="str">
        <f>HYPERLINK("https://pbs.twimg.com/media/FAQkaYOVcAUmLgM.jpg")</f>
        <v>https://pbs.twimg.com/media/FAQkaYOVcAUmLgM.jpg</v>
      </c>
      <c r="V1476" s="84" t="str">
        <f>HYPERLINK("https://pbs.twimg.com/media/FAQkaYOVcAUmLgM.jpg")</f>
        <v>https://pbs.twimg.com/media/FAQkaYOVcAUmLgM.jpg</v>
      </c>
      <c r="W1476" s="83">
        <v>44466.111435185187</v>
      </c>
      <c r="X1476" s="89">
        <v>44466</v>
      </c>
      <c r="Y1476" s="86" t="s">
        <v>1378</v>
      </c>
      <c r="Z1476" s="84" t="str">
        <f>HYPERLINK("https://twitter.com/lib1_alfawy/status/1442318191183548418")</f>
        <v>https://twitter.com/lib1_alfawy/status/1442318191183548418</v>
      </c>
      <c r="AA1476" s="81"/>
      <c r="AB1476" s="81"/>
      <c r="AC1476" s="86" t="s">
        <v>1876</v>
      </c>
      <c r="AD1476" s="81"/>
      <c r="AE1476" s="81" t="b">
        <v>0</v>
      </c>
      <c r="AF1476" s="81">
        <v>1</v>
      </c>
      <c r="AG1476" s="86" t="s">
        <v>2084</v>
      </c>
      <c r="AH1476" s="81" t="b">
        <v>0</v>
      </c>
      <c r="AI1476" s="81" t="s">
        <v>2167</v>
      </c>
      <c r="AJ1476" s="81"/>
      <c r="AK1476" s="86" t="s">
        <v>2084</v>
      </c>
      <c r="AL1476" s="81" t="b">
        <v>0</v>
      </c>
      <c r="AM1476" s="81">
        <v>0</v>
      </c>
      <c r="AN1476" s="86" t="s">
        <v>2084</v>
      </c>
      <c r="AO1476" s="86" t="s">
        <v>2181</v>
      </c>
      <c r="AP1476" s="81" t="b">
        <v>0</v>
      </c>
      <c r="AQ1476" s="86" t="s">
        <v>1876</v>
      </c>
      <c r="AR1476" s="81" t="s">
        <v>179</v>
      </c>
      <c r="AS1476" s="81">
        <v>0</v>
      </c>
      <c r="AT1476" s="81">
        <v>0</v>
      </c>
      <c r="AU1476" s="81"/>
      <c r="AV1476" s="81"/>
      <c r="AW1476" s="81"/>
      <c r="AX1476" s="81"/>
      <c r="AY1476" s="81"/>
      <c r="AZ1476" s="81"/>
      <c r="BA1476" s="81"/>
      <c r="BB1476" s="81"/>
    </row>
    <row r="1477" spans="1:54" x14ac:dyDescent="0.35">
      <c r="A1477" s="66" t="s">
        <v>4767</v>
      </c>
      <c r="B1477" s="66" t="s">
        <v>4944</v>
      </c>
      <c r="C1477" s="67"/>
      <c r="D1477" s="68"/>
      <c r="E1477" s="69"/>
      <c r="F1477" s="70"/>
      <c r="G1477" s="67"/>
      <c r="H1477" s="71"/>
      <c r="I1477" s="72"/>
      <c r="J1477" s="72"/>
      <c r="K1477" s="36"/>
      <c r="L1477" s="79"/>
      <c r="M1477" s="79"/>
      <c r="N1477" s="74"/>
      <c r="O1477" s="81" t="s">
        <v>693</v>
      </c>
      <c r="P1477" s="83">
        <v>44466.115231481483</v>
      </c>
      <c r="Q1477" s="81" t="s">
        <v>5505</v>
      </c>
      <c r="R1477" s="81"/>
      <c r="S1477" s="81"/>
      <c r="T1477" s="81"/>
      <c r="U1477" s="81"/>
      <c r="V1477" s="84" t="str">
        <f>HYPERLINK("https://pbs.twimg.com/profile_images/1079558613914578944/3PWsyFlI_normal.jpg")</f>
        <v>https://pbs.twimg.com/profile_images/1079558613914578944/3PWsyFlI_normal.jpg</v>
      </c>
      <c r="W1477" s="83">
        <v>44466.115231481483</v>
      </c>
      <c r="X1477" s="89">
        <v>44466</v>
      </c>
      <c r="Y1477" s="86" t="s">
        <v>6411</v>
      </c>
      <c r="Z1477" s="84" t="str">
        <f>HYPERLINK("https://twitter.com/odara_10/status/1442319567317921794")</f>
        <v>https://twitter.com/odara_10/status/1442319567317921794</v>
      </c>
      <c r="AA1477" s="81"/>
      <c r="AB1477" s="81"/>
      <c r="AC1477" s="86" t="s">
        <v>7327</v>
      </c>
      <c r="AD1477" s="81"/>
      <c r="AE1477" s="81" t="b">
        <v>0</v>
      </c>
      <c r="AF1477" s="81">
        <v>0</v>
      </c>
      <c r="AG1477" s="86" t="s">
        <v>2084</v>
      </c>
      <c r="AH1477" s="81" t="b">
        <v>0</v>
      </c>
      <c r="AI1477" s="81" t="s">
        <v>2171</v>
      </c>
      <c r="AJ1477" s="81"/>
      <c r="AK1477" s="86" t="s">
        <v>2084</v>
      </c>
      <c r="AL1477" s="81" t="b">
        <v>0</v>
      </c>
      <c r="AM1477" s="81">
        <v>255</v>
      </c>
      <c r="AN1477" s="86" t="s">
        <v>7543</v>
      </c>
      <c r="AO1477" s="86" t="s">
        <v>2178</v>
      </c>
      <c r="AP1477" s="81" t="b">
        <v>0</v>
      </c>
      <c r="AQ1477" s="86" t="s">
        <v>7543</v>
      </c>
      <c r="AR1477" s="81" t="s">
        <v>179</v>
      </c>
      <c r="AS1477" s="81">
        <v>0</v>
      </c>
      <c r="AT1477" s="81">
        <v>0</v>
      </c>
      <c r="AU1477" s="81"/>
      <c r="AV1477" s="81"/>
      <c r="AW1477" s="81"/>
      <c r="AX1477" s="81"/>
      <c r="AY1477" s="81"/>
      <c r="AZ1477" s="81"/>
      <c r="BA1477" s="81"/>
      <c r="BB1477" s="81"/>
    </row>
    <row r="1478" spans="1:54" x14ac:dyDescent="0.35">
      <c r="A1478" s="66" t="s">
        <v>4768</v>
      </c>
      <c r="B1478" s="66" t="s">
        <v>5152</v>
      </c>
      <c r="C1478" s="67"/>
      <c r="D1478" s="68"/>
      <c r="E1478" s="69"/>
      <c r="F1478" s="70"/>
      <c r="G1478" s="67"/>
      <c r="H1478" s="71"/>
      <c r="I1478" s="72"/>
      <c r="J1478" s="72"/>
      <c r="K1478" s="36"/>
      <c r="L1478" s="79"/>
      <c r="M1478" s="79"/>
      <c r="N1478" s="74"/>
      <c r="O1478" s="81" t="s">
        <v>696</v>
      </c>
      <c r="P1478" s="83">
        <v>44466.119629629633</v>
      </c>
      <c r="Q1478" s="81" t="s">
        <v>5533</v>
      </c>
      <c r="R1478" s="81"/>
      <c r="S1478" s="81"/>
      <c r="T1478" s="81"/>
      <c r="U1478" s="81"/>
      <c r="V1478" s="84" t="str">
        <f>HYPERLINK("https://pbs.twimg.com/profile_images/1352479207234953216/Rw6_wlJY_normal.jpg")</f>
        <v>https://pbs.twimg.com/profile_images/1352479207234953216/Rw6_wlJY_normal.jpg</v>
      </c>
      <c r="W1478" s="83">
        <v>44466.119629629633</v>
      </c>
      <c r="X1478" s="89">
        <v>44466</v>
      </c>
      <c r="Y1478" s="86" t="s">
        <v>6412</v>
      </c>
      <c r="Z1478" s="84" t="str">
        <f>HYPERLINK("https://twitter.com/nayaraayres/status/1442321161283506181")</f>
        <v>https://twitter.com/nayaraayres/status/1442321161283506181</v>
      </c>
      <c r="AA1478" s="81"/>
      <c r="AB1478" s="81"/>
      <c r="AC1478" s="86" t="s">
        <v>7328</v>
      </c>
      <c r="AD1478" s="86" t="s">
        <v>7725</v>
      </c>
      <c r="AE1478" s="81" t="b">
        <v>0</v>
      </c>
      <c r="AF1478" s="81">
        <v>0</v>
      </c>
      <c r="AG1478" s="86" t="s">
        <v>7900</v>
      </c>
      <c r="AH1478" s="81" t="b">
        <v>0</v>
      </c>
      <c r="AI1478" s="81" t="s">
        <v>2171</v>
      </c>
      <c r="AJ1478" s="81"/>
      <c r="AK1478" s="86" t="s">
        <v>2084</v>
      </c>
      <c r="AL1478" s="81" t="b">
        <v>0</v>
      </c>
      <c r="AM1478" s="81">
        <v>0</v>
      </c>
      <c r="AN1478" s="86" t="s">
        <v>2084</v>
      </c>
      <c r="AO1478" s="86" t="s">
        <v>2178</v>
      </c>
      <c r="AP1478" s="81" t="b">
        <v>0</v>
      </c>
      <c r="AQ1478" s="86" t="s">
        <v>7725</v>
      </c>
      <c r="AR1478" s="81" t="s">
        <v>179</v>
      </c>
      <c r="AS1478" s="81">
        <v>0</v>
      </c>
      <c r="AT1478" s="81">
        <v>0</v>
      </c>
      <c r="AU1478" s="81"/>
      <c r="AV1478" s="81"/>
      <c r="AW1478" s="81"/>
      <c r="AX1478" s="81"/>
      <c r="AY1478" s="81"/>
      <c r="AZ1478" s="81"/>
      <c r="BA1478" s="81"/>
      <c r="BB1478" s="81"/>
    </row>
    <row r="1479" spans="1:54" x14ac:dyDescent="0.35">
      <c r="A1479" s="66" t="s">
        <v>4768</v>
      </c>
      <c r="B1479" s="66" t="s">
        <v>5153</v>
      </c>
      <c r="C1479" s="67"/>
      <c r="D1479" s="68"/>
      <c r="E1479" s="69"/>
      <c r="F1479" s="70"/>
      <c r="G1479" s="67"/>
      <c r="H1479" s="71"/>
      <c r="I1479" s="72"/>
      <c r="J1479" s="72"/>
      <c r="K1479" s="36"/>
      <c r="L1479" s="79"/>
      <c r="M1479" s="79"/>
      <c r="N1479" s="74"/>
      <c r="O1479" s="81" t="s">
        <v>695</v>
      </c>
      <c r="P1479" s="83">
        <v>44466.119629629633</v>
      </c>
      <c r="Q1479" s="81" t="s">
        <v>5533</v>
      </c>
      <c r="R1479" s="81"/>
      <c r="S1479" s="81"/>
      <c r="T1479" s="81"/>
      <c r="U1479" s="81"/>
      <c r="V1479" s="84" t="str">
        <f>HYPERLINK("https://pbs.twimg.com/profile_images/1352479207234953216/Rw6_wlJY_normal.jpg")</f>
        <v>https://pbs.twimg.com/profile_images/1352479207234953216/Rw6_wlJY_normal.jpg</v>
      </c>
      <c r="W1479" s="83">
        <v>44466.119629629633</v>
      </c>
      <c r="X1479" s="89">
        <v>44466</v>
      </c>
      <c r="Y1479" s="86" t="s">
        <v>6412</v>
      </c>
      <c r="Z1479" s="84" t="str">
        <f>HYPERLINK("https://twitter.com/nayaraayres/status/1442321161283506181")</f>
        <v>https://twitter.com/nayaraayres/status/1442321161283506181</v>
      </c>
      <c r="AA1479" s="81"/>
      <c r="AB1479" s="81"/>
      <c r="AC1479" s="86" t="s">
        <v>7328</v>
      </c>
      <c r="AD1479" s="86" t="s">
        <v>7725</v>
      </c>
      <c r="AE1479" s="81" t="b">
        <v>0</v>
      </c>
      <c r="AF1479" s="81">
        <v>0</v>
      </c>
      <c r="AG1479" s="86" t="s">
        <v>7900</v>
      </c>
      <c r="AH1479" s="81" t="b">
        <v>0</v>
      </c>
      <c r="AI1479" s="81" t="s">
        <v>2171</v>
      </c>
      <c r="AJ1479" s="81"/>
      <c r="AK1479" s="86" t="s">
        <v>2084</v>
      </c>
      <c r="AL1479" s="81" t="b">
        <v>0</v>
      </c>
      <c r="AM1479" s="81">
        <v>0</v>
      </c>
      <c r="AN1479" s="86" t="s">
        <v>2084</v>
      </c>
      <c r="AO1479" s="86" t="s">
        <v>2178</v>
      </c>
      <c r="AP1479" s="81" t="b">
        <v>0</v>
      </c>
      <c r="AQ1479" s="86" t="s">
        <v>7725</v>
      </c>
      <c r="AR1479" s="81" t="s">
        <v>179</v>
      </c>
      <c r="AS1479" s="81">
        <v>0</v>
      </c>
      <c r="AT1479" s="81">
        <v>0</v>
      </c>
      <c r="AU1479" s="81"/>
      <c r="AV1479" s="81"/>
      <c r="AW1479" s="81"/>
      <c r="AX1479" s="81"/>
      <c r="AY1479" s="81"/>
      <c r="AZ1479" s="81"/>
      <c r="BA1479" s="81"/>
      <c r="BB1479" s="81"/>
    </row>
    <row r="1480" spans="1:54" x14ac:dyDescent="0.35">
      <c r="A1480" s="66" t="s">
        <v>4768</v>
      </c>
      <c r="B1480" s="66" t="s">
        <v>5130</v>
      </c>
      <c r="C1480" s="67"/>
      <c r="D1480" s="68"/>
      <c r="E1480" s="69"/>
      <c r="F1480" s="70"/>
      <c r="G1480" s="67"/>
      <c r="H1480" s="71"/>
      <c r="I1480" s="72"/>
      <c r="J1480" s="72"/>
      <c r="K1480" s="36"/>
      <c r="L1480" s="79"/>
      <c r="M1480" s="79"/>
      <c r="N1480" s="74"/>
      <c r="O1480" s="81" t="s">
        <v>696</v>
      </c>
      <c r="P1480" s="83">
        <v>44466.119629629633</v>
      </c>
      <c r="Q1480" s="81" t="s">
        <v>5533</v>
      </c>
      <c r="R1480" s="81"/>
      <c r="S1480" s="81"/>
      <c r="T1480" s="81"/>
      <c r="U1480" s="81"/>
      <c r="V1480" s="84" t="str">
        <f>HYPERLINK("https://pbs.twimg.com/profile_images/1352479207234953216/Rw6_wlJY_normal.jpg")</f>
        <v>https://pbs.twimg.com/profile_images/1352479207234953216/Rw6_wlJY_normal.jpg</v>
      </c>
      <c r="W1480" s="83">
        <v>44466.119629629633</v>
      </c>
      <c r="X1480" s="89">
        <v>44466</v>
      </c>
      <c r="Y1480" s="86" t="s">
        <v>6412</v>
      </c>
      <c r="Z1480" s="84" t="str">
        <f>HYPERLINK("https://twitter.com/nayaraayres/status/1442321161283506181")</f>
        <v>https://twitter.com/nayaraayres/status/1442321161283506181</v>
      </c>
      <c r="AA1480" s="81"/>
      <c r="AB1480" s="81"/>
      <c r="AC1480" s="86" t="s">
        <v>7328</v>
      </c>
      <c r="AD1480" s="86" t="s">
        <v>7725</v>
      </c>
      <c r="AE1480" s="81" t="b">
        <v>0</v>
      </c>
      <c r="AF1480" s="81">
        <v>0</v>
      </c>
      <c r="AG1480" s="86" t="s">
        <v>7900</v>
      </c>
      <c r="AH1480" s="81" t="b">
        <v>0</v>
      </c>
      <c r="AI1480" s="81" t="s">
        <v>2171</v>
      </c>
      <c r="AJ1480" s="81"/>
      <c r="AK1480" s="86" t="s">
        <v>2084</v>
      </c>
      <c r="AL1480" s="81" t="b">
        <v>0</v>
      </c>
      <c r="AM1480" s="81">
        <v>0</v>
      </c>
      <c r="AN1480" s="86" t="s">
        <v>2084</v>
      </c>
      <c r="AO1480" s="86" t="s">
        <v>2178</v>
      </c>
      <c r="AP1480" s="81" t="b">
        <v>0</v>
      </c>
      <c r="AQ1480" s="86" t="s">
        <v>7725</v>
      </c>
      <c r="AR1480" s="81" t="s">
        <v>179</v>
      </c>
      <c r="AS1480" s="81">
        <v>0</v>
      </c>
      <c r="AT1480" s="81">
        <v>0</v>
      </c>
      <c r="AU1480" s="81"/>
      <c r="AV1480" s="81"/>
      <c r="AW1480" s="81"/>
      <c r="AX1480" s="81"/>
      <c r="AY1480" s="81"/>
      <c r="AZ1480" s="81"/>
      <c r="BA1480" s="81"/>
      <c r="BB1480" s="81"/>
    </row>
    <row r="1481" spans="1:54" x14ac:dyDescent="0.35">
      <c r="A1481" s="66" t="s">
        <v>4769</v>
      </c>
      <c r="B1481" s="66" t="s">
        <v>4944</v>
      </c>
      <c r="C1481" s="67"/>
      <c r="D1481" s="68"/>
      <c r="E1481" s="69"/>
      <c r="F1481" s="70"/>
      <c r="G1481" s="67"/>
      <c r="H1481" s="71"/>
      <c r="I1481" s="72"/>
      <c r="J1481" s="72"/>
      <c r="K1481" s="36"/>
      <c r="L1481" s="79"/>
      <c r="M1481" s="79"/>
      <c r="N1481" s="74"/>
      <c r="O1481" s="81" t="s">
        <v>693</v>
      </c>
      <c r="P1481" s="83">
        <v>44466.12226851852</v>
      </c>
      <c r="Q1481" s="81" t="s">
        <v>5505</v>
      </c>
      <c r="R1481" s="81"/>
      <c r="S1481" s="81"/>
      <c r="T1481" s="81"/>
      <c r="U1481" s="81"/>
      <c r="V1481" s="84" t="str">
        <f>HYPERLINK("https://pbs.twimg.com/profile_images/1431856508669763586/ADOMx2MI_normal.jpg")</f>
        <v>https://pbs.twimg.com/profile_images/1431856508669763586/ADOMx2MI_normal.jpg</v>
      </c>
      <c r="W1481" s="83">
        <v>44466.12226851852</v>
      </c>
      <c r="X1481" s="89">
        <v>44466</v>
      </c>
      <c r="Y1481" s="86" t="s">
        <v>6413</v>
      </c>
      <c r="Z1481" s="84" t="str">
        <f>HYPERLINK("https://twitter.com/sandra_miria/status/1442322116943167489")</f>
        <v>https://twitter.com/sandra_miria/status/1442322116943167489</v>
      </c>
      <c r="AA1481" s="81"/>
      <c r="AB1481" s="81"/>
      <c r="AC1481" s="86" t="s">
        <v>7329</v>
      </c>
      <c r="AD1481" s="81"/>
      <c r="AE1481" s="81" t="b">
        <v>0</v>
      </c>
      <c r="AF1481" s="81">
        <v>0</v>
      </c>
      <c r="AG1481" s="86" t="s">
        <v>2084</v>
      </c>
      <c r="AH1481" s="81" t="b">
        <v>0</v>
      </c>
      <c r="AI1481" s="81" t="s">
        <v>2171</v>
      </c>
      <c r="AJ1481" s="81"/>
      <c r="AK1481" s="86" t="s">
        <v>2084</v>
      </c>
      <c r="AL1481" s="81" t="b">
        <v>0</v>
      </c>
      <c r="AM1481" s="81">
        <v>255</v>
      </c>
      <c r="AN1481" s="86" t="s">
        <v>7543</v>
      </c>
      <c r="AO1481" s="86" t="s">
        <v>2178</v>
      </c>
      <c r="AP1481" s="81" t="b">
        <v>0</v>
      </c>
      <c r="AQ1481" s="86" t="s">
        <v>7543</v>
      </c>
      <c r="AR1481" s="81" t="s">
        <v>179</v>
      </c>
      <c r="AS1481" s="81">
        <v>0</v>
      </c>
      <c r="AT1481" s="81">
        <v>0</v>
      </c>
      <c r="AU1481" s="81"/>
      <c r="AV1481" s="81"/>
      <c r="AW1481" s="81"/>
      <c r="AX1481" s="81"/>
      <c r="AY1481" s="81"/>
      <c r="AZ1481" s="81"/>
      <c r="BA1481" s="81"/>
      <c r="BB1481" s="81"/>
    </row>
    <row r="1482" spans="1:54" x14ac:dyDescent="0.35">
      <c r="A1482" s="66" t="s">
        <v>4770</v>
      </c>
      <c r="B1482" s="66" t="s">
        <v>5154</v>
      </c>
      <c r="C1482" s="67"/>
      <c r="D1482" s="68"/>
      <c r="E1482" s="69"/>
      <c r="F1482" s="70"/>
      <c r="G1482" s="67"/>
      <c r="H1482" s="71"/>
      <c r="I1482" s="72"/>
      <c r="J1482" s="72"/>
      <c r="K1482" s="36"/>
      <c r="L1482" s="79"/>
      <c r="M1482" s="79"/>
      <c r="N1482" s="74"/>
      <c r="O1482" s="81" t="s">
        <v>695</v>
      </c>
      <c r="P1482" s="83">
        <v>44466.124826388892</v>
      </c>
      <c r="Q1482" s="81" t="s">
        <v>5534</v>
      </c>
      <c r="R1482" s="81"/>
      <c r="S1482" s="81"/>
      <c r="T1482" s="81"/>
      <c r="U1482" s="81"/>
      <c r="V1482" s="84" t="str">
        <f>HYPERLINK("https://pbs.twimg.com/profile_images/1402972391379251208/7fbH09bn_normal.jpg")</f>
        <v>https://pbs.twimg.com/profile_images/1402972391379251208/7fbH09bn_normal.jpg</v>
      </c>
      <c r="W1482" s="83">
        <v>44466.124826388892</v>
      </c>
      <c r="X1482" s="89">
        <v>44466</v>
      </c>
      <c r="Y1482" s="86" t="s">
        <v>1490</v>
      </c>
      <c r="Z1482" s="84" t="str">
        <f>HYPERLINK("https://twitter.com/inespedrosa_pt/status/1442323042793885697")</f>
        <v>https://twitter.com/inespedrosa_pt/status/1442323042793885697</v>
      </c>
      <c r="AA1482" s="81"/>
      <c r="AB1482" s="81"/>
      <c r="AC1482" s="86" t="s">
        <v>7330</v>
      </c>
      <c r="AD1482" s="86" t="s">
        <v>7726</v>
      </c>
      <c r="AE1482" s="81" t="b">
        <v>0</v>
      </c>
      <c r="AF1482" s="81">
        <v>1</v>
      </c>
      <c r="AG1482" s="86" t="s">
        <v>7901</v>
      </c>
      <c r="AH1482" s="81" t="b">
        <v>0</v>
      </c>
      <c r="AI1482" s="81" t="s">
        <v>2171</v>
      </c>
      <c r="AJ1482" s="81"/>
      <c r="AK1482" s="86" t="s">
        <v>2084</v>
      </c>
      <c r="AL1482" s="81" t="b">
        <v>0</v>
      </c>
      <c r="AM1482" s="81">
        <v>0</v>
      </c>
      <c r="AN1482" s="86" t="s">
        <v>2084</v>
      </c>
      <c r="AO1482" s="86" t="s">
        <v>2179</v>
      </c>
      <c r="AP1482" s="81" t="b">
        <v>0</v>
      </c>
      <c r="AQ1482" s="86" t="s">
        <v>7726</v>
      </c>
      <c r="AR1482" s="81" t="s">
        <v>179</v>
      </c>
      <c r="AS1482" s="81">
        <v>0</v>
      </c>
      <c r="AT1482" s="81">
        <v>0</v>
      </c>
      <c r="AU1482" s="81"/>
      <c r="AV1482" s="81"/>
      <c r="AW1482" s="81"/>
      <c r="AX1482" s="81"/>
      <c r="AY1482" s="81"/>
      <c r="AZ1482" s="81"/>
      <c r="BA1482" s="81"/>
      <c r="BB1482" s="81"/>
    </row>
    <row r="1483" spans="1:54" x14ac:dyDescent="0.35">
      <c r="A1483" s="66" t="s">
        <v>506</v>
      </c>
      <c r="B1483" s="66" t="s">
        <v>506</v>
      </c>
      <c r="C1483" s="67"/>
      <c r="D1483" s="68"/>
      <c r="E1483" s="69"/>
      <c r="F1483" s="70"/>
      <c r="G1483" s="67"/>
      <c r="H1483" s="71"/>
      <c r="I1483" s="72"/>
      <c r="J1483" s="72"/>
      <c r="K1483" s="36"/>
      <c r="L1483" s="79"/>
      <c r="M1483" s="79"/>
      <c r="N1483" s="74"/>
      <c r="O1483" s="81" t="s">
        <v>179</v>
      </c>
      <c r="P1483" s="83">
        <v>44466.125196759262</v>
      </c>
      <c r="Q1483" s="81" t="s">
        <v>851</v>
      </c>
      <c r="R1483" s="81"/>
      <c r="S1483" s="81"/>
      <c r="T1483" s="81"/>
      <c r="U1483" s="81"/>
      <c r="V1483" s="84" t="str">
        <f>HYPERLINK("https://pbs.twimg.com/profile_images/1321791301872803840/j7W_f3i3_normal.jpg")</f>
        <v>https://pbs.twimg.com/profile_images/1321791301872803840/j7W_f3i3_normal.jpg</v>
      </c>
      <c r="W1483" s="83">
        <v>44466.125196759262</v>
      </c>
      <c r="X1483" s="89">
        <v>44466</v>
      </c>
      <c r="Y1483" s="86" t="s">
        <v>1379</v>
      </c>
      <c r="Z1483" s="84" t="str">
        <f>HYPERLINK("https://twitter.com/himafifmipaunri/status/1442323179699986439")</f>
        <v>https://twitter.com/himafifmipaunri/status/1442323179699986439</v>
      </c>
      <c r="AA1483" s="81"/>
      <c r="AB1483" s="81"/>
      <c r="AC1483" s="86" t="s">
        <v>1877</v>
      </c>
      <c r="AD1483" s="86" t="s">
        <v>2070</v>
      </c>
      <c r="AE1483" s="81" t="b">
        <v>0</v>
      </c>
      <c r="AF1483" s="81">
        <v>0</v>
      </c>
      <c r="AG1483" s="86" t="s">
        <v>2150</v>
      </c>
      <c r="AH1483" s="81" t="b">
        <v>0</v>
      </c>
      <c r="AI1483" s="81" t="s">
        <v>2167</v>
      </c>
      <c r="AJ1483" s="81"/>
      <c r="AK1483" s="86" t="s">
        <v>2084</v>
      </c>
      <c r="AL1483" s="81" t="b">
        <v>0</v>
      </c>
      <c r="AM1483" s="81">
        <v>0</v>
      </c>
      <c r="AN1483" s="86" t="s">
        <v>2084</v>
      </c>
      <c r="AO1483" s="86" t="s">
        <v>2178</v>
      </c>
      <c r="AP1483" s="81" t="b">
        <v>0</v>
      </c>
      <c r="AQ1483" s="86" t="s">
        <v>2070</v>
      </c>
      <c r="AR1483" s="81" t="s">
        <v>179</v>
      </c>
      <c r="AS1483" s="81">
        <v>0</v>
      </c>
      <c r="AT1483" s="81">
        <v>0</v>
      </c>
      <c r="AU1483" s="81"/>
      <c r="AV1483" s="81"/>
      <c r="AW1483" s="81"/>
      <c r="AX1483" s="81"/>
      <c r="AY1483" s="81"/>
      <c r="AZ1483" s="81"/>
      <c r="BA1483" s="81"/>
      <c r="BB1483" s="81"/>
    </row>
    <row r="1484" spans="1:54" x14ac:dyDescent="0.35">
      <c r="A1484" s="66" t="s">
        <v>507</v>
      </c>
      <c r="B1484" s="66" t="s">
        <v>612</v>
      </c>
      <c r="C1484" s="67"/>
      <c r="D1484" s="68"/>
      <c r="E1484" s="69"/>
      <c r="F1484" s="70"/>
      <c r="G1484" s="67"/>
      <c r="H1484" s="71"/>
      <c r="I1484" s="72"/>
      <c r="J1484" s="72"/>
      <c r="K1484" s="36"/>
      <c r="L1484" s="79"/>
      <c r="M1484" s="79"/>
      <c r="N1484" s="74"/>
      <c r="O1484" s="81" t="s">
        <v>696</v>
      </c>
      <c r="P1484" s="83">
        <v>44466.128032407411</v>
      </c>
      <c r="Q1484" s="81" t="s">
        <v>852</v>
      </c>
      <c r="R1484" s="84" t="str">
        <f>HYPERLINK("https://www.instagram.com/p/CUTy-FxpS3WTTkSXQfS4G_EZPjVN2PDm_k0KPE0")</f>
        <v>https://www.instagram.com/p/CUTy-FxpS3WTTkSXQfS4G_EZPjVN2PDm_k0KPE0</v>
      </c>
      <c r="S1484" s="81" t="s">
        <v>960</v>
      </c>
      <c r="T1484" s="86" t="s">
        <v>507</v>
      </c>
      <c r="U1484" s="81"/>
      <c r="V1484" s="84" t="str">
        <f>HYPERLINK("https://pbs.twimg.com/profile_images/1399869317907292186/HZoGTX0__normal.jpg")</f>
        <v>https://pbs.twimg.com/profile_images/1399869317907292186/HZoGTX0__normal.jpg</v>
      </c>
      <c r="W1484" s="83">
        <v>44466.128032407411</v>
      </c>
      <c r="X1484" s="89">
        <v>44466</v>
      </c>
      <c r="Y1484" s="86" t="s">
        <v>1380</v>
      </c>
      <c r="Z1484" s="84" t="str">
        <f>HYPERLINK("https://twitter.com/d4mbpoltekpos/status/1442324204112711680")</f>
        <v>https://twitter.com/d4mbpoltekpos/status/1442324204112711680</v>
      </c>
      <c r="AA1484" s="81"/>
      <c r="AB1484" s="81"/>
      <c r="AC1484" s="86" t="s">
        <v>1878</v>
      </c>
      <c r="AD1484" s="81"/>
      <c r="AE1484" s="81" t="b">
        <v>0</v>
      </c>
      <c r="AF1484" s="81">
        <v>0</v>
      </c>
      <c r="AG1484" s="86" t="s">
        <v>2084</v>
      </c>
      <c r="AH1484" s="81" t="b">
        <v>0</v>
      </c>
      <c r="AI1484" s="81" t="s">
        <v>2167</v>
      </c>
      <c r="AJ1484" s="81"/>
      <c r="AK1484" s="86" t="s">
        <v>2084</v>
      </c>
      <c r="AL1484" s="81" t="b">
        <v>0</v>
      </c>
      <c r="AM1484" s="81">
        <v>0</v>
      </c>
      <c r="AN1484" s="86" t="s">
        <v>2084</v>
      </c>
      <c r="AO1484" s="86" t="s">
        <v>2192</v>
      </c>
      <c r="AP1484" s="81" t="b">
        <v>0</v>
      </c>
      <c r="AQ1484" s="86" t="s">
        <v>1878</v>
      </c>
      <c r="AR1484" s="81" t="s">
        <v>179</v>
      </c>
      <c r="AS1484" s="81">
        <v>0</v>
      </c>
      <c r="AT1484" s="81">
        <v>0</v>
      </c>
      <c r="AU1484" s="81"/>
      <c r="AV1484" s="81"/>
      <c r="AW1484" s="81"/>
      <c r="AX1484" s="81"/>
      <c r="AY1484" s="81"/>
      <c r="AZ1484" s="81"/>
      <c r="BA1484" s="81"/>
      <c r="BB1484" s="81"/>
    </row>
    <row r="1485" spans="1:54" x14ac:dyDescent="0.35">
      <c r="A1485" s="66" t="s">
        <v>510</v>
      </c>
      <c r="B1485" s="66" t="s">
        <v>663</v>
      </c>
      <c r="C1485" s="67"/>
      <c r="D1485" s="68"/>
      <c r="E1485" s="69"/>
      <c r="F1485" s="70"/>
      <c r="G1485" s="67"/>
      <c r="H1485" s="71"/>
      <c r="I1485" s="72"/>
      <c r="J1485" s="72"/>
      <c r="K1485" s="36"/>
      <c r="L1485" s="79"/>
      <c r="M1485" s="79"/>
      <c r="N1485" s="74"/>
      <c r="O1485" s="81" t="s">
        <v>694</v>
      </c>
      <c r="P1485" s="83">
        <v>44466.148518518516</v>
      </c>
      <c r="Q1485" s="81" t="s">
        <v>816</v>
      </c>
      <c r="R1485" s="81"/>
      <c r="S1485" s="81"/>
      <c r="T1485" s="86" t="s">
        <v>986</v>
      </c>
      <c r="U1485" s="84" t="str">
        <f>HYPERLINK("https://pbs.twimg.com/media/FAI5unvVgAgIBY3.jpg")</f>
        <v>https://pbs.twimg.com/media/FAI5unvVgAgIBY3.jpg</v>
      </c>
      <c r="V1485" s="84" t="str">
        <f>HYPERLINK("https://pbs.twimg.com/media/FAI5unvVgAgIBY3.jpg")</f>
        <v>https://pbs.twimg.com/media/FAI5unvVgAgIBY3.jpg</v>
      </c>
      <c r="W1485" s="83">
        <v>44466.148518518516</v>
      </c>
      <c r="X1485" s="89">
        <v>44466</v>
      </c>
      <c r="Y1485" s="86" t="s">
        <v>1383</v>
      </c>
      <c r="Z1485" s="84" t="str">
        <f>HYPERLINK("https://twitter.com/loeyyeojaa/status/1442331632103428103")</f>
        <v>https://twitter.com/loeyyeojaa/status/1442331632103428103</v>
      </c>
      <c r="AA1485" s="81"/>
      <c r="AB1485" s="81"/>
      <c r="AC1485" s="86" t="s">
        <v>1881</v>
      </c>
      <c r="AD1485" s="81"/>
      <c r="AE1485" s="81" t="b">
        <v>0</v>
      </c>
      <c r="AF1485" s="81">
        <v>0</v>
      </c>
      <c r="AG1485" s="86" t="s">
        <v>2084</v>
      </c>
      <c r="AH1485" s="81" t="b">
        <v>0</v>
      </c>
      <c r="AI1485" s="81" t="s">
        <v>2168</v>
      </c>
      <c r="AJ1485" s="81"/>
      <c r="AK1485" s="86" t="s">
        <v>2084</v>
      </c>
      <c r="AL1485" s="81" t="b">
        <v>0</v>
      </c>
      <c r="AM1485" s="81">
        <v>6</v>
      </c>
      <c r="AN1485" s="86" t="s">
        <v>1882</v>
      </c>
      <c r="AO1485" s="86" t="s">
        <v>2179</v>
      </c>
      <c r="AP1485" s="81" t="b">
        <v>0</v>
      </c>
      <c r="AQ1485" s="86" t="s">
        <v>1882</v>
      </c>
      <c r="AR1485" s="81" t="s">
        <v>179</v>
      </c>
      <c r="AS1485" s="81">
        <v>0</v>
      </c>
      <c r="AT1485" s="81">
        <v>0</v>
      </c>
      <c r="AU1485" s="81"/>
      <c r="AV1485" s="81"/>
      <c r="AW1485" s="81"/>
      <c r="AX1485" s="81"/>
      <c r="AY1485" s="81"/>
      <c r="AZ1485" s="81"/>
      <c r="BA1485" s="81"/>
      <c r="BB1485" s="81"/>
    </row>
    <row r="1486" spans="1:54" x14ac:dyDescent="0.35">
      <c r="A1486" s="66" t="s">
        <v>510</v>
      </c>
      <c r="B1486" s="66" t="s">
        <v>12670</v>
      </c>
      <c r="C1486" s="67"/>
      <c r="D1486" s="68"/>
      <c r="E1486" s="69"/>
      <c r="F1486" s="70"/>
      <c r="G1486" s="67"/>
      <c r="H1486" s="71"/>
      <c r="I1486" s="72"/>
      <c r="J1486" s="72"/>
      <c r="K1486" s="36"/>
      <c r="L1486" s="79"/>
      <c r="M1486" s="79"/>
      <c r="N1486" s="74"/>
      <c r="O1486" s="81" t="s">
        <v>694</v>
      </c>
      <c r="P1486" s="83">
        <v>44466.148518518516</v>
      </c>
      <c r="Q1486" s="81" t="s">
        <v>816</v>
      </c>
      <c r="R1486" s="81"/>
      <c r="S1486" s="81"/>
      <c r="T1486" s="86" t="s">
        <v>986</v>
      </c>
      <c r="U1486" s="84" t="str">
        <f>HYPERLINK("https://pbs.twimg.com/media/FAI5unvVgAgIBY3.jpg")</f>
        <v>https://pbs.twimg.com/media/FAI5unvVgAgIBY3.jpg</v>
      </c>
      <c r="V1486" s="84" t="str">
        <f>HYPERLINK("https://pbs.twimg.com/media/FAI5unvVgAgIBY3.jpg")</f>
        <v>https://pbs.twimg.com/media/FAI5unvVgAgIBY3.jpg</v>
      </c>
      <c r="W1486" s="83">
        <v>44466.148518518516</v>
      </c>
      <c r="X1486" s="89">
        <v>44466</v>
      </c>
      <c r="Y1486" s="86" t="s">
        <v>1383</v>
      </c>
      <c r="Z1486" s="84" t="str">
        <f>HYPERLINK("https://twitter.com/loeyyeojaa/status/1442331632103428103")</f>
        <v>https://twitter.com/loeyyeojaa/status/1442331632103428103</v>
      </c>
      <c r="AA1486" s="81"/>
      <c r="AB1486" s="81"/>
      <c r="AC1486" s="86" t="s">
        <v>1881</v>
      </c>
      <c r="AD1486" s="81"/>
      <c r="AE1486" s="81" t="b">
        <v>0</v>
      </c>
      <c r="AF1486" s="81">
        <v>0</v>
      </c>
      <c r="AG1486" s="86" t="s">
        <v>2084</v>
      </c>
      <c r="AH1486" s="81" t="b">
        <v>0</v>
      </c>
      <c r="AI1486" s="81" t="s">
        <v>2168</v>
      </c>
      <c r="AJ1486" s="81"/>
      <c r="AK1486" s="86" t="s">
        <v>2084</v>
      </c>
      <c r="AL1486" s="81" t="b">
        <v>0</v>
      </c>
      <c r="AM1486" s="81">
        <v>6</v>
      </c>
      <c r="AN1486" s="86" t="s">
        <v>1882</v>
      </c>
      <c r="AO1486" s="86" t="s">
        <v>2179</v>
      </c>
      <c r="AP1486" s="81" t="b">
        <v>0</v>
      </c>
      <c r="AQ1486" s="86" t="s">
        <v>1882</v>
      </c>
      <c r="AR1486" s="81" t="s">
        <v>179</v>
      </c>
      <c r="AS1486" s="81">
        <v>0</v>
      </c>
      <c r="AT1486" s="81">
        <v>0</v>
      </c>
      <c r="AU1486" s="81"/>
      <c r="AV1486" s="81"/>
      <c r="AW1486" s="81"/>
      <c r="AX1486" s="81"/>
      <c r="AY1486" s="81"/>
      <c r="AZ1486" s="81"/>
      <c r="BA1486" s="81"/>
      <c r="BB1486" s="81"/>
    </row>
    <row r="1487" spans="1:54" x14ac:dyDescent="0.35">
      <c r="A1487" s="66" t="s">
        <v>510</v>
      </c>
      <c r="B1487" s="66" t="s">
        <v>511</v>
      </c>
      <c r="C1487" s="67"/>
      <c r="D1487" s="68"/>
      <c r="E1487" s="69"/>
      <c r="F1487" s="70"/>
      <c r="G1487" s="67"/>
      <c r="H1487" s="71"/>
      <c r="I1487" s="72"/>
      <c r="J1487" s="72"/>
      <c r="K1487" s="36"/>
      <c r="L1487" s="79"/>
      <c r="M1487" s="79"/>
      <c r="N1487" s="74"/>
      <c r="O1487" s="81" t="s">
        <v>693</v>
      </c>
      <c r="P1487" s="83">
        <v>44466.148518518516</v>
      </c>
      <c r="Q1487" s="81" t="s">
        <v>816</v>
      </c>
      <c r="R1487" s="81"/>
      <c r="S1487" s="81"/>
      <c r="T1487" s="86" t="s">
        <v>986</v>
      </c>
      <c r="U1487" s="84" t="str">
        <f>HYPERLINK("https://pbs.twimg.com/media/FAI5unvVgAgIBY3.jpg")</f>
        <v>https://pbs.twimg.com/media/FAI5unvVgAgIBY3.jpg</v>
      </c>
      <c r="V1487" s="84" t="str">
        <f>HYPERLINK("https://pbs.twimg.com/media/FAI5unvVgAgIBY3.jpg")</f>
        <v>https://pbs.twimg.com/media/FAI5unvVgAgIBY3.jpg</v>
      </c>
      <c r="W1487" s="83">
        <v>44466.148518518516</v>
      </c>
      <c r="X1487" s="89">
        <v>44466</v>
      </c>
      <c r="Y1487" s="86" t="s">
        <v>1383</v>
      </c>
      <c r="Z1487" s="84" t="str">
        <f>HYPERLINK("https://twitter.com/loeyyeojaa/status/1442331632103428103")</f>
        <v>https://twitter.com/loeyyeojaa/status/1442331632103428103</v>
      </c>
      <c r="AA1487" s="81"/>
      <c r="AB1487" s="81"/>
      <c r="AC1487" s="86" t="s">
        <v>1881</v>
      </c>
      <c r="AD1487" s="81"/>
      <c r="AE1487" s="81" t="b">
        <v>0</v>
      </c>
      <c r="AF1487" s="81">
        <v>0</v>
      </c>
      <c r="AG1487" s="86" t="s">
        <v>2084</v>
      </c>
      <c r="AH1487" s="81" t="b">
        <v>0</v>
      </c>
      <c r="AI1487" s="81" t="s">
        <v>2168</v>
      </c>
      <c r="AJ1487" s="81"/>
      <c r="AK1487" s="86" t="s">
        <v>2084</v>
      </c>
      <c r="AL1487" s="81" t="b">
        <v>0</v>
      </c>
      <c r="AM1487" s="81">
        <v>6</v>
      </c>
      <c r="AN1487" s="86" t="s">
        <v>1882</v>
      </c>
      <c r="AO1487" s="86" t="s">
        <v>2179</v>
      </c>
      <c r="AP1487" s="81" t="b">
        <v>0</v>
      </c>
      <c r="AQ1487" s="86" t="s">
        <v>1882</v>
      </c>
      <c r="AR1487" s="81" t="s">
        <v>179</v>
      </c>
      <c r="AS1487" s="81">
        <v>0</v>
      </c>
      <c r="AT1487" s="81">
        <v>0</v>
      </c>
      <c r="AU1487" s="81"/>
      <c r="AV1487" s="81"/>
      <c r="AW1487" s="81"/>
      <c r="AX1487" s="81"/>
      <c r="AY1487" s="81"/>
      <c r="AZ1487" s="81"/>
      <c r="BA1487" s="81"/>
      <c r="BB1487" s="81"/>
    </row>
    <row r="1488" spans="1:54" x14ac:dyDescent="0.35">
      <c r="A1488" s="66" t="s">
        <v>511</v>
      </c>
      <c r="B1488" s="66" t="s">
        <v>663</v>
      </c>
      <c r="C1488" s="67"/>
      <c r="D1488" s="68"/>
      <c r="E1488" s="69"/>
      <c r="F1488" s="70"/>
      <c r="G1488" s="67"/>
      <c r="H1488" s="71"/>
      <c r="I1488" s="72"/>
      <c r="J1488" s="72"/>
      <c r="K1488" s="36"/>
      <c r="L1488" s="79"/>
      <c r="M1488" s="79"/>
      <c r="N1488" s="74"/>
      <c r="O1488" s="81" t="s">
        <v>696</v>
      </c>
      <c r="P1488" s="83">
        <v>44464.621666666666</v>
      </c>
      <c r="Q1488" s="81" t="s">
        <v>816</v>
      </c>
      <c r="R1488" s="81"/>
      <c r="S1488" s="81"/>
      <c r="T1488" s="86" t="s">
        <v>986</v>
      </c>
      <c r="U1488" s="84" t="str">
        <f>HYPERLINK("https://pbs.twimg.com/media/FAI5unvVgAgIBY3.jpg")</f>
        <v>https://pbs.twimg.com/media/FAI5unvVgAgIBY3.jpg</v>
      </c>
      <c r="V1488" s="84" t="str">
        <f>HYPERLINK("https://pbs.twimg.com/media/FAI5unvVgAgIBY3.jpg")</f>
        <v>https://pbs.twimg.com/media/FAI5unvVgAgIBY3.jpg</v>
      </c>
      <c r="W1488" s="83">
        <v>44464.621666666666</v>
      </c>
      <c r="X1488" s="89">
        <v>44464</v>
      </c>
      <c r="Y1488" s="86" t="s">
        <v>1384</v>
      </c>
      <c r="Z1488" s="84" t="str">
        <f>HYPERLINK("https://twitter.com/syafiqaaazm/status/1441778317128974339")</f>
        <v>https://twitter.com/syafiqaaazm/status/1441778317128974339</v>
      </c>
      <c r="AA1488" s="81"/>
      <c r="AB1488" s="81"/>
      <c r="AC1488" s="86" t="s">
        <v>1882</v>
      </c>
      <c r="AD1488" s="81"/>
      <c r="AE1488" s="81" t="b">
        <v>0</v>
      </c>
      <c r="AF1488" s="81">
        <v>2</v>
      </c>
      <c r="AG1488" s="86" t="s">
        <v>2084</v>
      </c>
      <c r="AH1488" s="81" t="b">
        <v>0</v>
      </c>
      <c r="AI1488" s="81" t="s">
        <v>2168</v>
      </c>
      <c r="AJ1488" s="81"/>
      <c r="AK1488" s="86" t="s">
        <v>2084</v>
      </c>
      <c r="AL1488" s="81" t="b">
        <v>0</v>
      </c>
      <c r="AM1488" s="81">
        <v>6</v>
      </c>
      <c r="AN1488" s="86" t="s">
        <v>2084</v>
      </c>
      <c r="AO1488" s="86" t="s">
        <v>2179</v>
      </c>
      <c r="AP1488" s="81" t="b">
        <v>0</v>
      </c>
      <c r="AQ1488" s="86" t="s">
        <v>1882</v>
      </c>
      <c r="AR1488" s="81" t="s">
        <v>179</v>
      </c>
      <c r="AS1488" s="81">
        <v>0</v>
      </c>
      <c r="AT1488" s="81">
        <v>0</v>
      </c>
      <c r="AU1488" s="81"/>
      <c r="AV1488" s="81"/>
      <c r="AW1488" s="81"/>
      <c r="AX1488" s="81"/>
      <c r="AY1488" s="81"/>
      <c r="AZ1488" s="81"/>
      <c r="BA1488" s="81"/>
      <c r="BB1488" s="81"/>
    </row>
    <row r="1489" spans="1:54" x14ac:dyDescent="0.35">
      <c r="A1489" s="66" t="s">
        <v>512</v>
      </c>
      <c r="B1489" s="66" t="s">
        <v>663</v>
      </c>
      <c r="C1489" s="67"/>
      <c r="D1489" s="68"/>
      <c r="E1489" s="69"/>
      <c r="F1489" s="70"/>
      <c r="G1489" s="67"/>
      <c r="H1489" s="71"/>
      <c r="I1489" s="72"/>
      <c r="J1489" s="72"/>
      <c r="K1489" s="36"/>
      <c r="L1489" s="79"/>
      <c r="M1489" s="79"/>
      <c r="N1489" s="74"/>
      <c r="O1489" s="81" t="s">
        <v>694</v>
      </c>
      <c r="P1489" s="83">
        <v>44466.149097222224</v>
      </c>
      <c r="Q1489" s="81" t="s">
        <v>816</v>
      </c>
      <c r="R1489" s="81"/>
      <c r="S1489" s="81"/>
      <c r="T1489" s="86" t="s">
        <v>986</v>
      </c>
      <c r="U1489" s="84" t="str">
        <f>HYPERLINK("https://pbs.twimg.com/media/FAI5unvVgAgIBY3.jpg")</f>
        <v>https://pbs.twimg.com/media/FAI5unvVgAgIBY3.jpg</v>
      </c>
      <c r="V1489" s="84" t="str">
        <f>HYPERLINK("https://pbs.twimg.com/media/FAI5unvVgAgIBY3.jpg")</f>
        <v>https://pbs.twimg.com/media/FAI5unvVgAgIBY3.jpg</v>
      </c>
      <c r="W1489" s="83">
        <v>44466.149097222224</v>
      </c>
      <c r="X1489" s="89">
        <v>44466</v>
      </c>
      <c r="Y1489" s="86" t="s">
        <v>1385</v>
      </c>
      <c r="Z1489" s="84" t="str">
        <f>HYPERLINK("https://twitter.com/oshh____/status/1442331840467988482")</f>
        <v>https://twitter.com/oshh____/status/1442331840467988482</v>
      </c>
      <c r="AA1489" s="81"/>
      <c r="AB1489" s="81"/>
      <c r="AC1489" s="86" t="s">
        <v>1883</v>
      </c>
      <c r="AD1489" s="81"/>
      <c r="AE1489" s="81" t="b">
        <v>0</v>
      </c>
      <c r="AF1489" s="81">
        <v>0</v>
      </c>
      <c r="AG1489" s="86" t="s">
        <v>2084</v>
      </c>
      <c r="AH1489" s="81" t="b">
        <v>0</v>
      </c>
      <c r="AI1489" s="81" t="s">
        <v>2168</v>
      </c>
      <c r="AJ1489" s="81"/>
      <c r="AK1489" s="86" t="s">
        <v>2084</v>
      </c>
      <c r="AL1489" s="81" t="b">
        <v>0</v>
      </c>
      <c r="AM1489" s="81">
        <v>6</v>
      </c>
      <c r="AN1489" s="86" t="s">
        <v>1882</v>
      </c>
      <c r="AO1489" s="86" t="s">
        <v>2181</v>
      </c>
      <c r="AP1489" s="81" t="b">
        <v>0</v>
      </c>
      <c r="AQ1489" s="86" t="s">
        <v>1882</v>
      </c>
      <c r="AR1489" s="81" t="s">
        <v>179</v>
      </c>
      <c r="AS1489" s="81">
        <v>0</v>
      </c>
      <c r="AT1489" s="81">
        <v>0</v>
      </c>
      <c r="AU1489" s="81"/>
      <c r="AV1489" s="81"/>
      <c r="AW1489" s="81"/>
      <c r="AX1489" s="81"/>
      <c r="AY1489" s="81"/>
      <c r="AZ1489" s="81"/>
      <c r="BA1489" s="81"/>
      <c r="BB1489" s="81"/>
    </row>
    <row r="1490" spans="1:54" x14ac:dyDescent="0.35">
      <c r="A1490" s="66" t="s">
        <v>511</v>
      </c>
      <c r="B1490" s="66" t="s">
        <v>12670</v>
      </c>
      <c r="C1490" s="67"/>
      <c r="D1490" s="68"/>
      <c r="E1490" s="69"/>
      <c r="F1490" s="70"/>
      <c r="G1490" s="67"/>
      <c r="H1490" s="71"/>
      <c r="I1490" s="72"/>
      <c r="J1490" s="72"/>
      <c r="K1490" s="36"/>
      <c r="L1490" s="79"/>
      <c r="M1490" s="79"/>
      <c r="N1490" s="74"/>
      <c r="O1490" s="81" t="s">
        <v>696</v>
      </c>
      <c r="P1490" s="83">
        <v>44464.621666666666</v>
      </c>
      <c r="Q1490" s="81" t="s">
        <v>816</v>
      </c>
      <c r="R1490" s="81"/>
      <c r="S1490" s="81"/>
      <c r="T1490" s="86" t="s">
        <v>986</v>
      </c>
      <c r="U1490" s="84" t="str">
        <f>HYPERLINK("https://pbs.twimg.com/media/FAI5unvVgAgIBY3.jpg")</f>
        <v>https://pbs.twimg.com/media/FAI5unvVgAgIBY3.jpg</v>
      </c>
      <c r="V1490" s="84" t="str">
        <f>HYPERLINK("https://pbs.twimg.com/media/FAI5unvVgAgIBY3.jpg")</f>
        <v>https://pbs.twimg.com/media/FAI5unvVgAgIBY3.jpg</v>
      </c>
      <c r="W1490" s="83">
        <v>44464.621666666666</v>
      </c>
      <c r="X1490" s="89">
        <v>44464</v>
      </c>
      <c r="Y1490" s="86" t="s">
        <v>1384</v>
      </c>
      <c r="Z1490" s="84" t="str">
        <f>HYPERLINK("https://twitter.com/syafiqaaazm/status/1441778317128974339")</f>
        <v>https://twitter.com/syafiqaaazm/status/1441778317128974339</v>
      </c>
      <c r="AA1490" s="81"/>
      <c r="AB1490" s="81"/>
      <c r="AC1490" s="86" t="s">
        <v>1882</v>
      </c>
      <c r="AD1490" s="81"/>
      <c r="AE1490" s="81" t="b">
        <v>0</v>
      </c>
      <c r="AF1490" s="81">
        <v>2</v>
      </c>
      <c r="AG1490" s="86" t="s">
        <v>2084</v>
      </c>
      <c r="AH1490" s="81" t="b">
        <v>0</v>
      </c>
      <c r="AI1490" s="81" t="s">
        <v>2168</v>
      </c>
      <c r="AJ1490" s="81"/>
      <c r="AK1490" s="86" t="s">
        <v>2084</v>
      </c>
      <c r="AL1490" s="81" t="b">
        <v>0</v>
      </c>
      <c r="AM1490" s="81">
        <v>6</v>
      </c>
      <c r="AN1490" s="86" t="s">
        <v>2084</v>
      </c>
      <c r="AO1490" s="86" t="s">
        <v>2179</v>
      </c>
      <c r="AP1490" s="81" t="b">
        <v>0</v>
      </c>
      <c r="AQ1490" s="86" t="s">
        <v>1882</v>
      </c>
      <c r="AR1490" s="81" t="s">
        <v>179</v>
      </c>
      <c r="AS1490" s="81">
        <v>0</v>
      </c>
      <c r="AT1490" s="81">
        <v>0</v>
      </c>
      <c r="AU1490" s="81"/>
      <c r="AV1490" s="81"/>
      <c r="AW1490" s="81"/>
      <c r="AX1490" s="81"/>
      <c r="AY1490" s="81"/>
      <c r="AZ1490" s="81"/>
      <c r="BA1490" s="81"/>
      <c r="BB1490" s="81"/>
    </row>
    <row r="1491" spans="1:54" x14ac:dyDescent="0.35">
      <c r="A1491" s="66" t="s">
        <v>512</v>
      </c>
      <c r="B1491" s="66" t="s">
        <v>12670</v>
      </c>
      <c r="C1491" s="67"/>
      <c r="D1491" s="68"/>
      <c r="E1491" s="69"/>
      <c r="F1491" s="70"/>
      <c r="G1491" s="67"/>
      <c r="H1491" s="71"/>
      <c r="I1491" s="72"/>
      <c r="J1491" s="72"/>
      <c r="K1491" s="36"/>
      <c r="L1491" s="79"/>
      <c r="M1491" s="79"/>
      <c r="N1491" s="74"/>
      <c r="O1491" s="81" t="s">
        <v>694</v>
      </c>
      <c r="P1491" s="83">
        <v>44466.149097222224</v>
      </c>
      <c r="Q1491" s="81" t="s">
        <v>816</v>
      </c>
      <c r="R1491" s="81"/>
      <c r="S1491" s="81"/>
      <c r="T1491" s="86" t="s">
        <v>986</v>
      </c>
      <c r="U1491" s="84" t="str">
        <f>HYPERLINK("https://pbs.twimg.com/media/FAI5unvVgAgIBY3.jpg")</f>
        <v>https://pbs.twimg.com/media/FAI5unvVgAgIBY3.jpg</v>
      </c>
      <c r="V1491" s="84" t="str">
        <f>HYPERLINK("https://pbs.twimg.com/media/FAI5unvVgAgIBY3.jpg")</f>
        <v>https://pbs.twimg.com/media/FAI5unvVgAgIBY3.jpg</v>
      </c>
      <c r="W1491" s="83">
        <v>44466.149097222224</v>
      </c>
      <c r="X1491" s="89">
        <v>44466</v>
      </c>
      <c r="Y1491" s="86" t="s">
        <v>1385</v>
      </c>
      <c r="Z1491" s="84" t="str">
        <f>HYPERLINK("https://twitter.com/oshh____/status/1442331840467988482")</f>
        <v>https://twitter.com/oshh____/status/1442331840467988482</v>
      </c>
      <c r="AA1491" s="81"/>
      <c r="AB1491" s="81"/>
      <c r="AC1491" s="86" t="s">
        <v>1883</v>
      </c>
      <c r="AD1491" s="81"/>
      <c r="AE1491" s="81" t="b">
        <v>0</v>
      </c>
      <c r="AF1491" s="81">
        <v>0</v>
      </c>
      <c r="AG1491" s="86" t="s">
        <v>2084</v>
      </c>
      <c r="AH1491" s="81" t="b">
        <v>0</v>
      </c>
      <c r="AI1491" s="81" t="s">
        <v>2168</v>
      </c>
      <c r="AJ1491" s="81"/>
      <c r="AK1491" s="86" t="s">
        <v>2084</v>
      </c>
      <c r="AL1491" s="81" t="b">
        <v>0</v>
      </c>
      <c r="AM1491" s="81">
        <v>6</v>
      </c>
      <c r="AN1491" s="86" t="s">
        <v>1882</v>
      </c>
      <c r="AO1491" s="86" t="s">
        <v>2181</v>
      </c>
      <c r="AP1491" s="81" t="b">
        <v>0</v>
      </c>
      <c r="AQ1491" s="86" t="s">
        <v>1882</v>
      </c>
      <c r="AR1491" s="81" t="s">
        <v>179</v>
      </c>
      <c r="AS1491" s="81">
        <v>0</v>
      </c>
      <c r="AT1491" s="81">
        <v>0</v>
      </c>
      <c r="AU1491" s="81"/>
      <c r="AV1491" s="81"/>
      <c r="AW1491" s="81"/>
      <c r="AX1491" s="81"/>
      <c r="AY1491" s="81"/>
      <c r="AZ1491" s="81"/>
      <c r="BA1491" s="81"/>
      <c r="BB1491" s="81"/>
    </row>
    <row r="1492" spans="1:54" x14ac:dyDescent="0.35">
      <c r="A1492" s="66" t="s">
        <v>512</v>
      </c>
      <c r="B1492" s="66" t="s">
        <v>511</v>
      </c>
      <c r="C1492" s="67"/>
      <c r="D1492" s="68"/>
      <c r="E1492" s="69"/>
      <c r="F1492" s="70"/>
      <c r="G1492" s="67"/>
      <c r="H1492" s="71"/>
      <c r="I1492" s="72"/>
      <c r="J1492" s="72"/>
      <c r="K1492" s="36"/>
      <c r="L1492" s="79"/>
      <c r="M1492" s="79"/>
      <c r="N1492" s="74"/>
      <c r="O1492" s="81" t="s">
        <v>693</v>
      </c>
      <c r="P1492" s="83">
        <v>44466.149097222224</v>
      </c>
      <c r="Q1492" s="81" t="s">
        <v>816</v>
      </c>
      <c r="R1492" s="81"/>
      <c r="S1492" s="81"/>
      <c r="T1492" s="86" t="s">
        <v>986</v>
      </c>
      <c r="U1492" s="84" t="str">
        <f>HYPERLINK("https://pbs.twimg.com/media/FAI5unvVgAgIBY3.jpg")</f>
        <v>https://pbs.twimg.com/media/FAI5unvVgAgIBY3.jpg</v>
      </c>
      <c r="V1492" s="84" t="str">
        <f>HYPERLINK("https://pbs.twimg.com/media/FAI5unvVgAgIBY3.jpg")</f>
        <v>https://pbs.twimg.com/media/FAI5unvVgAgIBY3.jpg</v>
      </c>
      <c r="W1492" s="83">
        <v>44466.149097222224</v>
      </c>
      <c r="X1492" s="89">
        <v>44466</v>
      </c>
      <c r="Y1492" s="86" t="s">
        <v>1385</v>
      </c>
      <c r="Z1492" s="84" t="str">
        <f>HYPERLINK("https://twitter.com/oshh____/status/1442331840467988482")</f>
        <v>https://twitter.com/oshh____/status/1442331840467988482</v>
      </c>
      <c r="AA1492" s="81"/>
      <c r="AB1492" s="81"/>
      <c r="AC1492" s="86" t="s">
        <v>1883</v>
      </c>
      <c r="AD1492" s="81"/>
      <c r="AE1492" s="81" t="b">
        <v>0</v>
      </c>
      <c r="AF1492" s="81">
        <v>0</v>
      </c>
      <c r="AG1492" s="86" t="s">
        <v>2084</v>
      </c>
      <c r="AH1492" s="81" t="b">
        <v>0</v>
      </c>
      <c r="AI1492" s="81" t="s">
        <v>2168</v>
      </c>
      <c r="AJ1492" s="81"/>
      <c r="AK1492" s="86" t="s">
        <v>2084</v>
      </c>
      <c r="AL1492" s="81" t="b">
        <v>0</v>
      </c>
      <c r="AM1492" s="81">
        <v>6</v>
      </c>
      <c r="AN1492" s="86" t="s">
        <v>1882</v>
      </c>
      <c r="AO1492" s="86" t="s">
        <v>2181</v>
      </c>
      <c r="AP1492" s="81" t="b">
        <v>0</v>
      </c>
      <c r="AQ1492" s="86" t="s">
        <v>1882</v>
      </c>
      <c r="AR1492" s="81" t="s">
        <v>179</v>
      </c>
      <c r="AS1492" s="81">
        <v>0</v>
      </c>
      <c r="AT1492" s="81">
        <v>0</v>
      </c>
      <c r="AU1492" s="81"/>
      <c r="AV1492" s="81"/>
      <c r="AW1492" s="81"/>
      <c r="AX1492" s="81"/>
      <c r="AY1492" s="81"/>
      <c r="AZ1492" s="81"/>
      <c r="BA1492" s="81"/>
      <c r="BB1492" s="81"/>
    </row>
    <row r="1493" spans="1:54" x14ac:dyDescent="0.35">
      <c r="A1493" s="66" t="s">
        <v>4771</v>
      </c>
      <c r="B1493" s="66" t="s">
        <v>5155</v>
      </c>
      <c r="C1493" s="67"/>
      <c r="D1493" s="68"/>
      <c r="E1493" s="69"/>
      <c r="F1493" s="70"/>
      <c r="G1493" s="67"/>
      <c r="H1493" s="71"/>
      <c r="I1493" s="72"/>
      <c r="J1493" s="72"/>
      <c r="K1493" s="36"/>
      <c r="L1493" s="79"/>
      <c r="M1493" s="79"/>
      <c r="N1493" s="74"/>
      <c r="O1493" s="81" t="s">
        <v>695</v>
      </c>
      <c r="P1493" s="83">
        <v>44466.152025462965</v>
      </c>
      <c r="Q1493" s="81" t="s">
        <v>5535</v>
      </c>
      <c r="R1493" s="81"/>
      <c r="S1493" s="81"/>
      <c r="T1493" s="81"/>
      <c r="U1493" s="81"/>
      <c r="V1493" s="84" t="str">
        <f>HYPERLINK("https://pbs.twimg.com/profile_images/1419337551265943552/8j0NpTAB_normal.jpg")</f>
        <v>https://pbs.twimg.com/profile_images/1419337551265943552/8j0NpTAB_normal.jpg</v>
      </c>
      <c r="W1493" s="83">
        <v>44466.152025462965</v>
      </c>
      <c r="X1493" s="89">
        <v>44466</v>
      </c>
      <c r="Y1493" s="86" t="s">
        <v>6414</v>
      </c>
      <c r="Z1493" s="84" t="str">
        <f>HYPERLINK("https://twitter.com/muimui_zunda/status/1442332901354340354")</f>
        <v>https://twitter.com/muimui_zunda/status/1442332901354340354</v>
      </c>
      <c r="AA1493" s="81"/>
      <c r="AB1493" s="81"/>
      <c r="AC1493" s="86" t="s">
        <v>7331</v>
      </c>
      <c r="AD1493" s="86" t="s">
        <v>7727</v>
      </c>
      <c r="AE1493" s="81" t="b">
        <v>0</v>
      </c>
      <c r="AF1493" s="81">
        <v>0</v>
      </c>
      <c r="AG1493" s="86" t="s">
        <v>7902</v>
      </c>
      <c r="AH1493" s="81" t="b">
        <v>0</v>
      </c>
      <c r="AI1493" s="81" t="s">
        <v>2169</v>
      </c>
      <c r="AJ1493" s="81"/>
      <c r="AK1493" s="86" t="s">
        <v>2084</v>
      </c>
      <c r="AL1493" s="81" t="b">
        <v>0</v>
      </c>
      <c r="AM1493" s="81">
        <v>0</v>
      </c>
      <c r="AN1493" s="86" t="s">
        <v>2084</v>
      </c>
      <c r="AO1493" s="86" t="s">
        <v>2178</v>
      </c>
      <c r="AP1493" s="81" t="b">
        <v>0</v>
      </c>
      <c r="AQ1493" s="86" t="s">
        <v>7727</v>
      </c>
      <c r="AR1493" s="81" t="s">
        <v>179</v>
      </c>
      <c r="AS1493" s="81">
        <v>0</v>
      </c>
      <c r="AT1493" s="81">
        <v>0</v>
      </c>
      <c r="AU1493" s="81"/>
      <c r="AV1493" s="81"/>
      <c r="AW1493" s="81"/>
      <c r="AX1493" s="81"/>
      <c r="AY1493" s="81"/>
      <c r="AZ1493" s="81"/>
      <c r="BA1493" s="81"/>
      <c r="BB1493" s="81"/>
    </row>
    <row r="1494" spans="1:54" x14ac:dyDescent="0.35">
      <c r="A1494" s="66" t="s">
        <v>4772</v>
      </c>
      <c r="B1494" s="66" t="s">
        <v>4944</v>
      </c>
      <c r="C1494" s="67"/>
      <c r="D1494" s="68"/>
      <c r="E1494" s="69"/>
      <c r="F1494" s="70"/>
      <c r="G1494" s="67"/>
      <c r="H1494" s="71"/>
      <c r="I1494" s="72"/>
      <c r="J1494" s="72"/>
      <c r="K1494" s="36"/>
      <c r="L1494" s="79"/>
      <c r="M1494" s="79"/>
      <c r="N1494" s="74"/>
      <c r="O1494" s="81" t="s">
        <v>693</v>
      </c>
      <c r="P1494" s="83">
        <v>44466.158483796295</v>
      </c>
      <c r="Q1494" s="81" t="s">
        <v>5505</v>
      </c>
      <c r="R1494" s="81"/>
      <c r="S1494" s="81"/>
      <c r="T1494" s="81"/>
      <c r="U1494" s="81"/>
      <c r="V1494" s="84" t="str">
        <f>HYPERLINK("https://pbs.twimg.com/profile_images/1442275691194732547/Ik1fcMiE_normal.jpg")</f>
        <v>https://pbs.twimg.com/profile_images/1442275691194732547/Ik1fcMiE_normal.jpg</v>
      </c>
      <c r="W1494" s="83">
        <v>44466.158483796295</v>
      </c>
      <c r="X1494" s="89">
        <v>44466</v>
      </c>
      <c r="Y1494" s="86" t="s">
        <v>6415</v>
      </c>
      <c r="Z1494" s="84" t="str">
        <f>HYPERLINK("https://twitter.com/martinholistica/status/1442335240786042884")</f>
        <v>https://twitter.com/martinholistica/status/1442335240786042884</v>
      </c>
      <c r="AA1494" s="81"/>
      <c r="AB1494" s="81"/>
      <c r="AC1494" s="86" t="s">
        <v>7332</v>
      </c>
      <c r="AD1494" s="81"/>
      <c r="AE1494" s="81" t="b">
        <v>0</v>
      </c>
      <c r="AF1494" s="81">
        <v>0</v>
      </c>
      <c r="AG1494" s="86" t="s">
        <v>2084</v>
      </c>
      <c r="AH1494" s="81" t="b">
        <v>0</v>
      </c>
      <c r="AI1494" s="81" t="s">
        <v>2171</v>
      </c>
      <c r="AJ1494" s="81"/>
      <c r="AK1494" s="86" t="s">
        <v>2084</v>
      </c>
      <c r="AL1494" s="81" t="b">
        <v>0</v>
      </c>
      <c r="AM1494" s="81">
        <v>255</v>
      </c>
      <c r="AN1494" s="86" t="s">
        <v>7543</v>
      </c>
      <c r="AO1494" s="86" t="s">
        <v>2178</v>
      </c>
      <c r="AP1494" s="81" t="b">
        <v>0</v>
      </c>
      <c r="AQ1494" s="86" t="s">
        <v>7543</v>
      </c>
      <c r="AR1494" s="81" t="s">
        <v>179</v>
      </c>
      <c r="AS1494" s="81">
        <v>0</v>
      </c>
      <c r="AT1494" s="81">
        <v>0</v>
      </c>
      <c r="AU1494" s="81"/>
      <c r="AV1494" s="81"/>
      <c r="AW1494" s="81"/>
      <c r="AX1494" s="81"/>
      <c r="AY1494" s="81"/>
      <c r="AZ1494" s="81"/>
      <c r="BA1494" s="81"/>
      <c r="BB1494" s="81"/>
    </row>
    <row r="1495" spans="1:54" x14ac:dyDescent="0.35">
      <c r="A1495" s="66" t="s">
        <v>4773</v>
      </c>
      <c r="B1495" s="66" t="s">
        <v>4944</v>
      </c>
      <c r="C1495" s="67"/>
      <c r="D1495" s="68"/>
      <c r="E1495" s="69"/>
      <c r="F1495" s="70"/>
      <c r="G1495" s="67"/>
      <c r="H1495" s="71"/>
      <c r="I1495" s="72"/>
      <c r="J1495" s="72"/>
      <c r="K1495" s="36"/>
      <c r="L1495" s="79"/>
      <c r="M1495" s="79"/>
      <c r="N1495" s="74"/>
      <c r="O1495" s="81" t="s">
        <v>693</v>
      </c>
      <c r="P1495" s="83">
        <v>44466.159537037034</v>
      </c>
      <c r="Q1495" s="81" t="s">
        <v>5505</v>
      </c>
      <c r="R1495" s="81"/>
      <c r="S1495" s="81"/>
      <c r="T1495" s="81"/>
      <c r="U1495" s="81"/>
      <c r="V1495" s="84" t="str">
        <f>HYPERLINK("https://pbs.twimg.com/profile_images/1358956419630964739/ZhbbUl5B_normal.jpg")</f>
        <v>https://pbs.twimg.com/profile_images/1358956419630964739/ZhbbUl5B_normal.jpg</v>
      </c>
      <c r="W1495" s="83">
        <v>44466.159537037034</v>
      </c>
      <c r="X1495" s="89">
        <v>44466</v>
      </c>
      <c r="Y1495" s="86" t="s">
        <v>6416</v>
      </c>
      <c r="Z1495" s="84" t="str">
        <f>HYPERLINK("https://twitter.com/phbcarmona/status/1442335623646486529")</f>
        <v>https://twitter.com/phbcarmona/status/1442335623646486529</v>
      </c>
      <c r="AA1495" s="81"/>
      <c r="AB1495" s="81"/>
      <c r="AC1495" s="86" t="s">
        <v>7333</v>
      </c>
      <c r="AD1495" s="81"/>
      <c r="AE1495" s="81" t="b">
        <v>0</v>
      </c>
      <c r="AF1495" s="81">
        <v>0</v>
      </c>
      <c r="AG1495" s="86" t="s">
        <v>2084</v>
      </c>
      <c r="AH1495" s="81" t="b">
        <v>0</v>
      </c>
      <c r="AI1495" s="81" t="s">
        <v>2171</v>
      </c>
      <c r="AJ1495" s="81"/>
      <c r="AK1495" s="86" t="s">
        <v>2084</v>
      </c>
      <c r="AL1495" s="81" t="b">
        <v>0</v>
      </c>
      <c r="AM1495" s="81">
        <v>255</v>
      </c>
      <c r="AN1495" s="86" t="s">
        <v>7543</v>
      </c>
      <c r="AO1495" s="86" t="s">
        <v>2178</v>
      </c>
      <c r="AP1495" s="81" t="b">
        <v>0</v>
      </c>
      <c r="AQ1495" s="86" t="s">
        <v>7543</v>
      </c>
      <c r="AR1495" s="81" t="s">
        <v>179</v>
      </c>
      <c r="AS1495" s="81">
        <v>0</v>
      </c>
      <c r="AT1495" s="81">
        <v>0</v>
      </c>
      <c r="AU1495" s="81"/>
      <c r="AV1495" s="81"/>
      <c r="AW1495" s="81"/>
      <c r="AX1495" s="81"/>
      <c r="AY1495" s="81"/>
      <c r="AZ1495" s="81"/>
      <c r="BA1495" s="81"/>
      <c r="BB1495" s="81"/>
    </row>
    <row r="1496" spans="1:54" x14ac:dyDescent="0.35">
      <c r="A1496" s="66" t="s">
        <v>4774</v>
      </c>
      <c r="B1496" s="66" t="s">
        <v>4944</v>
      </c>
      <c r="C1496" s="67"/>
      <c r="D1496" s="68"/>
      <c r="E1496" s="69"/>
      <c r="F1496" s="70"/>
      <c r="G1496" s="67"/>
      <c r="H1496" s="71"/>
      <c r="I1496" s="72"/>
      <c r="J1496" s="72"/>
      <c r="K1496" s="36"/>
      <c r="L1496" s="79"/>
      <c r="M1496" s="79"/>
      <c r="N1496" s="74"/>
      <c r="O1496" s="81" t="s">
        <v>693</v>
      </c>
      <c r="P1496" s="83">
        <v>44466.165150462963</v>
      </c>
      <c r="Q1496" s="81" t="s">
        <v>5505</v>
      </c>
      <c r="R1496" s="81"/>
      <c r="S1496" s="81"/>
      <c r="T1496" s="81"/>
      <c r="U1496" s="81"/>
      <c r="V1496" s="84" t="str">
        <f>HYPERLINK("https://pbs.twimg.com/profile_images/1053095393771380736/ih7zgV8I_normal.jpg")</f>
        <v>https://pbs.twimg.com/profile_images/1053095393771380736/ih7zgV8I_normal.jpg</v>
      </c>
      <c r="W1496" s="83">
        <v>44466.165150462963</v>
      </c>
      <c r="X1496" s="89">
        <v>44466</v>
      </c>
      <c r="Y1496" s="86" t="s">
        <v>6417</v>
      </c>
      <c r="Z1496" s="84" t="str">
        <f>HYPERLINK("https://twitter.com/ndressa_alves/status/1442337658718588928")</f>
        <v>https://twitter.com/ndressa_alves/status/1442337658718588928</v>
      </c>
      <c r="AA1496" s="81"/>
      <c r="AB1496" s="81"/>
      <c r="AC1496" s="86" t="s">
        <v>7334</v>
      </c>
      <c r="AD1496" s="81"/>
      <c r="AE1496" s="81" t="b">
        <v>0</v>
      </c>
      <c r="AF1496" s="81">
        <v>0</v>
      </c>
      <c r="AG1496" s="86" t="s">
        <v>2084</v>
      </c>
      <c r="AH1496" s="81" t="b">
        <v>0</v>
      </c>
      <c r="AI1496" s="81" t="s">
        <v>2171</v>
      </c>
      <c r="AJ1496" s="81"/>
      <c r="AK1496" s="86" t="s">
        <v>2084</v>
      </c>
      <c r="AL1496" s="81" t="b">
        <v>0</v>
      </c>
      <c r="AM1496" s="81">
        <v>255</v>
      </c>
      <c r="AN1496" s="86" t="s">
        <v>7543</v>
      </c>
      <c r="AO1496" s="86" t="s">
        <v>2178</v>
      </c>
      <c r="AP1496" s="81" t="b">
        <v>0</v>
      </c>
      <c r="AQ1496" s="86" t="s">
        <v>7543</v>
      </c>
      <c r="AR1496" s="81" t="s">
        <v>179</v>
      </c>
      <c r="AS1496" s="81">
        <v>0</v>
      </c>
      <c r="AT1496" s="81">
        <v>0</v>
      </c>
      <c r="AU1496" s="81"/>
      <c r="AV1496" s="81"/>
      <c r="AW1496" s="81"/>
      <c r="AX1496" s="81"/>
      <c r="AY1496" s="81"/>
      <c r="AZ1496" s="81"/>
      <c r="BA1496" s="81"/>
      <c r="BB1496" s="81"/>
    </row>
    <row r="1497" spans="1:54" x14ac:dyDescent="0.35">
      <c r="A1497" s="66" t="s">
        <v>513</v>
      </c>
      <c r="B1497" s="66" t="s">
        <v>513</v>
      </c>
      <c r="C1497" s="67"/>
      <c r="D1497" s="68"/>
      <c r="E1497" s="69"/>
      <c r="F1497" s="70"/>
      <c r="G1497" s="67"/>
      <c r="H1497" s="71"/>
      <c r="I1497" s="72"/>
      <c r="J1497" s="72"/>
      <c r="K1497" s="36"/>
      <c r="L1497" s="79"/>
      <c r="M1497" s="79"/>
      <c r="N1497" s="74"/>
      <c r="O1497" s="81" t="s">
        <v>179</v>
      </c>
      <c r="P1497" s="83">
        <v>44466.172951388886</v>
      </c>
      <c r="Q1497" s="81" t="s">
        <v>855</v>
      </c>
      <c r="R1497" s="81"/>
      <c r="S1497" s="81"/>
      <c r="T1497" s="81"/>
      <c r="U1497" s="84" t="str">
        <f>HYPERLINK("https://pbs.twimg.com/media/FAQ5BU0VUAM0ZhW.jpg")</f>
        <v>https://pbs.twimg.com/media/FAQ5BU0VUAM0ZhW.jpg</v>
      </c>
      <c r="V1497" s="84" t="str">
        <f>HYPERLINK("https://pbs.twimg.com/media/FAQ5BU0VUAM0ZhW.jpg")</f>
        <v>https://pbs.twimg.com/media/FAQ5BU0VUAM0ZhW.jpg</v>
      </c>
      <c r="W1497" s="83">
        <v>44466.172951388886</v>
      </c>
      <c r="X1497" s="89">
        <v>44466</v>
      </c>
      <c r="Y1497" s="86" t="s">
        <v>1386</v>
      </c>
      <c r="Z1497" s="84" t="str">
        <f>HYPERLINK("https://twitter.com/himasejarahfkip/status/1442340484190375937")</f>
        <v>https://twitter.com/himasejarahfkip/status/1442340484190375937</v>
      </c>
      <c r="AA1497" s="81"/>
      <c r="AB1497" s="81"/>
      <c r="AC1497" s="86" t="s">
        <v>1884</v>
      </c>
      <c r="AD1497" s="81"/>
      <c r="AE1497" s="81" t="b">
        <v>0</v>
      </c>
      <c r="AF1497" s="81">
        <v>0</v>
      </c>
      <c r="AG1497" s="86" t="s">
        <v>2084</v>
      </c>
      <c r="AH1497" s="81" t="b">
        <v>0</v>
      </c>
      <c r="AI1497" s="81" t="s">
        <v>2167</v>
      </c>
      <c r="AJ1497" s="81"/>
      <c r="AK1497" s="86" t="s">
        <v>2084</v>
      </c>
      <c r="AL1497" s="81" t="b">
        <v>0</v>
      </c>
      <c r="AM1497" s="81">
        <v>0</v>
      </c>
      <c r="AN1497" s="86" t="s">
        <v>2084</v>
      </c>
      <c r="AO1497" s="86" t="s">
        <v>2178</v>
      </c>
      <c r="AP1497" s="81" t="b">
        <v>0</v>
      </c>
      <c r="AQ1497" s="86" t="s">
        <v>1884</v>
      </c>
      <c r="AR1497" s="81" t="s">
        <v>179</v>
      </c>
      <c r="AS1497" s="81">
        <v>0</v>
      </c>
      <c r="AT1497" s="81">
        <v>0</v>
      </c>
      <c r="AU1497" s="81"/>
      <c r="AV1497" s="81"/>
      <c r="AW1497" s="81"/>
      <c r="AX1497" s="81"/>
      <c r="AY1497" s="81"/>
      <c r="AZ1497" s="81"/>
      <c r="BA1497" s="81"/>
      <c r="BB1497" s="81"/>
    </row>
    <row r="1498" spans="1:54" x14ac:dyDescent="0.35">
      <c r="A1498" s="66" t="s">
        <v>4775</v>
      </c>
      <c r="B1498" s="66" t="s">
        <v>4901</v>
      </c>
      <c r="C1498" s="67"/>
      <c r="D1498" s="68"/>
      <c r="E1498" s="69"/>
      <c r="F1498" s="70"/>
      <c r="G1498" s="67"/>
      <c r="H1498" s="71"/>
      <c r="I1498" s="72"/>
      <c r="J1498" s="72"/>
      <c r="K1498" s="36"/>
      <c r="L1498" s="79"/>
      <c r="M1498" s="79"/>
      <c r="N1498" s="74"/>
      <c r="O1498" s="81" t="s">
        <v>696</v>
      </c>
      <c r="P1498" s="83">
        <v>44466.192106481481</v>
      </c>
      <c r="Q1498" s="81" t="s">
        <v>5536</v>
      </c>
      <c r="R1498" s="81"/>
      <c r="S1498" s="81"/>
      <c r="T1498" s="81"/>
      <c r="U1498" s="81"/>
      <c r="V1498" s="84" t="str">
        <f>HYPERLINK("https://pbs.twimg.com/profile_images/1109724009053081601/_35i1NxS_normal.jpg")</f>
        <v>https://pbs.twimg.com/profile_images/1109724009053081601/_35i1NxS_normal.jpg</v>
      </c>
      <c r="W1498" s="83">
        <v>44466.192106481481</v>
      </c>
      <c r="X1498" s="89">
        <v>44466</v>
      </c>
      <c r="Y1498" s="86" t="s">
        <v>6418</v>
      </c>
      <c r="Z1498" s="84" t="str">
        <f>HYPERLINK("https://twitter.com/ritayul12/status/1442347425490821126")</f>
        <v>https://twitter.com/ritayul12/status/1442347425490821126</v>
      </c>
      <c r="AA1498" s="81"/>
      <c r="AB1498" s="81"/>
      <c r="AC1498" s="86" t="s">
        <v>7335</v>
      </c>
      <c r="AD1498" s="81"/>
      <c r="AE1498" s="81" t="b">
        <v>0</v>
      </c>
      <c r="AF1498" s="81">
        <v>0</v>
      </c>
      <c r="AG1498" s="86" t="s">
        <v>2084</v>
      </c>
      <c r="AH1498" s="81" t="b">
        <v>0</v>
      </c>
      <c r="AI1498" s="81" t="s">
        <v>2167</v>
      </c>
      <c r="AJ1498" s="81"/>
      <c r="AK1498" s="86" t="s">
        <v>2084</v>
      </c>
      <c r="AL1498" s="81" t="b">
        <v>0</v>
      </c>
      <c r="AM1498" s="81">
        <v>0</v>
      </c>
      <c r="AN1498" s="86" t="s">
        <v>2084</v>
      </c>
      <c r="AO1498" s="86" t="s">
        <v>2178</v>
      </c>
      <c r="AP1498" s="81" t="b">
        <v>0</v>
      </c>
      <c r="AQ1498" s="86" t="s">
        <v>7335</v>
      </c>
      <c r="AR1498" s="81" t="s">
        <v>179</v>
      </c>
      <c r="AS1498" s="81">
        <v>0</v>
      </c>
      <c r="AT1498" s="81">
        <v>0</v>
      </c>
      <c r="AU1498" s="81"/>
      <c r="AV1498" s="81"/>
      <c r="AW1498" s="81"/>
      <c r="AX1498" s="81"/>
      <c r="AY1498" s="81"/>
      <c r="AZ1498" s="81"/>
      <c r="BA1498" s="81"/>
      <c r="BB1498" s="81"/>
    </row>
    <row r="1499" spans="1:54" x14ac:dyDescent="0.35">
      <c r="A1499" s="66" t="s">
        <v>515</v>
      </c>
      <c r="B1499" s="66" t="s">
        <v>686</v>
      </c>
      <c r="C1499" s="67"/>
      <c r="D1499" s="68"/>
      <c r="E1499" s="69"/>
      <c r="F1499" s="70"/>
      <c r="G1499" s="67"/>
      <c r="H1499" s="71"/>
      <c r="I1499" s="72"/>
      <c r="J1499" s="72"/>
      <c r="K1499" s="36"/>
      <c r="L1499" s="79"/>
      <c r="M1499" s="79"/>
      <c r="N1499" s="74"/>
      <c r="O1499" s="81" t="s">
        <v>695</v>
      </c>
      <c r="P1499" s="83">
        <v>44466.233900462961</v>
      </c>
      <c r="Q1499" s="81" t="s">
        <v>861</v>
      </c>
      <c r="R1499" s="81"/>
      <c r="S1499" s="81"/>
      <c r="T1499" s="81"/>
      <c r="U1499" s="81"/>
      <c r="V1499" s="84" t="str">
        <f>HYPERLINK("https://pbs.twimg.com/profile_images/1439954480020135940/DhB-sGUa_normal.jpg")</f>
        <v>https://pbs.twimg.com/profile_images/1439954480020135940/DhB-sGUa_normal.jpg</v>
      </c>
      <c r="W1499" s="83">
        <v>44466.233900462961</v>
      </c>
      <c r="X1499" s="89">
        <v>44466</v>
      </c>
      <c r="Y1499" s="86" t="s">
        <v>1392</v>
      </c>
      <c r="Z1499" s="84" t="str">
        <f>HYPERLINK("https://twitter.com/xxllyamr/status/1442362570900262915")</f>
        <v>https://twitter.com/xxllyamr/status/1442362570900262915</v>
      </c>
      <c r="AA1499" s="81"/>
      <c r="AB1499" s="81"/>
      <c r="AC1499" s="86" t="s">
        <v>1890</v>
      </c>
      <c r="AD1499" s="86" t="s">
        <v>2071</v>
      </c>
      <c r="AE1499" s="81" t="b">
        <v>0</v>
      </c>
      <c r="AF1499" s="81">
        <v>0</v>
      </c>
      <c r="AG1499" s="86" t="s">
        <v>2152</v>
      </c>
      <c r="AH1499" s="81" t="b">
        <v>0</v>
      </c>
      <c r="AI1499" s="81" t="s">
        <v>2167</v>
      </c>
      <c r="AJ1499" s="81"/>
      <c r="AK1499" s="86" t="s">
        <v>2084</v>
      </c>
      <c r="AL1499" s="81" t="b">
        <v>0</v>
      </c>
      <c r="AM1499" s="81">
        <v>0</v>
      </c>
      <c r="AN1499" s="86" t="s">
        <v>2084</v>
      </c>
      <c r="AO1499" s="86" t="s">
        <v>2178</v>
      </c>
      <c r="AP1499" s="81" t="b">
        <v>0</v>
      </c>
      <c r="AQ1499" s="86" t="s">
        <v>2071</v>
      </c>
      <c r="AR1499" s="81" t="s">
        <v>179</v>
      </c>
      <c r="AS1499" s="81">
        <v>0</v>
      </c>
      <c r="AT1499" s="81">
        <v>0</v>
      </c>
      <c r="AU1499" s="81"/>
      <c r="AV1499" s="81"/>
      <c r="AW1499" s="81"/>
      <c r="AX1499" s="81"/>
      <c r="AY1499" s="81"/>
      <c r="AZ1499" s="81"/>
      <c r="BA1499" s="81"/>
      <c r="BB1499" s="81"/>
    </row>
    <row r="1500" spans="1:54" x14ac:dyDescent="0.35">
      <c r="A1500" s="66" t="s">
        <v>4776</v>
      </c>
      <c r="B1500" s="66" t="s">
        <v>4944</v>
      </c>
      <c r="C1500" s="67"/>
      <c r="D1500" s="68"/>
      <c r="E1500" s="69"/>
      <c r="F1500" s="70"/>
      <c r="G1500" s="67"/>
      <c r="H1500" s="71"/>
      <c r="I1500" s="72"/>
      <c r="J1500" s="72"/>
      <c r="K1500" s="36"/>
      <c r="L1500" s="79"/>
      <c r="M1500" s="79"/>
      <c r="N1500" s="74"/>
      <c r="O1500" s="81" t="s">
        <v>693</v>
      </c>
      <c r="P1500" s="83">
        <v>44466.237071759257</v>
      </c>
      <c r="Q1500" s="81" t="s">
        <v>5505</v>
      </c>
      <c r="R1500" s="81"/>
      <c r="S1500" s="81"/>
      <c r="T1500" s="81"/>
      <c r="U1500" s="81"/>
      <c r="V1500" s="84" t="str">
        <f>HYPERLINK("https://pbs.twimg.com/profile_images/1434499510651310083/XQYkdA___normal.jpg")</f>
        <v>https://pbs.twimg.com/profile_images/1434499510651310083/XQYkdA___normal.jpg</v>
      </c>
      <c r="W1500" s="83">
        <v>44466.237071759257</v>
      </c>
      <c r="X1500" s="89">
        <v>44466</v>
      </c>
      <c r="Y1500" s="86" t="s">
        <v>6419</v>
      </c>
      <c r="Z1500" s="84" t="str">
        <f>HYPERLINK("https://twitter.com/fattoconsumado/status/1442363720466780166")</f>
        <v>https://twitter.com/fattoconsumado/status/1442363720466780166</v>
      </c>
      <c r="AA1500" s="81"/>
      <c r="AB1500" s="81"/>
      <c r="AC1500" s="86" t="s">
        <v>7336</v>
      </c>
      <c r="AD1500" s="81"/>
      <c r="AE1500" s="81" t="b">
        <v>0</v>
      </c>
      <c r="AF1500" s="81">
        <v>0</v>
      </c>
      <c r="AG1500" s="86" t="s">
        <v>2084</v>
      </c>
      <c r="AH1500" s="81" t="b">
        <v>0</v>
      </c>
      <c r="AI1500" s="81" t="s">
        <v>2171</v>
      </c>
      <c r="AJ1500" s="81"/>
      <c r="AK1500" s="86" t="s">
        <v>2084</v>
      </c>
      <c r="AL1500" s="81" t="b">
        <v>0</v>
      </c>
      <c r="AM1500" s="81">
        <v>255</v>
      </c>
      <c r="AN1500" s="86" t="s">
        <v>7543</v>
      </c>
      <c r="AO1500" s="86" t="s">
        <v>2181</v>
      </c>
      <c r="AP1500" s="81" t="b">
        <v>0</v>
      </c>
      <c r="AQ1500" s="86" t="s">
        <v>7543</v>
      </c>
      <c r="AR1500" s="81" t="s">
        <v>179</v>
      </c>
      <c r="AS1500" s="81">
        <v>0</v>
      </c>
      <c r="AT1500" s="81">
        <v>0</v>
      </c>
      <c r="AU1500" s="81"/>
      <c r="AV1500" s="81"/>
      <c r="AW1500" s="81"/>
      <c r="AX1500" s="81"/>
      <c r="AY1500" s="81"/>
      <c r="AZ1500" s="81"/>
      <c r="BA1500" s="81"/>
      <c r="BB1500" s="81"/>
    </row>
    <row r="1501" spans="1:54" x14ac:dyDescent="0.35">
      <c r="A1501" s="66" t="s">
        <v>4777</v>
      </c>
      <c r="B1501" s="66" t="s">
        <v>4777</v>
      </c>
      <c r="C1501" s="67"/>
      <c r="D1501" s="68"/>
      <c r="E1501" s="69"/>
      <c r="F1501" s="70"/>
      <c r="G1501" s="67"/>
      <c r="H1501" s="71"/>
      <c r="I1501" s="72"/>
      <c r="J1501" s="72"/>
      <c r="K1501" s="36"/>
      <c r="L1501" s="79"/>
      <c r="M1501" s="79"/>
      <c r="N1501" s="74"/>
      <c r="O1501" s="81" t="s">
        <v>179</v>
      </c>
      <c r="P1501" s="83">
        <v>44454.523402777777</v>
      </c>
      <c r="Q1501" s="81" t="s">
        <v>5537</v>
      </c>
      <c r="R1501" s="81"/>
      <c r="S1501" s="81"/>
      <c r="T1501" s="86" t="s">
        <v>314</v>
      </c>
      <c r="U1501" s="84" t="str">
        <f>HYPERLINK("https://pbs.twimg.com/media/E_U5c2hVIAUHoX6.jpg")</f>
        <v>https://pbs.twimg.com/media/E_U5c2hVIAUHoX6.jpg</v>
      </c>
      <c r="V1501" s="84" t="str">
        <f>HYPERLINK("https://pbs.twimg.com/media/E_U5c2hVIAUHoX6.jpg")</f>
        <v>https://pbs.twimg.com/media/E_U5c2hVIAUHoX6.jpg</v>
      </c>
      <c r="W1501" s="83">
        <v>44454.523402777777</v>
      </c>
      <c r="X1501" s="89">
        <v>44454</v>
      </c>
      <c r="Y1501" s="86" t="s">
        <v>6420</v>
      </c>
      <c r="Z1501" s="84" t="str">
        <f>HYPERLINK("https://twitter.com/kimnryn/status/1438118828999729152")</f>
        <v>https://twitter.com/kimnryn/status/1438118828999729152</v>
      </c>
      <c r="AA1501" s="81"/>
      <c r="AB1501" s="81"/>
      <c r="AC1501" s="86" t="s">
        <v>7337</v>
      </c>
      <c r="AD1501" s="81"/>
      <c r="AE1501" s="81" t="b">
        <v>0</v>
      </c>
      <c r="AF1501" s="81">
        <v>4</v>
      </c>
      <c r="AG1501" s="86" t="s">
        <v>2084</v>
      </c>
      <c r="AH1501" s="81" t="b">
        <v>0</v>
      </c>
      <c r="AI1501" s="81" t="s">
        <v>2168</v>
      </c>
      <c r="AJ1501" s="81"/>
      <c r="AK1501" s="86" t="s">
        <v>2084</v>
      </c>
      <c r="AL1501" s="81" t="b">
        <v>0</v>
      </c>
      <c r="AM1501" s="81">
        <v>12</v>
      </c>
      <c r="AN1501" s="86" t="s">
        <v>2084</v>
      </c>
      <c r="AO1501" s="86" t="s">
        <v>2178</v>
      </c>
      <c r="AP1501" s="81" t="b">
        <v>0</v>
      </c>
      <c r="AQ1501" s="86" t="s">
        <v>7337</v>
      </c>
      <c r="AR1501" s="81" t="s">
        <v>693</v>
      </c>
      <c r="AS1501" s="81">
        <v>0</v>
      </c>
      <c r="AT1501" s="81">
        <v>0</v>
      </c>
      <c r="AU1501" s="81"/>
      <c r="AV1501" s="81"/>
      <c r="AW1501" s="81"/>
      <c r="AX1501" s="81"/>
      <c r="AY1501" s="81"/>
      <c r="AZ1501" s="81"/>
      <c r="BA1501" s="81"/>
      <c r="BB1501" s="81"/>
    </row>
    <row r="1502" spans="1:54" x14ac:dyDescent="0.35">
      <c r="A1502" s="66" t="s">
        <v>4778</v>
      </c>
      <c r="B1502" s="66" t="s">
        <v>4777</v>
      </c>
      <c r="C1502" s="67"/>
      <c r="D1502" s="68"/>
      <c r="E1502" s="69"/>
      <c r="F1502" s="70"/>
      <c r="G1502" s="67"/>
      <c r="H1502" s="71"/>
      <c r="I1502" s="72"/>
      <c r="J1502" s="72"/>
      <c r="K1502" s="36"/>
      <c r="L1502" s="79"/>
      <c r="M1502" s="79"/>
      <c r="N1502" s="74"/>
      <c r="O1502" s="81" t="s">
        <v>693</v>
      </c>
      <c r="P1502" s="83">
        <v>44466.237210648149</v>
      </c>
      <c r="Q1502" s="81" t="s">
        <v>5537</v>
      </c>
      <c r="R1502" s="81"/>
      <c r="S1502" s="81"/>
      <c r="T1502" s="86" t="s">
        <v>314</v>
      </c>
      <c r="U1502" s="84" t="str">
        <f>HYPERLINK("https://pbs.twimg.com/media/E_U5c2hVIAUHoX6.jpg")</f>
        <v>https://pbs.twimg.com/media/E_U5c2hVIAUHoX6.jpg</v>
      </c>
      <c r="V1502" s="84" t="str">
        <f>HYPERLINK("https://pbs.twimg.com/media/E_U5c2hVIAUHoX6.jpg")</f>
        <v>https://pbs.twimg.com/media/E_U5c2hVIAUHoX6.jpg</v>
      </c>
      <c r="W1502" s="83">
        <v>44466.237210648149</v>
      </c>
      <c r="X1502" s="89">
        <v>44466</v>
      </c>
      <c r="Y1502" s="86" t="s">
        <v>6421</v>
      </c>
      <c r="Z1502" s="84" t="str">
        <f>HYPERLINK("https://twitter.com/nicholepwue/status/1442363769888247809")</f>
        <v>https://twitter.com/nicholepwue/status/1442363769888247809</v>
      </c>
      <c r="AA1502" s="81"/>
      <c r="AB1502" s="81"/>
      <c r="AC1502" s="86" t="s">
        <v>7338</v>
      </c>
      <c r="AD1502" s="81"/>
      <c r="AE1502" s="81" t="b">
        <v>0</v>
      </c>
      <c r="AF1502" s="81">
        <v>0</v>
      </c>
      <c r="AG1502" s="86" t="s">
        <v>2084</v>
      </c>
      <c r="AH1502" s="81" t="b">
        <v>0</v>
      </c>
      <c r="AI1502" s="81" t="s">
        <v>2168</v>
      </c>
      <c r="AJ1502" s="81"/>
      <c r="AK1502" s="86" t="s">
        <v>2084</v>
      </c>
      <c r="AL1502" s="81" t="b">
        <v>0</v>
      </c>
      <c r="AM1502" s="81">
        <v>12</v>
      </c>
      <c r="AN1502" s="86" t="s">
        <v>7337</v>
      </c>
      <c r="AO1502" s="86" t="s">
        <v>2178</v>
      </c>
      <c r="AP1502" s="81" t="b">
        <v>0</v>
      </c>
      <c r="AQ1502" s="86" t="s">
        <v>7337</v>
      </c>
      <c r="AR1502" s="81" t="s">
        <v>179</v>
      </c>
      <c r="AS1502" s="81">
        <v>0</v>
      </c>
      <c r="AT1502" s="81">
        <v>0</v>
      </c>
      <c r="AU1502" s="81"/>
      <c r="AV1502" s="81"/>
      <c r="AW1502" s="81"/>
      <c r="AX1502" s="81"/>
      <c r="AY1502" s="81"/>
      <c r="AZ1502" s="81"/>
      <c r="BA1502" s="81"/>
      <c r="BB1502" s="81"/>
    </row>
    <row r="1503" spans="1:54" x14ac:dyDescent="0.35">
      <c r="A1503" s="66" t="s">
        <v>516</v>
      </c>
      <c r="B1503" s="66" t="s">
        <v>516</v>
      </c>
      <c r="C1503" s="67"/>
      <c r="D1503" s="68"/>
      <c r="E1503" s="69"/>
      <c r="F1503" s="70"/>
      <c r="G1503" s="67"/>
      <c r="H1503" s="71"/>
      <c r="I1503" s="72"/>
      <c r="J1503" s="72"/>
      <c r="K1503" s="36"/>
      <c r="L1503" s="79"/>
      <c r="M1503" s="79"/>
      <c r="N1503" s="74"/>
      <c r="O1503" s="81" t="s">
        <v>179</v>
      </c>
      <c r="P1503" s="83">
        <v>44466.237581018519</v>
      </c>
      <c r="Q1503" s="81" t="s">
        <v>862</v>
      </c>
      <c r="R1503" s="81"/>
      <c r="S1503" s="81"/>
      <c r="T1503" s="86" t="s">
        <v>992</v>
      </c>
      <c r="U1503" s="81"/>
      <c r="V1503" s="84" t="str">
        <f>HYPERLINK("https://pbs.twimg.com/profile_images/1050608418191331328/f_aM8ogA_normal.jpg")</f>
        <v>https://pbs.twimg.com/profile_images/1050608418191331328/f_aM8ogA_normal.jpg</v>
      </c>
      <c r="W1503" s="83">
        <v>44466.237581018519</v>
      </c>
      <c r="X1503" s="89">
        <v>44466</v>
      </c>
      <c r="Y1503" s="86" t="s">
        <v>1393</v>
      </c>
      <c r="Z1503" s="84" t="str">
        <f>HYPERLINK("https://twitter.com/rriprograma3/status/1442363904860950528")</f>
        <v>https://twitter.com/rriprograma3/status/1442363904860950528</v>
      </c>
      <c r="AA1503" s="81"/>
      <c r="AB1503" s="81"/>
      <c r="AC1503" s="86" t="s">
        <v>1891</v>
      </c>
      <c r="AD1503" s="81"/>
      <c r="AE1503" s="81" t="b">
        <v>0</v>
      </c>
      <c r="AF1503" s="81">
        <v>0</v>
      </c>
      <c r="AG1503" s="86" t="s">
        <v>2084</v>
      </c>
      <c r="AH1503" s="81" t="b">
        <v>0</v>
      </c>
      <c r="AI1503" s="81" t="s">
        <v>2167</v>
      </c>
      <c r="AJ1503" s="81"/>
      <c r="AK1503" s="86" t="s">
        <v>2084</v>
      </c>
      <c r="AL1503" s="81" t="b">
        <v>0</v>
      </c>
      <c r="AM1503" s="81">
        <v>0</v>
      </c>
      <c r="AN1503" s="86" t="s">
        <v>2084</v>
      </c>
      <c r="AO1503" s="86" t="s">
        <v>2181</v>
      </c>
      <c r="AP1503" s="81" t="b">
        <v>0</v>
      </c>
      <c r="AQ1503" s="86" t="s">
        <v>1891</v>
      </c>
      <c r="AR1503" s="81" t="s">
        <v>179</v>
      </c>
      <c r="AS1503" s="81">
        <v>0</v>
      </c>
      <c r="AT1503" s="81">
        <v>0</v>
      </c>
      <c r="AU1503" s="81"/>
      <c r="AV1503" s="81"/>
      <c r="AW1503" s="81"/>
      <c r="AX1503" s="81"/>
      <c r="AY1503" s="81"/>
      <c r="AZ1503" s="81"/>
      <c r="BA1503" s="81"/>
      <c r="BB1503" s="81"/>
    </row>
    <row r="1504" spans="1:54" x14ac:dyDescent="0.35">
      <c r="A1504" s="66" t="s">
        <v>517</v>
      </c>
      <c r="B1504" s="66" t="s">
        <v>517</v>
      </c>
      <c r="C1504" s="67"/>
      <c r="D1504" s="68"/>
      <c r="E1504" s="69"/>
      <c r="F1504" s="70"/>
      <c r="G1504" s="67"/>
      <c r="H1504" s="71"/>
      <c r="I1504" s="72"/>
      <c r="J1504" s="72"/>
      <c r="K1504" s="36"/>
      <c r="L1504" s="79"/>
      <c r="M1504" s="79"/>
      <c r="N1504" s="74"/>
      <c r="O1504" s="81" t="s">
        <v>179</v>
      </c>
      <c r="P1504" s="83">
        <v>44466.244710648149</v>
      </c>
      <c r="Q1504" s="81" t="s">
        <v>863</v>
      </c>
      <c r="R1504" s="81"/>
      <c r="S1504" s="81"/>
      <c r="T1504" s="81"/>
      <c r="U1504" s="81"/>
      <c r="V1504" s="84" t="str">
        <f>HYPERLINK("https://pbs.twimg.com/profile_images/764999946449788930/DJGwvVPd_normal.jpg")</f>
        <v>https://pbs.twimg.com/profile_images/764999946449788930/DJGwvVPd_normal.jpg</v>
      </c>
      <c r="W1504" s="83">
        <v>44466.244710648149</v>
      </c>
      <c r="X1504" s="89">
        <v>44466</v>
      </c>
      <c r="Y1504" s="86" t="s">
        <v>1394</v>
      </c>
      <c r="Z1504" s="84" t="str">
        <f>HYPERLINK("https://twitter.com/himapentikaunri/status/1442366488099184649")</f>
        <v>https://twitter.com/himapentikaunri/status/1442366488099184649</v>
      </c>
      <c r="AA1504" s="81"/>
      <c r="AB1504" s="81"/>
      <c r="AC1504" s="86" t="s">
        <v>1892</v>
      </c>
      <c r="AD1504" s="86" t="s">
        <v>2072</v>
      </c>
      <c r="AE1504" s="81" t="b">
        <v>0</v>
      </c>
      <c r="AF1504" s="81">
        <v>0</v>
      </c>
      <c r="AG1504" s="86" t="s">
        <v>2153</v>
      </c>
      <c r="AH1504" s="81" t="b">
        <v>0</v>
      </c>
      <c r="AI1504" s="81" t="s">
        <v>2167</v>
      </c>
      <c r="AJ1504" s="81"/>
      <c r="AK1504" s="86" t="s">
        <v>2084</v>
      </c>
      <c r="AL1504" s="81" t="b">
        <v>0</v>
      </c>
      <c r="AM1504" s="81">
        <v>0</v>
      </c>
      <c r="AN1504" s="86" t="s">
        <v>2084</v>
      </c>
      <c r="AO1504" s="86" t="s">
        <v>2178</v>
      </c>
      <c r="AP1504" s="81" t="b">
        <v>0</v>
      </c>
      <c r="AQ1504" s="86" t="s">
        <v>2072</v>
      </c>
      <c r="AR1504" s="81" t="s">
        <v>179</v>
      </c>
      <c r="AS1504" s="81">
        <v>0</v>
      </c>
      <c r="AT1504" s="81">
        <v>0</v>
      </c>
      <c r="AU1504" s="81" t="s">
        <v>2200</v>
      </c>
      <c r="AV1504" s="81" t="s">
        <v>2202</v>
      </c>
      <c r="AW1504" s="81" t="s">
        <v>12</v>
      </c>
      <c r="AX1504" s="81" t="s">
        <v>2205</v>
      </c>
      <c r="AY1504" s="81" t="s">
        <v>2208</v>
      </c>
      <c r="AZ1504" s="81" t="s">
        <v>2210</v>
      </c>
      <c r="BA1504" s="81" t="s">
        <v>2212</v>
      </c>
      <c r="BB1504" s="84" t="str">
        <f>HYPERLINK("https://api.twitter.com/1.1/geo/id/32eb831712cde417.json")</f>
        <v>https://api.twitter.com/1.1/geo/id/32eb831712cde417.json</v>
      </c>
    </row>
    <row r="1505" spans="1:54" x14ac:dyDescent="0.35">
      <c r="A1505" s="66" t="s">
        <v>4779</v>
      </c>
      <c r="B1505" s="66" t="s">
        <v>4829</v>
      </c>
      <c r="C1505" s="67"/>
      <c r="D1505" s="68"/>
      <c r="E1505" s="69"/>
      <c r="F1505" s="70"/>
      <c r="G1505" s="67"/>
      <c r="H1505" s="71"/>
      <c r="I1505" s="72"/>
      <c r="J1505" s="72"/>
      <c r="K1505" s="36"/>
      <c r="L1505" s="79"/>
      <c r="M1505" s="79"/>
      <c r="N1505" s="74"/>
      <c r="O1505" s="81" t="s">
        <v>693</v>
      </c>
      <c r="P1505" s="83">
        <v>44466.260567129626</v>
      </c>
      <c r="Q1505" s="81" t="s">
        <v>5532</v>
      </c>
      <c r="R1505" s="84" t="str">
        <f>HYPERLINK("https://www.gov.br/anvisa/pt-br/assuntos/noticias-anvisa/2021/anvisa-alerta-sobre-risco-de-miocardite-e-pericardite-pos-vacinacao")</f>
        <v>https://www.gov.br/anvisa/pt-br/assuntos/noticias-anvisa/2021/anvisa-alerta-sobre-risco-de-miocardite-e-pericardite-pos-vacinacao</v>
      </c>
      <c r="S1505" s="81" t="s">
        <v>5686</v>
      </c>
      <c r="T1505" s="81"/>
      <c r="U1505" s="81"/>
      <c r="V1505" s="84" t="str">
        <f>HYPERLINK("https://pbs.twimg.com/profile_images/1421983924549529607/JbJM3l0P_normal.jpg")</f>
        <v>https://pbs.twimg.com/profile_images/1421983924549529607/JbJM3l0P_normal.jpg</v>
      </c>
      <c r="W1505" s="83">
        <v>44466.260567129626</v>
      </c>
      <c r="X1505" s="89">
        <v>44466</v>
      </c>
      <c r="Y1505" s="86" t="s">
        <v>6422</v>
      </c>
      <c r="Z1505" s="84" t="str">
        <f>HYPERLINK("https://twitter.com/wilmenbr/status/1442372236619485184")</f>
        <v>https://twitter.com/wilmenbr/status/1442372236619485184</v>
      </c>
      <c r="AA1505" s="81"/>
      <c r="AB1505" s="81"/>
      <c r="AC1505" s="86" t="s">
        <v>7339</v>
      </c>
      <c r="AD1505" s="81"/>
      <c r="AE1505" s="81" t="b">
        <v>0</v>
      </c>
      <c r="AF1505" s="81">
        <v>0</v>
      </c>
      <c r="AG1505" s="86" t="s">
        <v>2084</v>
      </c>
      <c r="AH1505" s="81" t="b">
        <v>0</v>
      </c>
      <c r="AI1505" s="81" t="s">
        <v>2171</v>
      </c>
      <c r="AJ1505" s="81"/>
      <c r="AK1505" s="86" t="s">
        <v>2084</v>
      </c>
      <c r="AL1505" s="81" t="b">
        <v>0</v>
      </c>
      <c r="AM1505" s="81">
        <v>15</v>
      </c>
      <c r="AN1505" s="86" t="s">
        <v>7399</v>
      </c>
      <c r="AO1505" s="86" t="s">
        <v>2178</v>
      </c>
      <c r="AP1505" s="81" t="b">
        <v>0</v>
      </c>
      <c r="AQ1505" s="86" t="s">
        <v>7399</v>
      </c>
      <c r="AR1505" s="81" t="s">
        <v>179</v>
      </c>
      <c r="AS1505" s="81">
        <v>0</v>
      </c>
      <c r="AT1505" s="81">
        <v>0</v>
      </c>
      <c r="AU1505" s="81"/>
      <c r="AV1505" s="81"/>
      <c r="AW1505" s="81"/>
      <c r="AX1505" s="81"/>
      <c r="AY1505" s="81"/>
      <c r="AZ1505" s="81"/>
      <c r="BA1505" s="81"/>
      <c r="BB1505" s="81"/>
    </row>
    <row r="1506" spans="1:54" x14ac:dyDescent="0.35">
      <c r="A1506" s="66" t="s">
        <v>4780</v>
      </c>
      <c r="B1506" s="66" t="s">
        <v>4829</v>
      </c>
      <c r="C1506" s="67"/>
      <c r="D1506" s="68"/>
      <c r="E1506" s="69"/>
      <c r="F1506" s="70"/>
      <c r="G1506" s="67"/>
      <c r="H1506" s="71"/>
      <c r="I1506" s="72"/>
      <c r="J1506" s="72"/>
      <c r="K1506" s="36"/>
      <c r="L1506" s="79"/>
      <c r="M1506" s="79"/>
      <c r="N1506" s="74"/>
      <c r="O1506" s="81" t="s">
        <v>693</v>
      </c>
      <c r="P1506" s="83">
        <v>44466.262361111112</v>
      </c>
      <c r="Q1506" s="81" t="s">
        <v>5532</v>
      </c>
      <c r="R1506" s="84" t="str">
        <f>HYPERLINK("https://www.gov.br/anvisa/pt-br/assuntos/noticias-anvisa/2021/anvisa-alerta-sobre-risco-de-miocardite-e-pericardite-pos-vacinacao")</f>
        <v>https://www.gov.br/anvisa/pt-br/assuntos/noticias-anvisa/2021/anvisa-alerta-sobre-risco-de-miocardite-e-pericardite-pos-vacinacao</v>
      </c>
      <c r="S1506" s="81" t="s">
        <v>5686</v>
      </c>
      <c r="T1506" s="81"/>
      <c r="U1506" s="81"/>
      <c r="V1506" s="84" t="str">
        <f>HYPERLINK("https://pbs.twimg.com/profile_images/1254184236359266305/uSGefB49_normal.jpg")</f>
        <v>https://pbs.twimg.com/profile_images/1254184236359266305/uSGefB49_normal.jpg</v>
      </c>
      <c r="W1506" s="83">
        <v>44466.262361111112</v>
      </c>
      <c r="X1506" s="89">
        <v>44466</v>
      </c>
      <c r="Y1506" s="86" t="s">
        <v>6423</v>
      </c>
      <c r="Z1506" s="84" t="str">
        <f>HYPERLINK("https://twitter.com/richymuller4/status/1442372885063012353")</f>
        <v>https://twitter.com/richymuller4/status/1442372885063012353</v>
      </c>
      <c r="AA1506" s="81"/>
      <c r="AB1506" s="81"/>
      <c r="AC1506" s="86" t="s">
        <v>7340</v>
      </c>
      <c r="AD1506" s="81"/>
      <c r="AE1506" s="81" t="b">
        <v>0</v>
      </c>
      <c r="AF1506" s="81">
        <v>0</v>
      </c>
      <c r="AG1506" s="86" t="s">
        <v>2084</v>
      </c>
      <c r="AH1506" s="81" t="b">
        <v>0</v>
      </c>
      <c r="AI1506" s="81" t="s">
        <v>2171</v>
      </c>
      <c r="AJ1506" s="81"/>
      <c r="AK1506" s="86" t="s">
        <v>2084</v>
      </c>
      <c r="AL1506" s="81" t="b">
        <v>0</v>
      </c>
      <c r="AM1506" s="81">
        <v>15</v>
      </c>
      <c r="AN1506" s="86" t="s">
        <v>7399</v>
      </c>
      <c r="AO1506" s="86" t="s">
        <v>2181</v>
      </c>
      <c r="AP1506" s="81" t="b">
        <v>0</v>
      </c>
      <c r="AQ1506" s="86" t="s">
        <v>7399</v>
      </c>
      <c r="AR1506" s="81" t="s">
        <v>179</v>
      </c>
      <c r="AS1506" s="81">
        <v>0</v>
      </c>
      <c r="AT1506" s="81">
        <v>0</v>
      </c>
      <c r="AU1506" s="81"/>
      <c r="AV1506" s="81"/>
      <c r="AW1506" s="81"/>
      <c r="AX1506" s="81"/>
      <c r="AY1506" s="81"/>
      <c r="AZ1506" s="81"/>
      <c r="BA1506" s="81"/>
      <c r="BB1506" s="81"/>
    </row>
    <row r="1507" spans="1:54" x14ac:dyDescent="0.35">
      <c r="A1507" s="66" t="s">
        <v>518</v>
      </c>
      <c r="B1507" s="66" t="s">
        <v>518</v>
      </c>
      <c r="C1507" s="67"/>
      <c r="D1507" s="68"/>
      <c r="E1507" s="69"/>
      <c r="F1507" s="70"/>
      <c r="G1507" s="67"/>
      <c r="H1507" s="71"/>
      <c r="I1507" s="72"/>
      <c r="J1507" s="72"/>
      <c r="K1507" s="36"/>
      <c r="L1507" s="79"/>
      <c r="M1507" s="79"/>
      <c r="N1507" s="74"/>
      <c r="O1507" s="81" t="s">
        <v>179</v>
      </c>
      <c r="P1507" s="83">
        <v>44466.275300925925</v>
      </c>
      <c r="Q1507" s="81" t="s">
        <v>864</v>
      </c>
      <c r="R1507" s="81"/>
      <c r="S1507" s="81"/>
      <c r="T1507" s="86" t="s">
        <v>993</v>
      </c>
      <c r="U1507" s="84" t="str">
        <f>HYPERLINK("https://pbs.twimg.com/media/FARas_TVcAg7qP3.jpg")</f>
        <v>https://pbs.twimg.com/media/FARas_TVcAg7qP3.jpg</v>
      </c>
      <c r="V1507" s="84" t="str">
        <f>HYPERLINK("https://pbs.twimg.com/media/FARas_TVcAg7qP3.jpg")</f>
        <v>https://pbs.twimg.com/media/FARas_TVcAg7qP3.jpg</v>
      </c>
      <c r="W1507" s="83">
        <v>44466.275300925925</v>
      </c>
      <c r="X1507" s="89">
        <v>44466</v>
      </c>
      <c r="Y1507" s="86" t="s">
        <v>1395</v>
      </c>
      <c r="Z1507" s="84" t="str">
        <f>HYPERLINK("https://twitter.com/humas_jogja/status/1442377574420676610")</f>
        <v>https://twitter.com/humas_jogja/status/1442377574420676610</v>
      </c>
      <c r="AA1507" s="81"/>
      <c r="AB1507" s="81"/>
      <c r="AC1507" s="86" t="s">
        <v>1893</v>
      </c>
      <c r="AD1507" s="86" t="s">
        <v>2073</v>
      </c>
      <c r="AE1507" s="81" t="b">
        <v>0</v>
      </c>
      <c r="AF1507" s="81">
        <v>0</v>
      </c>
      <c r="AG1507" s="86" t="s">
        <v>2154</v>
      </c>
      <c r="AH1507" s="81" t="b">
        <v>0</v>
      </c>
      <c r="AI1507" s="81" t="s">
        <v>2167</v>
      </c>
      <c r="AJ1507" s="81"/>
      <c r="AK1507" s="86" t="s">
        <v>2084</v>
      </c>
      <c r="AL1507" s="81" t="b">
        <v>0</v>
      </c>
      <c r="AM1507" s="81">
        <v>0</v>
      </c>
      <c r="AN1507" s="86" t="s">
        <v>2084</v>
      </c>
      <c r="AO1507" s="86" t="s">
        <v>2181</v>
      </c>
      <c r="AP1507" s="81" t="b">
        <v>0</v>
      </c>
      <c r="AQ1507" s="86" t="s">
        <v>2073</v>
      </c>
      <c r="AR1507" s="81" t="s">
        <v>179</v>
      </c>
      <c r="AS1507" s="81">
        <v>0</v>
      </c>
      <c r="AT1507" s="81">
        <v>0</v>
      </c>
      <c r="AU1507" s="81"/>
      <c r="AV1507" s="81"/>
      <c r="AW1507" s="81"/>
      <c r="AX1507" s="81"/>
      <c r="AY1507" s="81"/>
      <c r="AZ1507" s="81"/>
      <c r="BA1507" s="81"/>
      <c r="BB1507" s="81"/>
    </row>
    <row r="1508" spans="1:54" x14ac:dyDescent="0.35">
      <c r="A1508" s="66" t="s">
        <v>4781</v>
      </c>
      <c r="B1508" s="66" t="s">
        <v>4944</v>
      </c>
      <c r="C1508" s="67"/>
      <c r="D1508" s="68"/>
      <c r="E1508" s="69"/>
      <c r="F1508" s="70"/>
      <c r="G1508" s="67"/>
      <c r="H1508" s="71"/>
      <c r="I1508" s="72"/>
      <c r="J1508" s="72"/>
      <c r="K1508" s="36"/>
      <c r="L1508" s="79"/>
      <c r="M1508" s="79"/>
      <c r="N1508" s="74"/>
      <c r="O1508" s="81" t="s">
        <v>693</v>
      </c>
      <c r="P1508" s="83">
        <v>44466.275752314818</v>
      </c>
      <c r="Q1508" s="81" t="s">
        <v>5505</v>
      </c>
      <c r="R1508" s="81"/>
      <c r="S1508" s="81"/>
      <c r="T1508" s="81"/>
      <c r="U1508" s="81"/>
      <c r="V1508" s="84" t="str">
        <f>HYPERLINK("https://pbs.twimg.com/profile_images/1431604717285777413/uH73aDzL_normal.jpg")</f>
        <v>https://pbs.twimg.com/profile_images/1431604717285777413/uH73aDzL_normal.jpg</v>
      </c>
      <c r="W1508" s="83">
        <v>44466.275752314818</v>
      </c>
      <c r="X1508" s="89">
        <v>44466</v>
      </c>
      <c r="Y1508" s="86" t="s">
        <v>6424</v>
      </c>
      <c r="Z1508" s="84" t="str">
        <f>HYPERLINK("https://twitter.com/eipaulorossi/status/1442377739818860548")</f>
        <v>https://twitter.com/eipaulorossi/status/1442377739818860548</v>
      </c>
      <c r="AA1508" s="81"/>
      <c r="AB1508" s="81"/>
      <c r="AC1508" s="86" t="s">
        <v>7341</v>
      </c>
      <c r="AD1508" s="81"/>
      <c r="AE1508" s="81" t="b">
        <v>0</v>
      </c>
      <c r="AF1508" s="81">
        <v>0</v>
      </c>
      <c r="AG1508" s="86" t="s">
        <v>2084</v>
      </c>
      <c r="AH1508" s="81" t="b">
        <v>0</v>
      </c>
      <c r="AI1508" s="81" t="s">
        <v>2171</v>
      </c>
      <c r="AJ1508" s="81"/>
      <c r="AK1508" s="86" t="s">
        <v>2084</v>
      </c>
      <c r="AL1508" s="81" t="b">
        <v>0</v>
      </c>
      <c r="AM1508" s="81">
        <v>255</v>
      </c>
      <c r="AN1508" s="86" t="s">
        <v>7543</v>
      </c>
      <c r="AO1508" s="86" t="s">
        <v>2179</v>
      </c>
      <c r="AP1508" s="81" t="b">
        <v>0</v>
      </c>
      <c r="AQ1508" s="86" t="s">
        <v>7543</v>
      </c>
      <c r="AR1508" s="81" t="s">
        <v>179</v>
      </c>
      <c r="AS1508" s="81">
        <v>0</v>
      </c>
      <c r="AT1508" s="81">
        <v>0</v>
      </c>
      <c r="AU1508" s="81"/>
      <c r="AV1508" s="81"/>
      <c r="AW1508" s="81"/>
      <c r="AX1508" s="81"/>
      <c r="AY1508" s="81"/>
      <c r="AZ1508" s="81"/>
      <c r="BA1508" s="81"/>
      <c r="BB1508" s="81"/>
    </row>
    <row r="1509" spans="1:54" x14ac:dyDescent="0.35">
      <c r="A1509" s="66" t="s">
        <v>4782</v>
      </c>
      <c r="B1509" s="66" t="s">
        <v>4829</v>
      </c>
      <c r="C1509" s="67"/>
      <c r="D1509" s="68"/>
      <c r="E1509" s="69"/>
      <c r="F1509" s="70"/>
      <c r="G1509" s="67"/>
      <c r="H1509" s="71"/>
      <c r="I1509" s="72"/>
      <c r="J1509" s="72"/>
      <c r="K1509" s="36"/>
      <c r="L1509" s="79"/>
      <c r="M1509" s="79"/>
      <c r="N1509" s="74"/>
      <c r="O1509" s="81" t="s">
        <v>693</v>
      </c>
      <c r="P1509" s="83">
        <v>44466.286145833335</v>
      </c>
      <c r="Q1509" s="81" t="s">
        <v>5532</v>
      </c>
      <c r="R1509" s="84" t="str">
        <f>HYPERLINK("https://www.gov.br/anvisa/pt-br/assuntos/noticias-anvisa/2021/anvisa-alerta-sobre-risco-de-miocardite-e-pericardite-pos-vacinacao")</f>
        <v>https://www.gov.br/anvisa/pt-br/assuntos/noticias-anvisa/2021/anvisa-alerta-sobre-risco-de-miocardite-e-pericardite-pos-vacinacao</v>
      </c>
      <c r="S1509" s="81" t="s">
        <v>5686</v>
      </c>
      <c r="T1509" s="81"/>
      <c r="U1509" s="81"/>
      <c r="V1509" s="84" t="str">
        <f>HYPERLINK("https://pbs.twimg.com/profile_images/1435472877676072960/EZbGdYeN_normal.jpg")</f>
        <v>https://pbs.twimg.com/profile_images/1435472877676072960/EZbGdYeN_normal.jpg</v>
      </c>
      <c r="W1509" s="83">
        <v>44466.286145833335</v>
      </c>
      <c r="X1509" s="89">
        <v>44466</v>
      </c>
      <c r="Y1509" s="86" t="s">
        <v>6425</v>
      </c>
      <c r="Z1509" s="84" t="str">
        <f>HYPERLINK("https://twitter.com/ivancarmito/status/1442381503388815362")</f>
        <v>https://twitter.com/ivancarmito/status/1442381503388815362</v>
      </c>
      <c r="AA1509" s="81"/>
      <c r="AB1509" s="81"/>
      <c r="AC1509" s="86" t="s">
        <v>7342</v>
      </c>
      <c r="AD1509" s="81"/>
      <c r="AE1509" s="81" t="b">
        <v>0</v>
      </c>
      <c r="AF1509" s="81">
        <v>0</v>
      </c>
      <c r="AG1509" s="86" t="s">
        <v>2084</v>
      </c>
      <c r="AH1509" s="81" t="b">
        <v>0</v>
      </c>
      <c r="AI1509" s="81" t="s">
        <v>2171</v>
      </c>
      <c r="AJ1509" s="81"/>
      <c r="AK1509" s="86" t="s">
        <v>2084</v>
      </c>
      <c r="AL1509" s="81" t="b">
        <v>0</v>
      </c>
      <c r="AM1509" s="81">
        <v>15</v>
      </c>
      <c r="AN1509" s="86" t="s">
        <v>7399</v>
      </c>
      <c r="AO1509" s="86" t="s">
        <v>2181</v>
      </c>
      <c r="AP1509" s="81" t="b">
        <v>0</v>
      </c>
      <c r="AQ1509" s="86" t="s">
        <v>7399</v>
      </c>
      <c r="AR1509" s="81" t="s">
        <v>179</v>
      </c>
      <c r="AS1509" s="81">
        <v>0</v>
      </c>
      <c r="AT1509" s="81">
        <v>0</v>
      </c>
      <c r="AU1509" s="81"/>
      <c r="AV1509" s="81"/>
      <c r="AW1509" s="81"/>
      <c r="AX1509" s="81"/>
      <c r="AY1509" s="81"/>
      <c r="AZ1509" s="81"/>
      <c r="BA1509" s="81"/>
      <c r="BB1509" s="81"/>
    </row>
    <row r="1510" spans="1:54" x14ac:dyDescent="0.35">
      <c r="A1510" s="66" t="s">
        <v>519</v>
      </c>
      <c r="B1510" s="66" t="s">
        <v>519</v>
      </c>
      <c r="C1510" s="67"/>
      <c r="D1510" s="68"/>
      <c r="E1510" s="69"/>
      <c r="F1510" s="70"/>
      <c r="G1510" s="67"/>
      <c r="H1510" s="71"/>
      <c r="I1510" s="72"/>
      <c r="J1510" s="72"/>
      <c r="K1510" s="36"/>
      <c r="L1510" s="79"/>
      <c r="M1510" s="79"/>
      <c r="N1510" s="74"/>
      <c r="O1510" s="81" t="s">
        <v>179</v>
      </c>
      <c r="P1510" s="83">
        <v>44466.290081018517</v>
      </c>
      <c r="Q1510" s="81" t="s">
        <v>865</v>
      </c>
      <c r="R1510" s="81"/>
      <c r="S1510" s="81"/>
      <c r="T1510" s="81"/>
      <c r="U1510" s="81"/>
      <c r="V1510" s="84" t="str">
        <f>HYPERLINK("https://pbs.twimg.com/profile_images/1441630301524926467/A1mkAW7c_normal.jpg")</f>
        <v>https://pbs.twimg.com/profile_images/1441630301524926467/A1mkAW7c_normal.jpg</v>
      </c>
      <c r="W1510" s="83">
        <v>44466.290081018517</v>
      </c>
      <c r="X1510" s="89">
        <v>44466</v>
      </c>
      <c r="Y1510" s="86" t="s">
        <v>1396</v>
      </c>
      <c r="Z1510" s="84" t="str">
        <f>HYPERLINK("https://twitter.com/nisazain_/status/1442382931649912832")</f>
        <v>https://twitter.com/nisazain_/status/1442382931649912832</v>
      </c>
      <c r="AA1510" s="81"/>
      <c r="AB1510" s="81"/>
      <c r="AC1510" s="86" t="s">
        <v>1894</v>
      </c>
      <c r="AD1510" s="81"/>
      <c r="AE1510" s="81" t="b">
        <v>0</v>
      </c>
      <c r="AF1510" s="81">
        <v>0</v>
      </c>
      <c r="AG1510" s="86" t="s">
        <v>2084</v>
      </c>
      <c r="AH1510" s="81" t="b">
        <v>0</v>
      </c>
      <c r="AI1510" s="81" t="s">
        <v>2168</v>
      </c>
      <c r="AJ1510" s="81"/>
      <c r="AK1510" s="86" t="s">
        <v>2084</v>
      </c>
      <c r="AL1510" s="81" t="b">
        <v>0</v>
      </c>
      <c r="AM1510" s="81">
        <v>0</v>
      </c>
      <c r="AN1510" s="86" t="s">
        <v>2084</v>
      </c>
      <c r="AO1510" s="86" t="s">
        <v>2179</v>
      </c>
      <c r="AP1510" s="81" t="b">
        <v>0</v>
      </c>
      <c r="AQ1510" s="86" t="s">
        <v>1894</v>
      </c>
      <c r="AR1510" s="81" t="s">
        <v>179</v>
      </c>
      <c r="AS1510" s="81">
        <v>0</v>
      </c>
      <c r="AT1510" s="81">
        <v>0</v>
      </c>
      <c r="AU1510" s="81"/>
      <c r="AV1510" s="81"/>
      <c r="AW1510" s="81"/>
      <c r="AX1510" s="81"/>
      <c r="AY1510" s="81"/>
      <c r="AZ1510" s="81"/>
      <c r="BA1510" s="81"/>
      <c r="BB1510" s="81"/>
    </row>
    <row r="1511" spans="1:54" x14ac:dyDescent="0.35">
      <c r="A1511" s="66" t="s">
        <v>4783</v>
      </c>
      <c r="B1511" s="66" t="s">
        <v>5156</v>
      </c>
      <c r="C1511" s="67"/>
      <c r="D1511" s="68"/>
      <c r="E1511" s="69"/>
      <c r="F1511" s="70"/>
      <c r="G1511" s="67"/>
      <c r="H1511" s="71"/>
      <c r="I1511" s="72"/>
      <c r="J1511" s="72"/>
      <c r="K1511" s="36"/>
      <c r="L1511" s="79"/>
      <c r="M1511" s="79"/>
      <c r="N1511" s="74"/>
      <c r="O1511" s="81" t="s">
        <v>695</v>
      </c>
      <c r="P1511" s="83">
        <v>44466.290520833332</v>
      </c>
      <c r="Q1511" s="81" t="s">
        <v>5538</v>
      </c>
      <c r="R1511" s="81"/>
      <c r="S1511" s="81"/>
      <c r="T1511" s="81"/>
      <c r="U1511" s="81"/>
      <c r="V1511" s="84" t="str">
        <f>HYPERLINK("https://pbs.twimg.com/profile_images/1408349163792838656/d-TfpjQe_normal.jpg")</f>
        <v>https://pbs.twimg.com/profile_images/1408349163792838656/d-TfpjQe_normal.jpg</v>
      </c>
      <c r="W1511" s="83">
        <v>44466.290520833332</v>
      </c>
      <c r="X1511" s="89">
        <v>44466</v>
      </c>
      <c r="Y1511" s="86" t="s">
        <v>6426</v>
      </c>
      <c r="Z1511" s="84" t="str">
        <f>HYPERLINK("https://twitter.com/augustoleito2/status/1442383090589052931")</f>
        <v>https://twitter.com/augustoleito2/status/1442383090589052931</v>
      </c>
      <c r="AA1511" s="81"/>
      <c r="AB1511" s="81"/>
      <c r="AC1511" s="86" t="s">
        <v>7343</v>
      </c>
      <c r="AD1511" s="86" t="s">
        <v>7728</v>
      </c>
      <c r="AE1511" s="81" t="b">
        <v>0</v>
      </c>
      <c r="AF1511" s="81">
        <v>3</v>
      </c>
      <c r="AG1511" s="86" t="s">
        <v>7903</v>
      </c>
      <c r="AH1511" s="81" t="b">
        <v>0</v>
      </c>
      <c r="AI1511" s="81" t="s">
        <v>2171</v>
      </c>
      <c r="AJ1511" s="81"/>
      <c r="AK1511" s="86" t="s">
        <v>2084</v>
      </c>
      <c r="AL1511" s="81" t="b">
        <v>0</v>
      </c>
      <c r="AM1511" s="81">
        <v>0</v>
      </c>
      <c r="AN1511" s="86" t="s">
        <v>2084</v>
      </c>
      <c r="AO1511" s="86" t="s">
        <v>2181</v>
      </c>
      <c r="AP1511" s="81" t="b">
        <v>0</v>
      </c>
      <c r="AQ1511" s="86" t="s">
        <v>7728</v>
      </c>
      <c r="AR1511" s="81" t="s">
        <v>179</v>
      </c>
      <c r="AS1511" s="81">
        <v>0</v>
      </c>
      <c r="AT1511" s="81">
        <v>0</v>
      </c>
      <c r="AU1511" s="81"/>
      <c r="AV1511" s="81"/>
      <c r="AW1511" s="81"/>
      <c r="AX1511" s="81"/>
      <c r="AY1511" s="81"/>
      <c r="AZ1511" s="81"/>
      <c r="BA1511" s="81"/>
      <c r="BB1511" s="81"/>
    </row>
    <row r="1512" spans="1:54" x14ac:dyDescent="0.35">
      <c r="A1512" s="66" t="s">
        <v>520</v>
      </c>
      <c r="B1512" s="66" t="s">
        <v>520</v>
      </c>
      <c r="C1512" s="67"/>
      <c r="D1512" s="68"/>
      <c r="E1512" s="69"/>
      <c r="F1512" s="70"/>
      <c r="G1512" s="67"/>
      <c r="H1512" s="71"/>
      <c r="I1512" s="72"/>
      <c r="J1512" s="72"/>
      <c r="K1512" s="36"/>
      <c r="L1512" s="79"/>
      <c r="M1512" s="79"/>
      <c r="N1512" s="74"/>
      <c r="O1512" s="81" t="s">
        <v>179</v>
      </c>
      <c r="P1512" s="83">
        <v>44461.906134259261</v>
      </c>
      <c r="Q1512" s="81" t="s">
        <v>866</v>
      </c>
      <c r="R1512" s="84" t="str">
        <f>HYPERLINK("https://lowongankerjasmk.com/lowongan-bumn-sma-smk-d3-s1-pt-pos-indonesia-persero-bulan-september-tahun-2021/")</f>
        <v>https://lowongankerjasmk.com/lowongan-bumn-sma-smk-d3-s1-pt-pos-indonesia-persero-bulan-september-tahun-2021/</v>
      </c>
      <c r="S1512" s="81" t="s">
        <v>964</v>
      </c>
      <c r="T1512" s="81"/>
      <c r="U1512" s="81"/>
      <c r="V1512" s="84" t="str">
        <f>HYPERLINK("https://pbs.twimg.com/profile_images/1145856503/MediaLowongan_normal.gif")</f>
        <v>https://pbs.twimg.com/profile_images/1145856503/MediaLowongan_normal.gif</v>
      </c>
      <c r="W1512" s="83">
        <v>44461.906134259261</v>
      </c>
      <c r="X1512" s="89">
        <v>44461</v>
      </c>
      <c r="Y1512" s="86" t="s">
        <v>1397</v>
      </c>
      <c r="Z1512" s="84" t="str">
        <f>HYPERLINK("https://twitter.com/medilow/status/1440794241182015492")</f>
        <v>https://twitter.com/medilow/status/1440794241182015492</v>
      </c>
      <c r="AA1512" s="81"/>
      <c r="AB1512" s="81"/>
      <c r="AC1512" s="86" t="s">
        <v>1895</v>
      </c>
      <c r="AD1512" s="81"/>
      <c r="AE1512" s="81" t="b">
        <v>0</v>
      </c>
      <c r="AF1512" s="81">
        <v>0</v>
      </c>
      <c r="AG1512" s="86" t="s">
        <v>2084</v>
      </c>
      <c r="AH1512" s="81" t="b">
        <v>0</v>
      </c>
      <c r="AI1512" s="81" t="s">
        <v>2167</v>
      </c>
      <c r="AJ1512" s="81"/>
      <c r="AK1512" s="86" t="s">
        <v>2084</v>
      </c>
      <c r="AL1512" s="81" t="b">
        <v>0</v>
      </c>
      <c r="AM1512" s="81">
        <v>0</v>
      </c>
      <c r="AN1512" s="86" t="s">
        <v>2084</v>
      </c>
      <c r="AO1512" s="86" t="s">
        <v>2195</v>
      </c>
      <c r="AP1512" s="81" t="b">
        <v>0</v>
      </c>
      <c r="AQ1512" s="86" t="s">
        <v>1895</v>
      </c>
      <c r="AR1512" s="81" t="s">
        <v>179</v>
      </c>
      <c r="AS1512" s="81">
        <v>0</v>
      </c>
      <c r="AT1512" s="81">
        <v>0</v>
      </c>
      <c r="AU1512" s="81"/>
      <c r="AV1512" s="81"/>
      <c r="AW1512" s="81"/>
      <c r="AX1512" s="81"/>
      <c r="AY1512" s="81"/>
      <c r="AZ1512" s="81"/>
      <c r="BA1512" s="81"/>
      <c r="BB1512" s="81"/>
    </row>
    <row r="1513" spans="1:54" x14ac:dyDescent="0.35">
      <c r="A1513" s="66" t="s">
        <v>520</v>
      </c>
      <c r="B1513" s="66" t="s">
        <v>520</v>
      </c>
      <c r="C1513" s="67"/>
      <c r="D1513" s="68"/>
      <c r="E1513" s="69"/>
      <c r="F1513" s="70"/>
      <c r="G1513" s="67"/>
      <c r="H1513" s="71"/>
      <c r="I1513" s="72"/>
      <c r="J1513" s="72"/>
      <c r="K1513" s="36"/>
      <c r="L1513" s="79"/>
      <c r="M1513" s="79"/>
      <c r="N1513" s="74"/>
      <c r="O1513" s="81" t="s">
        <v>179</v>
      </c>
      <c r="P1513" s="83">
        <v>44466.292303240742</v>
      </c>
      <c r="Q1513" s="81" t="s">
        <v>867</v>
      </c>
      <c r="R1513" s="84" t="str">
        <f>HYPERLINK("https://lowongankerjasmk.com/lowongan-kerja-bumn-sma-smk-d3-s1-pt-pos-indonesia-persero-september-2021/")</f>
        <v>https://lowongankerjasmk.com/lowongan-kerja-bumn-sma-smk-d3-s1-pt-pos-indonesia-persero-september-2021/</v>
      </c>
      <c r="S1513" s="81" t="s">
        <v>964</v>
      </c>
      <c r="T1513" s="81"/>
      <c r="U1513" s="81"/>
      <c r="V1513" s="84" t="str">
        <f>HYPERLINK("https://pbs.twimg.com/profile_images/1145856503/MediaLowongan_normal.gif")</f>
        <v>https://pbs.twimg.com/profile_images/1145856503/MediaLowongan_normal.gif</v>
      </c>
      <c r="W1513" s="83">
        <v>44466.292303240742</v>
      </c>
      <c r="X1513" s="89">
        <v>44466</v>
      </c>
      <c r="Y1513" s="86" t="s">
        <v>1398</v>
      </c>
      <c r="Z1513" s="84" t="str">
        <f>HYPERLINK("https://twitter.com/medilow/status/1442383734351740930")</f>
        <v>https://twitter.com/medilow/status/1442383734351740930</v>
      </c>
      <c r="AA1513" s="81"/>
      <c r="AB1513" s="81"/>
      <c r="AC1513" s="86" t="s">
        <v>1896</v>
      </c>
      <c r="AD1513" s="81"/>
      <c r="AE1513" s="81" t="b">
        <v>0</v>
      </c>
      <c r="AF1513" s="81">
        <v>0</v>
      </c>
      <c r="AG1513" s="86" t="s">
        <v>2084</v>
      </c>
      <c r="AH1513" s="81" t="b">
        <v>0</v>
      </c>
      <c r="AI1513" s="81" t="s">
        <v>2167</v>
      </c>
      <c r="AJ1513" s="81"/>
      <c r="AK1513" s="86" t="s">
        <v>2084</v>
      </c>
      <c r="AL1513" s="81" t="b">
        <v>0</v>
      </c>
      <c r="AM1513" s="81">
        <v>0</v>
      </c>
      <c r="AN1513" s="86" t="s">
        <v>2084</v>
      </c>
      <c r="AO1513" s="86" t="s">
        <v>2195</v>
      </c>
      <c r="AP1513" s="81" t="b">
        <v>0</v>
      </c>
      <c r="AQ1513" s="86" t="s">
        <v>1896</v>
      </c>
      <c r="AR1513" s="81" t="s">
        <v>179</v>
      </c>
      <c r="AS1513" s="81">
        <v>0</v>
      </c>
      <c r="AT1513" s="81">
        <v>0</v>
      </c>
      <c r="AU1513" s="81"/>
      <c r="AV1513" s="81"/>
      <c r="AW1513" s="81"/>
      <c r="AX1513" s="81"/>
      <c r="AY1513" s="81"/>
      <c r="AZ1513" s="81"/>
      <c r="BA1513" s="81"/>
      <c r="BB1513" s="81"/>
    </row>
    <row r="1514" spans="1:54" x14ac:dyDescent="0.35">
      <c r="A1514" s="66" t="s">
        <v>522</v>
      </c>
      <c r="B1514" s="66" t="s">
        <v>521</v>
      </c>
      <c r="C1514" s="67"/>
      <c r="D1514" s="68"/>
      <c r="E1514" s="69"/>
      <c r="F1514" s="70"/>
      <c r="G1514" s="67"/>
      <c r="H1514" s="71"/>
      <c r="I1514" s="72"/>
      <c r="J1514" s="72"/>
      <c r="K1514" s="36"/>
      <c r="L1514" s="79"/>
      <c r="M1514" s="79"/>
      <c r="N1514" s="74"/>
      <c r="O1514" s="81" t="s">
        <v>693</v>
      </c>
      <c r="P1514" s="83">
        <v>44466.30840277778</v>
      </c>
      <c r="Q1514" s="81" t="s">
        <v>854</v>
      </c>
      <c r="R1514" s="81"/>
      <c r="S1514" s="81"/>
      <c r="T1514" s="86" t="s">
        <v>988</v>
      </c>
      <c r="U1514" s="84" t="str">
        <f>HYPERLINK("https://pbs.twimg.com/media/FAQsrN2VQAI9VeD.jpg")</f>
        <v>https://pbs.twimg.com/media/FAQsrN2VQAI9VeD.jpg</v>
      </c>
      <c r="V1514" s="84" t="str">
        <f>HYPERLINK("https://pbs.twimg.com/media/FAQsrN2VQAI9VeD.jpg")</f>
        <v>https://pbs.twimg.com/media/FAQsrN2VQAI9VeD.jpg</v>
      </c>
      <c r="W1514" s="83">
        <v>44466.30840277778</v>
      </c>
      <c r="X1514" s="89">
        <v>44466</v>
      </c>
      <c r="Y1514" s="86" t="s">
        <v>1400</v>
      </c>
      <c r="Z1514" s="84" t="str">
        <f>HYPERLINK("https://twitter.com/immaturekids_/status/1442389568758505479")</f>
        <v>https://twitter.com/immaturekids_/status/1442389568758505479</v>
      </c>
      <c r="AA1514" s="81"/>
      <c r="AB1514" s="81"/>
      <c r="AC1514" s="86" t="s">
        <v>1898</v>
      </c>
      <c r="AD1514" s="81"/>
      <c r="AE1514" s="81" t="b">
        <v>0</v>
      </c>
      <c r="AF1514" s="81">
        <v>0</v>
      </c>
      <c r="AG1514" s="86" t="s">
        <v>2084</v>
      </c>
      <c r="AH1514" s="81" t="b">
        <v>0</v>
      </c>
      <c r="AI1514" s="81" t="s">
        <v>2168</v>
      </c>
      <c r="AJ1514" s="81"/>
      <c r="AK1514" s="86" t="s">
        <v>2084</v>
      </c>
      <c r="AL1514" s="81" t="b">
        <v>0</v>
      </c>
      <c r="AM1514" s="81">
        <v>2</v>
      </c>
      <c r="AN1514" s="86" t="s">
        <v>1897</v>
      </c>
      <c r="AO1514" s="86" t="s">
        <v>2178</v>
      </c>
      <c r="AP1514" s="81" t="b">
        <v>0</v>
      </c>
      <c r="AQ1514" s="86" t="s">
        <v>1897</v>
      </c>
      <c r="AR1514" s="81" t="s">
        <v>179</v>
      </c>
      <c r="AS1514" s="81">
        <v>0</v>
      </c>
      <c r="AT1514" s="81">
        <v>0</v>
      </c>
      <c r="AU1514" s="81"/>
      <c r="AV1514" s="81"/>
      <c r="AW1514" s="81"/>
      <c r="AX1514" s="81"/>
      <c r="AY1514" s="81"/>
      <c r="AZ1514" s="81"/>
      <c r="BA1514" s="81"/>
      <c r="BB1514" s="81"/>
    </row>
    <row r="1515" spans="1:54" x14ac:dyDescent="0.35">
      <c r="A1515" s="66" t="s">
        <v>4784</v>
      </c>
      <c r="B1515" s="66" t="s">
        <v>4784</v>
      </c>
      <c r="C1515" s="67"/>
      <c r="D1515" s="68"/>
      <c r="E1515" s="69"/>
      <c r="F1515" s="70"/>
      <c r="G1515" s="67"/>
      <c r="H1515" s="71"/>
      <c r="I1515" s="72"/>
      <c r="J1515" s="72"/>
      <c r="K1515" s="36"/>
      <c r="L1515" s="79"/>
      <c r="M1515" s="79"/>
      <c r="N1515" s="74"/>
      <c r="O1515" s="81" t="s">
        <v>179</v>
      </c>
      <c r="P1515" s="83">
        <v>44466.32435185185</v>
      </c>
      <c r="Q1515" s="81" t="s">
        <v>5539</v>
      </c>
      <c r="R1515" s="84" t="str">
        <f>HYPERLINK("https://marketeer.sapo.pt/holmes-place-aposta-em-campanha-intimista-no-regresso-pos-ferias?utm_source=dlvr.it&amp;utm_medium=twitter")</f>
        <v>https://marketeer.sapo.pt/holmes-place-aposta-em-campanha-intimista-no-regresso-pos-ferias?utm_source=dlvr.it&amp;utm_medium=twitter</v>
      </c>
      <c r="S1515" s="81" t="s">
        <v>5689</v>
      </c>
      <c r="T1515" s="81"/>
      <c r="U1515" s="84" t="str">
        <f>HYPERLINK("https://pbs.twimg.com/media/FARq7UEVEAID7lC.jpg")</f>
        <v>https://pbs.twimg.com/media/FARq7UEVEAID7lC.jpg</v>
      </c>
      <c r="V1515" s="84" t="str">
        <f>HYPERLINK("https://pbs.twimg.com/media/FARq7UEVEAID7lC.jpg")</f>
        <v>https://pbs.twimg.com/media/FARq7UEVEAID7lC.jpg</v>
      </c>
      <c r="W1515" s="83">
        <v>44466.32435185185</v>
      </c>
      <c r="X1515" s="89">
        <v>44466</v>
      </c>
      <c r="Y1515" s="86" t="s">
        <v>6427</v>
      </c>
      <c r="Z1515" s="84" t="str">
        <f>HYPERLINK("https://twitter.com/marketingidiota/status/1442395349625098242")</f>
        <v>https://twitter.com/marketingidiota/status/1442395349625098242</v>
      </c>
      <c r="AA1515" s="81"/>
      <c r="AB1515" s="81"/>
      <c r="AC1515" s="86" t="s">
        <v>7344</v>
      </c>
      <c r="AD1515" s="81"/>
      <c r="AE1515" s="81" t="b">
        <v>0</v>
      </c>
      <c r="AF1515" s="81">
        <v>0</v>
      </c>
      <c r="AG1515" s="86" t="s">
        <v>2084</v>
      </c>
      <c r="AH1515" s="81" t="b">
        <v>0</v>
      </c>
      <c r="AI1515" s="81" t="s">
        <v>2171</v>
      </c>
      <c r="AJ1515" s="81"/>
      <c r="AK1515" s="86" t="s">
        <v>2084</v>
      </c>
      <c r="AL1515" s="81" t="b">
        <v>0</v>
      </c>
      <c r="AM1515" s="81">
        <v>0</v>
      </c>
      <c r="AN1515" s="86" t="s">
        <v>2084</v>
      </c>
      <c r="AO1515" s="86" t="s">
        <v>2188</v>
      </c>
      <c r="AP1515" s="81" t="b">
        <v>0</v>
      </c>
      <c r="AQ1515" s="86" t="s">
        <v>7344</v>
      </c>
      <c r="AR1515" s="81" t="s">
        <v>179</v>
      </c>
      <c r="AS1515" s="81">
        <v>0</v>
      </c>
      <c r="AT1515" s="81">
        <v>0</v>
      </c>
      <c r="AU1515" s="81"/>
      <c r="AV1515" s="81"/>
      <c r="AW1515" s="81"/>
      <c r="AX1515" s="81"/>
      <c r="AY1515" s="81"/>
      <c r="AZ1515" s="81"/>
      <c r="BA1515" s="81"/>
      <c r="BB1515" s="81"/>
    </row>
    <row r="1516" spans="1:54" x14ac:dyDescent="0.35">
      <c r="A1516" s="66" t="s">
        <v>523</v>
      </c>
      <c r="B1516" s="66" t="s">
        <v>592</v>
      </c>
      <c r="C1516" s="67"/>
      <c r="D1516" s="68"/>
      <c r="E1516" s="69"/>
      <c r="F1516" s="70"/>
      <c r="G1516" s="67"/>
      <c r="H1516" s="71"/>
      <c r="I1516" s="72"/>
      <c r="J1516" s="72"/>
      <c r="K1516" s="36"/>
      <c r="L1516" s="79"/>
      <c r="M1516" s="79"/>
      <c r="N1516" s="74"/>
      <c r="O1516" s="81" t="s">
        <v>693</v>
      </c>
      <c r="P1516" s="83">
        <v>44466.329247685186</v>
      </c>
      <c r="Q1516" s="81" t="s">
        <v>868</v>
      </c>
      <c r="R1516" s="81"/>
      <c r="S1516" s="81"/>
      <c r="T1516" s="86" t="s">
        <v>972</v>
      </c>
      <c r="U1516" s="84" t="str">
        <f>HYPERLINK("https://pbs.twimg.com/media/FARq0TBVUAYl272.jpg")</f>
        <v>https://pbs.twimg.com/media/FARq0TBVUAYl272.jpg</v>
      </c>
      <c r="V1516" s="84" t="str">
        <f>HYPERLINK("https://pbs.twimg.com/media/FARq0TBVUAYl272.jpg")</f>
        <v>https://pbs.twimg.com/media/FARq0TBVUAYl272.jpg</v>
      </c>
      <c r="W1516" s="83">
        <v>44466.329247685186</v>
      </c>
      <c r="X1516" s="89">
        <v>44466</v>
      </c>
      <c r="Y1516" s="86" t="s">
        <v>1401</v>
      </c>
      <c r="Z1516" s="84" t="str">
        <f>HYPERLINK("https://twitter.com/myaccnotyours_/status/1442397124491034624")</f>
        <v>https://twitter.com/myaccnotyours_/status/1442397124491034624</v>
      </c>
      <c r="AA1516" s="81"/>
      <c r="AB1516" s="81"/>
      <c r="AC1516" s="86" t="s">
        <v>1899</v>
      </c>
      <c r="AD1516" s="81"/>
      <c r="AE1516" s="81" t="b">
        <v>0</v>
      </c>
      <c r="AF1516" s="81">
        <v>0</v>
      </c>
      <c r="AG1516" s="86" t="s">
        <v>2084</v>
      </c>
      <c r="AH1516" s="81" t="b">
        <v>0</v>
      </c>
      <c r="AI1516" s="81" t="s">
        <v>2168</v>
      </c>
      <c r="AJ1516" s="81"/>
      <c r="AK1516" s="86" t="s">
        <v>2084</v>
      </c>
      <c r="AL1516" s="81" t="b">
        <v>0</v>
      </c>
      <c r="AM1516" s="81">
        <v>9</v>
      </c>
      <c r="AN1516" s="86" t="s">
        <v>1997</v>
      </c>
      <c r="AO1516" s="86" t="s">
        <v>2178</v>
      </c>
      <c r="AP1516" s="81" t="b">
        <v>0</v>
      </c>
      <c r="AQ1516" s="86" t="s">
        <v>1997</v>
      </c>
      <c r="AR1516" s="81" t="s">
        <v>179</v>
      </c>
      <c r="AS1516" s="81">
        <v>0</v>
      </c>
      <c r="AT1516" s="81">
        <v>0</v>
      </c>
      <c r="AU1516" s="81"/>
      <c r="AV1516" s="81"/>
      <c r="AW1516" s="81"/>
      <c r="AX1516" s="81"/>
      <c r="AY1516" s="81"/>
      <c r="AZ1516" s="81"/>
      <c r="BA1516" s="81"/>
      <c r="BB1516" s="81"/>
    </row>
    <row r="1517" spans="1:54" x14ac:dyDescent="0.35">
      <c r="A1517" s="66" t="s">
        <v>524</v>
      </c>
      <c r="B1517" s="66" t="s">
        <v>592</v>
      </c>
      <c r="C1517" s="67"/>
      <c r="D1517" s="68"/>
      <c r="E1517" s="69"/>
      <c r="F1517" s="70"/>
      <c r="G1517" s="67"/>
      <c r="H1517" s="71"/>
      <c r="I1517" s="72"/>
      <c r="J1517" s="72"/>
      <c r="K1517" s="36"/>
      <c r="L1517" s="79"/>
      <c r="M1517" s="79"/>
      <c r="N1517" s="74"/>
      <c r="O1517" s="81" t="s">
        <v>693</v>
      </c>
      <c r="P1517" s="83">
        <v>44466.329780092594</v>
      </c>
      <c r="Q1517" s="81" t="s">
        <v>868</v>
      </c>
      <c r="R1517" s="81"/>
      <c r="S1517" s="81"/>
      <c r="T1517" s="86" t="s">
        <v>972</v>
      </c>
      <c r="U1517" s="84" t="str">
        <f>HYPERLINK("https://pbs.twimg.com/media/FARq0TBVUAYl272.jpg")</f>
        <v>https://pbs.twimg.com/media/FARq0TBVUAYl272.jpg</v>
      </c>
      <c r="V1517" s="84" t="str">
        <f>HYPERLINK("https://pbs.twimg.com/media/FARq0TBVUAYl272.jpg")</f>
        <v>https://pbs.twimg.com/media/FARq0TBVUAYl272.jpg</v>
      </c>
      <c r="W1517" s="83">
        <v>44466.329780092594</v>
      </c>
      <c r="X1517" s="89">
        <v>44466</v>
      </c>
      <c r="Y1517" s="86" t="s">
        <v>1402</v>
      </c>
      <c r="Z1517" s="84" t="str">
        <f>HYPERLINK("https://twitter.com/jiniretkkami/status/1442397318431461387")</f>
        <v>https://twitter.com/jiniretkkami/status/1442397318431461387</v>
      </c>
      <c r="AA1517" s="81"/>
      <c r="AB1517" s="81"/>
      <c r="AC1517" s="86" t="s">
        <v>1900</v>
      </c>
      <c r="AD1517" s="81"/>
      <c r="AE1517" s="81" t="b">
        <v>0</v>
      </c>
      <c r="AF1517" s="81">
        <v>0</v>
      </c>
      <c r="AG1517" s="86" t="s">
        <v>2084</v>
      </c>
      <c r="AH1517" s="81" t="b">
        <v>0</v>
      </c>
      <c r="AI1517" s="81" t="s">
        <v>2168</v>
      </c>
      <c r="AJ1517" s="81"/>
      <c r="AK1517" s="86" t="s">
        <v>2084</v>
      </c>
      <c r="AL1517" s="81" t="b">
        <v>0</v>
      </c>
      <c r="AM1517" s="81">
        <v>9</v>
      </c>
      <c r="AN1517" s="86" t="s">
        <v>1997</v>
      </c>
      <c r="AO1517" s="86" t="s">
        <v>2179</v>
      </c>
      <c r="AP1517" s="81" t="b">
        <v>0</v>
      </c>
      <c r="AQ1517" s="86" t="s">
        <v>1997</v>
      </c>
      <c r="AR1517" s="81" t="s">
        <v>179</v>
      </c>
      <c r="AS1517" s="81">
        <v>0</v>
      </c>
      <c r="AT1517" s="81">
        <v>0</v>
      </c>
      <c r="AU1517" s="81"/>
      <c r="AV1517" s="81"/>
      <c r="AW1517" s="81"/>
      <c r="AX1517" s="81"/>
      <c r="AY1517" s="81"/>
      <c r="AZ1517" s="81"/>
      <c r="BA1517" s="81"/>
      <c r="BB1517" s="81"/>
    </row>
    <row r="1518" spans="1:54" x14ac:dyDescent="0.35">
      <c r="A1518" s="66" t="s">
        <v>525</v>
      </c>
      <c r="B1518" s="66" t="s">
        <v>592</v>
      </c>
      <c r="C1518" s="67"/>
      <c r="D1518" s="68"/>
      <c r="E1518" s="69"/>
      <c r="F1518" s="70"/>
      <c r="G1518" s="67"/>
      <c r="H1518" s="71"/>
      <c r="I1518" s="72"/>
      <c r="J1518" s="72"/>
      <c r="K1518" s="36"/>
      <c r="L1518" s="79"/>
      <c r="M1518" s="79"/>
      <c r="N1518" s="74"/>
      <c r="O1518" s="81" t="s">
        <v>693</v>
      </c>
      <c r="P1518" s="83">
        <v>44466.330092592594</v>
      </c>
      <c r="Q1518" s="81" t="s">
        <v>868</v>
      </c>
      <c r="R1518" s="81"/>
      <c r="S1518" s="81"/>
      <c r="T1518" s="86" t="s">
        <v>972</v>
      </c>
      <c r="U1518" s="84" t="str">
        <f>HYPERLINK("https://pbs.twimg.com/media/FARq0TBVUAYl272.jpg")</f>
        <v>https://pbs.twimg.com/media/FARq0TBVUAYl272.jpg</v>
      </c>
      <c r="V1518" s="84" t="str">
        <f>HYPERLINK("https://pbs.twimg.com/media/FARq0TBVUAYl272.jpg")</f>
        <v>https://pbs.twimg.com/media/FARq0TBVUAYl272.jpg</v>
      </c>
      <c r="W1518" s="83">
        <v>44466.330092592594</v>
      </c>
      <c r="X1518" s="89">
        <v>44466</v>
      </c>
      <c r="Y1518" s="86" t="s">
        <v>1403</v>
      </c>
      <c r="Z1518" s="84" t="str">
        <f>HYPERLINK("https://twitter.com/frckleslixie/status/1442397428791975936")</f>
        <v>https://twitter.com/frckleslixie/status/1442397428791975936</v>
      </c>
      <c r="AA1518" s="81"/>
      <c r="AB1518" s="81"/>
      <c r="AC1518" s="86" t="s">
        <v>1901</v>
      </c>
      <c r="AD1518" s="81"/>
      <c r="AE1518" s="81" t="b">
        <v>0</v>
      </c>
      <c r="AF1518" s="81">
        <v>0</v>
      </c>
      <c r="AG1518" s="86" t="s">
        <v>2084</v>
      </c>
      <c r="AH1518" s="81" t="b">
        <v>0</v>
      </c>
      <c r="AI1518" s="81" t="s">
        <v>2168</v>
      </c>
      <c r="AJ1518" s="81"/>
      <c r="AK1518" s="86" t="s">
        <v>2084</v>
      </c>
      <c r="AL1518" s="81" t="b">
        <v>0</v>
      </c>
      <c r="AM1518" s="81">
        <v>9</v>
      </c>
      <c r="AN1518" s="86" t="s">
        <v>1997</v>
      </c>
      <c r="AO1518" s="86" t="s">
        <v>2178</v>
      </c>
      <c r="AP1518" s="81" t="b">
        <v>0</v>
      </c>
      <c r="AQ1518" s="86" t="s">
        <v>1997</v>
      </c>
      <c r="AR1518" s="81" t="s">
        <v>179</v>
      </c>
      <c r="AS1518" s="81">
        <v>0</v>
      </c>
      <c r="AT1518" s="81">
        <v>0</v>
      </c>
      <c r="AU1518" s="81"/>
      <c r="AV1518" s="81"/>
      <c r="AW1518" s="81"/>
      <c r="AX1518" s="81"/>
      <c r="AY1518" s="81"/>
      <c r="AZ1518" s="81"/>
      <c r="BA1518" s="81"/>
      <c r="BB1518" s="81"/>
    </row>
    <row r="1519" spans="1:54" x14ac:dyDescent="0.35">
      <c r="A1519" s="66" t="s">
        <v>4785</v>
      </c>
      <c r="B1519" s="66" t="s">
        <v>4785</v>
      </c>
      <c r="C1519" s="67"/>
      <c r="D1519" s="68"/>
      <c r="E1519" s="69"/>
      <c r="F1519" s="70"/>
      <c r="G1519" s="67"/>
      <c r="H1519" s="71"/>
      <c r="I1519" s="72"/>
      <c r="J1519" s="72"/>
      <c r="K1519" s="36"/>
      <c r="L1519" s="79"/>
      <c r="M1519" s="79"/>
      <c r="N1519" s="74"/>
      <c r="O1519" s="81" t="s">
        <v>179</v>
      </c>
      <c r="P1519" s="83">
        <v>44466.330254629633</v>
      </c>
      <c r="Q1519" s="81" t="s">
        <v>5540</v>
      </c>
      <c r="R1519" s="84" t="str">
        <f>HYPERLINK("https://twitter.com/darknightowi/status/1442397310504292352")</f>
        <v>https://twitter.com/darknightowi/status/1442397310504292352</v>
      </c>
      <c r="S1519" s="81" t="s">
        <v>936</v>
      </c>
      <c r="T1519" s="81"/>
      <c r="U1519" s="81"/>
      <c r="V1519" s="84" t="str">
        <f>HYPERLINK("https://pbs.twimg.com/profile_images/1443185257360998401/ZFRm4gai_normal.jpg")</f>
        <v>https://pbs.twimg.com/profile_images/1443185257360998401/ZFRm4gai_normal.jpg</v>
      </c>
      <c r="W1519" s="83">
        <v>44466.330254629633</v>
      </c>
      <c r="X1519" s="89">
        <v>44466</v>
      </c>
      <c r="Y1519" s="86" t="s">
        <v>6428</v>
      </c>
      <c r="Z1519" s="84" t="str">
        <f>HYPERLINK("https://twitter.com/salv1e/status/1442397487608696833")</f>
        <v>https://twitter.com/salv1e/status/1442397487608696833</v>
      </c>
      <c r="AA1519" s="81"/>
      <c r="AB1519" s="81"/>
      <c r="AC1519" s="86" t="s">
        <v>7345</v>
      </c>
      <c r="AD1519" s="81"/>
      <c r="AE1519" s="81" t="b">
        <v>0</v>
      </c>
      <c r="AF1519" s="81">
        <v>1</v>
      </c>
      <c r="AG1519" s="86" t="s">
        <v>2084</v>
      </c>
      <c r="AH1519" s="81" t="b">
        <v>1</v>
      </c>
      <c r="AI1519" s="81" t="s">
        <v>2168</v>
      </c>
      <c r="AJ1519" s="81"/>
      <c r="AK1519" s="86" t="s">
        <v>7968</v>
      </c>
      <c r="AL1519" s="81" t="b">
        <v>0</v>
      </c>
      <c r="AM1519" s="81">
        <v>0</v>
      </c>
      <c r="AN1519" s="86" t="s">
        <v>2084</v>
      </c>
      <c r="AO1519" s="86" t="s">
        <v>2179</v>
      </c>
      <c r="AP1519" s="81" t="b">
        <v>0</v>
      </c>
      <c r="AQ1519" s="86" t="s">
        <v>7345</v>
      </c>
      <c r="AR1519" s="81" t="s">
        <v>179</v>
      </c>
      <c r="AS1519" s="81">
        <v>0</v>
      </c>
      <c r="AT1519" s="81">
        <v>0</v>
      </c>
      <c r="AU1519" s="81"/>
      <c r="AV1519" s="81"/>
      <c r="AW1519" s="81"/>
      <c r="AX1519" s="81"/>
      <c r="AY1519" s="81"/>
      <c r="AZ1519" s="81"/>
      <c r="BA1519" s="81"/>
      <c r="BB1519" s="81"/>
    </row>
    <row r="1520" spans="1:54" x14ac:dyDescent="0.35">
      <c r="A1520" s="66" t="s">
        <v>526</v>
      </c>
      <c r="B1520" s="66" t="s">
        <v>592</v>
      </c>
      <c r="C1520" s="67"/>
      <c r="D1520" s="68"/>
      <c r="E1520" s="69"/>
      <c r="F1520" s="70"/>
      <c r="G1520" s="67"/>
      <c r="H1520" s="71"/>
      <c r="I1520" s="72"/>
      <c r="J1520" s="72"/>
      <c r="K1520" s="36"/>
      <c r="L1520" s="79"/>
      <c r="M1520" s="79"/>
      <c r="N1520" s="74"/>
      <c r="O1520" s="81" t="s">
        <v>693</v>
      </c>
      <c r="P1520" s="83">
        <v>44466.33048611111</v>
      </c>
      <c r="Q1520" s="81" t="s">
        <v>868</v>
      </c>
      <c r="R1520" s="81"/>
      <c r="S1520" s="81"/>
      <c r="T1520" s="86" t="s">
        <v>972</v>
      </c>
      <c r="U1520" s="84" t="str">
        <f>HYPERLINK("https://pbs.twimg.com/media/FARq0TBVUAYl272.jpg")</f>
        <v>https://pbs.twimg.com/media/FARq0TBVUAYl272.jpg</v>
      </c>
      <c r="V1520" s="84" t="str">
        <f>HYPERLINK("https://pbs.twimg.com/media/FARq0TBVUAYl272.jpg")</f>
        <v>https://pbs.twimg.com/media/FARq0TBVUAYl272.jpg</v>
      </c>
      <c r="W1520" s="83">
        <v>44466.33048611111</v>
      </c>
      <c r="X1520" s="89">
        <v>44466</v>
      </c>
      <c r="Y1520" s="86" t="s">
        <v>1404</v>
      </c>
      <c r="Z1520" s="84" t="str">
        <f>HYPERLINK("https://twitter.com/xoicedteaa/status/1442397574913138691")</f>
        <v>https://twitter.com/xoicedteaa/status/1442397574913138691</v>
      </c>
      <c r="AA1520" s="81"/>
      <c r="AB1520" s="81"/>
      <c r="AC1520" s="86" t="s">
        <v>1902</v>
      </c>
      <c r="AD1520" s="81"/>
      <c r="AE1520" s="81" t="b">
        <v>0</v>
      </c>
      <c r="AF1520" s="81">
        <v>0</v>
      </c>
      <c r="AG1520" s="86" t="s">
        <v>2084</v>
      </c>
      <c r="AH1520" s="81" t="b">
        <v>0</v>
      </c>
      <c r="AI1520" s="81" t="s">
        <v>2168</v>
      </c>
      <c r="AJ1520" s="81"/>
      <c r="AK1520" s="86" t="s">
        <v>2084</v>
      </c>
      <c r="AL1520" s="81" t="b">
        <v>0</v>
      </c>
      <c r="AM1520" s="81">
        <v>9</v>
      </c>
      <c r="AN1520" s="86" t="s">
        <v>1997</v>
      </c>
      <c r="AO1520" s="86" t="s">
        <v>2178</v>
      </c>
      <c r="AP1520" s="81" t="b">
        <v>0</v>
      </c>
      <c r="AQ1520" s="86" t="s">
        <v>1997</v>
      </c>
      <c r="AR1520" s="81" t="s">
        <v>179</v>
      </c>
      <c r="AS1520" s="81">
        <v>0</v>
      </c>
      <c r="AT1520" s="81">
        <v>0</v>
      </c>
      <c r="AU1520" s="81"/>
      <c r="AV1520" s="81"/>
      <c r="AW1520" s="81"/>
      <c r="AX1520" s="81"/>
      <c r="AY1520" s="81"/>
      <c r="AZ1520" s="81"/>
      <c r="BA1520" s="81"/>
      <c r="BB1520" s="81"/>
    </row>
    <row r="1521" spans="1:54" x14ac:dyDescent="0.35">
      <c r="A1521" s="66" t="s">
        <v>4786</v>
      </c>
      <c r="B1521" s="66" t="s">
        <v>4786</v>
      </c>
      <c r="C1521" s="67"/>
      <c r="D1521" s="68"/>
      <c r="E1521" s="69"/>
      <c r="F1521" s="70"/>
      <c r="G1521" s="67"/>
      <c r="H1521" s="71"/>
      <c r="I1521" s="72"/>
      <c r="J1521" s="72"/>
      <c r="K1521" s="36"/>
      <c r="L1521" s="79"/>
      <c r="M1521" s="79"/>
      <c r="N1521" s="74"/>
      <c r="O1521" s="81" t="s">
        <v>179</v>
      </c>
      <c r="P1521" s="83">
        <v>44461.361886574072</v>
      </c>
      <c r="Q1521" s="84" t="str">
        <f>HYPERLINK("https://t.co/kTMzpxBQpA")</f>
        <v>https://t.co/kTMzpxBQpA</v>
      </c>
      <c r="R1521" s="84" t="str">
        <f>HYPERLINK("https://ionline.sapo.pt/artigo/747013/capitulos-pos-autarquicas?seccao=Opiniao_i")</f>
        <v>https://ionline.sapo.pt/artigo/747013/capitulos-pos-autarquicas?seccao=Opiniao_i</v>
      </c>
      <c r="S1521" s="81" t="s">
        <v>5689</v>
      </c>
      <c r="T1521" s="81"/>
      <c r="U1521" s="81"/>
      <c r="V1521" s="84" t="str">
        <f>HYPERLINK("https://pbs.twimg.com/profile_images/1328337773867233282/ETEK9YRT_normal.jpg")</f>
        <v>https://pbs.twimg.com/profile_images/1328337773867233282/ETEK9YRT_normal.jpg</v>
      </c>
      <c r="W1521" s="83">
        <v>44461.361886574072</v>
      </c>
      <c r="X1521" s="89">
        <v>44461</v>
      </c>
      <c r="Y1521" s="86" t="s">
        <v>6429</v>
      </c>
      <c r="Z1521" s="84" t="str">
        <f>HYPERLINK("https://twitter.com/itwitting/status/1440597012836077569")</f>
        <v>https://twitter.com/itwitting/status/1440597012836077569</v>
      </c>
      <c r="AA1521" s="81"/>
      <c r="AB1521" s="81"/>
      <c r="AC1521" s="86" t="s">
        <v>7346</v>
      </c>
      <c r="AD1521" s="81"/>
      <c r="AE1521" s="81" t="b">
        <v>0</v>
      </c>
      <c r="AF1521" s="81">
        <v>0</v>
      </c>
      <c r="AG1521" s="86" t="s">
        <v>2084</v>
      </c>
      <c r="AH1521" s="81" t="b">
        <v>0</v>
      </c>
      <c r="AI1521" s="81" t="s">
        <v>2173</v>
      </c>
      <c r="AJ1521" s="81"/>
      <c r="AK1521" s="86" t="s">
        <v>2084</v>
      </c>
      <c r="AL1521" s="81" t="b">
        <v>0</v>
      </c>
      <c r="AM1521" s="81">
        <v>0</v>
      </c>
      <c r="AN1521" s="86" t="s">
        <v>2084</v>
      </c>
      <c r="AO1521" s="86" t="s">
        <v>7976</v>
      </c>
      <c r="AP1521" s="81" t="b">
        <v>0</v>
      </c>
      <c r="AQ1521" s="86" t="s">
        <v>7346</v>
      </c>
      <c r="AR1521" s="81" t="s">
        <v>179</v>
      </c>
      <c r="AS1521" s="81">
        <v>0</v>
      </c>
      <c r="AT1521" s="81">
        <v>0</v>
      </c>
      <c r="AU1521" s="81"/>
      <c r="AV1521" s="81"/>
      <c r="AW1521" s="81"/>
      <c r="AX1521" s="81"/>
      <c r="AY1521" s="81"/>
      <c r="AZ1521" s="81"/>
      <c r="BA1521" s="81"/>
      <c r="BB1521" s="81"/>
    </row>
    <row r="1522" spans="1:54" x14ac:dyDescent="0.35">
      <c r="A1522" s="66" t="s">
        <v>4786</v>
      </c>
      <c r="B1522" s="66" t="s">
        <v>4786</v>
      </c>
      <c r="C1522" s="67"/>
      <c r="D1522" s="68"/>
      <c r="E1522" s="69"/>
      <c r="F1522" s="70"/>
      <c r="G1522" s="67"/>
      <c r="H1522" s="71"/>
      <c r="I1522" s="72"/>
      <c r="J1522" s="72"/>
      <c r="K1522" s="36"/>
      <c r="L1522" s="79"/>
      <c r="M1522" s="79"/>
      <c r="N1522" s="74"/>
      <c r="O1522" s="81" t="s">
        <v>179</v>
      </c>
      <c r="P1522" s="83">
        <v>44466.330625000002</v>
      </c>
      <c r="Q1522" s="84" t="str">
        <f>HYPERLINK("https://t.co/6s8RTfRxzD")</f>
        <v>https://t.co/6s8RTfRxzD</v>
      </c>
      <c r="R1522" s="84" t="str">
        <f>HYPERLINK("https://ionline.sapo.pt/artigo/747431/-o-pos-pandemia-de-ca-?seccao=Opiniao_i")</f>
        <v>https://ionline.sapo.pt/artigo/747431/-o-pos-pandemia-de-ca-?seccao=Opiniao_i</v>
      </c>
      <c r="S1522" s="81" t="s">
        <v>5689</v>
      </c>
      <c r="T1522" s="81"/>
      <c r="U1522" s="81"/>
      <c r="V1522" s="84" t="str">
        <f>HYPERLINK("https://pbs.twimg.com/profile_images/1328337773867233282/ETEK9YRT_normal.jpg")</f>
        <v>https://pbs.twimg.com/profile_images/1328337773867233282/ETEK9YRT_normal.jpg</v>
      </c>
      <c r="W1522" s="83">
        <v>44466.330625000002</v>
      </c>
      <c r="X1522" s="89">
        <v>44466</v>
      </c>
      <c r="Y1522" s="86" t="s">
        <v>6430</v>
      </c>
      <c r="Z1522" s="84" t="str">
        <f>HYPERLINK("https://twitter.com/itwitting/status/1442397622497595393")</f>
        <v>https://twitter.com/itwitting/status/1442397622497595393</v>
      </c>
      <c r="AA1522" s="81"/>
      <c r="AB1522" s="81"/>
      <c r="AC1522" s="86" t="s">
        <v>7347</v>
      </c>
      <c r="AD1522" s="81"/>
      <c r="AE1522" s="81" t="b">
        <v>0</v>
      </c>
      <c r="AF1522" s="81">
        <v>0</v>
      </c>
      <c r="AG1522" s="86" t="s">
        <v>2084</v>
      </c>
      <c r="AH1522" s="81" t="b">
        <v>0</v>
      </c>
      <c r="AI1522" s="81" t="s">
        <v>2173</v>
      </c>
      <c r="AJ1522" s="81"/>
      <c r="AK1522" s="86" t="s">
        <v>2084</v>
      </c>
      <c r="AL1522" s="81" t="b">
        <v>0</v>
      </c>
      <c r="AM1522" s="81">
        <v>0</v>
      </c>
      <c r="AN1522" s="86" t="s">
        <v>2084</v>
      </c>
      <c r="AO1522" s="86" t="s">
        <v>7976</v>
      </c>
      <c r="AP1522" s="81" t="b">
        <v>0</v>
      </c>
      <c r="AQ1522" s="86" t="s">
        <v>7347</v>
      </c>
      <c r="AR1522" s="81" t="s">
        <v>179</v>
      </c>
      <c r="AS1522" s="81">
        <v>0</v>
      </c>
      <c r="AT1522" s="81">
        <v>0</v>
      </c>
      <c r="AU1522" s="81"/>
      <c r="AV1522" s="81"/>
      <c r="AW1522" s="81"/>
      <c r="AX1522" s="81"/>
      <c r="AY1522" s="81"/>
      <c r="AZ1522" s="81"/>
      <c r="BA1522" s="81"/>
      <c r="BB1522" s="81"/>
    </row>
    <row r="1523" spans="1:54" x14ac:dyDescent="0.35">
      <c r="A1523" s="66" t="s">
        <v>527</v>
      </c>
      <c r="B1523" s="66" t="s">
        <v>592</v>
      </c>
      <c r="C1523" s="67"/>
      <c r="D1523" s="68"/>
      <c r="E1523" s="69"/>
      <c r="F1523" s="70"/>
      <c r="G1523" s="67"/>
      <c r="H1523" s="71"/>
      <c r="I1523" s="72"/>
      <c r="J1523" s="72"/>
      <c r="K1523" s="36"/>
      <c r="L1523" s="79"/>
      <c r="M1523" s="79"/>
      <c r="N1523" s="74"/>
      <c r="O1523" s="81" t="s">
        <v>693</v>
      </c>
      <c r="P1523" s="83">
        <v>44466.33153935185</v>
      </c>
      <c r="Q1523" s="81" t="s">
        <v>868</v>
      </c>
      <c r="R1523" s="81"/>
      <c r="S1523" s="81"/>
      <c r="T1523" s="86" t="s">
        <v>972</v>
      </c>
      <c r="U1523" s="84" t="str">
        <f>HYPERLINK("https://pbs.twimg.com/media/FARq0TBVUAYl272.jpg")</f>
        <v>https://pbs.twimg.com/media/FARq0TBVUAYl272.jpg</v>
      </c>
      <c r="V1523" s="84" t="str">
        <f>HYPERLINK("https://pbs.twimg.com/media/FARq0TBVUAYl272.jpg")</f>
        <v>https://pbs.twimg.com/media/FARq0TBVUAYl272.jpg</v>
      </c>
      <c r="W1523" s="83">
        <v>44466.33153935185</v>
      </c>
      <c r="X1523" s="89">
        <v>44466</v>
      </c>
      <c r="Y1523" s="86" t="s">
        <v>1405</v>
      </c>
      <c r="Z1523" s="84" t="str">
        <f>HYPERLINK("https://twitter.com/knowleebb/status/1442397953667203079")</f>
        <v>https://twitter.com/knowleebb/status/1442397953667203079</v>
      </c>
      <c r="AA1523" s="81"/>
      <c r="AB1523" s="81"/>
      <c r="AC1523" s="86" t="s">
        <v>1903</v>
      </c>
      <c r="AD1523" s="81"/>
      <c r="AE1523" s="81" t="b">
        <v>0</v>
      </c>
      <c r="AF1523" s="81">
        <v>0</v>
      </c>
      <c r="AG1523" s="86" t="s">
        <v>2084</v>
      </c>
      <c r="AH1523" s="81" t="b">
        <v>0</v>
      </c>
      <c r="AI1523" s="81" t="s">
        <v>2168</v>
      </c>
      <c r="AJ1523" s="81"/>
      <c r="AK1523" s="86" t="s">
        <v>2084</v>
      </c>
      <c r="AL1523" s="81" t="b">
        <v>0</v>
      </c>
      <c r="AM1523" s="81">
        <v>9</v>
      </c>
      <c r="AN1523" s="86" t="s">
        <v>1997</v>
      </c>
      <c r="AO1523" s="86" t="s">
        <v>2179</v>
      </c>
      <c r="AP1523" s="81" t="b">
        <v>0</v>
      </c>
      <c r="AQ1523" s="86" t="s">
        <v>1997</v>
      </c>
      <c r="AR1523" s="81" t="s">
        <v>179</v>
      </c>
      <c r="AS1523" s="81">
        <v>0</v>
      </c>
      <c r="AT1523" s="81">
        <v>0</v>
      </c>
      <c r="AU1523" s="81"/>
      <c r="AV1523" s="81"/>
      <c r="AW1523" s="81"/>
      <c r="AX1523" s="81"/>
      <c r="AY1523" s="81"/>
      <c r="AZ1523" s="81"/>
      <c r="BA1523" s="81"/>
      <c r="BB1523" s="81"/>
    </row>
    <row r="1524" spans="1:54" x14ac:dyDescent="0.35">
      <c r="A1524" s="66" t="s">
        <v>4787</v>
      </c>
      <c r="B1524" s="66" t="s">
        <v>599</v>
      </c>
      <c r="C1524" s="67"/>
      <c r="D1524" s="68"/>
      <c r="E1524" s="69"/>
      <c r="F1524" s="70"/>
      <c r="G1524" s="67"/>
      <c r="H1524" s="71"/>
      <c r="I1524" s="72"/>
      <c r="J1524" s="72"/>
      <c r="K1524" s="36"/>
      <c r="L1524" s="79"/>
      <c r="M1524" s="79"/>
      <c r="N1524" s="74"/>
      <c r="O1524" s="81" t="s">
        <v>696</v>
      </c>
      <c r="P1524" s="83">
        <v>44466.331724537034</v>
      </c>
      <c r="Q1524" s="81" t="s">
        <v>5541</v>
      </c>
      <c r="R1524" s="81"/>
      <c r="S1524" s="81"/>
      <c r="T1524" s="81"/>
      <c r="U1524" s="81"/>
      <c r="V1524" s="84" t="str">
        <f>HYPERLINK("https://abs.twimg.com/sticky/default_profile_images/default_profile_normal.png")</f>
        <v>https://abs.twimg.com/sticky/default_profile_images/default_profile_normal.png</v>
      </c>
      <c r="W1524" s="83">
        <v>44466.331724537034</v>
      </c>
      <c r="X1524" s="89">
        <v>44466</v>
      </c>
      <c r="Y1524" s="86" t="s">
        <v>6431</v>
      </c>
      <c r="Z1524" s="84" t="str">
        <f>HYPERLINK("https://twitter.com/eabpen/status/1442398022596317189")</f>
        <v>https://twitter.com/eabpen/status/1442398022596317189</v>
      </c>
      <c r="AA1524" s="81"/>
      <c r="AB1524" s="81"/>
      <c r="AC1524" s="86" t="s">
        <v>7348</v>
      </c>
      <c r="AD1524" s="81"/>
      <c r="AE1524" s="81" t="b">
        <v>0</v>
      </c>
      <c r="AF1524" s="81">
        <v>0</v>
      </c>
      <c r="AG1524" s="86" t="s">
        <v>2084</v>
      </c>
      <c r="AH1524" s="81" t="b">
        <v>0</v>
      </c>
      <c r="AI1524" s="81" t="s">
        <v>2167</v>
      </c>
      <c r="AJ1524" s="81"/>
      <c r="AK1524" s="86" t="s">
        <v>2084</v>
      </c>
      <c r="AL1524" s="81" t="b">
        <v>0</v>
      </c>
      <c r="AM1524" s="81">
        <v>0</v>
      </c>
      <c r="AN1524" s="86" t="s">
        <v>2084</v>
      </c>
      <c r="AO1524" s="86" t="s">
        <v>2178</v>
      </c>
      <c r="AP1524" s="81" t="b">
        <v>0</v>
      </c>
      <c r="AQ1524" s="86" t="s">
        <v>7348</v>
      </c>
      <c r="AR1524" s="81" t="s">
        <v>179</v>
      </c>
      <c r="AS1524" s="81">
        <v>0</v>
      </c>
      <c r="AT1524" s="81">
        <v>0</v>
      </c>
      <c r="AU1524" s="81"/>
      <c r="AV1524" s="81"/>
      <c r="AW1524" s="81"/>
      <c r="AX1524" s="81"/>
      <c r="AY1524" s="81"/>
      <c r="AZ1524" s="81"/>
      <c r="BA1524" s="81"/>
      <c r="BB1524" s="81"/>
    </row>
    <row r="1525" spans="1:54" x14ac:dyDescent="0.35">
      <c r="A1525" s="66" t="s">
        <v>528</v>
      </c>
      <c r="B1525" s="66" t="s">
        <v>592</v>
      </c>
      <c r="C1525" s="67"/>
      <c r="D1525" s="68"/>
      <c r="E1525" s="69"/>
      <c r="F1525" s="70"/>
      <c r="G1525" s="67"/>
      <c r="H1525" s="71"/>
      <c r="I1525" s="72"/>
      <c r="J1525" s="72"/>
      <c r="K1525" s="36"/>
      <c r="L1525" s="79"/>
      <c r="M1525" s="79"/>
      <c r="N1525" s="74"/>
      <c r="O1525" s="81" t="s">
        <v>693</v>
      </c>
      <c r="P1525" s="83">
        <v>44461.347719907404</v>
      </c>
      <c r="Q1525" s="81" t="s">
        <v>741</v>
      </c>
      <c r="R1525" s="81"/>
      <c r="S1525" s="81"/>
      <c r="T1525" s="86" t="s">
        <v>972</v>
      </c>
      <c r="U1525" s="84" t="str">
        <f>HYPERLINK("https://pbs.twimg.com/media/E_38CFLVkAAf4fL.jpg")</f>
        <v>https://pbs.twimg.com/media/E_38CFLVkAAf4fL.jpg</v>
      </c>
      <c r="V1525" s="84" t="str">
        <f>HYPERLINK("https://pbs.twimg.com/media/E_38CFLVkAAf4fL.jpg")</f>
        <v>https://pbs.twimg.com/media/E_38CFLVkAAf4fL.jpg</v>
      </c>
      <c r="W1525" s="83">
        <v>44461.347719907404</v>
      </c>
      <c r="X1525" s="89">
        <v>44461</v>
      </c>
      <c r="Y1525" s="86" t="s">
        <v>1406</v>
      </c>
      <c r="Z1525" s="84" t="str">
        <f>HYPERLINK("https://twitter.com/anshaeyn/status/1440591879477751815")</f>
        <v>https://twitter.com/anshaeyn/status/1440591879477751815</v>
      </c>
      <c r="AA1525" s="81"/>
      <c r="AB1525" s="81"/>
      <c r="AC1525" s="86" t="s">
        <v>1904</v>
      </c>
      <c r="AD1525" s="81"/>
      <c r="AE1525" s="81" t="b">
        <v>0</v>
      </c>
      <c r="AF1525" s="81">
        <v>0</v>
      </c>
      <c r="AG1525" s="86" t="s">
        <v>2084</v>
      </c>
      <c r="AH1525" s="81" t="b">
        <v>0</v>
      </c>
      <c r="AI1525" s="81" t="s">
        <v>2168</v>
      </c>
      <c r="AJ1525" s="81"/>
      <c r="AK1525" s="86" t="s">
        <v>2084</v>
      </c>
      <c r="AL1525" s="81" t="b">
        <v>0</v>
      </c>
      <c r="AM1525" s="81">
        <v>25</v>
      </c>
      <c r="AN1525" s="86" t="s">
        <v>1996</v>
      </c>
      <c r="AO1525" s="86" t="s">
        <v>2178</v>
      </c>
      <c r="AP1525" s="81" t="b">
        <v>0</v>
      </c>
      <c r="AQ1525" s="86" t="s">
        <v>1996</v>
      </c>
      <c r="AR1525" s="81" t="s">
        <v>179</v>
      </c>
      <c r="AS1525" s="81">
        <v>0</v>
      </c>
      <c r="AT1525" s="81">
        <v>0</v>
      </c>
      <c r="AU1525" s="81"/>
      <c r="AV1525" s="81"/>
      <c r="AW1525" s="81"/>
      <c r="AX1525" s="81"/>
      <c r="AY1525" s="81"/>
      <c r="AZ1525" s="81"/>
      <c r="BA1525" s="81"/>
      <c r="BB1525" s="81"/>
    </row>
    <row r="1526" spans="1:54" x14ac:dyDescent="0.35">
      <c r="A1526" s="66" t="s">
        <v>528</v>
      </c>
      <c r="B1526" s="66" t="s">
        <v>592</v>
      </c>
      <c r="C1526" s="67"/>
      <c r="D1526" s="68"/>
      <c r="E1526" s="69"/>
      <c r="F1526" s="70"/>
      <c r="G1526" s="67"/>
      <c r="H1526" s="71"/>
      <c r="I1526" s="72"/>
      <c r="J1526" s="72"/>
      <c r="K1526" s="36"/>
      <c r="L1526" s="79"/>
      <c r="M1526" s="79"/>
      <c r="N1526" s="74"/>
      <c r="O1526" s="81" t="s">
        <v>693</v>
      </c>
      <c r="P1526" s="83">
        <v>44466.336342592593</v>
      </c>
      <c r="Q1526" s="81" t="s">
        <v>868</v>
      </c>
      <c r="R1526" s="81"/>
      <c r="S1526" s="81"/>
      <c r="T1526" s="86" t="s">
        <v>972</v>
      </c>
      <c r="U1526" s="84" t="str">
        <f>HYPERLINK("https://pbs.twimg.com/media/FARq0TBVUAYl272.jpg")</f>
        <v>https://pbs.twimg.com/media/FARq0TBVUAYl272.jpg</v>
      </c>
      <c r="V1526" s="84" t="str">
        <f>HYPERLINK("https://pbs.twimg.com/media/FARq0TBVUAYl272.jpg")</f>
        <v>https://pbs.twimg.com/media/FARq0TBVUAYl272.jpg</v>
      </c>
      <c r="W1526" s="83">
        <v>44466.336342592593</v>
      </c>
      <c r="X1526" s="89">
        <v>44466</v>
      </c>
      <c r="Y1526" s="86" t="s">
        <v>1407</v>
      </c>
      <c r="Z1526" s="84" t="str">
        <f>HYPERLINK("https://twitter.com/anshaeyn/status/1442399696492785669")</f>
        <v>https://twitter.com/anshaeyn/status/1442399696492785669</v>
      </c>
      <c r="AA1526" s="81"/>
      <c r="AB1526" s="81"/>
      <c r="AC1526" s="86" t="s">
        <v>1905</v>
      </c>
      <c r="AD1526" s="81"/>
      <c r="AE1526" s="81" t="b">
        <v>0</v>
      </c>
      <c r="AF1526" s="81">
        <v>0</v>
      </c>
      <c r="AG1526" s="86" t="s">
        <v>2084</v>
      </c>
      <c r="AH1526" s="81" t="b">
        <v>0</v>
      </c>
      <c r="AI1526" s="81" t="s">
        <v>2168</v>
      </c>
      <c r="AJ1526" s="81"/>
      <c r="AK1526" s="86" t="s">
        <v>2084</v>
      </c>
      <c r="AL1526" s="81" t="b">
        <v>0</v>
      </c>
      <c r="AM1526" s="81">
        <v>9</v>
      </c>
      <c r="AN1526" s="86" t="s">
        <v>1997</v>
      </c>
      <c r="AO1526" s="86" t="s">
        <v>2178</v>
      </c>
      <c r="AP1526" s="81" t="b">
        <v>0</v>
      </c>
      <c r="AQ1526" s="86" t="s">
        <v>1997</v>
      </c>
      <c r="AR1526" s="81" t="s">
        <v>179</v>
      </c>
      <c r="AS1526" s="81">
        <v>0</v>
      </c>
      <c r="AT1526" s="81">
        <v>0</v>
      </c>
      <c r="AU1526" s="81"/>
      <c r="AV1526" s="81"/>
      <c r="AW1526" s="81"/>
      <c r="AX1526" s="81"/>
      <c r="AY1526" s="81"/>
      <c r="AZ1526" s="81"/>
      <c r="BA1526" s="81"/>
      <c r="BB1526" s="81"/>
    </row>
    <row r="1527" spans="1:54" x14ac:dyDescent="0.35">
      <c r="A1527" s="66" t="s">
        <v>529</v>
      </c>
      <c r="B1527" s="66" t="s">
        <v>529</v>
      </c>
      <c r="C1527" s="67"/>
      <c r="D1527" s="68"/>
      <c r="E1527" s="69"/>
      <c r="F1527" s="70"/>
      <c r="G1527" s="67"/>
      <c r="H1527" s="71"/>
      <c r="I1527" s="72"/>
      <c r="J1527" s="72"/>
      <c r="K1527" s="36"/>
      <c r="L1527" s="79"/>
      <c r="M1527" s="79"/>
      <c r="N1527" s="74"/>
      <c r="O1527" s="81" t="s">
        <v>179</v>
      </c>
      <c r="P1527" s="83">
        <v>44466.320833333331</v>
      </c>
      <c r="Q1527" s="81" t="s">
        <v>869</v>
      </c>
      <c r="R1527" s="81"/>
      <c r="S1527" s="81"/>
      <c r="T1527" s="81"/>
      <c r="U1527" s="84" t="str">
        <f>HYPERLINK("https://pbs.twimg.com/media/FARpwtpUYAI3nAS.jpg")</f>
        <v>https://pbs.twimg.com/media/FARpwtpUYAI3nAS.jpg</v>
      </c>
      <c r="V1527" s="84" t="str">
        <f>HYPERLINK("https://pbs.twimg.com/media/FARpwtpUYAI3nAS.jpg")</f>
        <v>https://pbs.twimg.com/media/FARpwtpUYAI3nAS.jpg</v>
      </c>
      <c r="W1527" s="83">
        <v>44466.320833333331</v>
      </c>
      <c r="X1527" s="89">
        <v>44466</v>
      </c>
      <c r="Y1527" s="86" t="s">
        <v>1408</v>
      </c>
      <c r="Z1527" s="84" t="str">
        <f>HYPERLINK("https://twitter.com/bandung_goid/status/1442394075714375684")</f>
        <v>https://twitter.com/bandung_goid/status/1442394075714375684</v>
      </c>
      <c r="AA1527" s="81"/>
      <c r="AB1527" s="81"/>
      <c r="AC1527" s="86" t="s">
        <v>1906</v>
      </c>
      <c r="AD1527" s="86" t="s">
        <v>2074</v>
      </c>
      <c r="AE1527" s="81" t="b">
        <v>0</v>
      </c>
      <c r="AF1527" s="81">
        <v>0</v>
      </c>
      <c r="AG1527" s="86" t="s">
        <v>2155</v>
      </c>
      <c r="AH1527" s="81" t="b">
        <v>0</v>
      </c>
      <c r="AI1527" s="81" t="s">
        <v>2167</v>
      </c>
      <c r="AJ1527" s="81"/>
      <c r="AK1527" s="86" t="s">
        <v>2084</v>
      </c>
      <c r="AL1527" s="81" t="b">
        <v>0</v>
      </c>
      <c r="AM1527" s="81">
        <v>1</v>
      </c>
      <c r="AN1527" s="86" t="s">
        <v>2084</v>
      </c>
      <c r="AO1527" s="86" t="s">
        <v>2179</v>
      </c>
      <c r="AP1527" s="81" t="b">
        <v>0</v>
      </c>
      <c r="AQ1527" s="86" t="s">
        <v>2074</v>
      </c>
      <c r="AR1527" s="81" t="s">
        <v>179</v>
      </c>
      <c r="AS1527" s="81">
        <v>0</v>
      </c>
      <c r="AT1527" s="81">
        <v>0</v>
      </c>
      <c r="AU1527" s="81"/>
      <c r="AV1527" s="81"/>
      <c r="AW1527" s="81"/>
      <c r="AX1527" s="81"/>
      <c r="AY1527" s="81"/>
      <c r="AZ1527" s="81"/>
      <c r="BA1527" s="81"/>
      <c r="BB1527" s="81"/>
    </row>
    <row r="1528" spans="1:54" x14ac:dyDescent="0.35">
      <c r="A1528" s="66" t="s">
        <v>530</v>
      </c>
      <c r="B1528" s="66" t="s">
        <v>529</v>
      </c>
      <c r="C1528" s="67"/>
      <c r="D1528" s="68"/>
      <c r="E1528" s="69"/>
      <c r="F1528" s="70"/>
      <c r="G1528" s="67"/>
      <c r="H1528" s="71"/>
      <c r="I1528" s="72"/>
      <c r="J1528" s="72"/>
      <c r="K1528" s="36"/>
      <c r="L1528" s="79"/>
      <c r="M1528" s="79"/>
      <c r="N1528" s="74"/>
      <c r="O1528" s="81" t="s">
        <v>693</v>
      </c>
      <c r="P1528" s="83">
        <v>44466.337546296294</v>
      </c>
      <c r="Q1528" s="81" t="s">
        <v>869</v>
      </c>
      <c r="R1528" s="81"/>
      <c r="S1528" s="81"/>
      <c r="T1528" s="81"/>
      <c r="U1528" s="84" t="str">
        <f>HYPERLINK("https://pbs.twimg.com/media/FARpwtpUYAI3nAS.jpg")</f>
        <v>https://pbs.twimg.com/media/FARpwtpUYAI3nAS.jpg</v>
      </c>
      <c r="V1528" s="84" t="str">
        <f>HYPERLINK("https://pbs.twimg.com/media/FARpwtpUYAI3nAS.jpg")</f>
        <v>https://pbs.twimg.com/media/FARpwtpUYAI3nAS.jpg</v>
      </c>
      <c r="W1528" s="83">
        <v>44466.337546296294</v>
      </c>
      <c r="X1528" s="89">
        <v>44466</v>
      </c>
      <c r="Y1528" s="86" t="s">
        <v>1409</v>
      </c>
      <c r="Z1528" s="84" t="str">
        <f>HYPERLINK("https://twitter.com/seputaran_bdg/status/1442400132834594818")</f>
        <v>https://twitter.com/seputaran_bdg/status/1442400132834594818</v>
      </c>
      <c r="AA1528" s="81"/>
      <c r="AB1528" s="81"/>
      <c r="AC1528" s="86" t="s">
        <v>1907</v>
      </c>
      <c r="AD1528" s="81"/>
      <c r="AE1528" s="81" t="b">
        <v>0</v>
      </c>
      <c r="AF1528" s="81">
        <v>0</v>
      </c>
      <c r="AG1528" s="86" t="s">
        <v>2084</v>
      </c>
      <c r="AH1528" s="81" t="b">
        <v>0</v>
      </c>
      <c r="AI1528" s="81" t="s">
        <v>2167</v>
      </c>
      <c r="AJ1528" s="81"/>
      <c r="AK1528" s="86" t="s">
        <v>2084</v>
      </c>
      <c r="AL1528" s="81" t="b">
        <v>0</v>
      </c>
      <c r="AM1528" s="81">
        <v>1</v>
      </c>
      <c r="AN1528" s="86" t="s">
        <v>1906</v>
      </c>
      <c r="AO1528" s="86" t="s">
        <v>2178</v>
      </c>
      <c r="AP1528" s="81" t="b">
        <v>0</v>
      </c>
      <c r="AQ1528" s="86" t="s">
        <v>1906</v>
      </c>
      <c r="AR1528" s="81" t="s">
        <v>179</v>
      </c>
      <c r="AS1528" s="81">
        <v>0</v>
      </c>
      <c r="AT1528" s="81">
        <v>0</v>
      </c>
      <c r="AU1528" s="81"/>
      <c r="AV1528" s="81"/>
      <c r="AW1528" s="81"/>
      <c r="AX1528" s="81"/>
      <c r="AY1528" s="81"/>
      <c r="AZ1528" s="81"/>
      <c r="BA1528" s="81"/>
      <c r="BB1528" s="81"/>
    </row>
    <row r="1529" spans="1:54" x14ac:dyDescent="0.35">
      <c r="A1529" s="66" t="s">
        <v>531</v>
      </c>
      <c r="B1529" s="66" t="s">
        <v>531</v>
      </c>
      <c r="C1529" s="67"/>
      <c r="D1529" s="68"/>
      <c r="E1529" s="69"/>
      <c r="F1529" s="70"/>
      <c r="G1529" s="67"/>
      <c r="H1529" s="71"/>
      <c r="I1529" s="72"/>
      <c r="J1529" s="72"/>
      <c r="K1529" s="36"/>
      <c r="L1529" s="79"/>
      <c r="M1529" s="79"/>
      <c r="N1529" s="74"/>
      <c r="O1529" s="81" t="s">
        <v>179</v>
      </c>
      <c r="P1529" s="83">
        <v>44466.345925925925</v>
      </c>
      <c r="Q1529" s="81" t="s">
        <v>870</v>
      </c>
      <c r="R1529" s="81"/>
      <c r="S1529" s="81"/>
      <c r="T1529" s="86" t="s">
        <v>994</v>
      </c>
      <c r="U1529" s="84" t="str">
        <f>HYPERLINK("https://pbs.twimg.com/media/FARxKZVXEAEKSig.jpg")</f>
        <v>https://pbs.twimg.com/media/FARxKZVXEAEKSig.jpg</v>
      </c>
      <c r="V1529" s="84" t="str">
        <f>HYPERLINK("https://pbs.twimg.com/media/FARxKZVXEAEKSig.jpg")</f>
        <v>https://pbs.twimg.com/media/FARxKZVXEAEKSig.jpg</v>
      </c>
      <c r="W1529" s="83">
        <v>44466.345925925925</v>
      </c>
      <c r="X1529" s="89">
        <v>44466</v>
      </c>
      <c r="Y1529" s="86" t="s">
        <v>1410</v>
      </c>
      <c r="Z1529" s="84" t="str">
        <f>HYPERLINK("https://twitter.com/orangekampus/status/1442403167837241345")</f>
        <v>https://twitter.com/orangekampus/status/1442403167837241345</v>
      </c>
      <c r="AA1529" s="81"/>
      <c r="AB1529" s="81"/>
      <c r="AC1529" s="86" t="s">
        <v>1908</v>
      </c>
      <c r="AD1529" s="81"/>
      <c r="AE1529" s="81" t="b">
        <v>0</v>
      </c>
      <c r="AF1529" s="81">
        <v>1</v>
      </c>
      <c r="AG1529" s="86" t="s">
        <v>2084</v>
      </c>
      <c r="AH1529" s="81" t="b">
        <v>0</v>
      </c>
      <c r="AI1529" s="81" t="s">
        <v>2167</v>
      </c>
      <c r="AJ1529" s="81"/>
      <c r="AK1529" s="86" t="s">
        <v>2084</v>
      </c>
      <c r="AL1529" s="81" t="b">
        <v>0</v>
      </c>
      <c r="AM1529" s="81">
        <v>0</v>
      </c>
      <c r="AN1529" s="86" t="s">
        <v>2084</v>
      </c>
      <c r="AO1529" s="86" t="s">
        <v>2181</v>
      </c>
      <c r="AP1529" s="81" t="b">
        <v>0</v>
      </c>
      <c r="AQ1529" s="86" t="s">
        <v>1908</v>
      </c>
      <c r="AR1529" s="81" t="s">
        <v>179</v>
      </c>
      <c r="AS1529" s="81">
        <v>0</v>
      </c>
      <c r="AT1529" s="81">
        <v>0</v>
      </c>
      <c r="AU1529" s="81"/>
      <c r="AV1529" s="81"/>
      <c r="AW1529" s="81"/>
      <c r="AX1529" s="81"/>
      <c r="AY1529" s="81"/>
      <c r="AZ1529" s="81"/>
      <c r="BA1529" s="81"/>
      <c r="BB1529" s="81"/>
    </row>
    <row r="1530" spans="1:54" x14ac:dyDescent="0.35">
      <c r="A1530" s="66" t="s">
        <v>532</v>
      </c>
      <c r="B1530" s="66" t="s">
        <v>592</v>
      </c>
      <c r="C1530" s="67"/>
      <c r="D1530" s="68"/>
      <c r="E1530" s="69"/>
      <c r="F1530" s="70"/>
      <c r="G1530" s="67"/>
      <c r="H1530" s="71"/>
      <c r="I1530" s="72"/>
      <c r="J1530" s="72"/>
      <c r="K1530" s="36"/>
      <c r="L1530" s="79"/>
      <c r="M1530" s="79"/>
      <c r="N1530" s="74"/>
      <c r="O1530" s="81" t="s">
        <v>693</v>
      </c>
      <c r="P1530" s="83">
        <v>44466.349050925928</v>
      </c>
      <c r="Q1530" s="81" t="s">
        <v>868</v>
      </c>
      <c r="R1530" s="81"/>
      <c r="S1530" s="81"/>
      <c r="T1530" s="86" t="s">
        <v>972</v>
      </c>
      <c r="U1530" s="84" t="str">
        <f>HYPERLINK("https://pbs.twimg.com/media/FARq0TBVUAYl272.jpg")</f>
        <v>https://pbs.twimg.com/media/FARq0TBVUAYl272.jpg</v>
      </c>
      <c r="V1530" s="84" t="str">
        <f>HYPERLINK("https://pbs.twimg.com/media/FARq0TBVUAYl272.jpg")</f>
        <v>https://pbs.twimg.com/media/FARq0TBVUAYl272.jpg</v>
      </c>
      <c r="W1530" s="83">
        <v>44466.349050925928</v>
      </c>
      <c r="X1530" s="89">
        <v>44466</v>
      </c>
      <c r="Y1530" s="86" t="s">
        <v>1411</v>
      </c>
      <c r="Z1530" s="84" t="str">
        <f>HYPERLINK("https://twitter.com/linomeow_8/status/1442404299640688645")</f>
        <v>https://twitter.com/linomeow_8/status/1442404299640688645</v>
      </c>
      <c r="AA1530" s="81"/>
      <c r="AB1530" s="81"/>
      <c r="AC1530" s="86" t="s">
        <v>1909</v>
      </c>
      <c r="AD1530" s="81"/>
      <c r="AE1530" s="81" t="b">
        <v>0</v>
      </c>
      <c r="AF1530" s="81">
        <v>0</v>
      </c>
      <c r="AG1530" s="86" t="s">
        <v>2084</v>
      </c>
      <c r="AH1530" s="81" t="b">
        <v>0</v>
      </c>
      <c r="AI1530" s="81" t="s">
        <v>2168</v>
      </c>
      <c r="AJ1530" s="81"/>
      <c r="AK1530" s="86" t="s">
        <v>2084</v>
      </c>
      <c r="AL1530" s="81" t="b">
        <v>0</v>
      </c>
      <c r="AM1530" s="81">
        <v>9</v>
      </c>
      <c r="AN1530" s="86" t="s">
        <v>1997</v>
      </c>
      <c r="AO1530" s="86" t="s">
        <v>2179</v>
      </c>
      <c r="AP1530" s="81" t="b">
        <v>0</v>
      </c>
      <c r="AQ1530" s="86" t="s">
        <v>1997</v>
      </c>
      <c r="AR1530" s="81" t="s">
        <v>179</v>
      </c>
      <c r="AS1530" s="81">
        <v>0</v>
      </c>
      <c r="AT1530" s="81">
        <v>0</v>
      </c>
      <c r="AU1530" s="81"/>
      <c r="AV1530" s="81"/>
      <c r="AW1530" s="81"/>
      <c r="AX1530" s="81"/>
      <c r="AY1530" s="81"/>
      <c r="AZ1530" s="81"/>
      <c r="BA1530" s="81"/>
      <c r="BB1530" s="81"/>
    </row>
    <row r="1531" spans="1:54" x14ac:dyDescent="0.35">
      <c r="A1531" s="66" t="s">
        <v>4788</v>
      </c>
      <c r="B1531" s="66" t="s">
        <v>4944</v>
      </c>
      <c r="C1531" s="67"/>
      <c r="D1531" s="68"/>
      <c r="E1531" s="69"/>
      <c r="F1531" s="70"/>
      <c r="G1531" s="67"/>
      <c r="H1531" s="71"/>
      <c r="I1531" s="72"/>
      <c r="J1531" s="72"/>
      <c r="K1531" s="36"/>
      <c r="L1531" s="79"/>
      <c r="M1531" s="79"/>
      <c r="N1531" s="74"/>
      <c r="O1531" s="81" t="s">
        <v>693</v>
      </c>
      <c r="P1531" s="83">
        <v>44466.359756944446</v>
      </c>
      <c r="Q1531" s="81" t="s">
        <v>5505</v>
      </c>
      <c r="R1531" s="81"/>
      <c r="S1531" s="81"/>
      <c r="T1531" s="81"/>
      <c r="U1531" s="81"/>
      <c r="V1531" s="84" t="str">
        <f>HYPERLINK("https://pbs.twimg.com/profile_images/1210693161405894658/a-NnraFt_normal.jpg")</f>
        <v>https://pbs.twimg.com/profile_images/1210693161405894658/a-NnraFt_normal.jpg</v>
      </c>
      <c r="W1531" s="83">
        <v>44466.359756944446</v>
      </c>
      <c r="X1531" s="89">
        <v>44466</v>
      </c>
      <c r="Y1531" s="86" t="s">
        <v>6432</v>
      </c>
      <c r="Z1531" s="84" t="str">
        <f>HYPERLINK("https://twitter.com/driaaventureir1/status/1442408179007049737")</f>
        <v>https://twitter.com/driaaventureir1/status/1442408179007049737</v>
      </c>
      <c r="AA1531" s="81"/>
      <c r="AB1531" s="81"/>
      <c r="AC1531" s="86" t="s">
        <v>7349</v>
      </c>
      <c r="AD1531" s="81"/>
      <c r="AE1531" s="81" t="b">
        <v>0</v>
      </c>
      <c r="AF1531" s="81">
        <v>0</v>
      </c>
      <c r="AG1531" s="86" t="s">
        <v>2084</v>
      </c>
      <c r="AH1531" s="81" t="b">
        <v>0</v>
      </c>
      <c r="AI1531" s="81" t="s">
        <v>2171</v>
      </c>
      <c r="AJ1531" s="81"/>
      <c r="AK1531" s="86" t="s">
        <v>2084</v>
      </c>
      <c r="AL1531" s="81" t="b">
        <v>0</v>
      </c>
      <c r="AM1531" s="81">
        <v>255</v>
      </c>
      <c r="AN1531" s="86" t="s">
        <v>7543</v>
      </c>
      <c r="AO1531" s="86" t="s">
        <v>2178</v>
      </c>
      <c r="AP1531" s="81" t="b">
        <v>0</v>
      </c>
      <c r="AQ1531" s="86" t="s">
        <v>7543</v>
      </c>
      <c r="AR1531" s="81" t="s">
        <v>179</v>
      </c>
      <c r="AS1531" s="81">
        <v>0</v>
      </c>
      <c r="AT1531" s="81">
        <v>0</v>
      </c>
      <c r="AU1531" s="81"/>
      <c r="AV1531" s="81"/>
      <c r="AW1531" s="81"/>
      <c r="AX1531" s="81"/>
      <c r="AY1531" s="81"/>
      <c r="AZ1531" s="81"/>
      <c r="BA1531" s="81"/>
      <c r="BB1531" s="81"/>
    </row>
    <row r="1532" spans="1:54" x14ac:dyDescent="0.35">
      <c r="A1532" s="66" t="s">
        <v>4789</v>
      </c>
      <c r="B1532" s="66" t="s">
        <v>4829</v>
      </c>
      <c r="C1532" s="67"/>
      <c r="D1532" s="68"/>
      <c r="E1532" s="69"/>
      <c r="F1532" s="70"/>
      <c r="G1532" s="67"/>
      <c r="H1532" s="71"/>
      <c r="I1532" s="72"/>
      <c r="J1532" s="72"/>
      <c r="K1532" s="36"/>
      <c r="L1532" s="79"/>
      <c r="M1532" s="79"/>
      <c r="N1532" s="74"/>
      <c r="O1532" s="81" t="s">
        <v>693</v>
      </c>
      <c r="P1532" s="83">
        <v>44466.360717592594</v>
      </c>
      <c r="Q1532" s="81" t="s">
        <v>5532</v>
      </c>
      <c r="R1532" s="84" t="str">
        <f>HYPERLINK("https://www.gov.br/anvisa/pt-br/assuntos/noticias-anvisa/2021/anvisa-alerta-sobre-risco-de-miocardite-e-pericardite-pos-vacinacao")</f>
        <v>https://www.gov.br/anvisa/pt-br/assuntos/noticias-anvisa/2021/anvisa-alerta-sobre-risco-de-miocardite-e-pericardite-pos-vacinacao</v>
      </c>
      <c r="S1532" s="81" t="s">
        <v>5686</v>
      </c>
      <c r="T1532" s="81"/>
      <c r="U1532" s="81"/>
      <c r="V1532" s="84" t="str">
        <f>HYPERLINK("https://pbs.twimg.com/profile_images/1358668898497880064/tNM51_4b_normal.jpg")</f>
        <v>https://pbs.twimg.com/profile_images/1358668898497880064/tNM51_4b_normal.jpg</v>
      </c>
      <c r="W1532" s="83">
        <v>44466.360717592594</v>
      </c>
      <c r="X1532" s="89">
        <v>44466</v>
      </c>
      <c r="Y1532" s="86" t="s">
        <v>6433</v>
      </c>
      <c r="Z1532" s="84" t="str">
        <f>HYPERLINK("https://twitter.com/vanrenaultpsi/status/1442408527356694528")</f>
        <v>https://twitter.com/vanrenaultpsi/status/1442408527356694528</v>
      </c>
      <c r="AA1532" s="81"/>
      <c r="AB1532" s="81"/>
      <c r="AC1532" s="86" t="s">
        <v>7350</v>
      </c>
      <c r="AD1532" s="81"/>
      <c r="AE1532" s="81" t="b">
        <v>0</v>
      </c>
      <c r="AF1532" s="81">
        <v>0</v>
      </c>
      <c r="AG1532" s="86" t="s">
        <v>2084</v>
      </c>
      <c r="AH1532" s="81" t="b">
        <v>0</v>
      </c>
      <c r="AI1532" s="81" t="s">
        <v>2171</v>
      </c>
      <c r="AJ1532" s="81"/>
      <c r="AK1532" s="86" t="s">
        <v>2084</v>
      </c>
      <c r="AL1532" s="81" t="b">
        <v>0</v>
      </c>
      <c r="AM1532" s="81">
        <v>15</v>
      </c>
      <c r="AN1532" s="86" t="s">
        <v>7399</v>
      </c>
      <c r="AO1532" s="86" t="s">
        <v>2181</v>
      </c>
      <c r="AP1532" s="81" t="b">
        <v>0</v>
      </c>
      <c r="AQ1532" s="86" t="s">
        <v>7399</v>
      </c>
      <c r="AR1532" s="81" t="s">
        <v>179</v>
      </c>
      <c r="AS1532" s="81">
        <v>0</v>
      </c>
      <c r="AT1532" s="81">
        <v>0</v>
      </c>
      <c r="AU1532" s="81"/>
      <c r="AV1532" s="81"/>
      <c r="AW1532" s="81"/>
      <c r="AX1532" s="81"/>
      <c r="AY1532" s="81"/>
      <c r="AZ1532" s="81"/>
      <c r="BA1532" s="81"/>
      <c r="BB1532" s="81"/>
    </row>
    <row r="1533" spans="1:54" x14ac:dyDescent="0.35">
      <c r="A1533" s="66" t="s">
        <v>4790</v>
      </c>
      <c r="B1533" s="66" t="s">
        <v>5156</v>
      </c>
      <c r="C1533" s="67"/>
      <c r="D1533" s="68"/>
      <c r="E1533" s="69"/>
      <c r="F1533" s="70"/>
      <c r="G1533" s="67"/>
      <c r="H1533" s="71"/>
      <c r="I1533" s="72"/>
      <c r="J1533" s="72"/>
      <c r="K1533" s="36"/>
      <c r="L1533" s="79"/>
      <c r="M1533" s="79"/>
      <c r="N1533" s="74"/>
      <c r="O1533" s="81" t="s">
        <v>695</v>
      </c>
      <c r="P1533" s="83">
        <v>44466.368379629632</v>
      </c>
      <c r="Q1533" s="81" t="s">
        <v>5542</v>
      </c>
      <c r="R1533" s="81"/>
      <c r="S1533" s="81"/>
      <c r="T1533" s="81"/>
      <c r="U1533" s="81"/>
      <c r="V1533" s="84" t="str">
        <f>HYPERLINK("https://pbs.twimg.com/profile_images/1277802774894428160/S5J-K6V6_normal.jpg")</f>
        <v>https://pbs.twimg.com/profile_images/1277802774894428160/S5J-K6V6_normal.jpg</v>
      </c>
      <c r="W1533" s="83">
        <v>44466.368379629632</v>
      </c>
      <c r="X1533" s="89">
        <v>44466</v>
      </c>
      <c r="Y1533" s="86" t="s">
        <v>6434</v>
      </c>
      <c r="Z1533" s="84" t="str">
        <f>HYPERLINK("https://twitter.com/cristia56019993/status/1442411306393366535")</f>
        <v>https://twitter.com/cristia56019993/status/1442411306393366535</v>
      </c>
      <c r="AA1533" s="81"/>
      <c r="AB1533" s="81"/>
      <c r="AC1533" s="86" t="s">
        <v>7351</v>
      </c>
      <c r="AD1533" s="86" t="s">
        <v>7728</v>
      </c>
      <c r="AE1533" s="81" t="b">
        <v>0</v>
      </c>
      <c r="AF1533" s="81">
        <v>2</v>
      </c>
      <c r="AG1533" s="86" t="s">
        <v>7903</v>
      </c>
      <c r="AH1533" s="81" t="b">
        <v>0</v>
      </c>
      <c r="AI1533" s="81" t="s">
        <v>2171</v>
      </c>
      <c r="AJ1533" s="81"/>
      <c r="AK1533" s="86" t="s">
        <v>2084</v>
      </c>
      <c r="AL1533" s="81" t="b">
        <v>0</v>
      </c>
      <c r="AM1533" s="81">
        <v>0</v>
      </c>
      <c r="AN1533" s="86" t="s">
        <v>2084</v>
      </c>
      <c r="AO1533" s="86" t="s">
        <v>2179</v>
      </c>
      <c r="AP1533" s="81" t="b">
        <v>0</v>
      </c>
      <c r="AQ1533" s="86" t="s">
        <v>7728</v>
      </c>
      <c r="AR1533" s="81" t="s">
        <v>179</v>
      </c>
      <c r="AS1533" s="81">
        <v>0</v>
      </c>
      <c r="AT1533" s="81">
        <v>0</v>
      </c>
      <c r="AU1533" s="81"/>
      <c r="AV1533" s="81"/>
      <c r="AW1533" s="81"/>
      <c r="AX1533" s="81"/>
      <c r="AY1533" s="81"/>
      <c r="AZ1533" s="81"/>
      <c r="BA1533" s="81"/>
      <c r="BB1533" s="81"/>
    </row>
    <row r="1534" spans="1:54" x14ac:dyDescent="0.35">
      <c r="A1534" s="66" t="s">
        <v>534</v>
      </c>
      <c r="B1534" s="66" t="s">
        <v>534</v>
      </c>
      <c r="C1534" s="67"/>
      <c r="D1534" s="68"/>
      <c r="E1534" s="69"/>
      <c r="F1534" s="70"/>
      <c r="G1534" s="67"/>
      <c r="H1534" s="71"/>
      <c r="I1534" s="72"/>
      <c r="J1534" s="72"/>
      <c r="K1534" s="36"/>
      <c r="L1534" s="79"/>
      <c r="M1534" s="79"/>
      <c r="N1534" s="74"/>
      <c r="O1534" s="81" t="s">
        <v>179</v>
      </c>
      <c r="P1534" s="83">
        <v>44466.379178240742</v>
      </c>
      <c r="Q1534" s="81" t="s">
        <v>873</v>
      </c>
      <c r="R1534" s="81"/>
      <c r="S1534" s="81"/>
      <c r="T1534" s="81"/>
      <c r="U1534" s="81"/>
      <c r="V1534" s="84" t="str">
        <f>HYPERLINK("https://pbs.twimg.com/profile_images/1442814919557017604/WHMJ3ro-_normal.jpg")</f>
        <v>https://pbs.twimg.com/profile_images/1442814919557017604/WHMJ3ro-_normal.jpg</v>
      </c>
      <c r="W1534" s="83">
        <v>44466.379178240742</v>
      </c>
      <c r="X1534" s="89">
        <v>44466</v>
      </c>
      <c r="Y1534" s="86" t="s">
        <v>1414</v>
      </c>
      <c r="Z1534" s="84" t="str">
        <f>HYPERLINK("https://twitter.com/x4riph0bi4/status/1442415216537468934")</f>
        <v>https://twitter.com/x4riph0bi4/status/1442415216537468934</v>
      </c>
      <c r="AA1534" s="81"/>
      <c r="AB1534" s="81"/>
      <c r="AC1534" s="86" t="s">
        <v>1912</v>
      </c>
      <c r="AD1534" s="81"/>
      <c r="AE1534" s="81" t="b">
        <v>0</v>
      </c>
      <c r="AF1534" s="81">
        <v>0</v>
      </c>
      <c r="AG1534" s="86" t="s">
        <v>2084</v>
      </c>
      <c r="AH1534" s="81" t="b">
        <v>0</v>
      </c>
      <c r="AI1534" s="81" t="s">
        <v>2167</v>
      </c>
      <c r="AJ1534" s="81"/>
      <c r="AK1534" s="86" t="s">
        <v>2084</v>
      </c>
      <c r="AL1534" s="81" t="b">
        <v>0</v>
      </c>
      <c r="AM1534" s="81">
        <v>0</v>
      </c>
      <c r="AN1534" s="86" t="s">
        <v>2084</v>
      </c>
      <c r="AO1534" s="86" t="s">
        <v>2179</v>
      </c>
      <c r="AP1534" s="81" t="b">
        <v>0</v>
      </c>
      <c r="AQ1534" s="86" t="s">
        <v>1912</v>
      </c>
      <c r="AR1534" s="81" t="s">
        <v>179</v>
      </c>
      <c r="AS1534" s="81">
        <v>0</v>
      </c>
      <c r="AT1534" s="81">
        <v>0</v>
      </c>
      <c r="AU1534" s="81"/>
      <c r="AV1534" s="81"/>
      <c r="AW1534" s="81"/>
      <c r="AX1534" s="81"/>
      <c r="AY1534" s="81"/>
      <c r="AZ1534" s="81"/>
      <c r="BA1534" s="81"/>
      <c r="BB1534" s="81"/>
    </row>
    <row r="1535" spans="1:54" x14ac:dyDescent="0.35">
      <c r="A1535" s="66" t="s">
        <v>535</v>
      </c>
      <c r="B1535" s="66" t="s">
        <v>535</v>
      </c>
      <c r="C1535" s="67"/>
      <c r="D1535" s="68"/>
      <c r="E1535" s="69"/>
      <c r="F1535" s="70"/>
      <c r="G1535" s="67"/>
      <c r="H1535" s="71"/>
      <c r="I1535" s="72"/>
      <c r="J1535" s="72"/>
      <c r="K1535" s="36"/>
      <c r="L1535" s="79"/>
      <c r="M1535" s="79"/>
      <c r="N1535" s="74"/>
      <c r="O1535" s="81" t="s">
        <v>179</v>
      </c>
      <c r="P1535" s="83">
        <v>44466.380219907405</v>
      </c>
      <c r="Q1535" s="81" t="s">
        <v>874</v>
      </c>
      <c r="R1535" s="81"/>
      <c r="S1535" s="81"/>
      <c r="T1535" s="81"/>
      <c r="U1535" s="81"/>
      <c r="V1535" s="84" t="str">
        <f>HYPERLINK("https://pbs.twimg.com/profile_images/812107715338125312/Hho_ylHR_normal.jpg")</f>
        <v>https://pbs.twimg.com/profile_images/812107715338125312/Hho_ylHR_normal.jpg</v>
      </c>
      <c r="W1535" s="83">
        <v>44466.380219907405</v>
      </c>
      <c r="X1535" s="89">
        <v>44466</v>
      </c>
      <c r="Y1535" s="86" t="s">
        <v>1415</v>
      </c>
      <c r="Z1535" s="84" t="str">
        <f>HYPERLINK("https://twitter.com/himakompolban/status/1442415597837447170")</f>
        <v>https://twitter.com/himakompolban/status/1442415597837447170</v>
      </c>
      <c r="AA1535" s="81"/>
      <c r="AB1535" s="81"/>
      <c r="AC1535" s="86" t="s">
        <v>1913</v>
      </c>
      <c r="AD1535" s="86" t="s">
        <v>2075</v>
      </c>
      <c r="AE1535" s="81" t="b">
        <v>0</v>
      </c>
      <c r="AF1535" s="81">
        <v>0</v>
      </c>
      <c r="AG1535" s="86" t="s">
        <v>2158</v>
      </c>
      <c r="AH1535" s="81" t="b">
        <v>0</v>
      </c>
      <c r="AI1535" s="81" t="s">
        <v>2167</v>
      </c>
      <c r="AJ1535" s="81"/>
      <c r="AK1535" s="86" t="s">
        <v>2084</v>
      </c>
      <c r="AL1535" s="81" t="b">
        <v>0</v>
      </c>
      <c r="AM1535" s="81">
        <v>0</v>
      </c>
      <c r="AN1535" s="86" t="s">
        <v>2084</v>
      </c>
      <c r="AO1535" s="86" t="s">
        <v>2181</v>
      </c>
      <c r="AP1535" s="81" t="b">
        <v>0</v>
      </c>
      <c r="AQ1535" s="86" t="s">
        <v>2075</v>
      </c>
      <c r="AR1535" s="81" t="s">
        <v>179</v>
      </c>
      <c r="AS1535" s="81">
        <v>0</v>
      </c>
      <c r="AT1535" s="81">
        <v>0</v>
      </c>
      <c r="AU1535" s="81"/>
      <c r="AV1535" s="81"/>
      <c r="AW1535" s="81"/>
      <c r="AX1535" s="81"/>
      <c r="AY1535" s="81"/>
      <c r="AZ1535" s="81"/>
      <c r="BA1535" s="81"/>
      <c r="BB1535" s="81"/>
    </row>
    <row r="1536" spans="1:54" x14ac:dyDescent="0.35">
      <c r="A1536" s="66" t="s">
        <v>4791</v>
      </c>
      <c r="B1536" s="66" t="s">
        <v>4944</v>
      </c>
      <c r="C1536" s="67"/>
      <c r="D1536" s="68"/>
      <c r="E1536" s="69"/>
      <c r="F1536" s="70"/>
      <c r="G1536" s="67"/>
      <c r="H1536" s="71"/>
      <c r="I1536" s="72"/>
      <c r="J1536" s="72"/>
      <c r="K1536" s="36"/>
      <c r="L1536" s="79"/>
      <c r="M1536" s="79"/>
      <c r="N1536" s="74"/>
      <c r="O1536" s="81" t="s">
        <v>693</v>
      </c>
      <c r="P1536" s="83">
        <v>44466.388078703705</v>
      </c>
      <c r="Q1536" s="81" t="s">
        <v>5505</v>
      </c>
      <c r="R1536" s="81"/>
      <c r="S1536" s="81"/>
      <c r="T1536" s="81"/>
      <c r="U1536" s="81"/>
      <c r="V1536" s="84" t="str">
        <f>HYPERLINK("https://pbs.twimg.com/profile_images/1282525746985140225/bTXHoR6U_normal.jpg")</f>
        <v>https://pbs.twimg.com/profile_images/1282525746985140225/bTXHoR6U_normal.jpg</v>
      </c>
      <c r="W1536" s="83">
        <v>44466.388078703705</v>
      </c>
      <c r="X1536" s="89">
        <v>44466</v>
      </c>
      <c r="Y1536" s="86" t="s">
        <v>6435</v>
      </c>
      <c r="Z1536" s="84" t="str">
        <f>HYPERLINK("https://twitter.com/pivozleal/status/1442418444448804864")</f>
        <v>https://twitter.com/pivozleal/status/1442418444448804864</v>
      </c>
      <c r="AA1536" s="81"/>
      <c r="AB1536" s="81"/>
      <c r="AC1536" s="86" t="s">
        <v>7352</v>
      </c>
      <c r="AD1536" s="81"/>
      <c r="AE1536" s="81" t="b">
        <v>0</v>
      </c>
      <c r="AF1536" s="81">
        <v>0</v>
      </c>
      <c r="AG1536" s="86" t="s">
        <v>2084</v>
      </c>
      <c r="AH1536" s="81" t="b">
        <v>0</v>
      </c>
      <c r="AI1536" s="81" t="s">
        <v>2171</v>
      </c>
      <c r="AJ1536" s="81"/>
      <c r="AK1536" s="86" t="s">
        <v>2084</v>
      </c>
      <c r="AL1536" s="81" t="b">
        <v>0</v>
      </c>
      <c r="AM1536" s="81">
        <v>255</v>
      </c>
      <c r="AN1536" s="86" t="s">
        <v>7543</v>
      </c>
      <c r="AO1536" s="86" t="s">
        <v>2179</v>
      </c>
      <c r="AP1536" s="81" t="b">
        <v>0</v>
      </c>
      <c r="AQ1536" s="86" t="s">
        <v>7543</v>
      </c>
      <c r="AR1536" s="81" t="s">
        <v>179</v>
      </c>
      <c r="AS1536" s="81">
        <v>0</v>
      </c>
      <c r="AT1536" s="81">
        <v>0</v>
      </c>
      <c r="AU1536" s="81"/>
      <c r="AV1536" s="81"/>
      <c r="AW1536" s="81"/>
      <c r="AX1536" s="81"/>
      <c r="AY1536" s="81"/>
      <c r="AZ1536" s="81"/>
      <c r="BA1536" s="81"/>
      <c r="BB1536" s="81"/>
    </row>
    <row r="1537" spans="1:54" x14ac:dyDescent="0.35">
      <c r="A1537" s="66" t="s">
        <v>536</v>
      </c>
      <c r="B1537" s="66" t="s">
        <v>536</v>
      </c>
      <c r="C1537" s="67"/>
      <c r="D1537" s="68"/>
      <c r="E1537" s="69"/>
      <c r="F1537" s="70"/>
      <c r="G1537" s="67"/>
      <c r="H1537" s="71"/>
      <c r="I1537" s="72"/>
      <c r="J1537" s="72"/>
      <c r="K1537" s="36"/>
      <c r="L1537" s="79"/>
      <c r="M1537" s="79"/>
      <c r="N1537" s="74"/>
      <c r="O1537" s="81" t="s">
        <v>179</v>
      </c>
      <c r="P1537" s="83">
        <v>44464.157789351855</v>
      </c>
      <c r="Q1537" s="81" t="s">
        <v>875</v>
      </c>
      <c r="R1537" s="81"/>
      <c r="S1537" s="81"/>
      <c r="T1537" s="81"/>
      <c r="U1537" s="81"/>
      <c r="V1537" s="84" t="str">
        <f>HYPERLINK("https://pbs.twimg.com/profile_images/1433447016797851655/cYElKfNs_normal.jpg")</f>
        <v>https://pbs.twimg.com/profile_images/1433447016797851655/cYElKfNs_normal.jpg</v>
      </c>
      <c r="W1537" s="83">
        <v>44464.157789351855</v>
      </c>
      <c r="X1537" s="89">
        <v>44464</v>
      </c>
      <c r="Y1537" s="86" t="s">
        <v>1416</v>
      </c>
      <c r="Z1537" s="84" t="str">
        <f>HYPERLINK("https://twitter.com/mhafizzz19/status/1441610213459591172")</f>
        <v>https://twitter.com/mhafizzz19/status/1441610213459591172</v>
      </c>
      <c r="AA1537" s="81"/>
      <c r="AB1537" s="81"/>
      <c r="AC1537" s="86" t="s">
        <v>1914</v>
      </c>
      <c r="AD1537" s="81"/>
      <c r="AE1537" s="81" t="b">
        <v>0</v>
      </c>
      <c r="AF1537" s="81">
        <v>0</v>
      </c>
      <c r="AG1537" s="86" t="s">
        <v>2084</v>
      </c>
      <c r="AH1537" s="81" t="b">
        <v>0</v>
      </c>
      <c r="AI1537" s="81" t="s">
        <v>2167</v>
      </c>
      <c r="AJ1537" s="81"/>
      <c r="AK1537" s="86" t="s">
        <v>2084</v>
      </c>
      <c r="AL1537" s="81" t="b">
        <v>0</v>
      </c>
      <c r="AM1537" s="81">
        <v>0</v>
      </c>
      <c r="AN1537" s="86" t="s">
        <v>2084</v>
      </c>
      <c r="AO1537" s="86" t="s">
        <v>2179</v>
      </c>
      <c r="AP1537" s="81" t="b">
        <v>0</v>
      </c>
      <c r="AQ1537" s="86" t="s">
        <v>1914</v>
      </c>
      <c r="AR1537" s="81" t="s">
        <v>179</v>
      </c>
      <c r="AS1537" s="81">
        <v>0</v>
      </c>
      <c r="AT1537" s="81">
        <v>0</v>
      </c>
      <c r="AU1537" s="81"/>
      <c r="AV1537" s="81"/>
      <c r="AW1537" s="81"/>
      <c r="AX1537" s="81"/>
      <c r="AY1537" s="81"/>
      <c r="AZ1537" s="81"/>
      <c r="BA1537" s="81"/>
      <c r="BB1537" s="81"/>
    </row>
    <row r="1538" spans="1:54" x14ac:dyDescent="0.35">
      <c r="A1538" s="66" t="s">
        <v>536</v>
      </c>
      <c r="B1538" s="66" t="s">
        <v>536</v>
      </c>
      <c r="C1538" s="67"/>
      <c r="D1538" s="68"/>
      <c r="E1538" s="69"/>
      <c r="F1538" s="70"/>
      <c r="G1538" s="67"/>
      <c r="H1538" s="71"/>
      <c r="I1538" s="72"/>
      <c r="J1538" s="72"/>
      <c r="K1538" s="36"/>
      <c r="L1538" s="79"/>
      <c r="M1538" s="79"/>
      <c r="N1538" s="74"/>
      <c r="O1538" s="81" t="s">
        <v>179</v>
      </c>
      <c r="P1538" s="83">
        <v>44466.392881944441</v>
      </c>
      <c r="Q1538" s="81" t="s">
        <v>876</v>
      </c>
      <c r="R1538" s="81"/>
      <c r="S1538" s="81"/>
      <c r="T1538" s="81"/>
      <c r="U1538" s="81"/>
      <c r="V1538" s="84" t="str">
        <f>HYPERLINK("https://pbs.twimg.com/profile_images/1433447016797851655/cYElKfNs_normal.jpg")</f>
        <v>https://pbs.twimg.com/profile_images/1433447016797851655/cYElKfNs_normal.jpg</v>
      </c>
      <c r="W1538" s="83">
        <v>44466.392881944441</v>
      </c>
      <c r="X1538" s="89">
        <v>44466</v>
      </c>
      <c r="Y1538" s="86" t="s">
        <v>1417</v>
      </c>
      <c r="Z1538" s="84" t="str">
        <f>HYPERLINK("https://twitter.com/mhafizzz19/status/1442420183474192391")</f>
        <v>https://twitter.com/mhafizzz19/status/1442420183474192391</v>
      </c>
      <c r="AA1538" s="81"/>
      <c r="AB1538" s="81"/>
      <c r="AC1538" s="86" t="s">
        <v>1915</v>
      </c>
      <c r="AD1538" s="81"/>
      <c r="AE1538" s="81" t="b">
        <v>0</v>
      </c>
      <c r="AF1538" s="81">
        <v>0</v>
      </c>
      <c r="AG1538" s="86" t="s">
        <v>2084</v>
      </c>
      <c r="AH1538" s="81" t="b">
        <v>0</v>
      </c>
      <c r="AI1538" s="81" t="s">
        <v>2167</v>
      </c>
      <c r="AJ1538" s="81"/>
      <c r="AK1538" s="86" t="s">
        <v>2084</v>
      </c>
      <c r="AL1538" s="81" t="b">
        <v>0</v>
      </c>
      <c r="AM1538" s="81">
        <v>0</v>
      </c>
      <c r="AN1538" s="86" t="s">
        <v>2084</v>
      </c>
      <c r="AO1538" s="86" t="s">
        <v>2179</v>
      </c>
      <c r="AP1538" s="81" t="b">
        <v>0</v>
      </c>
      <c r="AQ1538" s="86" t="s">
        <v>1915</v>
      </c>
      <c r="AR1538" s="81" t="s">
        <v>179</v>
      </c>
      <c r="AS1538" s="81">
        <v>0</v>
      </c>
      <c r="AT1538" s="81">
        <v>0</v>
      </c>
      <c r="AU1538" s="81"/>
      <c r="AV1538" s="81"/>
      <c r="AW1538" s="81"/>
      <c r="AX1538" s="81"/>
      <c r="AY1538" s="81"/>
      <c r="AZ1538" s="81"/>
      <c r="BA1538" s="81"/>
      <c r="BB1538" s="81"/>
    </row>
    <row r="1539" spans="1:54" x14ac:dyDescent="0.35">
      <c r="A1539" s="66" t="s">
        <v>537</v>
      </c>
      <c r="B1539" s="66" t="s">
        <v>537</v>
      </c>
      <c r="C1539" s="67"/>
      <c r="D1539" s="68"/>
      <c r="E1539" s="69"/>
      <c r="F1539" s="70"/>
      <c r="G1539" s="67"/>
      <c r="H1539" s="71"/>
      <c r="I1539" s="72"/>
      <c r="J1539" s="72"/>
      <c r="K1539" s="36"/>
      <c r="L1539" s="79"/>
      <c r="M1539" s="79"/>
      <c r="N1539" s="74"/>
      <c r="O1539" s="81" t="s">
        <v>179</v>
      </c>
      <c r="P1539" s="83">
        <v>44466.401909722219</v>
      </c>
      <c r="Q1539" s="81" t="s">
        <v>877</v>
      </c>
      <c r="R1539" s="81"/>
      <c r="S1539" s="81"/>
      <c r="T1539" s="81"/>
      <c r="U1539" s="81"/>
      <c r="V1539" s="84" t="str">
        <f>HYPERLINK("https://pbs.twimg.com/profile_images/1366717356429348865/Xf7LKXij_normal.jpg")</f>
        <v>https://pbs.twimg.com/profile_images/1366717356429348865/Xf7LKXij_normal.jpg</v>
      </c>
      <c r="W1539" s="83">
        <v>44466.401909722219</v>
      </c>
      <c r="X1539" s="89">
        <v>44466</v>
      </c>
      <c r="Y1539" s="86" t="s">
        <v>1418</v>
      </c>
      <c r="Z1539" s="84" t="str">
        <f>HYPERLINK("https://twitter.com/denpasarkota/status/1442423454616064011")</f>
        <v>https://twitter.com/denpasarkota/status/1442423454616064011</v>
      </c>
      <c r="AA1539" s="81"/>
      <c r="AB1539" s="81"/>
      <c r="AC1539" s="86" t="s">
        <v>1916</v>
      </c>
      <c r="AD1539" s="81"/>
      <c r="AE1539" s="81" t="b">
        <v>0</v>
      </c>
      <c r="AF1539" s="81">
        <v>0</v>
      </c>
      <c r="AG1539" s="86" t="s">
        <v>2084</v>
      </c>
      <c r="AH1539" s="81" t="b">
        <v>0</v>
      </c>
      <c r="AI1539" s="81" t="s">
        <v>2167</v>
      </c>
      <c r="AJ1539" s="81"/>
      <c r="AK1539" s="86" t="s">
        <v>2084</v>
      </c>
      <c r="AL1539" s="81" t="b">
        <v>0</v>
      </c>
      <c r="AM1539" s="81">
        <v>0</v>
      </c>
      <c r="AN1539" s="86" t="s">
        <v>2084</v>
      </c>
      <c r="AO1539" s="86" t="s">
        <v>2181</v>
      </c>
      <c r="AP1539" s="81" t="b">
        <v>0</v>
      </c>
      <c r="AQ1539" s="86" t="s">
        <v>1916</v>
      </c>
      <c r="AR1539" s="81" t="s">
        <v>179</v>
      </c>
      <c r="AS1539" s="81">
        <v>0</v>
      </c>
      <c r="AT1539" s="81">
        <v>0</v>
      </c>
      <c r="AU1539" s="81"/>
      <c r="AV1539" s="81"/>
      <c r="AW1539" s="81"/>
      <c r="AX1539" s="81"/>
      <c r="AY1539" s="81"/>
      <c r="AZ1539" s="81"/>
      <c r="BA1539" s="81"/>
      <c r="BB1539" s="81"/>
    </row>
    <row r="1540" spans="1:54" x14ac:dyDescent="0.35">
      <c r="A1540" s="66" t="s">
        <v>4792</v>
      </c>
      <c r="B1540" s="66" t="s">
        <v>5156</v>
      </c>
      <c r="C1540" s="67"/>
      <c r="D1540" s="68"/>
      <c r="E1540" s="69"/>
      <c r="F1540" s="70"/>
      <c r="G1540" s="67"/>
      <c r="H1540" s="71"/>
      <c r="I1540" s="72"/>
      <c r="J1540" s="72"/>
      <c r="K1540" s="36"/>
      <c r="L1540" s="79"/>
      <c r="M1540" s="79"/>
      <c r="N1540" s="74"/>
      <c r="O1540" s="81" t="s">
        <v>695</v>
      </c>
      <c r="P1540" s="83">
        <v>44466.405995370369</v>
      </c>
      <c r="Q1540" s="81" t="s">
        <v>5543</v>
      </c>
      <c r="R1540" s="81"/>
      <c r="S1540" s="81"/>
      <c r="T1540" s="81"/>
      <c r="U1540" s="81"/>
      <c r="V1540" s="84" t="str">
        <f>HYPERLINK("https://pbs.twimg.com/profile_images/1406714760427720709/M3RsqkyO_normal.jpg")</f>
        <v>https://pbs.twimg.com/profile_images/1406714760427720709/M3RsqkyO_normal.jpg</v>
      </c>
      <c r="W1540" s="83">
        <v>44466.405995370369</v>
      </c>
      <c r="X1540" s="89">
        <v>44466</v>
      </c>
      <c r="Y1540" s="86" t="s">
        <v>6436</v>
      </c>
      <c r="Z1540" s="84" t="str">
        <f>HYPERLINK("https://twitter.com/dianinha_mea/status/1442424935557783552")</f>
        <v>https://twitter.com/dianinha_mea/status/1442424935557783552</v>
      </c>
      <c r="AA1540" s="81"/>
      <c r="AB1540" s="81"/>
      <c r="AC1540" s="86" t="s">
        <v>7353</v>
      </c>
      <c r="AD1540" s="86" t="s">
        <v>7728</v>
      </c>
      <c r="AE1540" s="81" t="b">
        <v>0</v>
      </c>
      <c r="AF1540" s="81">
        <v>0</v>
      </c>
      <c r="AG1540" s="86" t="s">
        <v>7903</v>
      </c>
      <c r="AH1540" s="81" t="b">
        <v>0</v>
      </c>
      <c r="AI1540" s="81" t="s">
        <v>2171</v>
      </c>
      <c r="AJ1540" s="81"/>
      <c r="AK1540" s="86" t="s">
        <v>2084</v>
      </c>
      <c r="AL1540" s="81" t="b">
        <v>0</v>
      </c>
      <c r="AM1540" s="81">
        <v>0</v>
      </c>
      <c r="AN1540" s="86" t="s">
        <v>2084</v>
      </c>
      <c r="AO1540" s="86" t="s">
        <v>2179</v>
      </c>
      <c r="AP1540" s="81" t="b">
        <v>0</v>
      </c>
      <c r="AQ1540" s="86" t="s">
        <v>7728</v>
      </c>
      <c r="AR1540" s="81" t="s">
        <v>179</v>
      </c>
      <c r="AS1540" s="81">
        <v>0</v>
      </c>
      <c r="AT1540" s="81">
        <v>0</v>
      </c>
      <c r="AU1540" s="81"/>
      <c r="AV1540" s="81"/>
      <c r="AW1540" s="81"/>
      <c r="AX1540" s="81"/>
      <c r="AY1540" s="81"/>
      <c r="AZ1540" s="81"/>
      <c r="BA1540" s="81"/>
      <c r="BB1540" s="81"/>
    </row>
    <row r="1541" spans="1:54" x14ac:dyDescent="0.35">
      <c r="A1541" s="66" t="s">
        <v>4793</v>
      </c>
      <c r="B1541" s="66" t="s">
        <v>4944</v>
      </c>
      <c r="C1541" s="67"/>
      <c r="D1541" s="68"/>
      <c r="E1541" s="69"/>
      <c r="F1541" s="70"/>
      <c r="G1541" s="67"/>
      <c r="H1541" s="71"/>
      <c r="I1541" s="72"/>
      <c r="J1541" s="72"/>
      <c r="K1541" s="36"/>
      <c r="L1541" s="79"/>
      <c r="M1541" s="79"/>
      <c r="N1541" s="74"/>
      <c r="O1541" s="81" t="s">
        <v>693</v>
      </c>
      <c r="P1541" s="83">
        <v>44466.423449074071</v>
      </c>
      <c r="Q1541" s="81" t="s">
        <v>5505</v>
      </c>
      <c r="R1541" s="81"/>
      <c r="S1541" s="81"/>
      <c r="T1541" s="81"/>
      <c r="U1541" s="81"/>
      <c r="V1541" s="84" t="str">
        <f>HYPERLINK("https://pbs.twimg.com/profile_images/664984878124040192/E3qTIS_F_normal.jpg")</f>
        <v>https://pbs.twimg.com/profile_images/664984878124040192/E3qTIS_F_normal.jpg</v>
      </c>
      <c r="W1541" s="83">
        <v>44466.423449074071</v>
      </c>
      <c r="X1541" s="89">
        <v>44466</v>
      </c>
      <c r="Y1541" s="86" t="s">
        <v>6437</v>
      </c>
      <c r="Z1541" s="84" t="str">
        <f>HYPERLINK("https://twitter.com/hgrcst/status/1442431260685701120")</f>
        <v>https://twitter.com/hgrcst/status/1442431260685701120</v>
      </c>
      <c r="AA1541" s="81"/>
      <c r="AB1541" s="81"/>
      <c r="AC1541" s="86" t="s">
        <v>7354</v>
      </c>
      <c r="AD1541" s="81"/>
      <c r="AE1541" s="81" t="b">
        <v>0</v>
      </c>
      <c r="AF1541" s="81">
        <v>0</v>
      </c>
      <c r="AG1541" s="86" t="s">
        <v>2084</v>
      </c>
      <c r="AH1541" s="81" t="b">
        <v>0</v>
      </c>
      <c r="AI1541" s="81" t="s">
        <v>2171</v>
      </c>
      <c r="AJ1541" s="81"/>
      <c r="AK1541" s="86" t="s">
        <v>2084</v>
      </c>
      <c r="AL1541" s="81" t="b">
        <v>0</v>
      </c>
      <c r="AM1541" s="81">
        <v>255</v>
      </c>
      <c r="AN1541" s="86" t="s">
        <v>7543</v>
      </c>
      <c r="AO1541" s="86" t="s">
        <v>2178</v>
      </c>
      <c r="AP1541" s="81" t="b">
        <v>0</v>
      </c>
      <c r="AQ1541" s="86" t="s">
        <v>7543</v>
      </c>
      <c r="AR1541" s="81" t="s">
        <v>179</v>
      </c>
      <c r="AS1541" s="81">
        <v>0</v>
      </c>
      <c r="AT1541" s="81">
        <v>0</v>
      </c>
      <c r="AU1541" s="81"/>
      <c r="AV1541" s="81"/>
      <c r="AW1541" s="81"/>
      <c r="AX1541" s="81"/>
      <c r="AY1541" s="81"/>
      <c r="AZ1541" s="81"/>
      <c r="BA1541" s="81"/>
      <c r="BB1541" s="81"/>
    </row>
    <row r="1542" spans="1:54" x14ac:dyDescent="0.35">
      <c r="A1542" s="66" t="s">
        <v>4794</v>
      </c>
      <c r="B1542" s="66" t="s">
        <v>4794</v>
      </c>
      <c r="C1542" s="67"/>
      <c r="D1542" s="68"/>
      <c r="E1542" s="69"/>
      <c r="F1542" s="70"/>
      <c r="G1542" s="67"/>
      <c r="H1542" s="71"/>
      <c r="I1542" s="72"/>
      <c r="J1542" s="72"/>
      <c r="K1542" s="36"/>
      <c r="L1542" s="79"/>
      <c r="M1542" s="79"/>
      <c r="N1542" s="74"/>
      <c r="O1542" s="81" t="s">
        <v>179</v>
      </c>
      <c r="P1542" s="83">
        <v>44466.438020833331</v>
      </c>
      <c r="Q1542" s="81" t="s">
        <v>5544</v>
      </c>
      <c r="R1542" s="84" t="str">
        <f>HYPERLINK("https://portal.uab.pt/alv/cursos_alv/pos-graduacao-em-ciencia-de-dados-nas-organizacoes/")</f>
        <v>https://portal.uab.pt/alv/cursos_alv/pos-graduacao-em-ciencia-de-dados-nas-organizacoes/</v>
      </c>
      <c r="S1542" s="81" t="s">
        <v>5741</v>
      </c>
      <c r="T1542" s="86" t="s">
        <v>5782</v>
      </c>
      <c r="U1542" s="84" t="str">
        <f>HYPERLINK("https://pbs.twimg.com/media/FASQY9tUUAcGmoY.jpg")</f>
        <v>https://pbs.twimg.com/media/FASQY9tUUAcGmoY.jpg</v>
      </c>
      <c r="V1542" s="84" t="str">
        <f>HYPERLINK("https://pbs.twimg.com/media/FASQY9tUUAcGmoY.jpg")</f>
        <v>https://pbs.twimg.com/media/FASQY9tUUAcGmoY.jpg</v>
      </c>
      <c r="W1542" s="83">
        <v>44466.438020833331</v>
      </c>
      <c r="X1542" s="89">
        <v>44466</v>
      </c>
      <c r="Y1542" s="86" t="s">
        <v>6438</v>
      </c>
      <c r="Z1542" s="84" t="str">
        <f>HYPERLINK("https://twitter.com/uaberta/status/1442436541406666753")</f>
        <v>https://twitter.com/uaberta/status/1442436541406666753</v>
      </c>
      <c r="AA1542" s="81"/>
      <c r="AB1542" s="81"/>
      <c r="AC1542" s="86" t="s">
        <v>7355</v>
      </c>
      <c r="AD1542" s="81"/>
      <c r="AE1542" s="81" t="b">
        <v>0</v>
      </c>
      <c r="AF1542" s="81">
        <v>1</v>
      </c>
      <c r="AG1542" s="86" t="s">
        <v>2084</v>
      </c>
      <c r="AH1542" s="81" t="b">
        <v>0</v>
      </c>
      <c r="AI1542" s="81" t="s">
        <v>2171</v>
      </c>
      <c r="AJ1542" s="81"/>
      <c r="AK1542" s="86" t="s">
        <v>2084</v>
      </c>
      <c r="AL1542" s="81" t="b">
        <v>0</v>
      </c>
      <c r="AM1542" s="81">
        <v>0</v>
      </c>
      <c r="AN1542" s="86" t="s">
        <v>2084</v>
      </c>
      <c r="AO1542" s="86" t="s">
        <v>7976</v>
      </c>
      <c r="AP1542" s="81" t="b">
        <v>0</v>
      </c>
      <c r="AQ1542" s="86" t="s">
        <v>7355</v>
      </c>
      <c r="AR1542" s="81" t="s">
        <v>179</v>
      </c>
      <c r="AS1542" s="81">
        <v>0</v>
      </c>
      <c r="AT1542" s="81">
        <v>0</v>
      </c>
      <c r="AU1542" s="81"/>
      <c r="AV1542" s="81"/>
      <c r="AW1542" s="81"/>
      <c r="AX1542" s="81"/>
      <c r="AY1542" s="81"/>
      <c r="AZ1542" s="81"/>
      <c r="BA1542" s="81"/>
      <c r="BB1542" s="81"/>
    </row>
    <row r="1543" spans="1:54" x14ac:dyDescent="0.35">
      <c r="A1543" s="66" t="s">
        <v>538</v>
      </c>
      <c r="B1543" s="66" t="s">
        <v>578</v>
      </c>
      <c r="C1543" s="67"/>
      <c r="D1543" s="68"/>
      <c r="E1543" s="69"/>
      <c r="F1543" s="70"/>
      <c r="G1543" s="67"/>
      <c r="H1543" s="71"/>
      <c r="I1543" s="72"/>
      <c r="J1543" s="72"/>
      <c r="K1543" s="36"/>
      <c r="L1543" s="79"/>
      <c r="M1543" s="79"/>
      <c r="N1543" s="74"/>
      <c r="O1543" s="81" t="s">
        <v>693</v>
      </c>
      <c r="P1543" s="83">
        <v>44466.441365740742</v>
      </c>
      <c r="Q1543" s="81" t="s">
        <v>878</v>
      </c>
      <c r="R1543" s="81"/>
      <c r="S1543" s="81"/>
      <c r="T1543" s="81"/>
      <c r="U1543" s="84" t="str">
        <f>HYPERLINK("https://pbs.twimg.com/media/FASHjEnUcAMSLOM.jpg")</f>
        <v>https://pbs.twimg.com/media/FASHjEnUcAMSLOM.jpg</v>
      </c>
      <c r="V1543" s="84" t="str">
        <f>HYPERLINK("https://pbs.twimg.com/media/FASHjEnUcAMSLOM.jpg")</f>
        <v>https://pbs.twimg.com/media/FASHjEnUcAMSLOM.jpg</v>
      </c>
      <c r="W1543" s="83">
        <v>44466.441365740742</v>
      </c>
      <c r="X1543" s="89">
        <v>44466</v>
      </c>
      <c r="Y1543" s="86" t="s">
        <v>1420</v>
      </c>
      <c r="Z1543" s="84" t="str">
        <f>HYPERLINK("https://twitter.com/fattireyz/status/1442437753375899650")</f>
        <v>https://twitter.com/fattireyz/status/1442437753375899650</v>
      </c>
      <c r="AA1543" s="81"/>
      <c r="AB1543" s="81"/>
      <c r="AC1543" s="86" t="s">
        <v>1917</v>
      </c>
      <c r="AD1543" s="81"/>
      <c r="AE1543" s="81" t="b">
        <v>0</v>
      </c>
      <c r="AF1543" s="81">
        <v>0</v>
      </c>
      <c r="AG1543" s="86" t="s">
        <v>2084</v>
      </c>
      <c r="AH1543" s="81" t="b">
        <v>0</v>
      </c>
      <c r="AI1543" s="81" t="s">
        <v>2167</v>
      </c>
      <c r="AJ1543" s="81"/>
      <c r="AK1543" s="86" t="s">
        <v>2084</v>
      </c>
      <c r="AL1543" s="81" t="b">
        <v>0</v>
      </c>
      <c r="AM1543" s="81">
        <v>9</v>
      </c>
      <c r="AN1543" s="86" t="s">
        <v>1961</v>
      </c>
      <c r="AO1543" s="86" t="s">
        <v>2178</v>
      </c>
      <c r="AP1543" s="81" t="b">
        <v>0</v>
      </c>
      <c r="AQ1543" s="86" t="s">
        <v>1961</v>
      </c>
      <c r="AR1543" s="81" t="s">
        <v>179</v>
      </c>
      <c r="AS1543" s="81">
        <v>0</v>
      </c>
      <c r="AT1543" s="81">
        <v>0</v>
      </c>
      <c r="AU1543" s="81"/>
      <c r="AV1543" s="81"/>
      <c r="AW1543" s="81"/>
      <c r="AX1543" s="81"/>
      <c r="AY1543" s="81"/>
      <c r="AZ1543" s="81"/>
      <c r="BA1543" s="81"/>
      <c r="BB1543" s="81"/>
    </row>
    <row r="1544" spans="1:54" x14ac:dyDescent="0.35">
      <c r="A1544" s="66" t="s">
        <v>4795</v>
      </c>
      <c r="B1544" s="66" t="s">
        <v>4795</v>
      </c>
      <c r="C1544" s="67"/>
      <c r="D1544" s="68"/>
      <c r="E1544" s="69"/>
      <c r="F1544" s="70"/>
      <c r="G1544" s="67"/>
      <c r="H1544" s="71"/>
      <c r="I1544" s="72"/>
      <c r="J1544" s="72"/>
      <c r="K1544" s="36"/>
      <c r="L1544" s="79"/>
      <c r="M1544" s="79"/>
      <c r="N1544" s="74"/>
      <c r="O1544" s="81" t="s">
        <v>179</v>
      </c>
      <c r="P1544" s="83">
        <v>44466.450486111113</v>
      </c>
      <c r="Q1544" s="81" t="s">
        <v>5545</v>
      </c>
      <c r="R1544" s="81" t="s">
        <v>5679</v>
      </c>
      <c r="S1544" s="81" t="s">
        <v>5742</v>
      </c>
      <c r="T1544" s="86" t="s">
        <v>4795</v>
      </c>
      <c r="U1544" s="84" t="str">
        <f>HYPERLINK("https://pbs.twimg.com/media/FASUdL2UUAwTSq3.jpg")</f>
        <v>https://pbs.twimg.com/media/FASUdL2UUAwTSq3.jpg</v>
      </c>
      <c r="V1544" s="84" t="str">
        <f>HYPERLINK("https://pbs.twimg.com/media/FASUdL2UUAwTSq3.jpg")</f>
        <v>https://pbs.twimg.com/media/FASUdL2UUAwTSq3.jpg</v>
      </c>
      <c r="W1544" s="83">
        <v>44466.450486111113</v>
      </c>
      <c r="X1544" s="89">
        <v>44466</v>
      </c>
      <c r="Y1544" s="86" t="s">
        <v>6439</v>
      </c>
      <c r="Z1544" s="84" t="str">
        <f>HYPERLINK("https://twitter.com/enbombeiros/status/1442441058793762816")</f>
        <v>https://twitter.com/enbombeiros/status/1442441058793762816</v>
      </c>
      <c r="AA1544" s="81"/>
      <c r="AB1544" s="81"/>
      <c r="AC1544" s="86" t="s">
        <v>7356</v>
      </c>
      <c r="AD1544" s="81"/>
      <c r="AE1544" s="81" t="b">
        <v>0</v>
      </c>
      <c r="AF1544" s="81">
        <v>2</v>
      </c>
      <c r="AG1544" s="86" t="s">
        <v>2084</v>
      </c>
      <c r="AH1544" s="81" t="b">
        <v>0</v>
      </c>
      <c r="AI1544" s="81" t="s">
        <v>2171</v>
      </c>
      <c r="AJ1544" s="81"/>
      <c r="AK1544" s="86" t="s">
        <v>2084</v>
      </c>
      <c r="AL1544" s="81" t="b">
        <v>0</v>
      </c>
      <c r="AM1544" s="81">
        <v>1</v>
      </c>
      <c r="AN1544" s="86" t="s">
        <v>2084</v>
      </c>
      <c r="AO1544" s="86" t="s">
        <v>2181</v>
      </c>
      <c r="AP1544" s="81" t="b">
        <v>0</v>
      </c>
      <c r="AQ1544" s="86" t="s">
        <v>7356</v>
      </c>
      <c r="AR1544" s="81" t="s">
        <v>179</v>
      </c>
      <c r="AS1544" s="81">
        <v>0</v>
      </c>
      <c r="AT1544" s="81">
        <v>0</v>
      </c>
      <c r="AU1544" s="81"/>
      <c r="AV1544" s="81"/>
      <c r="AW1544" s="81"/>
      <c r="AX1544" s="81"/>
      <c r="AY1544" s="81"/>
      <c r="AZ1544" s="81"/>
      <c r="BA1544" s="81"/>
      <c r="BB1544" s="81"/>
    </row>
    <row r="1545" spans="1:54" x14ac:dyDescent="0.35">
      <c r="A1545" s="66" t="s">
        <v>4796</v>
      </c>
      <c r="B1545" s="66" t="s">
        <v>4795</v>
      </c>
      <c r="C1545" s="67"/>
      <c r="D1545" s="68"/>
      <c r="E1545" s="69"/>
      <c r="F1545" s="70"/>
      <c r="G1545" s="67"/>
      <c r="H1545" s="71"/>
      <c r="I1545" s="72"/>
      <c r="J1545" s="72"/>
      <c r="K1545" s="36"/>
      <c r="L1545" s="79"/>
      <c r="M1545" s="79"/>
      <c r="N1545" s="74"/>
      <c r="O1545" s="81" t="s">
        <v>693</v>
      </c>
      <c r="P1545" s="83">
        <v>44466.452118055553</v>
      </c>
      <c r="Q1545" s="81" t="s">
        <v>5545</v>
      </c>
      <c r="R1545" s="81" t="s">
        <v>5679</v>
      </c>
      <c r="S1545" s="81" t="s">
        <v>5742</v>
      </c>
      <c r="T1545" s="86" t="s">
        <v>4795</v>
      </c>
      <c r="U1545" s="84" t="str">
        <f>HYPERLINK("https://pbs.twimg.com/media/FASUdL2UUAwTSq3.jpg")</f>
        <v>https://pbs.twimg.com/media/FASUdL2UUAwTSq3.jpg</v>
      </c>
      <c r="V1545" s="84" t="str">
        <f>HYPERLINK("https://pbs.twimg.com/media/FASUdL2UUAwTSq3.jpg")</f>
        <v>https://pbs.twimg.com/media/FASUdL2UUAwTSq3.jpg</v>
      </c>
      <c r="W1545" s="83">
        <v>44466.452118055553</v>
      </c>
      <c r="X1545" s="89">
        <v>44466</v>
      </c>
      <c r="Y1545" s="86" t="s">
        <v>6440</v>
      </c>
      <c r="Z1545" s="84" t="str">
        <f>HYPERLINK("https://twitter.com/tiagocatrola77/status/1442441652333858818")</f>
        <v>https://twitter.com/tiagocatrola77/status/1442441652333858818</v>
      </c>
      <c r="AA1545" s="81"/>
      <c r="AB1545" s="81"/>
      <c r="AC1545" s="86" t="s">
        <v>7357</v>
      </c>
      <c r="AD1545" s="81"/>
      <c r="AE1545" s="81" t="b">
        <v>0</v>
      </c>
      <c r="AF1545" s="81">
        <v>0</v>
      </c>
      <c r="AG1545" s="86" t="s">
        <v>2084</v>
      </c>
      <c r="AH1545" s="81" t="b">
        <v>0</v>
      </c>
      <c r="AI1545" s="81" t="s">
        <v>2171</v>
      </c>
      <c r="AJ1545" s="81"/>
      <c r="AK1545" s="86" t="s">
        <v>2084</v>
      </c>
      <c r="AL1545" s="81" t="b">
        <v>0</v>
      </c>
      <c r="AM1545" s="81">
        <v>1</v>
      </c>
      <c r="AN1545" s="86" t="s">
        <v>7356</v>
      </c>
      <c r="AO1545" s="86" t="s">
        <v>2178</v>
      </c>
      <c r="AP1545" s="81" t="b">
        <v>0</v>
      </c>
      <c r="AQ1545" s="86" t="s">
        <v>7356</v>
      </c>
      <c r="AR1545" s="81" t="s">
        <v>179</v>
      </c>
      <c r="AS1545" s="81">
        <v>0</v>
      </c>
      <c r="AT1545" s="81">
        <v>0</v>
      </c>
      <c r="AU1545" s="81"/>
      <c r="AV1545" s="81"/>
      <c r="AW1545" s="81"/>
      <c r="AX1545" s="81"/>
      <c r="AY1545" s="81"/>
      <c r="AZ1545" s="81"/>
      <c r="BA1545" s="81"/>
      <c r="BB1545" s="81"/>
    </row>
    <row r="1546" spans="1:54" x14ac:dyDescent="0.35">
      <c r="A1546" s="66" t="s">
        <v>4798</v>
      </c>
      <c r="B1546" s="66" t="s">
        <v>4797</v>
      </c>
      <c r="C1546" s="67"/>
      <c r="D1546" s="68"/>
      <c r="E1546" s="69"/>
      <c r="F1546" s="70"/>
      <c r="G1546" s="67"/>
      <c r="H1546" s="71"/>
      <c r="I1546" s="72"/>
      <c r="J1546" s="72"/>
      <c r="K1546" s="36"/>
      <c r="L1546" s="79"/>
      <c r="M1546" s="79"/>
      <c r="N1546" s="74"/>
      <c r="O1546" s="81" t="s">
        <v>693</v>
      </c>
      <c r="P1546" s="83">
        <v>44466.455474537041</v>
      </c>
      <c r="Q1546" s="81" t="s">
        <v>5435</v>
      </c>
      <c r="R154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546" s="81" t="s">
        <v>5686</v>
      </c>
      <c r="T1546" s="81"/>
      <c r="U1546" s="81"/>
      <c r="V1546" s="84" t="str">
        <f>HYPERLINK("https://pbs.twimg.com/profile_images/1399502154721792002/wBtlt1o2_normal.jpg")</f>
        <v>https://pbs.twimg.com/profile_images/1399502154721792002/wBtlt1o2_normal.jpg</v>
      </c>
      <c r="W1546" s="83">
        <v>44466.455474537041</v>
      </c>
      <c r="X1546" s="89">
        <v>44466</v>
      </c>
      <c r="Y1546" s="86" t="s">
        <v>1180</v>
      </c>
      <c r="Z1546" s="84" t="str">
        <f>HYPERLINK("https://twitter.com/bortolini_e/status/1442442867008540673")</f>
        <v>https://twitter.com/bortolini_e/status/1442442867008540673</v>
      </c>
      <c r="AA1546" s="81"/>
      <c r="AB1546" s="81"/>
      <c r="AC1546" s="86" t="s">
        <v>7359</v>
      </c>
      <c r="AD1546" s="81"/>
      <c r="AE1546" s="81" t="b">
        <v>0</v>
      </c>
      <c r="AF1546" s="81">
        <v>0</v>
      </c>
      <c r="AG1546" s="86" t="s">
        <v>2084</v>
      </c>
      <c r="AH1546" s="81" t="b">
        <v>0</v>
      </c>
      <c r="AI1546" s="81" t="s">
        <v>2173</v>
      </c>
      <c r="AJ1546" s="81"/>
      <c r="AK1546" s="86" t="s">
        <v>2084</v>
      </c>
      <c r="AL1546" s="81" t="b">
        <v>0</v>
      </c>
      <c r="AM1546" s="81">
        <v>21</v>
      </c>
      <c r="AN1546" s="86" t="s">
        <v>7358</v>
      </c>
      <c r="AO1546" s="86" t="s">
        <v>2181</v>
      </c>
      <c r="AP1546" s="81" t="b">
        <v>0</v>
      </c>
      <c r="AQ1546" s="86" t="s">
        <v>7358</v>
      </c>
      <c r="AR1546" s="81" t="s">
        <v>179</v>
      </c>
      <c r="AS1546" s="81">
        <v>0</v>
      </c>
      <c r="AT1546" s="81">
        <v>0</v>
      </c>
      <c r="AU1546" s="81"/>
      <c r="AV1546" s="81"/>
      <c r="AW1546" s="81"/>
      <c r="AX1546" s="81"/>
      <c r="AY1546" s="81"/>
      <c r="AZ1546" s="81"/>
      <c r="BA1546" s="81"/>
      <c r="BB1546" s="81"/>
    </row>
    <row r="1547" spans="1:54" x14ac:dyDescent="0.35">
      <c r="A1547" s="66" t="s">
        <v>4798</v>
      </c>
      <c r="B1547" s="66" t="s">
        <v>5085</v>
      </c>
      <c r="C1547" s="67"/>
      <c r="D1547" s="68"/>
      <c r="E1547" s="69"/>
      <c r="F1547" s="70"/>
      <c r="G1547" s="67"/>
      <c r="H1547" s="71"/>
      <c r="I1547" s="72"/>
      <c r="J1547" s="72"/>
      <c r="K1547" s="36"/>
      <c r="L1547" s="79"/>
      <c r="M1547" s="79"/>
      <c r="N1547" s="74"/>
      <c r="O1547" s="81" t="s">
        <v>695</v>
      </c>
      <c r="P1547" s="83">
        <v>44466.455474537041</v>
      </c>
      <c r="Q1547" s="81" t="s">
        <v>5435</v>
      </c>
      <c r="R154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547" s="81" t="s">
        <v>5686</v>
      </c>
      <c r="T1547" s="81"/>
      <c r="U1547" s="81"/>
      <c r="V1547" s="84" t="str">
        <f>HYPERLINK("https://pbs.twimg.com/profile_images/1399502154721792002/wBtlt1o2_normal.jpg")</f>
        <v>https://pbs.twimg.com/profile_images/1399502154721792002/wBtlt1o2_normal.jpg</v>
      </c>
      <c r="W1547" s="83">
        <v>44466.455474537041</v>
      </c>
      <c r="X1547" s="89">
        <v>44466</v>
      </c>
      <c r="Y1547" s="86" t="s">
        <v>1180</v>
      </c>
      <c r="Z1547" s="84" t="str">
        <f>HYPERLINK("https://twitter.com/bortolini_e/status/1442442867008540673")</f>
        <v>https://twitter.com/bortolini_e/status/1442442867008540673</v>
      </c>
      <c r="AA1547" s="81"/>
      <c r="AB1547" s="81"/>
      <c r="AC1547" s="86" t="s">
        <v>7359</v>
      </c>
      <c r="AD1547" s="81"/>
      <c r="AE1547" s="81" t="b">
        <v>0</v>
      </c>
      <c r="AF1547" s="81">
        <v>0</v>
      </c>
      <c r="AG1547" s="86" t="s">
        <v>2084</v>
      </c>
      <c r="AH1547" s="81" t="b">
        <v>0</v>
      </c>
      <c r="AI1547" s="81" t="s">
        <v>2173</v>
      </c>
      <c r="AJ1547" s="81"/>
      <c r="AK1547" s="86" t="s">
        <v>2084</v>
      </c>
      <c r="AL1547" s="81" t="b">
        <v>0</v>
      </c>
      <c r="AM1547" s="81">
        <v>21</v>
      </c>
      <c r="AN1547" s="86" t="s">
        <v>7358</v>
      </c>
      <c r="AO1547" s="86" t="s">
        <v>2181</v>
      </c>
      <c r="AP1547" s="81" t="b">
        <v>0</v>
      </c>
      <c r="AQ1547" s="86" t="s">
        <v>7358</v>
      </c>
      <c r="AR1547" s="81" t="s">
        <v>179</v>
      </c>
      <c r="AS1547" s="81">
        <v>0</v>
      </c>
      <c r="AT1547" s="81">
        <v>0</v>
      </c>
      <c r="AU1547" s="81"/>
      <c r="AV1547" s="81"/>
      <c r="AW1547" s="81"/>
      <c r="AX1547" s="81"/>
      <c r="AY1547" s="81"/>
      <c r="AZ1547" s="81"/>
      <c r="BA1547" s="81"/>
      <c r="BB1547" s="81"/>
    </row>
    <row r="1548" spans="1:54" x14ac:dyDescent="0.35">
      <c r="A1548" s="66" t="s">
        <v>4799</v>
      </c>
      <c r="B1548" s="66" t="s">
        <v>5156</v>
      </c>
      <c r="C1548" s="67"/>
      <c r="D1548" s="68"/>
      <c r="E1548" s="69"/>
      <c r="F1548" s="70"/>
      <c r="G1548" s="67"/>
      <c r="H1548" s="71"/>
      <c r="I1548" s="72"/>
      <c r="J1548" s="72"/>
      <c r="K1548" s="36"/>
      <c r="L1548" s="79"/>
      <c r="M1548" s="79"/>
      <c r="N1548" s="74"/>
      <c r="O1548" s="81" t="s">
        <v>695</v>
      </c>
      <c r="P1548" s="83">
        <v>44466.462523148148</v>
      </c>
      <c r="Q1548" s="81" t="s">
        <v>5546</v>
      </c>
      <c r="R1548" s="81"/>
      <c r="S1548" s="81"/>
      <c r="T1548" s="81"/>
      <c r="U1548" s="81"/>
      <c r="V1548" s="84" t="str">
        <f>HYPERLINK("https://pbs.twimg.com/profile_images/963128595106410497/Fewdf1Wi_normal.jpg")</f>
        <v>https://pbs.twimg.com/profile_images/963128595106410497/Fewdf1Wi_normal.jpg</v>
      </c>
      <c r="W1548" s="83">
        <v>44466.462523148148</v>
      </c>
      <c r="X1548" s="89">
        <v>44466</v>
      </c>
      <c r="Y1548" s="86" t="s">
        <v>1129</v>
      </c>
      <c r="Z1548" s="84" t="str">
        <f>HYPERLINK("https://twitter.com/paulpessoa18/status/1442445419653386243")</f>
        <v>https://twitter.com/paulpessoa18/status/1442445419653386243</v>
      </c>
      <c r="AA1548" s="81"/>
      <c r="AB1548" s="81"/>
      <c r="AC1548" s="86" t="s">
        <v>7360</v>
      </c>
      <c r="AD1548" s="86" t="s">
        <v>7728</v>
      </c>
      <c r="AE1548" s="81" t="b">
        <v>0</v>
      </c>
      <c r="AF1548" s="81">
        <v>0</v>
      </c>
      <c r="AG1548" s="86" t="s">
        <v>7903</v>
      </c>
      <c r="AH1548" s="81" t="b">
        <v>0</v>
      </c>
      <c r="AI1548" s="81" t="s">
        <v>2171</v>
      </c>
      <c r="AJ1548" s="81"/>
      <c r="AK1548" s="86" t="s">
        <v>2084</v>
      </c>
      <c r="AL1548" s="81" t="b">
        <v>0</v>
      </c>
      <c r="AM1548" s="81">
        <v>0</v>
      </c>
      <c r="AN1548" s="86" t="s">
        <v>2084</v>
      </c>
      <c r="AO1548" s="86" t="s">
        <v>2179</v>
      </c>
      <c r="AP1548" s="81" t="b">
        <v>0</v>
      </c>
      <c r="AQ1548" s="86" t="s">
        <v>7728</v>
      </c>
      <c r="AR1548" s="81" t="s">
        <v>179</v>
      </c>
      <c r="AS1548" s="81">
        <v>0</v>
      </c>
      <c r="AT1548" s="81">
        <v>0</v>
      </c>
      <c r="AU1548" s="81"/>
      <c r="AV1548" s="81"/>
      <c r="AW1548" s="81"/>
      <c r="AX1548" s="81"/>
      <c r="AY1548" s="81"/>
      <c r="AZ1548" s="81"/>
      <c r="BA1548" s="81"/>
      <c r="BB1548" s="81"/>
    </row>
    <row r="1549" spans="1:54" x14ac:dyDescent="0.35">
      <c r="A1549" s="66" t="s">
        <v>539</v>
      </c>
      <c r="B1549" s="66" t="s">
        <v>539</v>
      </c>
      <c r="C1549" s="67"/>
      <c r="D1549" s="68"/>
      <c r="E1549" s="69"/>
      <c r="F1549" s="70"/>
      <c r="G1549" s="67"/>
      <c r="H1549" s="71"/>
      <c r="I1549" s="72"/>
      <c r="J1549" s="72"/>
      <c r="K1549" s="36"/>
      <c r="L1549" s="79"/>
      <c r="M1549" s="79"/>
      <c r="N1549" s="74"/>
      <c r="O1549" s="81" t="s">
        <v>179</v>
      </c>
      <c r="P1549" s="83">
        <v>44466.468888888892</v>
      </c>
      <c r="Q1549" s="81" t="s">
        <v>879</v>
      </c>
      <c r="R1549" s="81"/>
      <c r="S1549" s="81"/>
      <c r="T1549" s="81"/>
      <c r="U1549" s="81"/>
      <c r="V1549" s="84" t="str">
        <f>HYPERLINK("https://pbs.twimg.com/profile_images/1443141862307422216/XBYXPnx9_normal.jpg")</f>
        <v>https://pbs.twimg.com/profile_images/1443141862307422216/XBYXPnx9_normal.jpg</v>
      </c>
      <c r="W1549" s="83">
        <v>44466.468888888892</v>
      </c>
      <c r="X1549" s="89">
        <v>44466</v>
      </c>
      <c r="Y1549" s="86" t="s">
        <v>1422</v>
      </c>
      <c r="Z1549" s="84" t="str">
        <f>HYPERLINK("https://twitter.com/juyeonspicy/status/1442447728160559105")</f>
        <v>https://twitter.com/juyeonspicy/status/1442447728160559105</v>
      </c>
      <c r="AA1549" s="81"/>
      <c r="AB1549" s="81"/>
      <c r="AC1549" s="86" t="s">
        <v>1918</v>
      </c>
      <c r="AD1549" s="86" t="s">
        <v>2076</v>
      </c>
      <c r="AE1549" s="81" t="b">
        <v>0</v>
      </c>
      <c r="AF1549" s="81">
        <v>0</v>
      </c>
      <c r="AG1549" s="86" t="s">
        <v>2159</v>
      </c>
      <c r="AH1549" s="81" t="b">
        <v>0</v>
      </c>
      <c r="AI1549" s="81" t="s">
        <v>2167</v>
      </c>
      <c r="AJ1549" s="81"/>
      <c r="AK1549" s="86" t="s">
        <v>2084</v>
      </c>
      <c r="AL1549" s="81" t="b">
        <v>0</v>
      </c>
      <c r="AM1549" s="81">
        <v>0</v>
      </c>
      <c r="AN1549" s="86" t="s">
        <v>2084</v>
      </c>
      <c r="AO1549" s="86" t="s">
        <v>2178</v>
      </c>
      <c r="AP1549" s="81" t="b">
        <v>0</v>
      </c>
      <c r="AQ1549" s="86" t="s">
        <v>2076</v>
      </c>
      <c r="AR1549" s="81" t="s">
        <v>179</v>
      </c>
      <c r="AS1549" s="81">
        <v>0</v>
      </c>
      <c r="AT1549" s="81">
        <v>0</v>
      </c>
      <c r="AU1549" s="81"/>
      <c r="AV1549" s="81"/>
      <c r="AW1549" s="81"/>
      <c r="AX1549" s="81"/>
      <c r="AY1549" s="81"/>
      <c r="AZ1549" s="81"/>
      <c r="BA1549" s="81"/>
      <c r="BB1549" s="81"/>
    </row>
    <row r="1550" spans="1:54" x14ac:dyDescent="0.35">
      <c r="A1550" s="66" t="s">
        <v>540</v>
      </c>
      <c r="B1550" s="66" t="s">
        <v>540</v>
      </c>
      <c r="C1550" s="67"/>
      <c r="D1550" s="68"/>
      <c r="E1550" s="69"/>
      <c r="F1550" s="70"/>
      <c r="G1550" s="67"/>
      <c r="H1550" s="71"/>
      <c r="I1550" s="72"/>
      <c r="J1550" s="72"/>
      <c r="K1550" s="36"/>
      <c r="L1550" s="79"/>
      <c r="M1550" s="79"/>
      <c r="N1550" s="74"/>
      <c r="O1550" s="81" t="s">
        <v>179</v>
      </c>
      <c r="P1550" s="83">
        <v>44466.478634259256</v>
      </c>
      <c r="Q1550" s="81" t="s">
        <v>880</v>
      </c>
      <c r="R1550" s="81"/>
      <c r="S1550" s="81"/>
      <c r="T1550" s="81"/>
      <c r="U1550" s="81"/>
      <c r="V1550" s="84" t="str">
        <f>HYPERLINK("https://pbs.twimg.com/profile_images/1307219680436711424/SeUn4vA2_normal.jpg")</f>
        <v>https://pbs.twimg.com/profile_images/1307219680436711424/SeUn4vA2_normal.jpg</v>
      </c>
      <c r="W1550" s="83">
        <v>44466.478634259256</v>
      </c>
      <c r="X1550" s="89">
        <v>44466</v>
      </c>
      <c r="Y1550" s="86" t="s">
        <v>1423</v>
      </c>
      <c r="Z1550" s="84" t="str">
        <f>HYPERLINK("https://twitter.com/mmrrllssyyffqq/status/1442451259873652740")</f>
        <v>https://twitter.com/mmrrllssyyffqq/status/1442451259873652740</v>
      </c>
      <c r="AA1550" s="81"/>
      <c r="AB1550" s="81"/>
      <c r="AC1550" s="86" t="s">
        <v>1919</v>
      </c>
      <c r="AD1550" s="81"/>
      <c r="AE1550" s="81" t="b">
        <v>0</v>
      </c>
      <c r="AF1550" s="81">
        <v>0</v>
      </c>
      <c r="AG1550" s="86" t="s">
        <v>2084</v>
      </c>
      <c r="AH1550" s="81" t="b">
        <v>0</v>
      </c>
      <c r="AI1550" s="81" t="s">
        <v>2167</v>
      </c>
      <c r="AJ1550" s="81"/>
      <c r="AK1550" s="86" t="s">
        <v>2084</v>
      </c>
      <c r="AL1550" s="81" t="b">
        <v>0</v>
      </c>
      <c r="AM1550" s="81">
        <v>0</v>
      </c>
      <c r="AN1550" s="86" t="s">
        <v>2084</v>
      </c>
      <c r="AO1550" s="86" t="s">
        <v>2179</v>
      </c>
      <c r="AP1550" s="81" t="b">
        <v>0</v>
      </c>
      <c r="AQ1550" s="86" t="s">
        <v>1919</v>
      </c>
      <c r="AR1550" s="81" t="s">
        <v>179</v>
      </c>
      <c r="AS1550" s="81">
        <v>0</v>
      </c>
      <c r="AT1550" s="81">
        <v>0</v>
      </c>
      <c r="AU1550" s="81"/>
      <c r="AV1550" s="81"/>
      <c r="AW1550" s="81"/>
      <c r="AX1550" s="81"/>
      <c r="AY1550" s="81"/>
      <c r="AZ1550" s="81"/>
      <c r="BA1550" s="81"/>
      <c r="BB1550" s="81"/>
    </row>
    <row r="1551" spans="1:54" x14ac:dyDescent="0.35">
      <c r="A1551" s="66" t="s">
        <v>4800</v>
      </c>
      <c r="B1551" s="66" t="s">
        <v>4800</v>
      </c>
      <c r="C1551" s="67"/>
      <c r="D1551" s="68"/>
      <c r="E1551" s="69"/>
      <c r="F1551" s="70"/>
      <c r="G1551" s="67"/>
      <c r="H1551" s="71"/>
      <c r="I1551" s="72"/>
      <c r="J1551" s="72"/>
      <c r="K1551" s="36"/>
      <c r="L1551" s="79"/>
      <c r="M1551" s="79"/>
      <c r="N1551" s="74"/>
      <c r="O1551" s="81" t="s">
        <v>179</v>
      </c>
      <c r="P1551" s="83">
        <v>44466.490833333337</v>
      </c>
      <c r="Q1551" s="84" t="str">
        <f>HYPERLINK("https://t.co/0zjdaFIjlH")</f>
        <v>https://t.co/0zjdaFIjlH</v>
      </c>
      <c r="R1551" s="84" t="str">
        <f>HYPERLINK("https://www.rimasebatidas.pt/do-pos-bop-as-perolas-escondidas-blue-note-anuncia-nova-serie-de-reedicoes-em-vinil-de-classicos/")</f>
        <v>https://www.rimasebatidas.pt/do-pos-bop-as-perolas-escondidas-blue-note-anuncia-nova-serie-de-reedicoes-em-vinil-de-classicos/</v>
      </c>
      <c r="S1551" s="81" t="s">
        <v>5743</v>
      </c>
      <c r="T1551" s="81"/>
      <c r="U1551" s="81"/>
      <c r="V1551" s="84" t="str">
        <f>HYPERLINK("https://pbs.twimg.com/profile_images/586290282716598273/R3utUO_R_normal.png")</f>
        <v>https://pbs.twimg.com/profile_images/586290282716598273/R3utUO_R_normal.png</v>
      </c>
      <c r="W1551" s="83">
        <v>44466.490833333337</v>
      </c>
      <c r="X1551" s="89">
        <v>44466</v>
      </c>
      <c r="Y1551" s="86" t="s">
        <v>6442</v>
      </c>
      <c r="Z1551" s="84" t="str">
        <f>HYPERLINK("https://twitter.com/rimasebatidas/status/1442455681936728064")</f>
        <v>https://twitter.com/rimasebatidas/status/1442455681936728064</v>
      </c>
      <c r="AA1551" s="81"/>
      <c r="AB1551" s="81"/>
      <c r="AC1551" s="86" t="s">
        <v>7361</v>
      </c>
      <c r="AD1551" s="81"/>
      <c r="AE1551" s="81" t="b">
        <v>0</v>
      </c>
      <c r="AF1551" s="81">
        <v>0</v>
      </c>
      <c r="AG1551" s="86" t="s">
        <v>2084</v>
      </c>
      <c r="AH1551" s="81" t="b">
        <v>0</v>
      </c>
      <c r="AI1551" s="81" t="s">
        <v>2173</v>
      </c>
      <c r="AJ1551" s="81"/>
      <c r="AK1551" s="86" t="s">
        <v>2084</v>
      </c>
      <c r="AL1551" s="81" t="b">
        <v>0</v>
      </c>
      <c r="AM1551" s="81">
        <v>0</v>
      </c>
      <c r="AN1551" s="86" t="s">
        <v>2084</v>
      </c>
      <c r="AO1551" s="86" t="s">
        <v>2181</v>
      </c>
      <c r="AP1551" s="81" t="b">
        <v>0</v>
      </c>
      <c r="AQ1551" s="86" t="s">
        <v>7361</v>
      </c>
      <c r="AR1551" s="81" t="s">
        <v>179</v>
      </c>
      <c r="AS1551" s="81">
        <v>0</v>
      </c>
      <c r="AT1551" s="81">
        <v>0</v>
      </c>
      <c r="AU1551" s="81"/>
      <c r="AV1551" s="81"/>
      <c r="AW1551" s="81"/>
      <c r="AX1551" s="81"/>
      <c r="AY1551" s="81"/>
      <c r="AZ1551" s="81"/>
      <c r="BA1551" s="81"/>
      <c r="BB1551" s="81"/>
    </row>
    <row r="1552" spans="1:54" x14ac:dyDescent="0.35">
      <c r="A1552" s="66" t="s">
        <v>4801</v>
      </c>
      <c r="B1552" s="66" t="s">
        <v>4944</v>
      </c>
      <c r="C1552" s="67"/>
      <c r="D1552" s="68"/>
      <c r="E1552" s="69"/>
      <c r="F1552" s="70"/>
      <c r="G1552" s="67"/>
      <c r="H1552" s="71"/>
      <c r="I1552" s="72"/>
      <c r="J1552" s="72"/>
      <c r="K1552" s="36"/>
      <c r="L1552" s="79"/>
      <c r="M1552" s="79"/>
      <c r="N1552" s="74"/>
      <c r="O1552" s="81" t="s">
        <v>693</v>
      </c>
      <c r="P1552" s="83">
        <v>44466.496863425928</v>
      </c>
      <c r="Q1552" s="81" t="s">
        <v>5505</v>
      </c>
      <c r="R1552" s="81"/>
      <c r="S1552" s="81"/>
      <c r="T1552" s="81"/>
      <c r="U1552" s="81"/>
      <c r="V1552" s="84" t="str">
        <f>HYPERLINK("https://pbs.twimg.com/profile_images/1406260039040569346/ccIjMo8s_normal.jpg")</f>
        <v>https://pbs.twimg.com/profile_images/1406260039040569346/ccIjMo8s_normal.jpg</v>
      </c>
      <c r="W1552" s="83">
        <v>44466.496863425928</v>
      </c>
      <c r="X1552" s="89">
        <v>44466</v>
      </c>
      <c r="Y1552" s="86" t="s">
        <v>6443</v>
      </c>
      <c r="Z1552" s="84" t="str">
        <f>HYPERLINK("https://twitter.com/aurintheo2/status/1442457866519158785")</f>
        <v>https://twitter.com/aurintheo2/status/1442457866519158785</v>
      </c>
      <c r="AA1552" s="81"/>
      <c r="AB1552" s="81"/>
      <c r="AC1552" s="86" t="s">
        <v>7362</v>
      </c>
      <c r="AD1552" s="81"/>
      <c r="AE1552" s="81" t="b">
        <v>0</v>
      </c>
      <c r="AF1552" s="81">
        <v>0</v>
      </c>
      <c r="AG1552" s="86" t="s">
        <v>2084</v>
      </c>
      <c r="AH1552" s="81" t="b">
        <v>0</v>
      </c>
      <c r="AI1552" s="81" t="s">
        <v>2171</v>
      </c>
      <c r="AJ1552" s="81"/>
      <c r="AK1552" s="86" t="s">
        <v>2084</v>
      </c>
      <c r="AL1552" s="81" t="b">
        <v>0</v>
      </c>
      <c r="AM1552" s="81">
        <v>255</v>
      </c>
      <c r="AN1552" s="86" t="s">
        <v>7543</v>
      </c>
      <c r="AO1552" s="86" t="s">
        <v>2178</v>
      </c>
      <c r="AP1552" s="81" t="b">
        <v>0</v>
      </c>
      <c r="AQ1552" s="86" t="s">
        <v>7543</v>
      </c>
      <c r="AR1552" s="81" t="s">
        <v>179</v>
      </c>
      <c r="AS1552" s="81">
        <v>0</v>
      </c>
      <c r="AT1552" s="81">
        <v>0</v>
      </c>
      <c r="AU1552" s="81"/>
      <c r="AV1552" s="81"/>
      <c r="AW1552" s="81"/>
      <c r="AX1552" s="81"/>
      <c r="AY1552" s="81"/>
      <c r="AZ1552" s="81"/>
      <c r="BA1552" s="81"/>
      <c r="BB1552" s="81"/>
    </row>
    <row r="1553" spans="1:54" x14ac:dyDescent="0.35">
      <c r="A1553" s="66" t="s">
        <v>4802</v>
      </c>
      <c r="B1553" s="66" t="s">
        <v>4802</v>
      </c>
      <c r="C1553" s="67"/>
      <c r="D1553" s="68"/>
      <c r="E1553" s="69"/>
      <c r="F1553" s="70"/>
      <c r="G1553" s="67"/>
      <c r="H1553" s="71"/>
      <c r="I1553" s="72"/>
      <c r="J1553" s="72"/>
      <c r="K1553" s="36"/>
      <c r="L1553" s="79"/>
      <c r="M1553" s="79"/>
      <c r="N1553" s="74"/>
      <c r="O1553" s="81" t="s">
        <v>179</v>
      </c>
      <c r="P1553" s="83">
        <v>44466.499432870369</v>
      </c>
      <c r="Q1553" s="84" t="str">
        <f>HYPERLINK("https://t.co/WbFA2xWOcl")</f>
        <v>https://t.co/WbFA2xWOcl</v>
      </c>
      <c r="R1553"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1553" s="81" t="s">
        <v>5696</v>
      </c>
      <c r="T1553" s="81"/>
      <c r="U1553" s="81"/>
      <c r="V1553" s="84" t="str">
        <f>HYPERLINK("https://pbs.twimg.com/profile_images/1336006333372506115/6cacw-rC_normal.jpg")</f>
        <v>https://pbs.twimg.com/profile_images/1336006333372506115/6cacw-rC_normal.jpg</v>
      </c>
      <c r="W1553" s="83">
        <v>44466.499432870369</v>
      </c>
      <c r="X1553" s="89">
        <v>44466</v>
      </c>
      <c r="Y1553" s="86" t="s">
        <v>6444</v>
      </c>
      <c r="Z1553" s="84" t="str">
        <f>HYPERLINK("https://twitter.com/tiagojferreira/status/1442458795649634304")</f>
        <v>https://twitter.com/tiagojferreira/status/1442458795649634304</v>
      </c>
      <c r="AA1553" s="81"/>
      <c r="AB1553" s="81"/>
      <c r="AC1553" s="86" t="s">
        <v>7363</v>
      </c>
      <c r="AD1553" s="81"/>
      <c r="AE1553" s="81" t="b">
        <v>0</v>
      </c>
      <c r="AF1553" s="81">
        <v>0</v>
      </c>
      <c r="AG1553" s="86" t="s">
        <v>2084</v>
      </c>
      <c r="AH1553" s="81" t="b">
        <v>0</v>
      </c>
      <c r="AI1553" s="81" t="s">
        <v>2173</v>
      </c>
      <c r="AJ1553" s="81"/>
      <c r="AK1553" s="86" t="s">
        <v>2084</v>
      </c>
      <c r="AL1553" s="81" t="b">
        <v>0</v>
      </c>
      <c r="AM1553" s="81">
        <v>0</v>
      </c>
      <c r="AN1553" s="86" t="s">
        <v>2084</v>
      </c>
      <c r="AO1553" s="86" t="s">
        <v>2178</v>
      </c>
      <c r="AP1553" s="81" t="b">
        <v>0</v>
      </c>
      <c r="AQ1553" s="86" t="s">
        <v>7363</v>
      </c>
      <c r="AR1553" s="81" t="s">
        <v>179</v>
      </c>
      <c r="AS1553" s="81">
        <v>0</v>
      </c>
      <c r="AT1553" s="81">
        <v>0</v>
      </c>
      <c r="AU1553" s="81"/>
      <c r="AV1553" s="81"/>
      <c r="AW1553" s="81"/>
      <c r="AX1553" s="81"/>
      <c r="AY1553" s="81"/>
      <c r="AZ1553" s="81"/>
      <c r="BA1553" s="81"/>
      <c r="BB1553" s="81"/>
    </row>
    <row r="1554" spans="1:54" x14ac:dyDescent="0.35">
      <c r="A1554" s="66" t="s">
        <v>542</v>
      </c>
      <c r="B1554" s="66" t="s">
        <v>687</v>
      </c>
      <c r="C1554" s="67"/>
      <c r="D1554" s="68"/>
      <c r="E1554" s="69"/>
      <c r="F1554" s="70"/>
      <c r="G1554" s="67"/>
      <c r="H1554" s="71"/>
      <c r="I1554" s="72"/>
      <c r="J1554" s="72"/>
      <c r="K1554" s="36"/>
      <c r="L1554" s="79"/>
      <c r="M1554" s="79"/>
      <c r="N1554" s="74"/>
      <c r="O1554" s="81" t="s">
        <v>695</v>
      </c>
      <c r="P1554" s="83">
        <v>44466.501585648148</v>
      </c>
      <c r="Q1554" s="81" t="s">
        <v>881</v>
      </c>
      <c r="R1554" s="81"/>
      <c r="S1554" s="81"/>
      <c r="T1554" s="81"/>
      <c r="U1554" s="81"/>
      <c r="V1554" s="84" t="str">
        <f>HYPERLINK("https://pbs.twimg.com/profile_images/1022491401689300992/z39-NKi0_normal.jpg")</f>
        <v>https://pbs.twimg.com/profile_images/1022491401689300992/z39-NKi0_normal.jpg</v>
      </c>
      <c r="W1554" s="83">
        <v>44466.501585648148</v>
      </c>
      <c r="X1554" s="89">
        <v>44466</v>
      </c>
      <c r="Y1554" s="86" t="s">
        <v>1425</v>
      </c>
      <c r="Z1554" s="84" t="str">
        <f>HYPERLINK("https://twitter.com/repkemanz/status/1442459576800997378")</f>
        <v>https://twitter.com/repkemanz/status/1442459576800997378</v>
      </c>
      <c r="AA1554" s="81"/>
      <c r="AB1554" s="81"/>
      <c r="AC1554" s="86" t="s">
        <v>1921</v>
      </c>
      <c r="AD1554" s="86" t="s">
        <v>2077</v>
      </c>
      <c r="AE1554" s="81" t="b">
        <v>0</v>
      </c>
      <c r="AF1554" s="81">
        <v>0</v>
      </c>
      <c r="AG1554" s="86" t="s">
        <v>2160</v>
      </c>
      <c r="AH1554" s="81" t="b">
        <v>0</v>
      </c>
      <c r="AI1554" s="81" t="s">
        <v>2167</v>
      </c>
      <c r="AJ1554" s="81"/>
      <c r="AK1554" s="86" t="s">
        <v>2084</v>
      </c>
      <c r="AL1554" s="81" t="b">
        <v>0</v>
      </c>
      <c r="AM1554" s="81">
        <v>0</v>
      </c>
      <c r="AN1554" s="86" t="s">
        <v>2084</v>
      </c>
      <c r="AO1554" s="86" t="s">
        <v>2178</v>
      </c>
      <c r="AP1554" s="81" t="b">
        <v>0</v>
      </c>
      <c r="AQ1554" s="86" t="s">
        <v>2077</v>
      </c>
      <c r="AR1554" s="81" t="s">
        <v>179</v>
      </c>
      <c r="AS1554" s="81">
        <v>0</v>
      </c>
      <c r="AT1554" s="81">
        <v>0</v>
      </c>
      <c r="AU1554" s="81"/>
      <c r="AV1554" s="81"/>
      <c r="AW1554" s="81"/>
      <c r="AX1554" s="81"/>
      <c r="AY1554" s="81"/>
      <c r="AZ1554" s="81"/>
      <c r="BA1554" s="81"/>
      <c r="BB1554" s="81"/>
    </row>
    <row r="1555" spans="1:54" x14ac:dyDescent="0.35">
      <c r="A1555" s="66" t="s">
        <v>543</v>
      </c>
      <c r="B1555" s="66" t="s">
        <v>578</v>
      </c>
      <c r="C1555" s="67"/>
      <c r="D1555" s="68"/>
      <c r="E1555" s="69"/>
      <c r="F1555" s="70"/>
      <c r="G1555" s="67"/>
      <c r="H1555" s="71"/>
      <c r="I1555" s="72"/>
      <c r="J1555" s="72"/>
      <c r="K1555" s="36"/>
      <c r="L1555" s="79"/>
      <c r="M1555" s="79"/>
      <c r="N1555" s="74"/>
      <c r="O1555" s="81" t="s">
        <v>693</v>
      </c>
      <c r="P1555" s="83">
        <v>44466.503171296295</v>
      </c>
      <c r="Q1555" s="81" t="s">
        <v>878</v>
      </c>
      <c r="R1555" s="81"/>
      <c r="S1555" s="81"/>
      <c r="T1555" s="81"/>
      <c r="U1555" s="84" t="str">
        <f>HYPERLINK("https://pbs.twimg.com/media/FASHjEnUcAMSLOM.jpg")</f>
        <v>https://pbs.twimg.com/media/FASHjEnUcAMSLOM.jpg</v>
      </c>
      <c r="V1555" s="84" t="str">
        <f>HYPERLINK("https://pbs.twimg.com/media/FASHjEnUcAMSLOM.jpg")</f>
        <v>https://pbs.twimg.com/media/FASHjEnUcAMSLOM.jpg</v>
      </c>
      <c r="W1555" s="83">
        <v>44466.503171296295</v>
      </c>
      <c r="X1555" s="89">
        <v>44466</v>
      </c>
      <c r="Y1555" s="86" t="s">
        <v>1426</v>
      </c>
      <c r="Z1555" s="84" t="str">
        <f>HYPERLINK("https://twitter.com/ide2nesia/status/1442460150082641920")</f>
        <v>https://twitter.com/ide2nesia/status/1442460150082641920</v>
      </c>
      <c r="AA1555" s="81"/>
      <c r="AB1555" s="81"/>
      <c r="AC1555" s="86" t="s">
        <v>1922</v>
      </c>
      <c r="AD1555" s="81"/>
      <c r="AE1555" s="81" t="b">
        <v>0</v>
      </c>
      <c r="AF1555" s="81">
        <v>0</v>
      </c>
      <c r="AG1555" s="86" t="s">
        <v>2084</v>
      </c>
      <c r="AH1555" s="81" t="b">
        <v>0</v>
      </c>
      <c r="AI1555" s="81" t="s">
        <v>2167</v>
      </c>
      <c r="AJ1555" s="81"/>
      <c r="AK1555" s="86" t="s">
        <v>2084</v>
      </c>
      <c r="AL1555" s="81" t="b">
        <v>0</v>
      </c>
      <c r="AM1555" s="81">
        <v>9</v>
      </c>
      <c r="AN1555" s="86" t="s">
        <v>1961</v>
      </c>
      <c r="AO1555" s="86" t="s">
        <v>2181</v>
      </c>
      <c r="AP1555" s="81" t="b">
        <v>0</v>
      </c>
      <c r="AQ1555" s="86" t="s">
        <v>1961</v>
      </c>
      <c r="AR1555" s="81" t="s">
        <v>179</v>
      </c>
      <c r="AS1555" s="81">
        <v>0</v>
      </c>
      <c r="AT1555" s="81">
        <v>0</v>
      </c>
      <c r="AU1555" s="81"/>
      <c r="AV1555" s="81"/>
      <c r="AW1555" s="81"/>
      <c r="AX1555" s="81"/>
      <c r="AY1555" s="81"/>
      <c r="AZ1555" s="81"/>
      <c r="BA1555" s="81"/>
      <c r="BB1555" s="81"/>
    </row>
    <row r="1556" spans="1:54" x14ac:dyDescent="0.35">
      <c r="A1556" s="66" t="s">
        <v>544</v>
      </c>
      <c r="B1556" s="66" t="s">
        <v>544</v>
      </c>
      <c r="C1556" s="67"/>
      <c r="D1556" s="68"/>
      <c r="E1556" s="69"/>
      <c r="F1556" s="70"/>
      <c r="G1556" s="67"/>
      <c r="H1556" s="71"/>
      <c r="I1556" s="72"/>
      <c r="J1556" s="72"/>
      <c r="K1556" s="36"/>
      <c r="L1556" s="79"/>
      <c r="M1556" s="79"/>
      <c r="N1556" s="74"/>
      <c r="O1556" s="81" t="s">
        <v>179</v>
      </c>
      <c r="P1556" s="83">
        <v>44466.506782407407</v>
      </c>
      <c r="Q1556" s="81" t="s">
        <v>882</v>
      </c>
      <c r="R1556" s="81"/>
      <c r="S1556" s="81"/>
      <c r="T1556" s="81"/>
      <c r="U1556" s="81"/>
      <c r="V1556" s="84" t="str">
        <f>HYPERLINK("https://pbs.twimg.com/profile_images/1438432618953928705/X21tt8HN_normal.jpg")</f>
        <v>https://pbs.twimg.com/profile_images/1438432618953928705/X21tt8HN_normal.jpg</v>
      </c>
      <c r="W1556" s="83">
        <v>44466.506782407407</v>
      </c>
      <c r="X1556" s="89">
        <v>44466</v>
      </c>
      <c r="Y1556" s="86" t="s">
        <v>1427</v>
      </c>
      <c r="Z1556" s="84" t="str">
        <f>HYPERLINK("https://twitter.com/nikfaez_/status/1442461458965536774")</f>
        <v>https://twitter.com/nikfaez_/status/1442461458965536774</v>
      </c>
      <c r="AA1556" s="81"/>
      <c r="AB1556" s="81"/>
      <c r="AC1556" s="86" t="s">
        <v>1923</v>
      </c>
      <c r="AD1556" s="81"/>
      <c r="AE1556" s="81" t="b">
        <v>0</v>
      </c>
      <c r="AF1556" s="81">
        <v>0</v>
      </c>
      <c r="AG1556" s="86" t="s">
        <v>2084</v>
      </c>
      <c r="AH1556" s="81" t="b">
        <v>0</v>
      </c>
      <c r="AI1556" s="81" t="s">
        <v>2167</v>
      </c>
      <c r="AJ1556" s="81"/>
      <c r="AK1556" s="86" t="s">
        <v>2084</v>
      </c>
      <c r="AL1556" s="81" t="b">
        <v>0</v>
      </c>
      <c r="AM1556" s="81">
        <v>0</v>
      </c>
      <c r="AN1556" s="86" t="s">
        <v>2084</v>
      </c>
      <c r="AO1556" s="86" t="s">
        <v>2178</v>
      </c>
      <c r="AP1556" s="81" t="b">
        <v>0</v>
      </c>
      <c r="AQ1556" s="86" t="s">
        <v>1923</v>
      </c>
      <c r="AR1556" s="81" t="s">
        <v>179</v>
      </c>
      <c r="AS1556" s="81">
        <v>0</v>
      </c>
      <c r="AT1556" s="81">
        <v>0</v>
      </c>
      <c r="AU1556" s="81"/>
      <c r="AV1556" s="81"/>
      <c r="AW1556" s="81"/>
      <c r="AX1556" s="81"/>
      <c r="AY1556" s="81"/>
      <c r="AZ1556" s="81"/>
      <c r="BA1556" s="81"/>
      <c r="BB1556" s="81"/>
    </row>
    <row r="1557" spans="1:54" x14ac:dyDescent="0.35">
      <c r="A1557" s="66" t="s">
        <v>4803</v>
      </c>
      <c r="B1557" s="66" t="s">
        <v>4944</v>
      </c>
      <c r="C1557" s="67"/>
      <c r="D1557" s="68"/>
      <c r="E1557" s="69"/>
      <c r="F1557" s="70"/>
      <c r="G1557" s="67"/>
      <c r="H1557" s="71"/>
      <c r="I1557" s="72"/>
      <c r="J1557" s="72"/>
      <c r="K1557" s="36"/>
      <c r="L1557" s="79"/>
      <c r="M1557" s="79"/>
      <c r="N1557" s="74"/>
      <c r="O1557" s="81" t="s">
        <v>693</v>
      </c>
      <c r="P1557" s="83">
        <v>44466.516122685185</v>
      </c>
      <c r="Q1557" s="81" t="s">
        <v>5505</v>
      </c>
      <c r="R1557" s="81"/>
      <c r="S1557" s="81"/>
      <c r="T1557" s="81"/>
      <c r="U1557" s="81"/>
      <c r="V1557" s="84" t="str">
        <f>HYPERLINK("https://pbs.twimg.com/profile_images/1186747238342635520/SKULVfnJ_normal.jpg")</f>
        <v>https://pbs.twimg.com/profile_images/1186747238342635520/SKULVfnJ_normal.jpg</v>
      </c>
      <c r="W1557" s="83">
        <v>44466.516122685185</v>
      </c>
      <c r="X1557" s="89">
        <v>44466</v>
      </c>
      <c r="Y1557" s="86" t="s">
        <v>6445</v>
      </c>
      <c r="Z1557" s="84" t="str">
        <f>HYPERLINK("https://twitter.com/marcelocoutinho/status/1442464847459852292")</f>
        <v>https://twitter.com/marcelocoutinho/status/1442464847459852292</v>
      </c>
      <c r="AA1557" s="81"/>
      <c r="AB1557" s="81"/>
      <c r="AC1557" s="86" t="s">
        <v>7364</v>
      </c>
      <c r="AD1557" s="81"/>
      <c r="AE1557" s="81" t="b">
        <v>0</v>
      </c>
      <c r="AF1557" s="81">
        <v>0</v>
      </c>
      <c r="AG1557" s="86" t="s">
        <v>2084</v>
      </c>
      <c r="AH1557" s="81" t="b">
        <v>0</v>
      </c>
      <c r="AI1557" s="81" t="s">
        <v>2171</v>
      </c>
      <c r="AJ1557" s="81"/>
      <c r="AK1557" s="86" t="s">
        <v>2084</v>
      </c>
      <c r="AL1557" s="81" t="b">
        <v>0</v>
      </c>
      <c r="AM1557" s="81">
        <v>255</v>
      </c>
      <c r="AN1557" s="86" t="s">
        <v>7543</v>
      </c>
      <c r="AO1557" s="86" t="s">
        <v>2178</v>
      </c>
      <c r="AP1557" s="81" t="b">
        <v>0</v>
      </c>
      <c r="AQ1557" s="86" t="s">
        <v>7543</v>
      </c>
      <c r="AR1557" s="81" t="s">
        <v>179</v>
      </c>
      <c r="AS1557" s="81">
        <v>0</v>
      </c>
      <c r="AT1557" s="81">
        <v>0</v>
      </c>
      <c r="AU1557" s="81"/>
      <c r="AV1557" s="81"/>
      <c r="AW1557" s="81"/>
      <c r="AX1557" s="81"/>
      <c r="AY1557" s="81"/>
      <c r="AZ1557" s="81"/>
      <c r="BA1557" s="81"/>
      <c r="BB1557" s="81"/>
    </row>
    <row r="1558" spans="1:54" x14ac:dyDescent="0.35">
      <c r="A1558" s="66" t="s">
        <v>4804</v>
      </c>
      <c r="B1558" s="66" t="s">
        <v>4944</v>
      </c>
      <c r="C1558" s="67"/>
      <c r="D1558" s="68"/>
      <c r="E1558" s="69"/>
      <c r="F1558" s="70"/>
      <c r="G1558" s="67"/>
      <c r="H1558" s="71"/>
      <c r="I1558" s="72"/>
      <c r="J1558" s="72"/>
      <c r="K1558" s="36"/>
      <c r="L1558" s="79"/>
      <c r="M1558" s="79"/>
      <c r="N1558" s="74"/>
      <c r="O1558" s="81" t="s">
        <v>693</v>
      </c>
      <c r="P1558" s="83">
        <v>44466.519560185188</v>
      </c>
      <c r="Q1558" s="81" t="s">
        <v>5505</v>
      </c>
      <c r="R1558" s="81"/>
      <c r="S1558" s="81"/>
      <c r="T1558" s="81"/>
      <c r="U1558" s="81"/>
      <c r="V1558" s="84" t="str">
        <f>HYPERLINK("https://pbs.twimg.com/profile_images/1427401916183625731/Lvm2yoat_normal.jpg")</f>
        <v>https://pbs.twimg.com/profile_images/1427401916183625731/Lvm2yoat_normal.jpg</v>
      </c>
      <c r="W1558" s="83">
        <v>44466.519560185188</v>
      </c>
      <c r="X1558" s="89">
        <v>44466</v>
      </c>
      <c r="Y1558" s="86" t="s">
        <v>6446</v>
      </c>
      <c r="Z1558" s="84" t="str">
        <f>HYPERLINK("https://twitter.com/marcopevieira/status/1442466091440218112")</f>
        <v>https://twitter.com/marcopevieira/status/1442466091440218112</v>
      </c>
      <c r="AA1558" s="81"/>
      <c r="AB1558" s="81"/>
      <c r="AC1558" s="86" t="s">
        <v>7365</v>
      </c>
      <c r="AD1558" s="81"/>
      <c r="AE1558" s="81" t="b">
        <v>0</v>
      </c>
      <c r="AF1558" s="81">
        <v>0</v>
      </c>
      <c r="AG1558" s="86" t="s">
        <v>2084</v>
      </c>
      <c r="AH1558" s="81" t="b">
        <v>0</v>
      </c>
      <c r="AI1558" s="81" t="s">
        <v>2171</v>
      </c>
      <c r="AJ1558" s="81"/>
      <c r="AK1558" s="86" t="s">
        <v>2084</v>
      </c>
      <c r="AL1558" s="81" t="b">
        <v>0</v>
      </c>
      <c r="AM1558" s="81">
        <v>255</v>
      </c>
      <c r="AN1558" s="86" t="s">
        <v>7543</v>
      </c>
      <c r="AO1558" s="86" t="s">
        <v>2178</v>
      </c>
      <c r="AP1558" s="81" t="b">
        <v>0</v>
      </c>
      <c r="AQ1558" s="86" t="s">
        <v>7543</v>
      </c>
      <c r="AR1558" s="81" t="s">
        <v>179</v>
      </c>
      <c r="AS1558" s="81">
        <v>0</v>
      </c>
      <c r="AT1558" s="81">
        <v>0</v>
      </c>
      <c r="AU1558" s="81"/>
      <c r="AV1558" s="81"/>
      <c r="AW1558" s="81"/>
      <c r="AX1558" s="81"/>
      <c r="AY1558" s="81"/>
      <c r="AZ1558" s="81"/>
      <c r="BA1558" s="81"/>
      <c r="BB1558" s="81"/>
    </row>
    <row r="1559" spans="1:54" x14ac:dyDescent="0.35">
      <c r="A1559" s="66" t="s">
        <v>4805</v>
      </c>
      <c r="B1559" s="66" t="s">
        <v>4805</v>
      </c>
      <c r="C1559" s="67"/>
      <c r="D1559" s="68"/>
      <c r="E1559" s="69"/>
      <c r="F1559" s="70"/>
      <c r="G1559" s="67"/>
      <c r="H1559" s="71"/>
      <c r="I1559" s="72"/>
      <c r="J1559" s="72"/>
      <c r="K1559" s="36"/>
      <c r="L1559" s="79"/>
      <c r="M1559" s="79"/>
      <c r="N1559" s="74"/>
      <c r="O1559" s="81" t="s">
        <v>179</v>
      </c>
      <c r="P1559" s="83">
        <v>44466.522731481484</v>
      </c>
      <c r="Q1559" s="81" t="s">
        <v>5547</v>
      </c>
      <c r="R1559" s="81"/>
      <c r="S1559" s="81"/>
      <c r="T1559" s="81"/>
      <c r="U1559" s="81"/>
      <c r="V1559" s="84" t="str">
        <f>HYPERLINK("https://pbs.twimg.com/profile_images/1393242274566262790/f-fZ4GrR_normal.jpg")</f>
        <v>https://pbs.twimg.com/profile_images/1393242274566262790/f-fZ4GrR_normal.jpg</v>
      </c>
      <c r="W1559" s="83">
        <v>44466.522731481484</v>
      </c>
      <c r="X1559" s="89">
        <v>44466</v>
      </c>
      <c r="Y1559" s="86" t="s">
        <v>6447</v>
      </c>
      <c r="Z1559" s="84" t="str">
        <f>HYPERLINK("https://twitter.com/elkrstyyy/status/1442467239744008198")</f>
        <v>https://twitter.com/elkrstyyy/status/1442467239744008198</v>
      </c>
      <c r="AA1559" s="81"/>
      <c r="AB1559" s="81"/>
      <c r="AC1559" s="86" t="s">
        <v>7366</v>
      </c>
      <c r="AD1559" s="81"/>
      <c r="AE1559" s="81" t="b">
        <v>0</v>
      </c>
      <c r="AF1559" s="81">
        <v>1</v>
      </c>
      <c r="AG1559" s="86" t="s">
        <v>2084</v>
      </c>
      <c r="AH1559" s="81" t="b">
        <v>0</v>
      </c>
      <c r="AI1559" s="81" t="s">
        <v>2167</v>
      </c>
      <c r="AJ1559" s="81"/>
      <c r="AK1559" s="86" t="s">
        <v>2084</v>
      </c>
      <c r="AL1559" s="81" t="b">
        <v>0</v>
      </c>
      <c r="AM1559" s="81">
        <v>0</v>
      </c>
      <c r="AN1559" s="86" t="s">
        <v>2084</v>
      </c>
      <c r="AO1559" s="86" t="s">
        <v>2179</v>
      </c>
      <c r="AP1559" s="81" t="b">
        <v>0</v>
      </c>
      <c r="AQ1559" s="86" t="s">
        <v>7366</v>
      </c>
      <c r="AR1559" s="81" t="s">
        <v>179</v>
      </c>
      <c r="AS1559" s="81">
        <v>0</v>
      </c>
      <c r="AT1559" s="81">
        <v>0</v>
      </c>
      <c r="AU1559" s="81"/>
      <c r="AV1559" s="81"/>
      <c r="AW1559" s="81"/>
      <c r="AX1559" s="81"/>
      <c r="AY1559" s="81"/>
      <c r="AZ1559" s="81"/>
      <c r="BA1559" s="81"/>
      <c r="BB1559" s="81"/>
    </row>
    <row r="1560" spans="1:54" x14ac:dyDescent="0.35">
      <c r="A1560" s="66" t="s">
        <v>4805</v>
      </c>
      <c r="B1560" s="66" t="s">
        <v>4805</v>
      </c>
      <c r="C1560" s="67"/>
      <c r="D1560" s="68"/>
      <c r="E1560" s="69"/>
      <c r="F1560" s="70"/>
      <c r="G1560" s="67"/>
      <c r="H1560" s="71"/>
      <c r="I1560" s="72"/>
      <c r="J1560" s="72"/>
      <c r="K1560" s="36"/>
      <c r="L1560" s="79"/>
      <c r="M1560" s="79"/>
      <c r="N1560" s="74"/>
      <c r="O1560" s="81" t="s">
        <v>179</v>
      </c>
      <c r="P1560" s="83">
        <v>44466.52275462963</v>
      </c>
      <c r="Q1560" s="81" t="s">
        <v>5548</v>
      </c>
      <c r="R1560" s="81"/>
      <c r="S1560" s="81"/>
      <c r="T1560" s="81"/>
      <c r="U1560" s="81"/>
      <c r="V1560" s="84" t="str">
        <f>HYPERLINK("https://pbs.twimg.com/profile_images/1393242274566262790/f-fZ4GrR_normal.jpg")</f>
        <v>https://pbs.twimg.com/profile_images/1393242274566262790/f-fZ4GrR_normal.jpg</v>
      </c>
      <c r="W1560" s="83">
        <v>44466.52275462963</v>
      </c>
      <c r="X1560" s="89">
        <v>44466</v>
      </c>
      <c r="Y1560" s="86" t="s">
        <v>6448</v>
      </c>
      <c r="Z1560" s="84" t="str">
        <f>HYPERLINK("https://twitter.com/elkrstyyy/status/1442467248468201488")</f>
        <v>https://twitter.com/elkrstyyy/status/1442467248468201488</v>
      </c>
      <c r="AA1560" s="81"/>
      <c r="AB1560" s="81"/>
      <c r="AC1560" s="86" t="s">
        <v>7367</v>
      </c>
      <c r="AD1560" s="86" t="s">
        <v>7366</v>
      </c>
      <c r="AE1560" s="81" t="b">
        <v>0</v>
      </c>
      <c r="AF1560" s="81">
        <v>1</v>
      </c>
      <c r="AG1560" s="86" t="s">
        <v>7905</v>
      </c>
      <c r="AH1560" s="81" t="b">
        <v>0</v>
      </c>
      <c r="AI1560" s="81" t="s">
        <v>2168</v>
      </c>
      <c r="AJ1560" s="81"/>
      <c r="AK1560" s="86" t="s">
        <v>2084</v>
      </c>
      <c r="AL1560" s="81" t="b">
        <v>0</v>
      </c>
      <c r="AM1560" s="81">
        <v>0</v>
      </c>
      <c r="AN1560" s="86" t="s">
        <v>2084</v>
      </c>
      <c r="AO1560" s="86" t="s">
        <v>2179</v>
      </c>
      <c r="AP1560" s="81" t="b">
        <v>0</v>
      </c>
      <c r="AQ1560" s="86" t="s">
        <v>7366</v>
      </c>
      <c r="AR1560" s="81" t="s">
        <v>179</v>
      </c>
      <c r="AS1560" s="81">
        <v>0</v>
      </c>
      <c r="AT1560" s="81">
        <v>0</v>
      </c>
      <c r="AU1560" s="81"/>
      <c r="AV1560" s="81"/>
      <c r="AW1560" s="81"/>
      <c r="AX1560" s="81"/>
      <c r="AY1560" s="81"/>
      <c r="AZ1560" s="81"/>
      <c r="BA1560" s="81"/>
      <c r="BB1560" s="81"/>
    </row>
    <row r="1561" spans="1:54" x14ac:dyDescent="0.35">
      <c r="A1561" s="66" t="s">
        <v>4806</v>
      </c>
      <c r="B1561" s="66" t="s">
        <v>4806</v>
      </c>
      <c r="C1561" s="67"/>
      <c r="D1561" s="68"/>
      <c r="E1561" s="69"/>
      <c r="F1561" s="70"/>
      <c r="G1561" s="67"/>
      <c r="H1561" s="71"/>
      <c r="I1561" s="72"/>
      <c r="J1561" s="72"/>
      <c r="K1561" s="36"/>
      <c r="L1561" s="79"/>
      <c r="M1561" s="79"/>
      <c r="N1561" s="74"/>
      <c r="O1561" s="81" t="s">
        <v>179</v>
      </c>
      <c r="P1561" s="83">
        <v>44466.523726851854</v>
      </c>
      <c r="Q1561" s="81" t="s">
        <v>5549</v>
      </c>
      <c r="R1561" s="81"/>
      <c r="S1561" s="81"/>
      <c r="T1561" s="81"/>
      <c r="U1561" s="81"/>
      <c r="V1561" s="84" t="str">
        <f>HYPERLINK("https://pbs.twimg.com/profile_images/1441921693933518857/xXEzi0T9_normal.jpg")</f>
        <v>https://pbs.twimg.com/profile_images/1441921693933518857/xXEzi0T9_normal.jpg</v>
      </c>
      <c r="W1561" s="83">
        <v>44466.523726851854</v>
      </c>
      <c r="X1561" s="89">
        <v>44466</v>
      </c>
      <c r="Y1561" s="86" t="s">
        <v>6449</v>
      </c>
      <c r="Z1561" s="84" t="str">
        <f>HYPERLINK("https://twitter.com/barbara49962035/status/1442467601922281474")</f>
        <v>https://twitter.com/barbara49962035/status/1442467601922281474</v>
      </c>
      <c r="AA1561" s="81"/>
      <c r="AB1561" s="81"/>
      <c r="AC1561" s="86" t="s">
        <v>7368</v>
      </c>
      <c r="AD1561" s="81"/>
      <c r="AE1561" s="81" t="b">
        <v>0</v>
      </c>
      <c r="AF1561" s="81">
        <v>0</v>
      </c>
      <c r="AG1561" s="86" t="s">
        <v>2084</v>
      </c>
      <c r="AH1561" s="81" t="b">
        <v>0</v>
      </c>
      <c r="AI1561" s="81" t="s">
        <v>2168</v>
      </c>
      <c r="AJ1561" s="81"/>
      <c r="AK1561" s="86" t="s">
        <v>2084</v>
      </c>
      <c r="AL1561" s="81" t="b">
        <v>0</v>
      </c>
      <c r="AM1561" s="81">
        <v>1</v>
      </c>
      <c r="AN1561" s="86" t="s">
        <v>2084</v>
      </c>
      <c r="AO1561" s="86" t="s">
        <v>2181</v>
      </c>
      <c r="AP1561" s="81" t="b">
        <v>0</v>
      </c>
      <c r="AQ1561" s="86" t="s">
        <v>7368</v>
      </c>
      <c r="AR1561" s="81" t="s">
        <v>179</v>
      </c>
      <c r="AS1561" s="81">
        <v>0</v>
      </c>
      <c r="AT1561" s="81">
        <v>0</v>
      </c>
      <c r="AU1561" s="81"/>
      <c r="AV1561" s="81"/>
      <c r="AW1561" s="81"/>
      <c r="AX1561" s="81"/>
      <c r="AY1561" s="81"/>
      <c r="AZ1561" s="81"/>
      <c r="BA1561" s="81"/>
      <c r="BB1561" s="81"/>
    </row>
    <row r="1562" spans="1:54" x14ac:dyDescent="0.35">
      <c r="A1562" s="66" t="s">
        <v>4806</v>
      </c>
      <c r="B1562" s="66" t="s">
        <v>4806</v>
      </c>
      <c r="C1562" s="67"/>
      <c r="D1562" s="68"/>
      <c r="E1562" s="69"/>
      <c r="F1562" s="70"/>
      <c r="G1562" s="67"/>
      <c r="H1562" s="71"/>
      <c r="I1562" s="72"/>
      <c r="J1562" s="72"/>
      <c r="K1562" s="36"/>
      <c r="L1562" s="79"/>
      <c r="M1562" s="79"/>
      <c r="N1562" s="74"/>
      <c r="O1562" s="81" t="s">
        <v>693</v>
      </c>
      <c r="P1562" s="83">
        <v>44466.524328703701</v>
      </c>
      <c r="Q1562" s="81" t="s">
        <v>5549</v>
      </c>
      <c r="R1562" s="81"/>
      <c r="S1562" s="81"/>
      <c r="T1562" s="81"/>
      <c r="U1562" s="81"/>
      <c r="V1562" s="84" t="str">
        <f>HYPERLINK("https://pbs.twimg.com/profile_images/1441921693933518857/xXEzi0T9_normal.jpg")</f>
        <v>https://pbs.twimg.com/profile_images/1441921693933518857/xXEzi0T9_normal.jpg</v>
      </c>
      <c r="W1562" s="83">
        <v>44466.524328703701</v>
      </c>
      <c r="X1562" s="89">
        <v>44466</v>
      </c>
      <c r="Y1562" s="86" t="s">
        <v>5794</v>
      </c>
      <c r="Z1562" s="84" t="str">
        <f>HYPERLINK("https://twitter.com/barbara49962035/status/1442467818084175876")</f>
        <v>https://twitter.com/barbara49962035/status/1442467818084175876</v>
      </c>
      <c r="AA1562" s="81"/>
      <c r="AB1562" s="81"/>
      <c r="AC1562" s="86" t="s">
        <v>7369</v>
      </c>
      <c r="AD1562" s="81"/>
      <c r="AE1562" s="81" t="b">
        <v>0</v>
      </c>
      <c r="AF1562" s="81">
        <v>0</v>
      </c>
      <c r="AG1562" s="86" t="s">
        <v>2084</v>
      </c>
      <c r="AH1562" s="81" t="b">
        <v>0</v>
      </c>
      <c r="AI1562" s="81" t="s">
        <v>2168</v>
      </c>
      <c r="AJ1562" s="81"/>
      <c r="AK1562" s="86" t="s">
        <v>2084</v>
      </c>
      <c r="AL1562" s="81" t="b">
        <v>0</v>
      </c>
      <c r="AM1562" s="81">
        <v>1</v>
      </c>
      <c r="AN1562" s="86" t="s">
        <v>7368</v>
      </c>
      <c r="AO1562" s="86" t="s">
        <v>2181</v>
      </c>
      <c r="AP1562" s="81" t="b">
        <v>0</v>
      </c>
      <c r="AQ1562" s="86" t="s">
        <v>7368</v>
      </c>
      <c r="AR1562" s="81" t="s">
        <v>179</v>
      </c>
      <c r="AS1562" s="81">
        <v>0</v>
      </c>
      <c r="AT1562" s="81">
        <v>0</v>
      </c>
      <c r="AU1562" s="81"/>
      <c r="AV1562" s="81"/>
      <c r="AW1562" s="81"/>
      <c r="AX1562" s="81"/>
      <c r="AY1562" s="81"/>
      <c r="AZ1562" s="81"/>
      <c r="BA1562" s="81"/>
      <c r="BB1562" s="81"/>
    </row>
    <row r="1563" spans="1:54" x14ac:dyDescent="0.35">
      <c r="A1563" s="66" t="s">
        <v>4807</v>
      </c>
      <c r="B1563" s="66" t="s">
        <v>4944</v>
      </c>
      <c r="C1563" s="67"/>
      <c r="D1563" s="68"/>
      <c r="E1563" s="69"/>
      <c r="F1563" s="70"/>
      <c r="G1563" s="67"/>
      <c r="H1563" s="71"/>
      <c r="I1563" s="72"/>
      <c r="J1563" s="72"/>
      <c r="K1563" s="36"/>
      <c r="L1563" s="79"/>
      <c r="M1563" s="79"/>
      <c r="N1563" s="74"/>
      <c r="O1563" s="81" t="s">
        <v>693</v>
      </c>
      <c r="P1563" s="83">
        <v>44466.524444444447</v>
      </c>
      <c r="Q1563" s="81" t="s">
        <v>5505</v>
      </c>
      <c r="R1563" s="81"/>
      <c r="S1563" s="81"/>
      <c r="T1563" s="81"/>
      <c r="U1563" s="81"/>
      <c r="V1563" s="84" t="str">
        <f>HYPERLINK("https://pbs.twimg.com/profile_images/455164203058200576/OH17z0wL_normal.jpeg")</f>
        <v>https://pbs.twimg.com/profile_images/455164203058200576/OH17z0wL_normal.jpeg</v>
      </c>
      <c r="W1563" s="83">
        <v>44466.524444444447</v>
      </c>
      <c r="X1563" s="89">
        <v>44466</v>
      </c>
      <c r="Y1563" s="86" t="s">
        <v>6450</v>
      </c>
      <c r="Z1563" s="84" t="str">
        <f>HYPERLINK("https://twitter.com/lctessima/status/1442467861663043584")</f>
        <v>https://twitter.com/lctessima/status/1442467861663043584</v>
      </c>
      <c r="AA1563" s="81"/>
      <c r="AB1563" s="81"/>
      <c r="AC1563" s="86" t="s">
        <v>7370</v>
      </c>
      <c r="AD1563" s="81"/>
      <c r="AE1563" s="81" t="b">
        <v>0</v>
      </c>
      <c r="AF1563" s="81">
        <v>0</v>
      </c>
      <c r="AG1563" s="86" t="s">
        <v>2084</v>
      </c>
      <c r="AH1563" s="81" t="b">
        <v>0</v>
      </c>
      <c r="AI1563" s="81" t="s">
        <v>2171</v>
      </c>
      <c r="AJ1563" s="81"/>
      <c r="AK1563" s="86" t="s">
        <v>2084</v>
      </c>
      <c r="AL1563" s="81" t="b">
        <v>0</v>
      </c>
      <c r="AM1563" s="81">
        <v>255</v>
      </c>
      <c r="AN1563" s="86" t="s">
        <v>7543</v>
      </c>
      <c r="AO1563" s="86" t="s">
        <v>2178</v>
      </c>
      <c r="AP1563" s="81" t="b">
        <v>0</v>
      </c>
      <c r="AQ1563" s="86" t="s">
        <v>7543</v>
      </c>
      <c r="AR1563" s="81" t="s">
        <v>179</v>
      </c>
      <c r="AS1563" s="81">
        <v>0</v>
      </c>
      <c r="AT1563" s="81">
        <v>0</v>
      </c>
      <c r="AU1563" s="81"/>
      <c r="AV1563" s="81"/>
      <c r="AW1563" s="81"/>
      <c r="AX1563" s="81"/>
      <c r="AY1563" s="81"/>
      <c r="AZ1563" s="81"/>
      <c r="BA1563" s="81"/>
      <c r="BB1563" s="81"/>
    </row>
    <row r="1564" spans="1:54" x14ac:dyDescent="0.35">
      <c r="A1564" s="66" t="s">
        <v>4808</v>
      </c>
      <c r="B1564" s="66" t="s">
        <v>4944</v>
      </c>
      <c r="C1564" s="67"/>
      <c r="D1564" s="68"/>
      <c r="E1564" s="69"/>
      <c r="F1564" s="70"/>
      <c r="G1564" s="67"/>
      <c r="H1564" s="71"/>
      <c r="I1564" s="72"/>
      <c r="J1564" s="72"/>
      <c r="K1564" s="36"/>
      <c r="L1564" s="79"/>
      <c r="M1564" s="79"/>
      <c r="N1564" s="74"/>
      <c r="O1564" s="81" t="s">
        <v>693</v>
      </c>
      <c r="P1564" s="83">
        <v>44466.525601851848</v>
      </c>
      <c r="Q1564" s="81" t="s">
        <v>5505</v>
      </c>
      <c r="R1564" s="81"/>
      <c r="S1564" s="81"/>
      <c r="T1564" s="81"/>
      <c r="U1564" s="81"/>
      <c r="V1564" s="84" t="str">
        <f>HYPERLINK("https://pbs.twimg.com/profile_images/1391426959134142467/ndM9zLAS_normal.jpg")</f>
        <v>https://pbs.twimg.com/profile_images/1391426959134142467/ndM9zLAS_normal.jpg</v>
      </c>
      <c r="W1564" s="83">
        <v>44466.525601851848</v>
      </c>
      <c r="X1564" s="89">
        <v>44466</v>
      </c>
      <c r="Y1564" s="86" t="s">
        <v>6451</v>
      </c>
      <c r="Z1564" s="84" t="str">
        <f>HYPERLINK("https://twitter.com/vacinadaefeliz/status/1442468280636166145")</f>
        <v>https://twitter.com/vacinadaefeliz/status/1442468280636166145</v>
      </c>
      <c r="AA1564" s="81"/>
      <c r="AB1564" s="81"/>
      <c r="AC1564" s="86" t="s">
        <v>7371</v>
      </c>
      <c r="AD1564" s="81"/>
      <c r="AE1564" s="81" t="b">
        <v>0</v>
      </c>
      <c r="AF1564" s="81">
        <v>0</v>
      </c>
      <c r="AG1564" s="86" t="s">
        <v>2084</v>
      </c>
      <c r="AH1564" s="81" t="b">
        <v>0</v>
      </c>
      <c r="AI1564" s="81" t="s">
        <v>2171</v>
      </c>
      <c r="AJ1564" s="81"/>
      <c r="AK1564" s="86" t="s">
        <v>2084</v>
      </c>
      <c r="AL1564" s="81" t="b">
        <v>0</v>
      </c>
      <c r="AM1564" s="81">
        <v>255</v>
      </c>
      <c r="AN1564" s="86" t="s">
        <v>7543</v>
      </c>
      <c r="AO1564" s="86" t="s">
        <v>2178</v>
      </c>
      <c r="AP1564" s="81" t="b">
        <v>0</v>
      </c>
      <c r="AQ1564" s="86" t="s">
        <v>7543</v>
      </c>
      <c r="AR1564" s="81" t="s">
        <v>179</v>
      </c>
      <c r="AS1564" s="81">
        <v>0</v>
      </c>
      <c r="AT1564" s="81">
        <v>0</v>
      </c>
      <c r="AU1564" s="81"/>
      <c r="AV1564" s="81"/>
      <c r="AW1564" s="81"/>
      <c r="AX1564" s="81"/>
      <c r="AY1564" s="81"/>
      <c r="AZ1564" s="81"/>
      <c r="BA1564" s="81"/>
      <c r="BB1564" s="81"/>
    </row>
    <row r="1565" spans="1:54" x14ac:dyDescent="0.35">
      <c r="A1565" s="66" t="s">
        <v>4809</v>
      </c>
      <c r="B1565" s="66" t="s">
        <v>5157</v>
      </c>
      <c r="C1565" s="67"/>
      <c r="D1565" s="68"/>
      <c r="E1565" s="69"/>
      <c r="F1565" s="70"/>
      <c r="G1565" s="67"/>
      <c r="H1565" s="71"/>
      <c r="I1565" s="72"/>
      <c r="J1565" s="72"/>
      <c r="K1565" s="36"/>
      <c r="L1565" s="79"/>
      <c r="M1565" s="79"/>
      <c r="N1565" s="74"/>
      <c r="O1565" s="81" t="s">
        <v>696</v>
      </c>
      <c r="P1565" s="83">
        <v>44466.536689814813</v>
      </c>
      <c r="Q1565" s="81" t="s">
        <v>5550</v>
      </c>
      <c r="R1565" s="81"/>
      <c r="S1565" s="81"/>
      <c r="T1565" s="81"/>
      <c r="U1565" s="81"/>
      <c r="V1565" s="84" t="str">
        <f>HYPERLINK("https://pbs.twimg.com/profile_images/1353467171746283522/YgqU-jLR_normal.jpg")</f>
        <v>https://pbs.twimg.com/profile_images/1353467171746283522/YgqU-jLR_normal.jpg</v>
      </c>
      <c r="W1565" s="83">
        <v>44466.536689814813</v>
      </c>
      <c r="X1565" s="89">
        <v>44466</v>
      </c>
      <c r="Y1565" s="86" t="s">
        <v>6452</v>
      </c>
      <c r="Z1565" s="84" t="str">
        <f>HYPERLINK("https://twitter.com/jorge84rjr/status/1442472298208972803")</f>
        <v>https://twitter.com/jorge84rjr/status/1442472298208972803</v>
      </c>
      <c r="AA1565" s="81"/>
      <c r="AB1565" s="81"/>
      <c r="AC1565" s="86" t="s">
        <v>7372</v>
      </c>
      <c r="AD1565" s="86" t="s">
        <v>7730</v>
      </c>
      <c r="AE1565" s="81" t="b">
        <v>0</v>
      </c>
      <c r="AF1565" s="81">
        <v>1</v>
      </c>
      <c r="AG1565" s="86" t="s">
        <v>7906</v>
      </c>
      <c r="AH1565" s="81" t="b">
        <v>0</v>
      </c>
      <c r="AI1565" s="81" t="s">
        <v>2171</v>
      </c>
      <c r="AJ1565" s="81"/>
      <c r="AK1565" s="86" t="s">
        <v>2084</v>
      </c>
      <c r="AL1565" s="81" t="b">
        <v>0</v>
      </c>
      <c r="AM1565" s="81">
        <v>0</v>
      </c>
      <c r="AN1565" s="86" t="s">
        <v>2084</v>
      </c>
      <c r="AO1565" s="86" t="s">
        <v>2178</v>
      </c>
      <c r="AP1565" s="81" t="b">
        <v>0</v>
      </c>
      <c r="AQ1565" s="86" t="s">
        <v>7730</v>
      </c>
      <c r="AR1565" s="81" t="s">
        <v>179</v>
      </c>
      <c r="AS1565" s="81">
        <v>0</v>
      </c>
      <c r="AT1565" s="81">
        <v>0</v>
      </c>
      <c r="AU1565" s="81"/>
      <c r="AV1565" s="81"/>
      <c r="AW1565" s="81"/>
      <c r="AX1565" s="81"/>
      <c r="AY1565" s="81"/>
      <c r="AZ1565" s="81"/>
      <c r="BA1565" s="81"/>
      <c r="BB1565" s="81"/>
    </row>
    <row r="1566" spans="1:54" x14ac:dyDescent="0.35">
      <c r="A1566" s="66" t="s">
        <v>4809</v>
      </c>
      <c r="B1566" s="66" t="s">
        <v>5158</v>
      </c>
      <c r="C1566" s="67"/>
      <c r="D1566" s="68"/>
      <c r="E1566" s="69"/>
      <c r="F1566" s="70"/>
      <c r="G1566" s="67"/>
      <c r="H1566" s="71"/>
      <c r="I1566" s="72"/>
      <c r="J1566" s="72"/>
      <c r="K1566" s="36"/>
      <c r="L1566" s="79"/>
      <c r="M1566" s="79"/>
      <c r="N1566" s="74"/>
      <c r="O1566" s="81" t="s">
        <v>696</v>
      </c>
      <c r="P1566" s="83">
        <v>44466.536689814813</v>
      </c>
      <c r="Q1566" s="81" t="s">
        <v>5550</v>
      </c>
      <c r="R1566" s="81"/>
      <c r="S1566" s="81"/>
      <c r="T1566" s="81"/>
      <c r="U1566" s="81"/>
      <c r="V1566" s="84" t="str">
        <f>HYPERLINK("https://pbs.twimg.com/profile_images/1353467171746283522/YgqU-jLR_normal.jpg")</f>
        <v>https://pbs.twimg.com/profile_images/1353467171746283522/YgqU-jLR_normal.jpg</v>
      </c>
      <c r="W1566" s="83">
        <v>44466.536689814813</v>
      </c>
      <c r="X1566" s="89">
        <v>44466</v>
      </c>
      <c r="Y1566" s="86" t="s">
        <v>6452</v>
      </c>
      <c r="Z1566" s="84" t="str">
        <f>HYPERLINK("https://twitter.com/jorge84rjr/status/1442472298208972803")</f>
        <v>https://twitter.com/jorge84rjr/status/1442472298208972803</v>
      </c>
      <c r="AA1566" s="81"/>
      <c r="AB1566" s="81"/>
      <c r="AC1566" s="86" t="s">
        <v>7372</v>
      </c>
      <c r="AD1566" s="86" t="s">
        <v>7730</v>
      </c>
      <c r="AE1566" s="81" t="b">
        <v>0</v>
      </c>
      <c r="AF1566" s="81">
        <v>1</v>
      </c>
      <c r="AG1566" s="86" t="s">
        <v>7906</v>
      </c>
      <c r="AH1566" s="81" t="b">
        <v>0</v>
      </c>
      <c r="AI1566" s="81" t="s">
        <v>2171</v>
      </c>
      <c r="AJ1566" s="81"/>
      <c r="AK1566" s="86" t="s">
        <v>2084</v>
      </c>
      <c r="AL1566" s="81" t="b">
        <v>0</v>
      </c>
      <c r="AM1566" s="81">
        <v>0</v>
      </c>
      <c r="AN1566" s="86" t="s">
        <v>2084</v>
      </c>
      <c r="AO1566" s="86" t="s">
        <v>2178</v>
      </c>
      <c r="AP1566" s="81" t="b">
        <v>0</v>
      </c>
      <c r="AQ1566" s="86" t="s">
        <v>7730</v>
      </c>
      <c r="AR1566" s="81" t="s">
        <v>179</v>
      </c>
      <c r="AS1566" s="81">
        <v>0</v>
      </c>
      <c r="AT1566" s="81">
        <v>0</v>
      </c>
      <c r="AU1566" s="81"/>
      <c r="AV1566" s="81"/>
      <c r="AW1566" s="81"/>
      <c r="AX1566" s="81"/>
      <c r="AY1566" s="81"/>
      <c r="AZ1566" s="81"/>
      <c r="BA1566" s="81"/>
      <c r="BB1566" s="81"/>
    </row>
    <row r="1567" spans="1:54" x14ac:dyDescent="0.35">
      <c r="A1567" s="66" t="s">
        <v>4809</v>
      </c>
      <c r="B1567" s="66" t="s">
        <v>5159</v>
      </c>
      <c r="C1567" s="67"/>
      <c r="D1567" s="68"/>
      <c r="E1567" s="69"/>
      <c r="F1567" s="70"/>
      <c r="G1567" s="67"/>
      <c r="H1567" s="71"/>
      <c r="I1567" s="72"/>
      <c r="J1567" s="72"/>
      <c r="K1567" s="36"/>
      <c r="L1567" s="79"/>
      <c r="M1567" s="79"/>
      <c r="N1567" s="74"/>
      <c r="O1567" s="81" t="s">
        <v>696</v>
      </c>
      <c r="P1567" s="83">
        <v>44466.536689814813</v>
      </c>
      <c r="Q1567" s="81" t="s">
        <v>5550</v>
      </c>
      <c r="R1567" s="81"/>
      <c r="S1567" s="81"/>
      <c r="T1567" s="81"/>
      <c r="U1567" s="81"/>
      <c r="V1567" s="84" t="str">
        <f>HYPERLINK("https://pbs.twimg.com/profile_images/1353467171746283522/YgqU-jLR_normal.jpg")</f>
        <v>https://pbs.twimg.com/profile_images/1353467171746283522/YgqU-jLR_normal.jpg</v>
      </c>
      <c r="W1567" s="83">
        <v>44466.536689814813</v>
      </c>
      <c r="X1567" s="89">
        <v>44466</v>
      </c>
      <c r="Y1567" s="86" t="s">
        <v>6452</v>
      </c>
      <c r="Z1567" s="84" t="str">
        <f>HYPERLINK("https://twitter.com/jorge84rjr/status/1442472298208972803")</f>
        <v>https://twitter.com/jorge84rjr/status/1442472298208972803</v>
      </c>
      <c r="AA1567" s="81"/>
      <c r="AB1567" s="81"/>
      <c r="AC1567" s="86" t="s">
        <v>7372</v>
      </c>
      <c r="AD1567" s="86" t="s">
        <v>7730</v>
      </c>
      <c r="AE1567" s="81" t="b">
        <v>0</v>
      </c>
      <c r="AF1567" s="81">
        <v>1</v>
      </c>
      <c r="AG1567" s="86" t="s">
        <v>7906</v>
      </c>
      <c r="AH1567" s="81" t="b">
        <v>0</v>
      </c>
      <c r="AI1567" s="81" t="s">
        <v>2171</v>
      </c>
      <c r="AJ1567" s="81"/>
      <c r="AK1567" s="86" t="s">
        <v>2084</v>
      </c>
      <c r="AL1567" s="81" t="b">
        <v>0</v>
      </c>
      <c r="AM1567" s="81">
        <v>0</v>
      </c>
      <c r="AN1567" s="86" t="s">
        <v>2084</v>
      </c>
      <c r="AO1567" s="86" t="s">
        <v>2178</v>
      </c>
      <c r="AP1567" s="81" t="b">
        <v>0</v>
      </c>
      <c r="AQ1567" s="86" t="s">
        <v>7730</v>
      </c>
      <c r="AR1567" s="81" t="s">
        <v>179</v>
      </c>
      <c r="AS1567" s="81">
        <v>0</v>
      </c>
      <c r="AT1567" s="81">
        <v>0</v>
      </c>
      <c r="AU1567" s="81"/>
      <c r="AV1567" s="81"/>
      <c r="AW1567" s="81"/>
      <c r="AX1567" s="81"/>
      <c r="AY1567" s="81"/>
      <c r="AZ1567" s="81"/>
      <c r="BA1567" s="81"/>
      <c r="BB1567" s="81"/>
    </row>
    <row r="1568" spans="1:54" x14ac:dyDescent="0.35">
      <c r="A1568" s="66" t="s">
        <v>4809</v>
      </c>
      <c r="B1568" s="66" t="s">
        <v>5160</v>
      </c>
      <c r="C1568" s="67"/>
      <c r="D1568" s="68"/>
      <c r="E1568" s="69"/>
      <c r="F1568" s="70"/>
      <c r="G1568" s="67"/>
      <c r="H1568" s="71"/>
      <c r="I1568" s="72"/>
      <c r="J1568" s="72"/>
      <c r="K1568" s="36"/>
      <c r="L1568" s="79"/>
      <c r="M1568" s="79"/>
      <c r="N1568" s="74"/>
      <c r="O1568" s="81" t="s">
        <v>695</v>
      </c>
      <c r="P1568" s="83">
        <v>44466.536689814813</v>
      </c>
      <c r="Q1568" s="81" t="s">
        <v>5550</v>
      </c>
      <c r="R1568" s="81"/>
      <c r="S1568" s="81"/>
      <c r="T1568" s="81"/>
      <c r="U1568" s="81"/>
      <c r="V1568" s="84" t="str">
        <f>HYPERLINK("https://pbs.twimg.com/profile_images/1353467171746283522/YgqU-jLR_normal.jpg")</f>
        <v>https://pbs.twimg.com/profile_images/1353467171746283522/YgqU-jLR_normal.jpg</v>
      </c>
      <c r="W1568" s="83">
        <v>44466.536689814813</v>
      </c>
      <c r="X1568" s="89">
        <v>44466</v>
      </c>
      <c r="Y1568" s="86" t="s">
        <v>6452</v>
      </c>
      <c r="Z1568" s="84" t="str">
        <f>HYPERLINK("https://twitter.com/jorge84rjr/status/1442472298208972803")</f>
        <v>https://twitter.com/jorge84rjr/status/1442472298208972803</v>
      </c>
      <c r="AA1568" s="81"/>
      <c r="AB1568" s="81"/>
      <c r="AC1568" s="86" t="s">
        <v>7372</v>
      </c>
      <c r="AD1568" s="86" t="s">
        <v>7730</v>
      </c>
      <c r="AE1568" s="81" t="b">
        <v>0</v>
      </c>
      <c r="AF1568" s="81">
        <v>1</v>
      </c>
      <c r="AG1568" s="86" t="s">
        <v>7906</v>
      </c>
      <c r="AH1568" s="81" t="b">
        <v>0</v>
      </c>
      <c r="AI1568" s="81" t="s">
        <v>2171</v>
      </c>
      <c r="AJ1568" s="81"/>
      <c r="AK1568" s="86" t="s">
        <v>2084</v>
      </c>
      <c r="AL1568" s="81" t="b">
        <v>0</v>
      </c>
      <c r="AM1568" s="81">
        <v>0</v>
      </c>
      <c r="AN1568" s="86" t="s">
        <v>2084</v>
      </c>
      <c r="AO1568" s="86" t="s">
        <v>2178</v>
      </c>
      <c r="AP1568" s="81" t="b">
        <v>0</v>
      </c>
      <c r="AQ1568" s="86" t="s">
        <v>7730</v>
      </c>
      <c r="AR1568" s="81" t="s">
        <v>179</v>
      </c>
      <c r="AS1568" s="81">
        <v>0</v>
      </c>
      <c r="AT1568" s="81">
        <v>0</v>
      </c>
      <c r="AU1568" s="81"/>
      <c r="AV1568" s="81"/>
      <c r="AW1568" s="81"/>
      <c r="AX1568" s="81"/>
      <c r="AY1568" s="81"/>
      <c r="AZ1568" s="81"/>
      <c r="BA1568" s="81"/>
      <c r="BB1568" s="81"/>
    </row>
    <row r="1569" spans="1:54" x14ac:dyDescent="0.35">
      <c r="A1569" s="66" t="s">
        <v>4809</v>
      </c>
      <c r="B1569" s="66" t="s">
        <v>5117</v>
      </c>
      <c r="C1569" s="67"/>
      <c r="D1569" s="68"/>
      <c r="E1569" s="69"/>
      <c r="F1569" s="70"/>
      <c r="G1569" s="67"/>
      <c r="H1569" s="71"/>
      <c r="I1569" s="72"/>
      <c r="J1569" s="72"/>
      <c r="K1569" s="36"/>
      <c r="L1569" s="79"/>
      <c r="M1569" s="79"/>
      <c r="N1569" s="74"/>
      <c r="O1569" s="81" t="s">
        <v>696</v>
      </c>
      <c r="P1569" s="83">
        <v>44466.536689814813</v>
      </c>
      <c r="Q1569" s="81" t="s">
        <v>5550</v>
      </c>
      <c r="R1569" s="81"/>
      <c r="S1569" s="81"/>
      <c r="T1569" s="81"/>
      <c r="U1569" s="81"/>
      <c r="V1569" s="84" t="str">
        <f>HYPERLINK("https://pbs.twimg.com/profile_images/1353467171746283522/YgqU-jLR_normal.jpg")</f>
        <v>https://pbs.twimg.com/profile_images/1353467171746283522/YgqU-jLR_normal.jpg</v>
      </c>
      <c r="W1569" s="83">
        <v>44466.536689814813</v>
      </c>
      <c r="X1569" s="89">
        <v>44466</v>
      </c>
      <c r="Y1569" s="86" t="s">
        <v>6452</v>
      </c>
      <c r="Z1569" s="84" t="str">
        <f>HYPERLINK("https://twitter.com/jorge84rjr/status/1442472298208972803")</f>
        <v>https://twitter.com/jorge84rjr/status/1442472298208972803</v>
      </c>
      <c r="AA1569" s="81"/>
      <c r="AB1569" s="81"/>
      <c r="AC1569" s="86" t="s">
        <v>7372</v>
      </c>
      <c r="AD1569" s="86" t="s">
        <v>7730</v>
      </c>
      <c r="AE1569" s="81" t="b">
        <v>0</v>
      </c>
      <c r="AF1569" s="81">
        <v>1</v>
      </c>
      <c r="AG1569" s="86" t="s">
        <v>7906</v>
      </c>
      <c r="AH1569" s="81" t="b">
        <v>0</v>
      </c>
      <c r="AI1569" s="81" t="s">
        <v>2171</v>
      </c>
      <c r="AJ1569" s="81"/>
      <c r="AK1569" s="86" t="s">
        <v>2084</v>
      </c>
      <c r="AL1569" s="81" t="b">
        <v>0</v>
      </c>
      <c r="AM1569" s="81">
        <v>0</v>
      </c>
      <c r="AN1569" s="86" t="s">
        <v>2084</v>
      </c>
      <c r="AO1569" s="86" t="s">
        <v>2178</v>
      </c>
      <c r="AP1569" s="81" t="b">
        <v>0</v>
      </c>
      <c r="AQ1569" s="86" t="s">
        <v>7730</v>
      </c>
      <c r="AR1569" s="81" t="s">
        <v>179</v>
      </c>
      <c r="AS1569" s="81">
        <v>0</v>
      </c>
      <c r="AT1569" s="81">
        <v>0</v>
      </c>
      <c r="AU1569" s="81"/>
      <c r="AV1569" s="81"/>
      <c r="AW1569" s="81"/>
      <c r="AX1569" s="81"/>
      <c r="AY1569" s="81"/>
      <c r="AZ1569" s="81"/>
      <c r="BA1569" s="81"/>
      <c r="BB1569" s="81"/>
    </row>
    <row r="1570" spans="1:54" x14ac:dyDescent="0.35">
      <c r="A1570" s="66" t="s">
        <v>546</v>
      </c>
      <c r="B1570" s="66" t="s">
        <v>578</v>
      </c>
      <c r="C1570" s="67"/>
      <c r="D1570" s="68"/>
      <c r="E1570" s="69"/>
      <c r="F1570" s="70"/>
      <c r="G1570" s="67"/>
      <c r="H1570" s="71"/>
      <c r="I1570" s="72"/>
      <c r="J1570" s="72"/>
      <c r="K1570" s="36"/>
      <c r="L1570" s="79"/>
      <c r="M1570" s="79"/>
      <c r="N1570" s="74"/>
      <c r="O1570" s="81" t="s">
        <v>693</v>
      </c>
      <c r="P1570" s="83">
        <v>44466.543391203704</v>
      </c>
      <c r="Q1570" s="81" t="s">
        <v>878</v>
      </c>
      <c r="R1570" s="81"/>
      <c r="S1570" s="81"/>
      <c r="T1570" s="81"/>
      <c r="U1570" s="84" t="str">
        <f>HYPERLINK("https://pbs.twimg.com/media/FASHjEnUcAMSLOM.jpg")</f>
        <v>https://pbs.twimg.com/media/FASHjEnUcAMSLOM.jpg</v>
      </c>
      <c r="V1570" s="84" t="str">
        <f>HYPERLINK("https://pbs.twimg.com/media/FASHjEnUcAMSLOM.jpg")</f>
        <v>https://pbs.twimg.com/media/FASHjEnUcAMSLOM.jpg</v>
      </c>
      <c r="W1570" s="83">
        <v>44466.543391203704</v>
      </c>
      <c r="X1570" s="89">
        <v>44466</v>
      </c>
      <c r="Y1570" s="86" t="s">
        <v>1429</v>
      </c>
      <c r="Z1570" s="84" t="str">
        <f>HYPERLINK("https://twitter.com/gojekmilitan/status/1442474725108711436")</f>
        <v>https://twitter.com/gojekmilitan/status/1442474725108711436</v>
      </c>
      <c r="AA1570" s="81"/>
      <c r="AB1570" s="81"/>
      <c r="AC1570" s="86" t="s">
        <v>1925</v>
      </c>
      <c r="AD1570" s="81"/>
      <c r="AE1570" s="81" t="b">
        <v>0</v>
      </c>
      <c r="AF1570" s="81">
        <v>0</v>
      </c>
      <c r="AG1570" s="86" t="s">
        <v>2084</v>
      </c>
      <c r="AH1570" s="81" t="b">
        <v>0</v>
      </c>
      <c r="AI1570" s="81" t="s">
        <v>2167</v>
      </c>
      <c r="AJ1570" s="81"/>
      <c r="AK1570" s="86" t="s">
        <v>2084</v>
      </c>
      <c r="AL1570" s="81" t="b">
        <v>0</v>
      </c>
      <c r="AM1570" s="81">
        <v>9</v>
      </c>
      <c r="AN1570" s="86" t="s">
        <v>1961</v>
      </c>
      <c r="AO1570" s="86" t="s">
        <v>2178</v>
      </c>
      <c r="AP1570" s="81" t="b">
        <v>0</v>
      </c>
      <c r="AQ1570" s="86" t="s">
        <v>1961</v>
      </c>
      <c r="AR1570" s="81" t="s">
        <v>179</v>
      </c>
      <c r="AS1570" s="81">
        <v>0</v>
      </c>
      <c r="AT1570" s="81">
        <v>0</v>
      </c>
      <c r="AU1570" s="81"/>
      <c r="AV1570" s="81"/>
      <c r="AW1570" s="81"/>
      <c r="AX1570" s="81"/>
      <c r="AY1570" s="81"/>
      <c r="AZ1570" s="81"/>
      <c r="BA1570" s="81"/>
      <c r="BB1570" s="81"/>
    </row>
    <row r="1571" spans="1:54" x14ac:dyDescent="0.35">
      <c r="A1571" s="66" t="s">
        <v>547</v>
      </c>
      <c r="B1571" s="66" t="s">
        <v>547</v>
      </c>
      <c r="C1571" s="67"/>
      <c r="D1571" s="68"/>
      <c r="E1571" s="69"/>
      <c r="F1571" s="70"/>
      <c r="G1571" s="67"/>
      <c r="H1571" s="71"/>
      <c r="I1571" s="72"/>
      <c r="J1571" s="72"/>
      <c r="K1571" s="36"/>
      <c r="L1571" s="79"/>
      <c r="M1571" s="79"/>
      <c r="N1571" s="74"/>
      <c r="O1571" s="81" t="s">
        <v>179</v>
      </c>
      <c r="P1571" s="83">
        <v>44466.545069444444</v>
      </c>
      <c r="Q1571" s="81" t="s">
        <v>884</v>
      </c>
      <c r="R1571" s="81"/>
      <c r="S1571" s="81"/>
      <c r="T1571" s="81"/>
      <c r="U1571" s="81"/>
      <c r="V1571" s="84" t="str">
        <f>HYPERLINK("https://pbs.twimg.com/profile_images/1414279213985660938/0fbg4ekt_normal.jpg")</f>
        <v>https://pbs.twimg.com/profile_images/1414279213985660938/0fbg4ekt_normal.jpg</v>
      </c>
      <c r="W1571" s="83">
        <v>44466.545069444444</v>
      </c>
      <c r="X1571" s="89">
        <v>44466</v>
      </c>
      <c r="Y1571" s="86" t="s">
        <v>1430</v>
      </c>
      <c r="Z1571" s="84" t="str">
        <f>HYPERLINK("https://twitter.com/_averain99/status/1442475335295979521")</f>
        <v>https://twitter.com/_averain99/status/1442475335295979521</v>
      </c>
      <c r="AA1571" s="81"/>
      <c r="AB1571" s="81"/>
      <c r="AC1571" s="86" t="s">
        <v>1926</v>
      </c>
      <c r="AD1571" s="81"/>
      <c r="AE1571" s="81" t="b">
        <v>0</v>
      </c>
      <c r="AF1571" s="81">
        <v>0</v>
      </c>
      <c r="AG1571" s="86" t="s">
        <v>2084</v>
      </c>
      <c r="AH1571" s="81" t="b">
        <v>0</v>
      </c>
      <c r="AI1571" s="81" t="s">
        <v>2167</v>
      </c>
      <c r="AJ1571" s="81"/>
      <c r="AK1571" s="86" t="s">
        <v>2084</v>
      </c>
      <c r="AL1571" s="81" t="b">
        <v>0</v>
      </c>
      <c r="AM1571" s="81">
        <v>0</v>
      </c>
      <c r="AN1571" s="86" t="s">
        <v>2084</v>
      </c>
      <c r="AO1571" s="86" t="s">
        <v>2178</v>
      </c>
      <c r="AP1571" s="81" t="b">
        <v>0</v>
      </c>
      <c r="AQ1571" s="86" t="s">
        <v>1926</v>
      </c>
      <c r="AR1571" s="81" t="s">
        <v>179</v>
      </c>
      <c r="AS1571" s="81">
        <v>0</v>
      </c>
      <c r="AT1571" s="81">
        <v>0</v>
      </c>
      <c r="AU1571" s="81"/>
      <c r="AV1571" s="81"/>
      <c r="AW1571" s="81"/>
      <c r="AX1571" s="81"/>
      <c r="AY1571" s="81"/>
      <c r="AZ1571" s="81"/>
      <c r="BA1571" s="81"/>
      <c r="BB1571" s="81"/>
    </row>
    <row r="1572" spans="1:54" x14ac:dyDescent="0.35">
      <c r="A1572" s="66" t="s">
        <v>548</v>
      </c>
      <c r="B1572" s="66" t="s">
        <v>569</v>
      </c>
      <c r="C1572" s="67"/>
      <c r="D1572" s="68"/>
      <c r="E1572" s="69"/>
      <c r="F1572" s="70"/>
      <c r="G1572" s="67"/>
      <c r="H1572" s="71"/>
      <c r="I1572" s="72"/>
      <c r="J1572" s="72"/>
      <c r="K1572" s="36"/>
      <c r="L1572" s="79"/>
      <c r="M1572" s="79"/>
      <c r="N1572" s="74"/>
      <c r="O1572" s="81" t="s">
        <v>693</v>
      </c>
      <c r="P1572" s="83">
        <v>44466.545763888891</v>
      </c>
      <c r="Q1572" s="81" t="s">
        <v>885</v>
      </c>
      <c r="R1572" s="81"/>
      <c r="S1572" s="81"/>
      <c r="T1572" s="86" t="s">
        <v>314</v>
      </c>
      <c r="U1572" s="84" t="str">
        <f>HYPERLINK("https://pbs.twimg.com/media/FASyu2tUcAYA_sv.jpg")</f>
        <v>https://pbs.twimg.com/media/FASyu2tUcAYA_sv.jpg</v>
      </c>
      <c r="V1572" s="84" t="str">
        <f>HYPERLINK("https://pbs.twimg.com/media/FASyu2tUcAYA_sv.jpg")</f>
        <v>https://pbs.twimg.com/media/FASyu2tUcAYA_sv.jpg</v>
      </c>
      <c r="W1572" s="83">
        <v>44466.545763888891</v>
      </c>
      <c r="X1572" s="89">
        <v>44466</v>
      </c>
      <c r="Y1572" s="86" t="s">
        <v>1431</v>
      </c>
      <c r="Z1572" s="84" t="str">
        <f>HYPERLINK("https://twitter.com/nynassuh/status/1442475585071042562")</f>
        <v>https://twitter.com/nynassuh/status/1442475585071042562</v>
      </c>
      <c r="AA1572" s="81"/>
      <c r="AB1572" s="81"/>
      <c r="AC1572" s="86" t="s">
        <v>1927</v>
      </c>
      <c r="AD1572" s="81"/>
      <c r="AE1572" s="81" t="b">
        <v>0</v>
      </c>
      <c r="AF1572" s="81">
        <v>0</v>
      </c>
      <c r="AG1572" s="86" t="s">
        <v>2084</v>
      </c>
      <c r="AH1572" s="81" t="b">
        <v>0</v>
      </c>
      <c r="AI1572" s="81" t="s">
        <v>2168</v>
      </c>
      <c r="AJ1572" s="81"/>
      <c r="AK1572" s="86" t="s">
        <v>2084</v>
      </c>
      <c r="AL1572" s="81" t="b">
        <v>0</v>
      </c>
      <c r="AM1572" s="81">
        <v>2</v>
      </c>
      <c r="AN1572" s="86" t="s">
        <v>1951</v>
      </c>
      <c r="AO1572" s="86" t="s">
        <v>2178</v>
      </c>
      <c r="AP1572" s="81" t="b">
        <v>0</v>
      </c>
      <c r="AQ1572" s="86" t="s">
        <v>1951</v>
      </c>
      <c r="AR1572" s="81" t="s">
        <v>179</v>
      </c>
      <c r="AS1572" s="81">
        <v>0</v>
      </c>
      <c r="AT1572" s="81">
        <v>0</v>
      </c>
      <c r="AU1572" s="81"/>
      <c r="AV1572" s="81"/>
      <c r="AW1572" s="81"/>
      <c r="AX1572" s="81"/>
      <c r="AY1572" s="81"/>
      <c r="AZ1572" s="81"/>
      <c r="BA1572" s="81"/>
      <c r="BB1572" s="81"/>
    </row>
    <row r="1573" spans="1:54" x14ac:dyDescent="0.35">
      <c r="A1573" s="66" t="s">
        <v>4810</v>
      </c>
      <c r="B1573" s="66" t="s">
        <v>4944</v>
      </c>
      <c r="C1573" s="67"/>
      <c r="D1573" s="68"/>
      <c r="E1573" s="69"/>
      <c r="F1573" s="70"/>
      <c r="G1573" s="67"/>
      <c r="H1573" s="71"/>
      <c r="I1573" s="72"/>
      <c r="J1573" s="72"/>
      <c r="K1573" s="36"/>
      <c r="L1573" s="79"/>
      <c r="M1573" s="79"/>
      <c r="N1573" s="74"/>
      <c r="O1573" s="81" t="s">
        <v>693</v>
      </c>
      <c r="P1573" s="83">
        <v>44466.55096064815</v>
      </c>
      <c r="Q1573" s="81" t="s">
        <v>5505</v>
      </c>
      <c r="R1573" s="81"/>
      <c r="S1573" s="81"/>
      <c r="T1573" s="81"/>
      <c r="U1573" s="81"/>
      <c r="V1573" s="84" t="str">
        <f>HYPERLINK("https://pbs.twimg.com/profile_images/1398592630817239046/Io2AsI_0_normal.jpg")</f>
        <v>https://pbs.twimg.com/profile_images/1398592630817239046/Io2AsI_0_normal.jpg</v>
      </c>
      <c r="W1573" s="83">
        <v>44466.55096064815</v>
      </c>
      <c r="X1573" s="89">
        <v>44466</v>
      </c>
      <c r="Y1573" s="86" t="s">
        <v>6453</v>
      </c>
      <c r="Z1573" s="84" t="str">
        <f>HYPERLINK("https://twitter.com/influencersqn/status/1442477470624751619")</f>
        <v>https://twitter.com/influencersqn/status/1442477470624751619</v>
      </c>
      <c r="AA1573" s="81"/>
      <c r="AB1573" s="81"/>
      <c r="AC1573" s="86" t="s">
        <v>7373</v>
      </c>
      <c r="AD1573" s="81"/>
      <c r="AE1573" s="81" t="b">
        <v>0</v>
      </c>
      <c r="AF1573" s="81">
        <v>0</v>
      </c>
      <c r="AG1573" s="86" t="s">
        <v>2084</v>
      </c>
      <c r="AH1573" s="81" t="b">
        <v>0</v>
      </c>
      <c r="AI1573" s="81" t="s">
        <v>2171</v>
      </c>
      <c r="AJ1573" s="81"/>
      <c r="AK1573" s="86" t="s">
        <v>2084</v>
      </c>
      <c r="AL1573" s="81" t="b">
        <v>0</v>
      </c>
      <c r="AM1573" s="81">
        <v>255</v>
      </c>
      <c r="AN1573" s="86" t="s">
        <v>7543</v>
      </c>
      <c r="AO1573" s="86" t="s">
        <v>2178</v>
      </c>
      <c r="AP1573" s="81" t="b">
        <v>0</v>
      </c>
      <c r="AQ1573" s="86" t="s">
        <v>7543</v>
      </c>
      <c r="AR1573" s="81" t="s">
        <v>179</v>
      </c>
      <c r="AS1573" s="81">
        <v>0</v>
      </c>
      <c r="AT1573" s="81">
        <v>0</v>
      </c>
      <c r="AU1573" s="81"/>
      <c r="AV1573" s="81"/>
      <c r="AW1573" s="81"/>
      <c r="AX1573" s="81"/>
      <c r="AY1573" s="81"/>
      <c r="AZ1573" s="81"/>
      <c r="BA1573" s="81"/>
      <c r="BB1573" s="81"/>
    </row>
    <row r="1574" spans="1:54" x14ac:dyDescent="0.35">
      <c r="A1574" s="66" t="s">
        <v>4811</v>
      </c>
      <c r="B1574" s="66" t="s">
        <v>5161</v>
      </c>
      <c r="C1574" s="67"/>
      <c r="D1574" s="68"/>
      <c r="E1574" s="69"/>
      <c r="F1574" s="70"/>
      <c r="G1574" s="67"/>
      <c r="H1574" s="71"/>
      <c r="I1574" s="72"/>
      <c r="J1574" s="72"/>
      <c r="K1574" s="36"/>
      <c r="L1574" s="79"/>
      <c r="M1574" s="79"/>
      <c r="N1574" s="74"/>
      <c r="O1574" s="81" t="s">
        <v>696</v>
      </c>
      <c r="P1574" s="83">
        <v>44466.558032407411</v>
      </c>
      <c r="Q1574" s="81" t="s">
        <v>5551</v>
      </c>
      <c r="R1574" s="81"/>
      <c r="S1574" s="81"/>
      <c r="T1574" s="81"/>
      <c r="U1574" s="81"/>
      <c r="V1574" s="84" t="str">
        <f>HYPERLINK("https://pbs.twimg.com/profile_images/1441786156581011459/6O88zYuU_normal.jpg")</f>
        <v>https://pbs.twimg.com/profile_images/1441786156581011459/6O88zYuU_normal.jpg</v>
      </c>
      <c r="W1574" s="83">
        <v>44466.558032407411</v>
      </c>
      <c r="X1574" s="89">
        <v>44466</v>
      </c>
      <c r="Y1574" s="86" t="s">
        <v>6454</v>
      </c>
      <c r="Z1574" s="84" t="str">
        <f>HYPERLINK("https://twitter.com/joicereis_/status/1442480032635502599")</f>
        <v>https://twitter.com/joicereis_/status/1442480032635502599</v>
      </c>
      <c r="AA1574" s="81"/>
      <c r="AB1574" s="81"/>
      <c r="AC1574" s="86" t="s">
        <v>7374</v>
      </c>
      <c r="AD1574" s="86" t="s">
        <v>7731</v>
      </c>
      <c r="AE1574" s="81" t="b">
        <v>0</v>
      </c>
      <c r="AF1574" s="81">
        <v>1</v>
      </c>
      <c r="AG1574" s="86" t="s">
        <v>7907</v>
      </c>
      <c r="AH1574" s="81" t="b">
        <v>0</v>
      </c>
      <c r="AI1574" s="81" t="s">
        <v>2171</v>
      </c>
      <c r="AJ1574" s="81"/>
      <c r="AK1574" s="86" t="s">
        <v>2084</v>
      </c>
      <c r="AL1574" s="81" t="b">
        <v>0</v>
      </c>
      <c r="AM1574" s="81">
        <v>0</v>
      </c>
      <c r="AN1574" s="86" t="s">
        <v>2084</v>
      </c>
      <c r="AO1574" s="86" t="s">
        <v>2178</v>
      </c>
      <c r="AP1574" s="81" t="b">
        <v>0</v>
      </c>
      <c r="AQ1574" s="86" t="s">
        <v>7731</v>
      </c>
      <c r="AR1574" s="81" t="s">
        <v>179</v>
      </c>
      <c r="AS1574" s="81">
        <v>0</v>
      </c>
      <c r="AT1574" s="81">
        <v>0</v>
      </c>
      <c r="AU1574" s="81"/>
      <c r="AV1574" s="81"/>
      <c r="AW1574" s="81"/>
      <c r="AX1574" s="81"/>
      <c r="AY1574" s="81"/>
      <c r="AZ1574" s="81"/>
      <c r="BA1574" s="81"/>
      <c r="BB1574" s="81"/>
    </row>
    <row r="1575" spans="1:54" x14ac:dyDescent="0.35">
      <c r="A1575" s="66" t="s">
        <v>4811</v>
      </c>
      <c r="B1575" s="66" t="s">
        <v>5162</v>
      </c>
      <c r="C1575" s="67"/>
      <c r="D1575" s="68"/>
      <c r="E1575" s="69"/>
      <c r="F1575" s="70"/>
      <c r="G1575" s="67"/>
      <c r="H1575" s="71"/>
      <c r="I1575" s="72"/>
      <c r="J1575" s="72"/>
      <c r="K1575" s="36"/>
      <c r="L1575" s="79"/>
      <c r="M1575" s="79"/>
      <c r="N1575" s="74"/>
      <c r="O1575" s="81" t="s">
        <v>696</v>
      </c>
      <c r="P1575" s="83">
        <v>44466.558032407411</v>
      </c>
      <c r="Q1575" s="81" t="s">
        <v>5551</v>
      </c>
      <c r="R1575" s="81"/>
      <c r="S1575" s="81"/>
      <c r="T1575" s="81"/>
      <c r="U1575" s="81"/>
      <c r="V1575" s="84" t="str">
        <f>HYPERLINK("https://pbs.twimg.com/profile_images/1441786156581011459/6O88zYuU_normal.jpg")</f>
        <v>https://pbs.twimg.com/profile_images/1441786156581011459/6O88zYuU_normal.jpg</v>
      </c>
      <c r="W1575" s="83">
        <v>44466.558032407411</v>
      </c>
      <c r="X1575" s="89">
        <v>44466</v>
      </c>
      <c r="Y1575" s="86" t="s">
        <v>6454</v>
      </c>
      <c r="Z1575" s="84" t="str">
        <f>HYPERLINK("https://twitter.com/joicereis_/status/1442480032635502599")</f>
        <v>https://twitter.com/joicereis_/status/1442480032635502599</v>
      </c>
      <c r="AA1575" s="81"/>
      <c r="AB1575" s="81"/>
      <c r="AC1575" s="86" t="s">
        <v>7374</v>
      </c>
      <c r="AD1575" s="86" t="s">
        <v>7731</v>
      </c>
      <c r="AE1575" s="81" t="b">
        <v>0</v>
      </c>
      <c r="AF1575" s="81">
        <v>1</v>
      </c>
      <c r="AG1575" s="86" t="s">
        <v>7907</v>
      </c>
      <c r="AH1575" s="81" t="b">
        <v>0</v>
      </c>
      <c r="AI1575" s="81" t="s">
        <v>2171</v>
      </c>
      <c r="AJ1575" s="81"/>
      <c r="AK1575" s="86" t="s">
        <v>2084</v>
      </c>
      <c r="AL1575" s="81" t="b">
        <v>0</v>
      </c>
      <c r="AM1575" s="81">
        <v>0</v>
      </c>
      <c r="AN1575" s="86" t="s">
        <v>2084</v>
      </c>
      <c r="AO1575" s="86" t="s">
        <v>2178</v>
      </c>
      <c r="AP1575" s="81" t="b">
        <v>0</v>
      </c>
      <c r="AQ1575" s="86" t="s">
        <v>7731</v>
      </c>
      <c r="AR1575" s="81" t="s">
        <v>179</v>
      </c>
      <c r="AS1575" s="81">
        <v>0</v>
      </c>
      <c r="AT1575" s="81">
        <v>0</v>
      </c>
      <c r="AU1575" s="81"/>
      <c r="AV1575" s="81"/>
      <c r="AW1575" s="81"/>
      <c r="AX1575" s="81"/>
      <c r="AY1575" s="81"/>
      <c r="AZ1575" s="81"/>
      <c r="BA1575" s="81"/>
      <c r="BB1575" s="81"/>
    </row>
    <row r="1576" spans="1:54" x14ac:dyDescent="0.35">
      <c r="A1576" s="66" t="s">
        <v>4811</v>
      </c>
      <c r="B1576" s="66" t="s">
        <v>5163</v>
      </c>
      <c r="C1576" s="67"/>
      <c r="D1576" s="68"/>
      <c r="E1576" s="69"/>
      <c r="F1576" s="70"/>
      <c r="G1576" s="67"/>
      <c r="H1576" s="71"/>
      <c r="I1576" s="72"/>
      <c r="J1576" s="72"/>
      <c r="K1576" s="36"/>
      <c r="L1576" s="79"/>
      <c r="M1576" s="79"/>
      <c r="N1576" s="74"/>
      <c r="O1576" s="81" t="s">
        <v>696</v>
      </c>
      <c r="P1576" s="83">
        <v>44466.558032407411</v>
      </c>
      <c r="Q1576" s="81" t="s">
        <v>5551</v>
      </c>
      <c r="R1576" s="81"/>
      <c r="S1576" s="81"/>
      <c r="T1576" s="81"/>
      <c r="U1576" s="81"/>
      <c r="V1576" s="84" t="str">
        <f>HYPERLINK("https://pbs.twimg.com/profile_images/1441786156581011459/6O88zYuU_normal.jpg")</f>
        <v>https://pbs.twimg.com/profile_images/1441786156581011459/6O88zYuU_normal.jpg</v>
      </c>
      <c r="W1576" s="83">
        <v>44466.558032407411</v>
      </c>
      <c r="X1576" s="89">
        <v>44466</v>
      </c>
      <c r="Y1576" s="86" t="s">
        <v>6454</v>
      </c>
      <c r="Z1576" s="84" t="str">
        <f>HYPERLINK("https://twitter.com/joicereis_/status/1442480032635502599")</f>
        <v>https://twitter.com/joicereis_/status/1442480032635502599</v>
      </c>
      <c r="AA1576" s="81"/>
      <c r="AB1576" s="81"/>
      <c r="AC1576" s="86" t="s">
        <v>7374</v>
      </c>
      <c r="AD1576" s="86" t="s">
        <v>7731</v>
      </c>
      <c r="AE1576" s="81" t="b">
        <v>0</v>
      </c>
      <c r="AF1576" s="81">
        <v>1</v>
      </c>
      <c r="AG1576" s="86" t="s">
        <v>7907</v>
      </c>
      <c r="AH1576" s="81" t="b">
        <v>0</v>
      </c>
      <c r="AI1576" s="81" t="s">
        <v>2171</v>
      </c>
      <c r="AJ1576" s="81"/>
      <c r="AK1576" s="86" t="s">
        <v>2084</v>
      </c>
      <c r="AL1576" s="81" t="b">
        <v>0</v>
      </c>
      <c r="AM1576" s="81">
        <v>0</v>
      </c>
      <c r="AN1576" s="86" t="s">
        <v>2084</v>
      </c>
      <c r="AO1576" s="86" t="s">
        <v>2178</v>
      </c>
      <c r="AP1576" s="81" t="b">
        <v>0</v>
      </c>
      <c r="AQ1576" s="86" t="s">
        <v>7731</v>
      </c>
      <c r="AR1576" s="81" t="s">
        <v>179</v>
      </c>
      <c r="AS1576" s="81">
        <v>0</v>
      </c>
      <c r="AT1576" s="81">
        <v>0</v>
      </c>
      <c r="AU1576" s="81"/>
      <c r="AV1576" s="81"/>
      <c r="AW1576" s="81"/>
      <c r="AX1576" s="81"/>
      <c r="AY1576" s="81"/>
      <c r="AZ1576" s="81"/>
      <c r="BA1576" s="81"/>
      <c r="BB1576" s="81"/>
    </row>
    <row r="1577" spans="1:54" x14ac:dyDescent="0.35">
      <c r="A1577" s="66" t="s">
        <v>4811</v>
      </c>
      <c r="B1577" s="66" t="s">
        <v>5164</v>
      </c>
      <c r="C1577" s="67"/>
      <c r="D1577" s="68"/>
      <c r="E1577" s="69"/>
      <c r="F1577" s="70"/>
      <c r="G1577" s="67"/>
      <c r="H1577" s="71"/>
      <c r="I1577" s="72"/>
      <c r="J1577" s="72"/>
      <c r="K1577" s="36"/>
      <c r="L1577" s="79"/>
      <c r="M1577" s="79"/>
      <c r="N1577" s="74"/>
      <c r="O1577" s="81" t="s">
        <v>696</v>
      </c>
      <c r="P1577" s="83">
        <v>44466.558032407411</v>
      </c>
      <c r="Q1577" s="81" t="s">
        <v>5551</v>
      </c>
      <c r="R1577" s="81"/>
      <c r="S1577" s="81"/>
      <c r="T1577" s="81"/>
      <c r="U1577" s="81"/>
      <c r="V1577" s="84" t="str">
        <f>HYPERLINK("https://pbs.twimg.com/profile_images/1441786156581011459/6O88zYuU_normal.jpg")</f>
        <v>https://pbs.twimg.com/profile_images/1441786156581011459/6O88zYuU_normal.jpg</v>
      </c>
      <c r="W1577" s="83">
        <v>44466.558032407411</v>
      </c>
      <c r="X1577" s="89">
        <v>44466</v>
      </c>
      <c r="Y1577" s="86" t="s">
        <v>6454</v>
      </c>
      <c r="Z1577" s="84" t="str">
        <f>HYPERLINK("https://twitter.com/joicereis_/status/1442480032635502599")</f>
        <v>https://twitter.com/joicereis_/status/1442480032635502599</v>
      </c>
      <c r="AA1577" s="81"/>
      <c r="AB1577" s="81"/>
      <c r="AC1577" s="86" t="s">
        <v>7374</v>
      </c>
      <c r="AD1577" s="86" t="s">
        <v>7731</v>
      </c>
      <c r="AE1577" s="81" t="b">
        <v>0</v>
      </c>
      <c r="AF1577" s="81">
        <v>1</v>
      </c>
      <c r="AG1577" s="86" t="s">
        <v>7907</v>
      </c>
      <c r="AH1577" s="81" t="b">
        <v>0</v>
      </c>
      <c r="AI1577" s="81" t="s">
        <v>2171</v>
      </c>
      <c r="AJ1577" s="81"/>
      <c r="AK1577" s="86" t="s">
        <v>2084</v>
      </c>
      <c r="AL1577" s="81" t="b">
        <v>0</v>
      </c>
      <c r="AM1577" s="81">
        <v>0</v>
      </c>
      <c r="AN1577" s="86" t="s">
        <v>2084</v>
      </c>
      <c r="AO1577" s="86" t="s">
        <v>2178</v>
      </c>
      <c r="AP1577" s="81" t="b">
        <v>0</v>
      </c>
      <c r="AQ1577" s="86" t="s">
        <v>7731</v>
      </c>
      <c r="AR1577" s="81" t="s">
        <v>179</v>
      </c>
      <c r="AS1577" s="81">
        <v>0</v>
      </c>
      <c r="AT1577" s="81">
        <v>0</v>
      </c>
      <c r="AU1577" s="81"/>
      <c r="AV1577" s="81"/>
      <c r="AW1577" s="81"/>
      <c r="AX1577" s="81"/>
      <c r="AY1577" s="81"/>
      <c r="AZ1577" s="81"/>
      <c r="BA1577" s="81"/>
      <c r="BB1577" s="81"/>
    </row>
    <row r="1578" spans="1:54" x14ac:dyDescent="0.35">
      <c r="A1578" s="66" t="s">
        <v>4811</v>
      </c>
      <c r="B1578" s="66" t="s">
        <v>5165</v>
      </c>
      <c r="C1578" s="67"/>
      <c r="D1578" s="68"/>
      <c r="E1578" s="69"/>
      <c r="F1578" s="70"/>
      <c r="G1578" s="67"/>
      <c r="H1578" s="71"/>
      <c r="I1578" s="72"/>
      <c r="J1578" s="72"/>
      <c r="K1578" s="36"/>
      <c r="L1578" s="79"/>
      <c r="M1578" s="79"/>
      <c r="N1578" s="74"/>
      <c r="O1578" s="81" t="s">
        <v>695</v>
      </c>
      <c r="P1578" s="83">
        <v>44466.558032407411</v>
      </c>
      <c r="Q1578" s="81" t="s">
        <v>5551</v>
      </c>
      <c r="R1578" s="81"/>
      <c r="S1578" s="81"/>
      <c r="T1578" s="81"/>
      <c r="U1578" s="81"/>
      <c r="V1578" s="84" t="str">
        <f>HYPERLINK("https://pbs.twimg.com/profile_images/1441786156581011459/6O88zYuU_normal.jpg")</f>
        <v>https://pbs.twimg.com/profile_images/1441786156581011459/6O88zYuU_normal.jpg</v>
      </c>
      <c r="W1578" s="83">
        <v>44466.558032407411</v>
      </c>
      <c r="X1578" s="89">
        <v>44466</v>
      </c>
      <c r="Y1578" s="86" t="s">
        <v>6454</v>
      </c>
      <c r="Z1578" s="84" t="str">
        <f>HYPERLINK("https://twitter.com/joicereis_/status/1442480032635502599")</f>
        <v>https://twitter.com/joicereis_/status/1442480032635502599</v>
      </c>
      <c r="AA1578" s="81"/>
      <c r="AB1578" s="81"/>
      <c r="AC1578" s="86" t="s">
        <v>7374</v>
      </c>
      <c r="AD1578" s="86" t="s">
        <v>7731</v>
      </c>
      <c r="AE1578" s="81" t="b">
        <v>0</v>
      </c>
      <c r="AF1578" s="81">
        <v>1</v>
      </c>
      <c r="AG1578" s="86" t="s">
        <v>7907</v>
      </c>
      <c r="AH1578" s="81" t="b">
        <v>0</v>
      </c>
      <c r="AI1578" s="81" t="s">
        <v>2171</v>
      </c>
      <c r="AJ1578" s="81"/>
      <c r="AK1578" s="86" t="s">
        <v>2084</v>
      </c>
      <c r="AL1578" s="81" t="b">
        <v>0</v>
      </c>
      <c r="AM1578" s="81">
        <v>0</v>
      </c>
      <c r="AN1578" s="86" t="s">
        <v>2084</v>
      </c>
      <c r="AO1578" s="86" t="s">
        <v>2178</v>
      </c>
      <c r="AP1578" s="81" t="b">
        <v>0</v>
      </c>
      <c r="AQ1578" s="86" t="s">
        <v>7731</v>
      </c>
      <c r="AR1578" s="81" t="s">
        <v>179</v>
      </c>
      <c r="AS1578" s="81">
        <v>0</v>
      </c>
      <c r="AT1578" s="81">
        <v>0</v>
      </c>
      <c r="AU1578" s="81"/>
      <c r="AV1578" s="81"/>
      <c r="AW1578" s="81"/>
      <c r="AX1578" s="81"/>
      <c r="AY1578" s="81"/>
      <c r="AZ1578" s="81"/>
      <c r="BA1578" s="81"/>
      <c r="BB1578" s="81"/>
    </row>
    <row r="1579" spans="1:54" x14ac:dyDescent="0.35">
      <c r="A1579" s="66" t="s">
        <v>4811</v>
      </c>
      <c r="B1579" s="66" t="s">
        <v>5028</v>
      </c>
      <c r="C1579" s="67"/>
      <c r="D1579" s="68"/>
      <c r="E1579" s="69"/>
      <c r="F1579" s="70"/>
      <c r="G1579" s="67"/>
      <c r="H1579" s="71"/>
      <c r="I1579" s="72"/>
      <c r="J1579" s="72"/>
      <c r="K1579" s="36"/>
      <c r="L1579" s="79"/>
      <c r="M1579" s="79"/>
      <c r="N1579" s="74"/>
      <c r="O1579" s="81" t="s">
        <v>696</v>
      </c>
      <c r="P1579" s="83">
        <v>44466.558032407411</v>
      </c>
      <c r="Q1579" s="81" t="s">
        <v>5551</v>
      </c>
      <c r="R1579" s="81"/>
      <c r="S1579" s="81"/>
      <c r="T1579" s="81"/>
      <c r="U1579" s="81"/>
      <c r="V1579" s="84" t="str">
        <f>HYPERLINK("https://pbs.twimg.com/profile_images/1441786156581011459/6O88zYuU_normal.jpg")</f>
        <v>https://pbs.twimg.com/profile_images/1441786156581011459/6O88zYuU_normal.jpg</v>
      </c>
      <c r="W1579" s="83">
        <v>44466.558032407411</v>
      </c>
      <c r="X1579" s="89">
        <v>44466</v>
      </c>
      <c r="Y1579" s="86" t="s">
        <v>6454</v>
      </c>
      <c r="Z1579" s="84" t="str">
        <f>HYPERLINK("https://twitter.com/joicereis_/status/1442480032635502599")</f>
        <v>https://twitter.com/joicereis_/status/1442480032635502599</v>
      </c>
      <c r="AA1579" s="81"/>
      <c r="AB1579" s="81"/>
      <c r="AC1579" s="86" t="s">
        <v>7374</v>
      </c>
      <c r="AD1579" s="86" t="s">
        <v>7731</v>
      </c>
      <c r="AE1579" s="81" t="b">
        <v>0</v>
      </c>
      <c r="AF1579" s="81">
        <v>1</v>
      </c>
      <c r="AG1579" s="86" t="s">
        <v>7907</v>
      </c>
      <c r="AH1579" s="81" t="b">
        <v>0</v>
      </c>
      <c r="AI1579" s="81" t="s">
        <v>2171</v>
      </c>
      <c r="AJ1579" s="81"/>
      <c r="AK1579" s="86" t="s">
        <v>2084</v>
      </c>
      <c r="AL1579" s="81" t="b">
        <v>0</v>
      </c>
      <c r="AM1579" s="81">
        <v>0</v>
      </c>
      <c r="AN1579" s="86" t="s">
        <v>2084</v>
      </c>
      <c r="AO1579" s="86" t="s">
        <v>2178</v>
      </c>
      <c r="AP1579" s="81" t="b">
        <v>0</v>
      </c>
      <c r="AQ1579" s="86" t="s">
        <v>7731</v>
      </c>
      <c r="AR1579" s="81" t="s">
        <v>179</v>
      </c>
      <c r="AS1579" s="81">
        <v>0</v>
      </c>
      <c r="AT1579" s="81">
        <v>0</v>
      </c>
      <c r="AU1579" s="81"/>
      <c r="AV1579" s="81"/>
      <c r="AW1579" s="81"/>
      <c r="AX1579" s="81"/>
      <c r="AY1579" s="81"/>
      <c r="AZ1579" s="81"/>
      <c r="BA1579" s="81"/>
      <c r="BB1579" s="81"/>
    </row>
    <row r="1580" spans="1:54" x14ac:dyDescent="0.35">
      <c r="A1580" s="66" t="s">
        <v>4812</v>
      </c>
      <c r="B1580" s="66" t="s">
        <v>4812</v>
      </c>
      <c r="C1580" s="67"/>
      <c r="D1580" s="68"/>
      <c r="E1580" s="69"/>
      <c r="F1580" s="70"/>
      <c r="G1580" s="67"/>
      <c r="H1580" s="71"/>
      <c r="I1580" s="72"/>
      <c r="J1580" s="72"/>
      <c r="K1580" s="36"/>
      <c r="L1580" s="79"/>
      <c r="M1580" s="79"/>
      <c r="N1580" s="74"/>
      <c r="O1580" s="81" t="s">
        <v>179</v>
      </c>
      <c r="P1580" s="83">
        <v>44466.559687499997</v>
      </c>
      <c r="Q1580" s="81" t="s">
        <v>5552</v>
      </c>
      <c r="R1580" s="81"/>
      <c r="S1580" s="81"/>
      <c r="T1580" s="81"/>
      <c r="U1580" s="81"/>
      <c r="V1580" s="84" t="str">
        <f>HYPERLINK("https://pbs.twimg.com/profile_images/1431285506646724611/i6ZhUMy5_normal.jpg")</f>
        <v>https://pbs.twimg.com/profile_images/1431285506646724611/i6ZhUMy5_normal.jpg</v>
      </c>
      <c r="W1580" s="83">
        <v>44466.559687499997</v>
      </c>
      <c r="X1580" s="89">
        <v>44466</v>
      </c>
      <c r="Y1580" s="86" t="s">
        <v>6455</v>
      </c>
      <c r="Z1580" s="84" t="str">
        <f>HYPERLINK("https://twitter.com/codasiuri/status/1442480631930245126")</f>
        <v>https://twitter.com/codasiuri/status/1442480631930245126</v>
      </c>
      <c r="AA1580" s="81"/>
      <c r="AB1580" s="81"/>
      <c r="AC1580" s="86" t="s">
        <v>7375</v>
      </c>
      <c r="AD1580" s="86" t="s">
        <v>7732</v>
      </c>
      <c r="AE1580" s="81" t="b">
        <v>0</v>
      </c>
      <c r="AF1580" s="81">
        <v>0</v>
      </c>
      <c r="AG1580" s="86" t="s">
        <v>7908</v>
      </c>
      <c r="AH1580" s="81" t="b">
        <v>0</v>
      </c>
      <c r="AI1580" s="81" t="s">
        <v>2171</v>
      </c>
      <c r="AJ1580" s="81"/>
      <c r="AK1580" s="86" t="s">
        <v>2084</v>
      </c>
      <c r="AL1580" s="81" t="b">
        <v>0</v>
      </c>
      <c r="AM1580" s="81">
        <v>0</v>
      </c>
      <c r="AN1580" s="86" t="s">
        <v>2084</v>
      </c>
      <c r="AO1580" s="86" t="s">
        <v>2181</v>
      </c>
      <c r="AP1580" s="81" t="b">
        <v>0</v>
      </c>
      <c r="AQ1580" s="86" t="s">
        <v>7732</v>
      </c>
      <c r="AR1580" s="81" t="s">
        <v>179</v>
      </c>
      <c r="AS1580" s="81">
        <v>0</v>
      </c>
      <c r="AT1580" s="81">
        <v>0</v>
      </c>
      <c r="AU1580" s="81"/>
      <c r="AV1580" s="81"/>
      <c r="AW1580" s="81"/>
      <c r="AX1580" s="81"/>
      <c r="AY1580" s="81"/>
      <c r="AZ1580" s="81"/>
      <c r="BA1580" s="81"/>
      <c r="BB1580" s="81"/>
    </row>
    <row r="1581" spans="1:54" x14ac:dyDescent="0.35">
      <c r="A1581" s="66" t="s">
        <v>549</v>
      </c>
      <c r="B1581" s="66" t="s">
        <v>596</v>
      </c>
      <c r="C1581" s="67"/>
      <c r="D1581" s="68"/>
      <c r="E1581" s="69"/>
      <c r="F1581" s="70"/>
      <c r="G1581" s="67"/>
      <c r="H1581" s="71"/>
      <c r="I1581" s="72"/>
      <c r="J1581" s="72"/>
      <c r="K1581" s="36"/>
      <c r="L1581" s="79"/>
      <c r="M1581" s="79"/>
      <c r="N1581" s="74"/>
      <c r="O1581" s="81" t="s">
        <v>693</v>
      </c>
      <c r="P1581" s="83">
        <v>44466.560439814813</v>
      </c>
      <c r="Q1581" s="81" t="s">
        <v>701</v>
      </c>
      <c r="R1581" s="84" t="str">
        <f>HYPERLINK("https://api.whatsapp.com/send?phone=6281222353823")</f>
        <v>https://api.whatsapp.com/send?phone=6281222353823</v>
      </c>
      <c r="S1581" s="81" t="s">
        <v>940</v>
      </c>
      <c r="T1581" s="81"/>
      <c r="U1581" s="84" t="str">
        <f>HYPERLINK("https://pbs.twimg.com/media/E_P_XMQWYAUXeaR.jpg")</f>
        <v>https://pbs.twimg.com/media/E_P_XMQWYAUXeaR.jpg</v>
      </c>
      <c r="V1581" s="84" t="str">
        <f>HYPERLINK("https://pbs.twimg.com/media/E_P_XMQWYAUXeaR.jpg")</f>
        <v>https://pbs.twimg.com/media/E_P_XMQWYAUXeaR.jpg</v>
      </c>
      <c r="W1581" s="83">
        <v>44466.560439814813</v>
      </c>
      <c r="X1581" s="89">
        <v>44466</v>
      </c>
      <c r="Y1581" s="86" t="s">
        <v>1432</v>
      </c>
      <c r="Z1581" s="84" t="str">
        <f>HYPERLINK("https://twitter.com/tuanwidi/status/1442480906925600768")</f>
        <v>https://twitter.com/tuanwidi/status/1442480906925600768</v>
      </c>
      <c r="AA1581" s="81"/>
      <c r="AB1581" s="81"/>
      <c r="AC1581" s="86" t="s">
        <v>1928</v>
      </c>
      <c r="AD1581" s="81"/>
      <c r="AE1581" s="81" t="b">
        <v>0</v>
      </c>
      <c r="AF1581" s="81">
        <v>0</v>
      </c>
      <c r="AG1581" s="86" t="s">
        <v>2084</v>
      </c>
      <c r="AH1581" s="81" t="b">
        <v>0</v>
      </c>
      <c r="AI1581" s="81" t="s">
        <v>2167</v>
      </c>
      <c r="AJ1581" s="81"/>
      <c r="AK1581" s="86" t="s">
        <v>2084</v>
      </c>
      <c r="AL1581" s="81" t="b">
        <v>0</v>
      </c>
      <c r="AM1581" s="81">
        <v>51</v>
      </c>
      <c r="AN1581" s="86" t="s">
        <v>2005</v>
      </c>
      <c r="AO1581" s="86" t="s">
        <v>2179</v>
      </c>
      <c r="AP1581" s="81" t="b">
        <v>0</v>
      </c>
      <c r="AQ1581" s="86" t="s">
        <v>2005</v>
      </c>
      <c r="AR1581" s="81" t="s">
        <v>179</v>
      </c>
      <c r="AS1581" s="81">
        <v>0</v>
      </c>
      <c r="AT1581" s="81">
        <v>0</v>
      </c>
      <c r="AU1581" s="81"/>
      <c r="AV1581" s="81"/>
      <c r="AW1581" s="81"/>
      <c r="AX1581" s="81"/>
      <c r="AY1581" s="81"/>
      <c r="AZ1581" s="81"/>
      <c r="BA1581" s="81"/>
      <c r="BB1581" s="81"/>
    </row>
    <row r="1582" spans="1:54" x14ac:dyDescent="0.35">
      <c r="A1582" s="66" t="s">
        <v>550</v>
      </c>
      <c r="B1582" s="66" t="s">
        <v>596</v>
      </c>
      <c r="C1582" s="67"/>
      <c r="D1582" s="68"/>
      <c r="E1582" s="69"/>
      <c r="F1582" s="70"/>
      <c r="G1582" s="67"/>
      <c r="H1582" s="71"/>
      <c r="I1582" s="72"/>
      <c r="J1582" s="72"/>
      <c r="K1582" s="36"/>
      <c r="L1582" s="79"/>
      <c r="M1582" s="79"/>
      <c r="N1582" s="74"/>
      <c r="O1582" s="81" t="s">
        <v>693</v>
      </c>
      <c r="P1582" s="83">
        <v>44466.56046296296</v>
      </c>
      <c r="Q1582" s="81" t="s">
        <v>701</v>
      </c>
      <c r="R1582" s="84" t="str">
        <f>HYPERLINK("https://api.whatsapp.com/send?phone=6281222353823")</f>
        <v>https://api.whatsapp.com/send?phone=6281222353823</v>
      </c>
      <c r="S1582" s="81" t="s">
        <v>940</v>
      </c>
      <c r="T1582" s="81"/>
      <c r="U1582" s="84" t="str">
        <f>HYPERLINK("https://pbs.twimg.com/media/E_P_XMQWYAUXeaR.jpg")</f>
        <v>https://pbs.twimg.com/media/E_P_XMQWYAUXeaR.jpg</v>
      </c>
      <c r="V1582" s="84" t="str">
        <f>HYPERLINK("https://pbs.twimg.com/media/E_P_XMQWYAUXeaR.jpg")</f>
        <v>https://pbs.twimg.com/media/E_P_XMQWYAUXeaR.jpg</v>
      </c>
      <c r="W1582" s="83">
        <v>44466.56046296296</v>
      </c>
      <c r="X1582" s="89">
        <v>44466</v>
      </c>
      <c r="Y1582" s="86" t="s">
        <v>1433</v>
      </c>
      <c r="Z1582" s="84" t="str">
        <f>HYPERLINK("https://twitter.com/whenscarves/status/1442480912474652680")</f>
        <v>https://twitter.com/whenscarves/status/1442480912474652680</v>
      </c>
      <c r="AA1582" s="81"/>
      <c r="AB1582" s="81"/>
      <c r="AC1582" s="86" t="s">
        <v>1929</v>
      </c>
      <c r="AD1582" s="81"/>
      <c r="AE1582" s="81" t="b">
        <v>0</v>
      </c>
      <c r="AF1582" s="81">
        <v>0</v>
      </c>
      <c r="AG1582" s="86" t="s">
        <v>2084</v>
      </c>
      <c r="AH1582" s="81" t="b">
        <v>0</v>
      </c>
      <c r="AI1582" s="81" t="s">
        <v>2167</v>
      </c>
      <c r="AJ1582" s="81"/>
      <c r="AK1582" s="86" t="s">
        <v>2084</v>
      </c>
      <c r="AL1582" s="81" t="b">
        <v>0</v>
      </c>
      <c r="AM1582" s="81">
        <v>51</v>
      </c>
      <c r="AN1582" s="86" t="s">
        <v>2005</v>
      </c>
      <c r="AO1582" s="86" t="s">
        <v>2178</v>
      </c>
      <c r="AP1582" s="81" t="b">
        <v>0</v>
      </c>
      <c r="AQ1582" s="86" t="s">
        <v>2005</v>
      </c>
      <c r="AR1582" s="81" t="s">
        <v>179</v>
      </c>
      <c r="AS1582" s="81">
        <v>0</v>
      </c>
      <c r="AT1582" s="81">
        <v>0</v>
      </c>
      <c r="AU1582" s="81"/>
      <c r="AV1582" s="81"/>
      <c r="AW1582" s="81"/>
      <c r="AX1582" s="81"/>
      <c r="AY1582" s="81"/>
      <c r="AZ1582" s="81"/>
      <c r="BA1582" s="81"/>
      <c r="BB1582" s="81"/>
    </row>
    <row r="1583" spans="1:54" x14ac:dyDescent="0.35">
      <c r="A1583" s="66" t="s">
        <v>551</v>
      </c>
      <c r="B1583" s="66" t="s">
        <v>596</v>
      </c>
      <c r="C1583" s="67"/>
      <c r="D1583" s="68"/>
      <c r="E1583" s="69"/>
      <c r="F1583" s="70"/>
      <c r="G1583" s="67"/>
      <c r="H1583" s="71"/>
      <c r="I1583" s="72"/>
      <c r="J1583" s="72"/>
      <c r="K1583" s="36"/>
      <c r="L1583" s="79"/>
      <c r="M1583" s="79"/>
      <c r="N1583" s="74"/>
      <c r="O1583" s="81" t="s">
        <v>693</v>
      </c>
      <c r="P1583" s="83">
        <v>44466.560706018521</v>
      </c>
      <c r="Q1583" s="81" t="s">
        <v>701</v>
      </c>
      <c r="R1583" s="84" t="str">
        <f>HYPERLINK("https://api.whatsapp.com/send?phone=6281222353823")</f>
        <v>https://api.whatsapp.com/send?phone=6281222353823</v>
      </c>
      <c r="S1583" s="81" t="s">
        <v>940</v>
      </c>
      <c r="T1583" s="81"/>
      <c r="U1583" s="84" t="str">
        <f>HYPERLINK("https://pbs.twimg.com/media/E_P_XMQWYAUXeaR.jpg")</f>
        <v>https://pbs.twimg.com/media/E_P_XMQWYAUXeaR.jpg</v>
      </c>
      <c r="V1583" s="84" t="str">
        <f>HYPERLINK("https://pbs.twimg.com/media/E_P_XMQWYAUXeaR.jpg")</f>
        <v>https://pbs.twimg.com/media/E_P_XMQWYAUXeaR.jpg</v>
      </c>
      <c r="W1583" s="83">
        <v>44466.560706018521</v>
      </c>
      <c r="X1583" s="89">
        <v>44466</v>
      </c>
      <c r="Y1583" s="86" t="s">
        <v>1434</v>
      </c>
      <c r="Z1583" s="84" t="str">
        <f>HYPERLINK("https://twitter.com/jiaeffendie/status/1442481001578438658")</f>
        <v>https://twitter.com/jiaeffendie/status/1442481001578438658</v>
      </c>
      <c r="AA1583" s="81"/>
      <c r="AB1583" s="81"/>
      <c r="AC1583" s="86" t="s">
        <v>1930</v>
      </c>
      <c r="AD1583" s="81"/>
      <c r="AE1583" s="81" t="b">
        <v>0</v>
      </c>
      <c r="AF1583" s="81">
        <v>0</v>
      </c>
      <c r="AG1583" s="86" t="s">
        <v>2084</v>
      </c>
      <c r="AH1583" s="81" t="b">
        <v>0</v>
      </c>
      <c r="AI1583" s="81" t="s">
        <v>2167</v>
      </c>
      <c r="AJ1583" s="81"/>
      <c r="AK1583" s="86" t="s">
        <v>2084</v>
      </c>
      <c r="AL1583" s="81" t="b">
        <v>0</v>
      </c>
      <c r="AM1583" s="81">
        <v>51</v>
      </c>
      <c r="AN1583" s="86" t="s">
        <v>2005</v>
      </c>
      <c r="AO1583" s="86" t="s">
        <v>2181</v>
      </c>
      <c r="AP1583" s="81" t="b">
        <v>0</v>
      </c>
      <c r="AQ1583" s="86" t="s">
        <v>2005</v>
      </c>
      <c r="AR1583" s="81" t="s">
        <v>179</v>
      </c>
      <c r="AS1583" s="81">
        <v>0</v>
      </c>
      <c r="AT1583" s="81">
        <v>0</v>
      </c>
      <c r="AU1583" s="81"/>
      <c r="AV1583" s="81"/>
      <c r="AW1583" s="81"/>
      <c r="AX1583" s="81"/>
      <c r="AY1583" s="81"/>
      <c r="AZ1583" s="81"/>
      <c r="BA1583" s="81"/>
      <c r="BB1583" s="81"/>
    </row>
    <row r="1584" spans="1:54" x14ac:dyDescent="0.35">
      <c r="A1584" s="66" t="s">
        <v>552</v>
      </c>
      <c r="B1584" s="66" t="s">
        <v>596</v>
      </c>
      <c r="C1584" s="67"/>
      <c r="D1584" s="68"/>
      <c r="E1584" s="69"/>
      <c r="F1584" s="70"/>
      <c r="G1584" s="67"/>
      <c r="H1584" s="71"/>
      <c r="I1584" s="72"/>
      <c r="J1584" s="72"/>
      <c r="K1584" s="36"/>
      <c r="L1584" s="79"/>
      <c r="M1584" s="79"/>
      <c r="N1584" s="74"/>
      <c r="O1584" s="81" t="s">
        <v>693</v>
      </c>
      <c r="P1584" s="83">
        <v>44466.561365740738</v>
      </c>
      <c r="Q1584" s="81" t="s">
        <v>701</v>
      </c>
      <c r="R1584" s="84" t="str">
        <f>HYPERLINK("https://api.whatsapp.com/send?phone=6281222353823")</f>
        <v>https://api.whatsapp.com/send?phone=6281222353823</v>
      </c>
      <c r="S1584" s="81" t="s">
        <v>940</v>
      </c>
      <c r="T1584" s="81"/>
      <c r="U1584" s="84" t="str">
        <f>HYPERLINK("https://pbs.twimg.com/media/E_P_XMQWYAUXeaR.jpg")</f>
        <v>https://pbs.twimg.com/media/E_P_XMQWYAUXeaR.jpg</v>
      </c>
      <c r="V1584" s="84" t="str">
        <f>HYPERLINK("https://pbs.twimg.com/media/E_P_XMQWYAUXeaR.jpg")</f>
        <v>https://pbs.twimg.com/media/E_P_XMQWYAUXeaR.jpg</v>
      </c>
      <c r="W1584" s="83">
        <v>44466.561365740738</v>
      </c>
      <c r="X1584" s="89">
        <v>44466</v>
      </c>
      <c r="Y1584" s="86" t="s">
        <v>1435</v>
      </c>
      <c r="Z1584" s="84" t="str">
        <f>HYPERLINK("https://twitter.com/torantula/status/1442481240985137161")</f>
        <v>https://twitter.com/torantula/status/1442481240985137161</v>
      </c>
      <c r="AA1584" s="81"/>
      <c r="AB1584" s="81"/>
      <c r="AC1584" s="86" t="s">
        <v>1931</v>
      </c>
      <c r="AD1584" s="81"/>
      <c r="AE1584" s="81" t="b">
        <v>0</v>
      </c>
      <c r="AF1584" s="81">
        <v>0</v>
      </c>
      <c r="AG1584" s="86" t="s">
        <v>2084</v>
      </c>
      <c r="AH1584" s="81" t="b">
        <v>0</v>
      </c>
      <c r="AI1584" s="81" t="s">
        <v>2167</v>
      </c>
      <c r="AJ1584" s="81"/>
      <c r="AK1584" s="86" t="s">
        <v>2084</v>
      </c>
      <c r="AL1584" s="81" t="b">
        <v>0</v>
      </c>
      <c r="AM1584" s="81">
        <v>51</v>
      </c>
      <c r="AN1584" s="86" t="s">
        <v>2005</v>
      </c>
      <c r="AO1584" s="86" t="s">
        <v>2178</v>
      </c>
      <c r="AP1584" s="81" t="b">
        <v>0</v>
      </c>
      <c r="AQ1584" s="86" t="s">
        <v>2005</v>
      </c>
      <c r="AR1584" s="81" t="s">
        <v>179</v>
      </c>
      <c r="AS1584" s="81">
        <v>0</v>
      </c>
      <c r="AT1584" s="81">
        <v>0</v>
      </c>
      <c r="AU1584" s="81"/>
      <c r="AV1584" s="81"/>
      <c r="AW1584" s="81"/>
      <c r="AX1584" s="81"/>
      <c r="AY1584" s="81"/>
      <c r="AZ1584" s="81"/>
      <c r="BA1584" s="81"/>
      <c r="BB1584" s="81"/>
    </row>
    <row r="1585" spans="1:54" x14ac:dyDescent="0.35">
      <c r="A1585" s="66" t="s">
        <v>553</v>
      </c>
      <c r="B1585" s="66" t="s">
        <v>596</v>
      </c>
      <c r="C1585" s="67"/>
      <c r="D1585" s="68"/>
      <c r="E1585" s="69"/>
      <c r="F1585" s="70"/>
      <c r="G1585" s="67"/>
      <c r="H1585" s="71"/>
      <c r="I1585" s="72"/>
      <c r="J1585" s="72"/>
      <c r="K1585" s="36"/>
      <c r="L1585" s="79"/>
      <c r="M1585" s="79"/>
      <c r="N1585" s="74"/>
      <c r="O1585" s="81" t="s">
        <v>693</v>
      </c>
      <c r="P1585" s="83">
        <v>44466.562638888892</v>
      </c>
      <c r="Q1585" s="81" t="s">
        <v>701</v>
      </c>
      <c r="R1585" s="84" t="str">
        <f>HYPERLINK("https://api.whatsapp.com/send?phone=6281222353823")</f>
        <v>https://api.whatsapp.com/send?phone=6281222353823</v>
      </c>
      <c r="S1585" s="81" t="s">
        <v>940</v>
      </c>
      <c r="T1585" s="81"/>
      <c r="U1585" s="84" t="str">
        <f>HYPERLINK("https://pbs.twimg.com/media/E_P_XMQWYAUXeaR.jpg")</f>
        <v>https://pbs.twimg.com/media/E_P_XMQWYAUXeaR.jpg</v>
      </c>
      <c r="V1585" s="84" t="str">
        <f>HYPERLINK("https://pbs.twimg.com/media/E_P_XMQWYAUXeaR.jpg")</f>
        <v>https://pbs.twimg.com/media/E_P_XMQWYAUXeaR.jpg</v>
      </c>
      <c r="W1585" s="83">
        <v>44466.562638888892</v>
      </c>
      <c r="X1585" s="89">
        <v>44466</v>
      </c>
      <c r="Y1585" s="86" t="s">
        <v>1436</v>
      </c>
      <c r="Z1585" s="84" t="str">
        <f>HYPERLINK("https://twitter.com/funjunkies/status/1442481700517212160")</f>
        <v>https://twitter.com/funjunkies/status/1442481700517212160</v>
      </c>
      <c r="AA1585" s="81"/>
      <c r="AB1585" s="81"/>
      <c r="AC1585" s="86" t="s">
        <v>1932</v>
      </c>
      <c r="AD1585" s="81"/>
      <c r="AE1585" s="81" t="b">
        <v>0</v>
      </c>
      <c r="AF1585" s="81">
        <v>0</v>
      </c>
      <c r="AG1585" s="86" t="s">
        <v>2084</v>
      </c>
      <c r="AH1585" s="81" t="b">
        <v>0</v>
      </c>
      <c r="AI1585" s="81" t="s">
        <v>2167</v>
      </c>
      <c r="AJ1585" s="81"/>
      <c r="AK1585" s="86" t="s">
        <v>2084</v>
      </c>
      <c r="AL1585" s="81" t="b">
        <v>0</v>
      </c>
      <c r="AM1585" s="81">
        <v>51</v>
      </c>
      <c r="AN1585" s="86" t="s">
        <v>2005</v>
      </c>
      <c r="AO1585" s="86" t="s">
        <v>2178</v>
      </c>
      <c r="AP1585" s="81" t="b">
        <v>0</v>
      </c>
      <c r="AQ1585" s="86" t="s">
        <v>2005</v>
      </c>
      <c r="AR1585" s="81" t="s">
        <v>179</v>
      </c>
      <c r="AS1585" s="81">
        <v>0</v>
      </c>
      <c r="AT1585" s="81">
        <v>0</v>
      </c>
      <c r="AU1585" s="81"/>
      <c r="AV1585" s="81"/>
      <c r="AW1585" s="81"/>
      <c r="AX1585" s="81"/>
      <c r="AY1585" s="81"/>
      <c r="AZ1585" s="81"/>
      <c r="BA1585" s="81"/>
      <c r="BB1585" s="81"/>
    </row>
    <row r="1586" spans="1:54" x14ac:dyDescent="0.35">
      <c r="A1586" s="66" t="s">
        <v>4813</v>
      </c>
      <c r="B1586" s="66" t="s">
        <v>4841</v>
      </c>
      <c r="C1586" s="67"/>
      <c r="D1586" s="68"/>
      <c r="E1586" s="69"/>
      <c r="F1586" s="70"/>
      <c r="G1586" s="67"/>
      <c r="H1586" s="71"/>
      <c r="I1586" s="72"/>
      <c r="J1586" s="72"/>
      <c r="K1586" s="36"/>
      <c r="L1586" s="79"/>
      <c r="M1586" s="79"/>
      <c r="N1586" s="74"/>
      <c r="O1586" s="81" t="s">
        <v>696</v>
      </c>
      <c r="P1586" s="83">
        <v>44466.563067129631</v>
      </c>
      <c r="Q1586" s="81" t="s">
        <v>5553</v>
      </c>
      <c r="R1586" s="84" t="str">
        <f>HYPERLINK("https://coimbraliberal.pt/coimbra-a-minha-escolha/proposta-iniciativa-liberal-coimbra-mensagem-pos-eleitoral-iniciativa-liberal-coimbra/")</f>
        <v>https://coimbraliberal.pt/coimbra-a-minha-escolha/proposta-iniciativa-liberal-coimbra-mensagem-pos-eleitoral-iniciativa-liberal-coimbra/</v>
      </c>
      <c r="S1586" s="81" t="s">
        <v>5744</v>
      </c>
      <c r="T1586" s="81"/>
      <c r="U1586" s="81"/>
      <c r="V1586" s="84" t="str">
        <f>HYPERLINK("https://pbs.twimg.com/profile_images/1399037569829060610/HJ_SAGM7_normal.jpg")</f>
        <v>https://pbs.twimg.com/profile_images/1399037569829060610/HJ_SAGM7_normal.jpg</v>
      </c>
      <c r="W1586" s="83">
        <v>44466.563067129631</v>
      </c>
      <c r="X1586" s="89">
        <v>44466</v>
      </c>
      <c r="Y1586" s="86" t="s">
        <v>6456</v>
      </c>
      <c r="Z1586" s="84" t="str">
        <f>HYPERLINK("https://twitter.com/aftaminas/status/1442481855727476738")</f>
        <v>https://twitter.com/aftaminas/status/1442481855727476738</v>
      </c>
      <c r="AA1586" s="81"/>
      <c r="AB1586" s="81"/>
      <c r="AC1586" s="86" t="s">
        <v>7376</v>
      </c>
      <c r="AD1586" s="81"/>
      <c r="AE1586" s="81" t="b">
        <v>0</v>
      </c>
      <c r="AF1586" s="81">
        <v>2</v>
      </c>
      <c r="AG1586" s="86" t="s">
        <v>2084</v>
      </c>
      <c r="AH1586" s="81" t="b">
        <v>0</v>
      </c>
      <c r="AI1586" s="81" t="s">
        <v>2171</v>
      </c>
      <c r="AJ1586" s="81"/>
      <c r="AK1586" s="86" t="s">
        <v>2084</v>
      </c>
      <c r="AL1586" s="81" t="b">
        <v>0</v>
      </c>
      <c r="AM1586" s="81">
        <v>0</v>
      </c>
      <c r="AN1586" s="86" t="s">
        <v>2084</v>
      </c>
      <c r="AO1586" s="86" t="s">
        <v>2178</v>
      </c>
      <c r="AP1586" s="81" t="b">
        <v>0</v>
      </c>
      <c r="AQ1586" s="86" t="s">
        <v>7376</v>
      </c>
      <c r="AR1586" s="81" t="s">
        <v>179</v>
      </c>
      <c r="AS1586" s="81">
        <v>0</v>
      </c>
      <c r="AT1586" s="81">
        <v>0</v>
      </c>
      <c r="AU1586" s="81"/>
      <c r="AV1586" s="81"/>
      <c r="AW1586" s="81"/>
      <c r="AX1586" s="81"/>
      <c r="AY1586" s="81"/>
      <c r="AZ1586" s="81"/>
      <c r="BA1586" s="81"/>
      <c r="BB1586" s="81"/>
    </row>
    <row r="1587" spans="1:54" x14ac:dyDescent="0.35">
      <c r="A1587" s="66" t="s">
        <v>4814</v>
      </c>
      <c r="B1587" s="66" t="s">
        <v>4829</v>
      </c>
      <c r="C1587" s="67"/>
      <c r="D1587" s="68"/>
      <c r="E1587" s="69"/>
      <c r="F1587" s="70"/>
      <c r="G1587" s="67"/>
      <c r="H1587" s="71"/>
      <c r="I1587" s="72"/>
      <c r="J1587" s="72"/>
      <c r="K1587" s="36"/>
      <c r="L1587" s="79"/>
      <c r="M1587" s="79"/>
      <c r="N1587" s="74"/>
      <c r="O1587" s="81" t="s">
        <v>693</v>
      </c>
      <c r="P1587" s="83">
        <v>44466.563969907409</v>
      </c>
      <c r="Q1587" s="81" t="s">
        <v>5532</v>
      </c>
      <c r="R1587" s="84" t="str">
        <f>HYPERLINK("https://www.gov.br/anvisa/pt-br/assuntos/noticias-anvisa/2021/anvisa-alerta-sobre-risco-de-miocardite-e-pericardite-pos-vacinacao")</f>
        <v>https://www.gov.br/anvisa/pt-br/assuntos/noticias-anvisa/2021/anvisa-alerta-sobre-risco-de-miocardite-e-pericardite-pos-vacinacao</v>
      </c>
      <c r="S1587" s="81" t="s">
        <v>5686</v>
      </c>
      <c r="T1587" s="81"/>
      <c r="U1587" s="81"/>
      <c r="V1587" s="84" t="str">
        <f>HYPERLINK("https://pbs.twimg.com/profile_images/1438551671492202496/o-7eDB2I_normal.jpg")</f>
        <v>https://pbs.twimg.com/profile_images/1438551671492202496/o-7eDB2I_normal.jpg</v>
      </c>
      <c r="W1587" s="83">
        <v>44466.563969907409</v>
      </c>
      <c r="X1587" s="89">
        <v>44466</v>
      </c>
      <c r="Y1587" s="86" t="s">
        <v>6457</v>
      </c>
      <c r="Z1587" s="84" t="str">
        <f>HYPERLINK("https://twitter.com/abell417/status/1442482183990652928")</f>
        <v>https://twitter.com/abell417/status/1442482183990652928</v>
      </c>
      <c r="AA1587" s="81"/>
      <c r="AB1587" s="81"/>
      <c r="AC1587" s="86" t="s">
        <v>7377</v>
      </c>
      <c r="AD1587" s="81"/>
      <c r="AE1587" s="81" t="b">
        <v>0</v>
      </c>
      <c r="AF1587" s="81">
        <v>0</v>
      </c>
      <c r="AG1587" s="86" t="s">
        <v>2084</v>
      </c>
      <c r="AH1587" s="81" t="b">
        <v>0</v>
      </c>
      <c r="AI1587" s="81" t="s">
        <v>2171</v>
      </c>
      <c r="AJ1587" s="81"/>
      <c r="AK1587" s="86" t="s">
        <v>2084</v>
      </c>
      <c r="AL1587" s="81" t="b">
        <v>0</v>
      </c>
      <c r="AM1587" s="81">
        <v>15</v>
      </c>
      <c r="AN1587" s="86" t="s">
        <v>7399</v>
      </c>
      <c r="AO1587" s="86" t="s">
        <v>2178</v>
      </c>
      <c r="AP1587" s="81" t="b">
        <v>0</v>
      </c>
      <c r="AQ1587" s="86" t="s">
        <v>7399</v>
      </c>
      <c r="AR1587" s="81" t="s">
        <v>179</v>
      </c>
      <c r="AS1587" s="81">
        <v>0</v>
      </c>
      <c r="AT1587" s="81">
        <v>0</v>
      </c>
      <c r="AU1587" s="81"/>
      <c r="AV1587" s="81"/>
      <c r="AW1587" s="81"/>
      <c r="AX1587" s="81"/>
      <c r="AY1587" s="81"/>
      <c r="AZ1587" s="81"/>
      <c r="BA1587" s="81"/>
      <c r="BB1587" s="81"/>
    </row>
    <row r="1588" spans="1:54" x14ac:dyDescent="0.35">
      <c r="A1588" s="66" t="s">
        <v>554</v>
      </c>
      <c r="B1588" s="66" t="s">
        <v>580</v>
      </c>
      <c r="C1588" s="67"/>
      <c r="D1588" s="68"/>
      <c r="E1588" s="69"/>
      <c r="F1588" s="70"/>
      <c r="G1588" s="67"/>
      <c r="H1588" s="71"/>
      <c r="I1588" s="72"/>
      <c r="J1588" s="72"/>
      <c r="K1588" s="36"/>
      <c r="L1588" s="79"/>
      <c r="M1588" s="79"/>
      <c r="N1588" s="74"/>
      <c r="O1588" s="81" t="s">
        <v>694</v>
      </c>
      <c r="P1588" s="83">
        <v>44466.565104166664</v>
      </c>
      <c r="Q1588" s="81" t="s">
        <v>886</v>
      </c>
      <c r="R1588" s="84" t="str">
        <f>HYPERLINK("https://pmikabupatensemarang.com/")</f>
        <v>https://pmikabupatensemarang.com/</v>
      </c>
      <c r="S1588" s="81" t="s">
        <v>965</v>
      </c>
      <c r="T1588" s="86" t="s">
        <v>996</v>
      </c>
      <c r="U1588" s="84" t="str">
        <f>HYPERLINK("https://pbs.twimg.com/media/FAS6CahXoAIagz4.jpg")</f>
        <v>https://pbs.twimg.com/media/FAS6CahXoAIagz4.jpg</v>
      </c>
      <c r="V1588" s="84" t="str">
        <f>HYPERLINK("https://pbs.twimg.com/media/FAS6CahXoAIagz4.jpg")</f>
        <v>https://pbs.twimg.com/media/FAS6CahXoAIagz4.jpg</v>
      </c>
      <c r="W1588" s="83">
        <v>44466.565104166664</v>
      </c>
      <c r="X1588" s="89">
        <v>44466</v>
      </c>
      <c r="Y1588" s="86" t="s">
        <v>1437</v>
      </c>
      <c r="Z1588" s="84" t="str">
        <f>HYPERLINK("https://twitter.com/dipurwantto/status/1442482595091005450")</f>
        <v>https://twitter.com/dipurwantto/status/1442482595091005450</v>
      </c>
      <c r="AA1588" s="81"/>
      <c r="AB1588" s="81"/>
      <c r="AC1588" s="86" t="s">
        <v>1933</v>
      </c>
      <c r="AD1588" s="81"/>
      <c r="AE1588" s="81" t="b">
        <v>0</v>
      </c>
      <c r="AF1588" s="81">
        <v>0</v>
      </c>
      <c r="AG1588" s="86" t="s">
        <v>2084</v>
      </c>
      <c r="AH1588" s="81" t="b">
        <v>0</v>
      </c>
      <c r="AI1588" s="81" t="s">
        <v>2167</v>
      </c>
      <c r="AJ1588" s="81"/>
      <c r="AK1588" s="86" t="s">
        <v>2084</v>
      </c>
      <c r="AL1588" s="81" t="b">
        <v>0</v>
      </c>
      <c r="AM1588" s="81">
        <v>1</v>
      </c>
      <c r="AN1588" s="86" t="s">
        <v>1965</v>
      </c>
      <c r="AO1588" s="86" t="s">
        <v>2178</v>
      </c>
      <c r="AP1588" s="81" t="b">
        <v>0</v>
      </c>
      <c r="AQ1588" s="86" t="s">
        <v>1965</v>
      </c>
      <c r="AR1588" s="81" t="s">
        <v>179</v>
      </c>
      <c r="AS1588" s="81">
        <v>0</v>
      </c>
      <c r="AT1588" s="81">
        <v>0</v>
      </c>
      <c r="AU1588" s="81"/>
      <c r="AV1588" s="81"/>
      <c r="AW1588" s="81"/>
      <c r="AX1588" s="81"/>
      <c r="AY1588" s="81"/>
      <c r="AZ1588" s="81"/>
      <c r="BA1588" s="81"/>
      <c r="BB1588" s="81"/>
    </row>
    <row r="1589" spans="1:54" x14ac:dyDescent="0.35">
      <c r="A1589" s="66" t="s">
        <v>554</v>
      </c>
      <c r="B1589" s="66" t="s">
        <v>581</v>
      </c>
      <c r="C1589" s="67"/>
      <c r="D1589" s="68"/>
      <c r="E1589" s="69"/>
      <c r="F1589" s="70"/>
      <c r="G1589" s="67"/>
      <c r="H1589" s="71"/>
      <c r="I1589" s="72"/>
      <c r="J1589" s="72"/>
      <c r="K1589" s="36"/>
      <c r="L1589" s="79"/>
      <c r="M1589" s="79"/>
      <c r="N1589" s="74"/>
      <c r="O1589" s="81" t="s">
        <v>693</v>
      </c>
      <c r="P1589" s="83">
        <v>44466.565104166664</v>
      </c>
      <c r="Q1589" s="81" t="s">
        <v>886</v>
      </c>
      <c r="R1589" s="84" t="str">
        <f>HYPERLINK("https://pmikabupatensemarang.com/")</f>
        <v>https://pmikabupatensemarang.com/</v>
      </c>
      <c r="S1589" s="81" t="s">
        <v>965</v>
      </c>
      <c r="T1589" s="86" t="s">
        <v>996</v>
      </c>
      <c r="U1589" s="84" t="str">
        <f>HYPERLINK("https://pbs.twimg.com/media/FAS6CahXoAIagz4.jpg")</f>
        <v>https://pbs.twimg.com/media/FAS6CahXoAIagz4.jpg</v>
      </c>
      <c r="V1589" s="84" t="str">
        <f>HYPERLINK("https://pbs.twimg.com/media/FAS6CahXoAIagz4.jpg")</f>
        <v>https://pbs.twimg.com/media/FAS6CahXoAIagz4.jpg</v>
      </c>
      <c r="W1589" s="83">
        <v>44466.565104166664</v>
      </c>
      <c r="X1589" s="89">
        <v>44466</v>
      </c>
      <c r="Y1589" s="86" t="s">
        <v>1437</v>
      </c>
      <c r="Z1589" s="84" t="str">
        <f>HYPERLINK("https://twitter.com/dipurwantto/status/1442482595091005450")</f>
        <v>https://twitter.com/dipurwantto/status/1442482595091005450</v>
      </c>
      <c r="AA1589" s="81"/>
      <c r="AB1589" s="81"/>
      <c r="AC1589" s="86" t="s">
        <v>1933</v>
      </c>
      <c r="AD1589" s="81"/>
      <c r="AE1589" s="81" t="b">
        <v>0</v>
      </c>
      <c r="AF1589" s="81">
        <v>0</v>
      </c>
      <c r="AG1589" s="86" t="s">
        <v>2084</v>
      </c>
      <c r="AH1589" s="81" t="b">
        <v>0</v>
      </c>
      <c r="AI1589" s="81" t="s">
        <v>2167</v>
      </c>
      <c r="AJ1589" s="81"/>
      <c r="AK1589" s="86" t="s">
        <v>2084</v>
      </c>
      <c r="AL1589" s="81" t="b">
        <v>0</v>
      </c>
      <c r="AM1589" s="81">
        <v>1</v>
      </c>
      <c r="AN1589" s="86" t="s">
        <v>1965</v>
      </c>
      <c r="AO1589" s="86" t="s">
        <v>2178</v>
      </c>
      <c r="AP1589" s="81" t="b">
        <v>0</v>
      </c>
      <c r="AQ1589" s="86" t="s">
        <v>1965</v>
      </c>
      <c r="AR1589" s="81" t="s">
        <v>179</v>
      </c>
      <c r="AS1589" s="81">
        <v>0</v>
      </c>
      <c r="AT1589" s="81">
        <v>0</v>
      </c>
      <c r="AU1589" s="81"/>
      <c r="AV1589" s="81"/>
      <c r="AW1589" s="81"/>
      <c r="AX1589" s="81"/>
      <c r="AY1589" s="81"/>
      <c r="AZ1589" s="81"/>
      <c r="BA1589" s="81"/>
      <c r="BB1589" s="81"/>
    </row>
    <row r="1590" spans="1:54" x14ac:dyDescent="0.35">
      <c r="A1590" s="66" t="s">
        <v>555</v>
      </c>
      <c r="B1590" s="66" t="s">
        <v>596</v>
      </c>
      <c r="C1590" s="67"/>
      <c r="D1590" s="68"/>
      <c r="E1590" s="69"/>
      <c r="F1590" s="70"/>
      <c r="G1590" s="67"/>
      <c r="H1590" s="71"/>
      <c r="I1590" s="72"/>
      <c r="J1590" s="72"/>
      <c r="K1590" s="36"/>
      <c r="L1590" s="79"/>
      <c r="M1590" s="79"/>
      <c r="N1590" s="74"/>
      <c r="O1590" s="81" t="s">
        <v>693</v>
      </c>
      <c r="P1590" s="83">
        <v>44466.566736111112</v>
      </c>
      <c r="Q1590" s="81" t="s">
        <v>701</v>
      </c>
      <c r="R1590" s="84" t="str">
        <f>HYPERLINK("https://api.whatsapp.com/send?phone=6281222353823")</f>
        <v>https://api.whatsapp.com/send?phone=6281222353823</v>
      </c>
      <c r="S1590" s="81" t="s">
        <v>940</v>
      </c>
      <c r="T1590" s="81"/>
      <c r="U1590" s="84" t="str">
        <f>HYPERLINK("https://pbs.twimg.com/media/E_P_XMQWYAUXeaR.jpg")</f>
        <v>https://pbs.twimg.com/media/E_P_XMQWYAUXeaR.jpg</v>
      </c>
      <c r="V1590" s="84" t="str">
        <f>HYPERLINK("https://pbs.twimg.com/media/E_P_XMQWYAUXeaR.jpg")</f>
        <v>https://pbs.twimg.com/media/E_P_XMQWYAUXeaR.jpg</v>
      </c>
      <c r="W1590" s="83">
        <v>44466.566736111112</v>
      </c>
      <c r="X1590" s="89">
        <v>44466</v>
      </c>
      <c r="Y1590" s="86" t="s">
        <v>1438</v>
      </c>
      <c r="Z1590" s="84" t="str">
        <f>HYPERLINK("https://twitter.com/dw19kur/status/1442483187028881408")</f>
        <v>https://twitter.com/dw19kur/status/1442483187028881408</v>
      </c>
      <c r="AA1590" s="81"/>
      <c r="AB1590" s="81"/>
      <c r="AC1590" s="86" t="s">
        <v>1934</v>
      </c>
      <c r="AD1590" s="81"/>
      <c r="AE1590" s="81" t="b">
        <v>0</v>
      </c>
      <c r="AF1590" s="81">
        <v>0</v>
      </c>
      <c r="AG1590" s="86" t="s">
        <v>2084</v>
      </c>
      <c r="AH1590" s="81" t="b">
        <v>0</v>
      </c>
      <c r="AI1590" s="81" t="s">
        <v>2167</v>
      </c>
      <c r="AJ1590" s="81"/>
      <c r="AK1590" s="86" t="s">
        <v>2084</v>
      </c>
      <c r="AL1590" s="81" t="b">
        <v>0</v>
      </c>
      <c r="AM1590" s="81">
        <v>51</v>
      </c>
      <c r="AN1590" s="86" t="s">
        <v>2005</v>
      </c>
      <c r="AO1590" s="86" t="s">
        <v>2181</v>
      </c>
      <c r="AP1590" s="81" t="b">
        <v>0</v>
      </c>
      <c r="AQ1590" s="86" t="s">
        <v>2005</v>
      </c>
      <c r="AR1590" s="81" t="s">
        <v>179</v>
      </c>
      <c r="AS1590" s="81">
        <v>0</v>
      </c>
      <c r="AT1590" s="81">
        <v>0</v>
      </c>
      <c r="AU1590" s="81"/>
      <c r="AV1590" s="81"/>
      <c r="AW1590" s="81"/>
      <c r="AX1590" s="81"/>
      <c r="AY1590" s="81"/>
      <c r="AZ1590" s="81"/>
      <c r="BA1590" s="81"/>
      <c r="BB1590" s="81"/>
    </row>
    <row r="1591" spans="1:54" x14ac:dyDescent="0.35">
      <c r="A1591" s="66" t="s">
        <v>556</v>
      </c>
      <c r="B1591" s="66" t="s">
        <v>596</v>
      </c>
      <c r="C1591" s="67"/>
      <c r="D1591" s="68"/>
      <c r="E1591" s="69"/>
      <c r="F1591" s="70"/>
      <c r="G1591" s="67"/>
      <c r="H1591" s="71"/>
      <c r="I1591" s="72"/>
      <c r="J1591" s="72"/>
      <c r="K1591" s="36"/>
      <c r="L1591" s="79"/>
      <c r="M1591" s="79"/>
      <c r="N1591" s="74"/>
      <c r="O1591" s="81" t="s">
        <v>693</v>
      </c>
      <c r="P1591" s="83">
        <v>44466.573344907411</v>
      </c>
      <c r="Q1591" s="81" t="s">
        <v>701</v>
      </c>
      <c r="R1591" s="84" t="str">
        <f>HYPERLINK("https://api.whatsapp.com/send?phone=6281222353823")</f>
        <v>https://api.whatsapp.com/send?phone=6281222353823</v>
      </c>
      <c r="S1591" s="81" t="s">
        <v>940</v>
      </c>
      <c r="T1591" s="81"/>
      <c r="U1591" s="84" t="str">
        <f>HYPERLINK("https://pbs.twimg.com/media/E_P_XMQWYAUXeaR.jpg")</f>
        <v>https://pbs.twimg.com/media/E_P_XMQWYAUXeaR.jpg</v>
      </c>
      <c r="V1591" s="84" t="str">
        <f>HYPERLINK("https://pbs.twimg.com/media/E_P_XMQWYAUXeaR.jpg")</f>
        <v>https://pbs.twimg.com/media/E_P_XMQWYAUXeaR.jpg</v>
      </c>
      <c r="W1591" s="83">
        <v>44466.573344907411</v>
      </c>
      <c r="X1591" s="89">
        <v>44466</v>
      </c>
      <c r="Y1591" s="86" t="s">
        <v>1439</v>
      </c>
      <c r="Z1591" s="84" t="str">
        <f>HYPERLINK("https://twitter.com/anisprasety/status/1442485582572048391")</f>
        <v>https://twitter.com/anisprasety/status/1442485582572048391</v>
      </c>
      <c r="AA1591" s="81"/>
      <c r="AB1591" s="81"/>
      <c r="AC1591" s="86" t="s">
        <v>1935</v>
      </c>
      <c r="AD1591" s="81"/>
      <c r="AE1591" s="81" t="b">
        <v>0</v>
      </c>
      <c r="AF1591" s="81">
        <v>0</v>
      </c>
      <c r="AG1591" s="86" t="s">
        <v>2084</v>
      </c>
      <c r="AH1591" s="81" t="b">
        <v>0</v>
      </c>
      <c r="AI1591" s="81" t="s">
        <v>2167</v>
      </c>
      <c r="AJ1591" s="81"/>
      <c r="AK1591" s="86" t="s">
        <v>2084</v>
      </c>
      <c r="AL1591" s="81" t="b">
        <v>0</v>
      </c>
      <c r="AM1591" s="81">
        <v>51</v>
      </c>
      <c r="AN1591" s="86" t="s">
        <v>2005</v>
      </c>
      <c r="AO1591" s="86" t="s">
        <v>2178</v>
      </c>
      <c r="AP1591" s="81" t="b">
        <v>0</v>
      </c>
      <c r="AQ1591" s="86" t="s">
        <v>2005</v>
      </c>
      <c r="AR1591" s="81" t="s">
        <v>179</v>
      </c>
      <c r="AS1591" s="81">
        <v>0</v>
      </c>
      <c r="AT1591" s="81">
        <v>0</v>
      </c>
      <c r="AU1591" s="81"/>
      <c r="AV1591" s="81"/>
      <c r="AW1591" s="81"/>
      <c r="AX1591" s="81"/>
      <c r="AY1591" s="81"/>
      <c r="AZ1591" s="81"/>
      <c r="BA1591" s="81"/>
      <c r="BB1591" s="81"/>
    </row>
    <row r="1592" spans="1:54" x14ac:dyDescent="0.35">
      <c r="A1592" s="66" t="s">
        <v>557</v>
      </c>
      <c r="B1592" s="66" t="s">
        <v>596</v>
      </c>
      <c r="C1592" s="67"/>
      <c r="D1592" s="68"/>
      <c r="E1592" s="69"/>
      <c r="F1592" s="70"/>
      <c r="G1592" s="67"/>
      <c r="H1592" s="71"/>
      <c r="I1592" s="72"/>
      <c r="J1592" s="72"/>
      <c r="K1592" s="36"/>
      <c r="L1592" s="79"/>
      <c r="M1592" s="79"/>
      <c r="N1592" s="74"/>
      <c r="O1592" s="81" t="s">
        <v>693</v>
      </c>
      <c r="P1592" s="83">
        <v>44466.573449074072</v>
      </c>
      <c r="Q1592" s="81" t="s">
        <v>701</v>
      </c>
      <c r="R1592" s="84" t="str">
        <f>HYPERLINK("https://api.whatsapp.com/send?phone=6281222353823")</f>
        <v>https://api.whatsapp.com/send?phone=6281222353823</v>
      </c>
      <c r="S1592" s="81" t="s">
        <v>940</v>
      </c>
      <c r="T1592" s="81"/>
      <c r="U1592" s="84" t="str">
        <f>HYPERLINK("https://pbs.twimg.com/media/E_P_XMQWYAUXeaR.jpg")</f>
        <v>https://pbs.twimg.com/media/E_P_XMQWYAUXeaR.jpg</v>
      </c>
      <c r="V1592" s="84" t="str">
        <f>HYPERLINK("https://pbs.twimg.com/media/E_P_XMQWYAUXeaR.jpg")</f>
        <v>https://pbs.twimg.com/media/E_P_XMQWYAUXeaR.jpg</v>
      </c>
      <c r="W1592" s="83">
        <v>44466.573449074072</v>
      </c>
      <c r="X1592" s="89">
        <v>44466</v>
      </c>
      <c r="Y1592" s="86" t="s">
        <v>1440</v>
      </c>
      <c r="Z1592" s="84" t="str">
        <f>HYPERLINK("https://twitter.com/el_maqnuah/status/1442485620354404357")</f>
        <v>https://twitter.com/el_maqnuah/status/1442485620354404357</v>
      </c>
      <c r="AA1592" s="81"/>
      <c r="AB1592" s="81"/>
      <c r="AC1592" s="86" t="s">
        <v>1936</v>
      </c>
      <c r="AD1592" s="81"/>
      <c r="AE1592" s="81" t="b">
        <v>0</v>
      </c>
      <c r="AF1592" s="81">
        <v>0</v>
      </c>
      <c r="AG1592" s="86" t="s">
        <v>2084</v>
      </c>
      <c r="AH1592" s="81" t="b">
        <v>0</v>
      </c>
      <c r="AI1592" s="81" t="s">
        <v>2167</v>
      </c>
      <c r="AJ1592" s="81"/>
      <c r="AK1592" s="86" t="s">
        <v>2084</v>
      </c>
      <c r="AL1592" s="81" t="b">
        <v>0</v>
      </c>
      <c r="AM1592" s="81">
        <v>51</v>
      </c>
      <c r="AN1592" s="86" t="s">
        <v>2005</v>
      </c>
      <c r="AO1592" s="86" t="s">
        <v>2178</v>
      </c>
      <c r="AP1592" s="81" t="b">
        <v>0</v>
      </c>
      <c r="AQ1592" s="86" t="s">
        <v>2005</v>
      </c>
      <c r="AR1592" s="81" t="s">
        <v>179</v>
      </c>
      <c r="AS1592" s="81">
        <v>0</v>
      </c>
      <c r="AT1592" s="81">
        <v>0</v>
      </c>
      <c r="AU1592" s="81"/>
      <c r="AV1592" s="81"/>
      <c r="AW1592" s="81"/>
      <c r="AX1592" s="81"/>
      <c r="AY1592" s="81"/>
      <c r="AZ1592" s="81"/>
      <c r="BA1592" s="81"/>
      <c r="BB1592" s="81"/>
    </row>
    <row r="1593" spans="1:54" x14ac:dyDescent="0.35">
      <c r="A1593" s="66" t="s">
        <v>4815</v>
      </c>
      <c r="B1593" s="66" t="s">
        <v>4815</v>
      </c>
      <c r="C1593" s="67"/>
      <c r="D1593" s="68"/>
      <c r="E1593" s="69"/>
      <c r="F1593" s="70"/>
      <c r="G1593" s="67"/>
      <c r="H1593" s="71"/>
      <c r="I1593" s="72"/>
      <c r="J1593" s="72"/>
      <c r="K1593" s="36"/>
      <c r="L1593" s="79"/>
      <c r="M1593" s="79"/>
      <c r="N1593" s="74"/>
      <c r="O1593" s="81" t="s">
        <v>179</v>
      </c>
      <c r="P1593" s="83">
        <v>44466.573703703703</v>
      </c>
      <c r="Q1593" s="81" t="s">
        <v>5554</v>
      </c>
      <c r="R1593" s="84" t="str">
        <f>HYPERLINK("https://ionline.sapo.pt/artigo/747431/-o-pos-pandemia-de-ca-?seccao=Opiniao_i")</f>
        <v>https://ionline.sapo.pt/artigo/747431/-o-pos-pandemia-de-ca-?seccao=Opiniao_i</v>
      </c>
      <c r="S1593" s="81" t="s">
        <v>5689</v>
      </c>
      <c r="T1593" s="81"/>
      <c r="U1593" s="81"/>
      <c r="V1593" s="84" t="str">
        <f>HYPERLINK("https://pbs.twimg.com/profile_images/588757512331075584/MKiyQHpM_normal.jpg")</f>
        <v>https://pbs.twimg.com/profile_images/588757512331075584/MKiyQHpM_normal.jpg</v>
      </c>
      <c r="W1593" s="83">
        <v>44466.573703703703</v>
      </c>
      <c r="X1593" s="89">
        <v>44466</v>
      </c>
      <c r="Y1593" s="86" t="s">
        <v>6458</v>
      </c>
      <c r="Z1593" s="84" t="str">
        <f>HYPERLINK("https://twitter.com/antoniogalamba/status/1442485711756660751")</f>
        <v>https://twitter.com/antoniogalamba/status/1442485711756660751</v>
      </c>
      <c r="AA1593" s="81"/>
      <c r="AB1593" s="81"/>
      <c r="AC1593" s="86" t="s">
        <v>7378</v>
      </c>
      <c r="AD1593" s="81"/>
      <c r="AE1593" s="81" t="b">
        <v>0</v>
      </c>
      <c r="AF1593" s="81">
        <v>0</v>
      </c>
      <c r="AG1593" s="86" t="s">
        <v>2084</v>
      </c>
      <c r="AH1593" s="81" t="b">
        <v>0</v>
      </c>
      <c r="AI1593" s="81" t="s">
        <v>2171</v>
      </c>
      <c r="AJ1593" s="81"/>
      <c r="AK1593" s="86" t="s">
        <v>2084</v>
      </c>
      <c r="AL1593" s="81" t="b">
        <v>0</v>
      </c>
      <c r="AM1593" s="81">
        <v>0</v>
      </c>
      <c r="AN1593" s="86" t="s">
        <v>2084</v>
      </c>
      <c r="AO1593" s="86" t="s">
        <v>2181</v>
      </c>
      <c r="AP1593" s="81" t="b">
        <v>0</v>
      </c>
      <c r="AQ1593" s="86" t="s">
        <v>7378</v>
      </c>
      <c r="AR1593" s="81" t="s">
        <v>179</v>
      </c>
      <c r="AS1593" s="81">
        <v>0</v>
      </c>
      <c r="AT1593" s="81">
        <v>0</v>
      </c>
      <c r="AU1593" s="81"/>
      <c r="AV1593" s="81"/>
      <c r="AW1593" s="81"/>
      <c r="AX1593" s="81"/>
      <c r="AY1593" s="81"/>
      <c r="AZ1593" s="81"/>
      <c r="BA1593" s="81"/>
      <c r="BB1593" s="81"/>
    </row>
    <row r="1594" spans="1:54" x14ac:dyDescent="0.35">
      <c r="A1594" s="66" t="s">
        <v>558</v>
      </c>
      <c r="B1594" s="66" t="s">
        <v>688</v>
      </c>
      <c r="C1594" s="67"/>
      <c r="D1594" s="68"/>
      <c r="E1594" s="69"/>
      <c r="F1594" s="70"/>
      <c r="G1594" s="67"/>
      <c r="H1594" s="71"/>
      <c r="I1594" s="72"/>
      <c r="J1594" s="72"/>
      <c r="K1594" s="36"/>
      <c r="L1594" s="79"/>
      <c r="M1594" s="79"/>
      <c r="N1594" s="74"/>
      <c r="O1594" s="81" t="s">
        <v>695</v>
      </c>
      <c r="P1594" s="83">
        <v>44466.574293981481</v>
      </c>
      <c r="Q1594" s="81" t="s">
        <v>887</v>
      </c>
      <c r="R1594" s="81"/>
      <c r="S1594" s="81"/>
      <c r="T1594" s="81"/>
      <c r="U1594" s="81"/>
      <c r="V1594" s="84" t="str">
        <f>HYPERLINK("https://pbs.twimg.com/profile_images/1289976442655129600/5CJ3Qk-a_normal.jpg")</f>
        <v>https://pbs.twimg.com/profile_images/1289976442655129600/5CJ3Qk-a_normal.jpg</v>
      </c>
      <c r="W1594" s="83">
        <v>44466.574293981481</v>
      </c>
      <c r="X1594" s="89">
        <v>44466</v>
      </c>
      <c r="Y1594" s="86" t="s">
        <v>1441</v>
      </c>
      <c r="Z1594" s="84" t="str">
        <f>HYPERLINK("https://twitter.com/_u5er5_/status/1442485924479127562")</f>
        <v>https://twitter.com/_u5er5_/status/1442485924479127562</v>
      </c>
      <c r="AA1594" s="81"/>
      <c r="AB1594" s="81"/>
      <c r="AC1594" s="86" t="s">
        <v>1937</v>
      </c>
      <c r="AD1594" s="86" t="s">
        <v>2079</v>
      </c>
      <c r="AE1594" s="81" t="b">
        <v>0</v>
      </c>
      <c r="AF1594" s="81">
        <v>0</v>
      </c>
      <c r="AG1594" s="86" t="s">
        <v>2162</v>
      </c>
      <c r="AH1594" s="81" t="b">
        <v>0</v>
      </c>
      <c r="AI1594" s="81" t="s">
        <v>2167</v>
      </c>
      <c r="AJ1594" s="81"/>
      <c r="AK1594" s="86" t="s">
        <v>2084</v>
      </c>
      <c r="AL1594" s="81" t="b">
        <v>0</v>
      </c>
      <c r="AM1594" s="81">
        <v>0</v>
      </c>
      <c r="AN1594" s="86" t="s">
        <v>2084</v>
      </c>
      <c r="AO1594" s="86" t="s">
        <v>2178</v>
      </c>
      <c r="AP1594" s="81" t="b">
        <v>0</v>
      </c>
      <c r="AQ1594" s="86" t="s">
        <v>2079</v>
      </c>
      <c r="AR1594" s="81" t="s">
        <v>179</v>
      </c>
      <c r="AS1594" s="81">
        <v>0</v>
      </c>
      <c r="AT1594" s="81">
        <v>0</v>
      </c>
      <c r="AU1594" s="81"/>
      <c r="AV1594" s="81"/>
      <c r="AW1594" s="81"/>
      <c r="AX1594" s="81"/>
      <c r="AY1594" s="81"/>
      <c r="AZ1594" s="81"/>
      <c r="BA1594" s="81"/>
      <c r="BB1594" s="81"/>
    </row>
    <row r="1595" spans="1:54" x14ac:dyDescent="0.35">
      <c r="A1595" s="66" t="s">
        <v>4816</v>
      </c>
      <c r="B1595" s="66" t="s">
        <v>4944</v>
      </c>
      <c r="C1595" s="67"/>
      <c r="D1595" s="68"/>
      <c r="E1595" s="69"/>
      <c r="F1595" s="70"/>
      <c r="G1595" s="67"/>
      <c r="H1595" s="71"/>
      <c r="I1595" s="72"/>
      <c r="J1595" s="72"/>
      <c r="K1595" s="36"/>
      <c r="L1595" s="79"/>
      <c r="M1595" s="79"/>
      <c r="N1595" s="74"/>
      <c r="O1595" s="81" t="s">
        <v>693</v>
      </c>
      <c r="P1595" s="83">
        <v>44466.583657407406</v>
      </c>
      <c r="Q1595" s="81" t="s">
        <v>5505</v>
      </c>
      <c r="R1595" s="81"/>
      <c r="S1595" s="81"/>
      <c r="T1595" s="81"/>
      <c r="U1595" s="81"/>
      <c r="V1595" s="84" t="str">
        <f>HYPERLINK("https://pbs.twimg.com/profile_images/1280974836592971777/7o_Rfccj_normal.jpg")</f>
        <v>https://pbs.twimg.com/profile_images/1280974836592971777/7o_Rfccj_normal.jpg</v>
      </c>
      <c r="W1595" s="83">
        <v>44466.583657407406</v>
      </c>
      <c r="X1595" s="89">
        <v>44466</v>
      </c>
      <c r="Y1595" s="86" t="s">
        <v>6459</v>
      </c>
      <c r="Z1595" s="84" t="str">
        <f>HYPERLINK("https://twitter.com/tg_meirelles/status/1442489318342234112")</f>
        <v>https://twitter.com/tg_meirelles/status/1442489318342234112</v>
      </c>
      <c r="AA1595" s="81"/>
      <c r="AB1595" s="81"/>
      <c r="AC1595" s="86" t="s">
        <v>7379</v>
      </c>
      <c r="AD1595" s="81"/>
      <c r="AE1595" s="81" t="b">
        <v>0</v>
      </c>
      <c r="AF1595" s="81">
        <v>0</v>
      </c>
      <c r="AG1595" s="86" t="s">
        <v>2084</v>
      </c>
      <c r="AH1595" s="81" t="b">
        <v>0</v>
      </c>
      <c r="AI1595" s="81" t="s">
        <v>2171</v>
      </c>
      <c r="AJ1595" s="81"/>
      <c r="AK1595" s="86" t="s">
        <v>2084</v>
      </c>
      <c r="AL1595" s="81" t="b">
        <v>0</v>
      </c>
      <c r="AM1595" s="81">
        <v>255</v>
      </c>
      <c r="AN1595" s="86" t="s">
        <v>7543</v>
      </c>
      <c r="AO1595" s="86" t="s">
        <v>2178</v>
      </c>
      <c r="AP1595" s="81" t="b">
        <v>0</v>
      </c>
      <c r="AQ1595" s="86" t="s">
        <v>7543</v>
      </c>
      <c r="AR1595" s="81" t="s">
        <v>179</v>
      </c>
      <c r="AS1595" s="81">
        <v>0</v>
      </c>
      <c r="AT1595" s="81">
        <v>0</v>
      </c>
      <c r="AU1595" s="81"/>
      <c r="AV1595" s="81"/>
      <c r="AW1595" s="81"/>
      <c r="AX1595" s="81"/>
      <c r="AY1595" s="81"/>
      <c r="AZ1595" s="81"/>
      <c r="BA1595" s="81"/>
      <c r="BB1595" s="81"/>
    </row>
    <row r="1596" spans="1:54" x14ac:dyDescent="0.35">
      <c r="A1596" s="66" t="s">
        <v>559</v>
      </c>
      <c r="B1596" s="66" t="s">
        <v>596</v>
      </c>
      <c r="C1596" s="67"/>
      <c r="D1596" s="68"/>
      <c r="E1596" s="69"/>
      <c r="F1596" s="70"/>
      <c r="G1596" s="67"/>
      <c r="H1596" s="71"/>
      <c r="I1596" s="72"/>
      <c r="J1596" s="72"/>
      <c r="K1596" s="36"/>
      <c r="L1596" s="79"/>
      <c r="M1596" s="79"/>
      <c r="N1596" s="74"/>
      <c r="O1596" s="81" t="s">
        <v>693</v>
      </c>
      <c r="P1596" s="83">
        <v>44466.583981481483</v>
      </c>
      <c r="Q1596" s="81" t="s">
        <v>701</v>
      </c>
      <c r="R1596" s="84" t="str">
        <f>HYPERLINK("https://api.whatsapp.com/send?phone=6281222353823")</f>
        <v>https://api.whatsapp.com/send?phone=6281222353823</v>
      </c>
      <c r="S1596" s="81" t="s">
        <v>940</v>
      </c>
      <c r="T1596" s="81"/>
      <c r="U1596" s="84" t="str">
        <f>HYPERLINK("https://pbs.twimg.com/media/E_P_XMQWYAUXeaR.jpg")</f>
        <v>https://pbs.twimg.com/media/E_P_XMQWYAUXeaR.jpg</v>
      </c>
      <c r="V1596" s="84" t="str">
        <f>HYPERLINK("https://pbs.twimg.com/media/E_P_XMQWYAUXeaR.jpg")</f>
        <v>https://pbs.twimg.com/media/E_P_XMQWYAUXeaR.jpg</v>
      </c>
      <c r="W1596" s="83">
        <v>44466.583981481483</v>
      </c>
      <c r="X1596" s="89">
        <v>44466</v>
      </c>
      <c r="Y1596" s="86" t="s">
        <v>1442</v>
      </c>
      <c r="Z1596" s="84" t="str">
        <f>HYPERLINK("https://twitter.com/nararara17/status/1442489437133307905")</f>
        <v>https://twitter.com/nararara17/status/1442489437133307905</v>
      </c>
      <c r="AA1596" s="81"/>
      <c r="AB1596" s="81"/>
      <c r="AC1596" s="86" t="s">
        <v>1938</v>
      </c>
      <c r="AD1596" s="81"/>
      <c r="AE1596" s="81" t="b">
        <v>0</v>
      </c>
      <c r="AF1596" s="81">
        <v>0</v>
      </c>
      <c r="AG1596" s="86" t="s">
        <v>2084</v>
      </c>
      <c r="AH1596" s="81" t="b">
        <v>0</v>
      </c>
      <c r="AI1596" s="81" t="s">
        <v>2167</v>
      </c>
      <c r="AJ1596" s="81"/>
      <c r="AK1596" s="86" t="s">
        <v>2084</v>
      </c>
      <c r="AL1596" s="81" t="b">
        <v>0</v>
      </c>
      <c r="AM1596" s="81">
        <v>51</v>
      </c>
      <c r="AN1596" s="86" t="s">
        <v>2005</v>
      </c>
      <c r="AO1596" s="86" t="s">
        <v>2178</v>
      </c>
      <c r="AP1596" s="81" t="b">
        <v>0</v>
      </c>
      <c r="AQ1596" s="86" t="s">
        <v>2005</v>
      </c>
      <c r="AR1596" s="81" t="s">
        <v>179</v>
      </c>
      <c r="AS1596" s="81">
        <v>0</v>
      </c>
      <c r="AT1596" s="81">
        <v>0</v>
      </c>
      <c r="AU1596" s="81"/>
      <c r="AV1596" s="81"/>
      <c r="AW1596" s="81"/>
      <c r="AX1596" s="81"/>
      <c r="AY1596" s="81"/>
      <c r="AZ1596" s="81"/>
      <c r="BA1596" s="81"/>
      <c r="BB1596" s="81"/>
    </row>
    <row r="1597" spans="1:54" x14ac:dyDescent="0.35">
      <c r="A1597" s="66" t="s">
        <v>560</v>
      </c>
      <c r="B1597" s="66" t="s">
        <v>602</v>
      </c>
      <c r="C1597" s="67"/>
      <c r="D1597" s="68"/>
      <c r="E1597" s="69"/>
      <c r="F1597" s="70"/>
      <c r="G1597" s="67"/>
      <c r="H1597" s="71"/>
      <c r="I1597" s="72"/>
      <c r="J1597" s="72"/>
      <c r="K1597" s="36"/>
      <c r="L1597" s="79"/>
      <c r="M1597" s="79"/>
      <c r="N1597" s="74"/>
      <c r="O1597" s="81" t="s">
        <v>695</v>
      </c>
      <c r="P1597" s="83">
        <v>44466.585682870369</v>
      </c>
      <c r="Q1597" s="81" t="s">
        <v>888</v>
      </c>
      <c r="R1597" s="81"/>
      <c r="S1597" s="81"/>
      <c r="T1597" s="81"/>
      <c r="U1597" s="81"/>
      <c r="V1597" s="84" t="str">
        <f>HYPERLINK("https://pbs.twimg.com/profile_images/1283699520614707200/wYMU0kc0_normal.jpg")</f>
        <v>https://pbs.twimg.com/profile_images/1283699520614707200/wYMU0kc0_normal.jpg</v>
      </c>
      <c r="W1597" s="83">
        <v>44466.585682870369</v>
      </c>
      <c r="X1597" s="89">
        <v>44466</v>
      </c>
      <c r="Y1597" s="86" t="s">
        <v>1443</v>
      </c>
      <c r="Z1597" s="84" t="str">
        <f>HYPERLINK("https://twitter.com/hendrichalid/status/1442490054589304838")</f>
        <v>https://twitter.com/hendrichalid/status/1442490054589304838</v>
      </c>
      <c r="AA1597" s="81"/>
      <c r="AB1597" s="81"/>
      <c r="AC1597" s="86" t="s">
        <v>1939</v>
      </c>
      <c r="AD1597" s="86" t="s">
        <v>2080</v>
      </c>
      <c r="AE1597" s="81" t="b">
        <v>0</v>
      </c>
      <c r="AF1597" s="81">
        <v>0</v>
      </c>
      <c r="AG1597" s="86" t="s">
        <v>2163</v>
      </c>
      <c r="AH1597" s="81" t="b">
        <v>0</v>
      </c>
      <c r="AI1597" s="81" t="s">
        <v>2167</v>
      </c>
      <c r="AJ1597" s="81"/>
      <c r="AK1597" s="86" t="s">
        <v>2084</v>
      </c>
      <c r="AL1597" s="81" t="b">
        <v>0</v>
      </c>
      <c r="AM1597" s="81">
        <v>0</v>
      </c>
      <c r="AN1597" s="86" t="s">
        <v>2084</v>
      </c>
      <c r="AO1597" s="86" t="s">
        <v>2178</v>
      </c>
      <c r="AP1597" s="81" t="b">
        <v>0</v>
      </c>
      <c r="AQ1597" s="86" t="s">
        <v>2080</v>
      </c>
      <c r="AR1597" s="81" t="s">
        <v>179</v>
      </c>
      <c r="AS1597" s="81">
        <v>0</v>
      </c>
      <c r="AT1597" s="81">
        <v>0</v>
      </c>
      <c r="AU1597" s="81"/>
      <c r="AV1597" s="81"/>
      <c r="AW1597" s="81"/>
      <c r="AX1597" s="81"/>
      <c r="AY1597" s="81"/>
      <c r="AZ1597" s="81"/>
      <c r="BA1597" s="81"/>
      <c r="BB1597" s="81"/>
    </row>
    <row r="1598" spans="1:54" x14ac:dyDescent="0.35">
      <c r="A1598" s="66" t="s">
        <v>561</v>
      </c>
      <c r="B1598" s="66" t="s">
        <v>578</v>
      </c>
      <c r="C1598" s="67"/>
      <c r="D1598" s="68"/>
      <c r="E1598" s="69"/>
      <c r="F1598" s="70"/>
      <c r="G1598" s="67"/>
      <c r="H1598" s="71"/>
      <c r="I1598" s="72"/>
      <c r="J1598" s="72"/>
      <c r="K1598" s="36"/>
      <c r="L1598" s="79"/>
      <c r="M1598" s="79"/>
      <c r="N1598" s="74"/>
      <c r="O1598" s="81" t="s">
        <v>693</v>
      </c>
      <c r="P1598" s="83">
        <v>44466.586377314816</v>
      </c>
      <c r="Q1598" s="81" t="s">
        <v>878</v>
      </c>
      <c r="R1598" s="81"/>
      <c r="S1598" s="81"/>
      <c r="T1598" s="81"/>
      <c r="U1598" s="84" t="str">
        <f>HYPERLINK("https://pbs.twimg.com/media/FASHjEnUcAMSLOM.jpg")</f>
        <v>https://pbs.twimg.com/media/FASHjEnUcAMSLOM.jpg</v>
      </c>
      <c r="V1598" s="84" t="str">
        <f>HYPERLINK("https://pbs.twimg.com/media/FASHjEnUcAMSLOM.jpg")</f>
        <v>https://pbs.twimg.com/media/FASHjEnUcAMSLOM.jpg</v>
      </c>
      <c r="W1598" s="83">
        <v>44466.586377314816</v>
      </c>
      <c r="X1598" s="89">
        <v>44466</v>
      </c>
      <c r="Y1598" s="86" t="s">
        <v>1444</v>
      </c>
      <c r="Z1598" s="84" t="str">
        <f>HYPERLINK("https://twitter.com/negarakecil/status/1442490305803022343")</f>
        <v>https://twitter.com/negarakecil/status/1442490305803022343</v>
      </c>
      <c r="AA1598" s="81"/>
      <c r="AB1598" s="81"/>
      <c r="AC1598" s="86" t="s">
        <v>1940</v>
      </c>
      <c r="AD1598" s="81"/>
      <c r="AE1598" s="81" t="b">
        <v>0</v>
      </c>
      <c r="AF1598" s="81">
        <v>0</v>
      </c>
      <c r="AG1598" s="86" t="s">
        <v>2084</v>
      </c>
      <c r="AH1598" s="81" t="b">
        <v>0</v>
      </c>
      <c r="AI1598" s="81" t="s">
        <v>2167</v>
      </c>
      <c r="AJ1598" s="81"/>
      <c r="AK1598" s="86" t="s">
        <v>2084</v>
      </c>
      <c r="AL1598" s="81" t="b">
        <v>0</v>
      </c>
      <c r="AM1598" s="81">
        <v>9</v>
      </c>
      <c r="AN1598" s="86" t="s">
        <v>1961</v>
      </c>
      <c r="AO1598" s="86" t="s">
        <v>2178</v>
      </c>
      <c r="AP1598" s="81" t="b">
        <v>0</v>
      </c>
      <c r="AQ1598" s="86" t="s">
        <v>1961</v>
      </c>
      <c r="AR1598" s="81" t="s">
        <v>179</v>
      </c>
      <c r="AS1598" s="81">
        <v>0</v>
      </c>
      <c r="AT1598" s="81">
        <v>0</v>
      </c>
      <c r="AU1598" s="81"/>
      <c r="AV1598" s="81"/>
      <c r="AW1598" s="81"/>
      <c r="AX1598" s="81"/>
      <c r="AY1598" s="81"/>
      <c r="AZ1598" s="81"/>
      <c r="BA1598" s="81"/>
      <c r="BB1598" s="81"/>
    </row>
    <row r="1599" spans="1:54" x14ac:dyDescent="0.35">
      <c r="A1599" s="66" t="s">
        <v>4817</v>
      </c>
      <c r="B1599" s="66" t="s">
        <v>4944</v>
      </c>
      <c r="C1599" s="67"/>
      <c r="D1599" s="68"/>
      <c r="E1599" s="69"/>
      <c r="F1599" s="70"/>
      <c r="G1599" s="67"/>
      <c r="H1599" s="71"/>
      <c r="I1599" s="72"/>
      <c r="J1599" s="72"/>
      <c r="K1599" s="36"/>
      <c r="L1599" s="79"/>
      <c r="M1599" s="79"/>
      <c r="N1599" s="74"/>
      <c r="O1599" s="81" t="s">
        <v>693</v>
      </c>
      <c r="P1599" s="83">
        <v>44466.587812500002</v>
      </c>
      <c r="Q1599" s="81" t="s">
        <v>5505</v>
      </c>
      <c r="R1599" s="81"/>
      <c r="S1599" s="81"/>
      <c r="T1599" s="81"/>
      <c r="U1599" s="81"/>
      <c r="V1599" s="84" t="str">
        <f>HYPERLINK("https://pbs.twimg.com/profile_images/747100054972928000/-ROFHDyx_normal.jpg")</f>
        <v>https://pbs.twimg.com/profile_images/747100054972928000/-ROFHDyx_normal.jpg</v>
      </c>
      <c r="W1599" s="83">
        <v>44466.587812500002</v>
      </c>
      <c r="X1599" s="89">
        <v>44466</v>
      </c>
      <c r="Y1599" s="86" t="s">
        <v>6460</v>
      </c>
      <c r="Z1599" s="84" t="str">
        <f>HYPERLINK("https://twitter.com/tizquadros/status/1442490823568986118")</f>
        <v>https://twitter.com/tizquadros/status/1442490823568986118</v>
      </c>
      <c r="AA1599" s="81"/>
      <c r="AB1599" s="81"/>
      <c r="AC1599" s="86" t="s">
        <v>7380</v>
      </c>
      <c r="AD1599" s="81"/>
      <c r="AE1599" s="81" t="b">
        <v>0</v>
      </c>
      <c r="AF1599" s="81">
        <v>0</v>
      </c>
      <c r="AG1599" s="86" t="s">
        <v>2084</v>
      </c>
      <c r="AH1599" s="81" t="b">
        <v>0</v>
      </c>
      <c r="AI1599" s="81" t="s">
        <v>2171</v>
      </c>
      <c r="AJ1599" s="81"/>
      <c r="AK1599" s="86" t="s">
        <v>2084</v>
      </c>
      <c r="AL1599" s="81" t="b">
        <v>0</v>
      </c>
      <c r="AM1599" s="81">
        <v>255</v>
      </c>
      <c r="AN1599" s="86" t="s">
        <v>7543</v>
      </c>
      <c r="AO1599" s="86" t="s">
        <v>2178</v>
      </c>
      <c r="AP1599" s="81" t="b">
        <v>0</v>
      </c>
      <c r="AQ1599" s="86" t="s">
        <v>7543</v>
      </c>
      <c r="AR1599" s="81" t="s">
        <v>179</v>
      </c>
      <c r="AS1599" s="81">
        <v>0</v>
      </c>
      <c r="AT1599" s="81">
        <v>0</v>
      </c>
      <c r="AU1599" s="81"/>
      <c r="AV1599" s="81"/>
      <c r="AW1599" s="81"/>
      <c r="AX1599" s="81"/>
      <c r="AY1599" s="81"/>
      <c r="AZ1599" s="81"/>
      <c r="BA1599" s="81"/>
      <c r="BB1599" s="81"/>
    </row>
    <row r="1600" spans="1:54" x14ac:dyDescent="0.35">
      <c r="A1600" s="66" t="s">
        <v>562</v>
      </c>
      <c r="B1600" s="66" t="s">
        <v>592</v>
      </c>
      <c r="C1600" s="67"/>
      <c r="D1600" s="68"/>
      <c r="E1600" s="69"/>
      <c r="F1600" s="70"/>
      <c r="G1600" s="67"/>
      <c r="H1600" s="71"/>
      <c r="I1600" s="72"/>
      <c r="J1600" s="72"/>
      <c r="K1600" s="36"/>
      <c r="L1600" s="79"/>
      <c r="M1600" s="79"/>
      <c r="N1600" s="74"/>
      <c r="O1600" s="81" t="s">
        <v>693</v>
      </c>
      <c r="P1600" s="83">
        <v>44461.33803240741</v>
      </c>
      <c r="Q1600" s="81" t="s">
        <v>741</v>
      </c>
      <c r="R1600" s="81"/>
      <c r="S1600" s="81"/>
      <c r="T1600" s="86" t="s">
        <v>972</v>
      </c>
      <c r="U1600" s="84" t="str">
        <f>HYPERLINK("https://pbs.twimg.com/media/E_38CFLVkAAf4fL.jpg")</f>
        <v>https://pbs.twimg.com/media/E_38CFLVkAAf4fL.jpg</v>
      </c>
      <c r="V1600" s="84" t="str">
        <f>HYPERLINK("https://pbs.twimg.com/media/E_38CFLVkAAf4fL.jpg")</f>
        <v>https://pbs.twimg.com/media/E_38CFLVkAAf4fL.jpg</v>
      </c>
      <c r="W1600" s="83">
        <v>44461.33803240741</v>
      </c>
      <c r="X1600" s="89">
        <v>44461</v>
      </c>
      <c r="Y1600" s="86" t="s">
        <v>1445</v>
      </c>
      <c r="Z1600" s="84" t="str">
        <f>HYPERLINK("https://twitter.com/mykimchillstore/status/1440588367410827270")</f>
        <v>https://twitter.com/mykimchillstore/status/1440588367410827270</v>
      </c>
      <c r="AA1600" s="81"/>
      <c r="AB1600" s="81"/>
      <c r="AC1600" s="86" t="s">
        <v>1941</v>
      </c>
      <c r="AD1600" s="81"/>
      <c r="AE1600" s="81" t="b">
        <v>0</v>
      </c>
      <c r="AF1600" s="81">
        <v>0</v>
      </c>
      <c r="AG1600" s="86" t="s">
        <v>2084</v>
      </c>
      <c r="AH1600" s="81" t="b">
        <v>0</v>
      </c>
      <c r="AI1600" s="81" t="s">
        <v>2168</v>
      </c>
      <c r="AJ1600" s="81"/>
      <c r="AK1600" s="86" t="s">
        <v>2084</v>
      </c>
      <c r="AL1600" s="81" t="b">
        <v>0</v>
      </c>
      <c r="AM1600" s="81">
        <v>25</v>
      </c>
      <c r="AN1600" s="86" t="s">
        <v>1996</v>
      </c>
      <c r="AO1600" s="86" t="s">
        <v>2179</v>
      </c>
      <c r="AP1600" s="81" t="b">
        <v>0</v>
      </c>
      <c r="AQ1600" s="86" t="s">
        <v>1996</v>
      </c>
      <c r="AR1600" s="81" t="s">
        <v>179</v>
      </c>
      <c r="AS1600" s="81">
        <v>0</v>
      </c>
      <c r="AT1600" s="81">
        <v>0</v>
      </c>
      <c r="AU1600" s="81"/>
      <c r="AV1600" s="81"/>
      <c r="AW1600" s="81"/>
      <c r="AX1600" s="81"/>
      <c r="AY1600" s="81"/>
      <c r="AZ1600" s="81"/>
      <c r="BA1600" s="81"/>
      <c r="BB1600" s="81"/>
    </row>
    <row r="1601" spans="1:54" x14ac:dyDescent="0.35">
      <c r="A1601" s="66" t="s">
        <v>562</v>
      </c>
      <c r="B1601" s="66" t="s">
        <v>592</v>
      </c>
      <c r="C1601" s="67"/>
      <c r="D1601" s="68"/>
      <c r="E1601" s="69"/>
      <c r="F1601" s="70"/>
      <c r="G1601" s="67"/>
      <c r="H1601" s="71"/>
      <c r="I1601" s="72"/>
      <c r="J1601" s="72"/>
      <c r="K1601" s="36"/>
      <c r="L1601" s="79"/>
      <c r="M1601" s="79"/>
      <c r="N1601" s="74"/>
      <c r="O1601" s="81" t="s">
        <v>693</v>
      </c>
      <c r="P1601" s="83">
        <v>44466.336111111108</v>
      </c>
      <c r="Q1601" s="81" t="s">
        <v>868</v>
      </c>
      <c r="R1601" s="81"/>
      <c r="S1601" s="81"/>
      <c r="T1601" s="86" t="s">
        <v>972</v>
      </c>
      <c r="U1601" s="84" t="str">
        <f>HYPERLINK("https://pbs.twimg.com/media/FARq0TBVUAYl272.jpg")</f>
        <v>https://pbs.twimg.com/media/FARq0TBVUAYl272.jpg</v>
      </c>
      <c r="V1601" s="84" t="str">
        <f>HYPERLINK("https://pbs.twimg.com/media/FARq0TBVUAYl272.jpg")</f>
        <v>https://pbs.twimg.com/media/FARq0TBVUAYl272.jpg</v>
      </c>
      <c r="W1601" s="83">
        <v>44466.336111111108</v>
      </c>
      <c r="X1601" s="89">
        <v>44466</v>
      </c>
      <c r="Y1601" s="86" t="s">
        <v>1446</v>
      </c>
      <c r="Z1601" s="84" t="str">
        <f>HYPERLINK("https://twitter.com/mykimchillstore/status/1442399610689888264")</f>
        <v>https://twitter.com/mykimchillstore/status/1442399610689888264</v>
      </c>
      <c r="AA1601" s="81"/>
      <c r="AB1601" s="81"/>
      <c r="AC1601" s="86" t="s">
        <v>1942</v>
      </c>
      <c r="AD1601" s="81"/>
      <c r="AE1601" s="81" t="b">
        <v>0</v>
      </c>
      <c r="AF1601" s="81">
        <v>0</v>
      </c>
      <c r="AG1601" s="86" t="s">
        <v>2084</v>
      </c>
      <c r="AH1601" s="81" t="b">
        <v>0</v>
      </c>
      <c r="AI1601" s="81" t="s">
        <v>2168</v>
      </c>
      <c r="AJ1601" s="81"/>
      <c r="AK1601" s="86" t="s">
        <v>2084</v>
      </c>
      <c r="AL1601" s="81" t="b">
        <v>0</v>
      </c>
      <c r="AM1601" s="81">
        <v>9</v>
      </c>
      <c r="AN1601" s="86" t="s">
        <v>1997</v>
      </c>
      <c r="AO1601" s="86" t="s">
        <v>2179</v>
      </c>
      <c r="AP1601" s="81" t="b">
        <v>0</v>
      </c>
      <c r="AQ1601" s="86" t="s">
        <v>1997</v>
      </c>
      <c r="AR1601" s="81" t="s">
        <v>179</v>
      </c>
      <c r="AS1601" s="81">
        <v>0</v>
      </c>
      <c r="AT1601" s="81">
        <v>0</v>
      </c>
      <c r="AU1601" s="81"/>
      <c r="AV1601" s="81"/>
      <c r="AW1601" s="81"/>
      <c r="AX1601" s="81"/>
      <c r="AY1601" s="81"/>
      <c r="AZ1601" s="81"/>
      <c r="BA1601" s="81"/>
      <c r="BB1601" s="81"/>
    </row>
    <row r="1602" spans="1:54" x14ac:dyDescent="0.35">
      <c r="A1602" s="66" t="s">
        <v>562</v>
      </c>
      <c r="B1602" s="66" t="s">
        <v>592</v>
      </c>
      <c r="C1602" s="67"/>
      <c r="D1602" s="68"/>
      <c r="E1602" s="69"/>
      <c r="F1602" s="70"/>
      <c r="G1602" s="67"/>
      <c r="H1602" s="71"/>
      <c r="I1602" s="72"/>
      <c r="J1602" s="72"/>
      <c r="K1602" s="36"/>
      <c r="L1602" s="79"/>
      <c r="M1602" s="79"/>
      <c r="N1602" s="74"/>
      <c r="O1602" s="81" t="s">
        <v>693</v>
      </c>
      <c r="P1602" s="83">
        <v>44466.594733796293</v>
      </c>
      <c r="Q1602" s="81" t="s">
        <v>889</v>
      </c>
      <c r="R1602" s="81"/>
      <c r="S1602" s="81"/>
      <c r="T1602" s="86" t="s">
        <v>972</v>
      </c>
      <c r="U1602" s="84" t="str">
        <f>HYPERLINK("https://pbs.twimg.com/media/FATDiHHVEAIdbWq.jpg")</f>
        <v>https://pbs.twimg.com/media/FATDiHHVEAIdbWq.jpg</v>
      </c>
      <c r="V1602" s="84" t="str">
        <f>HYPERLINK("https://pbs.twimg.com/media/FATDiHHVEAIdbWq.jpg")</f>
        <v>https://pbs.twimg.com/media/FATDiHHVEAIdbWq.jpg</v>
      </c>
      <c r="W1602" s="83">
        <v>44466.594733796293</v>
      </c>
      <c r="X1602" s="89">
        <v>44466</v>
      </c>
      <c r="Y1602" s="86" t="s">
        <v>1447</v>
      </c>
      <c r="Z1602" s="84" t="str">
        <f>HYPERLINK("https://twitter.com/mykimchillstore/status/1442493333796839426")</f>
        <v>https://twitter.com/mykimchillstore/status/1442493333796839426</v>
      </c>
      <c r="AA1602" s="81"/>
      <c r="AB1602" s="81"/>
      <c r="AC1602" s="86" t="s">
        <v>1943</v>
      </c>
      <c r="AD1602" s="81"/>
      <c r="AE1602" s="81" t="b">
        <v>0</v>
      </c>
      <c r="AF1602" s="81">
        <v>0</v>
      </c>
      <c r="AG1602" s="86" t="s">
        <v>2084</v>
      </c>
      <c r="AH1602" s="81" t="b">
        <v>0</v>
      </c>
      <c r="AI1602" s="81" t="s">
        <v>2168</v>
      </c>
      <c r="AJ1602" s="81"/>
      <c r="AK1602" s="86" t="s">
        <v>2084</v>
      </c>
      <c r="AL1602" s="81" t="b">
        <v>0</v>
      </c>
      <c r="AM1602" s="81">
        <v>3</v>
      </c>
      <c r="AN1602" s="86" t="s">
        <v>1998</v>
      </c>
      <c r="AO1602" s="86" t="s">
        <v>2179</v>
      </c>
      <c r="AP1602" s="81" t="b">
        <v>0</v>
      </c>
      <c r="AQ1602" s="86" t="s">
        <v>1998</v>
      </c>
      <c r="AR1602" s="81" t="s">
        <v>179</v>
      </c>
      <c r="AS1602" s="81">
        <v>0</v>
      </c>
      <c r="AT1602" s="81">
        <v>0</v>
      </c>
      <c r="AU1602" s="81"/>
      <c r="AV1602" s="81"/>
      <c r="AW1602" s="81"/>
      <c r="AX1602" s="81"/>
      <c r="AY1602" s="81"/>
      <c r="AZ1602" s="81"/>
      <c r="BA1602" s="81"/>
      <c r="BB1602" s="81"/>
    </row>
    <row r="1603" spans="1:54" x14ac:dyDescent="0.35">
      <c r="A1603" s="66" t="s">
        <v>563</v>
      </c>
      <c r="B1603" s="66" t="s">
        <v>596</v>
      </c>
      <c r="C1603" s="67"/>
      <c r="D1603" s="68"/>
      <c r="E1603" s="69"/>
      <c r="F1603" s="70"/>
      <c r="G1603" s="67"/>
      <c r="H1603" s="71"/>
      <c r="I1603" s="72"/>
      <c r="J1603" s="72"/>
      <c r="K1603" s="36"/>
      <c r="L1603" s="79"/>
      <c r="M1603" s="79"/>
      <c r="N1603" s="74"/>
      <c r="O1603" s="81" t="s">
        <v>693</v>
      </c>
      <c r="P1603" s="83">
        <v>44466.600543981483</v>
      </c>
      <c r="Q1603" s="81" t="s">
        <v>701</v>
      </c>
      <c r="R1603" s="84" t="str">
        <f>HYPERLINK("https://api.whatsapp.com/send?phone=6281222353823")</f>
        <v>https://api.whatsapp.com/send?phone=6281222353823</v>
      </c>
      <c r="S1603" s="81" t="s">
        <v>940</v>
      </c>
      <c r="T1603" s="81"/>
      <c r="U1603" s="84" t="str">
        <f>HYPERLINK("https://pbs.twimg.com/media/E_P_XMQWYAUXeaR.jpg")</f>
        <v>https://pbs.twimg.com/media/E_P_XMQWYAUXeaR.jpg</v>
      </c>
      <c r="V1603" s="84" t="str">
        <f>HYPERLINK("https://pbs.twimg.com/media/E_P_XMQWYAUXeaR.jpg")</f>
        <v>https://pbs.twimg.com/media/E_P_XMQWYAUXeaR.jpg</v>
      </c>
      <c r="W1603" s="83">
        <v>44466.600543981483</v>
      </c>
      <c r="X1603" s="89">
        <v>44466</v>
      </c>
      <c r="Y1603" s="86" t="s">
        <v>1448</v>
      </c>
      <c r="Z1603" s="84" t="str">
        <f>HYPERLINK("https://twitter.com/elgowh/status/1442495437835890694")</f>
        <v>https://twitter.com/elgowh/status/1442495437835890694</v>
      </c>
      <c r="AA1603" s="81"/>
      <c r="AB1603" s="81"/>
      <c r="AC1603" s="86" t="s">
        <v>1944</v>
      </c>
      <c r="AD1603" s="81"/>
      <c r="AE1603" s="81" t="b">
        <v>0</v>
      </c>
      <c r="AF1603" s="81">
        <v>0</v>
      </c>
      <c r="AG1603" s="86" t="s">
        <v>2084</v>
      </c>
      <c r="AH1603" s="81" t="b">
        <v>0</v>
      </c>
      <c r="AI1603" s="81" t="s">
        <v>2167</v>
      </c>
      <c r="AJ1603" s="81"/>
      <c r="AK1603" s="86" t="s">
        <v>2084</v>
      </c>
      <c r="AL1603" s="81" t="b">
        <v>0</v>
      </c>
      <c r="AM1603" s="81">
        <v>51</v>
      </c>
      <c r="AN1603" s="86" t="s">
        <v>2005</v>
      </c>
      <c r="AO1603" s="86" t="s">
        <v>2196</v>
      </c>
      <c r="AP1603" s="81" t="b">
        <v>0</v>
      </c>
      <c r="AQ1603" s="86" t="s">
        <v>2005</v>
      </c>
      <c r="AR1603" s="81" t="s">
        <v>179</v>
      </c>
      <c r="AS1603" s="81">
        <v>0</v>
      </c>
      <c r="AT1603" s="81">
        <v>0</v>
      </c>
      <c r="AU1603" s="81"/>
      <c r="AV1603" s="81"/>
      <c r="AW1603" s="81"/>
      <c r="AX1603" s="81"/>
      <c r="AY1603" s="81"/>
      <c r="AZ1603" s="81"/>
      <c r="BA1603" s="81"/>
      <c r="BB1603" s="81"/>
    </row>
    <row r="1604" spans="1:54" x14ac:dyDescent="0.35">
      <c r="A1604" s="66" t="s">
        <v>4818</v>
      </c>
      <c r="B1604" s="66" t="s">
        <v>4944</v>
      </c>
      <c r="C1604" s="67"/>
      <c r="D1604" s="68"/>
      <c r="E1604" s="69"/>
      <c r="F1604" s="70"/>
      <c r="G1604" s="67"/>
      <c r="H1604" s="71"/>
      <c r="I1604" s="72"/>
      <c r="J1604" s="72"/>
      <c r="K1604" s="36"/>
      <c r="L1604" s="79"/>
      <c r="M1604" s="79"/>
      <c r="N1604" s="74"/>
      <c r="O1604" s="81" t="s">
        <v>693</v>
      </c>
      <c r="P1604" s="83">
        <v>44466.600682870368</v>
      </c>
      <c r="Q1604" s="81" t="s">
        <v>5505</v>
      </c>
      <c r="R1604" s="81"/>
      <c r="S1604" s="81"/>
      <c r="T1604" s="81"/>
      <c r="U1604" s="81"/>
      <c r="V1604" s="84" t="str">
        <f>HYPERLINK("https://pbs.twimg.com/profile_images/1443197102427889675/BIWCJ59G_normal.jpg")</f>
        <v>https://pbs.twimg.com/profile_images/1443197102427889675/BIWCJ59G_normal.jpg</v>
      </c>
      <c r="W1604" s="83">
        <v>44466.600682870368</v>
      </c>
      <c r="X1604" s="89">
        <v>44466</v>
      </c>
      <c r="Y1604" s="86" t="s">
        <v>6461</v>
      </c>
      <c r="Z1604" s="84" t="str">
        <f>HYPERLINK("https://twitter.com/ciencia_o/status/1442495489480527876")</f>
        <v>https://twitter.com/ciencia_o/status/1442495489480527876</v>
      </c>
      <c r="AA1604" s="81"/>
      <c r="AB1604" s="81"/>
      <c r="AC1604" s="86" t="s">
        <v>7381</v>
      </c>
      <c r="AD1604" s="81"/>
      <c r="AE1604" s="81" t="b">
        <v>0</v>
      </c>
      <c r="AF1604" s="81">
        <v>0</v>
      </c>
      <c r="AG1604" s="86" t="s">
        <v>2084</v>
      </c>
      <c r="AH1604" s="81" t="b">
        <v>0</v>
      </c>
      <c r="AI1604" s="81" t="s">
        <v>2171</v>
      </c>
      <c r="AJ1604" s="81"/>
      <c r="AK1604" s="86" t="s">
        <v>2084</v>
      </c>
      <c r="AL1604" s="81" t="b">
        <v>0</v>
      </c>
      <c r="AM1604" s="81">
        <v>255</v>
      </c>
      <c r="AN1604" s="86" t="s">
        <v>7543</v>
      </c>
      <c r="AO1604" s="86" t="s">
        <v>2178</v>
      </c>
      <c r="AP1604" s="81" t="b">
        <v>0</v>
      </c>
      <c r="AQ1604" s="86" t="s">
        <v>7543</v>
      </c>
      <c r="AR1604" s="81" t="s">
        <v>179</v>
      </c>
      <c r="AS1604" s="81">
        <v>0</v>
      </c>
      <c r="AT1604" s="81">
        <v>0</v>
      </c>
      <c r="AU1604" s="81"/>
      <c r="AV1604" s="81"/>
      <c r="AW1604" s="81"/>
      <c r="AX1604" s="81"/>
      <c r="AY1604" s="81"/>
      <c r="AZ1604" s="81"/>
      <c r="BA1604" s="81"/>
      <c r="BB1604" s="81"/>
    </row>
    <row r="1605" spans="1:54" x14ac:dyDescent="0.35">
      <c r="A1605" s="66" t="s">
        <v>4819</v>
      </c>
      <c r="B1605" s="66" t="s">
        <v>4819</v>
      </c>
      <c r="C1605" s="67"/>
      <c r="D1605" s="68"/>
      <c r="E1605" s="69"/>
      <c r="F1605" s="70"/>
      <c r="G1605" s="67"/>
      <c r="H1605" s="71"/>
      <c r="I1605" s="72"/>
      <c r="J1605" s="72"/>
      <c r="K1605" s="36"/>
      <c r="L1605" s="79"/>
      <c r="M1605" s="79"/>
      <c r="N1605" s="74"/>
      <c r="O1605" s="81" t="s">
        <v>179</v>
      </c>
      <c r="P1605" s="83">
        <v>44459.669189814813</v>
      </c>
      <c r="Q1605" s="81" t="s">
        <v>5555</v>
      </c>
      <c r="R1605" s="84" t="str">
        <f>HYPERLINK("https://inspsic.pt/curso/300-especializacao-avancada-pos-universitaria-em-psico-oncologia-advanced-professional-program")</f>
        <v>https://inspsic.pt/curso/300-especializacao-avancada-pos-universitaria-em-psico-oncologia-advanced-professional-program</v>
      </c>
      <c r="S1605" s="81" t="s">
        <v>5745</v>
      </c>
      <c r="T1605" s="81"/>
      <c r="U1605" s="84" t="str">
        <f>HYPERLINK("https://pbs.twimg.com/media/E_vZcHyX0AYCs8U.jpg")</f>
        <v>https://pbs.twimg.com/media/E_vZcHyX0AYCs8U.jpg</v>
      </c>
      <c r="V1605" s="84" t="str">
        <f>HYPERLINK("https://pbs.twimg.com/media/E_vZcHyX0AYCs8U.jpg")</f>
        <v>https://pbs.twimg.com/media/E_vZcHyX0AYCs8U.jpg</v>
      </c>
      <c r="W1605" s="83">
        <v>44459.669189814813</v>
      </c>
      <c r="X1605" s="89">
        <v>44459</v>
      </c>
      <c r="Y1605" s="86" t="s">
        <v>6462</v>
      </c>
      <c r="Z1605" s="84" t="str">
        <f>HYPERLINK("https://twitter.com/inspsic/status/1439983598031998977")</f>
        <v>https://twitter.com/inspsic/status/1439983598031998977</v>
      </c>
      <c r="AA1605" s="81"/>
      <c r="AB1605" s="81"/>
      <c r="AC1605" s="86" t="s">
        <v>7382</v>
      </c>
      <c r="AD1605" s="81"/>
      <c r="AE1605" s="81" t="b">
        <v>0</v>
      </c>
      <c r="AF1605" s="81">
        <v>0</v>
      </c>
      <c r="AG1605" s="86" t="s">
        <v>2084</v>
      </c>
      <c r="AH1605" s="81" t="b">
        <v>0</v>
      </c>
      <c r="AI1605" s="81" t="s">
        <v>2171</v>
      </c>
      <c r="AJ1605" s="81"/>
      <c r="AK1605" s="86" t="s">
        <v>2084</v>
      </c>
      <c r="AL1605" s="81" t="b">
        <v>0</v>
      </c>
      <c r="AM1605" s="81">
        <v>0</v>
      </c>
      <c r="AN1605" s="86" t="s">
        <v>2084</v>
      </c>
      <c r="AO1605" s="86" t="s">
        <v>2181</v>
      </c>
      <c r="AP1605" s="81" t="b">
        <v>0</v>
      </c>
      <c r="AQ1605" s="86" t="s">
        <v>7382</v>
      </c>
      <c r="AR1605" s="81" t="s">
        <v>179</v>
      </c>
      <c r="AS1605" s="81">
        <v>0</v>
      </c>
      <c r="AT1605" s="81">
        <v>0</v>
      </c>
      <c r="AU1605" s="81"/>
      <c r="AV1605" s="81"/>
      <c r="AW1605" s="81"/>
      <c r="AX1605" s="81"/>
      <c r="AY1605" s="81"/>
      <c r="AZ1605" s="81"/>
      <c r="BA1605" s="81"/>
      <c r="BB1605" s="81"/>
    </row>
    <row r="1606" spans="1:54" x14ac:dyDescent="0.35">
      <c r="A1606" s="66" t="s">
        <v>4819</v>
      </c>
      <c r="B1606" s="66" t="s">
        <v>4819</v>
      </c>
      <c r="C1606" s="67"/>
      <c r="D1606" s="68"/>
      <c r="E1606" s="69"/>
      <c r="F1606" s="70"/>
      <c r="G1606" s="67"/>
      <c r="H1606" s="71"/>
      <c r="I1606" s="72"/>
      <c r="J1606" s="72"/>
      <c r="K1606" s="36"/>
      <c r="L1606" s="79"/>
      <c r="M1606" s="79"/>
      <c r="N1606" s="74"/>
      <c r="O1606" s="81" t="s">
        <v>179</v>
      </c>
      <c r="P1606" s="83">
        <v>44459.673449074071</v>
      </c>
      <c r="Q1606" s="81" t="s">
        <v>5556</v>
      </c>
      <c r="R1606" s="84" t="str">
        <f>HYPERLINK("https://inspsic.pt/curso/289-especializacao-avancada-pos-universitaria-em-gestao-de-recursos-humanos-advanced-professional-program")</f>
        <v>https://inspsic.pt/curso/289-especializacao-avancada-pos-universitaria-em-gestao-de-recursos-humanos-advanced-professional-program</v>
      </c>
      <c r="S1606" s="81" t="s">
        <v>5745</v>
      </c>
      <c r="T1606" s="81"/>
      <c r="U1606" s="84" t="str">
        <f>HYPERLINK("https://pbs.twimg.com/media/E_va2OuXoAUCz8w.jpg")</f>
        <v>https://pbs.twimg.com/media/E_va2OuXoAUCz8w.jpg</v>
      </c>
      <c r="V1606" s="84" t="str">
        <f>HYPERLINK("https://pbs.twimg.com/media/E_va2OuXoAUCz8w.jpg")</f>
        <v>https://pbs.twimg.com/media/E_va2OuXoAUCz8w.jpg</v>
      </c>
      <c r="W1606" s="83">
        <v>44459.673449074071</v>
      </c>
      <c r="X1606" s="89">
        <v>44459</v>
      </c>
      <c r="Y1606" s="86" t="s">
        <v>6463</v>
      </c>
      <c r="Z1606" s="84" t="str">
        <f>HYPERLINK("https://twitter.com/inspsic/status/1439985144098660355")</f>
        <v>https://twitter.com/inspsic/status/1439985144098660355</v>
      </c>
      <c r="AA1606" s="81"/>
      <c r="AB1606" s="81"/>
      <c r="AC1606" s="86" t="s">
        <v>7383</v>
      </c>
      <c r="AD1606" s="81"/>
      <c r="AE1606" s="81" t="b">
        <v>0</v>
      </c>
      <c r="AF1606" s="81">
        <v>0</v>
      </c>
      <c r="AG1606" s="86" t="s">
        <v>2084</v>
      </c>
      <c r="AH1606" s="81" t="b">
        <v>0</v>
      </c>
      <c r="AI1606" s="81" t="s">
        <v>2171</v>
      </c>
      <c r="AJ1606" s="81"/>
      <c r="AK1606" s="86" t="s">
        <v>2084</v>
      </c>
      <c r="AL1606" s="81" t="b">
        <v>0</v>
      </c>
      <c r="AM1606" s="81">
        <v>0</v>
      </c>
      <c r="AN1606" s="86" t="s">
        <v>2084</v>
      </c>
      <c r="AO1606" s="86" t="s">
        <v>2181</v>
      </c>
      <c r="AP1606" s="81" t="b">
        <v>0</v>
      </c>
      <c r="AQ1606" s="86" t="s">
        <v>7383</v>
      </c>
      <c r="AR1606" s="81" t="s">
        <v>179</v>
      </c>
      <c r="AS1606" s="81">
        <v>0</v>
      </c>
      <c r="AT1606" s="81">
        <v>0</v>
      </c>
      <c r="AU1606" s="81"/>
      <c r="AV1606" s="81"/>
      <c r="AW1606" s="81"/>
      <c r="AX1606" s="81"/>
      <c r="AY1606" s="81"/>
      <c r="AZ1606" s="81"/>
      <c r="BA1606" s="81"/>
      <c r="BB1606" s="81"/>
    </row>
    <row r="1607" spans="1:54" x14ac:dyDescent="0.35">
      <c r="A1607" s="66" t="s">
        <v>4819</v>
      </c>
      <c r="B1607" s="66" t="s">
        <v>4819</v>
      </c>
      <c r="C1607" s="67"/>
      <c r="D1607" s="68"/>
      <c r="E1607" s="69"/>
      <c r="F1607" s="70"/>
      <c r="G1607" s="67"/>
      <c r="H1607" s="71"/>
      <c r="I1607" s="72"/>
      <c r="J1607" s="72"/>
      <c r="K1607" s="36"/>
      <c r="L1607" s="79"/>
      <c r="M1607" s="79"/>
      <c r="N1607" s="74"/>
      <c r="O1607" s="81" t="s">
        <v>179</v>
      </c>
      <c r="P1607" s="83">
        <v>44460.570960648147</v>
      </c>
      <c r="Q1607" s="81" t="s">
        <v>5557</v>
      </c>
      <c r="R1607" s="84" t="str">
        <f>HYPERLINK("https://inspsic.pt/curso/243-especializacao-avancada-pos-universitaria-em-intervencao-clinica-em-cuidados-paliativos-20-edicao-advanced-professional-program")</f>
        <v>https://inspsic.pt/curso/243-especializacao-avancada-pos-universitaria-em-intervencao-clinica-em-cuidados-paliativos-20-edicao-advanced-professional-program</v>
      </c>
      <c r="S1607" s="81" t="s">
        <v>5745</v>
      </c>
      <c r="T1607" s="81"/>
      <c r="U1607" s="84" t="str">
        <f>HYPERLINK("https://pbs.twimg.com/media/E_0CpbKVUAYbirk.jpg")</f>
        <v>https://pbs.twimg.com/media/E_0CpbKVUAYbirk.jpg</v>
      </c>
      <c r="V1607" s="84" t="str">
        <f>HYPERLINK("https://pbs.twimg.com/media/E_0CpbKVUAYbirk.jpg")</f>
        <v>https://pbs.twimg.com/media/E_0CpbKVUAYbirk.jpg</v>
      </c>
      <c r="W1607" s="83">
        <v>44460.570960648147</v>
      </c>
      <c r="X1607" s="89">
        <v>44460</v>
      </c>
      <c r="Y1607" s="86" t="s">
        <v>6464</v>
      </c>
      <c r="Z1607" s="84" t="str">
        <f>HYPERLINK("https://twitter.com/inspsic/status/1440310389477044224")</f>
        <v>https://twitter.com/inspsic/status/1440310389477044224</v>
      </c>
      <c r="AA1607" s="81"/>
      <c r="AB1607" s="81"/>
      <c r="AC1607" s="86" t="s">
        <v>7384</v>
      </c>
      <c r="AD1607" s="81"/>
      <c r="AE1607" s="81" t="b">
        <v>0</v>
      </c>
      <c r="AF1607" s="81">
        <v>0</v>
      </c>
      <c r="AG1607" s="86" t="s">
        <v>2084</v>
      </c>
      <c r="AH1607" s="81" t="b">
        <v>0</v>
      </c>
      <c r="AI1607" s="81" t="s">
        <v>2171</v>
      </c>
      <c r="AJ1607" s="81"/>
      <c r="AK1607" s="86" t="s">
        <v>2084</v>
      </c>
      <c r="AL1607" s="81" t="b">
        <v>0</v>
      </c>
      <c r="AM1607" s="81">
        <v>0</v>
      </c>
      <c r="AN1607" s="86" t="s">
        <v>2084</v>
      </c>
      <c r="AO1607" s="86" t="s">
        <v>2181</v>
      </c>
      <c r="AP1607" s="81" t="b">
        <v>0</v>
      </c>
      <c r="AQ1607" s="86" t="s">
        <v>7384</v>
      </c>
      <c r="AR1607" s="81" t="s">
        <v>179</v>
      </c>
      <c r="AS1607" s="81">
        <v>0</v>
      </c>
      <c r="AT1607" s="81">
        <v>0</v>
      </c>
      <c r="AU1607" s="81"/>
      <c r="AV1607" s="81"/>
      <c r="AW1607" s="81"/>
      <c r="AX1607" s="81"/>
      <c r="AY1607" s="81"/>
      <c r="AZ1607" s="81"/>
      <c r="BA1607" s="81"/>
      <c r="BB1607" s="81"/>
    </row>
    <row r="1608" spans="1:54" x14ac:dyDescent="0.35">
      <c r="A1608" s="66" t="s">
        <v>4819</v>
      </c>
      <c r="B1608" s="66" t="s">
        <v>4819</v>
      </c>
      <c r="C1608" s="67"/>
      <c r="D1608" s="68"/>
      <c r="E1608" s="69"/>
      <c r="F1608" s="70"/>
      <c r="G1608" s="67"/>
      <c r="H1608" s="71"/>
      <c r="I1608" s="72"/>
      <c r="J1608" s="72"/>
      <c r="K1608" s="36"/>
      <c r="L1608" s="79"/>
      <c r="M1608" s="79"/>
      <c r="N1608" s="74"/>
      <c r="O1608" s="81" t="s">
        <v>179</v>
      </c>
      <c r="P1608" s="83">
        <v>44461.534444444442</v>
      </c>
      <c r="Q1608" s="81" t="s">
        <v>5558</v>
      </c>
      <c r="R1608" s="84" t="str">
        <f>HYPERLINK("https://inspsic.pt/curso/70-especializacao-avancada-pos-universitaria-em-neuroeducacao-14-edicao-advanced-professional-program")</f>
        <v>https://inspsic.pt/curso/70-especializacao-avancada-pos-universitaria-em-neuroeducacao-14-edicao-advanced-professional-program</v>
      </c>
      <c r="S1608" s="81" t="s">
        <v>5745</v>
      </c>
      <c r="T1608" s="81"/>
      <c r="U1608" s="84" t="str">
        <f>HYPERLINK("https://pbs.twimg.com/media/E_5ANXiVIAsxSHs.jpg")</f>
        <v>https://pbs.twimg.com/media/E_5ANXiVIAsxSHs.jpg</v>
      </c>
      <c r="V1608" s="84" t="str">
        <f>HYPERLINK("https://pbs.twimg.com/media/E_5ANXiVIAsxSHs.jpg")</f>
        <v>https://pbs.twimg.com/media/E_5ANXiVIAsxSHs.jpg</v>
      </c>
      <c r="W1608" s="83">
        <v>44461.534444444442</v>
      </c>
      <c r="X1608" s="89">
        <v>44461</v>
      </c>
      <c r="Y1608" s="86" t="s">
        <v>6465</v>
      </c>
      <c r="Z1608" s="84" t="str">
        <f>HYPERLINK("https://twitter.com/inspsic/status/1440659546255478795")</f>
        <v>https://twitter.com/inspsic/status/1440659546255478795</v>
      </c>
      <c r="AA1608" s="81"/>
      <c r="AB1608" s="81"/>
      <c r="AC1608" s="86" t="s">
        <v>7385</v>
      </c>
      <c r="AD1608" s="81"/>
      <c r="AE1608" s="81" t="b">
        <v>0</v>
      </c>
      <c r="AF1608" s="81">
        <v>0</v>
      </c>
      <c r="AG1608" s="86" t="s">
        <v>2084</v>
      </c>
      <c r="AH1608" s="81" t="b">
        <v>0</v>
      </c>
      <c r="AI1608" s="81" t="s">
        <v>2171</v>
      </c>
      <c r="AJ1608" s="81"/>
      <c r="AK1608" s="86" t="s">
        <v>2084</v>
      </c>
      <c r="AL1608" s="81" t="b">
        <v>0</v>
      </c>
      <c r="AM1608" s="81">
        <v>0</v>
      </c>
      <c r="AN1608" s="86" t="s">
        <v>2084</v>
      </c>
      <c r="AO1608" s="86" t="s">
        <v>2181</v>
      </c>
      <c r="AP1608" s="81" t="b">
        <v>0</v>
      </c>
      <c r="AQ1608" s="86" t="s">
        <v>7385</v>
      </c>
      <c r="AR1608" s="81" t="s">
        <v>179</v>
      </c>
      <c r="AS1608" s="81">
        <v>0</v>
      </c>
      <c r="AT1608" s="81">
        <v>0</v>
      </c>
      <c r="AU1608" s="81"/>
      <c r="AV1608" s="81"/>
      <c r="AW1608" s="81"/>
      <c r="AX1608" s="81"/>
      <c r="AY1608" s="81"/>
      <c r="AZ1608" s="81"/>
      <c r="BA1608" s="81"/>
      <c r="BB1608" s="81"/>
    </row>
    <row r="1609" spans="1:54" x14ac:dyDescent="0.35">
      <c r="A1609" s="66" t="s">
        <v>4819</v>
      </c>
      <c r="B1609" s="66" t="s">
        <v>4819</v>
      </c>
      <c r="C1609" s="67"/>
      <c r="D1609" s="68"/>
      <c r="E1609" s="69"/>
      <c r="F1609" s="70"/>
      <c r="G1609" s="67"/>
      <c r="H1609" s="71"/>
      <c r="I1609" s="72"/>
      <c r="J1609" s="72"/>
      <c r="K1609" s="36"/>
      <c r="L1609" s="79"/>
      <c r="M1609" s="79"/>
      <c r="N1609" s="74"/>
      <c r="O1609" s="81" t="s">
        <v>179</v>
      </c>
      <c r="P1609" s="83">
        <v>44463.584837962961</v>
      </c>
      <c r="Q1609" s="81" t="s">
        <v>5559</v>
      </c>
      <c r="R1609" s="84" t="str">
        <f>HYPERLINK("https://inspsic.pt/curso/276-especializacao-avancada-pos-universitaria-em-psicologia-da-gravidez-e-da-parentalidade-advanced-professional-program")</f>
        <v>https://inspsic.pt/curso/276-especializacao-avancada-pos-universitaria-em-psicologia-da-gravidez-e-da-parentalidade-advanced-professional-program</v>
      </c>
      <c r="S1609" s="81" t="s">
        <v>5745</v>
      </c>
      <c r="T1609" s="81"/>
      <c r="U1609" s="84" t="str">
        <f>HYPERLINK("https://pbs.twimg.com/media/FADj-UyXEAMRXBW.jpg")</f>
        <v>https://pbs.twimg.com/media/FADj-UyXEAMRXBW.jpg</v>
      </c>
      <c r="V1609" s="84" t="str">
        <f>HYPERLINK("https://pbs.twimg.com/media/FADj-UyXEAMRXBW.jpg")</f>
        <v>https://pbs.twimg.com/media/FADj-UyXEAMRXBW.jpg</v>
      </c>
      <c r="W1609" s="83">
        <v>44463.584837962961</v>
      </c>
      <c r="X1609" s="89">
        <v>44463</v>
      </c>
      <c r="Y1609" s="86" t="s">
        <v>6466</v>
      </c>
      <c r="Z1609" s="84" t="str">
        <f>HYPERLINK("https://twitter.com/inspsic/status/1441402584665706496")</f>
        <v>https://twitter.com/inspsic/status/1441402584665706496</v>
      </c>
      <c r="AA1609" s="81"/>
      <c r="AB1609" s="81"/>
      <c r="AC1609" s="86" t="s">
        <v>7386</v>
      </c>
      <c r="AD1609" s="81"/>
      <c r="AE1609" s="81" t="b">
        <v>0</v>
      </c>
      <c r="AF1609" s="81">
        <v>0</v>
      </c>
      <c r="AG1609" s="86" t="s">
        <v>2084</v>
      </c>
      <c r="AH1609" s="81" t="b">
        <v>0</v>
      </c>
      <c r="AI1609" s="81" t="s">
        <v>2171</v>
      </c>
      <c r="AJ1609" s="81"/>
      <c r="AK1609" s="86" t="s">
        <v>2084</v>
      </c>
      <c r="AL1609" s="81" t="b">
        <v>0</v>
      </c>
      <c r="AM1609" s="81">
        <v>0</v>
      </c>
      <c r="AN1609" s="86" t="s">
        <v>2084</v>
      </c>
      <c r="AO1609" s="86" t="s">
        <v>2181</v>
      </c>
      <c r="AP1609" s="81" t="b">
        <v>0</v>
      </c>
      <c r="AQ1609" s="86" t="s">
        <v>7386</v>
      </c>
      <c r="AR1609" s="81" t="s">
        <v>179</v>
      </c>
      <c r="AS1609" s="81">
        <v>0</v>
      </c>
      <c r="AT1609" s="81">
        <v>0</v>
      </c>
      <c r="AU1609" s="81"/>
      <c r="AV1609" s="81"/>
      <c r="AW1609" s="81"/>
      <c r="AX1609" s="81"/>
      <c r="AY1609" s="81"/>
      <c r="AZ1609" s="81"/>
      <c r="BA1609" s="81"/>
      <c r="BB1609" s="81"/>
    </row>
    <row r="1610" spans="1:54" x14ac:dyDescent="0.35">
      <c r="A1610" s="66" t="s">
        <v>4819</v>
      </c>
      <c r="B1610" s="66" t="s">
        <v>4819</v>
      </c>
      <c r="C1610" s="67"/>
      <c r="D1610" s="68"/>
      <c r="E1610" s="69"/>
      <c r="F1610" s="70"/>
      <c r="G1610" s="67"/>
      <c r="H1610" s="71"/>
      <c r="I1610" s="72"/>
      <c r="J1610" s="72"/>
      <c r="K1610" s="36"/>
      <c r="L1610" s="79"/>
      <c r="M1610" s="79"/>
      <c r="N1610" s="74"/>
      <c r="O1610" s="81" t="s">
        <v>179</v>
      </c>
      <c r="P1610" s="83">
        <v>44464.630543981482</v>
      </c>
      <c r="Q1610" s="81" t="s">
        <v>5560</v>
      </c>
      <c r="R1610" s="84" t="str">
        <f>HYPERLINK("https://inspsic.pt/curso/293-especializacao-avancada-pos-universitaria-sobre-missoes-humanitarias-e-intervencao-com-refugiados")</f>
        <v>https://inspsic.pt/curso/293-especializacao-avancada-pos-universitaria-sobre-missoes-humanitarias-e-intervencao-com-refugiados</v>
      </c>
      <c r="S1610" s="81" t="s">
        <v>5745</v>
      </c>
      <c r="T1610" s="81"/>
      <c r="U1610" s="84" t="str">
        <f>HYPERLINK("https://pbs.twimg.com/media/FAI8pdvXMAIopw-.jpg")</f>
        <v>https://pbs.twimg.com/media/FAI8pdvXMAIopw-.jpg</v>
      </c>
      <c r="V1610" s="84" t="str">
        <f>HYPERLINK("https://pbs.twimg.com/media/FAI8pdvXMAIopw-.jpg")</f>
        <v>https://pbs.twimg.com/media/FAI8pdvXMAIopw-.jpg</v>
      </c>
      <c r="W1610" s="83">
        <v>44464.630543981482</v>
      </c>
      <c r="X1610" s="89">
        <v>44464</v>
      </c>
      <c r="Y1610" s="86" t="s">
        <v>6467</v>
      </c>
      <c r="Z1610" s="84" t="str">
        <f>HYPERLINK("https://twitter.com/inspsic/status/1441781535447953410")</f>
        <v>https://twitter.com/inspsic/status/1441781535447953410</v>
      </c>
      <c r="AA1610" s="81"/>
      <c r="AB1610" s="81"/>
      <c r="AC1610" s="86" t="s">
        <v>7387</v>
      </c>
      <c r="AD1610" s="81"/>
      <c r="AE1610" s="81" t="b">
        <v>0</v>
      </c>
      <c r="AF1610" s="81">
        <v>0</v>
      </c>
      <c r="AG1610" s="86" t="s">
        <v>2084</v>
      </c>
      <c r="AH1610" s="81" t="b">
        <v>0</v>
      </c>
      <c r="AI1610" s="81" t="s">
        <v>2171</v>
      </c>
      <c r="AJ1610" s="81"/>
      <c r="AK1610" s="86" t="s">
        <v>2084</v>
      </c>
      <c r="AL1610" s="81" t="b">
        <v>0</v>
      </c>
      <c r="AM1610" s="81">
        <v>0</v>
      </c>
      <c r="AN1610" s="86" t="s">
        <v>2084</v>
      </c>
      <c r="AO1610" s="86" t="s">
        <v>2181</v>
      </c>
      <c r="AP1610" s="81" t="b">
        <v>0</v>
      </c>
      <c r="AQ1610" s="86" t="s">
        <v>7387</v>
      </c>
      <c r="AR1610" s="81" t="s">
        <v>179</v>
      </c>
      <c r="AS1610" s="81">
        <v>0</v>
      </c>
      <c r="AT1610" s="81">
        <v>0</v>
      </c>
      <c r="AU1610" s="81"/>
      <c r="AV1610" s="81"/>
      <c r="AW1610" s="81"/>
      <c r="AX1610" s="81"/>
      <c r="AY1610" s="81"/>
      <c r="AZ1610" s="81"/>
      <c r="BA1610" s="81"/>
      <c r="BB1610" s="81"/>
    </row>
    <row r="1611" spans="1:54" x14ac:dyDescent="0.35">
      <c r="A1611" s="66" t="s">
        <v>4819</v>
      </c>
      <c r="B1611" s="66" t="s">
        <v>4819</v>
      </c>
      <c r="C1611" s="67"/>
      <c r="D1611" s="68"/>
      <c r="E1611" s="69"/>
      <c r="F1611" s="70"/>
      <c r="G1611" s="67"/>
      <c r="H1611" s="71"/>
      <c r="I1611" s="72"/>
      <c r="J1611" s="72"/>
      <c r="K1611" s="36"/>
      <c r="L1611" s="79"/>
      <c r="M1611" s="79"/>
      <c r="N1611" s="74"/>
      <c r="O1611" s="81" t="s">
        <v>179</v>
      </c>
      <c r="P1611" s="83">
        <v>44466.602060185185</v>
      </c>
      <c r="Q1611" s="81" t="s">
        <v>5561</v>
      </c>
      <c r="R1611" s="84" t="str">
        <f>HYPERLINK("https://inspsic.pt/curso/202-especializacao-avancada-pos-universitaria-em-psicologia-da-saude-ocupacional-3-edicao-advanced-professional-program")</f>
        <v>https://inspsic.pt/curso/202-especializacao-avancada-pos-universitaria-em-psicologia-da-saude-ocupacional-3-edicao-advanced-professional-program</v>
      </c>
      <c r="S1611" s="81" t="s">
        <v>5745</v>
      </c>
      <c r="T1611" s="81"/>
      <c r="U1611" s="84" t="str">
        <f>HYPERLINK("https://pbs.twimg.com/media/FATGcAlUcAMqpWN.jpg")</f>
        <v>https://pbs.twimg.com/media/FATGcAlUcAMqpWN.jpg</v>
      </c>
      <c r="V1611" s="84" t="str">
        <f>HYPERLINK("https://pbs.twimg.com/media/FATGcAlUcAMqpWN.jpg")</f>
        <v>https://pbs.twimg.com/media/FATGcAlUcAMqpWN.jpg</v>
      </c>
      <c r="W1611" s="83">
        <v>44466.602060185185</v>
      </c>
      <c r="X1611" s="89">
        <v>44466</v>
      </c>
      <c r="Y1611" s="86" t="s">
        <v>6468</v>
      </c>
      <c r="Z1611" s="84" t="str">
        <f>HYPERLINK("https://twitter.com/inspsic/status/1442495987340169221")</f>
        <v>https://twitter.com/inspsic/status/1442495987340169221</v>
      </c>
      <c r="AA1611" s="81"/>
      <c r="AB1611" s="81"/>
      <c r="AC1611" s="86" t="s">
        <v>7388</v>
      </c>
      <c r="AD1611" s="81"/>
      <c r="AE1611" s="81" t="b">
        <v>0</v>
      </c>
      <c r="AF1611" s="81">
        <v>0</v>
      </c>
      <c r="AG1611" s="86" t="s">
        <v>2084</v>
      </c>
      <c r="AH1611" s="81" t="b">
        <v>0</v>
      </c>
      <c r="AI1611" s="81" t="s">
        <v>2171</v>
      </c>
      <c r="AJ1611" s="81"/>
      <c r="AK1611" s="86" t="s">
        <v>2084</v>
      </c>
      <c r="AL1611" s="81" t="b">
        <v>0</v>
      </c>
      <c r="AM1611" s="81">
        <v>0</v>
      </c>
      <c r="AN1611" s="86" t="s">
        <v>2084</v>
      </c>
      <c r="AO1611" s="86" t="s">
        <v>2181</v>
      </c>
      <c r="AP1611" s="81" t="b">
        <v>0</v>
      </c>
      <c r="AQ1611" s="86" t="s">
        <v>7388</v>
      </c>
      <c r="AR1611" s="81" t="s">
        <v>179</v>
      </c>
      <c r="AS1611" s="81">
        <v>0</v>
      </c>
      <c r="AT1611" s="81">
        <v>0</v>
      </c>
      <c r="AU1611" s="81"/>
      <c r="AV1611" s="81"/>
      <c r="AW1611" s="81"/>
      <c r="AX1611" s="81"/>
      <c r="AY1611" s="81"/>
      <c r="AZ1611" s="81"/>
      <c r="BA1611" s="81"/>
      <c r="BB1611" s="81"/>
    </row>
    <row r="1612" spans="1:54" x14ac:dyDescent="0.35">
      <c r="A1612" s="66" t="s">
        <v>4820</v>
      </c>
      <c r="B1612" s="66" t="s">
        <v>4820</v>
      </c>
      <c r="C1612" s="67"/>
      <c r="D1612" s="68"/>
      <c r="E1612" s="69"/>
      <c r="F1612" s="70"/>
      <c r="G1612" s="67"/>
      <c r="H1612" s="71"/>
      <c r="I1612" s="72"/>
      <c r="J1612" s="72"/>
      <c r="K1612" s="36"/>
      <c r="L1612" s="79"/>
      <c r="M1612" s="79"/>
      <c r="N1612" s="74"/>
      <c r="O1612" s="81" t="s">
        <v>179</v>
      </c>
      <c r="P1612" s="83">
        <v>44466.602638888886</v>
      </c>
      <c r="Q1612" s="81" t="s">
        <v>5562</v>
      </c>
      <c r="R1612" s="81" t="s">
        <v>5680</v>
      </c>
      <c r="S1612" s="81" t="s">
        <v>5746</v>
      </c>
      <c r="T1612" s="86" t="s">
        <v>5783</v>
      </c>
      <c r="U1612" s="81"/>
      <c r="V1612" s="84" t="str">
        <f>HYPERLINK("https://pbs.twimg.com/profile_images/1427998412117528578/BGsCucsK_normal.jpg")</f>
        <v>https://pbs.twimg.com/profile_images/1427998412117528578/BGsCucsK_normal.jpg</v>
      </c>
      <c r="W1612" s="83">
        <v>44466.602638888886</v>
      </c>
      <c r="X1612" s="89">
        <v>44466</v>
      </c>
      <c r="Y1612" s="86" t="s">
        <v>6469</v>
      </c>
      <c r="Z1612" s="84" t="str">
        <f>HYPERLINK("https://twitter.com/csmboto/status/1442496198565314564")</f>
        <v>https://twitter.com/csmboto/status/1442496198565314564</v>
      </c>
      <c r="AA1612" s="81"/>
      <c r="AB1612" s="81"/>
      <c r="AC1612" s="86" t="s">
        <v>7389</v>
      </c>
      <c r="AD1612" s="81"/>
      <c r="AE1612" s="81" t="b">
        <v>0</v>
      </c>
      <c r="AF1612" s="81">
        <v>1</v>
      </c>
      <c r="AG1612" s="86" t="s">
        <v>2084</v>
      </c>
      <c r="AH1612" s="81" t="b">
        <v>1</v>
      </c>
      <c r="AI1612" s="81" t="s">
        <v>2171</v>
      </c>
      <c r="AJ1612" s="81"/>
      <c r="AK1612" s="86" t="s">
        <v>7411</v>
      </c>
      <c r="AL1612" s="81" t="b">
        <v>0</v>
      </c>
      <c r="AM1612" s="81">
        <v>0</v>
      </c>
      <c r="AN1612" s="86" t="s">
        <v>2084</v>
      </c>
      <c r="AO1612" s="86" t="s">
        <v>2181</v>
      </c>
      <c r="AP1612" s="81" t="b">
        <v>0</v>
      </c>
      <c r="AQ1612" s="86" t="s">
        <v>7389</v>
      </c>
      <c r="AR1612" s="81" t="s">
        <v>179</v>
      </c>
      <c r="AS1612" s="81">
        <v>0</v>
      </c>
      <c r="AT1612" s="81">
        <v>0</v>
      </c>
      <c r="AU1612" s="81"/>
      <c r="AV1612" s="81"/>
      <c r="AW1612" s="81"/>
      <c r="AX1612" s="81"/>
      <c r="AY1612" s="81"/>
      <c r="AZ1612" s="81"/>
      <c r="BA1612" s="81"/>
      <c r="BB1612" s="81"/>
    </row>
    <row r="1613" spans="1:54" x14ac:dyDescent="0.35">
      <c r="A1613" s="66" t="s">
        <v>564</v>
      </c>
      <c r="B1613" s="66" t="s">
        <v>689</v>
      </c>
      <c r="C1613" s="67"/>
      <c r="D1613" s="68"/>
      <c r="E1613" s="69"/>
      <c r="F1613" s="70"/>
      <c r="G1613" s="67"/>
      <c r="H1613" s="71"/>
      <c r="I1613" s="72"/>
      <c r="J1613" s="72"/>
      <c r="K1613" s="36"/>
      <c r="L1613" s="79"/>
      <c r="M1613" s="79"/>
      <c r="N1613" s="74"/>
      <c r="O1613" s="81" t="s">
        <v>695</v>
      </c>
      <c r="P1613" s="83">
        <v>44466.604849537034</v>
      </c>
      <c r="Q1613" s="81" t="s">
        <v>890</v>
      </c>
      <c r="R1613" s="81"/>
      <c r="S1613" s="81"/>
      <c r="T1613" s="81"/>
      <c r="U1613" s="81"/>
      <c r="V1613" s="84" t="str">
        <f>HYPERLINK("https://pbs.twimg.com/profile_images/1442527905259479043/KCyjZ3kH_normal.jpg")</f>
        <v>https://pbs.twimg.com/profile_images/1442527905259479043/KCyjZ3kH_normal.jpg</v>
      </c>
      <c r="W1613" s="83">
        <v>44466.604849537034</v>
      </c>
      <c r="X1613" s="89">
        <v>44466</v>
      </c>
      <c r="Y1613" s="86" t="s">
        <v>1449</v>
      </c>
      <c r="Z1613" s="84" t="str">
        <f>HYPERLINK("https://twitter.com/hash1r4_/status/1442496998733611014")</f>
        <v>https://twitter.com/hash1r4_/status/1442496998733611014</v>
      </c>
      <c r="AA1613" s="81"/>
      <c r="AB1613" s="81"/>
      <c r="AC1613" s="86" t="s">
        <v>1945</v>
      </c>
      <c r="AD1613" s="86" t="s">
        <v>2081</v>
      </c>
      <c r="AE1613" s="81" t="b">
        <v>0</v>
      </c>
      <c r="AF1613" s="81">
        <v>0</v>
      </c>
      <c r="AG1613" s="86" t="s">
        <v>2164</v>
      </c>
      <c r="AH1613" s="81" t="b">
        <v>0</v>
      </c>
      <c r="AI1613" s="81" t="s">
        <v>2167</v>
      </c>
      <c r="AJ1613" s="81"/>
      <c r="AK1613" s="86" t="s">
        <v>2084</v>
      </c>
      <c r="AL1613" s="81" t="b">
        <v>0</v>
      </c>
      <c r="AM1613" s="81">
        <v>0</v>
      </c>
      <c r="AN1613" s="86" t="s">
        <v>2084</v>
      </c>
      <c r="AO1613" s="86" t="s">
        <v>2179</v>
      </c>
      <c r="AP1613" s="81" t="b">
        <v>0</v>
      </c>
      <c r="AQ1613" s="86" t="s">
        <v>2081</v>
      </c>
      <c r="AR1613" s="81" t="s">
        <v>179</v>
      </c>
      <c r="AS1613" s="81">
        <v>0</v>
      </c>
      <c r="AT1613" s="81">
        <v>0</v>
      </c>
      <c r="AU1613" s="81"/>
      <c r="AV1613" s="81"/>
      <c r="AW1613" s="81"/>
      <c r="AX1613" s="81"/>
      <c r="AY1613" s="81"/>
      <c r="AZ1613" s="81"/>
      <c r="BA1613" s="81"/>
      <c r="BB1613" s="81"/>
    </row>
    <row r="1614" spans="1:54" x14ac:dyDescent="0.35">
      <c r="A1614" s="66" t="s">
        <v>4821</v>
      </c>
      <c r="B1614" s="66" t="s">
        <v>5166</v>
      </c>
      <c r="C1614" s="67"/>
      <c r="D1614" s="68"/>
      <c r="E1614" s="69"/>
      <c r="F1614" s="70"/>
      <c r="G1614" s="67"/>
      <c r="H1614" s="71"/>
      <c r="I1614" s="72"/>
      <c r="J1614" s="72"/>
      <c r="K1614" s="36"/>
      <c r="L1614" s="79"/>
      <c r="M1614" s="79"/>
      <c r="N1614" s="74"/>
      <c r="O1614" s="81" t="s">
        <v>695</v>
      </c>
      <c r="P1614" s="83">
        <v>44466.605787037035</v>
      </c>
      <c r="Q1614" s="81" t="s">
        <v>5563</v>
      </c>
      <c r="R1614" s="81"/>
      <c r="S1614" s="81"/>
      <c r="T1614" s="81"/>
      <c r="U1614" s="81"/>
      <c r="V1614" s="84" t="str">
        <f>HYPERLINK("https://pbs.twimg.com/profile_images/1435853259042852867/AcfLmnj0_normal.jpg")</f>
        <v>https://pbs.twimg.com/profile_images/1435853259042852867/AcfLmnj0_normal.jpg</v>
      </c>
      <c r="W1614" s="83">
        <v>44466.605787037035</v>
      </c>
      <c r="X1614" s="89">
        <v>44466</v>
      </c>
      <c r="Y1614" s="86" t="s">
        <v>6470</v>
      </c>
      <c r="Z1614" s="84" t="str">
        <f>HYPERLINK("https://twitter.com/maro92084115/status/1442497339843760143")</f>
        <v>https://twitter.com/maro92084115/status/1442497339843760143</v>
      </c>
      <c r="AA1614" s="81"/>
      <c r="AB1614" s="81"/>
      <c r="AC1614" s="86" t="s">
        <v>7390</v>
      </c>
      <c r="AD1614" s="86" t="s">
        <v>7733</v>
      </c>
      <c r="AE1614" s="81" t="b">
        <v>0</v>
      </c>
      <c r="AF1614" s="81">
        <v>1</v>
      </c>
      <c r="AG1614" s="86" t="s">
        <v>7909</v>
      </c>
      <c r="AH1614" s="81" t="b">
        <v>0</v>
      </c>
      <c r="AI1614" s="81" t="s">
        <v>2171</v>
      </c>
      <c r="AJ1614" s="81"/>
      <c r="AK1614" s="86" t="s">
        <v>2084</v>
      </c>
      <c r="AL1614" s="81" t="b">
        <v>0</v>
      </c>
      <c r="AM1614" s="81">
        <v>0</v>
      </c>
      <c r="AN1614" s="86" t="s">
        <v>2084</v>
      </c>
      <c r="AO1614" s="86" t="s">
        <v>2178</v>
      </c>
      <c r="AP1614" s="81" t="b">
        <v>0</v>
      </c>
      <c r="AQ1614" s="86" t="s">
        <v>7733</v>
      </c>
      <c r="AR1614" s="81" t="s">
        <v>179</v>
      </c>
      <c r="AS1614" s="81">
        <v>0</v>
      </c>
      <c r="AT1614" s="81">
        <v>0</v>
      </c>
      <c r="AU1614" s="81"/>
      <c r="AV1614" s="81"/>
      <c r="AW1614" s="81"/>
      <c r="AX1614" s="81"/>
      <c r="AY1614" s="81"/>
      <c r="AZ1614" s="81"/>
      <c r="BA1614" s="81"/>
      <c r="BB1614" s="81"/>
    </row>
    <row r="1615" spans="1:54" x14ac:dyDescent="0.35">
      <c r="A1615" s="66" t="s">
        <v>4821</v>
      </c>
      <c r="B1615" s="66" t="s">
        <v>5042</v>
      </c>
      <c r="C1615" s="67"/>
      <c r="D1615" s="68"/>
      <c r="E1615" s="69"/>
      <c r="F1615" s="70"/>
      <c r="G1615" s="67"/>
      <c r="H1615" s="71"/>
      <c r="I1615" s="72"/>
      <c r="J1615" s="72"/>
      <c r="K1615" s="36"/>
      <c r="L1615" s="79"/>
      <c r="M1615" s="79"/>
      <c r="N1615" s="74"/>
      <c r="O1615" s="81" t="s">
        <v>696</v>
      </c>
      <c r="P1615" s="83">
        <v>44466.605787037035</v>
      </c>
      <c r="Q1615" s="81" t="s">
        <v>5563</v>
      </c>
      <c r="R1615" s="81"/>
      <c r="S1615" s="81"/>
      <c r="T1615" s="81"/>
      <c r="U1615" s="81"/>
      <c r="V1615" s="84" t="str">
        <f>HYPERLINK("https://pbs.twimg.com/profile_images/1435853259042852867/AcfLmnj0_normal.jpg")</f>
        <v>https://pbs.twimg.com/profile_images/1435853259042852867/AcfLmnj0_normal.jpg</v>
      </c>
      <c r="W1615" s="83">
        <v>44466.605787037035</v>
      </c>
      <c r="X1615" s="89">
        <v>44466</v>
      </c>
      <c r="Y1615" s="86" t="s">
        <v>6470</v>
      </c>
      <c r="Z1615" s="84" t="str">
        <f>HYPERLINK("https://twitter.com/maro92084115/status/1442497339843760143")</f>
        <v>https://twitter.com/maro92084115/status/1442497339843760143</v>
      </c>
      <c r="AA1615" s="81"/>
      <c r="AB1615" s="81"/>
      <c r="AC1615" s="86" t="s">
        <v>7390</v>
      </c>
      <c r="AD1615" s="86" t="s">
        <v>7733</v>
      </c>
      <c r="AE1615" s="81" t="b">
        <v>0</v>
      </c>
      <c r="AF1615" s="81">
        <v>1</v>
      </c>
      <c r="AG1615" s="86" t="s">
        <v>7909</v>
      </c>
      <c r="AH1615" s="81" t="b">
        <v>0</v>
      </c>
      <c r="AI1615" s="81" t="s">
        <v>2171</v>
      </c>
      <c r="AJ1615" s="81"/>
      <c r="AK1615" s="86" t="s">
        <v>2084</v>
      </c>
      <c r="AL1615" s="81" t="b">
        <v>0</v>
      </c>
      <c r="AM1615" s="81">
        <v>0</v>
      </c>
      <c r="AN1615" s="86" t="s">
        <v>2084</v>
      </c>
      <c r="AO1615" s="86" t="s">
        <v>2178</v>
      </c>
      <c r="AP1615" s="81" t="b">
        <v>0</v>
      </c>
      <c r="AQ1615" s="86" t="s">
        <v>7733</v>
      </c>
      <c r="AR1615" s="81" t="s">
        <v>179</v>
      </c>
      <c r="AS1615" s="81">
        <v>0</v>
      </c>
      <c r="AT1615" s="81">
        <v>0</v>
      </c>
      <c r="AU1615" s="81"/>
      <c r="AV1615" s="81"/>
      <c r="AW1615" s="81"/>
      <c r="AX1615" s="81"/>
      <c r="AY1615" s="81"/>
      <c r="AZ1615" s="81"/>
      <c r="BA1615" s="81"/>
      <c r="BB1615" s="81"/>
    </row>
    <row r="1616" spans="1:54" x14ac:dyDescent="0.35">
      <c r="A1616" s="66" t="s">
        <v>4822</v>
      </c>
      <c r="B1616" s="66" t="s">
        <v>4822</v>
      </c>
      <c r="C1616" s="67"/>
      <c r="D1616" s="68"/>
      <c r="E1616" s="69"/>
      <c r="F1616" s="70"/>
      <c r="G1616" s="67"/>
      <c r="H1616" s="71"/>
      <c r="I1616" s="72"/>
      <c r="J1616" s="72"/>
      <c r="K1616" s="36"/>
      <c r="L1616" s="79"/>
      <c r="M1616" s="79"/>
      <c r="N1616" s="74"/>
      <c r="O1616" s="81" t="s">
        <v>179</v>
      </c>
      <c r="P1616" s="83">
        <v>44466.60800925926</v>
      </c>
      <c r="Q1616" s="81" t="s">
        <v>5564</v>
      </c>
      <c r="R1616" s="81"/>
      <c r="S1616" s="81"/>
      <c r="T1616" s="81"/>
      <c r="U1616" s="81"/>
      <c r="V1616" s="84" t="str">
        <f>HYPERLINK("https://abs.twimg.com/sticky/default_profile_images/default_profile_normal.png")</f>
        <v>https://abs.twimg.com/sticky/default_profile_images/default_profile_normal.png</v>
      </c>
      <c r="W1616" s="83">
        <v>44466.60800925926</v>
      </c>
      <c r="X1616" s="89">
        <v>44466</v>
      </c>
      <c r="Y1616" s="86" t="s">
        <v>6471</v>
      </c>
      <c r="Z1616" s="84" t="str">
        <f>HYPERLINK("https://twitter.com/shaolintrader88/status/1442498142457503750")</f>
        <v>https://twitter.com/shaolintrader88/status/1442498142457503750</v>
      </c>
      <c r="AA1616" s="81"/>
      <c r="AB1616" s="81"/>
      <c r="AC1616" s="86" t="s">
        <v>7391</v>
      </c>
      <c r="AD1616" s="81"/>
      <c r="AE1616" s="81" t="b">
        <v>0</v>
      </c>
      <c r="AF1616" s="81">
        <v>0</v>
      </c>
      <c r="AG1616" s="86" t="s">
        <v>2084</v>
      </c>
      <c r="AH1616" s="81" t="b">
        <v>0</v>
      </c>
      <c r="AI1616" s="81" t="s">
        <v>2168</v>
      </c>
      <c r="AJ1616" s="81"/>
      <c r="AK1616" s="86" t="s">
        <v>2084</v>
      </c>
      <c r="AL1616" s="81" t="b">
        <v>0</v>
      </c>
      <c r="AM1616" s="81">
        <v>0</v>
      </c>
      <c r="AN1616" s="86" t="s">
        <v>2084</v>
      </c>
      <c r="AO1616" s="86" t="s">
        <v>2181</v>
      </c>
      <c r="AP1616" s="81" t="b">
        <v>0</v>
      </c>
      <c r="AQ1616" s="86" t="s">
        <v>7391</v>
      </c>
      <c r="AR1616" s="81" t="s">
        <v>179</v>
      </c>
      <c r="AS1616" s="81">
        <v>0</v>
      </c>
      <c r="AT1616" s="81">
        <v>0</v>
      </c>
      <c r="AU1616" s="81"/>
      <c r="AV1616" s="81"/>
      <c r="AW1616" s="81"/>
      <c r="AX1616" s="81"/>
      <c r="AY1616" s="81"/>
      <c r="AZ1616" s="81"/>
      <c r="BA1616" s="81"/>
      <c r="BB1616" s="81"/>
    </row>
    <row r="1617" spans="1:54" x14ac:dyDescent="0.35">
      <c r="A1617" s="66" t="s">
        <v>565</v>
      </c>
      <c r="B1617" s="66" t="s">
        <v>596</v>
      </c>
      <c r="C1617" s="67"/>
      <c r="D1617" s="68"/>
      <c r="E1617" s="69"/>
      <c r="F1617" s="70"/>
      <c r="G1617" s="67"/>
      <c r="H1617" s="71"/>
      <c r="I1617" s="72"/>
      <c r="J1617" s="72"/>
      <c r="K1617" s="36"/>
      <c r="L1617" s="79"/>
      <c r="M1617" s="79"/>
      <c r="N1617" s="74"/>
      <c r="O1617" s="81" t="s">
        <v>693</v>
      </c>
      <c r="P1617" s="83">
        <v>44466.614317129628</v>
      </c>
      <c r="Q1617" s="81" t="s">
        <v>701</v>
      </c>
      <c r="R1617" s="84" t="str">
        <f>HYPERLINK("https://api.whatsapp.com/send?phone=6281222353823")</f>
        <v>https://api.whatsapp.com/send?phone=6281222353823</v>
      </c>
      <c r="S1617" s="81" t="s">
        <v>940</v>
      </c>
      <c r="T1617" s="81"/>
      <c r="U1617" s="84" t="str">
        <f>HYPERLINK("https://pbs.twimg.com/media/E_P_XMQWYAUXeaR.jpg")</f>
        <v>https://pbs.twimg.com/media/E_P_XMQWYAUXeaR.jpg</v>
      </c>
      <c r="V1617" s="84" t="str">
        <f>HYPERLINK("https://pbs.twimg.com/media/E_P_XMQWYAUXeaR.jpg")</f>
        <v>https://pbs.twimg.com/media/E_P_XMQWYAUXeaR.jpg</v>
      </c>
      <c r="W1617" s="83">
        <v>44466.614317129628</v>
      </c>
      <c r="X1617" s="89">
        <v>44466</v>
      </c>
      <c r="Y1617" s="86" t="s">
        <v>1450</v>
      </c>
      <c r="Z1617" s="84" t="str">
        <f>HYPERLINK("https://twitter.com/luluiii/status/1442500429036732417")</f>
        <v>https://twitter.com/luluiii/status/1442500429036732417</v>
      </c>
      <c r="AA1617" s="81"/>
      <c r="AB1617" s="81"/>
      <c r="AC1617" s="86" t="s">
        <v>1946</v>
      </c>
      <c r="AD1617" s="81"/>
      <c r="AE1617" s="81" t="b">
        <v>0</v>
      </c>
      <c r="AF1617" s="81">
        <v>0</v>
      </c>
      <c r="AG1617" s="86" t="s">
        <v>2084</v>
      </c>
      <c r="AH1617" s="81" t="b">
        <v>0</v>
      </c>
      <c r="AI1617" s="81" t="s">
        <v>2167</v>
      </c>
      <c r="AJ1617" s="81"/>
      <c r="AK1617" s="86" t="s">
        <v>2084</v>
      </c>
      <c r="AL1617" s="81" t="b">
        <v>0</v>
      </c>
      <c r="AM1617" s="81">
        <v>51</v>
      </c>
      <c r="AN1617" s="86" t="s">
        <v>2005</v>
      </c>
      <c r="AO1617" s="86" t="s">
        <v>2178</v>
      </c>
      <c r="AP1617" s="81" t="b">
        <v>0</v>
      </c>
      <c r="AQ1617" s="86" t="s">
        <v>2005</v>
      </c>
      <c r="AR1617" s="81" t="s">
        <v>179</v>
      </c>
      <c r="AS1617" s="81">
        <v>0</v>
      </c>
      <c r="AT1617" s="81">
        <v>0</v>
      </c>
      <c r="AU1617" s="81"/>
      <c r="AV1617" s="81"/>
      <c r="AW1617" s="81"/>
      <c r="AX1617" s="81"/>
      <c r="AY1617" s="81"/>
      <c r="AZ1617" s="81"/>
      <c r="BA1617" s="81"/>
      <c r="BB1617" s="81"/>
    </row>
    <row r="1618" spans="1:54" x14ac:dyDescent="0.35">
      <c r="A1618" s="66" t="s">
        <v>4823</v>
      </c>
      <c r="B1618" s="66" t="s">
        <v>4824</v>
      </c>
      <c r="C1618" s="67"/>
      <c r="D1618" s="68"/>
      <c r="E1618" s="69"/>
      <c r="F1618" s="70"/>
      <c r="G1618" s="67"/>
      <c r="H1618" s="71"/>
      <c r="I1618" s="72"/>
      <c r="J1618" s="72"/>
      <c r="K1618" s="36"/>
      <c r="L1618" s="79"/>
      <c r="M1618" s="79"/>
      <c r="N1618" s="74"/>
      <c r="O1618" s="81" t="s">
        <v>695</v>
      </c>
      <c r="P1618" s="83">
        <v>44466.607395833336</v>
      </c>
      <c r="Q1618" s="81" t="s">
        <v>5565</v>
      </c>
      <c r="R1618" s="81"/>
      <c r="S1618" s="81"/>
      <c r="T1618" s="81"/>
      <c r="U1618" s="81"/>
      <c r="V1618" s="84" t="str">
        <f>HYPERLINK("https://pbs.twimg.com/profile_images/1418565167692931079/phnF52vk_normal.jpg")</f>
        <v>https://pbs.twimg.com/profile_images/1418565167692931079/phnF52vk_normal.jpg</v>
      </c>
      <c r="W1618" s="83">
        <v>44466.607395833336</v>
      </c>
      <c r="X1618" s="89">
        <v>44466</v>
      </c>
      <c r="Y1618" s="86" t="s">
        <v>6472</v>
      </c>
      <c r="Z1618" s="84" t="str">
        <f>HYPERLINK("https://twitter.com/kanata_pt/status/1442497921207857152")</f>
        <v>https://twitter.com/kanata_pt/status/1442497921207857152</v>
      </c>
      <c r="AA1618" s="81"/>
      <c r="AB1618" s="81"/>
      <c r="AC1618" s="86" t="s">
        <v>7392</v>
      </c>
      <c r="AD1618" s="86" t="s">
        <v>7734</v>
      </c>
      <c r="AE1618" s="81" t="b">
        <v>0</v>
      </c>
      <c r="AF1618" s="81">
        <v>2</v>
      </c>
      <c r="AG1618" s="86" t="s">
        <v>7910</v>
      </c>
      <c r="AH1618" s="81" t="b">
        <v>0</v>
      </c>
      <c r="AI1618" s="81" t="s">
        <v>2169</v>
      </c>
      <c r="AJ1618" s="81"/>
      <c r="AK1618" s="86" t="s">
        <v>2084</v>
      </c>
      <c r="AL1618" s="81" t="b">
        <v>0</v>
      </c>
      <c r="AM1618" s="81">
        <v>0</v>
      </c>
      <c r="AN1618" s="86" t="s">
        <v>2084</v>
      </c>
      <c r="AO1618" s="86" t="s">
        <v>2179</v>
      </c>
      <c r="AP1618" s="81" t="b">
        <v>0</v>
      </c>
      <c r="AQ1618" s="86" t="s">
        <v>7734</v>
      </c>
      <c r="AR1618" s="81" t="s">
        <v>179</v>
      </c>
      <c r="AS1618" s="81">
        <v>0</v>
      </c>
      <c r="AT1618" s="81">
        <v>0</v>
      </c>
      <c r="AU1618" s="81"/>
      <c r="AV1618" s="81"/>
      <c r="AW1618" s="81"/>
      <c r="AX1618" s="81"/>
      <c r="AY1618" s="81"/>
      <c r="AZ1618" s="81"/>
      <c r="BA1618" s="81"/>
      <c r="BB1618" s="81"/>
    </row>
    <row r="1619" spans="1:54" x14ac:dyDescent="0.35">
      <c r="A1619" s="66" t="s">
        <v>4824</v>
      </c>
      <c r="B1619" s="66" t="s">
        <v>4823</v>
      </c>
      <c r="C1619" s="67"/>
      <c r="D1619" s="68"/>
      <c r="E1619" s="69"/>
      <c r="F1619" s="70"/>
      <c r="G1619" s="67"/>
      <c r="H1619" s="71"/>
      <c r="I1619" s="72"/>
      <c r="J1619" s="72"/>
      <c r="K1619" s="36"/>
      <c r="L1619" s="79"/>
      <c r="M1619" s="79"/>
      <c r="N1619" s="74"/>
      <c r="O1619" s="81" t="s">
        <v>695</v>
      </c>
      <c r="P1619" s="83">
        <v>44466.615219907406</v>
      </c>
      <c r="Q1619" s="81" t="s">
        <v>5566</v>
      </c>
      <c r="R1619" s="81"/>
      <c r="S1619" s="81"/>
      <c r="T1619" s="81"/>
      <c r="U1619" s="81"/>
      <c r="V1619" s="84" t="str">
        <f>HYPERLINK("https://pbs.twimg.com/profile_images/1276929058245234688/65sEW69e_normal.jpg")</f>
        <v>https://pbs.twimg.com/profile_images/1276929058245234688/65sEW69e_normal.jpg</v>
      </c>
      <c r="W1619" s="83">
        <v>44466.615219907406</v>
      </c>
      <c r="X1619" s="89">
        <v>44466</v>
      </c>
      <c r="Y1619" s="86" t="s">
        <v>6473</v>
      </c>
      <c r="Z1619" s="84" t="str">
        <f>HYPERLINK("https://twitter.com/pos_reha/status/1442500756326666241")</f>
        <v>https://twitter.com/pos_reha/status/1442500756326666241</v>
      </c>
      <c r="AA1619" s="81"/>
      <c r="AB1619" s="81"/>
      <c r="AC1619" s="86" t="s">
        <v>7393</v>
      </c>
      <c r="AD1619" s="86" t="s">
        <v>7392</v>
      </c>
      <c r="AE1619" s="81" t="b">
        <v>0</v>
      </c>
      <c r="AF1619" s="81">
        <v>0</v>
      </c>
      <c r="AG1619" s="86" t="s">
        <v>7911</v>
      </c>
      <c r="AH1619" s="81" t="b">
        <v>0</v>
      </c>
      <c r="AI1619" s="81" t="s">
        <v>2169</v>
      </c>
      <c r="AJ1619" s="81"/>
      <c r="AK1619" s="86" t="s">
        <v>2084</v>
      </c>
      <c r="AL1619" s="81" t="b">
        <v>0</v>
      </c>
      <c r="AM1619" s="81">
        <v>0</v>
      </c>
      <c r="AN1619" s="86" t="s">
        <v>2084</v>
      </c>
      <c r="AO1619" s="86" t="s">
        <v>2179</v>
      </c>
      <c r="AP1619" s="81" t="b">
        <v>0</v>
      </c>
      <c r="AQ1619" s="86" t="s">
        <v>7392</v>
      </c>
      <c r="AR1619" s="81" t="s">
        <v>179</v>
      </c>
      <c r="AS1619" s="81">
        <v>0</v>
      </c>
      <c r="AT1619" s="81">
        <v>0</v>
      </c>
      <c r="AU1619" s="81"/>
      <c r="AV1619" s="81"/>
      <c r="AW1619" s="81"/>
      <c r="AX1619" s="81"/>
      <c r="AY1619" s="81"/>
      <c r="AZ1619" s="81"/>
      <c r="BA1619" s="81"/>
      <c r="BB1619" s="81"/>
    </row>
    <row r="1620" spans="1:54" x14ac:dyDescent="0.35">
      <c r="A1620" s="66" t="s">
        <v>4825</v>
      </c>
      <c r="B1620" s="66" t="s">
        <v>4944</v>
      </c>
      <c r="C1620" s="67"/>
      <c r="D1620" s="68"/>
      <c r="E1620" s="69"/>
      <c r="F1620" s="70"/>
      <c r="G1620" s="67"/>
      <c r="H1620" s="71"/>
      <c r="I1620" s="72"/>
      <c r="J1620" s="72"/>
      <c r="K1620" s="36"/>
      <c r="L1620" s="79"/>
      <c r="M1620" s="79"/>
      <c r="N1620" s="74"/>
      <c r="O1620" s="81" t="s">
        <v>693</v>
      </c>
      <c r="P1620" s="83">
        <v>44466.617812500001</v>
      </c>
      <c r="Q1620" s="81" t="s">
        <v>5505</v>
      </c>
      <c r="R1620" s="81"/>
      <c r="S1620" s="81"/>
      <c r="T1620" s="81"/>
      <c r="U1620" s="81"/>
      <c r="V1620" s="84" t="str">
        <f>HYPERLINK("https://pbs.twimg.com/profile_images/1441935431201865728/BJdagQVy_normal.jpg")</f>
        <v>https://pbs.twimg.com/profile_images/1441935431201865728/BJdagQVy_normal.jpg</v>
      </c>
      <c r="W1620" s="83">
        <v>44466.617812500001</v>
      </c>
      <c r="X1620" s="89">
        <v>44466</v>
      </c>
      <c r="Y1620" s="86" t="s">
        <v>6474</v>
      </c>
      <c r="Z1620" s="84" t="str">
        <f>HYPERLINK("https://twitter.com/youarecoringa/status/1442501698455433221")</f>
        <v>https://twitter.com/youarecoringa/status/1442501698455433221</v>
      </c>
      <c r="AA1620" s="81"/>
      <c r="AB1620" s="81"/>
      <c r="AC1620" s="86" t="s">
        <v>7394</v>
      </c>
      <c r="AD1620" s="81"/>
      <c r="AE1620" s="81" t="b">
        <v>0</v>
      </c>
      <c r="AF1620" s="81">
        <v>0</v>
      </c>
      <c r="AG1620" s="86" t="s">
        <v>2084</v>
      </c>
      <c r="AH1620" s="81" t="b">
        <v>0</v>
      </c>
      <c r="AI1620" s="81" t="s">
        <v>2171</v>
      </c>
      <c r="AJ1620" s="81"/>
      <c r="AK1620" s="86" t="s">
        <v>2084</v>
      </c>
      <c r="AL1620" s="81" t="b">
        <v>0</v>
      </c>
      <c r="AM1620" s="81">
        <v>255</v>
      </c>
      <c r="AN1620" s="86" t="s">
        <v>7543</v>
      </c>
      <c r="AO1620" s="86" t="s">
        <v>2178</v>
      </c>
      <c r="AP1620" s="81" t="b">
        <v>0</v>
      </c>
      <c r="AQ1620" s="86" t="s">
        <v>7543</v>
      </c>
      <c r="AR1620" s="81" t="s">
        <v>179</v>
      </c>
      <c r="AS1620" s="81">
        <v>0</v>
      </c>
      <c r="AT1620" s="81">
        <v>0</v>
      </c>
      <c r="AU1620" s="81"/>
      <c r="AV1620" s="81"/>
      <c r="AW1620" s="81"/>
      <c r="AX1620" s="81"/>
      <c r="AY1620" s="81"/>
      <c r="AZ1620" s="81"/>
      <c r="BA1620" s="81"/>
      <c r="BB1620" s="81"/>
    </row>
    <row r="1621" spans="1:54" x14ac:dyDescent="0.35">
      <c r="A1621" s="66" t="s">
        <v>4826</v>
      </c>
      <c r="B1621" s="66" t="s">
        <v>4797</v>
      </c>
      <c r="C1621" s="67"/>
      <c r="D1621" s="68"/>
      <c r="E1621" s="69"/>
      <c r="F1621" s="70"/>
      <c r="G1621" s="67"/>
      <c r="H1621" s="71"/>
      <c r="I1621" s="72"/>
      <c r="J1621" s="72"/>
      <c r="K1621" s="36"/>
      <c r="L1621" s="79"/>
      <c r="M1621" s="79"/>
      <c r="N1621" s="74"/>
      <c r="O1621" s="81" t="s">
        <v>693</v>
      </c>
      <c r="P1621" s="83">
        <v>44466.61791666667</v>
      </c>
      <c r="Q1621" s="84" t="str">
        <f>HYPERLINK("https://t.co/t5CziaW0dH")</f>
        <v>https://t.co/t5CziaW0dH</v>
      </c>
      <c r="R162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621" s="81" t="s">
        <v>5686</v>
      </c>
      <c r="T1621" s="81"/>
      <c r="U1621" s="81"/>
      <c r="V1621" s="84" t="str">
        <f>HYPERLINK("https://pbs.twimg.com/profile_images/1435551136942071808/NfsJv-DW_normal.jpg")</f>
        <v>https://pbs.twimg.com/profile_images/1435551136942071808/NfsJv-DW_normal.jpg</v>
      </c>
      <c r="W1621" s="83">
        <v>44466.61791666667</v>
      </c>
      <c r="X1621" s="89">
        <v>44466</v>
      </c>
      <c r="Y1621" s="86" t="s">
        <v>6476</v>
      </c>
      <c r="Z1621" s="84" t="str">
        <f>HYPERLINK("https://twitter.com/cludiosantosne2/status/1442501735264649216")</f>
        <v>https://twitter.com/cludiosantosne2/status/1442501735264649216</v>
      </c>
      <c r="AA1621" s="81"/>
      <c r="AB1621" s="81"/>
      <c r="AC1621" s="86" t="s">
        <v>7396</v>
      </c>
      <c r="AD1621" s="81"/>
      <c r="AE1621" s="81" t="b">
        <v>0</v>
      </c>
      <c r="AF1621" s="81">
        <v>0</v>
      </c>
      <c r="AG1621" s="86" t="s">
        <v>2084</v>
      </c>
      <c r="AH1621" s="81" t="b">
        <v>0</v>
      </c>
      <c r="AI1621" s="81" t="s">
        <v>2173</v>
      </c>
      <c r="AJ1621" s="81"/>
      <c r="AK1621" s="86" t="s">
        <v>2084</v>
      </c>
      <c r="AL1621" s="81" t="b">
        <v>0</v>
      </c>
      <c r="AM1621" s="81">
        <v>50</v>
      </c>
      <c r="AN1621" s="86" t="s">
        <v>7395</v>
      </c>
      <c r="AO1621" s="86" t="s">
        <v>2178</v>
      </c>
      <c r="AP1621" s="81" t="b">
        <v>0</v>
      </c>
      <c r="AQ1621" s="86" t="s">
        <v>7395</v>
      </c>
      <c r="AR1621" s="81" t="s">
        <v>179</v>
      </c>
      <c r="AS1621" s="81">
        <v>0</v>
      </c>
      <c r="AT1621" s="81">
        <v>0</v>
      </c>
      <c r="AU1621" s="81"/>
      <c r="AV1621" s="81"/>
      <c r="AW1621" s="81"/>
      <c r="AX1621" s="81"/>
      <c r="AY1621" s="81"/>
      <c r="AZ1621" s="81"/>
      <c r="BA1621" s="81"/>
      <c r="BB1621" s="81"/>
    </row>
    <row r="1622" spans="1:54" x14ac:dyDescent="0.35">
      <c r="A1622" s="66" t="s">
        <v>4827</v>
      </c>
      <c r="B1622" s="66" t="s">
        <v>4944</v>
      </c>
      <c r="C1622" s="67"/>
      <c r="D1622" s="68"/>
      <c r="E1622" s="69"/>
      <c r="F1622" s="70"/>
      <c r="G1622" s="67"/>
      <c r="H1622" s="71"/>
      <c r="I1622" s="72"/>
      <c r="J1622" s="72"/>
      <c r="K1622" s="36"/>
      <c r="L1622" s="79"/>
      <c r="M1622" s="79"/>
      <c r="N1622" s="74"/>
      <c r="O1622" s="81" t="s">
        <v>693</v>
      </c>
      <c r="P1622" s="83">
        <v>44466.627858796295</v>
      </c>
      <c r="Q1622" s="81" t="s">
        <v>5505</v>
      </c>
      <c r="R1622" s="81"/>
      <c r="S1622" s="81"/>
      <c r="T1622" s="81"/>
      <c r="U1622" s="81"/>
      <c r="V1622" s="84" t="str">
        <f>HYPERLINK("https://pbs.twimg.com/profile_images/2037470058/Foto0182_normal.jpg")</f>
        <v>https://pbs.twimg.com/profile_images/2037470058/Foto0182_normal.jpg</v>
      </c>
      <c r="W1622" s="83">
        <v>44466.627858796295</v>
      </c>
      <c r="X1622" s="89">
        <v>44466</v>
      </c>
      <c r="Y1622" s="86" t="s">
        <v>6477</v>
      </c>
      <c r="Z1622" s="84" t="str">
        <f>HYPERLINK("https://twitter.com/andreburiti/status/1442505335990898690")</f>
        <v>https://twitter.com/andreburiti/status/1442505335990898690</v>
      </c>
      <c r="AA1622" s="81"/>
      <c r="AB1622" s="81"/>
      <c r="AC1622" s="86" t="s">
        <v>7397</v>
      </c>
      <c r="AD1622" s="81"/>
      <c r="AE1622" s="81" t="b">
        <v>0</v>
      </c>
      <c r="AF1622" s="81">
        <v>0</v>
      </c>
      <c r="AG1622" s="86" t="s">
        <v>2084</v>
      </c>
      <c r="AH1622" s="81" t="b">
        <v>0</v>
      </c>
      <c r="AI1622" s="81" t="s">
        <v>2171</v>
      </c>
      <c r="AJ1622" s="81"/>
      <c r="AK1622" s="86" t="s">
        <v>2084</v>
      </c>
      <c r="AL1622" s="81" t="b">
        <v>0</v>
      </c>
      <c r="AM1622" s="81">
        <v>255</v>
      </c>
      <c r="AN1622" s="86" t="s">
        <v>7543</v>
      </c>
      <c r="AO1622" s="86" t="s">
        <v>2181</v>
      </c>
      <c r="AP1622" s="81" t="b">
        <v>0</v>
      </c>
      <c r="AQ1622" s="86" t="s">
        <v>7543</v>
      </c>
      <c r="AR1622" s="81" t="s">
        <v>179</v>
      </c>
      <c r="AS1622" s="81">
        <v>0</v>
      </c>
      <c r="AT1622" s="81">
        <v>0</v>
      </c>
      <c r="AU1622" s="81"/>
      <c r="AV1622" s="81"/>
      <c r="AW1622" s="81"/>
      <c r="AX1622" s="81"/>
      <c r="AY1622" s="81"/>
      <c r="AZ1622" s="81"/>
      <c r="BA1622" s="81"/>
      <c r="BB1622" s="81"/>
    </row>
    <row r="1623" spans="1:54" x14ac:dyDescent="0.35">
      <c r="A1623" s="66" t="s">
        <v>566</v>
      </c>
      <c r="B1623" s="66" t="s">
        <v>571</v>
      </c>
      <c r="C1623" s="67"/>
      <c r="D1623" s="68"/>
      <c r="E1623" s="69"/>
      <c r="F1623" s="70"/>
      <c r="G1623" s="67"/>
      <c r="H1623" s="71"/>
      <c r="I1623" s="72"/>
      <c r="J1623" s="72"/>
      <c r="K1623" s="36"/>
      <c r="L1623" s="79"/>
      <c r="M1623" s="79"/>
      <c r="N1623" s="74"/>
      <c r="O1623" s="81" t="s">
        <v>693</v>
      </c>
      <c r="P1623" s="83">
        <v>44466.630960648145</v>
      </c>
      <c r="Q1623" s="81" t="s">
        <v>891</v>
      </c>
      <c r="R1623" s="81"/>
      <c r="S1623" s="81"/>
      <c r="T1623" s="81"/>
      <c r="U1623" s="84" t="str">
        <f>HYPERLINK("https://pbs.twimg.com/media/FATP2YPUcAUBhx-.jpg")</f>
        <v>https://pbs.twimg.com/media/FATP2YPUcAUBhx-.jpg</v>
      </c>
      <c r="V1623" s="84" t="str">
        <f>HYPERLINK("https://pbs.twimg.com/media/FATP2YPUcAUBhx-.jpg")</f>
        <v>https://pbs.twimg.com/media/FATP2YPUcAUBhx-.jpg</v>
      </c>
      <c r="W1623" s="83">
        <v>44466.630960648145</v>
      </c>
      <c r="X1623" s="89">
        <v>44466</v>
      </c>
      <c r="Y1623" s="86" t="s">
        <v>1451</v>
      </c>
      <c r="Z1623" s="84" t="str">
        <f>HYPERLINK("https://twitter.com/hahakimiiiiii/status/1442506462891106306")</f>
        <v>https://twitter.com/hahakimiiiiii/status/1442506462891106306</v>
      </c>
      <c r="AA1623" s="81"/>
      <c r="AB1623" s="81"/>
      <c r="AC1623" s="86" t="s">
        <v>1947</v>
      </c>
      <c r="AD1623" s="81"/>
      <c r="AE1623" s="81" t="b">
        <v>0</v>
      </c>
      <c r="AF1623" s="81">
        <v>0</v>
      </c>
      <c r="AG1623" s="86" t="s">
        <v>2084</v>
      </c>
      <c r="AH1623" s="81" t="b">
        <v>0</v>
      </c>
      <c r="AI1623" s="81" t="s">
        <v>2167</v>
      </c>
      <c r="AJ1623" s="81"/>
      <c r="AK1623" s="86" t="s">
        <v>2084</v>
      </c>
      <c r="AL1623" s="81" t="b">
        <v>0</v>
      </c>
      <c r="AM1623" s="81">
        <v>4</v>
      </c>
      <c r="AN1623" s="86" t="s">
        <v>1953</v>
      </c>
      <c r="AO1623" s="86" t="s">
        <v>2179</v>
      </c>
      <c r="AP1623" s="81" t="b">
        <v>0</v>
      </c>
      <c r="AQ1623" s="86" t="s">
        <v>1953</v>
      </c>
      <c r="AR1623" s="81" t="s">
        <v>179</v>
      </c>
      <c r="AS1623" s="81">
        <v>0</v>
      </c>
      <c r="AT1623" s="81">
        <v>0</v>
      </c>
      <c r="AU1623" s="81"/>
      <c r="AV1623" s="81"/>
      <c r="AW1623" s="81"/>
      <c r="AX1623" s="81"/>
      <c r="AY1623" s="81"/>
      <c r="AZ1623" s="81"/>
      <c r="BA1623" s="81"/>
      <c r="BB1623" s="81"/>
    </row>
    <row r="1624" spans="1:54" x14ac:dyDescent="0.35">
      <c r="A1624" s="66" t="s">
        <v>12501</v>
      </c>
      <c r="B1624" s="66" t="s">
        <v>12501</v>
      </c>
      <c r="C1624" s="67"/>
      <c r="D1624" s="68"/>
      <c r="E1624" s="69"/>
      <c r="F1624" s="70"/>
      <c r="G1624" s="67"/>
      <c r="H1624" s="71"/>
      <c r="I1624" s="72"/>
      <c r="J1624" s="72"/>
      <c r="K1624" s="36"/>
      <c r="L1624" s="79"/>
      <c r="M1624" s="79"/>
      <c r="N1624" s="74"/>
      <c r="O1624" s="81" t="s">
        <v>179</v>
      </c>
      <c r="P1624" s="83">
        <v>44466.636620370373</v>
      </c>
      <c r="Q1624" s="81" t="s">
        <v>892</v>
      </c>
      <c r="R1624" s="81"/>
      <c r="S1624" s="81"/>
      <c r="T1624" s="81"/>
      <c r="U1624" s="81"/>
      <c r="V1624" s="84" t="str">
        <f>HYPERLINK("https://pbs.twimg.com/profile_images/1443403638525739010/jbZx1GP1_normal.jpg")</f>
        <v>https://pbs.twimg.com/profile_images/1443403638525739010/jbZx1GP1_normal.jpg</v>
      </c>
      <c r="W1624" s="83">
        <v>44466.636620370373</v>
      </c>
      <c r="X1624" s="89">
        <v>44466</v>
      </c>
      <c r="Y1624" s="86" t="s">
        <v>1452</v>
      </c>
      <c r="Z1624" s="84" t="str">
        <f>HYPERLINK("https://twitter.com/saawadikap/status/1442508514031636500")</f>
        <v>https://twitter.com/saawadikap/status/1442508514031636500</v>
      </c>
      <c r="AA1624" s="81"/>
      <c r="AB1624" s="81"/>
      <c r="AC1624" s="86" t="s">
        <v>1948</v>
      </c>
      <c r="AD1624" s="81"/>
      <c r="AE1624" s="81" t="b">
        <v>0</v>
      </c>
      <c r="AF1624" s="81">
        <v>2</v>
      </c>
      <c r="AG1624" s="86" t="s">
        <v>2084</v>
      </c>
      <c r="AH1624" s="81" t="b">
        <v>0</v>
      </c>
      <c r="AI1624" s="81" t="s">
        <v>2167</v>
      </c>
      <c r="AJ1624" s="81"/>
      <c r="AK1624" s="86" t="s">
        <v>2084</v>
      </c>
      <c r="AL1624" s="81" t="b">
        <v>0</v>
      </c>
      <c r="AM1624" s="81">
        <v>0</v>
      </c>
      <c r="AN1624" s="86" t="s">
        <v>2084</v>
      </c>
      <c r="AO1624" s="86" t="s">
        <v>2178</v>
      </c>
      <c r="AP1624" s="81" t="b">
        <v>0</v>
      </c>
      <c r="AQ1624" s="86" t="s">
        <v>1948</v>
      </c>
      <c r="AR1624" s="81" t="s">
        <v>179</v>
      </c>
      <c r="AS1624" s="81">
        <v>0</v>
      </c>
      <c r="AT1624" s="81">
        <v>0</v>
      </c>
      <c r="AU1624" s="81"/>
      <c r="AV1624" s="81"/>
      <c r="AW1624" s="81"/>
      <c r="AX1624" s="81"/>
      <c r="AY1624" s="81"/>
      <c r="AZ1624" s="81"/>
      <c r="BA1624" s="81"/>
      <c r="BB1624" s="81"/>
    </row>
    <row r="1625" spans="1:54" x14ac:dyDescent="0.35">
      <c r="A1625" s="66" t="s">
        <v>4828</v>
      </c>
      <c r="B1625" s="66" t="s">
        <v>4829</v>
      </c>
      <c r="C1625" s="67"/>
      <c r="D1625" s="68"/>
      <c r="E1625" s="69"/>
      <c r="F1625" s="70"/>
      <c r="G1625" s="67"/>
      <c r="H1625" s="71"/>
      <c r="I1625" s="72"/>
      <c r="J1625" s="72"/>
      <c r="K1625" s="36"/>
      <c r="L1625" s="79"/>
      <c r="M1625" s="79"/>
      <c r="N1625" s="74"/>
      <c r="O1625" s="81" t="s">
        <v>693</v>
      </c>
      <c r="P1625" s="83">
        <v>44466.636770833335</v>
      </c>
      <c r="Q1625" s="81" t="s">
        <v>5532</v>
      </c>
      <c r="R1625" s="84" t="str">
        <f>HYPERLINK("https://www.gov.br/anvisa/pt-br/assuntos/noticias-anvisa/2021/anvisa-alerta-sobre-risco-de-miocardite-e-pericardite-pos-vacinacao")</f>
        <v>https://www.gov.br/anvisa/pt-br/assuntos/noticias-anvisa/2021/anvisa-alerta-sobre-risco-de-miocardite-e-pericardite-pos-vacinacao</v>
      </c>
      <c r="S1625" s="81" t="s">
        <v>5686</v>
      </c>
      <c r="T1625" s="81"/>
      <c r="U1625" s="81"/>
      <c r="V1625" s="84" t="str">
        <f>HYPERLINK("https://pbs.twimg.com/profile_images/1101149297607884800/_NjnR-Iz_normal.jpg")</f>
        <v>https://pbs.twimg.com/profile_images/1101149297607884800/_NjnR-Iz_normal.jpg</v>
      </c>
      <c r="W1625" s="83">
        <v>44466.636770833335</v>
      </c>
      <c r="X1625" s="89">
        <v>44466</v>
      </c>
      <c r="Y1625" s="86" t="s">
        <v>6478</v>
      </c>
      <c r="Z1625" s="84" t="str">
        <f>HYPERLINK("https://twitter.com/adanjonas2/status/1442508564896129026")</f>
        <v>https://twitter.com/adanjonas2/status/1442508564896129026</v>
      </c>
      <c r="AA1625" s="81"/>
      <c r="AB1625" s="81"/>
      <c r="AC1625" s="86" t="s">
        <v>7398</v>
      </c>
      <c r="AD1625" s="81"/>
      <c r="AE1625" s="81" t="b">
        <v>0</v>
      </c>
      <c r="AF1625" s="81">
        <v>0</v>
      </c>
      <c r="AG1625" s="86" t="s">
        <v>2084</v>
      </c>
      <c r="AH1625" s="81" t="b">
        <v>0</v>
      </c>
      <c r="AI1625" s="81" t="s">
        <v>2171</v>
      </c>
      <c r="AJ1625" s="81"/>
      <c r="AK1625" s="86" t="s">
        <v>2084</v>
      </c>
      <c r="AL1625" s="81" t="b">
        <v>0</v>
      </c>
      <c r="AM1625" s="81">
        <v>15</v>
      </c>
      <c r="AN1625" s="86" t="s">
        <v>7399</v>
      </c>
      <c r="AO1625" s="86" t="s">
        <v>2178</v>
      </c>
      <c r="AP1625" s="81" t="b">
        <v>0</v>
      </c>
      <c r="AQ1625" s="86" t="s">
        <v>7399</v>
      </c>
      <c r="AR1625" s="81" t="s">
        <v>179</v>
      </c>
      <c r="AS1625" s="81">
        <v>0</v>
      </c>
      <c r="AT1625" s="81">
        <v>0</v>
      </c>
      <c r="AU1625" s="81"/>
      <c r="AV1625" s="81"/>
      <c r="AW1625" s="81"/>
      <c r="AX1625" s="81"/>
      <c r="AY1625" s="81"/>
      <c r="AZ1625" s="81"/>
      <c r="BA1625" s="81"/>
      <c r="BB1625" s="81"/>
    </row>
    <row r="1626" spans="1:54" x14ac:dyDescent="0.35">
      <c r="A1626" s="66" t="s">
        <v>4829</v>
      </c>
      <c r="B1626" s="66" t="s">
        <v>4829</v>
      </c>
      <c r="C1626" s="67"/>
      <c r="D1626" s="68"/>
      <c r="E1626" s="69"/>
      <c r="F1626" s="70"/>
      <c r="G1626" s="67"/>
      <c r="H1626" s="71"/>
      <c r="I1626" s="72"/>
      <c r="J1626" s="72"/>
      <c r="K1626" s="36"/>
      <c r="L1626" s="79"/>
      <c r="M1626" s="79"/>
      <c r="N1626" s="74"/>
      <c r="O1626" s="81" t="s">
        <v>179</v>
      </c>
      <c r="P1626" s="83">
        <v>44466.072962962964</v>
      </c>
      <c r="Q1626" s="81" t="s">
        <v>5532</v>
      </c>
      <c r="R1626" s="84" t="str">
        <f>HYPERLINK("https://www.gov.br/anvisa/pt-br/assuntos/noticias-anvisa/2021/anvisa-alerta-sobre-risco-de-miocardite-e-pericardite-pos-vacinacao")</f>
        <v>https://www.gov.br/anvisa/pt-br/assuntos/noticias-anvisa/2021/anvisa-alerta-sobre-risco-de-miocardite-e-pericardite-pos-vacinacao</v>
      </c>
      <c r="S1626" s="81" t="s">
        <v>5686</v>
      </c>
      <c r="T1626" s="81"/>
      <c r="U1626" s="81"/>
      <c r="V1626" s="84" t="str">
        <f>HYPERLINK("https://pbs.twimg.com/profile_images/1426869750009901057/6iIVkjuU_normal.jpg")</f>
        <v>https://pbs.twimg.com/profile_images/1426869750009901057/6iIVkjuU_normal.jpg</v>
      </c>
      <c r="W1626" s="83">
        <v>44466.072962962964</v>
      </c>
      <c r="X1626" s="89">
        <v>44466</v>
      </c>
      <c r="Y1626" s="86" t="s">
        <v>6479</v>
      </c>
      <c r="Z1626" s="84" t="str">
        <f>HYPERLINK("https://twitter.com/wallace11268754/status/1442304250839769089")</f>
        <v>https://twitter.com/wallace11268754/status/1442304250839769089</v>
      </c>
      <c r="AA1626" s="81"/>
      <c r="AB1626" s="81"/>
      <c r="AC1626" s="86" t="s">
        <v>7399</v>
      </c>
      <c r="AD1626" s="81"/>
      <c r="AE1626" s="81" t="b">
        <v>0</v>
      </c>
      <c r="AF1626" s="81">
        <v>29</v>
      </c>
      <c r="AG1626" s="86" t="s">
        <v>2084</v>
      </c>
      <c r="AH1626" s="81" t="b">
        <v>0</v>
      </c>
      <c r="AI1626" s="81" t="s">
        <v>2171</v>
      </c>
      <c r="AJ1626" s="81"/>
      <c r="AK1626" s="86" t="s">
        <v>2084</v>
      </c>
      <c r="AL1626" s="81" t="b">
        <v>0</v>
      </c>
      <c r="AM1626" s="81">
        <v>15</v>
      </c>
      <c r="AN1626" s="86" t="s">
        <v>2084</v>
      </c>
      <c r="AO1626" s="86" t="s">
        <v>2179</v>
      </c>
      <c r="AP1626" s="81" t="b">
        <v>0</v>
      </c>
      <c r="AQ1626" s="86" t="s">
        <v>7399</v>
      </c>
      <c r="AR1626" s="81" t="s">
        <v>179</v>
      </c>
      <c r="AS1626" s="81">
        <v>0</v>
      </c>
      <c r="AT1626" s="81">
        <v>0</v>
      </c>
      <c r="AU1626" s="81"/>
      <c r="AV1626" s="81"/>
      <c r="AW1626" s="81"/>
      <c r="AX1626" s="81"/>
      <c r="AY1626" s="81"/>
      <c r="AZ1626" s="81"/>
      <c r="BA1626" s="81"/>
      <c r="BB1626" s="81"/>
    </row>
    <row r="1627" spans="1:54" x14ac:dyDescent="0.35">
      <c r="A1627" s="66" t="s">
        <v>4830</v>
      </c>
      <c r="B1627" s="66" t="s">
        <v>4829</v>
      </c>
      <c r="C1627" s="67"/>
      <c r="D1627" s="68"/>
      <c r="E1627" s="69"/>
      <c r="F1627" s="70"/>
      <c r="G1627" s="67"/>
      <c r="H1627" s="71"/>
      <c r="I1627" s="72"/>
      <c r="J1627" s="72"/>
      <c r="K1627" s="36"/>
      <c r="L1627" s="79"/>
      <c r="M1627" s="79"/>
      <c r="N1627" s="74"/>
      <c r="O1627" s="81" t="s">
        <v>693</v>
      </c>
      <c r="P1627" s="83">
        <v>44466.647905092592</v>
      </c>
      <c r="Q1627" s="81" t="s">
        <v>5532</v>
      </c>
      <c r="R1627" s="84" t="str">
        <f>HYPERLINK("https://www.gov.br/anvisa/pt-br/assuntos/noticias-anvisa/2021/anvisa-alerta-sobre-risco-de-miocardite-e-pericardite-pos-vacinacao")</f>
        <v>https://www.gov.br/anvisa/pt-br/assuntos/noticias-anvisa/2021/anvisa-alerta-sobre-risco-de-miocardite-e-pericardite-pos-vacinacao</v>
      </c>
      <c r="S1627" s="81" t="s">
        <v>5686</v>
      </c>
      <c r="T1627" s="81"/>
      <c r="U1627" s="81"/>
      <c r="V1627" s="84" t="str">
        <f>HYPERLINK("https://abs.twimg.com/sticky/default_profile_images/default_profile_normal.png")</f>
        <v>https://abs.twimg.com/sticky/default_profile_images/default_profile_normal.png</v>
      </c>
      <c r="W1627" s="83">
        <v>44466.647905092592</v>
      </c>
      <c r="X1627" s="89">
        <v>44466</v>
      </c>
      <c r="Y1627" s="86" t="s">
        <v>6480</v>
      </c>
      <c r="Z1627" s="84" t="str">
        <f>HYPERLINK("https://twitter.com/carlosa76979782/status/1442512600726704128")</f>
        <v>https://twitter.com/carlosa76979782/status/1442512600726704128</v>
      </c>
      <c r="AA1627" s="81"/>
      <c r="AB1627" s="81"/>
      <c r="AC1627" s="86" t="s">
        <v>7400</v>
      </c>
      <c r="AD1627" s="81"/>
      <c r="AE1627" s="81" t="b">
        <v>0</v>
      </c>
      <c r="AF1627" s="81">
        <v>0</v>
      </c>
      <c r="AG1627" s="86" t="s">
        <v>2084</v>
      </c>
      <c r="AH1627" s="81" t="b">
        <v>0</v>
      </c>
      <c r="AI1627" s="81" t="s">
        <v>2171</v>
      </c>
      <c r="AJ1627" s="81"/>
      <c r="AK1627" s="86" t="s">
        <v>2084</v>
      </c>
      <c r="AL1627" s="81" t="b">
        <v>0</v>
      </c>
      <c r="AM1627" s="81">
        <v>15</v>
      </c>
      <c r="AN1627" s="86" t="s">
        <v>7399</v>
      </c>
      <c r="AO1627" s="86" t="s">
        <v>2181</v>
      </c>
      <c r="AP1627" s="81" t="b">
        <v>0</v>
      </c>
      <c r="AQ1627" s="86" t="s">
        <v>7399</v>
      </c>
      <c r="AR1627" s="81" t="s">
        <v>179</v>
      </c>
      <c r="AS1627" s="81">
        <v>0</v>
      </c>
      <c r="AT1627" s="81">
        <v>0</v>
      </c>
      <c r="AU1627" s="81"/>
      <c r="AV1627" s="81"/>
      <c r="AW1627" s="81"/>
      <c r="AX1627" s="81"/>
      <c r="AY1627" s="81"/>
      <c r="AZ1627" s="81"/>
      <c r="BA1627" s="81"/>
      <c r="BB1627" s="81"/>
    </row>
    <row r="1628" spans="1:54" x14ac:dyDescent="0.35">
      <c r="A1628" s="66" t="s">
        <v>567</v>
      </c>
      <c r="B1628" s="66" t="s">
        <v>571</v>
      </c>
      <c r="C1628" s="67"/>
      <c r="D1628" s="68"/>
      <c r="E1628" s="69"/>
      <c r="F1628" s="70"/>
      <c r="G1628" s="67"/>
      <c r="H1628" s="71"/>
      <c r="I1628" s="72"/>
      <c r="J1628" s="72"/>
      <c r="K1628" s="36"/>
      <c r="L1628" s="79"/>
      <c r="M1628" s="79"/>
      <c r="N1628" s="74"/>
      <c r="O1628" s="81" t="s">
        <v>693</v>
      </c>
      <c r="P1628" s="83">
        <v>44466.650219907409</v>
      </c>
      <c r="Q1628" s="81" t="s">
        <v>891</v>
      </c>
      <c r="R1628" s="81"/>
      <c r="S1628" s="81"/>
      <c r="T1628" s="81"/>
      <c r="U1628" s="84" t="str">
        <f>HYPERLINK("https://pbs.twimg.com/media/FATP2YPUcAUBhx-.jpg")</f>
        <v>https://pbs.twimg.com/media/FATP2YPUcAUBhx-.jpg</v>
      </c>
      <c r="V1628" s="84" t="str">
        <f>HYPERLINK("https://pbs.twimg.com/media/FATP2YPUcAUBhx-.jpg")</f>
        <v>https://pbs.twimg.com/media/FATP2YPUcAUBhx-.jpg</v>
      </c>
      <c r="W1628" s="83">
        <v>44466.650219907409</v>
      </c>
      <c r="X1628" s="89">
        <v>44466</v>
      </c>
      <c r="Y1628" s="86" t="s">
        <v>1453</v>
      </c>
      <c r="Z1628" s="84" t="str">
        <f>HYPERLINK("https://twitter.com/adarndresser/status/1442513439860035584")</f>
        <v>https://twitter.com/adarndresser/status/1442513439860035584</v>
      </c>
      <c r="AA1628" s="81"/>
      <c r="AB1628" s="81"/>
      <c r="AC1628" s="86" t="s">
        <v>1949</v>
      </c>
      <c r="AD1628" s="81"/>
      <c r="AE1628" s="81" t="b">
        <v>0</v>
      </c>
      <c r="AF1628" s="81">
        <v>0</v>
      </c>
      <c r="AG1628" s="86" t="s">
        <v>2084</v>
      </c>
      <c r="AH1628" s="81" t="b">
        <v>0</v>
      </c>
      <c r="AI1628" s="81" t="s">
        <v>2167</v>
      </c>
      <c r="AJ1628" s="81"/>
      <c r="AK1628" s="86" t="s">
        <v>2084</v>
      </c>
      <c r="AL1628" s="81" t="b">
        <v>0</v>
      </c>
      <c r="AM1628" s="81">
        <v>4</v>
      </c>
      <c r="AN1628" s="86" t="s">
        <v>1953</v>
      </c>
      <c r="AO1628" s="86" t="s">
        <v>2179</v>
      </c>
      <c r="AP1628" s="81" t="b">
        <v>0</v>
      </c>
      <c r="AQ1628" s="86" t="s">
        <v>1953</v>
      </c>
      <c r="AR1628" s="81" t="s">
        <v>179</v>
      </c>
      <c r="AS1628" s="81">
        <v>0</v>
      </c>
      <c r="AT1628" s="81">
        <v>0</v>
      </c>
      <c r="AU1628" s="81"/>
      <c r="AV1628" s="81"/>
      <c r="AW1628" s="81"/>
      <c r="AX1628" s="81"/>
      <c r="AY1628" s="81"/>
      <c r="AZ1628" s="81"/>
      <c r="BA1628" s="81"/>
      <c r="BB1628" s="81"/>
    </row>
    <row r="1629" spans="1:54" x14ac:dyDescent="0.35">
      <c r="A1629" s="66" t="s">
        <v>4831</v>
      </c>
      <c r="B1629" s="66" t="s">
        <v>4831</v>
      </c>
      <c r="C1629" s="67"/>
      <c r="D1629" s="68"/>
      <c r="E1629" s="69"/>
      <c r="F1629" s="70"/>
      <c r="G1629" s="67"/>
      <c r="H1629" s="71"/>
      <c r="I1629" s="72"/>
      <c r="J1629" s="72"/>
      <c r="K1629" s="36"/>
      <c r="L1629" s="79"/>
      <c r="M1629" s="79"/>
      <c r="N1629" s="74"/>
      <c r="O1629" s="81" t="s">
        <v>179</v>
      </c>
      <c r="P1629" s="83">
        <v>44466.650381944448</v>
      </c>
      <c r="Q1629" s="81" t="s">
        <v>5567</v>
      </c>
      <c r="R1629" s="84" t="str">
        <f>HYPERLINK("http://postal.pt/politica/2021-09-27-Autarquicas-PS-espera-poder-formar-maioria-com-CDU-em-Vila-Real-de-Santo-Antonio-bce16379?utm_source=dlvr.it&amp;utm_medium=twitter&amp;utm_campaign=postaldoalgarve")</f>
        <v>http://postal.pt/politica/2021-09-27-Autarquicas-PS-espera-poder-formar-maioria-com-CDU-em-Vila-Real-de-Santo-Antonio-bce16379?utm_source=dlvr.it&amp;utm_medium=twitter&amp;utm_campaign=postaldoalgarve</v>
      </c>
      <c r="S1629" s="81" t="s">
        <v>5747</v>
      </c>
      <c r="T1629" s="81"/>
      <c r="U1629" s="81"/>
      <c r="V1629" s="84" t="str">
        <f>HYPERLINK("https://pbs.twimg.com/profile_images/752788893867606016/PdKODsCt_normal.jpg")</f>
        <v>https://pbs.twimg.com/profile_images/752788893867606016/PdKODsCt_normal.jpg</v>
      </c>
      <c r="W1629" s="83">
        <v>44466.650381944448</v>
      </c>
      <c r="X1629" s="89">
        <v>44466</v>
      </c>
      <c r="Y1629" s="86" t="s">
        <v>6481</v>
      </c>
      <c r="Z1629" s="84" t="str">
        <f>HYPERLINK("https://twitter.com/postaldoalgarve/status/1442513498290810895")</f>
        <v>https://twitter.com/postaldoalgarve/status/1442513498290810895</v>
      </c>
      <c r="AA1629" s="81"/>
      <c r="AB1629" s="81"/>
      <c r="AC1629" s="86" t="s">
        <v>7401</v>
      </c>
      <c r="AD1629" s="81"/>
      <c r="AE1629" s="81" t="b">
        <v>0</v>
      </c>
      <c r="AF1629" s="81">
        <v>0</v>
      </c>
      <c r="AG1629" s="86" t="s">
        <v>2084</v>
      </c>
      <c r="AH1629" s="81" t="b">
        <v>0</v>
      </c>
      <c r="AI1629" s="81" t="s">
        <v>2171</v>
      </c>
      <c r="AJ1629" s="81"/>
      <c r="AK1629" s="86" t="s">
        <v>2084</v>
      </c>
      <c r="AL1629" s="81" t="b">
        <v>0</v>
      </c>
      <c r="AM1629" s="81">
        <v>0</v>
      </c>
      <c r="AN1629" s="86" t="s">
        <v>2084</v>
      </c>
      <c r="AO1629" s="86" t="s">
        <v>2188</v>
      </c>
      <c r="AP1629" s="81" t="b">
        <v>0</v>
      </c>
      <c r="AQ1629" s="86" t="s">
        <v>7401</v>
      </c>
      <c r="AR1629" s="81" t="s">
        <v>179</v>
      </c>
      <c r="AS1629" s="81">
        <v>0</v>
      </c>
      <c r="AT1629" s="81">
        <v>0</v>
      </c>
      <c r="AU1629" s="81"/>
      <c r="AV1629" s="81"/>
      <c r="AW1629" s="81"/>
      <c r="AX1629" s="81"/>
      <c r="AY1629" s="81"/>
      <c r="AZ1629" s="81"/>
      <c r="BA1629" s="81"/>
      <c r="BB1629" s="81"/>
    </row>
    <row r="1630" spans="1:54" x14ac:dyDescent="0.35">
      <c r="A1630" s="66" t="s">
        <v>568</v>
      </c>
      <c r="B1630" s="66" t="s">
        <v>578</v>
      </c>
      <c r="C1630" s="67"/>
      <c r="D1630" s="68"/>
      <c r="E1630" s="69"/>
      <c r="F1630" s="70"/>
      <c r="G1630" s="67"/>
      <c r="H1630" s="71"/>
      <c r="I1630" s="72"/>
      <c r="J1630" s="72"/>
      <c r="K1630" s="36"/>
      <c r="L1630" s="79"/>
      <c r="M1630" s="79"/>
      <c r="N1630" s="74"/>
      <c r="O1630" s="81" t="s">
        <v>693</v>
      </c>
      <c r="P1630" s="83">
        <v>44466.65865740741</v>
      </c>
      <c r="Q1630" s="81" t="s">
        <v>878</v>
      </c>
      <c r="R1630" s="81"/>
      <c r="S1630" s="81"/>
      <c r="T1630" s="81"/>
      <c r="U1630" s="84" t="str">
        <f>HYPERLINK("https://pbs.twimg.com/media/FASHjEnUcAMSLOM.jpg")</f>
        <v>https://pbs.twimg.com/media/FASHjEnUcAMSLOM.jpg</v>
      </c>
      <c r="V1630" s="84" t="str">
        <f>HYPERLINK("https://pbs.twimg.com/media/FASHjEnUcAMSLOM.jpg")</f>
        <v>https://pbs.twimg.com/media/FASHjEnUcAMSLOM.jpg</v>
      </c>
      <c r="W1630" s="83">
        <v>44466.65865740741</v>
      </c>
      <c r="X1630" s="89">
        <v>44466</v>
      </c>
      <c r="Y1630" s="86" t="s">
        <v>1454</v>
      </c>
      <c r="Z1630" s="84" t="str">
        <f>HYPERLINK("https://twitter.com/3andalas/status/1442516499135012875")</f>
        <v>https://twitter.com/3andalas/status/1442516499135012875</v>
      </c>
      <c r="AA1630" s="81"/>
      <c r="AB1630" s="81"/>
      <c r="AC1630" s="86" t="s">
        <v>1950</v>
      </c>
      <c r="AD1630" s="81"/>
      <c r="AE1630" s="81" t="b">
        <v>0</v>
      </c>
      <c r="AF1630" s="81">
        <v>0</v>
      </c>
      <c r="AG1630" s="86" t="s">
        <v>2084</v>
      </c>
      <c r="AH1630" s="81" t="b">
        <v>0</v>
      </c>
      <c r="AI1630" s="81" t="s">
        <v>2167</v>
      </c>
      <c r="AJ1630" s="81"/>
      <c r="AK1630" s="86" t="s">
        <v>2084</v>
      </c>
      <c r="AL1630" s="81" t="b">
        <v>0</v>
      </c>
      <c r="AM1630" s="81">
        <v>9</v>
      </c>
      <c r="AN1630" s="86" t="s">
        <v>1961</v>
      </c>
      <c r="AO1630" s="86" t="s">
        <v>2178</v>
      </c>
      <c r="AP1630" s="81" t="b">
        <v>0</v>
      </c>
      <c r="AQ1630" s="86" t="s">
        <v>1961</v>
      </c>
      <c r="AR1630" s="81" t="s">
        <v>179</v>
      </c>
      <c r="AS1630" s="81">
        <v>0</v>
      </c>
      <c r="AT1630" s="81">
        <v>0</v>
      </c>
      <c r="AU1630" s="81"/>
      <c r="AV1630" s="81"/>
      <c r="AW1630" s="81"/>
      <c r="AX1630" s="81"/>
      <c r="AY1630" s="81"/>
      <c r="AZ1630" s="81"/>
      <c r="BA1630" s="81"/>
      <c r="BB1630" s="81"/>
    </row>
    <row r="1631" spans="1:54" x14ac:dyDescent="0.35">
      <c r="A1631" s="66" t="s">
        <v>4832</v>
      </c>
      <c r="B1631" s="66" t="s">
        <v>5167</v>
      </c>
      <c r="C1631" s="67"/>
      <c r="D1631" s="68"/>
      <c r="E1631" s="69"/>
      <c r="F1631" s="70"/>
      <c r="G1631" s="67"/>
      <c r="H1631" s="71"/>
      <c r="I1631" s="72"/>
      <c r="J1631" s="72"/>
      <c r="K1631" s="36"/>
      <c r="L1631" s="79"/>
      <c r="M1631" s="79"/>
      <c r="N1631" s="74"/>
      <c r="O1631" s="81" t="s">
        <v>696</v>
      </c>
      <c r="P1631" s="83">
        <v>44466.665081018517</v>
      </c>
      <c r="Q1631" s="81" t="s">
        <v>5568</v>
      </c>
      <c r="R1631" s="81"/>
      <c r="S1631" s="81"/>
      <c r="T1631" s="81"/>
      <c r="U1631" s="84" t="str">
        <f>HYPERLINK("https://pbs.twimg.com/ext_tw_video_thumb/1442518355097890819/pu/img/XetzQt0N1-LKkkRO.jpg")</f>
        <v>https://pbs.twimg.com/ext_tw_video_thumb/1442518355097890819/pu/img/XetzQt0N1-LKkkRO.jpg</v>
      </c>
      <c r="V1631" s="84" t="str">
        <f>HYPERLINK("https://pbs.twimg.com/ext_tw_video_thumb/1442518355097890819/pu/img/XetzQt0N1-LKkkRO.jpg")</f>
        <v>https://pbs.twimg.com/ext_tw_video_thumb/1442518355097890819/pu/img/XetzQt0N1-LKkkRO.jpg</v>
      </c>
      <c r="W1631" s="83">
        <v>44466.665081018517</v>
      </c>
      <c r="X1631" s="89">
        <v>44466</v>
      </c>
      <c r="Y1631" s="86" t="s">
        <v>6482</v>
      </c>
      <c r="Z1631" s="84" t="str">
        <f>HYPERLINK("https://twitter.com/marceloperes28/status/1442518827259023363")</f>
        <v>https://twitter.com/marceloperes28/status/1442518827259023363</v>
      </c>
      <c r="AA1631" s="81"/>
      <c r="AB1631" s="81"/>
      <c r="AC1631" s="86" t="s">
        <v>7402</v>
      </c>
      <c r="AD1631" s="86" t="s">
        <v>7735</v>
      </c>
      <c r="AE1631" s="81" t="b">
        <v>0</v>
      </c>
      <c r="AF1631" s="81">
        <v>0</v>
      </c>
      <c r="AG1631" s="86" t="s">
        <v>7912</v>
      </c>
      <c r="AH1631" s="81" t="b">
        <v>0</v>
      </c>
      <c r="AI1631" s="81" t="s">
        <v>2171</v>
      </c>
      <c r="AJ1631" s="81"/>
      <c r="AK1631" s="86" t="s">
        <v>2084</v>
      </c>
      <c r="AL1631" s="81" t="b">
        <v>0</v>
      </c>
      <c r="AM1631" s="81">
        <v>0</v>
      </c>
      <c r="AN1631" s="86" t="s">
        <v>2084</v>
      </c>
      <c r="AO1631" s="86" t="s">
        <v>2178</v>
      </c>
      <c r="AP1631" s="81" t="b">
        <v>0</v>
      </c>
      <c r="AQ1631" s="86" t="s">
        <v>7735</v>
      </c>
      <c r="AR1631" s="81" t="s">
        <v>179</v>
      </c>
      <c r="AS1631" s="81">
        <v>0</v>
      </c>
      <c r="AT1631" s="81">
        <v>0</v>
      </c>
      <c r="AU1631" s="81"/>
      <c r="AV1631" s="81"/>
      <c r="AW1631" s="81"/>
      <c r="AX1631" s="81"/>
      <c r="AY1631" s="81"/>
      <c r="AZ1631" s="81"/>
      <c r="BA1631" s="81"/>
      <c r="BB1631" s="81"/>
    </row>
    <row r="1632" spans="1:54" x14ac:dyDescent="0.35">
      <c r="A1632" s="66" t="s">
        <v>4832</v>
      </c>
      <c r="B1632" s="66" t="s">
        <v>5168</v>
      </c>
      <c r="C1632" s="67"/>
      <c r="D1632" s="68"/>
      <c r="E1632" s="69"/>
      <c r="F1632" s="70"/>
      <c r="G1632" s="67"/>
      <c r="H1632" s="71"/>
      <c r="I1632" s="72"/>
      <c r="J1632" s="72"/>
      <c r="K1632" s="36"/>
      <c r="L1632" s="79"/>
      <c r="M1632" s="79"/>
      <c r="N1632" s="74"/>
      <c r="O1632" s="81" t="s">
        <v>695</v>
      </c>
      <c r="P1632" s="83">
        <v>44466.665081018517</v>
      </c>
      <c r="Q1632" s="81" t="s">
        <v>5568</v>
      </c>
      <c r="R1632" s="81"/>
      <c r="S1632" s="81"/>
      <c r="T1632" s="81"/>
      <c r="U1632" s="84" t="str">
        <f>HYPERLINK("https://pbs.twimg.com/ext_tw_video_thumb/1442518355097890819/pu/img/XetzQt0N1-LKkkRO.jpg")</f>
        <v>https://pbs.twimg.com/ext_tw_video_thumb/1442518355097890819/pu/img/XetzQt0N1-LKkkRO.jpg</v>
      </c>
      <c r="V1632" s="84" t="str">
        <f>HYPERLINK("https://pbs.twimg.com/ext_tw_video_thumb/1442518355097890819/pu/img/XetzQt0N1-LKkkRO.jpg")</f>
        <v>https://pbs.twimg.com/ext_tw_video_thumb/1442518355097890819/pu/img/XetzQt0N1-LKkkRO.jpg</v>
      </c>
      <c r="W1632" s="83">
        <v>44466.665081018517</v>
      </c>
      <c r="X1632" s="89">
        <v>44466</v>
      </c>
      <c r="Y1632" s="86" t="s">
        <v>6482</v>
      </c>
      <c r="Z1632" s="84" t="str">
        <f>HYPERLINK("https://twitter.com/marceloperes28/status/1442518827259023363")</f>
        <v>https://twitter.com/marceloperes28/status/1442518827259023363</v>
      </c>
      <c r="AA1632" s="81"/>
      <c r="AB1632" s="81"/>
      <c r="AC1632" s="86" t="s">
        <v>7402</v>
      </c>
      <c r="AD1632" s="86" t="s">
        <v>7735</v>
      </c>
      <c r="AE1632" s="81" t="b">
        <v>0</v>
      </c>
      <c r="AF1632" s="81">
        <v>0</v>
      </c>
      <c r="AG1632" s="86" t="s">
        <v>7912</v>
      </c>
      <c r="AH1632" s="81" t="b">
        <v>0</v>
      </c>
      <c r="AI1632" s="81" t="s">
        <v>2171</v>
      </c>
      <c r="AJ1632" s="81"/>
      <c r="AK1632" s="86" t="s">
        <v>2084</v>
      </c>
      <c r="AL1632" s="81" t="b">
        <v>0</v>
      </c>
      <c r="AM1632" s="81">
        <v>0</v>
      </c>
      <c r="AN1632" s="86" t="s">
        <v>2084</v>
      </c>
      <c r="AO1632" s="86" t="s">
        <v>2178</v>
      </c>
      <c r="AP1632" s="81" t="b">
        <v>0</v>
      </c>
      <c r="AQ1632" s="86" t="s">
        <v>7735</v>
      </c>
      <c r="AR1632" s="81" t="s">
        <v>179</v>
      </c>
      <c r="AS1632" s="81">
        <v>0</v>
      </c>
      <c r="AT1632" s="81">
        <v>0</v>
      </c>
      <c r="AU1632" s="81"/>
      <c r="AV1632" s="81"/>
      <c r="AW1632" s="81"/>
      <c r="AX1632" s="81"/>
      <c r="AY1632" s="81"/>
      <c r="AZ1632" s="81"/>
      <c r="BA1632" s="81"/>
      <c r="BB1632" s="81"/>
    </row>
    <row r="1633" spans="1:54" x14ac:dyDescent="0.35">
      <c r="A1633" s="66" t="s">
        <v>4832</v>
      </c>
      <c r="B1633" s="66" t="s">
        <v>4980</v>
      </c>
      <c r="C1633" s="67"/>
      <c r="D1633" s="68"/>
      <c r="E1633" s="69"/>
      <c r="F1633" s="70"/>
      <c r="G1633" s="67"/>
      <c r="H1633" s="71"/>
      <c r="I1633" s="72"/>
      <c r="J1633" s="72"/>
      <c r="K1633" s="36"/>
      <c r="L1633" s="79"/>
      <c r="M1633" s="79"/>
      <c r="N1633" s="74"/>
      <c r="O1633" s="81" t="s">
        <v>696</v>
      </c>
      <c r="P1633" s="83">
        <v>44466.665081018517</v>
      </c>
      <c r="Q1633" s="81" t="s">
        <v>5568</v>
      </c>
      <c r="R1633" s="81"/>
      <c r="S1633" s="81"/>
      <c r="T1633" s="81"/>
      <c r="U1633" s="84" t="str">
        <f>HYPERLINK("https://pbs.twimg.com/ext_tw_video_thumb/1442518355097890819/pu/img/XetzQt0N1-LKkkRO.jpg")</f>
        <v>https://pbs.twimg.com/ext_tw_video_thumb/1442518355097890819/pu/img/XetzQt0N1-LKkkRO.jpg</v>
      </c>
      <c r="V1633" s="84" t="str">
        <f>HYPERLINK("https://pbs.twimg.com/ext_tw_video_thumb/1442518355097890819/pu/img/XetzQt0N1-LKkkRO.jpg")</f>
        <v>https://pbs.twimg.com/ext_tw_video_thumb/1442518355097890819/pu/img/XetzQt0N1-LKkkRO.jpg</v>
      </c>
      <c r="W1633" s="83">
        <v>44466.665081018517</v>
      </c>
      <c r="X1633" s="89">
        <v>44466</v>
      </c>
      <c r="Y1633" s="86" t="s">
        <v>6482</v>
      </c>
      <c r="Z1633" s="84" t="str">
        <f>HYPERLINK("https://twitter.com/marceloperes28/status/1442518827259023363")</f>
        <v>https://twitter.com/marceloperes28/status/1442518827259023363</v>
      </c>
      <c r="AA1633" s="81"/>
      <c r="AB1633" s="81"/>
      <c r="AC1633" s="86" t="s">
        <v>7402</v>
      </c>
      <c r="AD1633" s="86" t="s">
        <v>7735</v>
      </c>
      <c r="AE1633" s="81" t="b">
        <v>0</v>
      </c>
      <c r="AF1633" s="81">
        <v>0</v>
      </c>
      <c r="AG1633" s="86" t="s">
        <v>7912</v>
      </c>
      <c r="AH1633" s="81" t="b">
        <v>0</v>
      </c>
      <c r="AI1633" s="81" t="s">
        <v>2171</v>
      </c>
      <c r="AJ1633" s="81"/>
      <c r="AK1633" s="86" t="s">
        <v>2084</v>
      </c>
      <c r="AL1633" s="81" t="b">
        <v>0</v>
      </c>
      <c r="AM1633" s="81">
        <v>0</v>
      </c>
      <c r="AN1633" s="86" t="s">
        <v>2084</v>
      </c>
      <c r="AO1633" s="86" t="s">
        <v>2178</v>
      </c>
      <c r="AP1633" s="81" t="b">
        <v>0</v>
      </c>
      <c r="AQ1633" s="86" t="s">
        <v>7735</v>
      </c>
      <c r="AR1633" s="81" t="s">
        <v>179</v>
      </c>
      <c r="AS1633" s="81">
        <v>0</v>
      </c>
      <c r="AT1633" s="81">
        <v>0</v>
      </c>
      <c r="AU1633" s="81"/>
      <c r="AV1633" s="81"/>
      <c r="AW1633" s="81"/>
      <c r="AX1633" s="81"/>
      <c r="AY1633" s="81"/>
      <c r="AZ1633" s="81"/>
      <c r="BA1633" s="81"/>
      <c r="BB1633" s="81"/>
    </row>
    <row r="1634" spans="1:54" x14ac:dyDescent="0.35">
      <c r="A1634" s="66" t="s">
        <v>4833</v>
      </c>
      <c r="B1634" s="66" t="s">
        <v>4944</v>
      </c>
      <c r="C1634" s="67"/>
      <c r="D1634" s="68"/>
      <c r="E1634" s="69"/>
      <c r="F1634" s="70"/>
      <c r="G1634" s="67"/>
      <c r="H1634" s="71"/>
      <c r="I1634" s="72"/>
      <c r="J1634" s="72"/>
      <c r="K1634" s="36"/>
      <c r="L1634" s="79"/>
      <c r="M1634" s="79"/>
      <c r="N1634" s="74"/>
      <c r="O1634" s="81" t="s">
        <v>693</v>
      </c>
      <c r="P1634" s="83">
        <v>44466.670763888891</v>
      </c>
      <c r="Q1634" s="81" t="s">
        <v>5505</v>
      </c>
      <c r="R1634" s="81"/>
      <c r="S1634" s="81"/>
      <c r="T1634" s="81"/>
      <c r="U1634" s="81"/>
      <c r="V1634" s="84" t="str">
        <f>HYPERLINK("https://pbs.twimg.com/profile_images/1286101253739687937/cWEF1-Cl_normal.jpg")</f>
        <v>https://pbs.twimg.com/profile_images/1286101253739687937/cWEF1-Cl_normal.jpg</v>
      </c>
      <c r="W1634" s="83">
        <v>44466.670763888891</v>
      </c>
      <c r="X1634" s="89">
        <v>44466</v>
      </c>
      <c r="Y1634" s="86" t="s">
        <v>6483</v>
      </c>
      <c r="Z1634" s="84" t="str">
        <f>HYPERLINK("https://twitter.com/luindarkness/status/1442520885089472514")</f>
        <v>https://twitter.com/luindarkness/status/1442520885089472514</v>
      </c>
      <c r="AA1634" s="81"/>
      <c r="AB1634" s="81"/>
      <c r="AC1634" s="86" t="s">
        <v>7403</v>
      </c>
      <c r="AD1634" s="81"/>
      <c r="AE1634" s="81" t="b">
        <v>0</v>
      </c>
      <c r="AF1634" s="81">
        <v>0</v>
      </c>
      <c r="AG1634" s="86" t="s">
        <v>2084</v>
      </c>
      <c r="AH1634" s="81" t="b">
        <v>0</v>
      </c>
      <c r="AI1634" s="81" t="s">
        <v>2171</v>
      </c>
      <c r="AJ1634" s="81"/>
      <c r="AK1634" s="86" t="s">
        <v>2084</v>
      </c>
      <c r="AL1634" s="81" t="b">
        <v>0</v>
      </c>
      <c r="AM1634" s="81">
        <v>255</v>
      </c>
      <c r="AN1634" s="86" t="s">
        <v>7543</v>
      </c>
      <c r="AO1634" s="86" t="s">
        <v>2181</v>
      </c>
      <c r="AP1634" s="81" t="b">
        <v>0</v>
      </c>
      <c r="AQ1634" s="86" t="s">
        <v>7543</v>
      </c>
      <c r="AR1634" s="81" t="s">
        <v>179</v>
      </c>
      <c r="AS1634" s="81">
        <v>0</v>
      </c>
      <c r="AT1634" s="81">
        <v>0</v>
      </c>
      <c r="AU1634" s="81"/>
      <c r="AV1634" s="81"/>
      <c r="AW1634" s="81"/>
      <c r="AX1634" s="81"/>
      <c r="AY1634" s="81"/>
      <c r="AZ1634" s="81"/>
      <c r="BA1634" s="81"/>
      <c r="BB1634" s="81"/>
    </row>
    <row r="1635" spans="1:54" x14ac:dyDescent="0.35">
      <c r="A1635" s="66" t="s">
        <v>4834</v>
      </c>
      <c r="B1635" s="66" t="s">
        <v>4944</v>
      </c>
      <c r="C1635" s="67"/>
      <c r="D1635" s="68"/>
      <c r="E1635" s="69"/>
      <c r="F1635" s="70"/>
      <c r="G1635" s="67"/>
      <c r="H1635" s="71"/>
      <c r="I1635" s="72"/>
      <c r="J1635" s="72"/>
      <c r="K1635" s="36"/>
      <c r="L1635" s="79"/>
      <c r="M1635" s="79"/>
      <c r="N1635" s="74"/>
      <c r="O1635" s="81" t="s">
        <v>693</v>
      </c>
      <c r="P1635" s="83">
        <v>44466.671157407407</v>
      </c>
      <c r="Q1635" s="81" t="s">
        <v>5505</v>
      </c>
      <c r="R1635" s="81"/>
      <c r="S1635" s="81"/>
      <c r="T1635" s="81"/>
      <c r="U1635" s="81"/>
      <c r="V1635" s="84" t="str">
        <f>HYPERLINK("https://pbs.twimg.com/profile_images/1403343156452769794/2N5Z42kX_normal.jpg")</f>
        <v>https://pbs.twimg.com/profile_images/1403343156452769794/2N5Z42kX_normal.jpg</v>
      </c>
      <c r="W1635" s="83">
        <v>44466.671157407407</v>
      </c>
      <c r="X1635" s="89">
        <v>44466</v>
      </c>
      <c r="Y1635" s="86" t="s">
        <v>6484</v>
      </c>
      <c r="Z1635" s="84" t="str">
        <f>HYPERLINK("https://twitter.com/dfmartinha/status/1442521026940874759")</f>
        <v>https://twitter.com/dfmartinha/status/1442521026940874759</v>
      </c>
      <c r="AA1635" s="81"/>
      <c r="AB1635" s="81"/>
      <c r="AC1635" s="86" t="s">
        <v>7404</v>
      </c>
      <c r="AD1635" s="81"/>
      <c r="AE1635" s="81" t="b">
        <v>0</v>
      </c>
      <c r="AF1635" s="81">
        <v>0</v>
      </c>
      <c r="AG1635" s="86" t="s">
        <v>2084</v>
      </c>
      <c r="AH1635" s="81" t="b">
        <v>0</v>
      </c>
      <c r="AI1635" s="81" t="s">
        <v>2171</v>
      </c>
      <c r="AJ1635" s="81"/>
      <c r="AK1635" s="86" t="s">
        <v>2084</v>
      </c>
      <c r="AL1635" s="81" t="b">
        <v>0</v>
      </c>
      <c r="AM1635" s="81">
        <v>255</v>
      </c>
      <c r="AN1635" s="86" t="s">
        <v>7543</v>
      </c>
      <c r="AO1635" s="86" t="s">
        <v>2181</v>
      </c>
      <c r="AP1635" s="81" t="b">
        <v>0</v>
      </c>
      <c r="AQ1635" s="86" t="s">
        <v>7543</v>
      </c>
      <c r="AR1635" s="81" t="s">
        <v>179</v>
      </c>
      <c r="AS1635" s="81">
        <v>0</v>
      </c>
      <c r="AT1635" s="81">
        <v>0</v>
      </c>
      <c r="AU1635" s="81"/>
      <c r="AV1635" s="81"/>
      <c r="AW1635" s="81"/>
      <c r="AX1635" s="81"/>
      <c r="AY1635" s="81"/>
      <c r="AZ1635" s="81"/>
      <c r="BA1635" s="81"/>
      <c r="BB1635" s="81"/>
    </row>
    <row r="1636" spans="1:54" x14ac:dyDescent="0.35">
      <c r="A1636" s="66" t="s">
        <v>569</v>
      </c>
      <c r="B1636" s="66" t="s">
        <v>569</v>
      </c>
      <c r="C1636" s="67"/>
      <c r="D1636" s="68"/>
      <c r="E1636" s="69"/>
      <c r="F1636" s="70"/>
      <c r="G1636" s="67"/>
      <c r="H1636" s="71"/>
      <c r="I1636" s="72"/>
      <c r="J1636" s="72"/>
      <c r="K1636" s="36"/>
      <c r="L1636" s="79"/>
      <c r="M1636" s="79"/>
      <c r="N1636" s="74"/>
      <c r="O1636" s="81" t="s">
        <v>179</v>
      </c>
      <c r="P1636" s="83">
        <v>44466.542210648149</v>
      </c>
      <c r="Q1636" s="81" t="s">
        <v>885</v>
      </c>
      <c r="R1636" s="81"/>
      <c r="S1636" s="81"/>
      <c r="T1636" s="86" t="s">
        <v>314</v>
      </c>
      <c r="U1636" s="84" t="str">
        <f>HYPERLINK("https://pbs.twimg.com/media/FASyu2tUcAYA_sv.jpg")</f>
        <v>https://pbs.twimg.com/media/FASyu2tUcAYA_sv.jpg</v>
      </c>
      <c r="V1636" s="84" t="str">
        <f>HYPERLINK("https://pbs.twimg.com/media/FASyu2tUcAYA_sv.jpg")</f>
        <v>https://pbs.twimg.com/media/FASyu2tUcAYA_sv.jpg</v>
      </c>
      <c r="W1636" s="83">
        <v>44466.542210648149</v>
      </c>
      <c r="X1636" s="89">
        <v>44466</v>
      </c>
      <c r="Y1636" s="86" t="s">
        <v>1455</v>
      </c>
      <c r="Z1636" s="84" t="str">
        <f>HYPERLINK("https://twitter.com/fullsunbb_/status/1442474301081276423")</f>
        <v>https://twitter.com/fullsunbb_/status/1442474301081276423</v>
      </c>
      <c r="AA1636" s="81"/>
      <c r="AB1636" s="81"/>
      <c r="AC1636" s="86" t="s">
        <v>1951</v>
      </c>
      <c r="AD1636" s="81"/>
      <c r="AE1636" s="81" t="b">
        <v>0</v>
      </c>
      <c r="AF1636" s="81">
        <v>0</v>
      </c>
      <c r="AG1636" s="86" t="s">
        <v>2084</v>
      </c>
      <c r="AH1636" s="81" t="b">
        <v>0</v>
      </c>
      <c r="AI1636" s="81" t="s">
        <v>2168</v>
      </c>
      <c r="AJ1636" s="81"/>
      <c r="AK1636" s="86" t="s">
        <v>2084</v>
      </c>
      <c r="AL1636" s="81" t="b">
        <v>0</v>
      </c>
      <c r="AM1636" s="81">
        <v>2</v>
      </c>
      <c r="AN1636" s="86" t="s">
        <v>2084</v>
      </c>
      <c r="AO1636" s="86" t="s">
        <v>2178</v>
      </c>
      <c r="AP1636" s="81" t="b">
        <v>0</v>
      </c>
      <c r="AQ1636" s="86" t="s">
        <v>1951</v>
      </c>
      <c r="AR1636" s="81" t="s">
        <v>179</v>
      </c>
      <c r="AS1636" s="81">
        <v>0</v>
      </c>
      <c r="AT1636" s="81">
        <v>0</v>
      </c>
      <c r="AU1636" s="81"/>
      <c r="AV1636" s="81"/>
      <c r="AW1636" s="81"/>
      <c r="AX1636" s="81"/>
      <c r="AY1636" s="81"/>
      <c r="AZ1636" s="81"/>
      <c r="BA1636" s="81"/>
      <c r="BB1636" s="81"/>
    </row>
    <row r="1637" spans="1:54" x14ac:dyDescent="0.35">
      <c r="A1637" s="66" t="s">
        <v>570</v>
      </c>
      <c r="B1637" s="66" t="s">
        <v>569</v>
      </c>
      <c r="C1637" s="67"/>
      <c r="D1637" s="68"/>
      <c r="E1637" s="69"/>
      <c r="F1637" s="70"/>
      <c r="G1637" s="67"/>
      <c r="H1637" s="71"/>
      <c r="I1637" s="72"/>
      <c r="J1637" s="72"/>
      <c r="K1637" s="36"/>
      <c r="L1637" s="79"/>
      <c r="M1637" s="79"/>
      <c r="N1637" s="74"/>
      <c r="O1637" s="81" t="s">
        <v>693</v>
      </c>
      <c r="P1637" s="83">
        <v>44466.685196759259</v>
      </c>
      <c r="Q1637" s="81" t="s">
        <v>885</v>
      </c>
      <c r="R1637" s="81"/>
      <c r="S1637" s="81"/>
      <c r="T1637" s="86" t="s">
        <v>314</v>
      </c>
      <c r="U1637" s="84" t="str">
        <f>HYPERLINK("https://pbs.twimg.com/media/FASyu2tUcAYA_sv.jpg")</f>
        <v>https://pbs.twimg.com/media/FASyu2tUcAYA_sv.jpg</v>
      </c>
      <c r="V1637" s="84" t="str">
        <f>HYPERLINK("https://pbs.twimg.com/media/FASyu2tUcAYA_sv.jpg")</f>
        <v>https://pbs.twimg.com/media/FASyu2tUcAYA_sv.jpg</v>
      </c>
      <c r="W1637" s="83">
        <v>44466.685196759259</v>
      </c>
      <c r="X1637" s="89">
        <v>44466</v>
      </c>
      <c r="Y1637" s="86" t="s">
        <v>1456</v>
      </c>
      <c r="Z1637" s="84" t="str">
        <f>HYPERLINK("https://twitter.com/littleboozi/status/1442526114715353097")</f>
        <v>https://twitter.com/littleboozi/status/1442526114715353097</v>
      </c>
      <c r="AA1637" s="81"/>
      <c r="AB1637" s="81"/>
      <c r="AC1637" s="86" t="s">
        <v>1952</v>
      </c>
      <c r="AD1637" s="81"/>
      <c r="AE1637" s="81" t="b">
        <v>0</v>
      </c>
      <c r="AF1637" s="81">
        <v>0</v>
      </c>
      <c r="AG1637" s="86" t="s">
        <v>2084</v>
      </c>
      <c r="AH1637" s="81" t="b">
        <v>0</v>
      </c>
      <c r="AI1637" s="81" t="s">
        <v>2168</v>
      </c>
      <c r="AJ1637" s="81"/>
      <c r="AK1637" s="86" t="s">
        <v>2084</v>
      </c>
      <c r="AL1637" s="81" t="b">
        <v>0</v>
      </c>
      <c r="AM1637" s="81">
        <v>2</v>
      </c>
      <c r="AN1637" s="86" t="s">
        <v>1951</v>
      </c>
      <c r="AO1637" s="86" t="s">
        <v>2178</v>
      </c>
      <c r="AP1637" s="81" t="b">
        <v>0</v>
      </c>
      <c r="AQ1637" s="86" t="s">
        <v>1951</v>
      </c>
      <c r="AR1637" s="81" t="s">
        <v>179</v>
      </c>
      <c r="AS1637" s="81">
        <v>0</v>
      </c>
      <c r="AT1637" s="81">
        <v>0</v>
      </c>
      <c r="AU1637" s="81"/>
      <c r="AV1637" s="81"/>
      <c r="AW1637" s="81"/>
      <c r="AX1637" s="81"/>
      <c r="AY1637" s="81"/>
      <c r="AZ1637" s="81"/>
      <c r="BA1637" s="81"/>
      <c r="BB1637" s="81"/>
    </row>
    <row r="1638" spans="1:54" x14ac:dyDescent="0.35">
      <c r="A1638" s="66" t="s">
        <v>572</v>
      </c>
      <c r="B1638" s="66" t="s">
        <v>571</v>
      </c>
      <c r="C1638" s="67"/>
      <c r="D1638" s="68"/>
      <c r="E1638" s="69"/>
      <c r="F1638" s="70"/>
      <c r="G1638" s="67"/>
      <c r="H1638" s="71"/>
      <c r="I1638" s="72"/>
      <c r="J1638" s="72"/>
      <c r="K1638" s="36"/>
      <c r="L1638" s="79"/>
      <c r="M1638" s="79"/>
      <c r="N1638" s="74"/>
      <c r="O1638" s="81" t="s">
        <v>693</v>
      </c>
      <c r="P1638" s="83">
        <v>44466.705590277779</v>
      </c>
      <c r="Q1638" s="81" t="s">
        <v>891</v>
      </c>
      <c r="R1638" s="81"/>
      <c r="S1638" s="81"/>
      <c r="T1638" s="81"/>
      <c r="U1638" s="84" t="str">
        <f>HYPERLINK("https://pbs.twimg.com/media/FATP2YPUcAUBhx-.jpg")</f>
        <v>https://pbs.twimg.com/media/FATP2YPUcAUBhx-.jpg</v>
      </c>
      <c r="V1638" s="84" t="str">
        <f>HYPERLINK("https://pbs.twimg.com/media/FATP2YPUcAUBhx-.jpg")</f>
        <v>https://pbs.twimg.com/media/FATP2YPUcAUBhx-.jpg</v>
      </c>
      <c r="W1638" s="83">
        <v>44466.705590277779</v>
      </c>
      <c r="X1638" s="89">
        <v>44466</v>
      </c>
      <c r="Y1638" s="86" t="s">
        <v>1458</v>
      </c>
      <c r="Z1638" s="84" t="str">
        <f>HYPERLINK("https://twitter.com/nasruddinharon/status/1442533505443852290")</f>
        <v>https://twitter.com/nasruddinharon/status/1442533505443852290</v>
      </c>
      <c r="AA1638" s="81"/>
      <c r="AB1638" s="81"/>
      <c r="AC1638" s="86" t="s">
        <v>1954</v>
      </c>
      <c r="AD1638" s="81"/>
      <c r="AE1638" s="81" t="b">
        <v>0</v>
      </c>
      <c r="AF1638" s="81">
        <v>0</v>
      </c>
      <c r="AG1638" s="86" t="s">
        <v>2084</v>
      </c>
      <c r="AH1638" s="81" t="b">
        <v>0</v>
      </c>
      <c r="AI1638" s="81" t="s">
        <v>2167</v>
      </c>
      <c r="AJ1638" s="81"/>
      <c r="AK1638" s="86" t="s">
        <v>2084</v>
      </c>
      <c r="AL1638" s="81" t="b">
        <v>0</v>
      </c>
      <c r="AM1638" s="81">
        <v>4</v>
      </c>
      <c r="AN1638" s="86" t="s">
        <v>1953</v>
      </c>
      <c r="AO1638" s="86" t="s">
        <v>2179</v>
      </c>
      <c r="AP1638" s="81" t="b">
        <v>0</v>
      </c>
      <c r="AQ1638" s="86" t="s">
        <v>1953</v>
      </c>
      <c r="AR1638" s="81" t="s">
        <v>179</v>
      </c>
      <c r="AS1638" s="81">
        <v>0</v>
      </c>
      <c r="AT1638" s="81">
        <v>0</v>
      </c>
      <c r="AU1638" s="81"/>
      <c r="AV1638" s="81"/>
      <c r="AW1638" s="81"/>
      <c r="AX1638" s="81"/>
      <c r="AY1638" s="81"/>
      <c r="AZ1638" s="81"/>
      <c r="BA1638" s="81"/>
      <c r="BB1638" s="81"/>
    </row>
    <row r="1639" spans="1:54" x14ac:dyDescent="0.35">
      <c r="A1639" s="66" t="s">
        <v>573</v>
      </c>
      <c r="B1639" s="66" t="s">
        <v>578</v>
      </c>
      <c r="C1639" s="67"/>
      <c r="D1639" s="68"/>
      <c r="E1639" s="69"/>
      <c r="F1639" s="70"/>
      <c r="G1639" s="67"/>
      <c r="H1639" s="71"/>
      <c r="I1639" s="72"/>
      <c r="J1639" s="72"/>
      <c r="K1639" s="36"/>
      <c r="L1639" s="79"/>
      <c r="M1639" s="79"/>
      <c r="N1639" s="74"/>
      <c r="O1639" s="81" t="s">
        <v>693</v>
      </c>
      <c r="P1639" s="83">
        <v>44466.714201388888</v>
      </c>
      <c r="Q1639" s="81" t="s">
        <v>878</v>
      </c>
      <c r="R1639" s="81"/>
      <c r="S1639" s="81"/>
      <c r="T1639" s="81"/>
      <c r="U1639" s="84" t="str">
        <f>HYPERLINK("https://pbs.twimg.com/media/FASHjEnUcAMSLOM.jpg")</f>
        <v>https://pbs.twimg.com/media/FASHjEnUcAMSLOM.jpg</v>
      </c>
      <c r="V1639" s="84" t="str">
        <f>HYPERLINK("https://pbs.twimg.com/media/FASHjEnUcAMSLOM.jpg")</f>
        <v>https://pbs.twimg.com/media/FASHjEnUcAMSLOM.jpg</v>
      </c>
      <c r="W1639" s="83">
        <v>44466.714201388888</v>
      </c>
      <c r="X1639" s="89">
        <v>44466</v>
      </c>
      <c r="Y1639" s="86" t="s">
        <v>1459</v>
      </c>
      <c r="Z1639" s="84" t="str">
        <f>HYPERLINK("https://twitter.com/alkecilsaja/status/1442536625041403905")</f>
        <v>https://twitter.com/alkecilsaja/status/1442536625041403905</v>
      </c>
      <c r="AA1639" s="81"/>
      <c r="AB1639" s="81"/>
      <c r="AC1639" s="86" t="s">
        <v>1955</v>
      </c>
      <c r="AD1639" s="81"/>
      <c r="AE1639" s="81" t="b">
        <v>0</v>
      </c>
      <c r="AF1639" s="81">
        <v>0</v>
      </c>
      <c r="AG1639" s="86" t="s">
        <v>2084</v>
      </c>
      <c r="AH1639" s="81" t="b">
        <v>0</v>
      </c>
      <c r="AI1639" s="81" t="s">
        <v>2167</v>
      </c>
      <c r="AJ1639" s="81"/>
      <c r="AK1639" s="86" t="s">
        <v>2084</v>
      </c>
      <c r="AL1639" s="81" t="b">
        <v>0</v>
      </c>
      <c r="AM1639" s="81">
        <v>9</v>
      </c>
      <c r="AN1639" s="86" t="s">
        <v>1961</v>
      </c>
      <c r="AO1639" s="86" t="s">
        <v>2178</v>
      </c>
      <c r="AP1639" s="81" t="b">
        <v>0</v>
      </c>
      <c r="AQ1639" s="86" t="s">
        <v>1961</v>
      </c>
      <c r="AR1639" s="81" t="s">
        <v>179</v>
      </c>
      <c r="AS1639" s="81">
        <v>0</v>
      </c>
      <c r="AT1639" s="81">
        <v>0</v>
      </c>
      <c r="AU1639" s="81"/>
      <c r="AV1639" s="81"/>
      <c r="AW1639" s="81"/>
      <c r="AX1639" s="81"/>
      <c r="AY1639" s="81"/>
      <c r="AZ1639" s="81"/>
      <c r="BA1639" s="81"/>
      <c r="BB1639" s="81"/>
    </row>
    <row r="1640" spans="1:54" x14ac:dyDescent="0.35">
      <c r="A1640" s="66" t="s">
        <v>574</v>
      </c>
      <c r="B1640" s="66" t="s">
        <v>578</v>
      </c>
      <c r="C1640" s="67"/>
      <c r="D1640" s="68"/>
      <c r="E1640" s="69"/>
      <c r="F1640" s="70"/>
      <c r="G1640" s="67"/>
      <c r="H1640" s="71"/>
      <c r="I1640" s="72"/>
      <c r="J1640" s="72"/>
      <c r="K1640" s="36"/>
      <c r="L1640" s="79"/>
      <c r="M1640" s="79"/>
      <c r="N1640" s="74"/>
      <c r="O1640" s="81" t="s">
        <v>693</v>
      </c>
      <c r="P1640" s="83">
        <v>44466.715405092589</v>
      </c>
      <c r="Q1640" s="81" t="s">
        <v>878</v>
      </c>
      <c r="R1640" s="81"/>
      <c r="S1640" s="81"/>
      <c r="T1640" s="81"/>
      <c r="U1640" s="84" t="str">
        <f>HYPERLINK("https://pbs.twimg.com/media/FASHjEnUcAMSLOM.jpg")</f>
        <v>https://pbs.twimg.com/media/FASHjEnUcAMSLOM.jpg</v>
      </c>
      <c r="V1640" s="84" t="str">
        <f>HYPERLINK("https://pbs.twimg.com/media/FASHjEnUcAMSLOM.jpg")</f>
        <v>https://pbs.twimg.com/media/FASHjEnUcAMSLOM.jpg</v>
      </c>
      <c r="W1640" s="83">
        <v>44466.715405092589</v>
      </c>
      <c r="X1640" s="89">
        <v>44466</v>
      </c>
      <c r="Y1640" s="86" t="s">
        <v>1460</v>
      </c>
      <c r="Z1640" s="84" t="str">
        <f>HYPERLINK("https://twitter.com/yanguning2/status/1442537061924278273")</f>
        <v>https://twitter.com/yanguning2/status/1442537061924278273</v>
      </c>
      <c r="AA1640" s="81"/>
      <c r="AB1640" s="81"/>
      <c r="AC1640" s="86" t="s">
        <v>1956</v>
      </c>
      <c r="AD1640" s="81"/>
      <c r="AE1640" s="81" t="b">
        <v>0</v>
      </c>
      <c r="AF1640" s="81">
        <v>0</v>
      </c>
      <c r="AG1640" s="86" t="s">
        <v>2084</v>
      </c>
      <c r="AH1640" s="81" t="b">
        <v>0</v>
      </c>
      <c r="AI1640" s="81" t="s">
        <v>2167</v>
      </c>
      <c r="AJ1640" s="81"/>
      <c r="AK1640" s="86" t="s">
        <v>2084</v>
      </c>
      <c r="AL1640" s="81" t="b">
        <v>0</v>
      </c>
      <c r="AM1640" s="81">
        <v>9</v>
      </c>
      <c r="AN1640" s="86" t="s">
        <v>1961</v>
      </c>
      <c r="AO1640" s="86" t="s">
        <v>2178</v>
      </c>
      <c r="AP1640" s="81" t="b">
        <v>0</v>
      </c>
      <c r="AQ1640" s="86" t="s">
        <v>1961</v>
      </c>
      <c r="AR1640" s="81" t="s">
        <v>179</v>
      </c>
      <c r="AS1640" s="81">
        <v>0</v>
      </c>
      <c r="AT1640" s="81">
        <v>0</v>
      </c>
      <c r="AU1640" s="81"/>
      <c r="AV1640" s="81"/>
      <c r="AW1640" s="81"/>
      <c r="AX1640" s="81"/>
      <c r="AY1640" s="81"/>
      <c r="AZ1640" s="81"/>
      <c r="BA1640" s="81"/>
      <c r="BB1640" s="81"/>
    </row>
    <row r="1641" spans="1:54" x14ac:dyDescent="0.35">
      <c r="A1641" s="66" t="s">
        <v>575</v>
      </c>
      <c r="B1641" s="66" t="s">
        <v>575</v>
      </c>
      <c r="C1641" s="67"/>
      <c r="D1641" s="68"/>
      <c r="E1641" s="69"/>
      <c r="F1641" s="70"/>
      <c r="G1641" s="67"/>
      <c r="H1641" s="71"/>
      <c r="I1641" s="72"/>
      <c r="J1641" s="72"/>
      <c r="K1641" s="36"/>
      <c r="L1641" s="79"/>
      <c r="M1641" s="79"/>
      <c r="N1641" s="74"/>
      <c r="O1641" s="81" t="s">
        <v>179</v>
      </c>
      <c r="P1641" s="83">
        <v>44466.724490740744</v>
      </c>
      <c r="Q1641" s="81" t="s">
        <v>893</v>
      </c>
      <c r="R1641" s="81"/>
      <c r="S1641" s="81"/>
      <c r="T1641" s="81"/>
      <c r="U1641" s="84" t="str">
        <f>HYPERLINK("https://pbs.twimg.com/media/FATutVKXEAMt9m8.jpg")</f>
        <v>https://pbs.twimg.com/media/FATutVKXEAMt9m8.jpg</v>
      </c>
      <c r="V1641" s="84" t="str">
        <f>HYPERLINK("https://pbs.twimg.com/media/FATutVKXEAMt9m8.jpg")</f>
        <v>https://pbs.twimg.com/media/FATutVKXEAMt9m8.jpg</v>
      </c>
      <c r="W1641" s="83">
        <v>44466.724490740744</v>
      </c>
      <c r="X1641" s="89">
        <v>44466</v>
      </c>
      <c r="Y1641" s="86" t="s">
        <v>1461</v>
      </c>
      <c r="Z1641" s="84" t="str">
        <f>HYPERLINK("https://twitter.com/danicdanic/status/1442540353815396356")</f>
        <v>https://twitter.com/danicdanic/status/1442540353815396356</v>
      </c>
      <c r="AA1641" s="81"/>
      <c r="AB1641" s="81"/>
      <c r="AC1641" s="86" t="s">
        <v>1957</v>
      </c>
      <c r="AD1641" s="81"/>
      <c r="AE1641" s="81" t="b">
        <v>0</v>
      </c>
      <c r="AF1641" s="81">
        <v>0</v>
      </c>
      <c r="AG1641" s="86" t="s">
        <v>2084</v>
      </c>
      <c r="AH1641" s="81" t="b">
        <v>0</v>
      </c>
      <c r="AI1641" s="81" t="s">
        <v>2167</v>
      </c>
      <c r="AJ1641" s="81"/>
      <c r="AK1641" s="86" t="s">
        <v>2084</v>
      </c>
      <c r="AL1641" s="81" t="b">
        <v>0</v>
      </c>
      <c r="AM1641" s="81">
        <v>0</v>
      </c>
      <c r="AN1641" s="86" t="s">
        <v>2084</v>
      </c>
      <c r="AO1641" s="86" t="s">
        <v>2181</v>
      </c>
      <c r="AP1641" s="81" t="b">
        <v>0</v>
      </c>
      <c r="AQ1641" s="86" t="s">
        <v>1957</v>
      </c>
      <c r="AR1641" s="81" t="s">
        <v>179</v>
      </c>
      <c r="AS1641" s="81">
        <v>0</v>
      </c>
      <c r="AT1641" s="81">
        <v>0</v>
      </c>
      <c r="AU1641" s="81"/>
      <c r="AV1641" s="81"/>
      <c r="AW1641" s="81"/>
      <c r="AX1641" s="81"/>
      <c r="AY1641" s="81"/>
      <c r="AZ1641" s="81"/>
      <c r="BA1641" s="81"/>
      <c r="BB1641" s="81"/>
    </row>
    <row r="1642" spans="1:54" x14ac:dyDescent="0.35">
      <c r="A1642" s="66" t="s">
        <v>4835</v>
      </c>
      <c r="B1642" s="66" t="s">
        <v>5169</v>
      </c>
      <c r="C1642" s="67"/>
      <c r="D1642" s="68"/>
      <c r="E1642" s="69"/>
      <c r="F1642" s="70"/>
      <c r="G1642" s="67"/>
      <c r="H1642" s="71"/>
      <c r="I1642" s="72"/>
      <c r="J1642" s="72"/>
      <c r="K1642" s="36"/>
      <c r="L1642" s="79"/>
      <c r="M1642" s="79"/>
      <c r="N1642" s="74"/>
      <c r="O1642" s="81" t="s">
        <v>695</v>
      </c>
      <c r="P1642" s="83">
        <v>44466.755439814813</v>
      </c>
      <c r="Q1642" s="81" t="s">
        <v>5569</v>
      </c>
      <c r="R1642" s="81"/>
      <c r="S1642" s="81"/>
      <c r="T1642" s="81"/>
      <c r="U1642" s="81"/>
      <c r="V1642" s="84" t="str">
        <f>HYPERLINK("https://pbs.twimg.com/profile_images/1327615800375713792/U1_yIBEI_normal.jpg")</f>
        <v>https://pbs.twimg.com/profile_images/1327615800375713792/U1_yIBEI_normal.jpg</v>
      </c>
      <c r="W1642" s="83">
        <v>44466.755439814813</v>
      </c>
      <c r="X1642" s="89">
        <v>44466</v>
      </c>
      <c r="Y1642" s="86" t="s">
        <v>6485</v>
      </c>
      <c r="Z1642" s="84" t="str">
        <f>HYPERLINK("https://twitter.com/karmaisaroundus/status/1442551569430503428")</f>
        <v>https://twitter.com/karmaisaroundus/status/1442551569430503428</v>
      </c>
      <c r="AA1642" s="81"/>
      <c r="AB1642" s="81"/>
      <c r="AC1642" s="86" t="s">
        <v>7405</v>
      </c>
      <c r="AD1642" s="86" t="s">
        <v>7736</v>
      </c>
      <c r="AE1642" s="81" t="b">
        <v>0</v>
      </c>
      <c r="AF1642" s="81">
        <v>1</v>
      </c>
      <c r="AG1642" s="86" t="s">
        <v>7913</v>
      </c>
      <c r="AH1642" s="81" t="b">
        <v>0</v>
      </c>
      <c r="AI1642" s="81" t="s">
        <v>7961</v>
      </c>
      <c r="AJ1642" s="81"/>
      <c r="AK1642" s="86" t="s">
        <v>2084</v>
      </c>
      <c r="AL1642" s="81" t="b">
        <v>0</v>
      </c>
      <c r="AM1642" s="81">
        <v>0</v>
      </c>
      <c r="AN1642" s="86" t="s">
        <v>2084</v>
      </c>
      <c r="AO1642" s="86" t="s">
        <v>2179</v>
      </c>
      <c r="AP1642" s="81" t="b">
        <v>0</v>
      </c>
      <c r="AQ1642" s="86" t="s">
        <v>7736</v>
      </c>
      <c r="AR1642" s="81" t="s">
        <v>179</v>
      </c>
      <c r="AS1642" s="81">
        <v>0</v>
      </c>
      <c r="AT1642" s="81">
        <v>0</v>
      </c>
      <c r="AU1642" s="81"/>
      <c r="AV1642" s="81"/>
      <c r="AW1642" s="81"/>
      <c r="AX1642" s="81"/>
      <c r="AY1642" s="81"/>
      <c r="AZ1642" s="81"/>
      <c r="BA1642" s="81"/>
      <c r="BB1642" s="81"/>
    </row>
    <row r="1643" spans="1:54" x14ac:dyDescent="0.35">
      <c r="A1643" s="66" t="s">
        <v>4836</v>
      </c>
      <c r="B1643" s="66" t="s">
        <v>4836</v>
      </c>
      <c r="C1643" s="67"/>
      <c r="D1643" s="68"/>
      <c r="E1643" s="69"/>
      <c r="F1643" s="70"/>
      <c r="G1643" s="67"/>
      <c r="H1643" s="71"/>
      <c r="I1643" s="72"/>
      <c r="J1643" s="72"/>
      <c r="K1643" s="36"/>
      <c r="L1643" s="79"/>
      <c r="M1643" s="79"/>
      <c r="N1643" s="74"/>
      <c r="O1643" s="81" t="s">
        <v>179</v>
      </c>
      <c r="P1643" s="83">
        <v>44466.772314814814</v>
      </c>
      <c r="Q1643" s="81" t="s">
        <v>5570</v>
      </c>
      <c r="R1643" s="81"/>
      <c r="S1643" s="81"/>
      <c r="T1643" s="81"/>
      <c r="U1643" s="81"/>
      <c r="V1643" s="84" t="str">
        <f>HYPERLINK("https://pbs.twimg.com/profile_images/1429623932987092995/FEqcVl3n_normal.jpg")</f>
        <v>https://pbs.twimg.com/profile_images/1429623932987092995/FEqcVl3n_normal.jpg</v>
      </c>
      <c r="W1643" s="83">
        <v>44466.772314814814</v>
      </c>
      <c r="X1643" s="89">
        <v>44466</v>
      </c>
      <c r="Y1643" s="86" t="s">
        <v>6486</v>
      </c>
      <c r="Z1643" s="84" t="str">
        <f>HYPERLINK("https://twitter.com/anapxv/status/1442557686244065289")</f>
        <v>https://twitter.com/anapxv/status/1442557686244065289</v>
      </c>
      <c r="AA1643" s="81"/>
      <c r="AB1643" s="81"/>
      <c r="AC1643" s="86" t="s">
        <v>7406</v>
      </c>
      <c r="AD1643" s="81"/>
      <c r="AE1643" s="81" t="b">
        <v>0</v>
      </c>
      <c r="AF1643" s="81">
        <v>1</v>
      </c>
      <c r="AG1643" s="86" t="s">
        <v>2084</v>
      </c>
      <c r="AH1643" s="81" t="b">
        <v>0</v>
      </c>
      <c r="AI1643" s="81" t="s">
        <v>2171</v>
      </c>
      <c r="AJ1643" s="81"/>
      <c r="AK1643" s="86" t="s">
        <v>2084</v>
      </c>
      <c r="AL1643" s="81" t="b">
        <v>0</v>
      </c>
      <c r="AM1643" s="81">
        <v>0</v>
      </c>
      <c r="AN1643" s="86" t="s">
        <v>2084</v>
      </c>
      <c r="AO1643" s="86" t="s">
        <v>2179</v>
      </c>
      <c r="AP1643" s="81" t="b">
        <v>0</v>
      </c>
      <c r="AQ1643" s="86" t="s">
        <v>7406</v>
      </c>
      <c r="AR1643" s="81" t="s">
        <v>179</v>
      </c>
      <c r="AS1643" s="81">
        <v>0</v>
      </c>
      <c r="AT1643" s="81">
        <v>0</v>
      </c>
      <c r="AU1643" s="81"/>
      <c r="AV1643" s="81"/>
      <c r="AW1643" s="81"/>
      <c r="AX1643" s="81"/>
      <c r="AY1643" s="81"/>
      <c r="AZ1643" s="81"/>
      <c r="BA1643" s="81"/>
      <c r="BB1643" s="81"/>
    </row>
    <row r="1644" spans="1:54" x14ac:dyDescent="0.35">
      <c r="A1644" s="66" t="s">
        <v>576</v>
      </c>
      <c r="B1644" s="66" t="s">
        <v>646</v>
      </c>
      <c r="C1644" s="67"/>
      <c r="D1644" s="68"/>
      <c r="E1644" s="69"/>
      <c r="F1644" s="70"/>
      <c r="G1644" s="67"/>
      <c r="H1644" s="71"/>
      <c r="I1644" s="72"/>
      <c r="J1644" s="72"/>
      <c r="K1644" s="36"/>
      <c r="L1644" s="79"/>
      <c r="M1644" s="79"/>
      <c r="N1644" s="74"/>
      <c r="O1644" s="81" t="s">
        <v>694</v>
      </c>
      <c r="P1644" s="83">
        <v>44461.188240740739</v>
      </c>
      <c r="Q1644" s="81" t="s">
        <v>894</v>
      </c>
      <c r="R1644" s="81"/>
      <c r="S1644" s="81"/>
      <c r="T1644" s="81"/>
      <c r="U1644" s="84" t="str">
        <f>HYPERLINK("https://pbs.twimg.com/media/E_3Nn1rUcAgl6MY.jpg")</f>
        <v>https://pbs.twimg.com/media/E_3Nn1rUcAgl6MY.jpg</v>
      </c>
      <c r="V1644" s="84" t="str">
        <f>HYPERLINK("https://pbs.twimg.com/media/E_3Nn1rUcAgl6MY.jpg")</f>
        <v>https://pbs.twimg.com/media/E_3Nn1rUcAgl6MY.jpg</v>
      </c>
      <c r="W1644" s="83">
        <v>44461.188240740739</v>
      </c>
      <c r="X1644" s="89">
        <v>44461</v>
      </c>
      <c r="Y1644" s="86" t="s">
        <v>1462</v>
      </c>
      <c r="Z1644" s="84" t="str">
        <f>HYPERLINK("https://twitter.com/btsmarketmy/status/1440534087328931849")</f>
        <v>https://twitter.com/btsmarketmy/status/1440534087328931849</v>
      </c>
      <c r="AA1644" s="81"/>
      <c r="AB1644" s="81"/>
      <c r="AC1644" s="86" t="s">
        <v>1958</v>
      </c>
      <c r="AD1644" s="81"/>
      <c r="AE1644" s="81" t="b">
        <v>0</v>
      </c>
      <c r="AF1644" s="81">
        <v>0</v>
      </c>
      <c r="AG1644" s="86" t="s">
        <v>2084</v>
      </c>
      <c r="AH1644" s="81" t="b">
        <v>0</v>
      </c>
      <c r="AI1644" s="81" t="s">
        <v>2168</v>
      </c>
      <c r="AJ1644" s="81"/>
      <c r="AK1644" s="86" t="s">
        <v>2084</v>
      </c>
      <c r="AL1644" s="81" t="b">
        <v>0</v>
      </c>
      <c r="AM1644" s="81">
        <v>2</v>
      </c>
      <c r="AN1644" s="86" t="s">
        <v>1959</v>
      </c>
      <c r="AO1644" s="86" t="s">
        <v>2179</v>
      </c>
      <c r="AP1644" s="81" t="b">
        <v>0</v>
      </c>
      <c r="AQ1644" s="86" t="s">
        <v>1959</v>
      </c>
      <c r="AR1644" s="81" t="s">
        <v>179</v>
      </c>
      <c r="AS1644" s="81">
        <v>0</v>
      </c>
      <c r="AT1644" s="81">
        <v>0</v>
      </c>
      <c r="AU1644" s="81"/>
      <c r="AV1644" s="81"/>
      <c r="AW1644" s="81"/>
      <c r="AX1644" s="81"/>
      <c r="AY1644" s="81"/>
      <c r="AZ1644" s="81"/>
      <c r="BA1644" s="81"/>
      <c r="BB1644" s="81"/>
    </row>
    <row r="1645" spans="1:54" x14ac:dyDescent="0.35">
      <c r="A1645" s="66" t="s">
        <v>576</v>
      </c>
      <c r="B1645" s="66" t="s">
        <v>649</v>
      </c>
      <c r="C1645" s="67"/>
      <c r="D1645" s="68"/>
      <c r="E1645" s="69"/>
      <c r="F1645" s="70"/>
      <c r="G1645" s="67"/>
      <c r="H1645" s="71"/>
      <c r="I1645" s="72"/>
      <c r="J1645" s="72"/>
      <c r="K1645" s="36"/>
      <c r="L1645" s="79"/>
      <c r="M1645" s="79"/>
      <c r="N1645" s="74"/>
      <c r="O1645" s="81" t="s">
        <v>694</v>
      </c>
      <c r="P1645" s="83">
        <v>44461.188240740739</v>
      </c>
      <c r="Q1645" s="81" t="s">
        <v>894</v>
      </c>
      <c r="R1645" s="81"/>
      <c r="S1645" s="81"/>
      <c r="T1645" s="81"/>
      <c r="U1645" s="84" t="str">
        <f>HYPERLINK("https://pbs.twimg.com/media/E_3Nn1rUcAgl6MY.jpg")</f>
        <v>https://pbs.twimg.com/media/E_3Nn1rUcAgl6MY.jpg</v>
      </c>
      <c r="V1645" s="84" t="str">
        <f>HYPERLINK("https://pbs.twimg.com/media/E_3Nn1rUcAgl6MY.jpg")</f>
        <v>https://pbs.twimg.com/media/E_3Nn1rUcAgl6MY.jpg</v>
      </c>
      <c r="W1645" s="83">
        <v>44461.188240740739</v>
      </c>
      <c r="X1645" s="89">
        <v>44461</v>
      </c>
      <c r="Y1645" s="86" t="s">
        <v>1462</v>
      </c>
      <c r="Z1645" s="84" t="str">
        <f>HYPERLINK("https://twitter.com/btsmarketmy/status/1440534087328931849")</f>
        <v>https://twitter.com/btsmarketmy/status/1440534087328931849</v>
      </c>
      <c r="AA1645" s="81"/>
      <c r="AB1645" s="81"/>
      <c r="AC1645" s="86" t="s">
        <v>1958</v>
      </c>
      <c r="AD1645" s="81"/>
      <c r="AE1645" s="81" t="b">
        <v>0</v>
      </c>
      <c r="AF1645" s="81">
        <v>0</v>
      </c>
      <c r="AG1645" s="86" t="s">
        <v>2084</v>
      </c>
      <c r="AH1645" s="81" t="b">
        <v>0</v>
      </c>
      <c r="AI1645" s="81" t="s">
        <v>2168</v>
      </c>
      <c r="AJ1645" s="81"/>
      <c r="AK1645" s="86" t="s">
        <v>2084</v>
      </c>
      <c r="AL1645" s="81" t="b">
        <v>0</v>
      </c>
      <c r="AM1645" s="81">
        <v>2</v>
      </c>
      <c r="AN1645" s="86" t="s">
        <v>1959</v>
      </c>
      <c r="AO1645" s="86" t="s">
        <v>2179</v>
      </c>
      <c r="AP1645" s="81" t="b">
        <v>0</v>
      </c>
      <c r="AQ1645" s="86" t="s">
        <v>1959</v>
      </c>
      <c r="AR1645" s="81" t="s">
        <v>179</v>
      </c>
      <c r="AS1645" s="81">
        <v>0</v>
      </c>
      <c r="AT1645" s="81">
        <v>0</v>
      </c>
      <c r="AU1645" s="81"/>
      <c r="AV1645" s="81"/>
      <c r="AW1645" s="81"/>
      <c r="AX1645" s="81"/>
      <c r="AY1645" s="81"/>
      <c r="AZ1645" s="81"/>
      <c r="BA1645" s="81"/>
      <c r="BB1645" s="81"/>
    </row>
    <row r="1646" spans="1:54" x14ac:dyDescent="0.35">
      <c r="A1646" s="66" t="s">
        <v>576</v>
      </c>
      <c r="B1646" s="66" t="s">
        <v>577</v>
      </c>
      <c r="C1646" s="67"/>
      <c r="D1646" s="68"/>
      <c r="E1646" s="69"/>
      <c r="F1646" s="70"/>
      <c r="G1646" s="67"/>
      <c r="H1646" s="71"/>
      <c r="I1646" s="72"/>
      <c r="J1646" s="72"/>
      <c r="K1646" s="36"/>
      <c r="L1646" s="79"/>
      <c r="M1646" s="79"/>
      <c r="N1646" s="74"/>
      <c r="O1646" s="81" t="s">
        <v>693</v>
      </c>
      <c r="P1646" s="83">
        <v>44461.188240740739</v>
      </c>
      <c r="Q1646" s="81" t="s">
        <v>894</v>
      </c>
      <c r="R1646" s="81"/>
      <c r="S1646" s="81"/>
      <c r="T1646" s="81"/>
      <c r="U1646" s="84" t="str">
        <f>HYPERLINK("https://pbs.twimg.com/media/E_3Nn1rUcAgl6MY.jpg")</f>
        <v>https://pbs.twimg.com/media/E_3Nn1rUcAgl6MY.jpg</v>
      </c>
      <c r="V1646" s="84" t="str">
        <f>HYPERLINK("https://pbs.twimg.com/media/E_3Nn1rUcAgl6MY.jpg")</f>
        <v>https://pbs.twimg.com/media/E_3Nn1rUcAgl6MY.jpg</v>
      </c>
      <c r="W1646" s="83">
        <v>44461.188240740739</v>
      </c>
      <c r="X1646" s="89">
        <v>44461</v>
      </c>
      <c r="Y1646" s="86" t="s">
        <v>1462</v>
      </c>
      <c r="Z1646" s="84" t="str">
        <f>HYPERLINK("https://twitter.com/btsmarketmy/status/1440534087328931849")</f>
        <v>https://twitter.com/btsmarketmy/status/1440534087328931849</v>
      </c>
      <c r="AA1646" s="81"/>
      <c r="AB1646" s="81"/>
      <c r="AC1646" s="86" t="s">
        <v>1958</v>
      </c>
      <c r="AD1646" s="81"/>
      <c r="AE1646" s="81" t="b">
        <v>0</v>
      </c>
      <c r="AF1646" s="81">
        <v>0</v>
      </c>
      <c r="AG1646" s="86" t="s">
        <v>2084</v>
      </c>
      <c r="AH1646" s="81" t="b">
        <v>0</v>
      </c>
      <c r="AI1646" s="81" t="s">
        <v>2168</v>
      </c>
      <c r="AJ1646" s="81"/>
      <c r="AK1646" s="86" t="s">
        <v>2084</v>
      </c>
      <c r="AL1646" s="81" t="b">
        <v>0</v>
      </c>
      <c r="AM1646" s="81">
        <v>2</v>
      </c>
      <c r="AN1646" s="86" t="s">
        <v>1959</v>
      </c>
      <c r="AO1646" s="86" t="s">
        <v>2179</v>
      </c>
      <c r="AP1646" s="81" t="b">
        <v>0</v>
      </c>
      <c r="AQ1646" s="86" t="s">
        <v>1959</v>
      </c>
      <c r="AR1646" s="81" t="s">
        <v>179</v>
      </c>
      <c r="AS1646" s="81">
        <v>0</v>
      </c>
      <c r="AT1646" s="81">
        <v>0</v>
      </c>
      <c r="AU1646" s="81"/>
      <c r="AV1646" s="81"/>
      <c r="AW1646" s="81"/>
      <c r="AX1646" s="81"/>
      <c r="AY1646" s="81"/>
      <c r="AZ1646" s="81"/>
      <c r="BA1646" s="81"/>
      <c r="BB1646" s="81"/>
    </row>
    <row r="1647" spans="1:54" x14ac:dyDescent="0.35">
      <c r="A1647" s="66" t="s">
        <v>577</v>
      </c>
      <c r="B1647" s="66" t="s">
        <v>576</v>
      </c>
      <c r="C1647" s="67"/>
      <c r="D1647" s="68"/>
      <c r="E1647" s="69"/>
      <c r="F1647" s="70"/>
      <c r="G1647" s="67"/>
      <c r="H1647" s="71"/>
      <c r="I1647" s="72"/>
      <c r="J1647" s="72"/>
      <c r="K1647" s="36"/>
      <c r="L1647" s="79"/>
      <c r="M1647" s="79"/>
      <c r="N1647" s="74"/>
      <c r="O1647" s="81" t="s">
        <v>696</v>
      </c>
      <c r="P1647" s="83">
        <v>44461.186782407407</v>
      </c>
      <c r="Q1647" s="81" t="s">
        <v>894</v>
      </c>
      <c r="R1647" s="81"/>
      <c r="S1647" s="81"/>
      <c r="T1647" s="81"/>
      <c r="U1647" s="84" t="str">
        <f>HYPERLINK("https://pbs.twimg.com/media/E_3Nn1rUcAgl6MY.jpg")</f>
        <v>https://pbs.twimg.com/media/E_3Nn1rUcAgl6MY.jpg</v>
      </c>
      <c r="V1647" s="84" t="str">
        <f>HYPERLINK("https://pbs.twimg.com/media/E_3Nn1rUcAgl6MY.jpg")</f>
        <v>https://pbs.twimg.com/media/E_3Nn1rUcAgl6MY.jpg</v>
      </c>
      <c r="W1647" s="83">
        <v>44461.186782407407</v>
      </c>
      <c r="X1647" s="89">
        <v>44461</v>
      </c>
      <c r="Y1647" s="86" t="s">
        <v>1463</v>
      </c>
      <c r="Z1647" s="84" t="str">
        <f>HYPERLINK("https://twitter.com/blinkuelilies/status/1440533555721867265")</f>
        <v>https://twitter.com/blinkuelilies/status/1440533555721867265</v>
      </c>
      <c r="AA1647" s="81"/>
      <c r="AB1647" s="81"/>
      <c r="AC1647" s="86" t="s">
        <v>1959</v>
      </c>
      <c r="AD1647" s="81"/>
      <c r="AE1647" s="81" t="b">
        <v>0</v>
      </c>
      <c r="AF1647" s="81">
        <v>2</v>
      </c>
      <c r="AG1647" s="86" t="s">
        <v>2084</v>
      </c>
      <c r="AH1647" s="81" t="b">
        <v>0</v>
      </c>
      <c r="AI1647" s="81" t="s">
        <v>2168</v>
      </c>
      <c r="AJ1647" s="81"/>
      <c r="AK1647" s="86" t="s">
        <v>2084</v>
      </c>
      <c r="AL1647" s="81" t="b">
        <v>0</v>
      </c>
      <c r="AM1647" s="81">
        <v>2</v>
      </c>
      <c r="AN1647" s="86" t="s">
        <v>2084</v>
      </c>
      <c r="AO1647" s="86" t="s">
        <v>2178</v>
      </c>
      <c r="AP1647" s="81" t="b">
        <v>0</v>
      </c>
      <c r="AQ1647" s="86" t="s">
        <v>1959</v>
      </c>
      <c r="AR1647" s="81" t="s">
        <v>179</v>
      </c>
      <c r="AS1647" s="81">
        <v>0</v>
      </c>
      <c r="AT1647" s="81">
        <v>0</v>
      </c>
      <c r="AU1647" s="81"/>
      <c r="AV1647" s="81"/>
      <c r="AW1647" s="81"/>
      <c r="AX1647" s="81"/>
      <c r="AY1647" s="81"/>
      <c r="AZ1647" s="81"/>
      <c r="BA1647" s="81"/>
      <c r="BB1647" s="81"/>
    </row>
    <row r="1648" spans="1:54" x14ac:dyDescent="0.35">
      <c r="A1648" s="66" t="s">
        <v>577</v>
      </c>
      <c r="B1648" s="66" t="s">
        <v>576</v>
      </c>
      <c r="C1648" s="67"/>
      <c r="D1648" s="68"/>
      <c r="E1648" s="69"/>
      <c r="F1648" s="70"/>
      <c r="G1648" s="67"/>
      <c r="H1648" s="71"/>
      <c r="I1648" s="72"/>
      <c r="J1648" s="72"/>
      <c r="K1648" s="36"/>
      <c r="L1648" s="79"/>
      <c r="M1648" s="79"/>
      <c r="N1648" s="74"/>
      <c r="O1648" s="81" t="s">
        <v>694</v>
      </c>
      <c r="P1648" s="83">
        <v>44466.799479166664</v>
      </c>
      <c r="Q1648" s="81" t="s">
        <v>894</v>
      </c>
      <c r="R1648" s="81"/>
      <c r="S1648" s="81"/>
      <c r="T1648" s="81"/>
      <c r="U1648" s="84" t="str">
        <f>HYPERLINK("https://pbs.twimg.com/media/E_3Nn1rUcAgl6MY.jpg")</f>
        <v>https://pbs.twimg.com/media/E_3Nn1rUcAgl6MY.jpg</v>
      </c>
      <c r="V1648" s="84" t="str">
        <f>HYPERLINK("https://pbs.twimg.com/media/E_3Nn1rUcAgl6MY.jpg")</f>
        <v>https://pbs.twimg.com/media/E_3Nn1rUcAgl6MY.jpg</v>
      </c>
      <c r="W1648" s="83">
        <v>44466.799479166664</v>
      </c>
      <c r="X1648" s="89">
        <v>44466</v>
      </c>
      <c r="Y1648" s="86" t="s">
        <v>1464</v>
      </c>
      <c r="Z1648" s="84" t="str">
        <f>HYPERLINK("https://twitter.com/blinkuelilies/status/1442567528660697089")</f>
        <v>https://twitter.com/blinkuelilies/status/1442567528660697089</v>
      </c>
      <c r="AA1648" s="81"/>
      <c r="AB1648" s="81"/>
      <c r="AC1648" s="86" t="s">
        <v>1960</v>
      </c>
      <c r="AD1648" s="81"/>
      <c r="AE1648" s="81" t="b">
        <v>0</v>
      </c>
      <c r="AF1648" s="81">
        <v>0</v>
      </c>
      <c r="AG1648" s="86" t="s">
        <v>2084</v>
      </c>
      <c r="AH1648" s="81" t="b">
        <v>0</v>
      </c>
      <c r="AI1648" s="81" t="s">
        <v>2168</v>
      </c>
      <c r="AJ1648" s="81"/>
      <c r="AK1648" s="86" t="s">
        <v>2084</v>
      </c>
      <c r="AL1648" s="81" t="b">
        <v>0</v>
      </c>
      <c r="AM1648" s="81">
        <v>2</v>
      </c>
      <c r="AN1648" s="86" t="s">
        <v>1959</v>
      </c>
      <c r="AO1648" s="86" t="s">
        <v>2178</v>
      </c>
      <c r="AP1648" s="81" t="b">
        <v>0</v>
      </c>
      <c r="AQ1648" s="86" t="s">
        <v>1959</v>
      </c>
      <c r="AR1648" s="81" t="s">
        <v>179</v>
      </c>
      <c r="AS1648" s="81">
        <v>0</v>
      </c>
      <c r="AT1648" s="81">
        <v>0</v>
      </c>
      <c r="AU1648" s="81"/>
      <c r="AV1648" s="81"/>
      <c r="AW1648" s="81"/>
      <c r="AX1648" s="81"/>
      <c r="AY1648" s="81"/>
      <c r="AZ1648" s="81"/>
      <c r="BA1648" s="81"/>
      <c r="BB1648" s="81"/>
    </row>
    <row r="1649" spans="1:54" x14ac:dyDescent="0.35">
      <c r="A1649" s="66" t="s">
        <v>577</v>
      </c>
      <c r="B1649" s="66" t="s">
        <v>646</v>
      </c>
      <c r="C1649" s="67"/>
      <c r="D1649" s="68"/>
      <c r="E1649" s="69"/>
      <c r="F1649" s="70"/>
      <c r="G1649" s="67"/>
      <c r="H1649" s="71"/>
      <c r="I1649" s="72"/>
      <c r="J1649" s="72"/>
      <c r="K1649" s="36"/>
      <c r="L1649" s="79"/>
      <c r="M1649" s="79"/>
      <c r="N1649" s="74"/>
      <c r="O1649" s="81" t="s">
        <v>696</v>
      </c>
      <c r="P1649" s="83">
        <v>44461.186782407407</v>
      </c>
      <c r="Q1649" s="81" t="s">
        <v>894</v>
      </c>
      <c r="R1649" s="81"/>
      <c r="S1649" s="81"/>
      <c r="T1649" s="81"/>
      <c r="U1649" s="84" t="str">
        <f>HYPERLINK("https://pbs.twimg.com/media/E_3Nn1rUcAgl6MY.jpg")</f>
        <v>https://pbs.twimg.com/media/E_3Nn1rUcAgl6MY.jpg</v>
      </c>
      <c r="V1649" s="84" t="str">
        <f>HYPERLINK("https://pbs.twimg.com/media/E_3Nn1rUcAgl6MY.jpg")</f>
        <v>https://pbs.twimg.com/media/E_3Nn1rUcAgl6MY.jpg</v>
      </c>
      <c r="W1649" s="83">
        <v>44461.186782407407</v>
      </c>
      <c r="X1649" s="89">
        <v>44461</v>
      </c>
      <c r="Y1649" s="86" t="s">
        <v>1463</v>
      </c>
      <c r="Z1649" s="84" t="str">
        <f>HYPERLINK("https://twitter.com/blinkuelilies/status/1440533555721867265")</f>
        <v>https://twitter.com/blinkuelilies/status/1440533555721867265</v>
      </c>
      <c r="AA1649" s="81"/>
      <c r="AB1649" s="81"/>
      <c r="AC1649" s="86" t="s">
        <v>1959</v>
      </c>
      <c r="AD1649" s="81"/>
      <c r="AE1649" s="81" t="b">
        <v>0</v>
      </c>
      <c r="AF1649" s="81">
        <v>2</v>
      </c>
      <c r="AG1649" s="86" t="s">
        <v>2084</v>
      </c>
      <c r="AH1649" s="81" t="b">
        <v>0</v>
      </c>
      <c r="AI1649" s="81" t="s">
        <v>2168</v>
      </c>
      <c r="AJ1649" s="81"/>
      <c r="AK1649" s="86" t="s">
        <v>2084</v>
      </c>
      <c r="AL1649" s="81" t="b">
        <v>0</v>
      </c>
      <c r="AM1649" s="81">
        <v>2</v>
      </c>
      <c r="AN1649" s="86" t="s">
        <v>2084</v>
      </c>
      <c r="AO1649" s="86" t="s">
        <v>2178</v>
      </c>
      <c r="AP1649" s="81" t="b">
        <v>0</v>
      </c>
      <c r="AQ1649" s="86" t="s">
        <v>1959</v>
      </c>
      <c r="AR1649" s="81" t="s">
        <v>179</v>
      </c>
      <c r="AS1649" s="81">
        <v>0</v>
      </c>
      <c r="AT1649" s="81">
        <v>0</v>
      </c>
      <c r="AU1649" s="81"/>
      <c r="AV1649" s="81"/>
      <c r="AW1649" s="81"/>
      <c r="AX1649" s="81"/>
      <c r="AY1649" s="81"/>
      <c r="AZ1649" s="81"/>
      <c r="BA1649" s="81"/>
      <c r="BB1649" s="81"/>
    </row>
    <row r="1650" spans="1:54" x14ac:dyDescent="0.35">
      <c r="A1650" s="66" t="s">
        <v>577</v>
      </c>
      <c r="B1650" s="66" t="s">
        <v>649</v>
      </c>
      <c r="C1650" s="67"/>
      <c r="D1650" s="68"/>
      <c r="E1650" s="69"/>
      <c r="F1650" s="70"/>
      <c r="G1650" s="67"/>
      <c r="H1650" s="71"/>
      <c r="I1650" s="72"/>
      <c r="J1650" s="72"/>
      <c r="K1650" s="36"/>
      <c r="L1650" s="79"/>
      <c r="M1650" s="79"/>
      <c r="N1650" s="74"/>
      <c r="O1650" s="81" t="s">
        <v>696</v>
      </c>
      <c r="P1650" s="83">
        <v>44461.186782407407</v>
      </c>
      <c r="Q1650" s="81" t="s">
        <v>894</v>
      </c>
      <c r="R1650" s="81"/>
      <c r="S1650" s="81"/>
      <c r="T1650" s="81"/>
      <c r="U1650" s="84" t="str">
        <f>HYPERLINK("https://pbs.twimg.com/media/E_3Nn1rUcAgl6MY.jpg")</f>
        <v>https://pbs.twimg.com/media/E_3Nn1rUcAgl6MY.jpg</v>
      </c>
      <c r="V1650" s="84" t="str">
        <f>HYPERLINK("https://pbs.twimg.com/media/E_3Nn1rUcAgl6MY.jpg")</f>
        <v>https://pbs.twimg.com/media/E_3Nn1rUcAgl6MY.jpg</v>
      </c>
      <c r="W1650" s="83">
        <v>44461.186782407407</v>
      </c>
      <c r="X1650" s="89">
        <v>44461</v>
      </c>
      <c r="Y1650" s="86" t="s">
        <v>1463</v>
      </c>
      <c r="Z1650" s="84" t="str">
        <f>HYPERLINK("https://twitter.com/blinkuelilies/status/1440533555721867265")</f>
        <v>https://twitter.com/blinkuelilies/status/1440533555721867265</v>
      </c>
      <c r="AA1650" s="81"/>
      <c r="AB1650" s="81"/>
      <c r="AC1650" s="86" t="s">
        <v>1959</v>
      </c>
      <c r="AD1650" s="81"/>
      <c r="AE1650" s="81" t="b">
        <v>0</v>
      </c>
      <c r="AF1650" s="81">
        <v>2</v>
      </c>
      <c r="AG1650" s="86" t="s">
        <v>2084</v>
      </c>
      <c r="AH1650" s="81" t="b">
        <v>0</v>
      </c>
      <c r="AI1650" s="81" t="s">
        <v>2168</v>
      </c>
      <c r="AJ1650" s="81"/>
      <c r="AK1650" s="86" t="s">
        <v>2084</v>
      </c>
      <c r="AL1650" s="81" t="b">
        <v>0</v>
      </c>
      <c r="AM1650" s="81">
        <v>2</v>
      </c>
      <c r="AN1650" s="86" t="s">
        <v>2084</v>
      </c>
      <c r="AO1650" s="86" t="s">
        <v>2178</v>
      </c>
      <c r="AP1650" s="81" t="b">
        <v>0</v>
      </c>
      <c r="AQ1650" s="86" t="s">
        <v>1959</v>
      </c>
      <c r="AR1650" s="81" t="s">
        <v>179</v>
      </c>
      <c r="AS1650" s="81">
        <v>0</v>
      </c>
      <c r="AT1650" s="81">
        <v>0</v>
      </c>
      <c r="AU1650" s="81"/>
      <c r="AV1650" s="81"/>
      <c r="AW1650" s="81"/>
      <c r="AX1650" s="81"/>
      <c r="AY1650" s="81"/>
      <c r="AZ1650" s="81"/>
      <c r="BA1650" s="81"/>
      <c r="BB1650" s="81"/>
    </row>
    <row r="1651" spans="1:54" x14ac:dyDescent="0.35">
      <c r="A1651" s="66" t="s">
        <v>577</v>
      </c>
      <c r="B1651" s="66" t="s">
        <v>646</v>
      </c>
      <c r="C1651" s="67"/>
      <c r="D1651" s="68"/>
      <c r="E1651" s="69"/>
      <c r="F1651" s="70"/>
      <c r="G1651" s="67"/>
      <c r="H1651" s="71"/>
      <c r="I1651" s="72"/>
      <c r="J1651" s="72"/>
      <c r="K1651" s="36"/>
      <c r="L1651" s="79"/>
      <c r="M1651" s="79"/>
      <c r="N1651" s="74"/>
      <c r="O1651" s="81" t="s">
        <v>694</v>
      </c>
      <c r="P1651" s="83">
        <v>44466.799479166664</v>
      </c>
      <c r="Q1651" s="81" t="s">
        <v>894</v>
      </c>
      <c r="R1651" s="81"/>
      <c r="S1651" s="81"/>
      <c r="T1651" s="81"/>
      <c r="U1651" s="84" t="str">
        <f>HYPERLINK("https://pbs.twimg.com/media/E_3Nn1rUcAgl6MY.jpg")</f>
        <v>https://pbs.twimg.com/media/E_3Nn1rUcAgl6MY.jpg</v>
      </c>
      <c r="V1651" s="84" t="str">
        <f>HYPERLINK("https://pbs.twimg.com/media/E_3Nn1rUcAgl6MY.jpg")</f>
        <v>https://pbs.twimg.com/media/E_3Nn1rUcAgl6MY.jpg</v>
      </c>
      <c r="W1651" s="83">
        <v>44466.799479166664</v>
      </c>
      <c r="X1651" s="89">
        <v>44466</v>
      </c>
      <c r="Y1651" s="86" t="s">
        <v>1464</v>
      </c>
      <c r="Z1651" s="84" t="str">
        <f>HYPERLINK("https://twitter.com/blinkuelilies/status/1442567528660697089")</f>
        <v>https://twitter.com/blinkuelilies/status/1442567528660697089</v>
      </c>
      <c r="AA1651" s="81"/>
      <c r="AB1651" s="81"/>
      <c r="AC1651" s="86" t="s">
        <v>1960</v>
      </c>
      <c r="AD1651" s="81"/>
      <c r="AE1651" s="81" t="b">
        <v>0</v>
      </c>
      <c r="AF1651" s="81">
        <v>0</v>
      </c>
      <c r="AG1651" s="86" t="s">
        <v>2084</v>
      </c>
      <c r="AH1651" s="81" t="b">
        <v>0</v>
      </c>
      <c r="AI1651" s="81" t="s">
        <v>2168</v>
      </c>
      <c r="AJ1651" s="81"/>
      <c r="AK1651" s="86" t="s">
        <v>2084</v>
      </c>
      <c r="AL1651" s="81" t="b">
        <v>0</v>
      </c>
      <c r="AM1651" s="81">
        <v>2</v>
      </c>
      <c r="AN1651" s="86" t="s">
        <v>1959</v>
      </c>
      <c r="AO1651" s="86" t="s">
        <v>2178</v>
      </c>
      <c r="AP1651" s="81" t="b">
        <v>0</v>
      </c>
      <c r="AQ1651" s="86" t="s">
        <v>1959</v>
      </c>
      <c r="AR1651" s="81" t="s">
        <v>179</v>
      </c>
      <c r="AS1651" s="81">
        <v>0</v>
      </c>
      <c r="AT1651" s="81">
        <v>0</v>
      </c>
      <c r="AU1651" s="81"/>
      <c r="AV1651" s="81"/>
      <c r="AW1651" s="81"/>
      <c r="AX1651" s="81"/>
      <c r="AY1651" s="81"/>
      <c r="AZ1651" s="81"/>
      <c r="BA1651" s="81"/>
      <c r="BB1651" s="81"/>
    </row>
    <row r="1652" spans="1:54" x14ac:dyDescent="0.35">
      <c r="A1652" s="66" t="s">
        <v>577</v>
      </c>
      <c r="B1652" s="66" t="s">
        <v>649</v>
      </c>
      <c r="C1652" s="67"/>
      <c r="D1652" s="68"/>
      <c r="E1652" s="69"/>
      <c r="F1652" s="70"/>
      <c r="G1652" s="67"/>
      <c r="H1652" s="71"/>
      <c r="I1652" s="72"/>
      <c r="J1652" s="72"/>
      <c r="K1652" s="36"/>
      <c r="L1652" s="79"/>
      <c r="M1652" s="79"/>
      <c r="N1652" s="74"/>
      <c r="O1652" s="81" t="s">
        <v>694</v>
      </c>
      <c r="P1652" s="83">
        <v>44466.799479166664</v>
      </c>
      <c r="Q1652" s="81" t="s">
        <v>894</v>
      </c>
      <c r="R1652" s="81"/>
      <c r="S1652" s="81"/>
      <c r="T1652" s="81"/>
      <c r="U1652" s="84" t="str">
        <f>HYPERLINK("https://pbs.twimg.com/media/E_3Nn1rUcAgl6MY.jpg")</f>
        <v>https://pbs.twimg.com/media/E_3Nn1rUcAgl6MY.jpg</v>
      </c>
      <c r="V1652" s="84" t="str">
        <f>HYPERLINK("https://pbs.twimg.com/media/E_3Nn1rUcAgl6MY.jpg")</f>
        <v>https://pbs.twimg.com/media/E_3Nn1rUcAgl6MY.jpg</v>
      </c>
      <c r="W1652" s="83">
        <v>44466.799479166664</v>
      </c>
      <c r="X1652" s="89">
        <v>44466</v>
      </c>
      <c r="Y1652" s="86" t="s">
        <v>1464</v>
      </c>
      <c r="Z1652" s="84" t="str">
        <f>HYPERLINK("https://twitter.com/blinkuelilies/status/1442567528660697089")</f>
        <v>https://twitter.com/blinkuelilies/status/1442567528660697089</v>
      </c>
      <c r="AA1652" s="81"/>
      <c r="AB1652" s="81"/>
      <c r="AC1652" s="86" t="s">
        <v>1960</v>
      </c>
      <c r="AD1652" s="81"/>
      <c r="AE1652" s="81" t="b">
        <v>0</v>
      </c>
      <c r="AF1652" s="81">
        <v>0</v>
      </c>
      <c r="AG1652" s="86" t="s">
        <v>2084</v>
      </c>
      <c r="AH1652" s="81" t="b">
        <v>0</v>
      </c>
      <c r="AI1652" s="81" t="s">
        <v>2168</v>
      </c>
      <c r="AJ1652" s="81"/>
      <c r="AK1652" s="86" t="s">
        <v>2084</v>
      </c>
      <c r="AL1652" s="81" t="b">
        <v>0</v>
      </c>
      <c r="AM1652" s="81">
        <v>2</v>
      </c>
      <c r="AN1652" s="86" t="s">
        <v>1959</v>
      </c>
      <c r="AO1652" s="86" t="s">
        <v>2178</v>
      </c>
      <c r="AP1652" s="81" t="b">
        <v>0</v>
      </c>
      <c r="AQ1652" s="86" t="s">
        <v>1959</v>
      </c>
      <c r="AR1652" s="81" t="s">
        <v>179</v>
      </c>
      <c r="AS1652" s="81">
        <v>0</v>
      </c>
      <c r="AT1652" s="81">
        <v>0</v>
      </c>
      <c r="AU1652" s="81"/>
      <c r="AV1652" s="81"/>
      <c r="AW1652" s="81"/>
      <c r="AX1652" s="81"/>
      <c r="AY1652" s="81"/>
      <c r="AZ1652" s="81"/>
      <c r="BA1652" s="81"/>
      <c r="BB1652" s="81"/>
    </row>
    <row r="1653" spans="1:54" x14ac:dyDescent="0.35">
      <c r="A1653" s="66" t="s">
        <v>577</v>
      </c>
      <c r="B1653" s="66" t="s">
        <v>577</v>
      </c>
      <c r="C1653" s="67"/>
      <c r="D1653" s="68"/>
      <c r="E1653" s="69"/>
      <c r="F1653" s="70"/>
      <c r="G1653" s="67"/>
      <c r="H1653" s="71"/>
      <c r="I1653" s="72"/>
      <c r="J1653" s="72"/>
      <c r="K1653" s="36"/>
      <c r="L1653" s="79"/>
      <c r="M1653" s="79"/>
      <c r="N1653" s="74"/>
      <c r="O1653" s="81" t="s">
        <v>693</v>
      </c>
      <c r="P1653" s="83">
        <v>44466.799479166664</v>
      </c>
      <c r="Q1653" s="81" t="s">
        <v>894</v>
      </c>
      <c r="R1653" s="81"/>
      <c r="S1653" s="81"/>
      <c r="T1653" s="81"/>
      <c r="U1653" s="84" t="str">
        <f>HYPERLINK("https://pbs.twimg.com/media/E_3Nn1rUcAgl6MY.jpg")</f>
        <v>https://pbs.twimg.com/media/E_3Nn1rUcAgl6MY.jpg</v>
      </c>
      <c r="V1653" s="84" t="str">
        <f>HYPERLINK("https://pbs.twimg.com/media/E_3Nn1rUcAgl6MY.jpg")</f>
        <v>https://pbs.twimg.com/media/E_3Nn1rUcAgl6MY.jpg</v>
      </c>
      <c r="W1653" s="83">
        <v>44466.799479166664</v>
      </c>
      <c r="X1653" s="89">
        <v>44466</v>
      </c>
      <c r="Y1653" s="86" t="s">
        <v>1464</v>
      </c>
      <c r="Z1653" s="84" t="str">
        <f>HYPERLINK("https://twitter.com/blinkuelilies/status/1442567528660697089")</f>
        <v>https://twitter.com/blinkuelilies/status/1442567528660697089</v>
      </c>
      <c r="AA1653" s="81"/>
      <c r="AB1653" s="81"/>
      <c r="AC1653" s="86" t="s">
        <v>1960</v>
      </c>
      <c r="AD1653" s="81"/>
      <c r="AE1653" s="81" t="b">
        <v>0</v>
      </c>
      <c r="AF1653" s="81">
        <v>0</v>
      </c>
      <c r="AG1653" s="86" t="s">
        <v>2084</v>
      </c>
      <c r="AH1653" s="81" t="b">
        <v>0</v>
      </c>
      <c r="AI1653" s="81" t="s">
        <v>2168</v>
      </c>
      <c r="AJ1653" s="81"/>
      <c r="AK1653" s="86" t="s">
        <v>2084</v>
      </c>
      <c r="AL1653" s="81" t="b">
        <v>0</v>
      </c>
      <c r="AM1653" s="81">
        <v>2</v>
      </c>
      <c r="AN1653" s="86" t="s">
        <v>1959</v>
      </c>
      <c r="AO1653" s="86" t="s">
        <v>2178</v>
      </c>
      <c r="AP1653" s="81" t="b">
        <v>0</v>
      </c>
      <c r="AQ1653" s="86" t="s">
        <v>1959</v>
      </c>
      <c r="AR1653" s="81" t="s">
        <v>179</v>
      </c>
      <c r="AS1653" s="81">
        <v>0</v>
      </c>
      <c r="AT1653" s="81">
        <v>0</v>
      </c>
      <c r="AU1653" s="81"/>
      <c r="AV1653" s="81"/>
      <c r="AW1653" s="81"/>
      <c r="AX1653" s="81"/>
      <c r="AY1653" s="81"/>
      <c r="AZ1653" s="81"/>
      <c r="BA1653" s="81"/>
      <c r="BB1653" s="81"/>
    </row>
    <row r="1654" spans="1:54" x14ac:dyDescent="0.35">
      <c r="A1654" s="66" t="s">
        <v>4837</v>
      </c>
      <c r="B1654" s="66" t="s">
        <v>4837</v>
      </c>
      <c r="C1654" s="67"/>
      <c r="D1654" s="68"/>
      <c r="E1654" s="69"/>
      <c r="F1654" s="70"/>
      <c r="G1654" s="67"/>
      <c r="H1654" s="71"/>
      <c r="I1654" s="72"/>
      <c r="J1654" s="72"/>
      <c r="K1654" s="36"/>
      <c r="L1654" s="79"/>
      <c r="M1654" s="79"/>
      <c r="N1654" s="74"/>
      <c r="O1654" s="81" t="s">
        <v>179</v>
      </c>
      <c r="P1654" s="83">
        <v>44466.868425925924</v>
      </c>
      <c r="Q1654" s="81" t="s">
        <v>5571</v>
      </c>
      <c r="R1654" s="81"/>
      <c r="S1654" s="81"/>
      <c r="T1654" s="81"/>
      <c r="U1654" s="84" t="str">
        <f>HYPERLINK("https://pbs.twimg.com/media/FAUeO4DXsAUMrv8.jpg")</f>
        <v>https://pbs.twimg.com/media/FAUeO4DXsAUMrv8.jpg</v>
      </c>
      <c r="V1654" s="84" t="str">
        <f>HYPERLINK("https://pbs.twimg.com/media/FAUeO4DXsAUMrv8.jpg")</f>
        <v>https://pbs.twimg.com/media/FAUeO4DXsAUMrv8.jpg</v>
      </c>
      <c r="W1654" s="83">
        <v>44466.868425925924</v>
      </c>
      <c r="X1654" s="89">
        <v>44466</v>
      </c>
      <c r="Y1654" s="86" t="s">
        <v>6487</v>
      </c>
      <c r="Z1654" s="84" t="str">
        <f>HYPERLINK("https://twitter.com/traumacoeur/status/1442592514205171717")</f>
        <v>https://twitter.com/traumacoeur/status/1442592514205171717</v>
      </c>
      <c r="AA1654" s="81"/>
      <c r="AB1654" s="81"/>
      <c r="AC1654" s="86" t="s">
        <v>7407</v>
      </c>
      <c r="AD1654" s="86" t="s">
        <v>7737</v>
      </c>
      <c r="AE1654" s="81" t="b">
        <v>0</v>
      </c>
      <c r="AF1654" s="81">
        <v>1</v>
      </c>
      <c r="AG1654" s="86" t="s">
        <v>7914</v>
      </c>
      <c r="AH1654" s="81" t="b">
        <v>0</v>
      </c>
      <c r="AI1654" s="81" t="s">
        <v>2171</v>
      </c>
      <c r="AJ1654" s="81"/>
      <c r="AK1654" s="86" t="s">
        <v>2084</v>
      </c>
      <c r="AL1654" s="81" t="b">
        <v>0</v>
      </c>
      <c r="AM1654" s="81">
        <v>0</v>
      </c>
      <c r="AN1654" s="86" t="s">
        <v>2084</v>
      </c>
      <c r="AO1654" s="86" t="s">
        <v>2178</v>
      </c>
      <c r="AP1654" s="81" t="b">
        <v>0</v>
      </c>
      <c r="AQ1654" s="86" t="s">
        <v>7737</v>
      </c>
      <c r="AR1654" s="81" t="s">
        <v>179</v>
      </c>
      <c r="AS1654" s="81">
        <v>0</v>
      </c>
      <c r="AT1654" s="81">
        <v>0</v>
      </c>
      <c r="AU1654" s="81"/>
      <c r="AV1654" s="81"/>
      <c r="AW1654" s="81"/>
      <c r="AX1654" s="81"/>
      <c r="AY1654" s="81"/>
      <c r="AZ1654" s="81"/>
      <c r="BA1654" s="81"/>
      <c r="BB1654" s="81"/>
    </row>
    <row r="1655" spans="1:54" x14ac:dyDescent="0.35">
      <c r="A1655" s="66" t="s">
        <v>4838</v>
      </c>
      <c r="B1655" s="66" t="s">
        <v>4838</v>
      </c>
      <c r="C1655" s="67"/>
      <c r="D1655" s="68"/>
      <c r="E1655" s="69"/>
      <c r="F1655" s="70"/>
      <c r="G1655" s="67"/>
      <c r="H1655" s="71"/>
      <c r="I1655" s="72"/>
      <c r="J1655" s="72"/>
      <c r="K1655" s="36"/>
      <c r="L1655" s="79"/>
      <c r="M1655" s="79"/>
      <c r="N1655" s="74"/>
      <c r="O1655" s="81" t="s">
        <v>179</v>
      </c>
      <c r="P1655" s="83">
        <v>44466.875393518516</v>
      </c>
      <c r="Q1655" s="81" t="s">
        <v>5572</v>
      </c>
      <c r="R1655" s="81"/>
      <c r="S1655" s="81"/>
      <c r="T1655" s="86" t="s">
        <v>5784</v>
      </c>
      <c r="U1655" s="81"/>
      <c r="V1655" s="84" t="str">
        <f>HYPERLINK("https://pbs.twimg.com/profile_images/1251015585896464384/CuWk2HON_normal.jpg")</f>
        <v>https://pbs.twimg.com/profile_images/1251015585896464384/CuWk2HON_normal.jpg</v>
      </c>
      <c r="W1655" s="83">
        <v>44466.875393518516</v>
      </c>
      <c r="X1655" s="89">
        <v>44466</v>
      </c>
      <c r="Y1655" s="86" t="s">
        <v>6488</v>
      </c>
      <c r="Z1655" s="84" t="str">
        <f>HYPERLINK("https://twitter.com/fabiobra_sep/status/1442595038727270403")</f>
        <v>https://twitter.com/fabiobra_sep/status/1442595038727270403</v>
      </c>
      <c r="AA1655" s="81"/>
      <c r="AB1655" s="81"/>
      <c r="AC1655" s="86" t="s">
        <v>7408</v>
      </c>
      <c r="AD1655" s="81"/>
      <c r="AE1655" s="81" t="b">
        <v>0</v>
      </c>
      <c r="AF1655" s="81">
        <v>0</v>
      </c>
      <c r="AG1655" s="86" t="s">
        <v>2084</v>
      </c>
      <c r="AH1655" s="81" t="b">
        <v>0</v>
      </c>
      <c r="AI1655" s="81" t="s">
        <v>2171</v>
      </c>
      <c r="AJ1655" s="81"/>
      <c r="AK1655" s="86" t="s">
        <v>2084</v>
      </c>
      <c r="AL1655" s="81" t="b">
        <v>0</v>
      </c>
      <c r="AM1655" s="81">
        <v>0</v>
      </c>
      <c r="AN1655" s="86" t="s">
        <v>2084</v>
      </c>
      <c r="AO1655" s="86" t="s">
        <v>2178</v>
      </c>
      <c r="AP1655" s="81" t="b">
        <v>0</v>
      </c>
      <c r="AQ1655" s="86" t="s">
        <v>7408</v>
      </c>
      <c r="AR1655" s="81" t="s">
        <v>179</v>
      </c>
      <c r="AS1655" s="81">
        <v>0</v>
      </c>
      <c r="AT1655" s="81">
        <v>0</v>
      </c>
      <c r="AU1655" s="81"/>
      <c r="AV1655" s="81"/>
      <c r="AW1655" s="81"/>
      <c r="AX1655" s="81"/>
      <c r="AY1655" s="81"/>
      <c r="AZ1655" s="81"/>
      <c r="BA1655" s="81"/>
      <c r="BB1655" s="81"/>
    </row>
    <row r="1656" spans="1:54" x14ac:dyDescent="0.35">
      <c r="A1656" s="66" t="s">
        <v>4839</v>
      </c>
      <c r="B1656" s="66" t="s">
        <v>4944</v>
      </c>
      <c r="C1656" s="67"/>
      <c r="D1656" s="68"/>
      <c r="E1656" s="69"/>
      <c r="F1656" s="70"/>
      <c r="G1656" s="67"/>
      <c r="H1656" s="71"/>
      <c r="I1656" s="72"/>
      <c r="J1656" s="72"/>
      <c r="K1656" s="36"/>
      <c r="L1656" s="79"/>
      <c r="M1656" s="79"/>
      <c r="N1656" s="74"/>
      <c r="O1656" s="81" t="s">
        <v>693</v>
      </c>
      <c r="P1656" s="83">
        <v>44466.878310185188</v>
      </c>
      <c r="Q1656" s="81" t="s">
        <v>5505</v>
      </c>
      <c r="R1656" s="81"/>
      <c r="S1656" s="81"/>
      <c r="T1656" s="81"/>
      <c r="U1656" s="81"/>
      <c r="V1656" s="84" t="str">
        <f>HYPERLINK("https://pbs.twimg.com/profile_images/1347652156757827584/IkyD1khF_normal.jpg")</f>
        <v>https://pbs.twimg.com/profile_images/1347652156757827584/IkyD1khF_normal.jpg</v>
      </c>
      <c r="W1656" s="83">
        <v>44466.878310185188</v>
      </c>
      <c r="X1656" s="89">
        <v>44466</v>
      </c>
      <c r="Y1656" s="86" t="s">
        <v>6489</v>
      </c>
      <c r="Z1656" s="84" t="str">
        <f>HYPERLINK("https://twitter.com/mineirimgo/status/1442596097495552000")</f>
        <v>https://twitter.com/mineirimgo/status/1442596097495552000</v>
      </c>
      <c r="AA1656" s="81"/>
      <c r="AB1656" s="81"/>
      <c r="AC1656" s="86" t="s">
        <v>7409</v>
      </c>
      <c r="AD1656" s="81"/>
      <c r="AE1656" s="81" t="b">
        <v>0</v>
      </c>
      <c r="AF1656" s="81">
        <v>0</v>
      </c>
      <c r="AG1656" s="86" t="s">
        <v>2084</v>
      </c>
      <c r="AH1656" s="81" t="b">
        <v>0</v>
      </c>
      <c r="AI1656" s="81" t="s">
        <v>2171</v>
      </c>
      <c r="AJ1656" s="81"/>
      <c r="AK1656" s="86" t="s">
        <v>2084</v>
      </c>
      <c r="AL1656" s="81" t="b">
        <v>0</v>
      </c>
      <c r="AM1656" s="81">
        <v>255</v>
      </c>
      <c r="AN1656" s="86" t="s">
        <v>7543</v>
      </c>
      <c r="AO1656" s="86" t="s">
        <v>2178</v>
      </c>
      <c r="AP1656" s="81" t="b">
        <v>0</v>
      </c>
      <c r="AQ1656" s="86" t="s">
        <v>7543</v>
      </c>
      <c r="AR1656" s="81" t="s">
        <v>179</v>
      </c>
      <c r="AS1656" s="81">
        <v>0</v>
      </c>
      <c r="AT1656" s="81">
        <v>0</v>
      </c>
      <c r="AU1656" s="81"/>
      <c r="AV1656" s="81"/>
      <c r="AW1656" s="81"/>
      <c r="AX1656" s="81"/>
      <c r="AY1656" s="81"/>
      <c r="AZ1656" s="81"/>
      <c r="BA1656" s="81"/>
      <c r="BB1656" s="81"/>
    </row>
    <row r="1657" spans="1:54" x14ac:dyDescent="0.35">
      <c r="A1657" s="66" t="s">
        <v>4840</v>
      </c>
      <c r="B1657" s="66" t="s">
        <v>5170</v>
      </c>
      <c r="C1657" s="67"/>
      <c r="D1657" s="68"/>
      <c r="E1657" s="69"/>
      <c r="F1657" s="70"/>
      <c r="G1657" s="67"/>
      <c r="H1657" s="71"/>
      <c r="I1657" s="72"/>
      <c r="J1657" s="72"/>
      <c r="K1657" s="36"/>
      <c r="L1657" s="79"/>
      <c r="M1657" s="79"/>
      <c r="N1657" s="74"/>
      <c r="O1657" s="81" t="s">
        <v>695</v>
      </c>
      <c r="P1657" s="83">
        <v>44466.883483796293</v>
      </c>
      <c r="Q1657" s="81" t="s">
        <v>5573</v>
      </c>
      <c r="R1657" s="81"/>
      <c r="S1657" s="81"/>
      <c r="T1657" s="81"/>
      <c r="U1657" s="81"/>
      <c r="V1657" s="84" t="str">
        <f>HYPERLINK("https://pbs.twimg.com/profile_images/1392929308184809476/17El17dl_normal.jpg")</f>
        <v>https://pbs.twimg.com/profile_images/1392929308184809476/17El17dl_normal.jpg</v>
      </c>
      <c r="W1657" s="83">
        <v>44466.883483796293</v>
      </c>
      <c r="X1657" s="89">
        <v>44466</v>
      </c>
      <c r="Y1657" s="86" t="s">
        <v>6490</v>
      </c>
      <c r="Z1657" s="84" t="str">
        <f>HYPERLINK("https://twitter.com/giovanidias/status/1442597972139778056")</f>
        <v>https://twitter.com/giovanidias/status/1442597972139778056</v>
      </c>
      <c r="AA1657" s="81"/>
      <c r="AB1657" s="81"/>
      <c r="AC1657" s="86" t="s">
        <v>7410</v>
      </c>
      <c r="AD1657" s="86" t="s">
        <v>7738</v>
      </c>
      <c r="AE1657" s="81" t="b">
        <v>0</v>
      </c>
      <c r="AF1657" s="81">
        <v>0</v>
      </c>
      <c r="AG1657" s="86" t="s">
        <v>7915</v>
      </c>
      <c r="AH1657" s="81" t="b">
        <v>0</v>
      </c>
      <c r="AI1657" s="81" t="s">
        <v>2171</v>
      </c>
      <c r="AJ1657" s="81"/>
      <c r="AK1657" s="86" t="s">
        <v>2084</v>
      </c>
      <c r="AL1657" s="81" t="b">
        <v>0</v>
      </c>
      <c r="AM1657" s="81">
        <v>0</v>
      </c>
      <c r="AN1657" s="86" t="s">
        <v>2084</v>
      </c>
      <c r="AO1657" s="86" t="s">
        <v>2179</v>
      </c>
      <c r="AP1657" s="81" t="b">
        <v>0</v>
      </c>
      <c r="AQ1657" s="86" t="s">
        <v>7738</v>
      </c>
      <c r="AR1657" s="81" t="s">
        <v>179</v>
      </c>
      <c r="AS1657" s="81">
        <v>0</v>
      </c>
      <c r="AT1657" s="81">
        <v>0</v>
      </c>
      <c r="AU1657" s="81"/>
      <c r="AV1657" s="81"/>
      <c r="AW1657" s="81"/>
      <c r="AX1657" s="81"/>
      <c r="AY1657" s="81"/>
      <c r="AZ1657" s="81"/>
      <c r="BA1657" s="81"/>
      <c r="BB1657" s="81"/>
    </row>
    <row r="1658" spans="1:54" x14ac:dyDescent="0.35">
      <c r="A1658" s="66" t="s">
        <v>4841</v>
      </c>
      <c r="B1658" s="66" t="s">
        <v>4841</v>
      </c>
      <c r="C1658" s="67"/>
      <c r="D1658" s="68"/>
      <c r="E1658" s="69"/>
      <c r="F1658" s="70"/>
      <c r="G1658" s="67"/>
      <c r="H1658" s="71"/>
      <c r="I1658" s="72"/>
      <c r="J1658" s="72"/>
      <c r="K1658" s="36"/>
      <c r="L1658" s="79"/>
      <c r="M1658" s="79"/>
      <c r="N1658" s="74"/>
      <c r="O1658" s="81" t="s">
        <v>179</v>
      </c>
      <c r="P1658" s="83">
        <v>44466.563321759262</v>
      </c>
      <c r="Q1658" s="81" t="s">
        <v>5574</v>
      </c>
      <c r="R1658" s="84" t="str">
        <f>HYPERLINK("https://coimbraliberal.pt/coimbra-a-minha-escolha/proposta-iniciativa-liberal-coimbra-mensagem-pos-eleitoral-iniciativa-liberal-coimbra/")</f>
        <v>https://coimbraliberal.pt/coimbra-a-minha-escolha/proposta-iniciativa-liberal-coimbra-mensagem-pos-eleitoral-iniciativa-liberal-coimbra/</v>
      </c>
      <c r="S1658" s="81" t="s">
        <v>5744</v>
      </c>
      <c r="T1658" s="81"/>
      <c r="U1658" s="81"/>
      <c r="V1658" s="84" t="str">
        <f>HYPERLINK("https://pbs.twimg.com/profile_images/1442576970806702083/UFjpoybx_normal.jpg")</f>
        <v>https://pbs.twimg.com/profile_images/1442576970806702083/UFjpoybx_normal.jpg</v>
      </c>
      <c r="W1658" s="83">
        <v>44466.563321759262</v>
      </c>
      <c r="X1658" s="89">
        <v>44466</v>
      </c>
      <c r="Y1658" s="86" t="s">
        <v>6491</v>
      </c>
      <c r="Z1658" s="84" t="str">
        <f>HYPERLINK("https://twitter.com/coimbraliberal/status/1442481949017247746")</f>
        <v>https://twitter.com/coimbraliberal/status/1442481949017247746</v>
      </c>
      <c r="AA1658" s="81"/>
      <c r="AB1658" s="81"/>
      <c r="AC1658" s="86" t="s">
        <v>7411</v>
      </c>
      <c r="AD1658" s="81"/>
      <c r="AE1658" s="81" t="b">
        <v>0</v>
      </c>
      <c r="AF1658" s="81">
        <v>5</v>
      </c>
      <c r="AG1658" s="86" t="s">
        <v>2084</v>
      </c>
      <c r="AH1658" s="81" t="b">
        <v>0</v>
      </c>
      <c r="AI1658" s="81" t="s">
        <v>2171</v>
      </c>
      <c r="AJ1658" s="81"/>
      <c r="AK1658" s="86" t="s">
        <v>2084</v>
      </c>
      <c r="AL1658" s="81" t="b">
        <v>0</v>
      </c>
      <c r="AM1658" s="81">
        <v>2</v>
      </c>
      <c r="AN1658" s="86" t="s">
        <v>2084</v>
      </c>
      <c r="AO1658" s="86" t="s">
        <v>2178</v>
      </c>
      <c r="AP1658" s="81" t="b">
        <v>0</v>
      </c>
      <c r="AQ1658" s="86" t="s">
        <v>7411</v>
      </c>
      <c r="AR1658" s="81" t="s">
        <v>179</v>
      </c>
      <c r="AS1658" s="81">
        <v>0</v>
      </c>
      <c r="AT1658" s="81">
        <v>0</v>
      </c>
      <c r="AU1658" s="81"/>
      <c r="AV1658" s="81"/>
      <c r="AW1658" s="81"/>
      <c r="AX1658" s="81"/>
      <c r="AY1658" s="81"/>
      <c r="AZ1658" s="81"/>
      <c r="BA1658" s="81"/>
      <c r="BB1658" s="81"/>
    </row>
    <row r="1659" spans="1:54" x14ac:dyDescent="0.35">
      <c r="A1659" s="66" t="s">
        <v>4842</v>
      </c>
      <c r="B1659" s="66" t="s">
        <v>4841</v>
      </c>
      <c r="C1659" s="67"/>
      <c r="D1659" s="68"/>
      <c r="E1659" s="69"/>
      <c r="F1659" s="70"/>
      <c r="G1659" s="67"/>
      <c r="H1659" s="71"/>
      <c r="I1659" s="72"/>
      <c r="J1659" s="72"/>
      <c r="K1659" s="36"/>
      <c r="L1659" s="79"/>
      <c r="M1659" s="79"/>
      <c r="N1659" s="74"/>
      <c r="O1659" s="81" t="s">
        <v>694</v>
      </c>
      <c r="P1659" s="83">
        <v>44466.883750000001</v>
      </c>
      <c r="Q1659" s="81" t="s">
        <v>5574</v>
      </c>
      <c r="R1659" s="84" t="str">
        <f>HYPERLINK("https://coimbraliberal.pt/coimbra-a-minha-escolha/proposta-iniciativa-liberal-coimbra-mensagem-pos-eleitoral-iniciativa-liberal-coimbra/")</f>
        <v>https://coimbraliberal.pt/coimbra-a-minha-escolha/proposta-iniciativa-liberal-coimbra-mensagem-pos-eleitoral-iniciativa-liberal-coimbra/</v>
      </c>
      <c r="S1659" s="81" t="s">
        <v>5744</v>
      </c>
      <c r="T1659" s="81"/>
      <c r="U1659" s="81"/>
      <c r="V1659" s="84" t="str">
        <f>HYPERLINK("https://pbs.twimg.com/profile_images/1430471295255420931/Cxk2KaQK_normal.jpg")</f>
        <v>https://pbs.twimg.com/profile_images/1430471295255420931/Cxk2KaQK_normal.jpg</v>
      </c>
      <c r="W1659" s="83">
        <v>44466.883750000001</v>
      </c>
      <c r="X1659" s="89">
        <v>44466</v>
      </c>
      <c r="Y1659" s="86" t="s">
        <v>6492</v>
      </c>
      <c r="Z1659" s="84" t="str">
        <f>HYPERLINK("https://twitter.com/acaojoanina/status/1442598067895783424")</f>
        <v>https://twitter.com/acaojoanina/status/1442598067895783424</v>
      </c>
      <c r="AA1659" s="81"/>
      <c r="AB1659" s="81"/>
      <c r="AC1659" s="86" t="s">
        <v>7412</v>
      </c>
      <c r="AD1659" s="81"/>
      <c r="AE1659" s="81" t="b">
        <v>0</v>
      </c>
      <c r="AF1659" s="81">
        <v>0</v>
      </c>
      <c r="AG1659" s="86" t="s">
        <v>2084</v>
      </c>
      <c r="AH1659" s="81" t="b">
        <v>0</v>
      </c>
      <c r="AI1659" s="81" t="s">
        <v>2171</v>
      </c>
      <c r="AJ1659" s="81"/>
      <c r="AK1659" s="86" t="s">
        <v>2084</v>
      </c>
      <c r="AL1659" s="81" t="b">
        <v>0</v>
      </c>
      <c r="AM1659" s="81">
        <v>2</v>
      </c>
      <c r="AN1659" s="86" t="s">
        <v>7411</v>
      </c>
      <c r="AO1659" s="86" t="s">
        <v>2181</v>
      </c>
      <c r="AP1659" s="81" t="b">
        <v>0</v>
      </c>
      <c r="AQ1659" s="86" t="s">
        <v>7411</v>
      </c>
      <c r="AR1659" s="81" t="s">
        <v>179</v>
      </c>
      <c r="AS1659" s="81">
        <v>0</v>
      </c>
      <c r="AT1659" s="81">
        <v>0</v>
      </c>
      <c r="AU1659" s="81"/>
      <c r="AV1659" s="81"/>
      <c r="AW1659" s="81"/>
      <c r="AX1659" s="81"/>
      <c r="AY1659" s="81"/>
      <c r="AZ1659" s="81"/>
      <c r="BA1659" s="81"/>
      <c r="BB1659" s="81"/>
    </row>
    <row r="1660" spans="1:54" x14ac:dyDescent="0.35">
      <c r="A1660" s="66" t="s">
        <v>4842</v>
      </c>
      <c r="B1660" s="66" t="s">
        <v>4841</v>
      </c>
      <c r="C1660" s="67"/>
      <c r="D1660" s="68"/>
      <c r="E1660" s="69"/>
      <c r="F1660" s="70"/>
      <c r="G1660" s="67"/>
      <c r="H1660" s="71"/>
      <c r="I1660" s="72"/>
      <c r="J1660" s="72"/>
      <c r="K1660" s="36"/>
      <c r="L1660" s="79"/>
      <c r="M1660" s="79"/>
      <c r="N1660" s="74"/>
      <c r="O1660" s="81" t="s">
        <v>693</v>
      </c>
      <c r="P1660" s="83">
        <v>44466.883750000001</v>
      </c>
      <c r="Q1660" s="81" t="s">
        <v>5574</v>
      </c>
      <c r="R1660" s="84" t="str">
        <f>HYPERLINK("https://coimbraliberal.pt/coimbra-a-minha-escolha/proposta-iniciativa-liberal-coimbra-mensagem-pos-eleitoral-iniciativa-liberal-coimbra/")</f>
        <v>https://coimbraliberal.pt/coimbra-a-minha-escolha/proposta-iniciativa-liberal-coimbra-mensagem-pos-eleitoral-iniciativa-liberal-coimbra/</v>
      </c>
      <c r="S1660" s="81" t="s">
        <v>5744</v>
      </c>
      <c r="T1660" s="81"/>
      <c r="U1660" s="81"/>
      <c r="V1660" s="84" t="str">
        <f>HYPERLINK("https://pbs.twimg.com/profile_images/1430471295255420931/Cxk2KaQK_normal.jpg")</f>
        <v>https://pbs.twimg.com/profile_images/1430471295255420931/Cxk2KaQK_normal.jpg</v>
      </c>
      <c r="W1660" s="83">
        <v>44466.883750000001</v>
      </c>
      <c r="X1660" s="89">
        <v>44466</v>
      </c>
      <c r="Y1660" s="86" t="s">
        <v>6492</v>
      </c>
      <c r="Z1660" s="84" t="str">
        <f>HYPERLINK("https://twitter.com/acaojoanina/status/1442598067895783424")</f>
        <v>https://twitter.com/acaojoanina/status/1442598067895783424</v>
      </c>
      <c r="AA1660" s="81"/>
      <c r="AB1660" s="81"/>
      <c r="AC1660" s="86" t="s">
        <v>7412</v>
      </c>
      <c r="AD1660" s="81"/>
      <c r="AE1660" s="81" t="b">
        <v>0</v>
      </c>
      <c r="AF1660" s="81">
        <v>0</v>
      </c>
      <c r="AG1660" s="86" t="s">
        <v>2084</v>
      </c>
      <c r="AH1660" s="81" t="b">
        <v>0</v>
      </c>
      <c r="AI1660" s="81" t="s">
        <v>2171</v>
      </c>
      <c r="AJ1660" s="81"/>
      <c r="AK1660" s="86" t="s">
        <v>2084</v>
      </c>
      <c r="AL1660" s="81" t="b">
        <v>0</v>
      </c>
      <c r="AM1660" s="81">
        <v>2</v>
      </c>
      <c r="AN1660" s="86" t="s">
        <v>7411</v>
      </c>
      <c r="AO1660" s="86" t="s">
        <v>2181</v>
      </c>
      <c r="AP1660" s="81" t="b">
        <v>0</v>
      </c>
      <c r="AQ1660" s="86" t="s">
        <v>7411</v>
      </c>
      <c r="AR1660" s="81" t="s">
        <v>179</v>
      </c>
      <c r="AS1660" s="81">
        <v>0</v>
      </c>
      <c r="AT1660" s="81">
        <v>0</v>
      </c>
      <c r="AU1660" s="81"/>
      <c r="AV1660" s="81"/>
      <c r="AW1660" s="81"/>
      <c r="AX1660" s="81"/>
      <c r="AY1660" s="81"/>
      <c r="AZ1660" s="81"/>
      <c r="BA1660" s="81"/>
      <c r="BB1660" s="81"/>
    </row>
    <row r="1661" spans="1:54" x14ac:dyDescent="0.35">
      <c r="A1661" s="66" t="s">
        <v>4843</v>
      </c>
      <c r="B1661" s="66" t="s">
        <v>4843</v>
      </c>
      <c r="C1661" s="67"/>
      <c r="D1661" s="68"/>
      <c r="E1661" s="69"/>
      <c r="F1661" s="70"/>
      <c r="G1661" s="67"/>
      <c r="H1661" s="71"/>
      <c r="I1661" s="72"/>
      <c r="J1661" s="72"/>
      <c r="K1661" s="36"/>
      <c r="L1661" s="79"/>
      <c r="M1661" s="79"/>
      <c r="N1661" s="74"/>
      <c r="O1661" s="81" t="s">
        <v>179</v>
      </c>
      <c r="P1661" s="83">
        <v>44466.859895833331</v>
      </c>
      <c r="Q1661" s="81" t="s">
        <v>5575</v>
      </c>
      <c r="R1661" s="81"/>
      <c r="S1661" s="81"/>
      <c r="T1661" s="81"/>
      <c r="U1661" s="84" t="str">
        <f>HYPERLINK("https://pbs.twimg.com/media/FAUbV12WYAMBFnf.png")</f>
        <v>https://pbs.twimg.com/media/FAUbV12WYAMBFnf.png</v>
      </c>
      <c r="V1661" s="84" t="str">
        <f>HYPERLINK("https://pbs.twimg.com/media/FAUbV12WYAMBFnf.png")</f>
        <v>https://pbs.twimg.com/media/FAUbV12WYAMBFnf.png</v>
      </c>
      <c r="W1661" s="83">
        <v>44466.859895833331</v>
      </c>
      <c r="X1661" s="89">
        <v>44466</v>
      </c>
      <c r="Y1661" s="86" t="s">
        <v>6493</v>
      </c>
      <c r="Z1661" s="84" t="str">
        <f>HYPERLINK("https://twitter.com/camiibich_/status/1442589425322446848")</f>
        <v>https://twitter.com/camiibich_/status/1442589425322446848</v>
      </c>
      <c r="AA1661" s="81"/>
      <c r="AB1661" s="81"/>
      <c r="AC1661" s="86" t="s">
        <v>7413</v>
      </c>
      <c r="AD1661" s="81"/>
      <c r="AE1661" s="81" t="b">
        <v>0</v>
      </c>
      <c r="AF1661" s="81">
        <v>2</v>
      </c>
      <c r="AG1661" s="86" t="s">
        <v>2084</v>
      </c>
      <c r="AH1661" s="81" t="b">
        <v>0</v>
      </c>
      <c r="AI1661" s="81" t="s">
        <v>2172</v>
      </c>
      <c r="AJ1661" s="81"/>
      <c r="AK1661" s="86" t="s">
        <v>2084</v>
      </c>
      <c r="AL1661" s="81" t="b">
        <v>0</v>
      </c>
      <c r="AM1661" s="81">
        <v>1</v>
      </c>
      <c r="AN1661" s="86" t="s">
        <v>2084</v>
      </c>
      <c r="AO1661" s="86" t="s">
        <v>2181</v>
      </c>
      <c r="AP1661" s="81" t="b">
        <v>0</v>
      </c>
      <c r="AQ1661" s="86" t="s">
        <v>7413</v>
      </c>
      <c r="AR1661" s="81" t="s">
        <v>179</v>
      </c>
      <c r="AS1661" s="81">
        <v>0</v>
      </c>
      <c r="AT1661" s="81">
        <v>0</v>
      </c>
      <c r="AU1661" s="81"/>
      <c r="AV1661" s="81"/>
      <c r="AW1661" s="81"/>
      <c r="AX1661" s="81"/>
      <c r="AY1661" s="81"/>
      <c r="AZ1661" s="81"/>
      <c r="BA1661" s="81"/>
      <c r="BB1661" s="81"/>
    </row>
    <row r="1662" spans="1:54" x14ac:dyDescent="0.35">
      <c r="A1662" s="66" t="s">
        <v>4844</v>
      </c>
      <c r="B1662" s="66" t="s">
        <v>4843</v>
      </c>
      <c r="C1662" s="67"/>
      <c r="D1662" s="68"/>
      <c r="E1662" s="69"/>
      <c r="F1662" s="70"/>
      <c r="G1662" s="67"/>
      <c r="H1662" s="71"/>
      <c r="I1662" s="72"/>
      <c r="J1662" s="72"/>
      <c r="K1662" s="36"/>
      <c r="L1662" s="79"/>
      <c r="M1662" s="79"/>
      <c r="N1662" s="74"/>
      <c r="O1662" s="81" t="s">
        <v>693</v>
      </c>
      <c r="P1662" s="83">
        <v>44466.918842592589</v>
      </c>
      <c r="Q1662" s="81" t="s">
        <v>5575</v>
      </c>
      <c r="R1662" s="81"/>
      <c r="S1662" s="81"/>
      <c r="T1662" s="81"/>
      <c r="U1662" s="84" t="str">
        <f>HYPERLINK("https://pbs.twimg.com/media/FAUbV12WYAMBFnf.png")</f>
        <v>https://pbs.twimg.com/media/FAUbV12WYAMBFnf.png</v>
      </c>
      <c r="V1662" s="84" t="str">
        <f>HYPERLINK("https://pbs.twimg.com/media/FAUbV12WYAMBFnf.png")</f>
        <v>https://pbs.twimg.com/media/FAUbV12WYAMBFnf.png</v>
      </c>
      <c r="W1662" s="83">
        <v>44466.918842592589</v>
      </c>
      <c r="X1662" s="89">
        <v>44466</v>
      </c>
      <c r="Y1662" s="86" t="s">
        <v>6494</v>
      </c>
      <c r="Z1662" s="84" t="str">
        <f>HYPERLINK("https://twitter.com/bakugosluvr/status/1442610787932061697")</f>
        <v>https://twitter.com/bakugosluvr/status/1442610787932061697</v>
      </c>
      <c r="AA1662" s="81"/>
      <c r="AB1662" s="81"/>
      <c r="AC1662" s="86" t="s">
        <v>7414</v>
      </c>
      <c r="AD1662" s="81"/>
      <c r="AE1662" s="81" t="b">
        <v>0</v>
      </c>
      <c r="AF1662" s="81">
        <v>0</v>
      </c>
      <c r="AG1662" s="86" t="s">
        <v>2084</v>
      </c>
      <c r="AH1662" s="81" t="b">
        <v>0</v>
      </c>
      <c r="AI1662" s="81" t="s">
        <v>2172</v>
      </c>
      <c r="AJ1662" s="81"/>
      <c r="AK1662" s="86" t="s">
        <v>2084</v>
      </c>
      <c r="AL1662" s="81" t="b">
        <v>0</v>
      </c>
      <c r="AM1662" s="81">
        <v>1</v>
      </c>
      <c r="AN1662" s="86" t="s">
        <v>7413</v>
      </c>
      <c r="AO1662" s="86" t="s">
        <v>2178</v>
      </c>
      <c r="AP1662" s="81" t="b">
        <v>0</v>
      </c>
      <c r="AQ1662" s="86" t="s">
        <v>7413</v>
      </c>
      <c r="AR1662" s="81" t="s">
        <v>179</v>
      </c>
      <c r="AS1662" s="81">
        <v>0</v>
      </c>
      <c r="AT1662" s="81">
        <v>0</v>
      </c>
      <c r="AU1662" s="81"/>
      <c r="AV1662" s="81"/>
      <c r="AW1662" s="81"/>
      <c r="AX1662" s="81"/>
      <c r="AY1662" s="81"/>
      <c r="AZ1662" s="81"/>
      <c r="BA1662" s="81"/>
      <c r="BB1662" s="81"/>
    </row>
    <row r="1663" spans="1:54" x14ac:dyDescent="0.35">
      <c r="A1663" s="66" t="s">
        <v>4845</v>
      </c>
      <c r="B1663" s="66" t="s">
        <v>4852</v>
      </c>
      <c r="C1663" s="67"/>
      <c r="D1663" s="68"/>
      <c r="E1663" s="69"/>
      <c r="F1663" s="70"/>
      <c r="G1663" s="67"/>
      <c r="H1663" s="71"/>
      <c r="I1663" s="72"/>
      <c r="J1663" s="72"/>
      <c r="K1663" s="36"/>
      <c r="L1663" s="79"/>
      <c r="M1663" s="79"/>
      <c r="N1663" s="74"/>
      <c r="O1663" s="81" t="s">
        <v>693</v>
      </c>
      <c r="P1663" s="83">
        <v>44466.935520833336</v>
      </c>
      <c r="Q1663" s="81" t="s">
        <v>5576</v>
      </c>
      <c r="R1663" s="84" t="str">
        <f>HYPERLINK("https://www.gov.br/anvisa/pt-br/assuntos/noticias-anvisa/2021/anvisa-alerta-sobre-risco-de-miocardite-e-pericardite-pos-vacinacao")</f>
        <v>https://www.gov.br/anvisa/pt-br/assuntos/noticias-anvisa/2021/anvisa-alerta-sobre-risco-de-miocardite-e-pericardite-pos-vacinacao</v>
      </c>
      <c r="S1663" s="81" t="s">
        <v>5686</v>
      </c>
      <c r="T1663" s="81"/>
      <c r="U1663" s="84" t="str">
        <f>HYPERLINK("https://pbs.twimg.com/media/FAUztMOXMAI_7wJ.jpg")</f>
        <v>https://pbs.twimg.com/media/FAUztMOXMAI_7wJ.jpg</v>
      </c>
      <c r="V1663" s="84" t="str">
        <f>HYPERLINK("https://pbs.twimg.com/media/FAUztMOXMAI_7wJ.jpg")</f>
        <v>https://pbs.twimg.com/media/FAUztMOXMAI_7wJ.jpg</v>
      </c>
      <c r="W1663" s="83">
        <v>44466.935520833336</v>
      </c>
      <c r="X1663" s="89">
        <v>44466</v>
      </c>
      <c r="Y1663" s="86" t="s">
        <v>6495</v>
      </c>
      <c r="Z1663" s="84" t="str">
        <f>HYPERLINK("https://twitter.com/esperan45343564/status/1442616831219576837")</f>
        <v>https://twitter.com/esperan45343564/status/1442616831219576837</v>
      </c>
      <c r="AA1663" s="81"/>
      <c r="AB1663" s="81"/>
      <c r="AC1663" s="86" t="s">
        <v>7415</v>
      </c>
      <c r="AD1663" s="81"/>
      <c r="AE1663" s="81" t="b">
        <v>0</v>
      </c>
      <c r="AF1663" s="81">
        <v>0</v>
      </c>
      <c r="AG1663" s="86" t="s">
        <v>2084</v>
      </c>
      <c r="AH1663" s="81" t="b">
        <v>0</v>
      </c>
      <c r="AI1663" s="81" t="s">
        <v>2171</v>
      </c>
      <c r="AJ1663" s="81"/>
      <c r="AK1663" s="86" t="s">
        <v>2084</v>
      </c>
      <c r="AL1663" s="81" t="b">
        <v>0</v>
      </c>
      <c r="AM1663" s="81">
        <v>4</v>
      </c>
      <c r="AN1663" s="86" t="s">
        <v>7422</v>
      </c>
      <c r="AO1663" s="86" t="s">
        <v>2178</v>
      </c>
      <c r="AP1663" s="81" t="b">
        <v>0</v>
      </c>
      <c r="AQ1663" s="86" t="s">
        <v>7422</v>
      </c>
      <c r="AR1663" s="81" t="s">
        <v>179</v>
      </c>
      <c r="AS1663" s="81">
        <v>0</v>
      </c>
      <c r="AT1663" s="81">
        <v>0</v>
      </c>
      <c r="AU1663" s="81"/>
      <c r="AV1663" s="81"/>
      <c r="AW1663" s="81"/>
      <c r="AX1663" s="81"/>
      <c r="AY1663" s="81"/>
      <c r="AZ1663" s="81"/>
      <c r="BA1663" s="81"/>
      <c r="BB1663" s="81"/>
    </row>
    <row r="1664" spans="1:54" x14ac:dyDescent="0.35">
      <c r="A1664" s="66" t="s">
        <v>578</v>
      </c>
      <c r="B1664" s="66" t="s">
        <v>578</v>
      </c>
      <c r="C1664" s="67"/>
      <c r="D1664" s="68"/>
      <c r="E1664" s="69"/>
      <c r="F1664" s="70"/>
      <c r="G1664" s="67"/>
      <c r="H1664" s="71"/>
      <c r="I1664" s="72"/>
      <c r="J1664" s="72"/>
      <c r="K1664" s="36"/>
      <c r="L1664" s="79"/>
      <c r="M1664" s="79"/>
      <c r="N1664" s="74"/>
      <c r="O1664" s="81" t="s">
        <v>179</v>
      </c>
      <c r="P1664" s="83">
        <v>44466.411192129628</v>
      </c>
      <c r="Q1664" s="81" t="s">
        <v>878</v>
      </c>
      <c r="R1664" s="81"/>
      <c r="S1664" s="81"/>
      <c r="T1664" s="81"/>
      <c r="U1664" s="84" t="str">
        <f>HYPERLINK("https://pbs.twimg.com/media/FASHjEnUcAMSLOM.jpg")</f>
        <v>https://pbs.twimg.com/media/FASHjEnUcAMSLOM.jpg</v>
      </c>
      <c r="V1664" s="84" t="str">
        <f>HYPERLINK("https://pbs.twimg.com/media/FASHjEnUcAMSLOM.jpg")</f>
        <v>https://pbs.twimg.com/media/FASHjEnUcAMSLOM.jpg</v>
      </c>
      <c r="W1664" s="83">
        <v>44466.411192129628</v>
      </c>
      <c r="X1664" s="89">
        <v>44466</v>
      </c>
      <c r="Y1664" s="86" t="s">
        <v>1465</v>
      </c>
      <c r="Z1664" s="84" t="str">
        <f>HYPERLINK("https://twitter.com/zomet13/status/1442426820138201096")</f>
        <v>https://twitter.com/zomet13/status/1442426820138201096</v>
      </c>
      <c r="AA1664" s="81"/>
      <c r="AB1664" s="81"/>
      <c r="AC1664" s="86" t="s">
        <v>1961</v>
      </c>
      <c r="AD1664" s="81"/>
      <c r="AE1664" s="81" t="b">
        <v>0</v>
      </c>
      <c r="AF1664" s="81">
        <v>60</v>
      </c>
      <c r="AG1664" s="86" t="s">
        <v>2084</v>
      </c>
      <c r="AH1664" s="81" t="b">
        <v>0</v>
      </c>
      <c r="AI1664" s="81" t="s">
        <v>2167</v>
      </c>
      <c r="AJ1664" s="81"/>
      <c r="AK1664" s="86" t="s">
        <v>2084</v>
      </c>
      <c r="AL1664" s="81" t="b">
        <v>0</v>
      </c>
      <c r="AM1664" s="81">
        <v>9</v>
      </c>
      <c r="AN1664" s="86" t="s">
        <v>2084</v>
      </c>
      <c r="AO1664" s="86" t="s">
        <v>2178</v>
      </c>
      <c r="AP1664" s="81" t="b">
        <v>0</v>
      </c>
      <c r="AQ1664" s="86" t="s">
        <v>1961</v>
      </c>
      <c r="AR1664" s="81" t="s">
        <v>179</v>
      </c>
      <c r="AS1664" s="81">
        <v>0</v>
      </c>
      <c r="AT1664" s="81">
        <v>0</v>
      </c>
      <c r="AU1664" s="81"/>
      <c r="AV1664" s="81"/>
      <c r="AW1664" s="81"/>
      <c r="AX1664" s="81"/>
      <c r="AY1664" s="81"/>
      <c r="AZ1664" s="81"/>
      <c r="BA1664" s="81"/>
      <c r="BB1664" s="81"/>
    </row>
    <row r="1665" spans="1:54" x14ac:dyDescent="0.35">
      <c r="A1665" s="66" t="s">
        <v>579</v>
      </c>
      <c r="B1665" s="66" t="s">
        <v>578</v>
      </c>
      <c r="C1665" s="67"/>
      <c r="D1665" s="68"/>
      <c r="E1665" s="69"/>
      <c r="F1665" s="70"/>
      <c r="G1665" s="67"/>
      <c r="H1665" s="71"/>
      <c r="I1665" s="72"/>
      <c r="J1665" s="72"/>
      <c r="K1665" s="36"/>
      <c r="L1665" s="79"/>
      <c r="M1665" s="79"/>
      <c r="N1665" s="74"/>
      <c r="O1665" s="81" t="s">
        <v>693</v>
      </c>
      <c r="P1665" s="83">
        <v>44466.951840277776</v>
      </c>
      <c r="Q1665" s="81" t="s">
        <v>878</v>
      </c>
      <c r="R1665" s="81"/>
      <c r="S1665" s="81"/>
      <c r="T1665" s="81"/>
      <c r="U1665" s="84" t="str">
        <f>HYPERLINK("https://pbs.twimg.com/media/FASHjEnUcAMSLOM.jpg")</f>
        <v>https://pbs.twimg.com/media/FASHjEnUcAMSLOM.jpg</v>
      </c>
      <c r="V1665" s="84" t="str">
        <f>HYPERLINK("https://pbs.twimg.com/media/FASHjEnUcAMSLOM.jpg")</f>
        <v>https://pbs.twimg.com/media/FASHjEnUcAMSLOM.jpg</v>
      </c>
      <c r="W1665" s="83">
        <v>44466.951840277776</v>
      </c>
      <c r="X1665" s="89">
        <v>44466</v>
      </c>
      <c r="Y1665" s="86" t="s">
        <v>1466</v>
      </c>
      <c r="Z1665" s="84" t="str">
        <f>HYPERLINK("https://twitter.com/camelaila1/status/1442622742113624070")</f>
        <v>https://twitter.com/camelaila1/status/1442622742113624070</v>
      </c>
      <c r="AA1665" s="81"/>
      <c r="AB1665" s="81"/>
      <c r="AC1665" s="86" t="s">
        <v>1962</v>
      </c>
      <c r="AD1665" s="81"/>
      <c r="AE1665" s="81" t="b">
        <v>0</v>
      </c>
      <c r="AF1665" s="81">
        <v>0</v>
      </c>
      <c r="AG1665" s="86" t="s">
        <v>2084</v>
      </c>
      <c r="AH1665" s="81" t="b">
        <v>0</v>
      </c>
      <c r="AI1665" s="81" t="s">
        <v>2167</v>
      </c>
      <c r="AJ1665" s="81"/>
      <c r="AK1665" s="86" t="s">
        <v>2084</v>
      </c>
      <c r="AL1665" s="81" t="b">
        <v>0</v>
      </c>
      <c r="AM1665" s="81">
        <v>9</v>
      </c>
      <c r="AN1665" s="86" t="s">
        <v>1961</v>
      </c>
      <c r="AO1665" s="86" t="s">
        <v>2178</v>
      </c>
      <c r="AP1665" s="81" t="b">
        <v>0</v>
      </c>
      <c r="AQ1665" s="86" t="s">
        <v>1961</v>
      </c>
      <c r="AR1665" s="81" t="s">
        <v>179</v>
      </c>
      <c r="AS1665" s="81">
        <v>0</v>
      </c>
      <c r="AT1665" s="81">
        <v>0</v>
      </c>
      <c r="AU1665" s="81"/>
      <c r="AV1665" s="81"/>
      <c r="AW1665" s="81"/>
      <c r="AX1665" s="81"/>
      <c r="AY1665" s="81"/>
      <c r="AZ1665" s="81"/>
      <c r="BA1665" s="81"/>
      <c r="BB1665" s="81"/>
    </row>
    <row r="1666" spans="1:54" x14ac:dyDescent="0.35">
      <c r="A1666" s="66" t="s">
        <v>4846</v>
      </c>
      <c r="B1666" s="66" t="s">
        <v>4944</v>
      </c>
      <c r="C1666" s="67"/>
      <c r="D1666" s="68"/>
      <c r="E1666" s="69"/>
      <c r="F1666" s="70"/>
      <c r="G1666" s="67"/>
      <c r="H1666" s="71"/>
      <c r="I1666" s="72"/>
      <c r="J1666" s="72"/>
      <c r="K1666" s="36"/>
      <c r="L1666" s="79"/>
      <c r="M1666" s="79"/>
      <c r="N1666" s="74"/>
      <c r="O1666" s="81" t="s">
        <v>693</v>
      </c>
      <c r="P1666" s="83">
        <v>44466.959201388891</v>
      </c>
      <c r="Q1666" s="81" t="s">
        <v>5505</v>
      </c>
      <c r="R1666" s="81"/>
      <c r="S1666" s="81"/>
      <c r="T1666" s="81"/>
      <c r="U1666" s="81"/>
      <c r="V1666" s="84" t="str">
        <f>HYPERLINK("https://abs.twimg.com/sticky/default_profile_images/default_profile_normal.png")</f>
        <v>https://abs.twimg.com/sticky/default_profile_images/default_profile_normal.png</v>
      </c>
      <c r="W1666" s="83">
        <v>44466.959201388891</v>
      </c>
      <c r="X1666" s="89">
        <v>44466</v>
      </c>
      <c r="Y1666" s="86" t="s">
        <v>6496</v>
      </c>
      <c r="Z1666" s="84" t="str">
        <f>HYPERLINK("https://twitter.com/marietapeixoto/status/1442625411326881808")</f>
        <v>https://twitter.com/marietapeixoto/status/1442625411326881808</v>
      </c>
      <c r="AA1666" s="81"/>
      <c r="AB1666" s="81"/>
      <c r="AC1666" s="86" t="s">
        <v>7416</v>
      </c>
      <c r="AD1666" s="81"/>
      <c r="AE1666" s="81" t="b">
        <v>0</v>
      </c>
      <c r="AF1666" s="81">
        <v>0</v>
      </c>
      <c r="AG1666" s="86" t="s">
        <v>2084</v>
      </c>
      <c r="AH1666" s="81" t="b">
        <v>0</v>
      </c>
      <c r="AI1666" s="81" t="s">
        <v>2171</v>
      </c>
      <c r="AJ1666" s="81"/>
      <c r="AK1666" s="86" t="s">
        <v>2084</v>
      </c>
      <c r="AL1666" s="81" t="b">
        <v>0</v>
      </c>
      <c r="AM1666" s="81">
        <v>255</v>
      </c>
      <c r="AN1666" s="86" t="s">
        <v>7543</v>
      </c>
      <c r="AO1666" s="86" t="s">
        <v>2178</v>
      </c>
      <c r="AP1666" s="81" t="b">
        <v>0</v>
      </c>
      <c r="AQ1666" s="86" t="s">
        <v>7543</v>
      </c>
      <c r="AR1666" s="81" t="s">
        <v>179</v>
      </c>
      <c r="AS1666" s="81">
        <v>0</v>
      </c>
      <c r="AT1666" s="81">
        <v>0</v>
      </c>
      <c r="AU1666" s="81"/>
      <c r="AV1666" s="81"/>
      <c r="AW1666" s="81"/>
      <c r="AX1666" s="81"/>
      <c r="AY1666" s="81"/>
      <c r="AZ1666" s="81"/>
      <c r="BA1666" s="81"/>
      <c r="BB1666" s="81"/>
    </row>
    <row r="1667" spans="1:54" x14ac:dyDescent="0.35">
      <c r="A1667" s="66" t="s">
        <v>4847</v>
      </c>
      <c r="B1667" s="66" t="s">
        <v>4852</v>
      </c>
      <c r="C1667" s="67"/>
      <c r="D1667" s="68"/>
      <c r="E1667" s="69"/>
      <c r="F1667" s="70"/>
      <c r="G1667" s="67"/>
      <c r="H1667" s="71"/>
      <c r="I1667" s="72"/>
      <c r="J1667" s="72"/>
      <c r="K1667" s="36"/>
      <c r="L1667" s="79"/>
      <c r="M1667" s="79"/>
      <c r="N1667" s="74"/>
      <c r="O1667" s="81" t="s">
        <v>693</v>
      </c>
      <c r="P1667" s="83">
        <v>44466.965046296296</v>
      </c>
      <c r="Q1667" s="81" t="s">
        <v>5576</v>
      </c>
      <c r="R1667" s="84" t="str">
        <f>HYPERLINK("https://www.gov.br/anvisa/pt-br/assuntos/noticias-anvisa/2021/anvisa-alerta-sobre-risco-de-miocardite-e-pericardite-pos-vacinacao")</f>
        <v>https://www.gov.br/anvisa/pt-br/assuntos/noticias-anvisa/2021/anvisa-alerta-sobre-risco-de-miocardite-e-pericardite-pos-vacinacao</v>
      </c>
      <c r="S1667" s="81" t="s">
        <v>5686</v>
      </c>
      <c r="T1667" s="81"/>
      <c r="U1667" s="84" t="str">
        <f>HYPERLINK("https://pbs.twimg.com/media/FAUztMOXMAI_7wJ.jpg")</f>
        <v>https://pbs.twimg.com/media/FAUztMOXMAI_7wJ.jpg</v>
      </c>
      <c r="V1667" s="84" t="str">
        <f>HYPERLINK("https://pbs.twimg.com/media/FAUztMOXMAI_7wJ.jpg")</f>
        <v>https://pbs.twimg.com/media/FAUztMOXMAI_7wJ.jpg</v>
      </c>
      <c r="W1667" s="83">
        <v>44466.965046296296</v>
      </c>
      <c r="X1667" s="89">
        <v>44466</v>
      </c>
      <c r="Y1667" s="86" t="s">
        <v>6497</v>
      </c>
      <c r="Z1667" s="84" t="str">
        <f>HYPERLINK("https://twitter.com/tkorndorfer/status/1442627530494722061")</f>
        <v>https://twitter.com/tkorndorfer/status/1442627530494722061</v>
      </c>
      <c r="AA1667" s="81"/>
      <c r="AB1667" s="81"/>
      <c r="AC1667" s="86" t="s">
        <v>7417</v>
      </c>
      <c r="AD1667" s="81"/>
      <c r="AE1667" s="81" t="b">
        <v>0</v>
      </c>
      <c r="AF1667" s="81">
        <v>0</v>
      </c>
      <c r="AG1667" s="86" t="s">
        <v>2084</v>
      </c>
      <c r="AH1667" s="81" t="b">
        <v>0</v>
      </c>
      <c r="AI1667" s="81" t="s">
        <v>2171</v>
      </c>
      <c r="AJ1667" s="81"/>
      <c r="AK1667" s="86" t="s">
        <v>2084</v>
      </c>
      <c r="AL1667" s="81" t="b">
        <v>0</v>
      </c>
      <c r="AM1667" s="81">
        <v>4</v>
      </c>
      <c r="AN1667" s="86" t="s">
        <v>7422</v>
      </c>
      <c r="AO1667" s="86" t="s">
        <v>2178</v>
      </c>
      <c r="AP1667" s="81" t="b">
        <v>0</v>
      </c>
      <c r="AQ1667" s="86" t="s">
        <v>7422</v>
      </c>
      <c r="AR1667" s="81" t="s">
        <v>179</v>
      </c>
      <c r="AS1667" s="81">
        <v>0</v>
      </c>
      <c r="AT1667" s="81">
        <v>0</v>
      </c>
      <c r="AU1667" s="81"/>
      <c r="AV1667" s="81"/>
      <c r="AW1667" s="81"/>
      <c r="AX1667" s="81"/>
      <c r="AY1667" s="81"/>
      <c r="AZ1667" s="81"/>
      <c r="BA1667" s="81"/>
      <c r="BB1667" s="81"/>
    </row>
    <row r="1668" spans="1:54" x14ac:dyDescent="0.35">
      <c r="A1668" s="66" t="s">
        <v>4848</v>
      </c>
      <c r="B1668" s="66" t="s">
        <v>4963</v>
      </c>
      <c r="C1668" s="67"/>
      <c r="D1668" s="68"/>
      <c r="E1668" s="69"/>
      <c r="F1668" s="70"/>
      <c r="G1668" s="67"/>
      <c r="H1668" s="71"/>
      <c r="I1668" s="72"/>
      <c r="J1668" s="72"/>
      <c r="K1668" s="36"/>
      <c r="L1668" s="79"/>
      <c r="M1668" s="79"/>
      <c r="N1668" s="74"/>
      <c r="O1668" s="81" t="s">
        <v>693</v>
      </c>
      <c r="P1668" s="83">
        <v>44466.975914351853</v>
      </c>
      <c r="Q1668" s="81" t="s">
        <v>5577</v>
      </c>
      <c r="R1668" s="81"/>
      <c r="S1668" s="81"/>
      <c r="T1668" s="81"/>
      <c r="U1668" s="81"/>
      <c r="V1668" s="84" t="str">
        <f>HYPERLINK("https://pbs.twimg.com/profile_images/1261347940603478016/6d6Amy5d_normal.jpg")</f>
        <v>https://pbs.twimg.com/profile_images/1261347940603478016/6d6Amy5d_normal.jpg</v>
      </c>
      <c r="W1668" s="83">
        <v>44466.975914351853</v>
      </c>
      <c r="X1668" s="89">
        <v>44466</v>
      </c>
      <c r="Y1668" s="86" t="s">
        <v>6498</v>
      </c>
      <c r="Z1668" s="84" t="str">
        <f>HYPERLINK("https://twitter.com/klugerodrigo/status/1442631469483151363")</f>
        <v>https://twitter.com/klugerodrigo/status/1442631469483151363</v>
      </c>
      <c r="AA1668" s="81"/>
      <c r="AB1668" s="81"/>
      <c r="AC1668" s="86" t="s">
        <v>7418</v>
      </c>
      <c r="AD1668" s="81"/>
      <c r="AE1668" s="81" t="b">
        <v>0</v>
      </c>
      <c r="AF1668" s="81">
        <v>0</v>
      </c>
      <c r="AG1668" s="86" t="s">
        <v>2084</v>
      </c>
      <c r="AH1668" s="81" t="b">
        <v>0</v>
      </c>
      <c r="AI1668" s="81" t="s">
        <v>2171</v>
      </c>
      <c r="AJ1668" s="81"/>
      <c r="AK1668" s="86" t="s">
        <v>2084</v>
      </c>
      <c r="AL1668" s="81" t="b">
        <v>0</v>
      </c>
      <c r="AM1668" s="81">
        <v>3</v>
      </c>
      <c r="AN1668" s="86" t="s">
        <v>7589</v>
      </c>
      <c r="AO1668" s="86" t="s">
        <v>2181</v>
      </c>
      <c r="AP1668" s="81" t="b">
        <v>0</v>
      </c>
      <c r="AQ1668" s="86" t="s">
        <v>7589</v>
      </c>
      <c r="AR1668" s="81" t="s">
        <v>179</v>
      </c>
      <c r="AS1668" s="81">
        <v>0</v>
      </c>
      <c r="AT1668" s="81">
        <v>0</v>
      </c>
      <c r="AU1668" s="81"/>
      <c r="AV1668" s="81"/>
      <c r="AW1668" s="81"/>
      <c r="AX1668" s="81"/>
      <c r="AY1668" s="81"/>
      <c r="AZ1668" s="81"/>
      <c r="BA1668" s="81"/>
      <c r="BB1668" s="81"/>
    </row>
    <row r="1669" spans="1:54" x14ac:dyDescent="0.35">
      <c r="A1669" s="66" t="s">
        <v>4848</v>
      </c>
      <c r="B1669" s="66" t="s">
        <v>5171</v>
      </c>
      <c r="C1669" s="67"/>
      <c r="D1669" s="68"/>
      <c r="E1669" s="69"/>
      <c r="F1669" s="70"/>
      <c r="G1669" s="67"/>
      <c r="H1669" s="71"/>
      <c r="I1669" s="72"/>
      <c r="J1669" s="72"/>
      <c r="K1669" s="36"/>
      <c r="L1669" s="79"/>
      <c r="M1669" s="79"/>
      <c r="N1669" s="74"/>
      <c r="O1669" s="81" t="s">
        <v>695</v>
      </c>
      <c r="P1669" s="83">
        <v>44466.975914351853</v>
      </c>
      <c r="Q1669" s="81" t="s">
        <v>5577</v>
      </c>
      <c r="R1669" s="81"/>
      <c r="S1669" s="81"/>
      <c r="T1669" s="81"/>
      <c r="U1669" s="81"/>
      <c r="V1669" s="84" t="str">
        <f>HYPERLINK("https://pbs.twimg.com/profile_images/1261347940603478016/6d6Amy5d_normal.jpg")</f>
        <v>https://pbs.twimg.com/profile_images/1261347940603478016/6d6Amy5d_normal.jpg</v>
      </c>
      <c r="W1669" s="83">
        <v>44466.975914351853</v>
      </c>
      <c r="X1669" s="89">
        <v>44466</v>
      </c>
      <c r="Y1669" s="86" t="s">
        <v>6498</v>
      </c>
      <c r="Z1669" s="84" t="str">
        <f>HYPERLINK("https://twitter.com/klugerodrigo/status/1442631469483151363")</f>
        <v>https://twitter.com/klugerodrigo/status/1442631469483151363</v>
      </c>
      <c r="AA1669" s="81"/>
      <c r="AB1669" s="81"/>
      <c r="AC1669" s="86" t="s">
        <v>7418</v>
      </c>
      <c r="AD1669" s="81"/>
      <c r="AE1669" s="81" t="b">
        <v>0</v>
      </c>
      <c r="AF1669" s="81">
        <v>0</v>
      </c>
      <c r="AG1669" s="86" t="s">
        <v>2084</v>
      </c>
      <c r="AH1669" s="81" t="b">
        <v>0</v>
      </c>
      <c r="AI1669" s="81" t="s">
        <v>2171</v>
      </c>
      <c r="AJ1669" s="81"/>
      <c r="AK1669" s="86" t="s">
        <v>2084</v>
      </c>
      <c r="AL1669" s="81" t="b">
        <v>0</v>
      </c>
      <c r="AM1669" s="81">
        <v>3</v>
      </c>
      <c r="AN1669" s="86" t="s">
        <v>7589</v>
      </c>
      <c r="AO1669" s="86" t="s">
        <v>2181</v>
      </c>
      <c r="AP1669" s="81" t="b">
        <v>0</v>
      </c>
      <c r="AQ1669" s="86" t="s">
        <v>7589</v>
      </c>
      <c r="AR1669" s="81" t="s">
        <v>179</v>
      </c>
      <c r="AS1669" s="81">
        <v>0</v>
      </c>
      <c r="AT1669" s="81">
        <v>0</v>
      </c>
      <c r="AU1669" s="81"/>
      <c r="AV1669" s="81"/>
      <c r="AW1669" s="81"/>
      <c r="AX1669" s="81"/>
      <c r="AY1669" s="81"/>
      <c r="AZ1669" s="81"/>
      <c r="BA1669" s="81"/>
      <c r="BB1669" s="81"/>
    </row>
    <row r="1670" spans="1:54" x14ac:dyDescent="0.35">
      <c r="A1670" s="66" t="s">
        <v>4849</v>
      </c>
      <c r="B1670" s="66" t="s">
        <v>5172</v>
      </c>
      <c r="C1670" s="67"/>
      <c r="D1670" s="68"/>
      <c r="E1670" s="69"/>
      <c r="F1670" s="70"/>
      <c r="G1670" s="67"/>
      <c r="H1670" s="71"/>
      <c r="I1670" s="72"/>
      <c r="J1670" s="72"/>
      <c r="K1670" s="36"/>
      <c r="L1670" s="79"/>
      <c r="M1670" s="79"/>
      <c r="N1670" s="74"/>
      <c r="O1670" s="81" t="s">
        <v>696</v>
      </c>
      <c r="P1670" s="83">
        <v>44466.975983796299</v>
      </c>
      <c r="Q1670" s="81" t="s">
        <v>5578</v>
      </c>
      <c r="R1670" s="81"/>
      <c r="S1670" s="81"/>
      <c r="T1670" s="81"/>
      <c r="U1670" s="81"/>
      <c r="V1670" s="84" t="str">
        <f>HYPERLINK("https://pbs.twimg.com/profile_images/1360608915310993413/DpRQdOMZ_normal.jpg")</f>
        <v>https://pbs.twimg.com/profile_images/1360608915310993413/DpRQdOMZ_normal.jpg</v>
      </c>
      <c r="W1670" s="83">
        <v>44466.975983796299</v>
      </c>
      <c r="X1670" s="89">
        <v>44466</v>
      </c>
      <c r="Y1670" s="86" t="s">
        <v>6499</v>
      </c>
      <c r="Z1670" s="84" t="str">
        <f>HYPERLINK("https://twitter.com/dimibeckman/status/1442631493570945028")</f>
        <v>https://twitter.com/dimibeckman/status/1442631493570945028</v>
      </c>
      <c r="AA1670" s="81"/>
      <c r="AB1670" s="81"/>
      <c r="AC1670" s="86" t="s">
        <v>7419</v>
      </c>
      <c r="AD1670" s="86" t="s">
        <v>7739</v>
      </c>
      <c r="AE1670" s="81" t="b">
        <v>0</v>
      </c>
      <c r="AF1670" s="81">
        <v>1</v>
      </c>
      <c r="AG1670" s="86" t="s">
        <v>7916</v>
      </c>
      <c r="AH1670" s="81" t="b">
        <v>0</v>
      </c>
      <c r="AI1670" s="81" t="s">
        <v>2171</v>
      </c>
      <c r="AJ1670" s="81"/>
      <c r="AK1670" s="86" t="s">
        <v>2084</v>
      </c>
      <c r="AL1670" s="81" t="b">
        <v>0</v>
      </c>
      <c r="AM1670" s="81">
        <v>0</v>
      </c>
      <c r="AN1670" s="86" t="s">
        <v>2084</v>
      </c>
      <c r="AO1670" s="86" t="s">
        <v>2181</v>
      </c>
      <c r="AP1670" s="81" t="b">
        <v>0</v>
      </c>
      <c r="AQ1670" s="86" t="s">
        <v>7739</v>
      </c>
      <c r="AR1670" s="81" t="s">
        <v>179</v>
      </c>
      <c r="AS1670" s="81">
        <v>0</v>
      </c>
      <c r="AT1670" s="81">
        <v>0</v>
      </c>
      <c r="AU1670" s="81"/>
      <c r="AV1670" s="81"/>
      <c r="AW1670" s="81"/>
      <c r="AX1670" s="81"/>
      <c r="AY1670" s="81"/>
      <c r="AZ1670" s="81"/>
      <c r="BA1670" s="81"/>
      <c r="BB1670" s="81"/>
    </row>
    <row r="1671" spans="1:54" x14ac:dyDescent="0.35">
      <c r="A1671" s="66" t="s">
        <v>4849</v>
      </c>
      <c r="B1671" s="66" t="s">
        <v>5173</v>
      </c>
      <c r="C1671" s="67"/>
      <c r="D1671" s="68"/>
      <c r="E1671" s="69"/>
      <c r="F1671" s="70"/>
      <c r="G1671" s="67"/>
      <c r="H1671" s="71"/>
      <c r="I1671" s="72"/>
      <c r="J1671" s="72"/>
      <c r="K1671" s="36"/>
      <c r="L1671" s="79"/>
      <c r="M1671" s="79"/>
      <c r="N1671" s="74"/>
      <c r="O1671" s="81" t="s">
        <v>695</v>
      </c>
      <c r="P1671" s="83">
        <v>44466.975983796299</v>
      </c>
      <c r="Q1671" s="81" t="s">
        <v>5578</v>
      </c>
      <c r="R1671" s="81"/>
      <c r="S1671" s="81"/>
      <c r="T1671" s="81"/>
      <c r="U1671" s="81"/>
      <c r="V1671" s="84" t="str">
        <f>HYPERLINK("https://pbs.twimg.com/profile_images/1360608915310993413/DpRQdOMZ_normal.jpg")</f>
        <v>https://pbs.twimg.com/profile_images/1360608915310993413/DpRQdOMZ_normal.jpg</v>
      </c>
      <c r="W1671" s="83">
        <v>44466.975983796299</v>
      </c>
      <c r="X1671" s="89">
        <v>44466</v>
      </c>
      <c r="Y1671" s="86" t="s">
        <v>6499</v>
      </c>
      <c r="Z1671" s="84" t="str">
        <f>HYPERLINK("https://twitter.com/dimibeckman/status/1442631493570945028")</f>
        <v>https://twitter.com/dimibeckman/status/1442631493570945028</v>
      </c>
      <c r="AA1671" s="81"/>
      <c r="AB1671" s="81"/>
      <c r="AC1671" s="86" t="s">
        <v>7419</v>
      </c>
      <c r="AD1671" s="86" t="s">
        <v>7739</v>
      </c>
      <c r="AE1671" s="81" t="b">
        <v>0</v>
      </c>
      <c r="AF1671" s="81">
        <v>1</v>
      </c>
      <c r="AG1671" s="86" t="s">
        <v>7916</v>
      </c>
      <c r="AH1671" s="81" t="b">
        <v>0</v>
      </c>
      <c r="AI1671" s="81" t="s">
        <v>2171</v>
      </c>
      <c r="AJ1671" s="81"/>
      <c r="AK1671" s="86" t="s">
        <v>2084</v>
      </c>
      <c r="AL1671" s="81" t="b">
        <v>0</v>
      </c>
      <c r="AM1671" s="81">
        <v>0</v>
      </c>
      <c r="AN1671" s="86" t="s">
        <v>2084</v>
      </c>
      <c r="AO1671" s="86" t="s">
        <v>2181</v>
      </c>
      <c r="AP1671" s="81" t="b">
        <v>0</v>
      </c>
      <c r="AQ1671" s="86" t="s">
        <v>7739</v>
      </c>
      <c r="AR1671" s="81" t="s">
        <v>179</v>
      </c>
      <c r="AS1671" s="81">
        <v>0</v>
      </c>
      <c r="AT1671" s="81">
        <v>0</v>
      </c>
      <c r="AU1671" s="81"/>
      <c r="AV1671" s="81"/>
      <c r="AW1671" s="81"/>
      <c r="AX1671" s="81"/>
      <c r="AY1671" s="81"/>
      <c r="AZ1671" s="81"/>
      <c r="BA1671" s="81"/>
      <c r="BB1671" s="81"/>
    </row>
    <row r="1672" spans="1:54" x14ac:dyDescent="0.35">
      <c r="A1672" s="66" t="s">
        <v>4850</v>
      </c>
      <c r="B1672" s="66" t="s">
        <v>4963</v>
      </c>
      <c r="C1672" s="67"/>
      <c r="D1672" s="68"/>
      <c r="E1672" s="69"/>
      <c r="F1672" s="70"/>
      <c r="G1672" s="67"/>
      <c r="H1672" s="71"/>
      <c r="I1672" s="72"/>
      <c r="J1672" s="72"/>
      <c r="K1672" s="36"/>
      <c r="L1672" s="79"/>
      <c r="M1672" s="79"/>
      <c r="N1672" s="74"/>
      <c r="O1672" s="81" t="s">
        <v>693</v>
      </c>
      <c r="P1672" s="83">
        <v>44466.976134259261</v>
      </c>
      <c r="Q1672" s="81" t="s">
        <v>5577</v>
      </c>
      <c r="R1672" s="81"/>
      <c r="S1672" s="81"/>
      <c r="T1672" s="81"/>
      <c r="U1672" s="81"/>
      <c r="V1672" s="84" t="str">
        <f>HYPERLINK("https://pbs.twimg.com/profile_images/1393913727586553858/MzZj0smn_normal.jpg")</f>
        <v>https://pbs.twimg.com/profile_images/1393913727586553858/MzZj0smn_normal.jpg</v>
      </c>
      <c r="W1672" s="83">
        <v>44466.976134259261</v>
      </c>
      <c r="X1672" s="89">
        <v>44466</v>
      </c>
      <c r="Y1672" s="86" t="s">
        <v>6500</v>
      </c>
      <c r="Z1672" s="84" t="str">
        <f>HYPERLINK("https://twitter.com/gi_gyka/status/1442631548822556677")</f>
        <v>https://twitter.com/gi_gyka/status/1442631548822556677</v>
      </c>
      <c r="AA1672" s="81"/>
      <c r="AB1672" s="81"/>
      <c r="AC1672" s="86" t="s">
        <v>7420</v>
      </c>
      <c r="AD1672" s="81"/>
      <c r="AE1672" s="81" t="b">
        <v>0</v>
      </c>
      <c r="AF1672" s="81">
        <v>0</v>
      </c>
      <c r="AG1672" s="86" t="s">
        <v>2084</v>
      </c>
      <c r="AH1672" s="81" t="b">
        <v>0</v>
      </c>
      <c r="AI1672" s="81" t="s">
        <v>2171</v>
      </c>
      <c r="AJ1672" s="81"/>
      <c r="AK1672" s="86" t="s">
        <v>2084</v>
      </c>
      <c r="AL1672" s="81" t="b">
        <v>0</v>
      </c>
      <c r="AM1672" s="81">
        <v>3</v>
      </c>
      <c r="AN1672" s="86" t="s">
        <v>7589</v>
      </c>
      <c r="AO1672" s="86" t="s">
        <v>2178</v>
      </c>
      <c r="AP1672" s="81" t="b">
        <v>0</v>
      </c>
      <c r="AQ1672" s="86" t="s">
        <v>7589</v>
      </c>
      <c r="AR1672" s="81" t="s">
        <v>179</v>
      </c>
      <c r="AS1672" s="81">
        <v>0</v>
      </c>
      <c r="AT1672" s="81">
        <v>0</v>
      </c>
      <c r="AU1672" s="81"/>
      <c r="AV1672" s="81"/>
      <c r="AW1672" s="81"/>
      <c r="AX1672" s="81"/>
      <c r="AY1672" s="81"/>
      <c r="AZ1672" s="81"/>
      <c r="BA1672" s="81"/>
      <c r="BB1672" s="81"/>
    </row>
    <row r="1673" spans="1:54" x14ac:dyDescent="0.35">
      <c r="A1673" s="66" t="s">
        <v>4850</v>
      </c>
      <c r="B1673" s="66" t="s">
        <v>5171</v>
      </c>
      <c r="C1673" s="67"/>
      <c r="D1673" s="68"/>
      <c r="E1673" s="69"/>
      <c r="F1673" s="70"/>
      <c r="G1673" s="67"/>
      <c r="H1673" s="71"/>
      <c r="I1673" s="72"/>
      <c r="J1673" s="72"/>
      <c r="K1673" s="36"/>
      <c r="L1673" s="79"/>
      <c r="M1673" s="79"/>
      <c r="N1673" s="74"/>
      <c r="O1673" s="81" t="s">
        <v>695</v>
      </c>
      <c r="P1673" s="83">
        <v>44466.976134259261</v>
      </c>
      <c r="Q1673" s="81" t="s">
        <v>5577</v>
      </c>
      <c r="R1673" s="81"/>
      <c r="S1673" s="81"/>
      <c r="T1673" s="81"/>
      <c r="U1673" s="81"/>
      <c r="V1673" s="84" t="str">
        <f>HYPERLINK("https://pbs.twimg.com/profile_images/1393913727586553858/MzZj0smn_normal.jpg")</f>
        <v>https://pbs.twimg.com/profile_images/1393913727586553858/MzZj0smn_normal.jpg</v>
      </c>
      <c r="W1673" s="83">
        <v>44466.976134259261</v>
      </c>
      <c r="X1673" s="89">
        <v>44466</v>
      </c>
      <c r="Y1673" s="86" t="s">
        <v>6500</v>
      </c>
      <c r="Z1673" s="84" t="str">
        <f>HYPERLINK("https://twitter.com/gi_gyka/status/1442631548822556677")</f>
        <v>https://twitter.com/gi_gyka/status/1442631548822556677</v>
      </c>
      <c r="AA1673" s="81"/>
      <c r="AB1673" s="81"/>
      <c r="AC1673" s="86" t="s">
        <v>7420</v>
      </c>
      <c r="AD1673" s="81"/>
      <c r="AE1673" s="81" t="b">
        <v>0</v>
      </c>
      <c r="AF1673" s="81">
        <v>0</v>
      </c>
      <c r="AG1673" s="86" t="s">
        <v>2084</v>
      </c>
      <c r="AH1673" s="81" t="b">
        <v>0</v>
      </c>
      <c r="AI1673" s="81" t="s">
        <v>2171</v>
      </c>
      <c r="AJ1673" s="81"/>
      <c r="AK1673" s="86" t="s">
        <v>2084</v>
      </c>
      <c r="AL1673" s="81" t="b">
        <v>0</v>
      </c>
      <c r="AM1673" s="81">
        <v>3</v>
      </c>
      <c r="AN1673" s="86" t="s">
        <v>7589</v>
      </c>
      <c r="AO1673" s="86" t="s">
        <v>2178</v>
      </c>
      <c r="AP1673" s="81" t="b">
        <v>0</v>
      </c>
      <c r="AQ1673" s="86" t="s">
        <v>7589</v>
      </c>
      <c r="AR1673" s="81" t="s">
        <v>179</v>
      </c>
      <c r="AS1673" s="81">
        <v>0</v>
      </c>
      <c r="AT1673" s="81">
        <v>0</v>
      </c>
      <c r="AU1673" s="81"/>
      <c r="AV1673" s="81"/>
      <c r="AW1673" s="81"/>
      <c r="AX1673" s="81"/>
      <c r="AY1673" s="81"/>
      <c r="AZ1673" s="81"/>
      <c r="BA1673" s="81"/>
      <c r="BB1673" s="81"/>
    </row>
    <row r="1674" spans="1:54" x14ac:dyDescent="0.35">
      <c r="A1674" s="66" t="s">
        <v>4851</v>
      </c>
      <c r="B1674" s="66" t="s">
        <v>4852</v>
      </c>
      <c r="C1674" s="67"/>
      <c r="D1674" s="68"/>
      <c r="E1674" s="69"/>
      <c r="F1674" s="70"/>
      <c r="G1674" s="67"/>
      <c r="H1674" s="71"/>
      <c r="I1674" s="72"/>
      <c r="J1674" s="72"/>
      <c r="K1674" s="36"/>
      <c r="L1674" s="79"/>
      <c r="M1674" s="79"/>
      <c r="N1674" s="74"/>
      <c r="O1674" s="81" t="s">
        <v>693</v>
      </c>
      <c r="P1674" s="83">
        <v>44466.992152777777</v>
      </c>
      <c r="Q1674" s="81" t="s">
        <v>5576</v>
      </c>
      <c r="R1674" s="84" t="str">
        <f>HYPERLINK("https://www.gov.br/anvisa/pt-br/assuntos/noticias-anvisa/2021/anvisa-alerta-sobre-risco-de-miocardite-e-pericardite-pos-vacinacao")</f>
        <v>https://www.gov.br/anvisa/pt-br/assuntos/noticias-anvisa/2021/anvisa-alerta-sobre-risco-de-miocardite-e-pericardite-pos-vacinacao</v>
      </c>
      <c r="S1674" s="81" t="s">
        <v>5686</v>
      </c>
      <c r="T1674" s="81"/>
      <c r="U1674" s="84" t="str">
        <f>HYPERLINK("https://pbs.twimg.com/media/FAUztMOXMAI_7wJ.jpg")</f>
        <v>https://pbs.twimg.com/media/FAUztMOXMAI_7wJ.jpg</v>
      </c>
      <c r="V1674" s="84" t="str">
        <f>HYPERLINK("https://pbs.twimg.com/media/FAUztMOXMAI_7wJ.jpg")</f>
        <v>https://pbs.twimg.com/media/FAUztMOXMAI_7wJ.jpg</v>
      </c>
      <c r="W1674" s="83">
        <v>44466.992152777777</v>
      </c>
      <c r="X1674" s="89">
        <v>44466</v>
      </c>
      <c r="Y1674" s="86" t="s">
        <v>6501</v>
      </c>
      <c r="Z1674" s="84" t="str">
        <f>HYPERLINK("https://twitter.com/ftimaponciano1/status/1442637354532016135")</f>
        <v>https://twitter.com/ftimaponciano1/status/1442637354532016135</v>
      </c>
      <c r="AA1674" s="81"/>
      <c r="AB1674" s="81"/>
      <c r="AC1674" s="86" t="s">
        <v>7421</v>
      </c>
      <c r="AD1674" s="81"/>
      <c r="AE1674" s="81" t="b">
        <v>0</v>
      </c>
      <c r="AF1674" s="81">
        <v>0</v>
      </c>
      <c r="AG1674" s="86" t="s">
        <v>2084</v>
      </c>
      <c r="AH1674" s="81" t="b">
        <v>0</v>
      </c>
      <c r="AI1674" s="81" t="s">
        <v>2171</v>
      </c>
      <c r="AJ1674" s="81"/>
      <c r="AK1674" s="86" t="s">
        <v>2084</v>
      </c>
      <c r="AL1674" s="81" t="b">
        <v>0</v>
      </c>
      <c r="AM1674" s="81">
        <v>4</v>
      </c>
      <c r="AN1674" s="86" t="s">
        <v>7422</v>
      </c>
      <c r="AO1674" s="86" t="s">
        <v>2178</v>
      </c>
      <c r="AP1674" s="81" t="b">
        <v>0</v>
      </c>
      <c r="AQ1674" s="86" t="s">
        <v>7422</v>
      </c>
      <c r="AR1674" s="81" t="s">
        <v>179</v>
      </c>
      <c r="AS1674" s="81">
        <v>0</v>
      </c>
      <c r="AT1674" s="81">
        <v>0</v>
      </c>
      <c r="AU1674" s="81"/>
      <c r="AV1674" s="81"/>
      <c r="AW1674" s="81"/>
      <c r="AX1674" s="81"/>
      <c r="AY1674" s="81"/>
      <c r="AZ1674" s="81"/>
      <c r="BA1674" s="81"/>
      <c r="BB1674" s="81"/>
    </row>
    <row r="1675" spans="1:54" x14ac:dyDescent="0.35">
      <c r="A1675" s="66" t="s">
        <v>580</v>
      </c>
      <c r="B1675" s="66" t="s">
        <v>690</v>
      </c>
      <c r="C1675" s="67"/>
      <c r="D1675" s="68"/>
      <c r="E1675" s="69"/>
      <c r="F1675" s="70"/>
      <c r="G1675" s="67"/>
      <c r="H1675" s="71"/>
      <c r="I1675" s="72"/>
      <c r="J1675" s="72"/>
      <c r="K1675" s="36"/>
      <c r="L1675" s="79"/>
      <c r="M1675" s="79"/>
      <c r="N1675" s="74"/>
      <c r="O1675" s="81" t="s">
        <v>696</v>
      </c>
      <c r="P1675" s="83">
        <v>44466.561608796299</v>
      </c>
      <c r="Q1675" s="81" t="s">
        <v>895</v>
      </c>
      <c r="R1675" s="84" t="str">
        <f>HYPERLINK("https://pmikabupatensemarang.com/")</f>
        <v>https://pmikabupatensemarang.com/</v>
      </c>
      <c r="S1675" s="81" t="s">
        <v>965</v>
      </c>
      <c r="T1675" s="86" t="s">
        <v>997</v>
      </c>
      <c r="U1675" s="84" t="str">
        <f>HYPERLINK("https://pbs.twimg.com/media/FAS5H2-UYAIXcE9.jpg")</f>
        <v>https://pbs.twimg.com/media/FAS5H2-UYAIXcE9.jpg</v>
      </c>
      <c r="V1675" s="84" t="str">
        <f>HYPERLINK("https://pbs.twimg.com/media/FAS5H2-UYAIXcE9.jpg")</f>
        <v>https://pbs.twimg.com/media/FAS5H2-UYAIXcE9.jpg</v>
      </c>
      <c r="W1675" s="83">
        <v>44466.561608796299</v>
      </c>
      <c r="X1675" s="89">
        <v>44466</v>
      </c>
      <c r="Y1675" s="86" t="s">
        <v>1467</v>
      </c>
      <c r="Z1675" s="84" t="str">
        <f>HYPERLINK("https://twitter.com/pmi_kabsemarang/status/1442481328486694929")</f>
        <v>https://twitter.com/pmi_kabsemarang/status/1442481328486694929</v>
      </c>
      <c r="AA1675" s="81"/>
      <c r="AB1675" s="81"/>
      <c r="AC1675" s="86" t="s">
        <v>1963</v>
      </c>
      <c r="AD1675" s="81"/>
      <c r="AE1675" s="81" t="b">
        <v>0</v>
      </c>
      <c r="AF1675" s="81">
        <v>1</v>
      </c>
      <c r="AG1675" s="86" t="s">
        <v>2084</v>
      </c>
      <c r="AH1675" s="81" t="b">
        <v>0</v>
      </c>
      <c r="AI1675" s="81" t="s">
        <v>2167</v>
      </c>
      <c r="AJ1675" s="81"/>
      <c r="AK1675" s="86" t="s">
        <v>2084</v>
      </c>
      <c r="AL1675" s="81" t="b">
        <v>0</v>
      </c>
      <c r="AM1675" s="81">
        <v>0</v>
      </c>
      <c r="AN1675" s="86" t="s">
        <v>2084</v>
      </c>
      <c r="AO1675" s="86" t="s">
        <v>2178</v>
      </c>
      <c r="AP1675" s="81" t="b">
        <v>0</v>
      </c>
      <c r="AQ1675" s="86" t="s">
        <v>1963</v>
      </c>
      <c r="AR1675" s="81" t="s">
        <v>179</v>
      </c>
      <c r="AS1675" s="81">
        <v>0</v>
      </c>
      <c r="AT1675" s="81">
        <v>0</v>
      </c>
      <c r="AU1675" s="81"/>
      <c r="AV1675" s="81"/>
      <c r="AW1675" s="81"/>
      <c r="AX1675" s="81"/>
      <c r="AY1675" s="81"/>
      <c r="AZ1675" s="81"/>
      <c r="BA1675" s="81"/>
      <c r="BB1675" s="81"/>
    </row>
    <row r="1676" spans="1:54" x14ac:dyDescent="0.35">
      <c r="A1676" s="66" t="s">
        <v>580</v>
      </c>
      <c r="B1676" s="66" t="s">
        <v>690</v>
      </c>
      <c r="C1676" s="67"/>
      <c r="D1676" s="68"/>
      <c r="E1676" s="69"/>
      <c r="F1676" s="70"/>
      <c r="G1676" s="67"/>
      <c r="H1676" s="71"/>
      <c r="I1676" s="72"/>
      <c r="J1676" s="72"/>
      <c r="K1676" s="36"/>
      <c r="L1676" s="79"/>
      <c r="M1676" s="79"/>
      <c r="N1676" s="74"/>
      <c r="O1676" s="81" t="s">
        <v>696</v>
      </c>
      <c r="P1676" s="83">
        <v>44467.010613425926</v>
      </c>
      <c r="Q1676" s="81" t="s">
        <v>896</v>
      </c>
      <c r="R1676" s="84" t="str">
        <f>HYPERLINK("https://pmikabupatensemarang.com/")</f>
        <v>https://pmikabupatensemarang.com/</v>
      </c>
      <c r="S1676" s="81" t="s">
        <v>965</v>
      </c>
      <c r="T1676" s="86" t="s">
        <v>997</v>
      </c>
      <c r="U1676" s="84" t="str">
        <f>HYPERLINK("https://pbs.twimg.com/media/FAVM9PdUUAE0ND1.jpg")</f>
        <v>https://pbs.twimg.com/media/FAVM9PdUUAE0ND1.jpg</v>
      </c>
      <c r="V1676" s="84" t="str">
        <f>HYPERLINK("https://pbs.twimg.com/media/FAVM9PdUUAE0ND1.jpg")</f>
        <v>https://pbs.twimg.com/media/FAVM9PdUUAE0ND1.jpg</v>
      </c>
      <c r="W1676" s="83">
        <v>44467.010613425926</v>
      </c>
      <c r="X1676" s="89">
        <v>44467</v>
      </c>
      <c r="Y1676" s="86" t="s">
        <v>1468</v>
      </c>
      <c r="Z1676" s="84" t="str">
        <f>HYPERLINK("https://twitter.com/pmi_kabsemarang/status/1442644042181799938")</f>
        <v>https://twitter.com/pmi_kabsemarang/status/1442644042181799938</v>
      </c>
      <c r="AA1676" s="81"/>
      <c r="AB1676" s="81"/>
      <c r="AC1676" s="86" t="s">
        <v>1964</v>
      </c>
      <c r="AD1676" s="81"/>
      <c r="AE1676" s="81" t="b">
        <v>0</v>
      </c>
      <c r="AF1676" s="81">
        <v>0</v>
      </c>
      <c r="AG1676" s="86" t="s">
        <v>2084</v>
      </c>
      <c r="AH1676" s="81" t="b">
        <v>0</v>
      </c>
      <c r="AI1676" s="81" t="s">
        <v>2167</v>
      </c>
      <c r="AJ1676" s="81"/>
      <c r="AK1676" s="86" t="s">
        <v>2084</v>
      </c>
      <c r="AL1676" s="81" t="b">
        <v>0</v>
      </c>
      <c r="AM1676" s="81">
        <v>0</v>
      </c>
      <c r="AN1676" s="86" t="s">
        <v>2084</v>
      </c>
      <c r="AO1676" s="86" t="s">
        <v>2181</v>
      </c>
      <c r="AP1676" s="81" t="b">
        <v>0</v>
      </c>
      <c r="AQ1676" s="86" t="s">
        <v>1964</v>
      </c>
      <c r="AR1676" s="81" t="s">
        <v>179</v>
      </c>
      <c r="AS1676" s="81">
        <v>0</v>
      </c>
      <c r="AT1676" s="81">
        <v>0</v>
      </c>
      <c r="AU1676" s="81"/>
      <c r="AV1676" s="81"/>
      <c r="AW1676" s="81"/>
      <c r="AX1676" s="81"/>
      <c r="AY1676" s="81"/>
      <c r="AZ1676" s="81"/>
      <c r="BA1676" s="81"/>
      <c r="BB1676" s="81"/>
    </row>
    <row r="1677" spans="1:54" x14ac:dyDescent="0.35">
      <c r="A1677" s="66" t="s">
        <v>580</v>
      </c>
      <c r="B1677" s="66" t="s">
        <v>691</v>
      </c>
      <c r="C1677" s="67"/>
      <c r="D1677" s="68"/>
      <c r="E1677" s="69"/>
      <c r="F1677" s="70"/>
      <c r="G1677" s="67"/>
      <c r="H1677" s="71"/>
      <c r="I1677" s="72"/>
      <c r="J1677" s="72"/>
      <c r="K1677" s="36"/>
      <c r="L1677" s="79"/>
      <c r="M1677" s="79"/>
      <c r="N1677" s="74"/>
      <c r="O1677" s="81" t="s">
        <v>696</v>
      </c>
      <c r="P1677" s="83">
        <v>44466.561608796299</v>
      </c>
      <c r="Q1677" s="81" t="s">
        <v>895</v>
      </c>
      <c r="R1677" s="84" t="str">
        <f>HYPERLINK("https://pmikabupatensemarang.com/")</f>
        <v>https://pmikabupatensemarang.com/</v>
      </c>
      <c r="S1677" s="81" t="s">
        <v>965</v>
      </c>
      <c r="T1677" s="86" t="s">
        <v>997</v>
      </c>
      <c r="U1677" s="84" t="str">
        <f>HYPERLINK("https://pbs.twimg.com/media/FAS5H2-UYAIXcE9.jpg")</f>
        <v>https://pbs.twimg.com/media/FAS5H2-UYAIXcE9.jpg</v>
      </c>
      <c r="V1677" s="84" t="str">
        <f>HYPERLINK("https://pbs.twimg.com/media/FAS5H2-UYAIXcE9.jpg")</f>
        <v>https://pbs.twimg.com/media/FAS5H2-UYAIXcE9.jpg</v>
      </c>
      <c r="W1677" s="83">
        <v>44466.561608796299</v>
      </c>
      <c r="X1677" s="89">
        <v>44466</v>
      </c>
      <c r="Y1677" s="86" t="s">
        <v>1467</v>
      </c>
      <c r="Z1677" s="84" t="str">
        <f>HYPERLINK("https://twitter.com/pmi_kabsemarang/status/1442481328486694929")</f>
        <v>https://twitter.com/pmi_kabsemarang/status/1442481328486694929</v>
      </c>
      <c r="AA1677" s="81"/>
      <c r="AB1677" s="81"/>
      <c r="AC1677" s="86" t="s">
        <v>1963</v>
      </c>
      <c r="AD1677" s="81"/>
      <c r="AE1677" s="81" t="b">
        <v>0</v>
      </c>
      <c r="AF1677" s="81">
        <v>1</v>
      </c>
      <c r="AG1677" s="86" t="s">
        <v>2084</v>
      </c>
      <c r="AH1677" s="81" t="b">
        <v>0</v>
      </c>
      <c r="AI1677" s="81" t="s">
        <v>2167</v>
      </c>
      <c r="AJ1677" s="81"/>
      <c r="AK1677" s="86" t="s">
        <v>2084</v>
      </c>
      <c r="AL1677" s="81" t="b">
        <v>0</v>
      </c>
      <c r="AM1677" s="81">
        <v>0</v>
      </c>
      <c r="AN1677" s="86" t="s">
        <v>2084</v>
      </c>
      <c r="AO1677" s="86" t="s">
        <v>2178</v>
      </c>
      <c r="AP1677" s="81" t="b">
        <v>0</v>
      </c>
      <c r="AQ1677" s="86" t="s">
        <v>1963</v>
      </c>
      <c r="AR1677" s="81" t="s">
        <v>179</v>
      </c>
      <c r="AS1677" s="81">
        <v>0</v>
      </c>
      <c r="AT1677" s="81">
        <v>0</v>
      </c>
      <c r="AU1677" s="81"/>
      <c r="AV1677" s="81"/>
      <c r="AW1677" s="81"/>
      <c r="AX1677" s="81"/>
      <c r="AY1677" s="81"/>
      <c r="AZ1677" s="81"/>
      <c r="BA1677" s="81"/>
      <c r="BB1677" s="81"/>
    </row>
    <row r="1678" spans="1:54" x14ac:dyDescent="0.35">
      <c r="A1678" s="66" t="s">
        <v>580</v>
      </c>
      <c r="B1678" s="66" t="s">
        <v>691</v>
      </c>
      <c r="C1678" s="67"/>
      <c r="D1678" s="68"/>
      <c r="E1678" s="69"/>
      <c r="F1678" s="70"/>
      <c r="G1678" s="67"/>
      <c r="H1678" s="71"/>
      <c r="I1678" s="72"/>
      <c r="J1678" s="72"/>
      <c r="K1678" s="36"/>
      <c r="L1678" s="79"/>
      <c r="M1678" s="79"/>
      <c r="N1678" s="74"/>
      <c r="O1678" s="81" t="s">
        <v>696</v>
      </c>
      <c r="P1678" s="83">
        <v>44467.010613425926</v>
      </c>
      <c r="Q1678" s="81" t="s">
        <v>896</v>
      </c>
      <c r="R1678" s="84" t="str">
        <f>HYPERLINK("https://pmikabupatensemarang.com/")</f>
        <v>https://pmikabupatensemarang.com/</v>
      </c>
      <c r="S1678" s="81" t="s">
        <v>965</v>
      </c>
      <c r="T1678" s="86" t="s">
        <v>997</v>
      </c>
      <c r="U1678" s="84" t="str">
        <f>HYPERLINK("https://pbs.twimg.com/media/FAVM9PdUUAE0ND1.jpg")</f>
        <v>https://pbs.twimg.com/media/FAVM9PdUUAE0ND1.jpg</v>
      </c>
      <c r="V1678" s="84" t="str">
        <f>HYPERLINK("https://pbs.twimg.com/media/FAVM9PdUUAE0ND1.jpg")</f>
        <v>https://pbs.twimg.com/media/FAVM9PdUUAE0ND1.jpg</v>
      </c>
      <c r="W1678" s="83">
        <v>44467.010613425926</v>
      </c>
      <c r="X1678" s="89">
        <v>44467</v>
      </c>
      <c r="Y1678" s="86" t="s">
        <v>1468</v>
      </c>
      <c r="Z1678" s="84" t="str">
        <f>HYPERLINK("https://twitter.com/pmi_kabsemarang/status/1442644042181799938")</f>
        <v>https://twitter.com/pmi_kabsemarang/status/1442644042181799938</v>
      </c>
      <c r="AA1678" s="81"/>
      <c r="AB1678" s="81"/>
      <c r="AC1678" s="86" t="s">
        <v>1964</v>
      </c>
      <c r="AD1678" s="81"/>
      <c r="AE1678" s="81" t="b">
        <v>0</v>
      </c>
      <c r="AF1678" s="81">
        <v>0</v>
      </c>
      <c r="AG1678" s="86" t="s">
        <v>2084</v>
      </c>
      <c r="AH1678" s="81" t="b">
        <v>0</v>
      </c>
      <c r="AI1678" s="81" t="s">
        <v>2167</v>
      </c>
      <c r="AJ1678" s="81"/>
      <c r="AK1678" s="86" t="s">
        <v>2084</v>
      </c>
      <c r="AL1678" s="81" t="b">
        <v>0</v>
      </c>
      <c r="AM1678" s="81">
        <v>0</v>
      </c>
      <c r="AN1678" s="86" t="s">
        <v>2084</v>
      </c>
      <c r="AO1678" s="86" t="s">
        <v>2181</v>
      </c>
      <c r="AP1678" s="81" t="b">
        <v>0</v>
      </c>
      <c r="AQ1678" s="86" t="s">
        <v>1964</v>
      </c>
      <c r="AR1678" s="81" t="s">
        <v>179</v>
      </c>
      <c r="AS1678" s="81">
        <v>0</v>
      </c>
      <c r="AT1678" s="81">
        <v>0</v>
      </c>
      <c r="AU1678" s="81"/>
      <c r="AV1678" s="81"/>
      <c r="AW1678" s="81"/>
      <c r="AX1678" s="81"/>
      <c r="AY1678" s="81"/>
      <c r="AZ1678" s="81"/>
      <c r="BA1678" s="81"/>
      <c r="BB1678" s="81"/>
    </row>
    <row r="1679" spans="1:54" x14ac:dyDescent="0.35">
      <c r="A1679" s="66" t="s">
        <v>580</v>
      </c>
      <c r="B1679" s="66" t="s">
        <v>692</v>
      </c>
      <c r="C1679" s="67"/>
      <c r="D1679" s="68"/>
      <c r="E1679" s="69"/>
      <c r="F1679" s="70"/>
      <c r="G1679" s="67"/>
      <c r="H1679" s="71"/>
      <c r="I1679" s="72"/>
      <c r="J1679" s="72"/>
      <c r="K1679" s="36"/>
      <c r="L1679" s="79"/>
      <c r="M1679" s="79"/>
      <c r="N1679" s="74"/>
      <c r="O1679" s="81" t="s">
        <v>696</v>
      </c>
      <c r="P1679" s="83">
        <v>44466.561608796299</v>
      </c>
      <c r="Q1679" s="81" t="s">
        <v>895</v>
      </c>
      <c r="R1679" s="84" t="str">
        <f>HYPERLINK("https://pmikabupatensemarang.com/")</f>
        <v>https://pmikabupatensemarang.com/</v>
      </c>
      <c r="S1679" s="81" t="s">
        <v>965</v>
      </c>
      <c r="T1679" s="86" t="s">
        <v>997</v>
      </c>
      <c r="U1679" s="84" t="str">
        <f>HYPERLINK("https://pbs.twimg.com/media/FAS5H2-UYAIXcE9.jpg")</f>
        <v>https://pbs.twimg.com/media/FAS5H2-UYAIXcE9.jpg</v>
      </c>
      <c r="V1679" s="84" t="str">
        <f>HYPERLINK("https://pbs.twimg.com/media/FAS5H2-UYAIXcE9.jpg")</f>
        <v>https://pbs.twimg.com/media/FAS5H2-UYAIXcE9.jpg</v>
      </c>
      <c r="W1679" s="83">
        <v>44466.561608796299</v>
      </c>
      <c r="X1679" s="89">
        <v>44466</v>
      </c>
      <c r="Y1679" s="86" t="s">
        <v>1467</v>
      </c>
      <c r="Z1679" s="84" t="str">
        <f>HYPERLINK("https://twitter.com/pmi_kabsemarang/status/1442481328486694929")</f>
        <v>https://twitter.com/pmi_kabsemarang/status/1442481328486694929</v>
      </c>
      <c r="AA1679" s="81"/>
      <c r="AB1679" s="81"/>
      <c r="AC1679" s="86" t="s">
        <v>1963</v>
      </c>
      <c r="AD1679" s="81"/>
      <c r="AE1679" s="81" t="b">
        <v>0</v>
      </c>
      <c r="AF1679" s="81">
        <v>1</v>
      </c>
      <c r="AG1679" s="86" t="s">
        <v>2084</v>
      </c>
      <c r="AH1679" s="81" t="b">
        <v>0</v>
      </c>
      <c r="AI1679" s="81" t="s">
        <v>2167</v>
      </c>
      <c r="AJ1679" s="81"/>
      <c r="AK1679" s="86" t="s">
        <v>2084</v>
      </c>
      <c r="AL1679" s="81" t="b">
        <v>0</v>
      </c>
      <c r="AM1679" s="81">
        <v>0</v>
      </c>
      <c r="AN1679" s="86" t="s">
        <v>2084</v>
      </c>
      <c r="AO1679" s="86" t="s">
        <v>2178</v>
      </c>
      <c r="AP1679" s="81" t="b">
        <v>0</v>
      </c>
      <c r="AQ1679" s="86" t="s">
        <v>1963</v>
      </c>
      <c r="AR1679" s="81" t="s">
        <v>179</v>
      </c>
      <c r="AS1679" s="81">
        <v>0</v>
      </c>
      <c r="AT1679" s="81">
        <v>0</v>
      </c>
      <c r="AU1679" s="81"/>
      <c r="AV1679" s="81"/>
      <c r="AW1679" s="81"/>
      <c r="AX1679" s="81"/>
      <c r="AY1679" s="81"/>
      <c r="AZ1679" s="81"/>
      <c r="BA1679" s="81"/>
      <c r="BB1679" s="81"/>
    </row>
    <row r="1680" spans="1:54" x14ac:dyDescent="0.35">
      <c r="A1680" s="66" t="s">
        <v>580</v>
      </c>
      <c r="B1680" s="66" t="s">
        <v>692</v>
      </c>
      <c r="C1680" s="67"/>
      <c r="D1680" s="68"/>
      <c r="E1680" s="69"/>
      <c r="F1680" s="70"/>
      <c r="G1680" s="67"/>
      <c r="H1680" s="71"/>
      <c r="I1680" s="72"/>
      <c r="J1680" s="72"/>
      <c r="K1680" s="36"/>
      <c r="L1680" s="79"/>
      <c r="M1680" s="79"/>
      <c r="N1680" s="74"/>
      <c r="O1680" s="81" t="s">
        <v>696</v>
      </c>
      <c r="P1680" s="83">
        <v>44467.010613425926</v>
      </c>
      <c r="Q1680" s="81" t="s">
        <v>896</v>
      </c>
      <c r="R1680" s="84" t="str">
        <f>HYPERLINK("https://pmikabupatensemarang.com/")</f>
        <v>https://pmikabupatensemarang.com/</v>
      </c>
      <c r="S1680" s="81" t="s">
        <v>965</v>
      </c>
      <c r="T1680" s="86" t="s">
        <v>997</v>
      </c>
      <c r="U1680" s="84" t="str">
        <f>HYPERLINK("https://pbs.twimg.com/media/FAVM9PdUUAE0ND1.jpg")</f>
        <v>https://pbs.twimg.com/media/FAVM9PdUUAE0ND1.jpg</v>
      </c>
      <c r="V1680" s="84" t="str">
        <f>HYPERLINK("https://pbs.twimg.com/media/FAVM9PdUUAE0ND1.jpg")</f>
        <v>https://pbs.twimg.com/media/FAVM9PdUUAE0ND1.jpg</v>
      </c>
      <c r="W1680" s="83">
        <v>44467.010613425926</v>
      </c>
      <c r="X1680" s="89">
        <v>44467</v>
      </c>
      <c r="Y1680" s="86" t="s">
        <v>1468</v>
      </c>
      <c r="Z1680" s="84" t="str">
        <f>HYPERLINK("https://twitter.com/pmi_kabsemarang/status/1442644042181799938")</f>
        <v>https://twitter.com/pmi_kabsemarang/status/1442644042181799938</v>
      </c>
      <c r="AA1680" s="81"/>
      <c r="AB1680" s="81"/>
      <c r="AC1680" s="86" t="s">
        <v>1964</v>
      </c>
      <c r="AD1680" s="81"/>
      <c r="AE1680" s="81" t="b">
        <v>0</v>
      </c>
      <c r="AF1680" s="81">
        <v>0</v>
      </c>
      <c r="AG1680" s="86" t="s">
        <v>2084</v>
      </c>
      <c r="AH1680" s="81" t="b">
        <v>0</v>
      </c>
      <c r="AI1680" s="81" t="s">
        <v>2167</v>
      </c>
      <c r="AJ1680" s="81"/>
      <c r="AK1680" s="86" t="s">
        <v>2084</v>
      </c>
      <c r="AL1680" s="81" t="b">
        <v>0</v>
      </c>
      <c r="AM1680" s="81">
        <v>0</v>
      </c>
      <c r="AN1680" s="86" t="s">
        <v>2084</v>
      </c>
      <c r="AO1680" s="86" t="s">
        <v>2181</v>
      </c>
      <c r="AP1680" s="81" t="b">
        <v>0</v>
      </c>
      <c r="AQ1680" s="86" t="s">
        <v>1964</v>
      </c>
      <c r="AR1680" s="81" t="s">
        <v>179</v>
      </c>
      <c r="AS1680" s="81">
        <v>0</v>
      </c>
      <c r="AT1680" s="81">
        <v>0</v>
      </c>
      <c r="AU1680" s="81"/>
      <c r="AV1680" s="81"/>
      <c r="AW1680" s="81"/>
      <c r="AX1680" s="81"/>
      <c r="AY1680" s="81"/>
      <c r="AZ1680" s="81"/>
      <c r="BA1680" s="81"/>
      <c r="BB1680" s="81"/>
    </row>
    <row r="1681" spans="1:54" x14ac:dyDescent="0.35">
      <c r="A1681" s="66" t="s">
        <v>4852</v>
      </c>
      <c r="B1681" s="66" t="s">
        <v>4852</v>
      </c>
      <c r="C1681" s="67"/>
      <c r="D1681" s="68"/>
      <c r="E1681" s="69"/>
      <c r="F1681" s="70"/>
      <c r="G1681" s="67"/>
      <c r="H1681" s="71"/>
      <c r="I1681" s="72"/>
      <c r="J1681" s="72"/>
      <c r="K1681" s="36"/>
      <c r="L1681" s="79"/>
      <c r="M1681" s="79"/>
      <c r="N1681" s="74"/>
      <c r="O1681" s="81" t="s">
        <v>179</v>
      </c>
      <c r="P1681" s="83">
        <v>44466.933541666665</v>
      </c>
      <c r="Q1681" s="81" t="s">
        <v>5576</v>
      </c>
      <c r="R1681" s="84" t="str">
        <f>HYPERLINK("https://www.gov.br/anvisa/pt-br/assuntos/noticias-anvisa/2021/anvisa-alerta-sobre-risco-de-miocardite-e-pericardite-pos-vacinacao")</f>
        <v>https://www.gov.br/anvisa/pt-br/assuntos/noticias-anvisa/2021/anvisa-alerta-sobre-risco-de-miocardite-e-pericardite-pos-vacinacao</v>
      </c>
      <c r="S1681" s="81" t="s">
        <v>5686</v>
      </c>
      <c r="T1681" s="81"/>
      <c r="U1681" s="84" t="str">
        <f>HYPERLINK("https://pbs.twimg.com/media/FAUztMOXMAI_7wJ.jpg")</f>
        <v>https://pbs.twimg.com/media/FAUztMOXMAI_7wJ.jpg</v>
      </c>
      <c r="V1681" s="84" t="str">
        <f>HYPERLINK("https://pbs.twimg.com/media/FAUztMOXMAI_7wJ.jpg")</f>
        <v>https://pbs.twimg.com/media/FAUztMOXMAI_7wJ.jpg</v>
      </c>
      <c r="W1681" s="83">
        <v>44466.933541666665</v>
      </c>
      <c r="X1681" s="89">
        <v>44466</v>
      </c>
      <c r="Y1681" s="86" t="s">
        <v>6502</v>
      </c>
      <c r="Z1681" s="84" t="str">
        <f>HYPERLINK("https://twitter.com/nycamary/status/1442616114475905026")</f>
        <v>https://twitter.com/nycamary/status/1442616114475905026</v>
      </c>
      <c r="AA1681" s="81"/>
      <c r="AB1681" s="81"/>
      <c r="AC1681" s="86" t="s">
        <v>7422</v>
      </c>
      <c r="AD1681" s="81"/>
      <c r="AE1681" s="81" t="b">
        <v>0</v>
      </c>
      <c r="AF1681" s="81">
        <v>4</v>
      </c>
      <c r="AG1681" s="86" t="s">
        <v>2084</v>
      </c>
      <c r="AH1681" s="81" t="b">
        <v>0</v>
      </c>
      <c r="AI1681" s="81" t="s">
        <v>2171</v>
      </c>
      <c r="AJ1681" s="81"/>
      <c r="AK1681" s="86" t="s">
        <v>2084</v>
      </c>
      <c r="AL1681" s="81" t="b">
        <v>0</v>
      </c>
      <c r="AM1681" s="81">
        <v>4</v>
      </c>
      <c r="AN1681" s="86" t="s">
        <v>2084</v>
      </c>
      <c r="AO1681" s="86" t="s">
        <v>2179</v>
      </c>
      <c r="AP1681" s="81" t="b">
        <v>0</v>
      </c>
      <c r="AQ1681" s="86" t="s">
        <v>7422</v>
      </c>
      <c r="AR1681" s="81" t="s">
        <v>179</v>
      </c>
      <c r="AS1681" s="81">
        <v>0</v>
      </c>
      <c r="AT1681" s="81">
        <v>0</v>
      </c>
      <c r="AU1681" s="81"/>
      <c r="AV1681" s="81"/>
      <c r="AW1681" s="81"/>
      <c r="AX1681" s="81"/>
      <c r="AY1681" s="81"/>
      <c r="AZ1681" s="81"/>
      <c r="BA1681" s="81"/>
      <c r="BB1681" s="81"/>
    </row>
    <row r="1682" spans="1:54" x14ac:dyDescent="0.35">
      <c r="A1682" s="66" t="s">
        <v>4853</v>
      </c>
      <c r="B1682" s="66" t="s">
        <v>4852</v>
      </c>
      <c r="C1682" s="67"/>
      <c r="D1682" s="68"/>
      <c r="E1682" s="69"/>
      <c r="F1682" s="70"/>
      <c r="G1682" s="67"/>
      <c r="H1682" s="71"/>
      <c r="I1682" s="72"/>
      <c r="J1682" s="72"/>
      <c r="K1682" s="36"/>
      <c r="L1682" s="79"/>
      <c r="M1682" s="79"/>
      <c r="N1682" s="74"/>
      <c r="O1682" s="81" t="s">
        <v>693</v>
      </c>
      <c r="P1682" s="83">
        <v>44467.025150462963</v>
      </c>
      <c r="Q1682" s="81" t="s">
        <v>5576</v>
      </c>
      <c r="R1682" s="84" t="str">
        <f>HYPERLINK("https://www.gov.br/anvisa/pt-br/assuntos/noticias-anvisa/2021/anvisa-alerta-sobre-risco-de-miocardite-e-pericardite-pos-vacinacao")</f>
        <v>https://www.gov.br/anvisa/pt-br/assuntos/noticias-anvisa/2021/anvisa-alerta-sobre-risco-de-miocardite-e-pericardite-pos-vacinacao</v>
      </c>
      <c r="S1682" s="81" t="s">
        <v>5686</v>
      </c>
      <c r="T1682" s="81"/>
      <c r="U1682" s="84" t="str">
        <f>HYPERLINK("https://pbs.twimg.com/media/FAUztMOXMAI_7wJ.jpg")</f>
        <v>https://pbs.twimg.com/media/FAUztMOXMAI_7wJ.jpg</v>
      </c>
      <c r="V1682" s="84" t="str">
        <f>HYPERLINK("https://pbs.twimg.com/media/FAUztMOXMAI_7wJ.jpg")</f>
        <v>https://pbs.twimg.com/media/FAUztMOXMAI_7wJ.jpg</v>
      </c>
      <c r="W1682" s="83">
        <v>44467.025150462963</v>
      </c>
      <c r="X1682" s="89">
        <v>44467</v>
      </c>
      <c r="Y1682" s="86" t="s">
        <v>6503</v>
      </c>
      <c r="Z1682" s="84" t="str">
        <f>HYPERLINK("https://twitter.com/elinalv12774504/status/1442649310336851973")</f>
        <v>https://twitter.com/elinalv12774504/status/1442649310336851973</v>
      </c>
      <c r="AA1682" s="81"/>
      <c r="AB1682" s="81"/>
      <c r="AC1682" s="86" t="s">
        <v>7423</v>
      </c>
      <c r="AD1682" s="81"/>
      <c r="AE1682" s="81" t="b">
        <v>0</v>
      </c>
      <c r="AF1682" s="81">
        <v>0</v>
      </c>
      <c r="AG1682" s="86" t="s">
        <v>2084</v>
      </c>
      <c r="AH1682" s="81" t="b">
        <v>0</v>
      </c>
      <c r="AI1682" s="81" t="s">
        <v>2171</v>
      </c>
      <c r="AJ1682" s="81"/>
      <c r="AK1682" s="86" t="s">
        <v>2084</v>
      </c>
      <c r="AL1682" s="81" t="b">
        <v>0</v>
      </c>
      <c r="AM1682" s="81">
        <v>4</v>
      </c>
      <c r="AN1682" s="86" t="s">
        <v>7422</v>
      </c>
      <c r="AO1682" s="86" t="s">
        <v>2178</v>
      </c>
      <c r="AP1682" s="81" t="b">
        <v>0</v>
      </c>
      <c r="AQ1682" s="86" t="s">
        <v>7422</v>
      </c>
      <c r="AR1682" s="81" t="s">
        <v>179</v>
      </c>
      <c r="AS1682" s="81">
        <v>0</v>
      </c>
      <c r="AT1682" s="81">
        <v>0</v>
      </c>
      <c r="AU1682" s="81"/>
      <c r="AV1682" s="81"/>
      <c r="AW1682" s="81"/>
      <c r="AX1682" s="81"/>
      <c r="AY1682" s="81"/>
      <c r="AZ1682" s="81"/>
      <c r="BA1682" s="81"/>
      <c r="BB1682" s="81"/>
    </row>
    <row r="1683" spans="1:54" x14ac:dyDescent="0.35">
      <c r="A1683" s="66" t="s">
        <v>580</v>
      </c>
      <c r="B1683" s="66" t="s">
        <v>581</v>
      </c>
      <c r="C1683" s="67"/>
      <c r="D1683" s="68"/>
      <c r="E1683" s="69"/>
      <c r="F1683" s="70"/>
      <c r="G1683" s="67"/>
      <c r="H1683" s="71"/>
      <c r="I1683" s="72"/>
      <c r="J1683" s="72"/>
      <c r="K1683" s="36"/>
      <c r="L1683" s="79"/>
      <c r="M1683" s="79"/>
      <c r="N1683" s="74"/>
      <c r="O1683" s="81" t="s">
        <v>696</v>
      </c>
      <c r="P1683" s="83">
        <v>44466.561608796299</v>
      </c>
      <c r="Q1683" s="81" t="s">
        <v>895</v>
      </c>
      <c r="R1683" s="84" t="str">
        <f>HYPERLINK("https://pmikabupatensemarang.com/")</f>
        <v>https://pmikabupatensemarang.com/</v>
      </c>
      <c r="S1683" s="81" t="s">
        <v>965</v>
      </c>
      <c r="T1683" s="86" t="s">
        <v>997</v>
      </c>
      <c r="U1683" s="84" t="str">
        <f>HYPERLINK("https://pbs.twimg.com/media/FAS5H2-UYAIXcE9.jpg")</f>
        <v>https://pbs.twimg.com/media/FAS5H2-UYAIXcE9.jpg</v>
      </c>
      <c r="V1683" s="84" t="str">
        <f>HYPERLINK("https://pbs.twimg.com/media/FAS5H2-UYAIXcE9.jpg")</f>
        <v>https://pbs.twimg.com/media/FAS5H2-UYAIXcE9.jpg</v>
      </c>
      <c r="W1683" s="83">
        <v>44466.561608796299</v>
      </c>
      <c r="X1683" s="89">
        <v>44466</v>
      </c>
      <c r="Y1683" s="86" t="s">
        <v>1467</v>
      </c>
      <c r="Z1683" s="84" t="str">
        <f>HYPERLINK("https://twitter.com/pmi_kabsemarang/status/1442481328486694929")</f>
        <v>https://twitter.com/pmi_kabsemarang/status/1442481328486694929</v>
      </c>
      <c r="AA1683" s="81"/>
      <c r="AB1683" s="81"/>
      <c r="AC1683" s="86" t="s">
        <v>1963</v>
      </c>
      <c r="AD1683" s="81"/>
      <c r="AE1683" s="81" t="b">
        <v>0</v>
      </c>
      <c r="AF1683" s="81">
        <v>1</v>
      </c>
      <c r="AG1683" s="86" t="s">
        <v>2084</v>
      </c>
      <c r="AH1683" s="81" t="b">
        <v>0</v>
      </c>
      <c r="AI1683" s="81" t="s">
        <v>2167</v>
      </c>
      <c r="AJ1683" s="81"/>
      <c r="AK1683" s="86" t="s">
        <v>2084</v>
      </c>
      <c r="AL1683" s="81" t="b">
        <v>0</v>
      </c>
      <c r="AM1683" s="81">
        <v>0</v>
      </c>
      <c r="AN1683" s="86" t="s">
        <v>2084</v>
      </c>
      <c r="AO1683" s="86" t="s">
        <v>2178</v>
      </c>
      <c r="AP1683" s="81" t="b">
        <v>0</v>
      </c>
      <c r="AQ1683" s="86" t="s">
        <v>1963</v>
      </c>
      <c r="AR1683" s="81" t="s">
        <v>179</v>
      </c>
      <c r="AS1683" s="81">
        <v>0</v>
      </c>
      <c r="AT1683" s="81">
        <v>0</v>
      </c>
      <c r="AU1683" s="81"/>
      <c r="AV1683" s="81"/>
      <c r="AW1683" s="81"/>
      <c r="AX1683" s="81"/>
      <c r="AY1683" s="81"/>
      <c r="AZ1683" s="81"/>
      <c r="BA1683" s="81"/>
      <c r="BB1683" s="81"/>
    </row>
    <row r="1684" spans="1:54" x14ac:dyDescent="0.35">
      <c r="A1684" s="66" t="s">
        <v>580</v>
      </c>
      <c r="B1684" s="66" t="s">
        <v>581</v>
      </c>
      <c r="C1684" s="67"/>
      <c r="D1684" s="68"/>
      <c r="E1684" s="69"/>
      <c r="F1684" s="70"/>
      <c r="G1684" s="67"/>
      <c r="H1684" s="71"/>
      <c r="I1684" s="72"/>
      <c r="J1684" s="72"/>
      <c r="K1684" s="36"/>
      <c r="L1684" s="79"/>
      <c r="M1684" s="79"/>
      <c r="N1684" s="74"/>
      <c r="O1684" s="81" t="s">
        <v>696</v>
      </c>
      <c r="P1684" s="83">
        <v>44467.010613425926</v>
      </c>
      <c r="Q1684" s="81" t="s">
        <v>896</v>
      </c>
      <c r="R1684" s="84" t="str">
        <f>HYPERLINK("https://pmikabupatensemarang.com/")</f>
        <v>https://pmikabupatensemarang.com/</v>
      </c>
      <c r="S1684" s="81" t="s">
        <v>965</v>
      </c>
      <c r="T1684" s="86" t="s">
        <v>997</v>
      </c>
      <c r="U1684" s="84" t="str">
        <f>HYPERLINK("https://pbs.twimg.com/media/FAVM9PdUUAE0ND1.jpg")</f>
        <v>https://pbs.twimg.com/media/FAVM9PdUUAE0ND1.jpg</v>
      </c>
      <c r="V1684" s="84" t="str">
        <f>HYPERLINK("https://pbs.twimg.com/media/FAVM9PdUUAE0ND1.jpg")</f>
        <v>https://pbs.twimg.com/media/FAVM9PdUUAE0ND1.jpg</v>
      </c>
      <c r="W1684" s="83">
        <v>44467.010613425926</v>
      </c>
      <c r="X1684" s="89">
        <v>44467</v>
      </c>
      <c r="Y1684" s="86" t="s">
        <v>1468</v>
      </c>
      <c r="Z1684" s="84" t="str">
        <f>HYPERLINK("https://twitter.com/pmi_kabsemarang/status/1442644042181799938")</f>
        <v>https://twitter.com/pmi_kabsemarang/status/1442644042181799938</v>
      </c>
      <c r="AA1684" s="81"/>
      <c r="AB1684" s="81"/>
      <c r="AC1684" s="86" t="s">
        <v>1964</v>
      </c>
      <c r="AD1684" s="81"/>
      <c r="AE1684" s="81" t="b">
        <v>0</v>
      </c>
      <c r="AF1684" s="81">
        <v>0</v>
      </c>
      <c r="AG1684" s="86" t="s">
        <v>2084</v>
      </c>
      <c r="AH1684" s="81" t="b">
        <v>0</v>
      </c>
      <c r="AI1684" s="81" t="s">
        <v>2167</v>
      </c>
      <c r="AJ1684" s="81"/>
      <c r="AK1684" s="86" t="s">
        <v>2084</v>
      </c>
      <c r="AL1684" s="81" t="b">
        <v>0</v>
      </c>
      <c r="AM1684" s="81">
        <v>0</v>
      </c>
      <c r="AN1684" s="86" t="s">
        <v>2084</v>
      </c>
      <c r="AO1684" s="86" t="s">
        <v>2181</v>
      </c>
      <c r="AP1684" s="81" t="b">
        <v>0</v>
      </c>
      <c r="AQ1684" s="86" t="s">
        <v>1964</v>
      </c>
      <c r="AR1684" s="81" t="s">
        <v>179</v>
      </c>
      <c r="AS1684" s="81">
        <v>0</v>
      </c>
      <c r="AT1684" s="81">
        <v>0</v>
      </c>
      <c r="AU1684" s="81"/>
      <c r="AV1684" s="81"/>
      <c r="AW1684" s="81"/>
      <c r="AX1684" s="81"/>
      <c r="AY1684" s="81"/>
      <c r="AZ1684" s="81"/>
      <c r="BA1684" s="81"/>
      <c r="BB1684" s="81"/>
    </row>
    <row r="1685" spans="1:54" x14ac:dyDescent="0.35">
      <c r="A1685" s="66" t="s">
        <v>581</v>
      </c>
      <c r="B1685" s="66" t="s">
        <v>580</v>
      </c>
      <c r="C1685" s="67"/>
      <c r="D1685" s="68"/>
      <c r="E1685" s="69"/>
      <c r="F1685" s="70"/>
      <c r="G1685" s="67"/>
      <c r="H1685" s="71"/>
      <c r="I1685" s="72"/>
      <c r="J1685" s="72"/>
      <c r="K1685" s="36"/>
      <c r="L1685" s="79"/>
      <c r="M1685" s="79"/>
      <c r="N1685" s="74"/>
      <c r="O1685" s="81" t="s">
        <v>696</v>
      </c>
      <c r="P1685" s="83">
        <v>44466.564375000002</v>
      </c>
      <c r="Q1685" s="81" t="s">
        <v>886</v>
      </c>
      <c r="R1685" s="84" t="str">
        <f>HYPERLINK("https://pmikabupatensemarang.com/")</f>
        <v>https://pmikabupatensemarang.com/</v>
      </c>
      <c r="S1685" s="81" t="s">
        <v>965</v>
      </c>
      <c r="T1685" s="86" t="s">
        <v>996</v>
      </c>
      <c r="U1685" s="84" t="str">
        <f>HYPERLINK("https://pbs.twimg.com/media/FAS6CahXoAIagz4.jpg")</f>
        <v>https://pbs.twimg.com/media/FAS6CahXoAIagz4.jpg</v>
      </c>
      <c r="V1685" s="84" t="str">
        <f>HYPERLINK("https://pbs.twimg.com/media/FAS6CahXoAIagz4.jpg")</f>
        <v>https://pbs.twimg.com/media/FAS6CahXoAIagz4.jpg</v>
      </c>
      <c r="W1685" s="83">
        <v>44466.564375000002</v>
      </c>
      <c r="X1685" s="89">
        <v>44466</v>
      </c>
      <c r="Y1685" s="86" t="s">
        <v>1469</v>
      </c>
      <c r="Z1685" s="84" t="str">
        <f>HYPERLINK("https://twitter.com/blood4lifeid/status/1442482332959657985")</f>
        <v>https://twitter.com/blood4lifeid/status/1442482332959657985</v>
      </c>
      <c r="AA1685" s="81"/>
      <c r="AB1685" s="81"/>
      <c r="AC1685" s="86" t="s">
        <v>1965</v>
      </c>
      <c r="AD1685" s="81"/>
      <c r="AE1685" s="81" t="b">
        <v>0</v>
      </c>
      <c r="AF1685" s="81">
        <v>1</v>
      </c>
      <c r="AG1685" s="86" t="s">
        <v>2084</v>
      </c>
      <c r="AH1685" s="81" t="b">
        <v>0</v>
      </c>
      <c r="AI1685" s="81" t="s">
        <v>2167</v>
      </c>
      <c r="AJ1685" s="81"/>
      <c r="AK1685" s="86" t="s">
        <v>2084</v>
      </c>
      <c r="AL1685" s="81" t="b">
        <v>0</v>
      </c>
      <c r="AM1685" s="81">
        <v>1</v>
      </c>
      <c r="AN1685" s="86" t="s">
        <v>2084</v>
      </c>
      <c r="AO1685" s="86" t="s">
        <v>2191</v>
      </c>
      <c r="AP1685" s="81" t="b">
        <v>0</v>
      </c>
      <c r="AQ1685" s="86" t="s">
        <v>1965</v>
      </c>
      <c r="AR1685" s="81" t="s">
        <v>179</v>
      </c>
      <c r="AS1685" s="81">
        <v>0</v>
      </c>
      <c r="AT1685" s="81">
        <v>0</v>
      </c>
      <c r="AU1685" s="81"/>
      <c r="AV1685" s="81"/>
      <c r="AW1685" s="81"/>
      <c r="AX1685" s="81"/>
      <c r="AY1685" s="81"/>
      <c r="AZ1685" s="81"/>
      <c r="BA1685" s="81"/>
      <c r="BB1685" s="81"/>
    </row>
    <row r="1686" spans="1:54" x14ac:dyDescent="0.35">
      <c r="A1686" s="66" t="s">
        <v>581</v>
      </c>
      <c r="B1686" s="66" t="s">
        <v>580</v>
      </c>
      <c r="C1686" s="67"/>
      <c r="D1686" s="68"/>
      <c r="E1686" s="69"/>
      <c r="F1686" s="70"/>
      <c r="G1686" s="67"/>
      <c r="H1686" s="71"/>
      <c r="I1686" s="72"/>
      <c r="J1686" s="72"/>
      <c r="K1686" s="36"/>
      <c r="L1686" s="79"/>
      <c r="M1686" s="79"/>
      <c r="N1686" s="74"/>
      <c r="O1686" s="81" t="s">
        <v>696</v>
      </c>
      <c r="P1686" s="83">
        <v>44467.033460648148</v>
      </c>
      <c r="Q1686" s="81" t="s">
        <v>897</v>
      </c>
      <c r="R1686" s="84" t="str">
        <f>HYPERLINK("https://pmikabupatensemarang.com/")</f>
        <v>https://pmikabupatensemarang.com/</v>
      </c>
      <c r="S1686" s="81" t="s">
        <v>965</v>
      </c>
      <c r="T1686" s="86" t="s">
        <v>998</v>
      </c>
      <c r="U1686" s="84" t="str">
        <f>HYPERLINK("https://pbs.twimg.com/media/FAVUo--XsAMiWJJ.jpg")</f>
        <v>https://pbs.twimg.com/media/FAVUo--XsAMiWJJ.jpg</v>
      </c>
      <c r="V1686" s="84" t="str">
        <f>HYPERLINK("https://pbs.twimg.com/media/FAVUo--XsAMiWJJ.jpg")</f>
        <v>https://pbs.twimg.com/media/FAVUo--XsAMiWJJ.jpg</v>
      </c>
      <c r="W1686" s="83">
        <v>44467.033460648148</v>
      </c>
      <c r="X1686" s="89">
        <v>44467</v>
      </c>
      <c r="Y1686" s="86" t="s">
        <v>1470</v>
      </c>
      <c r="Z1686" s="84" t="str">
        <f>HYPERLINK("https://twitter.com/blood4lifeid/status/1442652320358178822")</f>
        <v>https://twitter.com/blood4lifeid/status/1442652320358178822</v>
      </c>
      <c r="AA1686" s="81"/>
      <c r="AB1686" s="81"/>
      <c r="AC1686" s="86" t="s">
        <v>1966</v>
      </c>
      <c r="AD1686" s="81"/>
      <c r="AE1686" s="81" t="b">
        <v>0</v>
      </c>
      <c r="AF1686" s="81">
        <v>2</v>
      </c>
      <c r="AG1686" s="86" t="s">
        <v>2084</v>
      </c>
      <c r="AH1686" s="81" t="b">
        <v>0</v>
      </c>
      <c r="AI1686" s="81" t="s">
        <v>2167</v>
      </c>
      <c r="AJ1686" s="81"/>
      <c r="AK1686" s="86" t="s">
        <v>2084</v>
      </c>
      <c r="AL1686" s="81" t="b">
        <v>0</v>
      </c>
      <c r="AM1686" s="81">
        <v>0</v>
      </c>
      <c r="AN1686" s="86" t="s">
        <v>2084</v>
      </c>
      <c r="AO1686" s="86" t="s">
        <v>2191</v>
      </c>
      <c r="AP1686" s="81" t="b">
        <v>0</v>
      </c>
      <c r="AQ1686" s="86" t="s">
        <v>1966</v>
      </c>
      <c r="AR1686" s="81" t="s">
        <v>179</v>
      </c>
      <c r="AS1686" s="81">
        <v>0</v>
      </c>
      <c r="AT1686" s="81">
        <v>0</v>
      </c>
      <c r="AU1686" s="81"/>
      <c r="AV1686" s="81"/>
      <c r="AW1686" s="81"/>
      <c r="AX1686" s="81"/>
      <c r="AY1686" s="81"/>
      <c r="AZ1686" s="81"/>
      <c r="BA1686" s="81"/>
      <c r="BB1686" s="81"/>
    </row>
    <row r="1687" spans="1:54" x14ac:dyDescent="0.35">
      <c r="A1687" s="66" t="s">
        <v>4854</v>
      </c>
      <c r="B1687" s="66" t="s">
        <v>5174</v>
      </c>
      <c r="C1687" s="67"/>
      <c r="D1687" s="68"/>
      <c r="E1687" s="69"/>
      <c r="F1687" s="70"/>
      <c r="G1687" s="67"/>
      <c r="H1687" s="71"/>
      <c r="I1687" s="72"/>
      <c r="J1687" s="72"/>
      <c r="K1687" s="36"/>
      <c r="L1687" s="79"/>
      <c r="M1687" s="79"/>
      <c r="N1687" s="74"/>
      <c r="O1687" s="81" t="s">
        <v>696</v>
      </c>
      <c r="P1687" s="83">
        <v>44467.03434027778</v>
      </c>
      <c r="Q1687" s="81" t="s">
        <v>5579</v>
      </c>
      <c r="R1687" s="81"/>
      <c r="S1687" s="81"/>
      <c r="T1687" s="81"/>
      <c r="U1687" s="81"/>
      <c r="V1687" s="84" t="str">
        <f>HYPERLINK("https://pbs.twimg.com/profile_images/1442152193558208516/saMnHhYb_normal.jpg")</f>
        <v>https://pbs.twimg.com/profile_images/1442152193558208516/saMnHhYb_normal.jpg</v>
      </c>
      <c r="W1687" s="83">
        <v>44467.03434027778</v>
      </c>
      <c r="X1687" s="89">
        <v>44467</v>
      </c>
      <c r="Y1687" s="86" t="s">
        <v>6504</v>
      </c>
      <c r="Z1687" s="84" t="str">
        <f>HYPERLINK("https://twitter.com/whoisaliceb/status/1442652640287002624")</f>
        <v>https://twitter.com/whoisaliceb/status/1442652640287002624</v>
      </c>
      <c r="AA1687" s="81"/>
      <c r="AB1687" s="81"/>
      <c r="AC1687" s="86" t="s">
        <v>7424</v>
      </c>
      <c r="AD1687" s="86" t="s">
        <v>7740</v>
      </c>
      <c r="AE1687" s="81" t="b">
        <v>0</v>
      </c>
      <c r="AF1687" s="81">
        <v>0</v>
      </c>
      <c r="AG1687" s="86" t="s">
        <v>7917</v>
      </c>
      <c r="AH1687" s="81" t="b">
        <v>0</v>
      </c>
      <c r="AI1687" s="81" t="s">
        <v>2171</v>
      </c>
      <c r="AJ1687" s="81"/>
      <c r="AK1687" s="86" t="s">
        <v>2084</v>
      </c>
      <c r="AL1687" s="81" t="b">
        <v>0</v>
      </c>
      <c r="AM1687" s="81">
        <v>0</v>
      </c>
      <c r="AN1687" s="86" t="s">
        <v>2084</v>
      </c>
      <c r="AO1687" s="86" t="s">
        <v>2178</v>
      </c>
      <c r="AP1687" s="81" t="b">
        <v>0</v>
      </c>
      <c r="AQ1687" s="86" t="s">
        <v>7740</v>
      </c>
      <c r="AR1687" s="81" t="s">
        <v>179</v>
      </c>
      <c r="AS1687" s="81">
        <v>0</v>
      </c>
      <c r="AT1687" s="81">
        <v>0</v>
      </c>
      <c r="AU1687" s="81"/>
      <c r="AV1687" s="81"/>
      <c r="AW1687" s="81"/>
      <c r="AX1687" s="81"/>
      <c r="AY1687" s="81"/>
      <c r="AZ1687" s="81"/>
      <c r="BA1687" s="81"/>
      <c r="BB1687" s="81"/>
    </row>
    <row r="1688" spans="1:54" x14ac:dyDescent="0.35">
      <c r="A1688" s="66" t="s">
        <v>4854</v>
      </c>
      <c r="B1688" s="66" t="s">
        <v>5175</v>
      </c>
      <c r="C1688" s="67"/>
      <c r="D1688" s="68"/>
      <c r="E1688" s="69"/>
      <c r="F1688" s="70"/>
      <c r="G1688" s="67"/>
      <c r="H1688" s="71"/>
      <c r="I1688" s="72"/>
      <c r="J1688" s="72"/>
      <c r="K1688" s="36"/>
      <c r="L1688" s="79"/>
      <c r="M1688" s="79"/>
      <c r="N1688" s="74"/>
      <c r="O1688" s="81" t="s">
        <v>695</v>
      </c>
      <c r="P1688" s="83">
        <v>44467.03434027778</v>
      </c>
      <c r="Q1688" s="81" t="s">
        <v>5579</v>
      </c>
      <c r="R1688" s="81"/>
      <c r="S1688" s="81"/>
      <c r="T1688" s="81"/>
      <c r="U1688" s="81"/>
      <c r="V1688" s="84" t="str">
        <f>HYPERLINK("https://pbs.twimg.com/profile_images/1442152193558208516/saMnHhYb_normal.jpg")</f>
        <v>https://pbs.twimg.com/profile_images/1442152193558208516/saMnHhYb_normal.jpg</v>
      </c>
      <c r="W1688" s="83">
        <v>44467.03434027778</v>
      </c>
      <c r="X1688" s="89">
        <v>44467</v>
      </c>
      <c r="Y1688" s="86" t="s">
        <v>6504</v>
      </c>
      <c r="Z1688" s="84" t="str">
        <f>HYPERLINK("https://twitter.com/whoisaliceb/status/1442652640287002624")</f>
        <v>https://twitter.com/whoisaliceb/status/1442652640287002624</v>
      </c>
      <c r="AA1688" s="81"/>
      <c r="AB1688" s="81"/>
      <c r="AC1688" s="86" t="s">
        <v>7424</v>
      </c>
      <c r="AD1688" s="86" t="s">
        <v>7740</v>
      </c>
      <c r="AE1688" s="81" t="b">
        <v>0</v>
      </c>
      <c r="AF1688" s="81">
        <v>0</v>
      </c>
      <c r="AG1688" s="86" t="s">
        <v>7917</v>
      </c>
      <c r="AH1688" s="81" t="b">
        <v>0</v>
      </c>
      <c r="AI1688" s="81" t="s">
        <v>2171</v>
      </c>
      <c r="AJ1688" s="81"/>
      <c r="AK1688" s="86" t="s">
        <v>2084</v>
      </c>
      <c r="AL1688" s="81" t="b">
        <v>0</v>
      </c>
      <c r="AM1688" s="81">
        <v>0</v>
      </c>
      <c r="AN1688" s="86" t="s">
        <v>2084</v>
      </c>
      <c r="AO1688" s="86" t="s">
        <v>2178</v>
      </c>
      <c r="AP1688" s="81" t="b">
        <v>0</v>
      </c>
      <c r="AQ1688" s="86" t="s">
        <v>7740</v>
      </c>
      <c r="AR1688" s="81" t="s">
        <v>179</v>
      </c>
      <c r="AS1688" s="81">
        <v>0</v>
      </c>
      <c r="AT1688" s="81">
        <v>0</v>
      </c>
      <c r="AU1688" s="81"/>
      <c r="AV1688" s="81"/>
      <c r="AW1688" s="81"/>
      <c r="AX1688" s="81"/>
      <c r="AY1688" s="81"/>
      <c r="AZ1688" s="81"/>
      <c r="BA1688" s="81"/>
      <c r="BB1688" s="81"/>
    </row>
    <row r="1689" spans="1:54" x14ac:dyDescent="0.35">
      <c r="A1689" s="66" t="s">
        <v>4855</v>
      </c>
      <c r="B1689" s="66" t="s">
        <v>5130</v>
      </c>
      <c r="C1689" s="67"/>
      <c r="D1689" s="68"/>
      <c r="E1689" s="69"/>
      <c r="F1689" s="70"/>
      <c r="G1689" s="67"/>
      <c r="H1689" s="71"/>
      <c r="I1689" s="72"/>
      <c r="J1689" s="72"/>
      <c r="K1689" s="36"/>
      <c r="L1689" s="79"/>
      <c r="M1689" s="79"/>
      <c r="N1689" s="74"/>
      <c r="O1689" s="81" t="s">
        <v>696</v>
      </c>
      <c r="P1689" s="83">
        <v>44467.010509259257</v>
      </c>
      <c r="Q1689" s="81" t="s">
        <v>5580</v>
      </c>
      <c r="R1689" s="81"/>
      <c r="S1689" s="81"/>
      <c r="T1689" s="81"/>
      <c r="U1689" s="81"/>
      <c r="V1689" s="84" t="str">
        <f>HYPERLINK("https://pbs.twimg.com/profile_images/1402359790702108673/ajevK_xo_normal.jpg")</f>
        <v>https://pbs.twimg.com/profile_images/1402359790702108673/ajevK_xo_normal.jpg</v>
      </c>
      <c r="W1689" s="83">
        <v>44467.010509259257</v>
      </c>
      <c r="X1689" s="89">
        <v>44467</v>
      </c>
      <c r="Y1689" s="86" t="s">
        <v>6505</v>
      </c>
      <c r="Z1689" s="84" t="str">
        <f>HYPERLINK("https://twitter.com/fbnzz/status/1442644003774734340")</f>
        <v>https://twitter.com/fbnzz/status/1442644003774734340</v>
      </c>
      <c r="AA1689" s="81"/>
      <c r="AB1689" s="81"/>
      <c r="AC1689" s="86" t="s">
        <v>7425</v>
      </c>
      <c r="AD1689" s="86" t="s">
        <v>7741</v>
      </c>
      <c r="AE1689" s="81" t="b">
        <v>0</v>
      </c>
      <c r="AF1689" s="81">
        <v>1</v>
      </c>
      <c r="AG1689" s="86" t="s">
        <v>7918</v>
      </c>
      <c r="AH1689" s="81" t="b">
        <v>0</v>
      </c>
      <c r="AI1689" s="81" t="s">
        <v>2171</v>
      </c>
      <c r="AJ1689" s="81"/>
      <c r="AK1689" s="86" t="s">
        <v>2084</v>
      </c>
      <c r="AL1689" s="81" t="b">
        <v>0</v>
      </c>
      <c r="AM1689" s="81">
        <v>1</v>
      </c>
      <c r="AN1689" s="86" t="s">
        <v>2084</v>
      </c>
      <c r="AO1689" s="86" t="s">
        <v>2178</v>
      </c>
      <c r="AP1689" s="81" t="b">
        <v>0</v>
      </c>
      <c r="AQ1689" s="86" t="s">
        <v>7741</v>
      </c>
      <c r="AR1689" s="81" t="s">
        <v>179</v>
      </c>
      <c r="AS1689" s="81">
        <v>0</v>
      </c>
      <c r="AT1689" s="81">
        <v>0</v>
      </c>
      <c r="AU1689" s="81"/>
      <c r="AV1689" s="81"/>
      <c r="AW1689" s="81"/>
      <c r="AX1689" s="81"/>
      <c r="AY1689" s="81"/>
      <c r="AZ1689" s="81"/>
      <c r="BA1689" s="81"/>
      <c r="BB1689" s="81"/>
    </row>
    <row r="1690" spans="1:54" x14ac:dyDescent="0.35">
      <c r="A1690" s="66" t="s">
        <v>4855</v>
      </c>
      <c r="B1690" s="66" t="s">
        <v>5117</v>
      </c>
      <c r="C1690" s="67"/>
      <c r="D1690" s="68"/>
      <c r="E1690" s="69"/>
      <c r="F1690" s="70"/>
      <c r="G1690" s="67"/>
      <c r="H1690" s="71"/>
      <c r="I1690" s="72"/>
      <c r="J1690" s="72"/>
      <c r="K1690" s="36"/>
      <c r="L1690" s="79"/>
      <c r="M1690" s="79"/>
      <c r="N1690" s="74"/>
      <c r="O1690" s="81" t="s">
        <v>696</v>
      </c>
      <c r="P1690" s="83">
        <v>44467.010509259257</v>
      </c>
      <c r="Q1690" s="81" t="s">
        <v>5580</v>
      </c>
      <c r="R1690" s="81"/>
      <c r="S1690" s="81"/>
      <c r="T1690" s="81"/>
      <c r="U1690" s="81"/>
      <c r="V1690" s="84" t="str">
        <f>HYPERLINK("https://pbs.twimg.com/profile_images/1402359790702108673/ajevK_xo_normal.jpg")</f>
        <v>https://pbs.twimg.com/profile_images/1402359790702108673/ajevK_xo_normal.jpg</v>
      </c>
      <c r="W1690" s="83">
        <v>44467.010509259257</v>
      </c>
      <c r="X1690" s="89">
        <v>44467</v>
      </c>
      <c r="Y1690" s="86" t="s">
        <v>6505</v>
      </c>
      <c r="Z1690" s="84" t="str">
        <f>HYPERLINK("https://twitter.com/fbnzz/status/1442644003774734340")</f>
        <v>https://twitter.com/fbnzz/status/1442644003774734340</v>
      </c>
      <c r="AA1690" s="81"/>
      <c r="AB1690" s="81"/>
      <c r="AC1690" s="86" t="s">
        <v>7425</v>
      </c>
      <c r="AD1690" s="86" t="s">
        <v>7741</v>
      </c>
      <c r="AE1690" s="81" t="b">
        <v>0</v>
      </c>
      <c r="AF1690" s="81">
        <v>1</v>
      </c>
      <c r="AG1690" s="86" t="s">
        <v>7918</v>
      </c>
      <c r="AH1690" s="81" t="b">
        <v>0</v>
      </c>
      <c r="AI1690" s="81" t="s">
        <v>2171</v>
      </c>
      <c r="AJ1690" s="81"/>
      <c r="AK1690" s="86" t="s">
        <v>2084</v>
      </c>
      <c r="AL1690" s="81" t="b">
        <v>0</v>
      </c>
      <c r="AM1690" s="81">
        <v>1</v>
      </c>
      <c r="AN1690" s="86" t="s">
        <v>2084</v>
      </c>
      <c r="AO1690" s="86" t="s">
        <v>2178</v>
      </c>
      <c r="AP1690" s="81" t="b">
        <v>0</v>
      </c>
      <c r="AQ1690" s="86" t="s">
        <v>7741</v>
      </c>
      <c r="AR1690" s="81" t="s">
        <v>179</v>
      </c>
      <c r="AS1690" s="81">
        <v>0</v>
      </c>
      <c r="AT1690" s="81">
        <v>0</v>
      </c>
      <c r="AU1690" s="81"/>
      <c r="AV1690" s="81"/>
      <c r="AW1690" s="81"/>
      <c r="AX1690" s="81"/>
      <c r="AY1690" s="81"/>
      <c r="AZ1690" s="81"/>
      <c r="BA1690" s="81"/>
      <c r="BB1690" s="81"/>
    </row>
    <row r="1691" spans="1:54" x14ac:dyDescent="0.35">
      <c r="A1691" s="66" t="s">
        <v>4855</v>
      </c>
      <c r="B1691" s="66" t="s">
        <v>5176</v>
      </c>
      <c r="C1691" s="67"/>
      <c r="D1691" s="68"/>
      <c r="E1691" s="69"/>
      <c r="F1691" s="70"/>
      <c r="G1691" s="67"/>
      <c r="H1691" s="71"/>
      <c r="I1691" s="72"/>
      <c r="J1691" s="72"/>
      <c r="K1691" s="36"/>
      <c r="L1691" s="79"/>
      <c r="M1691" s="79"/>
      <c r="N1691" s="74"/>
      <c r="O1691" s="81" t="s">
        <v>695</v>
      </c>
      <c r="P1691" s="83">
        <v>44467.010509259257</v>
      </c>
      <c r="Q1691" s="81" t="s">
        <v>5580</v>
      </c>
      <c r="R1691" s="81"/>
      <c r="S1691" s="81"/>
      <c r="T1691" s="81"/>
      <c r="U1691" s="81"/>
      <c r="V1691" s="84" t="str">
        <f>HYPERLINK("https://pbs.twimg.com/profile_images/1402359790702108673/ajevK_xo_normal.jpg")</f>
        <v>https://pbs.twimg.com/profile_images/1402359790702108673/ajevK_xo_normal.jpg</v>
      </c>
      <c r="W1691" s="83">
        <v>44467.010509259257</v>
      </c>
      <c r="X1691" s="89">
        <v>44467</v>
      </c>
      <c r="Y1691" s="86" t="s">
        <v>6505</v>
      </c>
      <c r="Z1691" s="84" t="str">
        <f>HYPERLINK("https://twitter.com/fbnzz/status/1442644003774734340")</f>
        <v>https://twitter.com/fbnzz/status/1442644003774734340</v>
      </c>
      <c r="AA1691" s="81"/>
      <c r="AB1691" s="81"/>
      <c r="AC1691" s="86" t="s">
        <v>7425</v>
      </c>
      <c r="AD1691" s="86" t="s">
        <v>7741</v>
      </c>
      <c r="AE1691" s="81" t="b">
        <v>0</v>
      </c>
      <c r="AF1691" s="81">
        <v>1</v>
      </c>
      <c r="AG1691" s="86" t="s">
        <v>7918</v>
      </c>
      <c r="AH1691" s="81" t="b">
        <v>0</v>
      </c>
      <c r="AI1691" s="81" t="s">
        <v>2171</v>
      </c>
      <c r="AJ1691" s="81"/>
      <c r="AK1691" s="86" t="s">
        <v>2084</v>
      </c>
      <c r="AL1691" s="81" t="b">
        <v>0</v>
      </c>
      <c r="AM1691" s="81">
        <v>1</v>
      </c>
      <c r="AN1691" s="86" t="s">
        <v>2084</v>
      </c>
      <c r="AO1691" s="86" t="s">
        <v>2178</v>
      </c>
      <c r="AP1691" s="81" t="b">
        <v>0</v>
      </c>
      <c r="AQ1691" s="86" t="s">
        <v>7741</v>
      </c>
      <c r="AR1691" s="81" t="s">
        <v>179</v>
      </c>
      <c r="AS1691" s="81">
        <v>0</v>
      </c>
      <c r="AT1691" s="81">
        <v>0</v>
      </c>
      <c r="AU1691" s="81"/>
      <c r="AV1691" s="81"/>
      <c r="AW1691" s="81"/>
      <c r="AX1691" s="81"/>
      <c r="AY1691" s="81"/>
      <c r="AZ1691" s="81"/>
      <c r="BA1691" s="81"/>
      <c r="BB1691" s="81"/>
    </row>
    <row r="1692" spans="1:54" x14ac:dyDescent="0.35">
      <c r="A1692" s="66" t="s">
        <v>4856</v>
      </c>
      <c r="B1692" s="66" t="s">
        <v>4855</v>
      </c>
      <c r="C1692" s="67"/>
      <c r="D1692" s="68"/>
      <c r="E1692" s="69"/>
      <c r="F1692" s="70"/>
      <c r="G1692" s="67"/>
      <c r="H1692" s="71"/>
      <c r="I1692" s="72"/>
      <c r="J1692" s="72"/>
      <c r="K1692" s="36"/>
      <c r="L1692" s="79"/>
      <c r="M1692" s="79"/>
      <c r="N1692" s="74"/>
      <c r="O1692" s="81" t="s">
        <v>693</v>
      </c>
      <c r="P1692" s="83">
        <v>44467.049618055556</v>
      </c>
      <c r="Q1692" s="81" t="s">
        <v>5580</v>
      </c>
      <c r="R1692" s="81"/>
      <c r="S1692" s="81"/>
      <c r="T1692" s="81"/>
      <c r="U1692" s="81"/>
      <c r="V1692" s="84" t="str">
        <f>HYPERLINK("https://pbs.twimg.com/profile_images/1267476102865227776/FqJ4FMgW_normal.jpg")</f>
        <v>https://pbs.twimg.com/profile_images/1267476102865227776/FqJ4FMgW_normal.jpg</v>
      </c>
      <c r="W1692" s="83">
        <v>44467.049618055556</v>
      </c>
      <c r="X1692" s="89">
        <v>44467</v>
      </c>
      <c r="Y1692" s="86" t="s">
        <v>6506</v>
      </c>
      <c r="Z1692" s="84" t="str">
        <f>HYPERLINK("https://twitter.com/chacoxeio/status/1442658177376415749")</f>
        <v>https://twitter.com/chacoxeio/status/1442658177376415749</v>
      </c>
      <c r="AA1692" s="81"/>
      <c r="AB1692" s="81"/>
      <c r="AC1692" s="86" t="s">
        <v>7426</v>
      </c>
      <c r="AD1692" s="81"/>
      <c r="AE1692" s="81" t="b">
        <v>0</v>
      </c>
      <c r="AF1692" s="81">
        <v>0</v>
      </c>
      <c r="AG1692" s="86" t="s">
        <v>2084</v>
      </c>
      <c r="AH1692" s="81" t="b">
        <v>0</v>
      </c>
      <c r="AI1692" s="81" t="s">
        <v>2171</v>
      </c>
      <c r="AJ1692" s="81"/>
      <c r="AK1692" s="86" t="s">
        <v>2084</v>
      </c>
      <c r="AL1692" s="81" t="b">
        <v>0</v>
      </c>
      <c r="AM1692" s="81">
        <v>1</v>
      </c>
      <c r="AN1692" s="86" t="s">
        <v>7425</v>
      </c>
      <c r="AO1692" s="86" t="s">
        <v>2179</v>
      </c>
      <c r="AP1692" s="81" t="b">
        <v>0</v>
      </c>
      <c r="AQ1692" s="86" t="s">
        <v>7425</v>
      </c>
      <c r="AR1692" s="81" t="s">
        <v>179</v>
      </c>
      <c r="AS1692" s="81">
        <v>0</v>
      </c>
      <c r="AT1692" s="81">
        <v>0</v>
      </c>
      <c r="AU1692" s="81"/>
      <c r="AV1692" s="81"/>
      <c r="AW1692" s="81"/>
      <c r="AX1692" s="81"/>
      <c r="AY1692" s="81"/>
      <c r="AZ1692" s="81"/>
      <c r="BA1692" s="81"/>
      <c r="BB1692" s="81"/>
    </row>
    <row r="1693" spans="1:54" x14ac:dyDescent="0.35">
      <c r="A1693" s="66" t="s">
        <v>4856</v>
      </c>
      <c r="B1693" s="66" t="s">
        <v>5176</v>
      </c>
      <c r="C1693" s="67"/>
      <c r="D1693" s="68"/>
      <c r="E1693" s="69"/>
      <c r="F1693" s="70"/>
      <c r="G1693" s="67"/>
      <c r="H1693" s="71"/>
      <c r="I1693" s="72"/>
      <c r="J1693" s="72"/>
      <c r="K1693" s="36"/>
      <c r="L1693" s="79"/>
      <c r="M1693" s="79"/>
      <c r="N1693" s="74"/>
      <c r="O1693" s="81" t="s">
        <v>695</v>
      </c>
      <c r="P1693" s="83">
        <v>44467.049618055556</v>
      </c>
      <c r="Q1693" s="81" t="s">
        <v>5580</v>
      </c>
      <c r="R1693" s="81"/>
      <c r="S1693" s="81"/>
      <c r="T1693" s="81"/>
      <c r="U1693" s="81"/>
      <c r="V1693" s="84" t="str">
        <f>HYPERLINK("https://pbs.twimg.com/profile_images/1267476102865227776/FqJ4FMgW_normal.jpg")</f>
        <v>https://pbs.twimg.com/profile_images/1267476102865227776/FqJ4FMgW_normal.jpg</v>
      </c>
      <c r="W1693" s="83">
        <v>44467.049618055556</v>
      </c>
      <c r="X1693" s="89">
        <v>44467</v>
      </c>
      <c r="Y1693" s="86" t="s">
        <v>6506</v>
      </c>
      <c r="Z1693" s="84" t="str">
        <f>HYPERLINK("https://twitter.com/chacoxeio/status/1442658177376415749")</f>
        <v>https://twitter.com/chacoxeio/status/1442658177376415749</v>
      </c>
      <c r="AA1693" s="81"/>
      <c r="AB1693" s="81"/>
      <c r="AC1693" s="86" t="s">
        <v>7426</v>
      </c>
      <c r="AD1693" s="81"/>
      <c r="AE1693" s="81" t="b">
        <v>0</v>
      </c>
      <c r="AF1693" s="81">
        <v>0</v>
      </c>
      <c r="AG1693" s="86" t="s">
        <v>2084</v>
      </c>
      <c r="AH1693" s="81" t="b">
        <v>0</v>
      </c>
      <c r="AI1693" s="81" t="s">
        <v>2171</v>
      </c>
      <c r="AJ1693" s="81"/>
      <c r="AK1693" s="86" t="s">
        <v>2084</v>
      </c>
      <c r="AL1693" s="81" t="b">
        <v>0</v>
      </c>
      <c r="AM1693" s="81">
        <v>1</v>
      </c>
      <c r="AN1693" s="86" t="s">
        <v>7425</v>
      </c>
      <c r="AO1693" s="86" t="s">
        <v>2179</v>
      </c>
      <c r="AP1693" s="81" t="b">
        <v>0</v>
      </c>
      <c r="AQ1693" s="86" t="s">
        <v>7425</v>
      </c>
      <c r="AR1693" s="81" t="s">
        <v>179</v>
      </c>
      <c r="AS1693" s="81">
        <v>0</v>
      </c>
      <c r="AT1693" s="81">
        <v>0</v>
      </c>
      <c r="AU1693" s="81"/>
      <c r="AV1693" s="81"/>
      <c r="AW1693" s="81"/>
      <c r="AX1693" s="81"/>
      <c r="AY1693" s="81"/>
      <c r="AZ1693" s="81"/>
      <c r="BA1693" s="81"/>
      <c r="BB1693" s="81"/>
    </row>
    <row r="1694" spans="1:54" x14ac:dyDescent="0.35">
      <c r="A1694" s="66" t="s">
        <v>4856</v>
      </c>
      <c r="B1694" s="66" t="s">
        <v>5130</v>
      </c>
      <c r="C1694" s="67"/>
      <c r="D1694" s="68"/>
      <c r="E1694" s="69"/>
      <c r="F1694" s="70"/>
      <c r="G1694" s="67"/>
      <c r="H1694" s="71"/>
      <c r="I1694" s="72"/>
      <c r="J1694" s="72"/>
      <c r="K1694" s="36"/>
      <c r="L1694" s="79"/>
      <c r="M1694" s="79"/>
      <c r="N1694" s="74"/>
      <c r="O1694" s="81" t="s">
        <v>694</v>
      </c>
      <c r="P1694" s="83">
        <v>44467.049618055556</v>
      </c>
      <c r="Q1694" s="81" t="s">
        <v>5580</v>
      </c>
      <c r="R1694" s="81"/>
      <c r="S1694" s="81"/>
      <c r="T1694" s="81"/>
      <c r="U1694" s="81"/>
      <c r="V1694" s="84" t="str">
        <f>HYPERLINK("https://pbs.twimg.com/profile_images/1267476102865227776/FqJ4FMgW_normal.jpg")</f>
        <v>https://pbs.twimg.com/profile_images/1267476102865227776/FqJ4FMgW_normal.jpg</v>
      </c>
      <c r="W1694" s="83">
        <v>44467.049618055556</v>
      </c>
      <c r="X1694" s="89">
        <v>44467</v>
      </c>
      <c r="Y1694" s="86" t="s">
        <v>6506</v>
      </c>
      <c r="Z1694" s="84" t="str">
        <f>HYPERLINK("https://twitter.com/chacoxeio/status/1442658177376415749")</f>
        <v>https://twitter.com/chacoxeio/status/1442658177376415749</v>
      </c>
      <c r="AA1694" s="81"/>
      <c r="AB1694" s="81"/>
      <c r="AC1694" s="86" t="s">
        <v>7426</v>
      </c>
      <c r="AD1694" s="81"/>
      <c r="AE1694" s="81" t="b">
        <v>0</v>
      </c>
      <c r="AF1694" s="81">
        <v>0</v>
      </c>
      <c r="AG1694" s="86" t="s">
        <v>2084</v>
      </c>
      <c r="AH1694" s="81" t="b">
        <v>0</v>
      </c>
      <c r="AI1694" s="81" t="s">
        <v>2171</v>
      </c>
      <c r="AJ1694" s="81"/>
      <c r="AK1694" s="86" t="s">
        <v>2084</v>
      </c>
      <c r="AL1694" s="81" t="b">
        <v>0</v>
      </c>
      <c r="AM1694" s="81">
        <v>1</v>
      </c>
      <c r="AN1694" s="86" t="s">
        <v>7425</v>
      </c>
      <c r="AO1694" s="86" t="s">
        <v>2179</v>
      </c>
      <c r="AP1694" s="81" t="b">
        <v>0</v>
      </c>
      <c r="AQ1694" s="86" t="s">
        <v>7425</v>
      </c>
      <c r="AR1694" s="81" t="s">
        <v>179</v>
      </c>
      <c r="AS1694" s="81">
        <v>0</v>
      </c>
      <c r="AT1694" s="81">
        <v>0</v>
      </c>
      <c r="AU1694" s="81"/>
      <c r="AV1694" s="81"/>
      <c r="AW1694" s="81"/>
      <c r="AX1694" s="81"/>
      <c r="AY1694" s="81"/>
      <c r="AZ1694" s="81"/>
      <c r="BA1694" s="81"/>
      <c r="BB1694" s="81"/>
    </row>
    <row r="1695" spans="1:54" x14ac:dyDescent="0.35">
      <c r="A1695" s="66" t="s">
        <v>4856</v>
      </c>
      <c r="B1695" s="66" t="s">
        <v>5117</v>
      </c>
      <c r="C1695" s="67"/>
      <c r="D1695" s="68"/>
      <c r="E1695" s="69"/>
      <c r="F1695" s="70"/>
      <c r="G1695" s="67"/>
      <c r="H1695" s="71"/>
      <c r="I1695" s="72"/>
      <c r="J1695" s="72"/>
      <c r="K1695" s="36"/>
      <c r="L1695" s="79"/>
      <c r="M1695" s="79"/>
      <c r="N1695" s="74"/>
      <c r="O1695" s="81" t="s">
        <v>694</v>
      </c>
      <c r="P1695" s="83">
        <v>44467.049618055556</v>
      </c>
      <c r="Q1695" s="81" t="s">
        <v>5580</v>
      </c>
      <c r="R1695" s="81"/>
      <c r="S1695" s="81"/>
      <c r="T1695" s="81"/>
      <c r="U1695" s="81"/>
      <c r="V1695" s="84" t="str">
        <f>HYPERLINK("https://pbs.twimg.com/profile_images/1267476102865227776/FqJ4FMgW_normal.jpg")</f>
        <v>https://pbs.twimg.com/profile_images/1267476102865227776/FqJ4FMgW_normal.jpg</v>
      </c>
      <c r="W1695" s="83">
        <v>44467.049618055556</v>
      </c>
      <c r="X1695" s="89">
        <v>44467</v>
      </c>
      <c r="Y1695" s="86" t="s">
        <v>6506</v>
      </c>
      <c r="Z1695" s="84" t="str">
        <f>HYPERLINK("https://twitter.com/chacoxeio/status/1442658177376415749")</f>
        <v>https://twitter.com/chacoxeio/status/1442658177376415749</v>
      </c>
      <c r="AA1695" s="81"/>
      <c r="AB1695" s="81"/>
      <c r="AC1695" s="86" t="s">
        <v>7426</v>
      </c>
      <c r="AD1695" s="81"/>
      <c r="AE1695" s="81" t="b">
        <v>0</v>
      </c>
      <c r="AF1695" s="81">
        <v>0</v>
      </c>
      <c r="AG1695" s="86" t="s">
        <v>2084</v>
      </c>
      <c r="AH1695" s="81" t="b">
        <v>0</v>
      </c>
      <c r="AI1695" s="81" t="s">
        <v>2171</v>
      </c>
      <c r="AJ1695" s="81"/>
      <c r="AK1695" s="86" t="s">
        <v>2084</v>
      </c>
      <c r="AL1695" s="81" t="b">
        <v>0</v>
      </c>
      <c r="AM1695" s="81">
        <v>1</v>
      </c>
      <c r="AN1695" s="86" t="s">
        <v>7425</v>
      </c>
      <c r="AO1695" s="86" t="s">
        <v>2179</v>
      </c>
      <c r="AP1695" s="81" t="b">
        <v>0</v>
      </c>
      <c r="AQ1695" s="86" t="s">
        <v>7425</v>
      </c>
      <c r="AR1695" s="81" t="s">
        <v>179</v>
      </c>
      <c r="AS1695" s="81">
        <v>0</v>
      </c>
      <c r="AT1695" s="81">
        <v>0</v>
      </c>
      <c r="AU1695" s="81"/>
      <c r="AV1695" s="81"/>
      <c r="AW1695" s="81"/>
      <c r="AX1695" s="81"/>
      <c r="AY1695" s="81"/>
      <c r="AZ1695" s="81"/>
      <c r="BA1695" s="81"/>
      <c r="BB1695" s="81"/>
    </row>
    <row r="1696" spans="1:54" x14ac:dyDescent="0.35">
      <c r="A1696" s="66" t="s">
        <v>585</v>
      </c>
      <c r="B1696" s="66" t="s">
        <v>585</v>
      </c>
      <c r="C1696" s="67"/>
      <c r="D1696" s="68"/>
      <c r="E1696" s="69"/>
      <c r="F1696" s="70"/>
      <c r="G1696" s="67"/>
      <c r="H1696" s="71"/>
      <c r="I1696" s="72"/>
      <c r="J1696" s="72"/>
      <c r="K1696" s="36"/>
      <c r="L1696" s="79"/>
      <c r="M1696" s="79"/>
      <c r="N1696" s="74"/>
      <c r="O1696" s="81" t="s">
        <v>179</v>
      </c>
      <c r="P1696" s="83">
        <v>44462.465648148151</v>
      </c>
      <c r="Q1696" s="81" t="s">
        <v>911</v>
      </c>
      <c r="R1696" s="84" t="str">
        <f>HYPERLINK("https://bursakerjadepnaker.com/lowongan-kerja-pt-pos-logistik-indonesia.html?utm_source=dlvr.it&amp;utm_medium=twitter")</f>
        <v>https://bursakerjadepnaker.com/lowongan-kerja-pt-pos-logistik-indonesia.html?utm_source=dlvr.it&amp;utm_medium=twitter</v>
      </c>
      <c r="S1696" s="81" t="s">
        <v>957</v>
      </c>
      <c r="T1696" s="81"/>
      <c r="U1696" s="81"/>
      <c r="V1696" s="84" t="str">
        <f>HYPERLINK("https://pbs.twimg.com/profile_images/666486550046183425/O6sqRn5i_normal.jpg")</f>
        <v>https://pbs.twimg.com/profile_images/666486550046183425/O6sqRn5i_normal.jpg</v>
      </c>
      <c r="W1696" s="83">
        <v>44462.465648148151</v>
      </c>
      <c r="X1696" s="89">
        <v>44462</v>
      </c>
      <c r="Y1696" s="86" t="s">
        <v>1483</v>
      </c>
      <c r="Z1696" s="84" t="str">
        <f>HYPERLINK("https://twitter.com/roistorez/status/1440997004318965767")</f>
        <v>https://twitter.com/roistorez/status/1440997004318965767</v>
      </c>
      <c r="AA1696" s="81"/>
      <c r="AB1696" s="81"/>
      <c r="AC1696" s="86" t="s">
        <v>1980</v>
      </c>
      <c r="AD1696" s="81"/>
      <c r="AE1696" s="81" t="b">
        <v>0</v>
      </c>
      <c r="AF1696" s="81">
        <v>0</v>
      </c>
      <c r="AG1696" s="86" t="s">
        <v>2084</v>
      </c>
      <c r="AH1696" s="81" t="b">
        <v>0</v>
      </c>
      <c r="AI1696" s="81" t="s">
        <v>2167</v>
      </c>
      <c r="AJ1696" s="81"/>
      <c r="AK1696" s="86" t="s">
        <v>2084</v>
      </c>
      <c r="AL1696" s="81" t="b">
        <v>0</v>
      </c>
      <c r="AM1696" s="81">
        <v>0</v>
      </c>
      <c r="AN1696" s="86" t="s">
        <v>2084</v>
      </c>
      <c r="AO1696" s="86" t="s">
        <v>2188</v>
      </c>
      <c r="AP1696" s="81" t="b">
        <v>0</v>
      </c>
      <c r="AQ1696" s="86" t="s">
        <v>1980</v>
      </c>
      <c r="AR1696" s="81" t="s">
        <v>179</v>
      </c>
      <c r="AS1696" s="81">
        <v>0</v>
      </c>
      <c r="AT1696" s="81">
        <v>0</v>
      </c>
      <c r="AU1696" s="81"/>
      <c r="AV1696" s="81"/>
      <c r="AW1696" s="81"/>
      <c r="AX1696" s="81"/>
      <c r="AY1696" s="81"/>
      <c r="AZ1696" s="81"/>
      <c r="BA1696" s="81"/>
      <c r="BB1696" s="81"/>
    </row>
    <row r="1697" spans="1:54" x14ac:dyDescent="0.35">
      <c r="A1697" s="66" t="s">
        <v>585</v>
      </c>
      <c r="B1697" s="66" t="s">
        <v>585</v>
      </c>
      <c r="C1697" s="67"/>
      <c r="D1697" s="68"/>
      <c r="E1697" s="69"/>
      <c r="F1697" s="70"/>
      <c r="G1697" s="67"/>
      <c r="H1697" s="71"/>
      <c r="I1697" s="72"/>
      <c r="J1697" s="72"/>
      <c r="K1697" s="36"/>
      <c r="L1697" s="79"/>
      <c r="M1697" s="79"/>
      <c r="N1697" s="74"/>
      <c r="O1697" s="81" t="s">
        <v>179</v>
      </c>
      <c r="P1697" s="83">
        <v>44463.091736111113</v>
      </c>
      <c r="Q1697" s="81" t="s">
        <v>912</v>
      </c>
      <c r="R1697" s="84" t="str">
        <f>HYPERLINK("https://www.rekrutmen.net/2021/09/lowongan-kerja-semua-jurusan-pt-pos.html?utm_source=dlvr.it&amp;utm_medium=twitter")</f>
        <v>https://www.rekrutmen.net/2021/09/lowongan-kerja-semua-jurusan-pt-pos.html?utm_source=dlvr.it&amp;utm_medium=twitter</v>
      </c>
      <c r="S1697" s="81" t="s">
        <v>956</v>
      </c>
      <c r="T1697" s="81"/>
      <c r="U1697" s="81"/>
      <c r="V1697" s="84" t="str">
        <f>HYPERLINK("https://pbs.twimg.com/profile_images/666486550046183425/O6sqRn5i_normal.jpg")</f>
        <v>https://pbs.twimg.com/profile_images/666486550046183425/O6sqRn5i_normal.jpg</v>
      </c>
      <c r="W1697" s="83">
        <v>44463.091736111113</v>
      </c>
      <c r="X1697" s="89">
        <v>44463</v>
      </c>
      <c r="Y1697" s="86" t="s">
        <v>1481</v>
      </c>
      <c r="Z1697" s="84" t="str">
        <f>HYPERLINK("https://twitter.com/roistorez/status/1441223890819108866")</f>
        <v>https://twitter.com/roistorez/status/1441223890819108866</v>
      </c>
      <c r="AA1697" s="81"/>
      <c r="AB1697" s="81"/>
      <c r="AC1697" s="86" t="s">
        <v>1981</v>
      </c>
      <c r="AD1697" s="81"/>
      <c r="AE1697" s="81" t="b">
        <v>0</v>
      </c>
      <c r="AF1697" s="81">
        <v>0</v>
      </c>
      <c r="AG1697" s="86" t="s">
        <v>2084</v>
      </c>
      <c r="AH1697" s="81" t="b">
        <v>0</v>
      </c>
      <c r="AI1697" s="81" t="s">
        <v>2167</v>
      </c>
      <c r="AJ1697" s="81"/>
      <c r="AK1697" s="86" t="s">
        <v>2084</v>
      </c>
      <c r="AL1697" s="81" t="b">
        <v>0</v>
      </c>
      <c r="AM1697" s="81">
        <v>0</v>
      </c>
      <c r="AN1697" s="86" t="s">
        <v>2084</v>
      </c>
      <c r="AO1697" s="86" t="s">
        <v>2188</v>
      </c>
      <c r="AP1697" s="81" t="b">
        <v>0</v>
      </c>
      <c r="AQ1697" s="86" t="s">
        <v>1981</v>
      </c>
      <c r="AR1697" s="81" t="s">
        <v>179</v>
      </c>
      <c r="AS1697" s="81">
        <v>0</v>
      </c>
      <c r="AT1697" s="81">
        <v>0</v>
      </c>
      <c r="AU1697" s="81"/>
      <c r="AV1697" s="81"/>
      <c r="AW1697" s="81"/>
      <c r="AX1697" s="81"/>
      <c r="AY1697" s="81"/>
      <c r="AZ1697" s="81"/>
      <c r="BA1697" s="81"/>
      <c r="BB1697" s="81"/>
    </row>
    <row r="1698" spans="1:54" x14ac:dyDescent="0.35">
      <c r="A1698" s="66" t="s">
        <v>585</v>
      </c>
      <c r="B1698" s="66" t="s">
        <v>585</v>
      </c>
      <c r="C1698" s="67"/>
      <c r="D1698" s="68"/>
      <c r="E1698" s="69"/>
      <c r="F1698" s="70"/>
      <c r="G1698" s="67"/>
      <c r="H1698" s="71"/>
      <c r="I1698" s="72"/>
      <c r="J1698" s="72"/>
      <c r="K1698" s="36"/>
      <c r="L1698" s="79"/>
      <c r="M1698" s="79"/>
      <c r="N1698" s="74"/>
      <c r="O1698" s="81" t="s">
        <v>179</v>
      </c>
      <c r="P1698" s="83">
        <v>44467.064606481479</v>
      </c>
      <c r="Q1698" s="81" t="s">
        <v>913</v>
      </c>
      <c r="R1698" s="84" t="str">
        <f>HYPERLINK("https://www.rekrutmen.net/2021/09/lowongan-kerja-bumn-pt-pos-indonesia.html?utm_source=dlvr.it&amp;utm_medium=twitter")</f>
        <v>https://www.rekrutmen.net/2021/09/lowongan-kerja-bumn-pt-pos-indonesia.html?utm_source=dlvr.it&amp;utm_medium=twitter</v>
      </c>
      <c r="S1698" s="81" t="s">
        <v>956</v>
      </c>
      <c r="T1698" s="81"/>
      <c r="U1698" s="81"/>
      <c r="V1698" s="84" t="str">
        <f>HYPERLINK("https://pbs.twimg.com/profile_images/666486550046183425/O6sqRn5i_normal.jpg")</f>
        <v>https://pbs.twimg.com/profile_images/666486550046183425/O6sqRn5i_normal.jpg</v>
      </c>
      <c r="W1698" s="83">
        <v>44467.064606481479</v>
      </c>
      <c r="X1698" s="89">
        <v>44467</v>
      </c>
      <c r="Y1698" s="86" t="s">
        <v>1482</v>
      </c>
      <c r="Z1698" s="84" t="str">
        <f>HYPERLINK("https://twitter.com/roistorez/status/1442663611151761410")</f>
        <v>https://twitter.com/roistorez/status/1442663611151761410</v>
      </c>
      <c r="AA1698" s="81"/>
      <c r="AB1698" s="81"/>
      <c r="AC1698" s="86" t="s">
        <v>1982</v>
      </c>
      <c r="AD1698" s="81"/>
      <c r="AE1698" s="81" t="b">
        <v>0</v>
      </c>
      <c r="AF1698" s="81">
        <v>0</v>
      </c>
      <c r="AG1698" s="86" t="s">
        <v>2084</v>
      </c>
      <c r="AH1698" s="81" t="b">
        <v>0</v>
      </c>
      <c r="AI1698" s="81" t="s">
        <v>2167</v>
      </c>
      <c r="AJ1698" s="81"/>
      <c r="AK1698" s="86" t="s">
        <v>2084</v>
      </c>
      <c r="AL1698" s="81" t="b">
        <v>0</v>
      </c>
      <c r="AM1698" s="81">
        <v>0</v>
      </c>
      <c r="AN1698" s="86" t="s">
        <v>2084</v>
      </c>
      <c r="AO1698" s="86" t="s">
        <v>2188</v>
      </c>
      <c r="AP1698" s="81" t="b">
        <v>0</v>
      </c>
      <c r="AQ1698" s="86" t="s">
        <v>1982</v>
      </c>
      <c r="AR1698" s="81" t="s">
        <v>179</v>
      </c>
      <c r="AS1698" s="81">
        <v>0</v>
      </c>
      <c r="AT1698" s="81">
        <v>0</v>
      </c>
      <c r="AU1698" s="81"/>
      <c r="AV1698" s="81"/>
      <c r="AW1698" s="81"/>
      <c r="AX1698" s="81"/>
      <c r="AY1698" s="81"/>
      <c r="AZ1698" s="81"/>
      <c r="BA1698" s="81"/>
      <c r="BB1698" s="81"/>
    </row>
    <row r="1699" spans="1:54" x14ac:dyDescent="0.35">
      <c r="A1699" s="66" t="s">
        <v>584</v>
      </c>
      <c r="B1699" s="66" t="s">
        <v>584</v>
      </c>
      <c r="C1699" s="67"/>
      <c r="D1699" s="68"/>
      <c r="E1699" s="69"/>
      <c r="F1699" s="70"/>
      <c r="G1699" s="67"/>
      <c r="H1699" s="71"/>
      <c r="I1699" s="72"/>
      <c r="J1699" s="72"/>
      <c r="K1699" s="36"/>
      <c r="L1699" s="79"/>
      <c r="M1699" s="79"/>
      <c r="N1699" s="74"/>
      <c r="O1699" s="81" t="s">
        <v>179</v>
      </c>
      <c r="P1699" s="83">
        <v>44463.091736111113</v>
      </c>
      <c r="Q1699" s="81" t="s">
        <v>909</v>
      </c>
      <c r="R1699" s="84" t="str">
        <f>HYPERLINK("https://www.rekrutmen.net/2021/09/lowongan-kerja-semua-jurusan-pt-pos.html?utm_source=dlvr.it&amp;utm_medium=twitter")</f>
        <v>https://www.rekrutmen.net/2021/09/lowongan-kerja-semua-jurusan-pt-pos.html?utm_source=dlvr.it&amp;utm_medium=twitter</v>
      </c>
      <c r="S1699" s="81" t="s">
        <v>956</v>
      </c>
      <c r="T1699" s="81"/>
      <c r="U1699" s="81"/>
      <c r="V1699" s="84" t="str">
        <f>HYPERLINK("https://pbs.twimg.com/profile_images/818558770900922369/N7x61JHW_normal.jpg")</f>
        <v>https://pbs.twimg.com/profile_images/818558770900922369/N7x61JHW_normal.jpg</v>
      </c>
      <c r="W1699" s="83">
        <v>44463.091736111113</v>
      </c>
      <c r="X1699" s="89">
        <v>44463</v>
      </c>
      <c r="Y1699" s="86" t="s">
        <v>1481</v>
      </c>
      <c r="Z1699" s="84" t="str">
        <f>HYPERLINK("https://twitter.com/lowongankerja07/status/1441223890676502528")</f>
        <v>https://twitter.com/lowongankerja07/status/1441223890676502528</v>
      </c>
      <c r="AA1699" s="81"/>
      <c r="AB1699" s="81"/>
      <c r="AC1699" s="86" t="s">
        <v>1978</v>
      </c>
      <c r="AD1699" s="81"/>
      <c r="AE1699" s="81" t="b">
        <v>0</v>
      </c>
      <c r="AF1699" s="81">
        <v>0</v>
      </c>
      <c r="AG1699" s="86" t="s">
        <v>2084</v>
      </c>
      <c r="AH1699" s="81" t="b">
        <v>0</v>
      </c>
      <c r="AI1699" s="81" t="s">
        <v>2167</v>
      </c>
      <c r="AJ1699" s="81"/>
      <c r="AK1699" s="86" t="s">
        <v>2084</v>
      </c>
      <c r="AL1699" s="81" t="b">
        <v>0</v>
      </c>
      <c r="AM1699" s="81">
        <v>0</v>
      </c>
      <c r="AN1699" s="86" t="s">
        <v>2084</v>
      </c>
      <c r="AO1699" s="86" t="s">
        <v>2188</v>
      </c>
      <c r="AP1699" s="81" t="b">
        <v>0</v>
      </c>
      <c r="AQ1699" s="86" t="s">
        <v>1978</v>
      </c>
      <c r="AR1699" s="81" t="s">
        <v>179</v>
      </c>
      <c r="AS1699" s="81">
        <v>0</v>
      </c>
      <c r="AT1699" s="81">
        <v>0</v>
      </c>
      <c r="AU1699" s="81"/>
      <c r="AV1699" s="81"/>
      <c r="AW1699" s="81"/>
      <c r="AX1699" s="81"/>
      <c r="AY1699" s="81"/>
      <c r="AZ1699" s="81"/>
      <c r="BA1699" s="81"/>
      <c r="BB1699" s="81"/>
    </row>
    <row r="1700" spans="1:54" x14ac:dyDescent="0.35">
      <c r="A1700" s="66" t="s">
        <v>584</v>
      </c>
      <c r="B1700" s="66" t="s">
        <v>584</v>
      </c>
      <c r="C1700" s="67"/>
      <c r="D1700" s="68"/>
      <c r="E1700" s="69"/>
      <c r="F1700" s="70"/>
      <c r="G1700" s="67"/>
      <c r="H1700" s="71"/>
      <c r="I1700" s="72"/>
      <c r="J1700" s="72"/>
      <c r="K1700" s="36"/>
      <c r="L1700" s="79"/>
      <c r="M1700" s="79"/>
      <c r="N1700" s="74"/>
      <c r="O1700" s="81" t="s">
        <v>179</v>
      </c>
      <c r="P1700" s="83">
        <v>44467.064606481479</v>
      </c>
      <c r="Q1700" s="81" t="s">
        <v>910</v>
      </c>
      <c r="R1700" s="84" t="str">
        <f>HYPERLINK("https://www.rekrutmen.net/2021/09/lowongan-kerja-bumn-pt-pos-indonesia.html?utm_source=dlvr.it&amp;utm_medium=twitter")</f>
        <v>https://www.rekrutmen.net/2021/09/lowongan-kerja-bumn-pt-pos-indonesia.html?utm_source=dlvr.it&amp;utm_medium=twitter</v>
      </c>
      <c r="S1700" s="81" t="s">
        <v>956</v>
      </c>
      <c r="T1700" s="81"/>
      <c r="U1700" s="81"/>
      <c r="V1700" s="84" t="str">
        <f>HYPERLINK("https://pbs.twimg.com/profile_images/818558770900922369/N7x61JHW_normal.jpg")</f>
        <v>https://pbs.twimg.com/profile_images/818558770900922369/N7x61JHW_normal.jpg</v>
      </c>
      <c r="W1700" s="83">
        <v>44467.064606481479</v>
      </c>
      <c r="X1700" s="89">
        <v>44467</v>
      </c>
      <c r="Y1700" s="86" t="s">
        <v>1482</v>
      </c>
      <c r="Z1700" s="84" t="str">
        <f>HYPERLINK("https://twitter.com/lowongankerja07/status/1442663611189452801")</f>
        <v>https://twitter.com/lowongankerja07/status/1442663611189452801</v>
      </c>
      <c r="AA1700" s="81"/>
      <c r="AB1700" s="81"/>
      <c r="AC1700" s="86" t="s">
        <v>1979</v>
      </c>
      <c r="AD1700" s="81"/>
      <c r="AE1700" s="81" t="b">
        <v>0</v>
      </c>
      <c r="AF1700" s="81">
        <v>0</v>
      </c>
      <c r="AG1700" s="86" t="s">
        <v>2084</v>
      </c>
      <c r="AH1700" s="81" t="b">
        <v>0</v>
      </c>
      <c r="AI1700" s="81" t="s">
        <v>2167</v>
      </c>
      <c r="AJ1700" s="81"/>
      <c r="AK1700" s="86" t="s">
        <v>2084</v>
      </c>
      <c r="AL1700" s="81" t="b">
        <v>0</v>
      </c>
      <c r="AM1700" s="81">
        <v>0</v>
      </c>
      <c r="AN1700" s="86" t="s">
        <v>2084</v>
      </c>
      <c r="AO1700" s="86" t="s">
        <v>2188</v>
      </c>
      <c r="AP1700" s="81" t="b">
        <v>0</v>
      </c>
      <c r="AQ1700" s="86" t="s">
        <v>1979</v>
      </c>
      <c r="AR1700" s="81" t="s">
        <v>179</v>
      </c>
      <c r="AS1700" s="81">
        <v>0</v>
      </c>
      <c r="AT1700" s="81">
        <v>0</v>
      </c>
      <c r="AU1700" s="81"/>
      <c r="AV1700" s="81"/>
      <c r="AW1700" s="81"/>
      <c r="AX1700" s="81"/>
      <c r="AY1700" s="81"/>
      <c r="AZ1700" s="81"/>
      <c r="BA1700" s="81"/>
      <c r="BB1700" s="81"/>
    </row>
    <row r="1701" spans="1:54" x14ac:dyDescent="0.35">
      <c r="A1701" s="66" t="s">
        <v>4857</v>
      </c>
      <c r="B1701" s="66" t="s">
        <v>4857</v>
      </c>
      <c r="C1701" s="67"/>
      <c r="D1701" s="68"/>
      <c r="E1701" s="69"/>
      <c r="F1701" s="70"/>
      <c r="G1701" s="67"/>
      <c r="H1701" s="71"/>
      <c r="I1701" s="72"/>
      <c r="J1701" s="72"/>
      <c r="K1701" s="36"/>
      <c r="L1701" s="79"/>
      <c r="M1701" s="79"/>
      <c r="N1701" s="74"/>
      <c r="O1701" s="81" t="s">
        <v>179</v>
      </c>
      <c r="P1701" s="83">
        <v>44467.078599537039</v>
      </c>
      <c r="Q1701" s="81" t="s">
        <v>5581</v>
      </c>
      <c r="R1701" s="81"/>
      <c r="S1701" s="81"/>
      <c r="T1701" s="81"/>
      <c r="U1701" s="81"/>
      <c r="V1701" s="84" t="str">
        <f>HYPERLINK("https://pbs.twimg.com/profile_images/1294540621240242176/j4rC1wTK_normal.jpg")</f>
        <v>https://pbs.twimg.com/profile_images/1294540621240242176/j4rC1wTK_normal.jpg</v>
      </c>
      <c r="W1701" s="83">
        <v>44467.078599537039</v>
      </c>
      <c r="X1701" s="89">
        <v>44467</v>
      </c>
      <c r="Y1701" s="86" t="s">
        <v>6507</v>
      </c>
      <c r="Z1701" s="84" t="str">
        <f>HYPERLINK("https://twitter.com/uaigabriel/status/1442668680668753923")</f>
        <v>https://twitter.com/uaigabriel/status/1442668680668753923</v>
      </c>
      <c r="AA1701" s="81"/>
      <c r="AB1701" s="81"/>
      <c r="AC1701" s="86" t="s">
        <v>7427</v>
      </c>
      <c r="AD1701" s="81"/>
      <c r="AE1701" s="81" t="b">
        <v>0</v>
      </c>
      <c r="AF1701" s="81">
        <v>5</v>
      </c>
      <c r="AG1701" s="86" t="s">
        <v>2084</v>
      </c>
      <c r="AH1701" s="81" t="b">
        <v>0</v>
      </c>
      <c r="AI1701" s="81" t="s">
        <v>2171</v>
      </c>
      <c r="AJ1701" s="81"/>
      <c r="AK1701" s="86" t="s">
        <v>2084</v>
      </c>
      <c r="AL1701" s="81" t="b">
        <v>0</v>
      </c>
      <c r="AM1701" s="81">
        <v>0</v>
      </c>
      <c r="AN1701" s="86" t="s">
        <v>2084</v>
      </c>
      <c r="AO1701" s="86" t="s">
        <v>2178</v>
      </c>
      <c r="AP1701" s="81" t="b">
        <v>0</v>
      </c>
      <c r="AQ1701" s="86" t="s">
        <v>7427</v>
      </c>
      <c r="AR1701" s="81" t="s">
        <v>179</v>
      </c>
      <c r="AS1701" s="81">
        <v>0</v>
      </c>
      <c r="AT1701" s="81">
        <v>0</v>
      </c>
      <c r="AU1701" s="81"/>
      <c r="AV1701" s="81"/>
      <c r="AW1701" s="81"/>
      <c r="AX1701" s="81"/>
      <c r="AY1701" s="81"/>
      <c r="AZ1701" s="81"/>
      <c r="BA1701" s="81"/>
      <c r="BB1701" s="81"/>
    </row>
    <row r="1702" spans="1:54" x14ac:dyDescent="0.35">
      <c r="A1702" s="66" t="s">
        <v>4858</v>
      </c>
      <c r="B1702" s="66" t="s">
        <v>5177</v>
      </c>
      <c r="C1702" s="67"/>
      <c r="D1702" s="68"/>
      <c r="E1702" s="69"/>
      <c r="F1702" s="70"/>
      <c r="G1702" s="67"/>
      <c r="H1702" s="71"/>
      <c r="I1702" s="72"/>
      <c r="J1702" s="72"/>
      <c r="K1702" s="36"/>
      <c r="L1702" s="79"/>
      <c r="M1702" s="79"/>
      <c r="N1702" s="74"/>
      <c r="O1702" s="81" t="s">
        <v>695</v>
      </c>
      <c r="P1702" s="83">
        <v>44467.089004629626</v>
      </c>
      <c r="Q1702" s="81" t="s">
        <v>5582</v>
      </c>
      <c r="R1702" s="81"/>
      <c r="S1702" s="81"/>
      <c r="T1702" s="81"/>
      <c r="U1702" s="81"/>
      <c r="V1702" s="84" t="str">
        <f>HYPERLINK("https://pbs.twimg.com/profile_images/1408569540821372935/Fgc-391u_normal.jpg")</f>
        <v>https://pbs.twimg.com/profile_images/1408569540821372935/Fgc-391u_normal.jpg</v>
      </c>
      <c r="W1702" s="83">
        <v>44467.089004629626</v>
      </c>
      <c r="X1702" s="89">
        <v>44467</v>
      </c>
      <c r="Y1702" s="86" t="s">
        <v>6508</v>
      </c>
      <c r="Z1702" s="84" t="str">
        <f>HYPERLINK("https://twitter.com/fergga22/status/1442672450349699074")</f>
        <v>https://twitter.com/fergga22/status/1442672450349699074</v>
      </c>
      <c r="AA1702" s="81"/>
      <c r="AB1702" s="81"/>
      <c r="AC1702" s="86" t="s">
        <v>7428</v>
      </c>
      <c r="AD1702" s="86" t="s">
        <v>7742</v>
      </c>
      <c r="AE1702" s="81" t="b">
        <v>0</v>
      </c>
      <c r="AF1702" s="81">
        <v>0</v>
      </c>
      <c r="AG1702" s="86" t="s">
        <v>7919</v>
      </c>
      <c r="AH1702" s="81" t="b">
        <v>0</v>
      </c>
      <c r="AI1702" s="81" t="s">
        <v>2171</v>
      </c>
      <c r="AJ1702" s="81"/>
      <c r="AK1702" s="86" t="s">
        <v>2084</v>
      </c>
      <c r="AL1702" s="81" t="b">
        <v>0</v>
      </c>
      <c r="AM1702" s="81">
        <v>0</v>
      </c>
      <c r="AN1702" s="86" t="s">
        <v>2084</v>
      </c>
      <c r="AO1702" s="86" t="s">
        <v>2179</v>
      </c>
      <c r="AP1702" s="81" t="b">
        <v>0</v>
      </c>
      <c r="AQ1702" s="86" t="s">
        <v>7742</v>
      </c>
      <c r="AR1702" s="81" t="s">
        <v>179</v>
      </c>
      <c r="AS1702" s="81">
        <v>0</v>
      </c>
      <c r="AT1702" s="81">
        <v>0</v>
      </c>
      <c r="AU1702" s="81"/>
      <c r="AV1702" s="81"/>
      <c r="AW1702" s="81"/>
      <c r="AX1702" s="81"/>
      <c r="AY1702" s="81"/>
      <c r="AZ1702" s="81"/>
      <c r="BA1702" s="81"/>
      <c r="BB1702" s="81"/>
    </row>
    <row r="1703" spans="1:54" x14ac:dyDescent="0.35">
      <c r="A1703" s="66" t="s">
        <v>4859</v>
      </c>
      <c r="B1703" s="66" t="s">
        <v>4944</v>
      </c>
      <c r="C1703" s="67"/>
      <c r="D1703" s="68"/>
      <c r="E1703" s="69"/>
      <c r="F1703" s="70"/>
      <c r="G1703" s="67"/>
      <c r="H1703" s="71"/>
      <c r="I1703" s="72"/>
      <c r="J1703" s="72"/>
      <c r="K1703" s="36"/>
      <c r="L1703" s="79"/>
      <c r="M1703" s="79"/>
      <c r="N1703" s="74"/>
      <c r="O1703" s="81" t="s">
        <v>693</v>
      </c>
      <c r="P1703" s="83">
        <v>44467.09270833333</v>
      </c>
      <c r="Q1703" s="81" t="s">
        <v>5505</v>
      </c>
      <c r="R1703" s="81"/>
      <c r="S1703" s="81"/>
      <c r="T1703" s="81"/>
      <c r="U1703" s="81"/>
      <c r="V1703" s="84" t="str">
        <f>HYPERLINK("https://pbs.twimg.com/profile_images/1262853930347880448/Erx9YRAU_normal.jpg")</f>
        <v>https://pbs.twimg.com/profile_images/1262853930347880448/Erx9YRAU_normal.jpg</v>
      </c>
      <c r="W1703" s="83">
        <v>44467.09270833333</v>
      </c>
      <c r="X1703" s="89">
        <v>44467</v>
      </c>
      <c r="Y1703" s="86" t="s">
        <v>6509</v>
      </c>
      <c r="Z1703" s="84" t="str">
        <f>HYPERLINK("https://twitter.com/jeanpiter/status/1442673794531868682")</f>
        <v>https://twitter.com/jeanpiter/status/1442673794531868682</v>
      </c>
      <c r="AA1703" s="81"/>
      <c r="AB1703" s="81"/>
      <c r="AC1703" s="86" t="s">
        <v>7429</v>
      </c>
      <c r="AD1703" s="81"/>
      <c r="AE1703" s="81" t="b">
        <v>0</v>
      </c>
      <c r="AF1703" s="81">
        <v>0</v>
      </c>
      <c r="AG1703" s="86" t="s">
        <v>2084</v>
      </c>
      <c r="AH1703" s="81" t="b">
        <v>0</v>
      </c>
      <c r="AI1703" s="81" t="s">
        <v>2171</v>
      </c>
      <c r="AJ1703" s="81"/>
      <c r="AK1703" s="86" t="s">
        <v>2084</v>
      </c>
      <c r="AL1703" s="81" t="b">
        <v>0</v>
      </c>
      <c r="AM1703" s="81">
        <v>255</v>
      </c>
      <c r="AN1703" s="86" t="s">
        <v>7543</v>
      </c>
      <c r="AO1703" s="86" t="s">
        <v>2178</v>
      </c>
      <c r="AP1703" s="81" t="b">
        <v>0</v>
      </c>
      <c r="AQ1703" s="86" t="s">
        <v>7543</v>
      </c>
      <c r="AR1703" s="81" t="s">
        <v>179</v>
      </c>
      <c r="AS1703" s="81">
        <v>0</v>
      </c>
      <c r="AT1703" s="81">
        <v>0</v>
      </c>
      <c r="AU1703" s="81"/>
      <c r="AV1703" s="81"/>
      <c r="AW1703" s="81"/>
      <c r="AX1703" s="81"/>
      <c r="AY1703" s="81"/>
      <c r="AZ1703" s="81"/>
      <c r="BA1703" s="81"/>
      <c r="BB1703" s="81"/>
    </row>
    <row r="1704" spans="1:54" x14ac:dyDescent="0.35">
      <c r="A1704" s="66" t="s">
        <v>587</v>
      </c>
      <c r="B1704" s="66" t="s">
        <v>587</v>
      </c>
      <c r="C1704" s="67"/>
      <c r="D1704" s="68"/>
      <c r="E1704" s="69"/>
      <c r="F1704" s="70"/>
      <c r="G1704" s="67"/>
      <c r="H1704" s="71"/>
      <c r="I1704" s="72"/>
      <c r="J1704" s="72"/>
      <c r="K1704" s="36"/>
      <c r="L1704" s="79"/>
      <c r="M1704" s="79"/>
      <c r="N1704" s="74"/>
      <c r="O1704" s="81" t="s">
        <v>179</v>
      </c>
      <c r="P1704" s="83">
        <v>44467.094363425924</v>
      </c>
      <c r="Q1704" s="81" t="s">
        <v>914</v>
      </c>
      <c r="R1704" s="84" t="str">
        <f>HYPERLINK("https://radarsolo.jawapos.com/ekonomi/28/09/2021/peringati-postel-pt-pos-indonesia-bertransformasi-ke-arah-digital/")</f>
        <v>https://radarsolo.jawapos.com/ekonomi/28/09/2021/peringati-postel-pt-pos-indonesia-bertransformasi-ke-arah-digital/</v>
      </c>
      <c r="S1704" s="81" t="s">
        <v>967</v>
      </c>
      <c r="T1704" s="81"/>
      <c r="U1704" s="81"/>
      <c r="V1704" s="84" t="str">
        <f>HYPERLINK("https://pbs.twimg.com/profile_images/1418495014095577095/a15Zncbb_normal.jpg")</f>
        <v>https://pbs.twimg.com/profile_images/1418495014095577095/a15Zncbb_normal.jpg</v>
      </c>
      <c r="W1704" s="83">
        <v>44467.094363425924</v>
      </c>
      <c r="X1704" s="89">
        <v>44467</v>
      </c>
      <c r="Y1704" s="86" t="s">
        <v>1484</v>
      </c>
      <c r="Z1704" s="84" t="str">
        <f>HYPERLINK("https://twitter.com/jawapos/status/1442674394539560967")</f>
        <v>https://twitter.com/jawapos/status/1442674394539560967</v>
      </c>
      <c r="AA1704" s="81"/>
      <c r="AB1704" s="81"/>
      <c r="AC1704" s="86" t="s">
        <v>1983</v>
      </c>
      <c r="AD1704" s="81"/>
      <c r="AE1704" s="81" t="b">
        <v>0</v>
      </c>
      <c r="AF1704" s="81">
        <v>1</v>
      </c>
      <c r="AG1704" s="86" t="s">
        <v>2084</v>
      </c>
      <c r="AH1704" s="81" t="b">
        <v>0</v>
      </c>
      <c r="AI1704" s="81" t="s">
        <v>2167</v>
      </c>
      <c r="AJ1704" s="81"/>
      <c r="AK1704" s="86" t="s">
        <v>2084</v>
      </c>
      <c r="AL1704" s="81" t="b">
        <v>0</v>
      </c>
      <c r="AM1704" s="81">
        <v>0</v>
      </c>
      <c r="AN1704" s="86" t="s">
        <v>2084</v>
      </c>
      <c r="AO1704" s="86" t="s">
        <v>2197</v>
      </c>
      <c r="AP1704" s="81" t="b">
        <v>0</v>
      </c>
      <c r="AQ1704" s="86" t="s">
        <v>1983</v>
      </c>
      <c r="AR1704" s="81" t="s">
        <v>179</v>
      </c>
      <c r="AS1704" s="81">
        <v>0</v>
      </c>
      <c r="AT1704" s="81">
        <v>0</v>
      </c>
      <c r="AU1704" s="81"/>
      <c r="AV1704" s="81"/>
      <c r="AW1704" s="81"/>
      <c r="AX1704" s="81"/>
      <c r="AY1704" s="81"/>
      <c r="AZ1704" s="81"/>
      <c r="BA1704" s="81"/>
      <c r="BB1704" s="81"/>
    </row>
    <row r="1705" spans="1:54" x14ac:dyDescent="0.35">
      <c r="A1705" s="66" t="s">
        <v>588</v>
      </c>
      <c r="B1705" s="66" t="s">
        <v>588</v>
      </c>
      <c r="C1705" s="67"/>
      <c r="D1705" s="68"/>
      <c r="E1705" s="69"/>
      <c r="F1705" s="70"/>
      <c r="G1705" s="67"/>
      <c r="H1705" s="71"/>
      <c r="I1705" s="72"/>
      <c r="J1705" s="72"/>
      <c r="K1705" s="36"/>
      <c r="L1705" s="79"/>
      <c r="M1705" s="79"/>
      <c r="N1705" s="74"/>
      <c r="O1705" s="81" t="s">
        <v>179</v>
      </c>
      <c r="P1705" s="83">
        <v>44467.10733796296</v>
      </c>
      <c r="Q1705" s="81" t="s">
        <v>915</v>
      </c>
      <c r="R1705" s="81"/>
      <c r="S1705" s="81"/>
      <c r="T1705" s="81"/>
      <c r="U1705" s="81"/>
      <c r="V1705" s="84" t="str">
        <f>HYPERLINK("https://pbs.twimg.com/profile_images/1436870725101506569/-SRAWO1m_normal.jpg")</f>
        <v>https://pbs.twimg.com/profile_images/1436870725101506569/-SRAWO1m_normal.jpg</v>
      </c>
      <c r="W1705" s="83">
        <v>44467.10733796296</v>
      </c>
      <c r="X1705" s="89">
        <v>44467</v>
      </c>
      <c r="Y1705" s="86" t="s">
        <v>1485</v>
      </c>
      <c r="Z1705" s="84" t="str">
        <f>HYPERLINK("https://twitter.com/gdlks12/status/1442679093497978885")</f>
        <v>https://twitter.com/gdlks12/status/1442679093497978885</v>
      </c>
      <c r="AA1705" s="81"/>
      <c r="AB1705" s="81"/>
      <c r="AC1705" s="86" t="s">
        <v>1984</v>
      </c>
      <c r="AD1705" s="81"/>
      <c r="AE1705" s="81" t="b">
        <v>0</v>
      </c>
      <c r="AF1705" s="81">
        <v>0</v>
      </c>
      <c r="AG1705" s="86" t="s">
        <v>2084</v>
      </c>
      <c r="AH1705" s="81" t="b">
        <v>0</v>
      </c>
      <c r="AI1705" s="81" t="s">
        <v>2167</v>
      </c>
      <c r="AJ1705" s="81"/>
      <c r="AK1705" s="86" t="s">
        <v>2084</v>
      </c>
      <c r="AL1705" s="81" t="b">
        <v>0</v>
      </c>
      <c r="AM1705" s="81">
        <v>0</v>
      </c>
      <c r="AN1705" s="86" t="s">
        <v>2084</v>
      </c>
      <c r="AO1705" s="86" t="s">
        <v>2179</v>
      </c>
      <c r="AP1705" s="81" t="b">
        <v>0</v>
      </c>
      <c r="AQ1705" s="86" t="s">
        <v>1984</v>
      </c>
      <c r="AR1705" s="81" t="s">
        <v>179</v>
      </c>
      <c r="AS1705" s="81">
        <v>0</v>
      </c>
      <c r="AT1705" s="81">
        <v>0</v>
      </c>
      <c r="AU1705" s="81"/>
      <c r="AV1705" s="81"/>
      <c r="AW1705" s="81"/>
      <c r="AX1705" s="81"/>
      <c r="AY1705" s="81"/>
      <c r="AZ1705" s="81"/>
      <c r="BA1705" s="81"/>
      <c r="BB1705" s="81"/>
    </row>
    <row r="1706" spans="1:54" x14ac:dyDescent="0.35">
      <c r="A1706" s="66" t="s">
        <v>4860</v>
      </c>
      <c r="B1706" s="66" t="s">
        <v>4944</v>
      </c>
      <c r="C1706" s="67"/>
      <c r="D1706" s="68"/>
      <c r="E1706" s="69"/>
      <c r="F1706" s="70"/>
      <c r="G1706" s="67"/>
      <c r="H1706" s="71"/>
      <c r="I1706" s="72"/>
      <c r="J1706" s="72"/>
      <c r="K1706" s="36"/>
      <c r="L1706" s="79"/>
      <c r="M1706" s="79"/>
      <c r="N1706" s="74"/>
      <c r="O1706" s="81" t="s">
        <v>693</v>
      </c>
      <c r="P1706" s="83">
        <v>44467.108576388891</v>
      </c>
      <c r="Q1706" s="81" t="s">
        <v>5505</v>
      </c>
      <c r="R1706" s="81"/>
      <c r="S1706" s="81"/>
      <c r="T1706" s="81"/>
      <c r="U1706" s="81"/>
      <c r="V1706" s="84" t="str">
        <f>HYPERLINK("https://pbs.twimg.com/profile_images/1332644020535914496/TJCCjGym_normal.jpg")</f>
        <v>https://pbs.twimg.com/profile_images/1332644020535914496/TJCCjGym_normal.jpg</v>
      </c>
      <c r="W1706" s="83">
        <v>44467.108576388891</v>
      </c>
      <c r="X1706" s="89">
        <v>44467</v>
      </c>
      <c r="Y1706" s="86" t="s">
        <v>6510</v>
      </c>
      <c r="Z1706" s="84" t="str">
        <f>HYPERLINK("https://twitter.com/miltonapasil/status/1442679543479906305")</f>
        <v>https://twitter.com/miltonapasil/status/1442679543479906305</v>
      </c>
      <c r="AA1706" s="81"/>
      <c r="AB1706" s="81"/>
      <c r="AC1706" s="86" t="s">
        <v>7430</v>
      </c>
      <c r="AD1706" s="81"/>
      <c r="AE1706" s="81" t="b">
        <v>0</v>
      </c>
      <c r="AF1706" s="81">
        <v>0</v>
      </c>
      <c r="AG1706" s="86" t="s">
        <v>2084</v>
      </c>
      <c r="AH1706" s="81" t="b">
        <v>0</v>
      </c>
      <c r="AI1706" s="81" t="s">
        <v>2171</v>
      </c>
      <c r="AJ1706" s="81"/>
      <c r="AK1706" s="86" t="s">
        <v>2084</v>
      </c>
      <c r="AL1706" s="81" t="b">
        <v>0</v>
      </c>
      <c r="AM1706" s="81">
        <v>255</v>
      </c>
      <c r="AN1706" s="86" t="s">
        <v>7543</v>
      </c>
      <c r="AO1706" s="86" t="s">
        <v>2178</v>
      </c>
      <c r="AP1706" s="81" t="b">
        <v>0</v>
      </c>
      <c r="AQ1706" s="86" t="s">
        <v>7543</v>
      </c>
      <c r="AR1706" s="81" t="s">
        <v>179</v>
      </c>
      <c r="AS1706" s="81">
        <v>0</v>
      </c>
      <c r="AT1706" s="81">
        <v>0</v>
      </c>
      <c r="AU1706" s="81"/>
      <c r="AV1706" s="81"/>
      <c r="AW1706" s="81"/>
      <c r="AX1706" s="81"/>
      <c r="AY1706" s="81"/>
      <c r="AZ1706" s="81"/>
      <c r="BA1706" s="81"/>
      <c r="BB1706" s="81"/>
    </row>
    <row r="1707" spans="1:54" x14ac:dyDescent="0.35">
      <c r="A1707" s="66" t="s">
        <v>4861</v>
      </c>
      <c r="B1707" s="66" t="s">
        <v>5178</v>
      </c>
      <c r="C1707" s="67"/>
      <c r="D1707" s="68"/>
      <c r="E1707" s="69"/>
      <c r="F1707" s="70"/>
      <c r="G1707" s="67"/>
      <c r="H1707" s="71"/>
      <c r="I1707" s="72"/>
      <c r="J1707" s="72"/>
      <c r="K1707" s="36"/>
      <c r="L1707" s="79"/>
      <c r="M1707" s="79"/>
      <c r="N1707" s="74"/>
      <c r="O1707" s="81" t="s">
        <v>695</v>
      </c>
      <c r="P1707" s="83">
        <v>44462.074814814812</v>
      </c>
      <c r="Q1707" s="81" t="s">
        <v>5583</v>
      </c>
      <c r="R1707"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707" s="81" t="s">
        <v>5722</v>
      </c>
      <c r="T1707" s="81"/>
      <c r="U1707" s="81"/>
      <c r="V1707" s="84" t="str">
        <f>HYPERLINK("https://pbs.twimg.com/profile_images/1425761167977373699/l8Gf-k93_normal.jpg")</f>
        <v>https://pbs.twimg.com/profile_images/1425761167977373699/l8Gf-k93_normal.jpg</v>
      </c>
      <c r="W1707" s="83">
        <v>44462.074814814812</v>
      </c>
      <c r="X1707" s="89">
        <v>44462</v>
      </c>
      <c r="Y1707" s="86" t="s">
        <v>6511</v>
      </c>
      <c r="Z1707" s="84" t="str">
        <f>HYPERLINK("https://twitter.com/ac5tap/status/1440855371015356422")</f>
        <v>https://twitter.com/ac5tap/status/1440855371015356422</v>
      </c>
      <c r="AA1707" s="81"/>
      <c r="AB1707" s="81"/>
      <c r="AC1707" s="86" t="s">
        <v>7431</v>
      </c>
      <c r="AD1707" s="86" t="s">
        <v>7743</v>
      </c>
      <c r="AE1707" s="81" t="b">
        <v>0</v>
      </c>
      <c r="AF1707" s="81">
        <v>0</v>
      </c>
      <c r="AG1707" s="86" t="s">
        <v>7920</v>
      </c>
      <c r="AH1707" s="81" t="b">
        <v>0</v>
      </c>
      <c r="AI1707" s="81" t="s">
        <v>2171</v>
      </c>
      <c r="AJ1707" s="81"/>
      <c r="AK1707" s="86" t="s">
        <v>2084</v>
      </c>
      <c r="AL1707" s="81" t="b">
        <v>0</v>
      </c>
      <c r="AM1707" s="81">
        <v>0</v>
      </c>
      <c r="AN1707" s="86" t="s">
        <v>2084</v>
      </c>
      <c r="AO1707" s="86" t="s">
        <v>2181</v>
      </c>
      <c r="AP1707" s="81" t="b">
        <v>0</v>
      </c>
      <c r="AQ1707" s="86" t="s">
        <v>7743</v>
      </c>
      <c r="AR1707" s="81" t="s">
        <v>179</v>
      </c>
      <c r="AS1707" s="81">
        <v>0</v>
      </c>
      <c r="AT1707" s="81">
        <v>0</v>
      </c>
      <c r="AU1707" s="81"/>
      <c r="AV1707" s="81"/>
      <c r="AW1707" s="81"/>
      <c r="AX1707" s="81"/>
      <c r="AY1707" s="81"/>
      <c r="AZ1707" s="81"/>
      <c r="BA1707" s="81"/>
      <c r="BB1707" s="81"/>
    </row>
    <row r="1708" spans="1:54" x14ac:dyDescent="0.35">
      <c r="A1708" s="66" t="s">
        <v>4861</v>
      </c>
      <c r="B1708" s="66" t="s">
        <v>5178</v>
      </c>
      <c r="C1708" s="67"/>
      <c r="D1708" s="68"/>
      <c r="E1708" s="69"/>
      <c r="F1708" s="70"/>
      <c r="G1708" s="67"/>
      <c r="H1708" s="71"/>
      <c r="I1708" s="72"/>
      <c r="J1708" s="72"/>
      <c r="K1708" s="36"/>
      <c r="L1708" s="79"/>
      <c r="M1708" s="79"/>
      <c r="N1708" s="74"/>
      <c r="O1708" s="81" t="s">
        <v>695</v>
      </c>
      <c r="P1708" s="83">
        <v>44462.075023148151</v>
      </c>
      <c r="Q1708" s="81" t="s">
        <v>5583</v>
      </c>
      <c r="R1708"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708" s="81" t="s">
        <v>5722</v>
      </c>
      <c r="T1708" s="81"/>
      <c r="U1708" s="81"/>
      <c r="V1708" s="84" t="str">
        <f>HYPERLINK("https://pbs.twimg.com/profile_images/1425761167977373699/l8Gf-k93_normal.jpg")</f>
        <v>https://pbs.twimg.com/profile_images/1425761167977373699/l8Gf-k93_normal.jpg</v>
      </c>
      <c r="W1708" s="83">
        <v>44462.075023148151</v>
      </c>
      <c r="X1708" s="89">
        <v>44462</v>
      </c>
      <c r="Y1708" s="86" t="s">
        <v>6512</v>
      </c>
      <c r="Z1708" s="84" t="str">
        <f>HYPERLINK("https://twitter.com/ac5tap/status/1440855445166383111")</f>
        <v>https://twitter.com/ac5tap/status/1440855445166383111</v>
      </c>
      <c r="AA1708" s="81"/>
      <c r="AB1708" s="81"/>
      <c r="AC1708" s="86" t="s">
        <v>7432</v>
      </c>
      <c r="AD1708" s="86" t="s">
        <v>7744</v>
      </c>
      <c r="AE1708" s="81" t="b">
        <v>0</v>
      </c>
      <c r="AF1708" s="81">
        <v>0</v>
      </c>
      <c r="AG1708" s="86" t="s">
        <v>7920</v>
      </c>
      <c r="AH1708" s="81" t="b">
        <v>0</v>
      </c>
      <c r="AI1708" s="81" t="s">
        <v>2171</v>
      </c>
      <c r="AJ1708" s="81"/>
      <c r="AK1708" s="86" t="s">
        <v>2084</v>
      </c>
      <c r="AL1708" s="81" t="b">
        <v>0</v>
      </c>
      <c r="AM1708" s="81">
        <v>0</v>
      </c>
      <c r="AN1708" s="86" t="s">
        <v>2084</v>
      </c>
      <c r="AO1708" s="86" t="s">
        <v>2181</v>
      </c>
      <c r="AP1708" s="81" t="b">
        <v>0</v>
      </c>
      <c r="AQ1708" s="86" t="s">
        <v>7744</v>
      </c>
      <c r="AR1708" s="81" t="s">
        <v>179</v>
      </c>
      <c r="AS1708" s="81">
        <v>0</v>
      </c>
      <c r="AT1708" s="81">
        <v>0</v>
      </c>
      <c r="AU1708" s="81"/>
      <c r="AV1708" s="81"/>
      <c r="AW1708" s="81"/>
      <c r="AX1708" s="81"/>
      <c r="AY1708" s="81"/>
      <c r="AZ1708" s="81"/>
      <c r="BA1708" s="81"/>
      <c r="BB1708" s="81"/>
    </row>
    <row r="1709" spans="1:54" x14ac:dyDescent="0.35">
      <c r="A1709" s="66" t="s">
        <v>4861</v>
      </c>
      <c r="B1709" s="66" t="s">
        <v>4983</v>
      </c>
      <c r="C1709" s="67"/>
      <c r="D1709" s="68"/>
      <c r="E1709" s="69"/>
      <c r="F1709" s="70"/>
      <c r="G1709" s="67"/>
      <c r="H1709" s="71"/>
      <c r="I1709" s="72"/>
      <c r="J1709" s="72"/>
      <c r="K1709" s="36"/>
      <c r="L1709" s="79"/>
      <c r="M1709" s="79"/>
      <c r="N1709" s="74"/>
      <c r="O1709" s="81" t="s">
        <v>696</v>
      </c>
      <c r="P1709" s="83">
        <v>44462.074814814812</v>
      </c>
      <c r="Q1709" s="81" t="s">
        <v>5583</v>
      </c>
      <c r="R1709"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709" s="81" t="s">
        <v>5722</v>
      </c>
      <c r="T1709" s="81"/>
      <c r="U1709" s="81"/>
      <c r="V1709" s="84" t="str">
        <f>HYPERLINK("https://pbs.twimg.com/profile_images/1425761167977373699/l8Gf-k93_normal.jpg")</f>
        <v>https://pbs.twimg.com/profile_images/1425761167977373699/l8Gf-k93_normal.jpg</v>
      </c>
      <c r="W1709" s="83">
        <v>44462.074814814812</v>
      </c>
      <c r="X1709" s="89">
        <v>44462</v>
      </c>
      <c r="Y1709" s="86" t="s">
        <v>6511</v>
      </c>
      <c r="Z1709" s="84" t="str">
        <f>HYPERLINK("https://twitter.com/ac5tap/status/1440855371015356422")</f>
        <v>https://twitter.com/ac5tap/status/1440855371015356422</v>
      </c>
      <c r="AA1709" s="81"/>
      <c r="AB1709" s="81"/>
      <c r="AC1709" s="86" t="s">
        <v>7431</v>
      </c>
      <c r="AD1709" s="86" t="s">
        <v>7743</v>
      </c>
      <c r="AE1709" s="81" t="b">
        <v>0</v>
      </c>
      <c r="AF1709" s="81">
        <v>0</v>
      </c>
      <c r="AG1709" s="86" t="s">
        <v>7920</v>
      </c>
      <c r="AH1709" s="81" t="b">
        <v>0</v>
      </c>
      <c r="AI1709" s="81" t="s">
        <v>2171</v>
      </c>
      <c r="AJ1709" s="81"/>
      <c r="AK1709" s="86" t="s">
        <v>2084</v>
      </c>
      <c r="AL1709" s="81" t="b">
        <v>0</v>
      </c>
      <c r="AM1709" s="81">
        <v>0</v>
      </c>
      <c r="AN1709" s="86" t="s">
        <v>2084</v>
      </c>
      <c r="AO1709" s="86" t="s">
        <v>2181</v>
      </c>
      <c r="AP1709" s="81" t="b">
        <v>0</v>
      </c>
      <c r="AQ1709" s="86" t="s">
        <v>7743</v>
      </c>
      <c r="AR1709" s="81" t="s">
        <v>179</v>
      </c>
      <c r="AS1709" s="81">
        <v>0</v>
      </c>
      <c r="AT1709" s="81">
        <v>0</v>
      </c>
      <c r="AU1709" s="81"/>
      <c r="AV1709" s="81"/>
      <c r="AW1709" s="81"/>
      <c r="AX1709" s="81"/>
      <c r="AY1709" s="81"/>
      <c r="AZ1709" s="81"/>
      <c r="BA1709" s="81"/>
      <c r="BB1709" s="81"/>
    </row>
    <row r="1710" spans="1:54" x14ac:dyDescent="0.35">
      <c r="A1710" s="66" t="s">
        <v>4861</v>
      </c>
      <c r="B1710" s="66" t="s">
        <v>4983</v>
      </c>
      <c r="C1710" s="67"/>
      <c r="D1710" s="68"/>
      <c r="E1710" s="69"/>
      <c r="F1710" s="70"/>
      <c r="G1710" s="67"/>
      <c r="H1710" s="71"/>
      <c r="I1710" s="72"/>
      <c r="J1710" s="72"/>
      <c r="K1710" s="36"/>
      <c r="L1710" s="79"/>
      <c r="M1710" s="79"/>
      <c r="N1710" s="74"/>
      <c r="O1710" s="81" t="s">
        <v>696</v>
      </c>
      <c r="P1710" s="83">
        <v>44462.075023148151</v>
      </c>
      <c r="Q1710" s="81" t="s">
        <v>5583</v>
      </c>
      <c r="R1710"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710" s="81" t="s">
        <v>5722</v>
      </c>
      <c r="T1710" s="81"/>
      <c r="U1710" s="81"/>
      <c r="V1710" s="84" t="str">
        <f>HYPERLINK("https://pbs.twimg.com/profile_images/1425761167977373699/l8Gf-k93_normal.jpg")</f>
        <v>https://pbs.twimg.com/profile_images/1425761167977373699/l8Gf-k93_normal.jpg</v>
      </c>
      <c r="W1710" s="83">
        <v>44462.075023148151</v>
      </c>
      <c r="X1710" s="89">
        <v>44462</v>
      </c>
      <c r="Y1710" s="86" t="s">
        <v>6512</v>
      </c>
      <c r="Z1710" s="84" t="str">
        <f>HYPERLINK("https://twitter.com/ac5tap/status/1440855445166383111")</f>
        <v>https://twitter.com/ac5tap/status/1440855445166383111</v>
      </c>
      <c r="AA1710" s="81"/>
      <c r="AB1710" s="81"/>
      <c r="AC1710" s="86" t="s">
        <v>7432</v>
      </c>
      <c r="AD1710" s="86" t="s">
        <v>7744</v>
      </c>
      <c r="AE1710" s="81" t="b">
        <v>0</v>
      </c>
      <c r="AF1710" s="81">
        <v>0</v>
      </c>
      <c r="AG1710" s="86" t="s">
        <v>7920</v>
      </c>
      <c r="AH1710" s="81" t="b">
        <v>0</v>
      </c>
      <c r="AI1710" s="81" t="s">
        <v>2171</v>
      </c>
      <c r="AJ1710" s="81"/>
      <c r="AK1710" s="86" t="s">
        <v>2084</v>
      </c>
      <c r="AL1710" s="81" t="b">
        <v>0</v>
      </c>
      <c r="AM1710" s="81">
        <v>0</v>
      </c>
      <c r="AN1710" s="86" t="s">
        <v>2084</v>
      </c>
      <c r="AO1710" s="86" t="s">
        <v>2181</v>
      </c>
      <c r="AP1710" s="81" t="b">
        <v>0</v>
      </c>
      <c r="AQ1710" s="86" t="s">
        <v>7744</v>
      </c>
      <c r="AR1710" s="81" t="s">
        <v>179</v>
      </c>
      <c r="AS1710" s="81">
        <v>0</v>
      </c>
      <c r="AT1710" s="81">
        <v>0</v>
      </c>
      <c r="AU1710" s="81"/>
      <c r="AV1710" s="81"/>
      <c r="AW1710" s="81"/>
      <c r="AX1710" s="81"/>
      <c r="AY1710" s="81"/>
      <c r="AZ1710" s="81"/>
      <c r="BA1710" s="81"/>
      <c r="BB1710" s="81"/>
    </row>
    <row r="1711" spans="1:54" x14ac:dyDescent="0.35">
      <c r="A1711" s="66" t="s">
        <v>4861</v>
      </c>
      <c r="B1711" s="66" t="s">
        <v>4983</v>
      </c>
      <c r="C1711" s="67"/>
      <c r="D1711" s="68"/>
      <c r="E1711" s="69"/>
      <c r="F1711" s="70"/>
      <c r="G1711" s="67"/>
      <c r="H1711" s="71"/>
      <c r="I1711" s="72"/>
      <c r="J1711" s="72"/>
      <c r="K1711" s="36"/>
      <c r="L1711" s="79"/>
      <c r="M1711" s="79"/>
      <c r="N1711" s="74"/>
      <c r="O1711" s="81" t="s">
        <v>696</v>
      </c>
      <c r="P1711" s="83">
        <v>44467.013414351852</v>
      </c>
      <c r="Q1711" s="81" t="s">
        <v>5584</v>
      </c>
      <c r="R1711"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711" s="81" t="s">
        <v>5722</v>
      </c>
      <c r="T1711" s="81"/>
      <c r="U1711" s="81"/>
      <c r="V1711" s="84" t="str">
        <f>HYPERLINK("https://pbs.twimg.com/profile_images/1425761167977373699/l8Gf-k93_normal.jpg")</f>
        <v>https://pbs.twimg.com/profile_images/1425761167977373699/l8Gf-k93_normal.jpg</v>
      </c>
      <c r="W1711" s="83">
        <v>44467.013414351852</v>
      </c>
      <c r="X1711" s="89">
        <v>44467</v>
      </c>
      <c r="Y1711" s="86" t="s">
        <v>6513</v>
      </c>
      <c r="Z1711" s="84" t="str">
        <f>HYPERLINK("https://twitter.com/ac5tap/status/1442645056066891780")</f>
        <v>https://twitter.com/ac5tap/status/1442645056066891780</v>
      </c>
      <c r="AA1711" s="81"/>
      <c r="AB1711" s="81"/>
      <c r="AC1711" s="86" t="s">
        <v>7433</v>
      </c>
      <c r="AD1711" s="86" t="s">
        <v>7745</v>
      </c>
      <c r="AE1711" s="81" t="b">
        <v>0</v>
      </c>
      <c r="AF1711" s="81">
        <v>0</v>
      </c>
      <c r="AG1711" s="86" t="s">
        <v>7792</v>
      </c>
      <c r="AH1711" s="81" t="b">
        <v>0</v>
      </c>
      <c r="AI1711" s="81" t="s">
        <v>2171</v>
      </c>
      <c r="AJ1711" s="81"/>
      <c r="AK1711" s="86" t="s">
        <v>2084</v>
      </c>
      <c r="AL1711" s="81" t="b">
        <v>0</v>
      </c>
      <c r="AM1711" s="81">
        <v>0</v>
      </c>
      <c r="AN1711" s="86" t="s">
        <v>2084</v>
      </c>
      <c r="AO1711" s="86" t="s">
        <v>2181</v>
      </c>
      <c r="AP1711" s="81" t="b">
        <v>0</v>
      </c>
      <c r="AQ1711" s="86" t="s">
        <v>7745</v>
      </c>
      <c r="AR1711" s="81" t="s">
        <v>179</v>
      </c>
      <c r="AS1711" s="81">
        <v>0</v>
      </c>
      <c r="AT1711" s="81">
        <v>0</v>
      </c>
      <c r="AU1711" s="81"/>
      <c r="AV1711" s="81"/>
      <c r="AW1711" s="81"/>
      <c r="AX1711" s="81"/>
      <c r="AY1711" s="81"/>
      <c r="AZ1711" s="81"/>
      <c r="BA1711" s="81"/>
      <c r="BB1711" s="81"/>
    </row>
    <row r="1712" spans="1:54" x14ac:dyDescent="0.35">
      <c r="A1712" s="66" t="s">
        <v>4861</v>
      </c>
      <c r="B1712" s="66" t="s">
        <v>4983</v>
      </c>
      <c r="C1712" s="67"/>
      <c r="D1712" s="68"/>
      <c r="E1712" s="69"/>
      <c r="F1712" s="70"/>
      <c r="G1712" s="67"/>
      <c r="H1712" s="71"/>
      <c r="I1712" s="72"/>
      <c r="J1712" s="72"/>
      <c r="K1712" s="36"/>
      <c r="L1712" s="79"/>
      <c r="M1712" s="79"/>
      <c r="N1712" s="74"/>
      <c r="O1712" s="81" t="s">
        <v>696</v>
      </c>
      <c r="P1712" s="83">
        <v>44467.116805555554</v>
      </c>
      <c r="Q1712" s="81" t="s">
        <v>5585</v>
      </c>
      <c r="R1712"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712" s="81" t="s">
        <v>5722</v>
      </c>
      <c r="T1712" s="81"/>
      <c r="U1712" s="81"/>
      <c r="V1712" s="84" t="str">
        <f>HYPERLINK("https://pbs.twimg.com/profile_images/1425761167977373699/l8Gf-k93_normal.jpg")</f>
        <v>https://pbs.twimg.com/profile_images/1425761167977373699/l8Gf-k93_normal.jpg</v>
      </c>
      <c r="W1712" s="83">
        <v>44467.116805555554</v>
      </c>
      <c r="X1712" s="89">
        <v>44467</v>
      </c>
      <c r="Y1712" s="86" t="s">
        <v>6514</v>
      </c>
      <c r="Z1712" s="84" t="str">
        <f>HYPERLINK("https://twitter.com/ac5tap/status/1442682526380830720")</f>
        <v>https://twitter.com/ac5tap/status/1442682526380830720</v>
      </c>
      <c r="AA1712" s="81"/>
      <c r="AB1712" s="81"/>
      <c r="AC1712" s="86" t="s">
        <v>7434</v>
      </c>
      <c r="AD1712" s="86" t="s">
        <v>7746</v>
      </c>
      <c r="AE1712" s="81" t="b">
        <v>0</v>
      </c>
      <c r="AF1712" s="81">
        <v>0</v>
      </c>
      <c r="AG1712" s="86" t="s">
        <v>7921</v>
      </c>
      <c r="AH1712" s="81" t="b">
        <v>0</v>
      </c>
      <c r="AI1712" s="81" t="s">
        <v>2171</v>
      </c>
      <c r="AJ1712" s="81"/>
      <c r="AK1712" s="86" t="s">
        <v>2084</v>
      </c>
      <c r="AL1712" s="81" t="b">
        <v>0</v>
      </c>
      <c r="AM1712" s="81">
        <v>0</v>
      </c>
      <c r="AN1712" s="86" t="s">
        <v>2084</v>
      </c>
      <c r="AO1712" s="86" t="s">
        <v>2181</v>
      </c>
      <c r="AP1712" s="81" t="b">
        <v>0</v>
      </c>
      <c r="AQ1712" s="86" t="s">
        <v>7746</v>
      </c>
      <c r="AR1712" s="81" t="s">
        <v>179</v>
      </c>
      <c r="AS1712" s="81">
        <v>0</v>
      </c>
      <c r="AT1712" s="81">
        <v>0</v>
      </c>
      <c r="AU1712" s="81"/>
      <c r="AV1712" s="81"/>
      <c r="AW1712" s="81"/>
      <c r="AX1712" s="81"/>
      <c r="AY1712" s="81"/>
      <c r="AZ1712" s="81"/>
      <c r="BA1712" s="81"/>
      <c r="BB1712" s="81"/>
    </row>
    <row r="1713" spans="1:54" x14ac:dyDescent="0.35">
      <c r="A1713" s="66" t="s">
        <v>4861</v>
      </c>
      <c r="B1713" s="66" t="s">
        <v>5179</v>
      </c>
      <c r="C1713" s="67"/>
      <c r="D1713" s="68"/>
      <c r="E1713" s="69"/>
      <c r="F1713" s="70"/>
      <c r="G1713" s="67"/>
      <c r="H1713" s="71"/>
      <c r="I1713" s="72"/>
      <c r="J1713" s="72"/>
      <c r="K1713" s="36"/>
      <c r="L1713" s="79"/>
      <c r="M1713" s="79"/>
      <c r="N1713" s="74"/>
      <c r="O1713" s="81" t="s">
        <v>695</v>
      </c>
      <c r="P1713" s="83">
        <v>44467.116805555554</v>
      </c>
      <c r="Q1713" s="81" t="s">
        <v>5585</v>
      </c>
      <c r="R1713"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713" s="81" t="s">
        <v>5722</v>
      </c>
      <c r="T1713" s="81"/>
      <c r="U1713" s="81"/>
      <c r="V1713" s="84" t="str">
        <f>HYPERLINK("https://pbs.twimg.com/profile_images/1425761167977373699/l8Gf-k93_normal.jpg")</f>
        <v>https://pbs.twimg.com/profile_images/1425761167977373699/l8Gf-k93_normal.jpg</v>
      </c>
      <c r="W1713" s="83">
        <v>44467.116805555554</v>
      </c>
      <c r="X1713" s="89">
        <v>44467</v>
      </c>
      <c r="Y1713" s="86" t="s">
        <v>6514</v>
      </c>
      <c r="Z1713" s="84" t="str">
        <f>HYPERLINK("https://twitter.com/ac5tap/status/1442682526380830720")</f>
        <v>https://twitter.com/ac5tap/status/1442682526380830720</v>
      </c>
      <c r="AA1713" s="81"/>
      <c r="AB1713" s="81"/>
      <c r="AC1713" s="86" t="s">
        <v>7434</v>
      </c>
      <c r="AD1713" s="86" t="s">
        <v>7746</v>
      </c>
      <c r="AE1713" s="81" t="b">
        <v>0</v>
      </c>
      <c r="AF1713" s="81">
        <v>0</v>
      </c>
      <c r="AG1713" s="86" t="s">
        <v>7921</v>
      </c>
      <c r="AH1713" s="81" t="b">
        <v>0</v>
      </c>
      <c r="AI1713" s="81" t="s">
        <v>2171</v>
      </c>
      <c r="AJ1713" s="81"/>
      <c r="AK1713" s="86" t="s">
        <v>2084</v>
      </c>
      <c r="AL1713" s="81" t="b">
        <v>0</v>
      </c>
      <c r="AM1713" s="81">
        <v>0</v>
      </c>
      <c r="AN1713" s="86" t="s">
        <v>2084</v>
      </c>
      <c r="AO1713" s="86" t="s">
        <v>2181</v>
      </c>
      <c r="AP1713" s="81" t="b">
        <v>0</v>
      </c>
      <c r="AQ1713" s="86" t="s">
        <v>7746</v>
      </c>
      <c r="AR1713" s="81" t="s">
        <v>179</v>
      </c>
      <c r="AS1713" s="81">
        <v>0</v>
      </c>
      <c r="AT1713" s="81">
        <v>0</v>
      </c>
      <c r="AU1713" s="81"/>
      <c r="AV1713" s="81"/>
      <c r="AW1713" s="81"/>
      <c r="AX1713" s="81"/>
      <c r="AY1713" s="81"/>
      <c r="AZ1713" s="81"/>
      <c r="BA1713" s="81"/>
      <c r="BB1713" s="81"/>
    </row>
    <row r="1714" spans="1:54" x14ac:dyDescent="0.35">
      <c r="A1714" s="66" t="s">
        <v>4861</v>
      </c>
      <c r="B1714" s="66" t="s">
        <v>4980</v>
      </c>
      <c r="C1714" s="67"/>
      <c r="D1714" s="68"/>
      <c r="E1714" s="69"/>
      <c r="F1714" s="70"/>
      <c r="G1714" s="67"/>
      <c r="H1714" s="71"/>
      <c r="I1714" s="72"/>
      <c r="J1714" s="72"/>
      <c r="K1714" s="36"/>
      <c r="L1714" s="79"/>
      <c r="M1714" s="79"/>
      <c r="N1714" s="74"/>
      <c r="O1714" s="81" t="s">
        <v>695</v>
      </c>
      <c r="P1714" s="83">
        <v>44467.013414351852</v>
      </c>
      <c r="Q1714" s="81" t="s">
        <v>5584</v>
      </c>
      <c r="R1714"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714" s="81" t="s">
        <v>5722</v>
      </c>
      <c r="T1714" s="81"/>
      <c r="U1714" s="81"/>
      <c r="V1714" s="84" t="str">
        <f>HYPERLINK("https://pbs.twimg.com/profile_images/1425761167977373699/l8Gf-k93_normal.jpg")</f>
        <v>https://pbs.twimg.com/profile_images/1425761167977373699/l8Gf-k93_normal.jpg</v>
      </c>
      <c r="W1714" s="83">
        <v>44467.013414351852</v>
      </c>
      <c r="X1714" s="89">
        <v>44467</v>
      </c>
      <c r="Y1714" s="86" t="s">
        <v>6513</v>
      </c>
      <c r="Z1714" s="84" t="str">
        <f>HYPERLINK("https://twitter.com/ac5tap/status/1442645056066891780")</f>
        <v>https://twitter.com/ac5tap/status/1442645056066891780</v>
      </c>
      <c r="AA1714" s="81"/>
      <c r="AB1714" s="81"/>
      <c r="AC1714" s="86" t="s">
        <v>7433</v>
      </c>
      <c r="AD1714" s="86" t="s">
        <v>7745</v>
      </c>
      <c r="AE1714" s="81" t="b">
        <v>0</v>
      </c>
      <c r="AF1714" s="81">
        <v>0</v>
      </c>
      <c r="AG1714" s="86" t="s">
        <v>7792</v>
      </c>
      <c r="AH1714" s="81" t="b">
        <v>0</v>
      </c>
      <c r="AI1714" s="81" t="s">
        <v>2171</v>
      </c>
      <c r="AJ1714" s="81"/>
      <c r="AK1714" s="86" t="s">
        <v>2084</v>
      </c>
      <c r="AL1714" s="81" t="b">
        <v>0</v>
      </c>
      <c r="AM1714" s="81">
        <v>0</v>
      </c>
      <c r="AN1714" s="86" t="s">
        <v>2084</v>
      </c>
      <c r="AO1714" s="86" t="s">
        <v>2181</v>
      </c>
      <c r="AP1714" s="81" t="b">
        <v>0</v>
      </c>
      <c r="AQ1714" s="86" t="s">
        <v>7745</v>
      </c>
      <c r="AR1714" s="81" t="s">
        <v>179</v>
      </c>
      <c r="AS1714" s="81">
        <v>0</v>
      </c>
      <c r="AT1714" s="81">
        <v>0</v>
      </c>
      <c r="AU1714" s="81"/>
      <c r="AV1714" s="81"/>
      <c r="AW1714" s="81"/>
      <c r="AX1714" s="81"/>
      <c r="AY1714" s="81"/>
      <c r="AZ1714" s="81"/>
      <c r="BA1714" s="81"/>
      <c r="BB1714" s="81"/>
    </row>
    <row r="1715" spans="1:54" x14ac:dyDescent="0.35">
      <c r="A1715" s="66" t="s">
        <v>591</v>
      </c>
      <c r="B1715" s="66" t="s">
        <v>591</v>
      </c>
      <c r="C1715" s="67"/>
      <c r="D1715" s="68"/>
      <c r="E1715" s="69"/>
      <c r="F1715" s="70"/>
      <c r="G1715" s="67"/>
      <c r="H1715" s="71"/>
      <c r="I1715" s="72"/>
      <c r="J1715" s="72"/>
      <c r="K1715" s="36"/>
      <c r="L1715" s="79"/>
      <c r="M1715" s="79"/>
      <c r="N1715" s="74"/>
      <c r="O1715" s="81" t="s">
        <v>179</v>
      </c>
      <c r="P1715" s="83">
        <v>44467.139490740738</v>
      </c>
      <c r="Q1715" s="81" t="s">
        <v>925</v>
      </c>
      <c r="R1715" s="84" t="str">
        <f>HYPERLINK("https://rakyatsulsel.co/2021/09/28/rektor-uim-pt-pos-indonesia-regional-ii-jakarta-teken-mou/")</f>
        <v>https://rakyatsulsel.co/2021/09/28/rektor-uim-pt-pos-indonesia-regional-ii-jakarta-teken-mou/</v>
      </c>
      <c r="S1715" s="81" t="s">
        <v>968</v>
      </c>
      <c r="T1715" s="81"/>
      <c r="U1715" s="81"/>
      <c r="V1715" s="84" t="str">
        <f>HYPERLINK("https://pbs.twimg.com/profile_images/468189764227588096/bPK2k9BJ_normal.jpeg")</f>
        <v>https://pbs.twimg.com/profile_images/468189764227588096/bPK2k9BJ_normal.jpeg</v>
      </c>
      <c r="W1715" s="83">
        <v>44467.139490740738</v>
      </c>
      <c r="X1715" s="89">
        <v>44467</v>
      </c>
      <c r="Y1715" s="86" t="s">
        <v>1496</v>
      </c>
      <c r="Z1715" s="84" t="str">
        <f>HYPERLINK("https://twitter.com/rakyatsulsel/status/1442690748323926017")</f>
        <v>https://twitter.com/rakyatsulsel/status/1442690748323926017</v>
      </c>
      <c r="AA1715" s="81"/>
      <c r="AB1715" s="81"/>
      <c r="AC1715" s="86" t="s">
        <v>1994</v>
      </c>
      <c r="AD1715" s="81"/>
      <c r="AE1715" s="81" t="b">
        <v>0</v>
      </c>
      <c r="AF1715" s="81">
        <v>0</v>
      </c>
      <c r="AG1715" s="86" t="s">
        <v>2084</v>
      </c>
      <c r="AH1715" s="81" t="b">
        <v>0</v>
      </c>
      <c r="AI1715" s="81" t="s">
        <v>2167</v>
      </c>
      <c r="AJ1715" s="81"/>
      <c r="AK1715" s="86" t="s">
        <v>2084</v>
      </c>
      <c r="AL1715" s="81" t="b">
        <v>0</v>
      </c>
      <c r="AM1715" s="81">
        <v>0</v>
      </c>
      <c r="AN1715" s="86" t="s">
        <v>2084</v>
      </c>
      <c r="AO1715" s="86" t="s">
        <v>2195</v>
      </c>
      <c r="AP1715" s="81" t="b">
        <v>0</v>
      </c>
      <c r="AQ1715" s="86" t="s">
        <v>1994</v>
      </c>
      <c r="AR1715" s="81" t="s">
        <v>179</v>
      </c>
      <c r="AS1715" s="81">
        <v>0</v>
      </c>
      <c r="AT1715" s="81">
        <v>0</v>
      </c>
      <c r="AU1715" s="81"/>
      <c r="AV1715" s="81"/>
      <c r="AW1715" s="81"/>
      <c r="AX1715" s="81"/>
      <c r="AY1715" s="81"/>
      <c r="AZ1715" s="81"/>
      <c r="BA1715" s="81"/>
      <c r="BB1715" s="81"/>
    </row>
    <row r="1716" spans="1:54" x14ac:dyDescent="0.35">
      <c r="A1716" s="66" t="s">
        <v>4862</v>
      </c>
      <c r="B1716" s="66" t="s">
        <v>5180</v>
      </c>
      <c r="C1716" s="67"/>
      <c r="D1716" s="68"/>
      <c r="E1716" s="69"/>
      <c r="F1716" s="70"/>
      <c r="G1716" s="67"/>
      <c r="H1716" s="71"/>
      <c r="I1716" s="72"/>
      <c r="J1716" s="72"/>
      <c r="K1716" s="36"/>
      <c r="L1716" s="79"/>
      <c r="M1716" s="79"/>
      <c r="N1716" s="74"/>
      <c r="O1716" s="81" t="s">
        <v>696</v>
      </c>
      <c r="P1716" s="83">
        <v>44467.156840277778</v>
      </c>
      <c r="Q1716" s="81" t="s">
        <v>5586</v>
      </c>
      <c r="R1716" s="81"/>
      <c r="S1716" s="81"/>
      <c r="T1716" s="81"/>
      <c r="U1716" s="81"/>
      <c r="V1716" s="84" t="str">
        <f>HYPERLINK("https://pbs.twimg.com/profile_images/1419043540261298177/L7pGhNJJ_normal.jpg")</f>
        <v>https://pbs.twimg.com/profile_images/1419043540261298177/L7pGhNJJ_normal.jpg</v>
      </c>
      <c r="W1716" s="83">
        <v>44467.156840277778</v>
      </c>
      <c r="X1716" s="89">
        <v>44467</v>
      </c>
      <c r="Y1716" s="86" t="s">
        <v>6515</v>
      </c>
      <c r="Z1716" s="84" t="str">
        <f>HYPERLINK("https://twitter.com/frontnacaobr/status/1442697035065462784")</f>
        <v>https://twitter.com/frontnacaobr/status/1442697035065462784</v>
      </c>
      <c r="AA1716" s="81"/>
      <c r="AB1716" s="81"/>
      <c r="AC1716" s="86" t="s">
        <v>7435</v>
      </c>
      <c r="AD1716" s="86" t="s">
        <v>7747</v>
      </c>
      <c r="AE1716" s="81" t="b">
        <v>0</v>
      </c>
      <c r="AF1716" s="81">
        <v>1</v>
      </c>
      <c r="AG1716" s="86" t="s">
        <v>7922</v>
      </c>
      <c r="AH1716" s="81" t="b">
        <v>0</v>
      </c>
      <c r="AI1716" s="81" t="s">
        <v>2171</v>
      </c>
      <c r="AJ1716" s="81"/>
      <c r="AK1716" s="86" t="s">
        <v>2084</v>
      </c>
      <c r="AL1716" s="81" t="b">
        <v>0</v>
      </c>
      <c r="AM1716" s="81">
        <v>0</v>
      </c>
      <c r="AN1716" s="86" t="s">
        <v>2084</v>
      </c>
      <c r="AO1716" s="86" t="s">
        <v>2181</v>
      </c>
      <c r="AP1716" s="81" t="b">
        <v>0</v>
      </c>
      <c r="AQ1716" s="86" t="s">
        <v>7747</v>
      </c>
      <c r="AR1716" s="81" t="s">
        <v>179</v>
      </c>
      <c r="AS1716" s="81">
        <v>0</v>
      </c>
      <c r="AT1716" s="81">
        <v>0</v>
      </c>
      <c r="AU1716" s="81"/>
      <c r="AV1716" s="81"/>
      <c r="AW1716" s="81"/>
      <c r="AX1716" s="81"/>
      <c r="AY1716" s="81"/>
      <c r="AZ1716" s="81"/>
      <c r="BA1716" s="81"/>
      <c r="BB1716" s="81"/>
    </row>
    <row r="1717" spans="1:54" x14ac:dyDescent="0.35">
      <c r="A1717" s="66" t="s">
        <v>4862</v>
      </c>
      <c r="B1717" s="66" t="s">
        <v>5181</v>
      </c>
      <c r="C1717" s="67"/>
      <c r="D1717" s="68"/>
      <c r="E1717" s="69"/>
      <c r="F1717" s="70"/>
      <c r="G1717" s="67"/>
      <c r="H1717" s="71"/>
      <c r="I1717" s="72"/>
      <c r="J1717" s="72"/>
      <c r="K1717" s="36"/>
      <c r="L1717" s="79"/>
      <c r="M1717" s="79"/>
      <c r="N1717" s="74"/>
      <c r="O1717" s="81" t="s">
        <v>695</v>
      </c>
      <c r="P1717" s="83">
        <v>44467.156840277778</v>
      </c>
      <c r="Q1717" s="81" t="s">
        <v>5586</v>
      </c>
      <c r="R1717" s="81"/>
      <c r="S1717" s="81"/>
      <c r="T1717" s="81"/>
      <c r="U1717" s="81"/>
      <c r="V1717" s="84" t="str">
        <f>HYPERLINK("https://pbs.twimg.com/profile_images/1419043540261298177/L7pGhNJJ_normal.jpg")</f>
        <v>https://pbs.twimg.com/profile_images/1419043540261298177/L7pGhNJJ_normal.jpg</v>
      </c>
      <c r="W1717" s="83">
        <v>44467.156840277778</v>
      </c>
      <c r="X1717" s="89">
        <v>44467</v>
      </c>
      <c r="Y1717" s="86" t="s">
        <v>6515</v>
      </c>
      <c r="Z1717" s="84" t="str">
        <f>HYPERLINK("https://twitter.com/frontnacaobr/status/1442697035065462784")</f>
        <v>https://twitter.com/frontnacaobr/status/1442697035065462784</v>
      </c>
      <c r="AA1717" s="81"/>
      <c r="AB1717" s="81"/>
      <c r="AC1717" s="86" t="s">
        <v>7435</v>
      </c>
      <c r="AD1717" s="86" t="s">
        <v>7747</v>
      </c>
      <c r="AE1717" s="81" t="b">
        <v>0</v>
      </c>
      <c r="AF1717" s="81">
        <v>1</v>
      </c>
      <c r="AG1717" s="86" t="s">
        <v>7922</v>
      </c>
      <c r="AH1717" s="81" t="b">
        <v>0</v>
      </c>
      <c r="AI1717" s="81" t="s">
        <v>2171</v>
      </c>
      <c r="AJ1717" s="81"/>
      <c r="AK1717" s="86" t="s">
        <v>2084</v>
      </c>
      <c r="AL1717" s="81" t="b">
        <v>0</v>
      </c>
      <c r="AM1717" s="81">
        <v>0</v>
      </c>
      <c r="AN1717" s="86" t="s">
        <v>2084</v>
      </c>
      <c r="AO1717" s="86" t="s">
        <v>2181</v>
      </c>
      <c r="AP1717" s="81" t="b">
        <v>0</v>
      </c>
      <c r="AQ1717" s="86" t="s">
        <v>7747</v>
      </c>
      <c r="AR1717" s="81" t="s">
        <v>179</v>
      </c>
      <c r="AS1717" s="81">
        <v>0</v>
      </c>
      <c r="AT1717" s="81">
        <v>0</v>
      </c>
      <c r="AU1717" s="81"/>
      <c r="AV1717" s="81"/>
      <c r="AW1717" s="81"/>
      <c r="AX1717" s="81"/>
      <c r="AY1717" s="81"/>
      <c r="AZ1717" s="81"/>
      <c r="BA1717" s="81"/>
      <c r="BB1717" s="81"/>
    </row>
    <row r="1718" spans="1:54" x14ac:dyDescent="0.35">
      <c r="A1718" s="66" t="s">
        <v>593</v>
      </c>
      <c r="B1718" s="66" t="s">
        <v>592</v>
      </c>
      <c r="C1718" s="67"/>
      <c r="D1718" s="68"/>
      <c r="E1718" s="69"/>
      <c r="F1718" s="70"/>
      <c r="G1718" s="67"/>
      <c r="H1718" s="71"/>
      <c r="I1718" s="72"/>
      <c r="J1718" s="72"/>
      <c r="K1718" s="36"/>
      <c r="L1718" s="79"/>
      <c r="M1718" s="79"/>
      <c r="N1718" s="74"/>
      <c r="O1718" s="81" t="s">
        <v>693</v>
      </c>
      <c r="P1718" s="83">
        <v>44459.509097222224</v>
      </c>
      <c r="Q1718" s="81" t="s">
        <v>700</v>
      </c>
      <c r="R1718" s="81"/>
      <c r="S1718" s="81"/>
      <c r="T1718" s="86" t="s">
        <v>972</v>
      </c>
      <c r="U1718" s="84" t="str">
        <f>HYPERLINK("https://pbs.twimg.com/media/E_ubZIHUYAESLiB.jpg")</f>
        <v>https://pbs.twimg.com/media/E_ubZIHUYAESLiB.jpg</v>
      </c>
      <c r="V1718" s="84" t="str">
        <f>HYPERLINK("https://pbs.twimg.com/media/E_ubZIHUYAESLiB.jpg")</f>
        <v>https://pbs.twimg.com/media/E_ubZIHUYAESLiB.jpg</v>
      </c>
      <c r="W1718" s="83">
        <v>44459.509097222224</v>
      </c>
      <c r="X1718" s="89">
        <v>44459</v>
      </c>
      <c r="Y1718" s="86" t="s">
        <v>1501</v>
      </c>
      <c r="Z1718" s="84" t="str">
        <f>HYPERLINK("https://twitter.com/shiningstar0606/status/1439925584449007626")</f>
        <v>https://twitter.com/shiningstar0606/status/1439925584449007626</v>
      </c>
      <c r="AA1718" s="81"/>
      <c r="AB1718" s="81"/>
      <c r="AC1718" s="86" t="s">
        <v>1999</v>
      </c>
      <c r="AD1718" s="81"/>
      <c r="AE1718" s="81" t="b">
        <v>0</v>
      </c>
      <c r="AF1718" s="81">
        <v>0</v>
      </c>
      <c r="AG1718" s="86" t="s">
        <v>2084</v>
      </c>
      <c r="AH1718" s="81" t="b">
        <v>0</v>
      </c>
      <c r="AI1718" s="81" t="s">
        <v>2168</v>
      </c>
      <c r="AJ1718" s="81"/>
      <c r="AK1718" s="86" t="s">
        <v>2084</v>
      </c>
      <c r="AL1718" s="81" t="b">
        <v>0</v>
      </c>
      <c r="AM1718" s="81">
        <v>27</v>
      </c>
      <c r="AN1718" s="86" t="s">
        <v>1995</v>
      </c>
      <c r="AO1718" s="86" t="s">
        <v>2178</v>
      </c>
      <c r="AP1718" s="81" t="b">
        <v>0</v>
      </c>
      <c r="AQ1718" s="86" t="s">
        <v>1995</v>
      </c>
      <c r="AR1718" s="81" t="s">
        <v>179</v>
      </c>
      <c r="AS1718" s="81">
        <v>0</v>
      </c>
      <c r="AT1718" s="81">
        <v>0</v>
      </c>
      <c r="AU1718" s="81"/>
      <c r="AV1718" s="81"/>
      <c r="AW1718" s="81"/>
      <c r="AX1718" s="81"/>
      <c r="AY1718" s="81"/>
      <c r="AZ1718" s="81"/>
      <c r="BA1718" s="81"/>
      <c r="BB1718" s="81"/>
    </row>
    <row r="1719" spans="1:54" x14ac:dyDescent="0.35">
      <c r="A1719" s="66" t="s">
        <v>593</v>
      </c>
      <c r="B1719" s="66" t="s">
        <v>592</v>
      </c>
      <c r="C1719" s="67"/>
      <c r="D1719" s="68"/>
      <c r="E1719" s="69"/>
      <c r="F1719" s="70"/>
      <c r="G1719" s="67"/>
      <c r="H1719" s="71"/>
      <c r="I1719" s="72"/>
      <c r="J1719" s="72"/>
      <c r="K1719" s="36"/>
      <c r="L1719" s="79"/>
      <c r="M1719" s="79"/>
      <c r="N1719" s="74"/>
      <c r="O1719" s="81" t="s">
        <v>693</v>
      </c>
      <c r="P1719" s="83">
        <v>44463.114351851851</v>
      </c>
      <c r="Q1719" s="81" t="s">
        <v>741</v>
      </c>
      <c r="R1719" s="81"/>
      <c r="S1719" s="81"/>
      <c r="T1719" s="86" t="s">
        <v>972</v>
      </c>
      <c r="U1719" s="84" t="str">
        <f>HYPERLINK("https://pbs.twimg.com/media/E_38CFLVkAAf4fL.jpg")</f>
        <v>https://pbs.twimg.com/media/E_38CFLVkAAf4fL.jpg</v>
      </c>
      <c r="V1719" s="84" t="str">
        <f>HYPERLINK("https://pbs.twimg.com/media/E_38CFLVkAAf4fL.jpg")</f>
        <v>https://pbs.twimg.com/media/E_38CFLVkAAf4fL.jpg</v>
      </c>
      <c r="W1719" s="83">
        <v>44463.114351851851</v>
      </c>
      <c r="X1719" s="89">
        <v>44463</v>
      </c>
      <c r="Y1719" s="86" t="s">
        <v>1502</v>
      </c>
      <c r="Z1719" s="84" t="str">
        <f>HYPERLINK("https://twitter.com/shiningstar0606/status/1441232086908555266")</f>
        <v>https://twitter.com/shiningstar0606/status/1441232086908555266</v>
      </c>
      <c r="AA1719" s="81"/>
      <c r="AB1719" s="81"/>
      <c r="AC1719" s="86" t="s">
        <v>2000</v>
      </c>
      <c r="AD1719" s="81"/>
      <c r="AE1719" s="81" t="b">
        <v>0</v>
      </c>
      <c r="AF1719" s="81">
        <v>0</v>
      </c>
      <c r="AG1719" s="86" t="s">
        <v>2084</v>
      </c>
      <c r="AH1719" s="81" t="b">
        <v>0</v>
      </c>
      <c r="AI1719" s="81" t="s">
        <v>2168</v>
      </c>
      <c r="AJ1719" s="81"/>
      <c r="AK1719" s="86" t="s">
        <v>2084</v>
      </c>
      <c r="AL1719" s="81" t="b">
        <v>0</v>
      </c>
      <c r="AM1719" s="81">
        <v>25</v>
      </c>
      <c r="AN1719" s="86" t="s">
        <v>1996</v>
      </c>
      <c r="AO1719" s="86" t="s">
        <v>2178</v>
      </c>
      <c r="AP1719" s="81" t="b">
        <v>0</v>
      </c>
      <c r="AQ1719" s="86" t="s">
        <v>1996</v>
      </c>
      <c r="AR1719" s="81" t="s">
        <v>179</v>
      </c>
      <c r="AS1719" s="81">
        <v>0</v>
      </c>
      <c r="AT1719" s="81">
        <v>0</v>
      </c>
      <c r="AU1719" s="81"/>
      <c r="AV1719" s="81"/>
      <c r="AW1719" s="81"/>
      <c r="AX1719" s="81"/>
      <c r="AY1719" s="81"/>
      <c r="AZ1719" s="81"/>
      <c r="BA1719" s="81"/>
      <c r="BB1719" s="81"/>
    </row>
    <row r="1720" spans="1:54" x14ac:dyDescent="0.35">
      <c r="A1720" s="66" t="s">
        <v>593</v>
      </c>
      <c r="B1720" s="66" t="s">
        <v>592</v>
      </c>
      <c r="C1720" s="67"/>
      <c r="D1720" s="68"/>
      <c r="E1720" s="69"/>
      <c r="F1720" s="70"/>
      <c r="G1720" s="67"/>
      <c r="H1720" s="71"/>
      <c r="I1720" s="72"/>
      <c r="J1720" s="72"/>
      <c r="K1720" s="36"/>
      <c r="L1720" s="79"/>
      <c r="M1720" s="79"/>
      <c r="N1720" s="74"/>
      <c r="O1720" s="81" t="s">
        <v>693</v>
      </c>
      <c r="P1720" s="83">
        <v>44466.532106481478</v>
      </c>
      <c r="Q1720" s="81" t="s">
        <v>868</v>
      </c>
      <c r="R1720" s="81"/>
      <c r="S1720" s="81"/>
      <c r="T1720" s="86" t="s">
        <v>972</v>
      </c>
      <c r="U1720" s="84" t="str">
        <f>HYPERLINK("https://pbs.twimg.com/media/FARq0TBVUAYl272.jpg")</f>
        <v>https://pbs.twimg.com/media/FARq0TBVUAYl272.jpg</v>
      </c>
      <c r="V1720" s="84" t="str">
        <f>HYPERLINK("https://pbs.twimg.com/media/FARq0TBVUAYl272.jpg")</f>
        <v>https://pbs.twimg.com/media/FARq0TBVUAYl272.jpg</v>
      </c>
      <c r="W1720" s="83">
        <v>44466.532106481478</v>
      </c>
      <c r="X1720" s="89">
        <v>44466</v>
      </c>
      <c r="Y1720" s="86" t="s">
        <v>1503</v>
      </c>
      <c r="Z1720" s="84" t="str">
        <f>HYPERLINK("https://twitter.com/shiningstar0606/status/1442470636404629507")</f>
        <v>https://twitter.com/shiningstar0606/status/1442470636404629507</v>
      </c>
      <c r="AA1720" s="81"/>
      <c r="AB1720" s="81"/>
      <c r="AC1720" s="86" t="s">
        <v>2001</v>
      </c>
      <c r="AD1720" s="81"/>
      <c r="AE1720" s="81" t="b">
        <v>0</v>
      </c>
      <c r="AF1720" s="81">
        <v>0</v>
      </c>
      <c r="AG1720" s="86" t="s">
        <v>2084</v>
      </c>
      <c r="AH1720" s="81" t="b">
        <v>0</v>
      </c>
      <c r="AI1720" s="81" t="s">
        <v>2168</v>
      </c>
      <c r="AJ1720" s="81"/>
      <c r="AK1720" s="86" t="s">
        <v>2084</v>
      </c>
      <c r="AL1720" s="81" t="b">
        <v>0</v>
      </c>
      <c r="AM1720" s="81">
        <v>9</v>
      </c>
      <c r="AN1720" s="86" t="s">
        <v>1997</v>
      </c>
      <c r="AO1720" s="86" t="s">
        <v>2178</v>
      </c>
      <c r="AP1720" s="81" t="b">
        <v>0</v>
      </c>
      <c r="AQ1720" s="86" t="s">
        <v>1997</v>
      </c>
      <c r="AR1720" s="81" t="s">
        <v>179</v>
      </c>
      <c r="AS1720" s="81">
        <v>0</v>
      </c>
      <c r="AT1720" s="81">
        <v>0</v>
      </c>
      <c r="AU1720" s="81"/>
      <c r="AV1720" s="81"/>
      <c r="AW1720" s="81"/>
      <c r="AX1720" s="81"/>
      <c r="AY1720" s="81"/>
      <c r="AZ1720" s="81"/>
      <c r="BA1720" s="81"/>
      <c r="BB1720" s="81"/>
    </row>
    <row r="1721" spans="1:54" x14ac:dyDescent="0.35">
      <c r="A1721" s="66" t="s">
        <v>593</v>
      </c>
      <c r="B1721" s="66" t="s">
        <v>592</v>
      </c>
      <c r="C1721" s="67"/>
      <c r="D1721" s="68"/>
      <c r="E1721" s="69"/>
      <c r="F1721" s="70"/>
      <c r="G1721" s="67"/>
      <c r="H1721" s="71"/>
      <c r="I1721" s="72"/>
      <c r="J1721" s="72"/>
      <c r="K1721" s="36"/>
      <c r="L1721" s="79"/>
      <c r="M1721" s="79"/>
      <c r="N1721" s="74"/>
      <c r="O1721" s="81" t="s">
        <v>693</v>
      </c>
      <c r="P1721" s="83">
        <v>44467.162986111114</v>
      </c>
      <c r="Q1721" s="81" t="s">
        <v>889</v>
      </c>
      <c r="R1721" s="81"/>
      <c r="S1721" s="81"/>
      <c r="T1721" s="86" t="s">
        <v>972</v>
      </c>
      <c r="U1721" s="84" t="str">
        <f>HYPERLINK("https://pbs.twimg.com/media/FATDiHHVEAIdbWq.jpg")</f>
        <v>https://pbs.twimg.com/media/FATDiHHVEAIdbWq.jpg</v>
      </c>
      <c r="V1721" s="84" t="str">
        <f>HYPERLINK("https://pbs.twimg.com/media/FATDiHHVEAIdbWq.jpg")</f>
        <v>https://pbs.twimg.com/media/FATDiHHVEAIdbWq.jpg</v>
      </c>
      <c r="W1721" s="83">
        <v>44467.162986111114</v>
      </c>
      <c r="X1721" s="89">
        <v>44467</v>
      </c>
      <c r="Y1721" s="86" t="s">
        <v>1504</v>
      </c>
      <c r="Z1721" s="84" t="str">
        <f>HYPERLINK("https://twitter.com/shiningstar0606/status/1442699261825601543")</f>
        <v>https://twitter.com/shiningstar0606/status/1442699261825601543</v>
      </c>
      <c r="AA1721" s="81"/>
      <c r="AB1721" s="81"/>
      <c r="AC1721" s="86" t="s">
        <v>2002</v>
      </c>
      <c r="AD1721" s="81"/>
      <c r="AE1721" s="81" t="b">
        <v>0</v>
      </c>
      <c r="AF1721" s="81">
        <v>0</v>
      </c>
      <c r="AG1721" s="86" t="s">
        <v>2084</v>
      </c>
      <c r="AH1721" s="81" t="b">
        <v>0</v>
      </c>
      <c r="AI1721" s="81" t="s">
        <v>2168</v>
      </c>
      <c r="AJ1721" s="81"/>
      <c r="AK1721" s="86" t="s">
        <v>2084</v>
      </c>
      <c r="AL1721" s="81" t="b">
        <v>0</v>
      </c>
      <c r="AM1721" s="81">
        <v>3</v>
      </c>
      <c r="AN1721" s="86" t="s">
        <v>1998</v>
      </c>
      <c r="AO1721" s="86" t="s">
        <v>2178</v>
      </c>
      <c r="AP1721" s="81" t="b">
        <v>0</v>
      </c>
      <c r="AQ1721" s="86" t="s">
        <v>1998</v>
      </c>
      <c r="AR1721" s="81" t="s">
        <v>179</v>
      </c>
      <c r="AS1721" s="81">
        <v>0</v>
      </c>
      <c r="AT1721" s="81">
        <v>0</v>
      </c>
      <c r="AU1721" s="81"/>
      <c r="AV1721" s="81"/>
      <c r="AW1721" s="81"/>
      <c r="AX1721" s="81"/>
      <c r="AY1721" s="81"/>
      <c r="AZ1721" s="81"/>
      <c r="BA1721" s="81"/>
      <c r="BB1721" s="81"/>
    </row>
    <row r="1722" spans="1:54" x14ac:dyDescent="0.35">
      <c r="A1722" s="66" t="s">
        <v>4863</v>
      </c>
      <c r="B1722" s="66" t="s">
        <v>5182</v>
      </c>
      <c r="C1722" s="67"/>
      <c r="D1722" s="68"/>
      <c r="E1722" s="69"/>
      <c r="F1722" s="70"/>
      <c r="G1722" s="67"/>
      <c r="H1722" s="71"/>
      <c r="I1722" s="72"/>
      <c r="J1722" s="72"/>
      <c r="K1722" s="36"/>
      <c r="L1722" s="79"/>
      <c r="M1722" s="79"/>
      <c r="N1722" s="74"/>
      <c r="O1722" s="81" t="s">
        <v>695</v>
      </c>
      <c r="P1722" s="83">
        <v>44467.171122685184</v>
      </c>
      <c r="Q1722" s="81" t="s">
        <v>5587</v>
      </c>
      <c r="R1722" s="81"/>
      <c r="S1722" s="81"/>
      <c r="T1722" s="81"/>
      <c r="U1722" s="81"/>
      <c r="V1722" s="84" t="str">
        <f>HYPERLINK("https://pbs.twimg.com/profile_images/1428616072190697473/3s8Eg7WK_normal.jpg")</f>
        <v>https://pbs.twimg.com/profile_images/1428616072190697473/3s8Eg7WK_normal.jpg</v>
      </c>
      <c r="W1722" s="83">
        <v>44467.171122685184</v>
      </c>
      <c r="X1722" s="89">
        <v>44467</v>
      </c>
      <c r="Y1722" s="86" t="s">
        <v>6516</v>
      </c>
      <c r="Z1722" s="84" t="str">
        <f>HYPERLINK("https://twitter.com/luiiss7am/status/1442702209376993280")</f>
        <v>https://twitter.com/luiiss7am/status/1442702209376993280</v>
      </c>
      <c r="AA1722" s="81"/>
      <c r="AB1722" s="81"/>
      <c r="AC1722" s="86" t="s">
        <v>7436</v>
      </c>
      <c r="AD1722" s="86" t="s">
        <v>7748</v>
      </c>
      <c r="AE1722" s="81" t="b">
        <v>0</v>
      </c>
      <c r="AF1722" s="81">
        <v>0</v>
      </c>
      <c r="AG1722" s="86" t="s">
        <v>7923</v>
      </c>
      <c r="AH1722" s="81" t="b">
        <v>0</v>
      </c>
      <c r="AI1722" s="81" t="s">
        <v>2171</v>
      </c>
      <c r="AJ1722" s="81"/>
      <c r="AK1722" s="86" t="s">
        <v>2084</v>
      </c>
      <c r="AL1722" s="81" t="b">
        <v>0</v>
      </c>
      <c r="AM1722" s="81">
        <v>0</v>
      </c>
      <c r="AN1722" s="86" t="s">
        <v>2084</v>
      </c>
      <c r="AO1722" s="86" t="s">
        <v>2178</v>
      </c>
      <c r="AP1722" s="81" t="b">
        <v>0</v>
      </c>
      <c r="AQ1722" s="86" t="s">
        <v>7748</v>
      </c>
      <c r="AR1722" s="81" t="s">
        <v>179</v>
      </c>
      <c r="AS1722" s="81">
        <v>0</v>
      </c>
      <c r="AT1722" s="81">
        <v>0</v>
      </c>
      <c r="AU1722" s="81"/>
      <c r="AV1722" s="81"/>
      <c r="AW1722" s="81"/>
      <c r="AX1722" s="81"/>
      <c r="AY1722" s="81"/>
      <c r="AZ1722" s="81"/>
      <c r="BA1722" s="81"/>
      <c r="BB1722" s="81"/>
    </row>
    <row r="1723" spans="1:54" x14ac:dyDescent="0.35">
      <c r="A1723" s="66" t="s">
        <v>594</v>
      </c>
      <c r="B1723" s="66" t="s">
        <v>594</v>
      </c>
      <c r="C1723" s="67"/>
      <c r="D1723" s="68"/>
      <c r="E1723" s="69"/>
      <c r="F1723" s="70"/>
      <c r="G1723" s="67"/>
      <c r="H1723" s="71"/>
      <c r="I1723" s="72"/>
      <c r="J1723" s="72"/>
      <c r="K1723" s="36"/>
      <c r="L1723" s="79"/>
      <c r="M1723" s="79"/>
      <c r="N1723" s="74"/>
      <c r="O1723" s="81" t="s">
        <v>179</v>
      </c>
      <c r="P1723" s="83">
        <v>44467.176296296297</v>
      </c>
      <c r="Q1723" s="81" t="s">
        <v>926</v>
      </c>
      <c r="R1723" s="81"/>
      <c r="S1723" s="81"/>
      <c r="T1723" s="81"/>
      <c r="U1723" s="81"/>
      <c r="V1723" s="84" t="str">
        <f>HYPERLINK("https://pbs.twimg.com/profile_images/1439426635787169793/xfnYFplD_normal.jpg")</f>
        <v>https://pbs.twimg.com/profile_images/1439426635787169793/xfnYFplD_normal.jpg</v>
      </c>
      <c r="W1723" s="83">
        <v>44467.176296296297</v>
      </c>
      <c r="X1723" s="89">
        <v>44467</v>
      </c>
      <c r="Y1723" s="86" t="s">
        <v>1505</v>
      </c>
      <c r="Z1723" s="84" t="str">
        <f>HYPERLINK("https://twitter.com/je_ariff/status/1442704083954008072")</f>
        <v>https://twitter.com/je_ariff/status/1442704083954008072</v>
      </c>
      <c r="AA1723" s="81"/>
      <c r="AB1723" s="81"/>
      <c r="AC1723" s="86" t="s">
        <v>2003</v>
      </c>
      <c r="AD1723" s="81"/>
      <c r="AE1723" s="81" t="b">
        <v>0</v>
      </c>
      <c r="AF1723" s="81">
        <v>0</v>
      </c>
      <c r="AG1723" s="86" t="s">
        <v>2084</v>
      </c>
      <c r="AH1723" s="81" t="b">
        <v>0</v>
      </c>
      <c r="AI1723" s="81" t="s">
        <v>2167</v>
      </c>
      <c r="AJ1723" s="81"/>
      <c r="AK1723" s="86" t="s">
        <v>2084</v>
      </c>
      <c r="AL1723" s="81" t="b">
        <v>0</v>
      </c>
      <c r="AM1723" s="81">
        <v>0</v>
      </c>
      <c r="AN1723" s="86" t="s">
        <v>2084</v>
      </c>
      <c r="AO1723" s="86" t="s">
        <v>2178</v>
      </c>
      <c r="AP1723" s="81" t="b">
        <v>0</v>
      </c>
      <c r="AQ1723" s="86" t="s">
        <v>2003</v>
      </c>
      <c r="AR1723" s="81" t="s">
        <v>179</v>
      </c>
      <c r="AS1723" s="81">
        <v>0</v>
      </c>
      <c r="AT1723" s="81">
        <v>0</v>
      </c>
      <c r="AU1723" s="81"/>
      <c r="AV1723" s="81"/>
      <c r="AW1723" s="81"/>
      <c r="AX1723" s="81"/>
      <c r="AY1723" s="81"/>
      <c r="AZ1723" s="81"/>
      <c r="BA1723" s="81"/>
      <c r="BB1723" s="81"/>
    </row>
    <row r="1724" spans="1:54" x14ac:dyDescent="0.35">
      <c r="A1724" s="66" t="s">
        <v>597</v>
      </c>
      <c r="B1724" s="66" t="s">
        <v>596</v>
      </c>
      <c r="C1724" s="67"/>
      <c r="D1724" s="68"/>
      <c r="E1724" s="69"/>
      <c r="F1724" s="70"/>
      <c r="G1724" s="67"/>
      <c r="H1724" s="71"/>
      <c r="I1724" s="72"/>
      <c r="J1724" s="72"/>
      <c r="K1724" s="36"/>
      <c r="L1724" s="79"/>
      <c r="M1724" s="79"/>
      <c r="N1724" s="74"/>
      <c r="O1724" s="81" t="s">
        <v>693</v>
      </c>
      <c r="P1724" s="83">
        <v>44467.183888888889</v>
      </c>
      <c r="Q1724" s="81" t="s">
        <v>701</v>
      </c>
      <c r="R1724" s="84" t="str">
        <f>HYPERLINK("https://api.whatsapp.com/send?phone=6281222353823")</f>
        <v>https://api.whatsapp.com/send?phone=6281222353823</v>
      </c>
      <c r="S1724" s="81" t="s">
        <v>940</v>
      </c>
      <c r="T1724" s="81"/>
      <c r="U1724" s="84" t="str">
        <f>HYPERLINK("https://pbs.twimg.com/media/E_P_XMQWYAUXeaR.jpg")</f>
        <v>https://pbs.twimg.com/media/E_P_XMQWYAUXeaR.jpg</v>
      </c>
      <c r="V1724" s="84" t="str">
        <f>HYPERLINK("https://pbs.twimg.com/media/E_P_XMQWYAUXeaR.jpg")</f>
        <v>https://pbs.twimg.com/media/E_P_XMQWYAUXeaR.jpg</v>
      </c>
      <c r="W1724" s="83">
        <v>44467.183888888889</v>
      </c>
      <c r="X1724" s="89">
        <v>44467</v>
      </c>
      <c r="Y1724" s="86" t="s">
        <v>1508</v>
      </c>
      <c r="Z1724" s="84" t="str">
        <f>HYPERLINK("https://twitter.com/_gita05/status/1442706834113003520")</f>
        <v>https://twitter.com/_gita05/status/1442706834113003520</v>
      </c>
      <c r="AA1724" s="81"/>
      <c r="AB1724" s="81"/>
      <c r="AC1724" s="86" t="s">
        <v>2006</v>
      </c>
      <c r="AD1724" s="81"/>
      <c r="AE1724" s="81" t="b">
        <v>0</v>
      </c>
      <c r="AF1724" s="81">
        <v>0</v>
      </c>
      <c r="AG1724" s="86" t="s">
        <v>2084</v>
      </c>
      <c r="AH1724" s="81" t="b">
        <v>0</v>
      </c>
      <c r="AI1724" s="81" t="s">
        <v>2167</v>
      </c>
      <c r="AJ1724" s="81"/>
      <c r="AK1724" s="86" t="s">
        <v>2084</v>
      </c>
      <c r="AL1724" s="81" t="b">
        <v>0</v>
      </c>
      <c r="AM1724" s="81">
        <v>51</v>
      </c>
      <c r="AN1724" s="86" t="s">
        <v>2005</v>
      </c>
      <c r="AO1724" s="86" t="s">
        <v>2178</v>
      </c>
      <c r="AP1724" s="81" t="b">
        <v>0</v>
      </c>
      <c r="AQ1724" s="86" t="s">
        <v>2005</v>
      </c>
      <c r="AR1724" s="81" t="s">
        <v>179</v>
      </c>
      <c r="AS1724" s="81">
        <v>0</v>
      </c>
      <c r="AT1724" s="81">
        <v>0</v>
      </c>
      <c r="AU1724" s="81"/>
      <c r="AV1724" s="81"/>
      <c r="AW1724" s="81"/>
      <c r="AX1724" s="81"/>
      <c r="AY1724" s="81"/>
      <c r="AZ1724" s="81"/>
      <c r="BA1724" s="81"/>
      <c r="BB1724" s="81"/>
    </row>
    <row r="1725" spans="1:54" x14ac:dyDescent="0.35">
      <c r="A1725" s="66" t="s">
        <v>598</v>
      </c>
      <c r="B1725" s="66" t="s">
        <v>598</v>
      </c>
      <c r="C1725" s="67"/>
      <c r="D1725" s="68"/>
      <c r="E1725" s="69"/>
      <c r="F1725" s="70"/>
      <c r="G1725" s="67"/>
      <c r="H1725" s="71"/>
      <c r="I1725" s="72"/>
      <c r="J1725" s="72"/>
      <c r="K1725" s="36"/>
      <c r="L1725" s="79"/>
      <c r="M1725" s="79"/>
      <c r="N1725" s="74"/>
      <c r="O1725" s="81" t="s">
        <v>179</v>
      </c>
      <c r="P1725" s="83">
        <v>44467.189745370371</v>
      </c>
      <c r="Q1725" s="81" t="s">
        <v>928</v>
      </c>
      <c r="R1725" s="84" t="str">
        <f>HYPERLINK("https://nahawepesansan.blogspot.com/2021/09/kurang-3-hari-lagi-info-loker-pt-pos.html")</f>
        <v>https://nahawepesansan.blogspot.com/2021/09/kurang-3-hari-lagi-info-loker-pt-pos.html</v>
      </c>
      <c r="S1725" s="81" t="s">
        <v>969</v>
      </c>
      <c r="T1725" s="81"/>
      <c r="U1725" s="81"/>
      <c r="V1725" s="84" t="str">
        <f>HYPERLINK("https://pbs.twimg.com/profile_images/1418986516622233602/vqTbWnjn_normal.jpg")</f>
        <v>https://pbs.twimg.com/profile_images/1418986516622233602/vqTbWnjn_normal.jpg</v>
      </c>
      <c r="W1725" s="83">
        <v>44467.189745370371</v>
      </c>
      <c r="X1725" s="89">
        <v>44467</v>
      </c>
      <c r="Y1725" s="86" t="s">
        <v>1509</v>
      </c>
      <c r="Z1725" s="84" t="str">
        <f>HYPERLINK("https://twitter.com/ummunaha/status/1442708959001931780")</f>
        <v>https://twitter.com/ummunaha/status/1442708959001931780</v>
      </c>
      <c r="AA1725" s="81"/>
      <c r="AB1725" s="81"/>
      <c r="AC1725" s="86" t="s">
        <v>2007</v>
      </c>
      <c r="AD1725" s="81"/>
      <c r="AE1725" s="81" t="b">
        <v>0</v>
      </c>
      <c r="AF1725" s="81">
        <v>0</v>
      </c>
      <c r="AG1725" s="86" t="s">
        <v>2084</v>
      </c>
      <c r="AH1725" s="81" t="b">
        <v>0</v>
      </c>
      <c r="AI1725" s="81" t="s">
        <v>2167</v>
      </c>
      <c r="AJ1725" s="81"/>
      <c r="AK1725" s="86" t="s">
        <v>2084</v>
      </c>
      <c r="AL1725" s="81" t="b">
        <v>0</v>
      </c>
      <c r="AM1725" s="81">
        <v>0</v>
      </c>
      <c r="AN1725" s="86" t="s">
        <v>2084</v>
      </c>
      <c r="AO1725" s="86" t="s">
        <v>2181</v>
      </c>
      <c r="AP1725" s="81" t="b">
        <v>0</v>
      </c>
      <c r="AQ1725" s="86" t="s">
        <v>2007</v>
      </c>
      <c r="AR1725" s="81" t="s">
        <v>179</v>
      </c>
      <c r="AS1725" s="81">
        <v>0</v>
      </c>
      <c r="AT1725" s="81">
        <v>0</v>
      </c>
      <c r="AU1725" s="81"/>
      <c r="AV1725" s="81"/>
      <c r="AW1725" s="81"/>
      <c r="AX1725" s="81"/>
      <c r="AY1725" s="81"/>
      <c r="AZ1725" s="81"/>
      <c r="BA1725" s="81"/>
      <c r="BB1725" s="81"/>
    </row>
    <row r="1726" spans="1:54" x14ac:dyDescent="0.35">
      <c r="A1726" s="66" t="s">
        <v>600</v>
      </c>
      <c r="B1726" s="66" t="s">
        <v>600</v>
      </c>
      <c r="C1726" s="67"/>
      <c r="D1726" s="68"/>
      <c r="E1726" s="69"/>
      <c r="F1726" s="70"/>
      <c r="G1726" s="67"/>
      <c r="H1726" s="71"/>
      <c r="I1726" s="72"/>
      <c r="J1726" s="72"/>
      <c r="K1726" s="36"/>
      <c r="L1726" s="79"/>
      <c r="M1726" s="79"/>
      <c r="N1726" s="74"/>
      <c r="O1726" s="81" t="s">
        <v>179</v>
      </c>
      <c r="P1726" s="83">
        <v>44467.220150462963</v>
      </c>
      <c r="Q1726" s="81" t="s">
        <v>929</v>
      </c>
      <c r="R1726" s="81"/>
      <c r="S1726" s="81"/>
      <c r="T1726" s="81"/>
      <c r="U1726" s="81"/>
      <c r="V1726" s="84" t="str">
        <f>HYPERLINK("https://pbs.twimg.com/profile_images/1442886223953993738/Q1JKjKHJ_normal.jpg")</f>
        <v>https://pbs.twimg.com/profile_images/1442886223953993738/Q1JKjKHJ_normal.jpg</v>
      </c>
      <c r="W1726" s="83">
        <v>44467.220150462963</v>
      </c>
      <c r="X1726" s="89">
        <v>44467</v>
      </c>
      <c r="Y1726" s="86" t="s">
        <v>1514</v>
      </c>
      <c r="Z1726" s="84" t="str">
        <f>HYPERLINK("https://twitter.com/peuniels/status/1442719974951251972")</f>
        <v>https://twitter.com/peuniels/status/1442719974951251972</v>
      </c>
      <c r="AA1726" s="81"/>
      <c r="AB1726" s="81"/>
      <c r="AC1726" s="86" t="s">
        <v>2008</v>
      </c>
      <c r="AD1726" s="81"/>
      <c r="AE1726" s="81" t="b">
        <v>0</v>
      </c>
      <c r="AF1726" s="81">
        <v>0</v>
      </c>
      <c r="AG1726" s="86" t="s">
        <v>2084</v>
      </c>
      <c r="AH1726" s="81" t="b">
        <v>0</v>
      </c>
      <c r="AI1726" s="81" t="s">
        <v>2167</v>
      </c>
      <c r="AJ1726" s="81"/>
      <c r="AK1726" s="86" t="s">
        <v>2084</v>
      </c>
      <c r="AL1726" s="81" t="b">
        <v>0</v>
      </c>
      <c r="AM1726" s="81">
        <v>0</v>
      </c>
      <c r="AN1726" s="86" t="s">
        <v>2084</v>
      </c>
      <c r="AO1726" s="86" t="s">
        <v>2178</v>
      </c>
      <c r="AP1726" s="81" t="b">
        <v>0</v>
      </c>
      <c r="AQ1726" s="86" t="s">
        <v>2008</v>
      </c>
      <c r="AR1726" s="81" t="s">
        <v>179</v>
      </c>
      <c r="AS1726" s="81">
        <v>0</v>
      </c>
      <c r="AT1726" s="81">
        <v>0</v>
      </c>
      <c r="AU1726" s="81"/>
      <c r="AV1726" s="81"/>
      <c r="AW1726" s="81"/>
      <c r="AX1726" s="81"/>
      <c r="AY1726" s="81"/>
      <c r="AZ1726" s="81"/>
      <c r="BA1726" s="81"/>
      <c r="BB1726" s="81"/>
    </row>
    <row r="1727" spans="1:54" x14ac:dyDescent="0.35">
      <c r="A1727" s="66" t="s">
        <v>601</v>
      </c>
      <c r="B1727" s="66" t="s">
        <v>601</v>
      </c>
      <c r="C1727" s="67"/>
      <c r="D1727" s="68"/>
      <c r="E1727" s="69"/>
      <c r="F1727" s="70"/>
      <c r="G1727" s="67"/>
      <c r="H1727" s="71"/>
      <c r="I1727" s="72"/>
      <c r="J1727" s="72"/>
      <c r="K1727" s="36"/>
      <c r="L1727" s="79"/>
      <c r="M1727" s="79"/>
      <c r="N1727" s="74"/>
      <c r="O1727" s="81" t="s">
        <v>179</v>
      </c>
      <c r="P1727" s="83">
        <v>44467.225543981483</v>
      </c>
      <c r="Q1727" s="81" t="s">
        <v>930</v>
      </c>
      <c r="R1727" s="84" t="str">
        <f>HYPERLINK("http://berita-sulsel.com/2021/09/28/rektor-uim-teken-mou-pt-pos-indonesia-regional-ii-jakarta/")</f>
        <v>http://berita-sulsel.com/2021/09/28/rektor-uim-teken-mou-pt-pos-indonesia-regional-ii-jakarta/</v>
      </c>
      <c r="S1727" s="81" t="s">
        <v>970</v>
      </c>
      <c r="T1727" s="81"/>
      <c r="U1727" s="84" t="str">
        <f>HYPERLINK("https://pbs.twimg.com/media/FAWT8vkUYAIl4Bx.jpg")</f>
        <v>https://pbs.twimg.com/media/FAWT8vkUYAIl4Bx.jpg</v>
      </c>
      <c r="V1727" s="84" t="str">
        <f>HYPERLINK("https://pbs.twimg.com/media/FAWT8vkUYAIl4Bx.jpg")</f>
        <v>https://pbs.twimg.com/media/FAWT8vkUYAIl4Bx.jpg</v>
      </c>
      <c r="W1727" s="83">
        <v>44467.225543981483</v>
      </c>
      <c r="X1727" s="89">
        <v>44467</v>
      </c>
      <c r="Y1727" s="86" t="s">
        <v>1515</v>
      </c>
      <c r="Z1727" s="84" t="str">
        <f>HYPERLINK("https://twitter.com/beritasulselcom/status/1442721929224278018")</f>
        <v>https://twitter.com/beritasulselcom/status/1442721929224278018</v>
      </c>
      <c r="AA1727" s="81"/>
      <c r="AB1727" s="81"/>
      <c r="AC1727" s="86" t="s">
        <v>2009</v>
      </c>
      <c r="AD1727" s="81"/>
      <c r="AE1727" s="81" t="b">
        <v>0</v>
      </c>
      <c r="AF1727" s="81">
        <v>0</v>
      </c>
      <c r="AG1727" s="86" t="s">
        <v>2084</v>
      </c>
      <c r="AH1727" s="81" t="b">
        <v>0</v>
      </c>
      <c r="AI1727" s="81" t="s">
        <v>2167</v>
      </c>
      <c r="AJ1727" s="81"/>
      <c r="AK1727" s="86" t="s">
        <v>2084</v>
      </c>
      <c r="AL1727" s="81" t="b">
        <v>0</v>
      </c>
      <c r="AM1727" s="81">
        <v>0</v>
      </c>
      <c r="AN1727" s="86" t="s">
        <v>2084</v>
      </c>
      <c r="AO1727" s="86" t="s">
        <v>2198</v>
      </c>
      <c r="AP1727" s="81" t="b">
        <v>0</v>
      </c>
      <c r="AQ1727" s="86" t="s">
        <v>2009</v>
      </c>
      <c r="AR1727" s="81" t="s">
        <v>179</v>
      </c>
      <c r="AS1727" s="81">
        <v>0</v>
      </c>
      <c r="AT1727" s="81">
        <v>0</v>
      </c>
      <c r="AU1727" s="81"/>
      <c r="AV1727" s="81"/>
      <c r="AW1727" s="81"/>
      <c r="AX1727" s="81"/>
      <c r="AY1727" s="81"/>
      <c r="AZ1727" s="81"/>
      <c r="BA1727" s="81"/>
      <c r="BB1727" s="81"/>
    </row>
    <row r="1728" spans="1:54" x14ac:dyDescent="0.35">
      <c r="A1728" s="66" t="s">
        <v>4864</v>
      </c>
      <c r="B1728" s="66" t="s">
        <v>4963</v>
      </c>
      <c r="C1728" s="67"/>
      <c r="D1728" s="68"/>
      <c r="E1728" s="69"/>
      <c r="F1728" s="70"/>
      <c r="G1728" s="67"/>
      <c r="H1728" s="71"/>
      <c r="I1728" s="72"/>
      <c r="J1728" s="72"/>
      <c r="K1728" s="36"/>
      <c r="L1728" s="79"/>
      <c r="M1728" s="79"/>
      <c r="N1728" s="74"/>
      <c r="O1728" s="81" t="s">
        <v>693</v>
      </c>
      <c r="P1728" s="83">
        <v>44467.265983796293</v>
      </c>
      <c r="Q1728" s="81" t="s">
        <v>5577</v>
      </c>
      <c r="R1728" s="81"/>
      <c r="S1728" s="81"/>
      <c r="T1728" s="81"/>
      <c r="U1728" s="81"/>
      <c r="V1728" s="84" t="str">
        <f>HYPERLINK("https://pbs.twimg.com/profile_images/1413364393128206336/JNcr_mpK_normal.jpg")</f>
        <v>https://pbs.twimg.com/profile_images/1413364393128206336/JNcr_mpK_normal.jpg</v>
      </c>
      <c r="W1728" s="83">
        <v>44467.265983796293</v>
      </c>
      <c r="X1728" s="89">
        <v>44467</v>
      </c>
      <c r="Y1728" s="86" t="s">
        <v>6517</v>
      </c>
      <c r="Z1728" s="84" t="str">
        <f>HYPERLINK("https://twitter.com/ana_paularochas/status/1442736587465445377")</f>
        <v>https://twitter.com/ana_paularochas/status/1442736587465445377</v>
      </c>
      <c r="AA1728" s="81"/>
      <c r="AB1728" s="81"/>
      <c r="AC1728" s="86" t="s">
        <v>7437</v>
      </c>
      <c r="AD1728" s="81"/>
      <c r="AE1728" s="81" t="b">
        <v>0</v>
      </c>
      <c r="AF1728" s="81">
        <v>0</v>
      </c>
      <c r="AG1728" s="86" t="s">
        <v>2084</v>
      </c>
      <c r="AH1728" s="81" t="b">
        <v>0</v>
      </c>
      <c r="AI1728" s="81" t="s">
        <v>2171</v>
      </c>
      <c r="AJ1728" s="81"/>
      <c r="AK1728" s="86" t="s">
        <v>2084</v>
      </c>
      <c r="AL1728" s="81" t="b">
        <v>0</v>
      </c>
      <c r="AM1728" s="81">
        <v>3</v>
      </c>
      <c r="AN1728" s="86" t="s">
        <v>7589</v>
      </c>
      <c r="AO1728" s="86" t="s">
        <v>2178</v>
      </c>
      <c r="AP1728" s="81" t="b">
        <v>0</v>
      </c>
      <c r="AQ1728" s="86" t="s">
        <v>7589</v>
      </c>
      <c r="AR1728" s="81" t="s">
        <v>179</v>
      </c>
      <c r="AS1728" s="81">
        <v>0</v>
      </c>
      <c r="AT1728" s="81">
        <v>0</v>
      </c>
      <c r="AU1728" s="81"/>
      <c r="AV1728" s="81"/>
      <c r="AW1728" s="81"/>
      <c r="AX1728" s="81"/>
      <c r="AY1728" s="81"/>
      <c r="AZ1728" s="81"/>
      <c r="BA1728" s="81"/>
      <c r="BB1728" s="81"/>
    </row>
    <row r="1729" spans="1:54" x14ac:dyDescent="0.35">
      <c r="A1729" s="66" t="s">
        <v>4864</v>
      </c>
      <c r="B1729" s="66" t="s">
        <v>5171</v>
      </c>
      <c r="C1729" s="67"/>
      <c r="D1729" s="68"/>
      <c r="E1729" s="69"/>
      <c r="F1729" s="70"/>
      <c r="G1729" s="67"/>
      <c r="H1729" s="71"/>
      <c r="I1729" s="72"/>
      <c r="J1729" s="72"/>
      <c r="K1729" s="36"/>
      <c r="L1729" s="79"/>
      <c r="M1729" s="79"/>
      <c r="N1729" s="74"/>
      <c r="O1729" s="81" t="s">
        <v>695</v>
      </c>
      <c r="P1729" s="83">
        <v>44467.265983796293</v>
      </c>
      <c r="Q1729" s="81" t="s">
        <v>5577</v>
      </c>
      <c r="R1729" s="81"/>
      <c r="S1729" s="81"/>
      <c r="T1729" s="81"/>
      <c r="U1729" s="81"/>
      <c r="V1729" s="84" t="str">
        <f>HYPERLINK("https://pbs.twimg.com/profile_images/1413364393128206336/JNcr_mpK_normal.jpg")</f>
        <v>https://pbs.twimg.com/profile_images/1413364393128206336/JNcr_mpK_normal.jpg</v>
      </c>
      <c r="W1729" s="83">
        <v>44467.265983796293</v>
      </c>
      <c r="X1729" s="89">
        <v>44467</v>
      </c>
      <c r="Y1729" s="86" t="s">
        <v>6517</v>
      </c>
      <c r="Z1729" s="84" t="str">
        <f>HYPERLINK("https://twitter.com/ana_paularochas/status/1442736587465445377")</f>
        <v>https://twitter.com/ana_paularochas/status/1442736587465445377</v>
      </c>
      <c r="AA1729" s="81"/>
      <c r="AB1729" s="81"/>
      <c r="AC1729" s="86" t="s">
        <v>7437</v>
      </c>
      <c r="AD1729" s="81"/>
      <c r="AE1729" s="81" t="b">
        <v>0</v>
      </c>
      <c r="AF1729" s="81">
        <v>0</v>
      </c>
      <c r="AG1729" s="86" t="s">
        <v>2084</v>
      </c>
      <c r="AH1729" s="81" t="b">
        <v>0</v>
      </c>
      <c r="AI1729" s="81" t="s">
        <v>2171</v>
      </c>
      <c r="AJ1729" s="81"/>
      <c r="AK1729" s="86" t="s">
        <v>2084</v>
      </c>
      <c r="AL1729" s="81" t="b">
        <v>0</v>
      </c>
      <c r="AM1729" s="81">
        <v>3</v>
      </c>
      <c r="AN1729" s="86" t="s">
        <v>7589</v>
      </c>
      <c r="AO1729" s="86" t="s">
        <v>2178</v>
      </c>
      <c r="AP1729" s="81" t="b">
        <v>0</v>
      </c>
      <c r="AQ1729" s="86" t="s">
        <v>7589</v>
      </c>
      <c r="AR1729" s="81" t="s">
        <v>179</v>
      </c>
      <c r="AS1729" s="81">
        <v>0</v>
      </c>
      <c r="AT1729" s="81">
        <v>0</v>
      </c>
      <c r="AU1729" s="81"/>
      <c r="AV1729" s="81"/>
      <c r="AW1729" s="81"/>
      <c r="AX1729" s="81"/>
      <c r="AY1729" s="81"/>
      <c r="AZ1729" s="81"/>
      <c r="BA1729" s="81"/>
      <c r="BB1729" s="81"/>
    </row>
    <row r="1730" spans="1:54" x14ac:dyDescent="0.35">
      <c r="A1730" s="66" t="s">
        <v>4865</v>
      </c>
      <c r="B1730" s="66" t="s">
        <v>4865</v>
      </c>
      <c r="C1730" s="67"/>
      <c r="D1730" s="68"/>
      <c r="E1730" s="69"/>
      <c r="F1730" s="70"/>
      <c r="G1730" s="67"/>
      <c r="H1730" s="71"/>
      <c r="I1730" s="72"/>
      <c r="J1730" s="72"/>
      <c r="K1730" s="36"/>
      <c r="L1730" s="79"/>
      <c r="M1730" s="79"/>
      <c r="N1730" s="74"/>
      <c r="O1730" s="81" t="s">
        <v>179</v>
      </c>
      <c r="P1730" s="83">
        <v>44467.269872685189</v>
      </c>
      <c r="Q1730" s="81" t="s">
        <v>5588</v>
      </c>
      <c r="R1730" s="84" t="str">
        <f>HYPERLINK("https://www.futebol365.pt/artigo/268230-forum-do-bce-debate-hoje-o-futuro-pos-pandemia-da-politica-monetaria/?utm_source=dlvr.it&amp;utm_medium=twitter&amp;utm_campaign=Noticias")</f>
        <v>https://www.futebol365.pt/artigo/268230-forum-do-bce-debate-hoje-o-futuro-pos-pandemia-da-politica-monetaria/?utm_source=dlvr.it&amp;utm_medium=twitter&amp;utm_campaign=Noticias</v>
      </c>
      <c r="S1730" s="81" t="s">
        <v>5748</v>
      </c>
      <c r="T1730" s="81"/>
      <c r="U1730" s="84" t="str">
        <f>HYPERLINK("https://pbs.twimg.com/media/FAWij3-UcAUq4RW.jpg")</f>
        <v>https://pbs.twimg.com/media/FAWij3-UcAUq4RW.jpg</v>
      </c>
      <c r="V1730" s="84" t="str">
        <f>HYPERLINK("https://pbs.twimg.com/media/FAWij3-UcAUq4RW.jpg")</f>
        <v>https://pbs.twimg.com/media/FAWij3-UcAUq4RW.jpg</v>
      </c>
      <c r="W1730" s="83">
        <v>44467.269872685189</v>
      </c>
      <c r="X1730" s="89">
        <v>44467</v>
      </c>
      <c r="Y1730" s="86" t="s">
        <v>6518</v>
      </c>
      <c r="Z1730" s="84" t="str">
        <f>HYPERLINK("https://twitter.com/futebol365/status/1442737994322964481")</f>
        <v>https://twitter.com/futebol365/status/1442737994322964481</v>
      </c>
      <c r="AA1730" s="81"/>
      <c r="AB1730" s="81"/>
      <c r="AC1730" s="86" t="s">
        <v>7438</v>
      </c>
      <c r="AD1730" s="81"/>
      <c r="AE1730" s="81" t="b">
        <v>0</v>
      </c>
      <c r="AF1730" s="81">
        <v>0</v>
      </c>
      <c r="AG1730" s="86" t="s">
        <v>2084</v>
      </c>
      <c r="AH1730" s="81" t="b">
        <v>0</v>
      </c>
      <c r="AI1730" s="81" t="s">
        <v>2171</v>
      </c>
      <c r="AJ1730" s="81"/>
      <c r="AK1730" s="86" t="s">
        <v>2084</v>
      </c>
      <c r="AL1730" s="81" t="b">
        <v>0</v>
      </c>
      <c r="AM1730" s="81">
        <v>0</v>
      </c>
      <c r="AN1730" s="86" t="s">
        <v>2084</v>
      </c>
      <c r="AO1730" s="86" t="s">
        <v>2188</v>
      </c>
      <c r="AP1730" s="81" t="b">
        <v>0</v>
      </c>
      <c r="AQ1730" s="86" t="s">
        <v>7438</v>
      </c>
      <c r="AR1730" s="81" t="s">
        <v>179</v>
      </c>
      <c r="AS1730" s="81">
        <v>0</v>
      </c>
      <c r="AT1730" s="81">
        <v>0</v>
      </c>
      <c r="AU1730" s="81"/>
      <c r="AV1730" s="81"/>
      <c r="AW1730" s="81"/>
      <c r="AX1730" s="81"/>
      <c r="AY1730" s="81"/>
      <c r="AZ1730" s="81"/>
      <c r="BA1730" s="81"/>
      <c r="BB1730" s="81"/>
    </row>
    <row r="1731" spans="1:54" x14ac:dyDescent="0.35">
      <c r="A1731" s="66" t="s">
        <v>4866</v>
      </c>
      <c r="B1731" s="66" t="s">
        <v>4866</v>
      </c>
      <c r="C1731" s="67"/>
      <c r="D1731" s="68"/>
      <c r="E1731" s="69"/>
      <c r="F1731" s="70"/>
      <c r="G1731" s="67"/>
      <c r="H1731" s="71"/>
      <c r="I1731" s="72"/>
      <c r="J1731" s="72"/>
      <c r="K1731" s="36"/>
      <c r="L1731" s="79"/>
      <c r="M1731" s="79"/>
      <c r="N1731" s="74"/>
      <c r="O1731" s="81" t="s">
        <v>179</v>
      </c>
      <c r="P1731" s="83">
        <v>44467.276608796295</v>
      </c>
      <c r="Q1731" s="81" t="s">
        <v>5589</v>
      </c>
      <c r="R1731" s="81"/>
      <c r="S1731" s="81"/>
      <c r="T1731" s="81"/>
      <c r="U1731" s="81"/>
      <c r="V1731" s="84" t="str">
        <f>HYPERLINK("https://pbs.twimg.com/profile_images/1442368856064856064/dTuPHlqv_normal.jpg")</f>
        <v>https://pbs.twimg.com/profile_images/1442368856064856064/dTuPHlqv_normal.jpg</v>
      </c>
      <c r="W1731" s="83">
        <v>44467.276608796295</v>
      </c>
      <c r="X1731" s="89">
        <v>44467</v>
      </c>
      <c r="Y1731" s="86" t="s">
        <v>6519</v>
      </c>
      <c r="Z1731" s="84" t="str">
        <f>HYPERLINK("https://twitter.com/nxyraa/status/1442740434883600386")</f>
        <v>https://twitter.com/nxyraa/status/1442740434883600386</v>
      </c>
      <c r="AA1731" s="81"/>
      <c r="AB1731" s="81"/>
      <c r="AC1731" s="86" t="s">
        <v>7439</v>
      </c>
      <c r="AD1731" s="81"/>
      <c r="AE1731" s="81" t="b">
        <v>0</v>
      </c>
      <c r="AF1731" s="81">
        <v>0</v>
      </c>
      <c r="AG1731" s="86" t="s">
        <v>2084</v>
      </c>
      <c r="AH1731" s="81" t="b">
        <v>0</v>
      </c>
      <c r="AI1731" s="81" t="s">
        <v>2167</v>
      </c>
      <c r="AJ1731" s="81"/>
      <c r="AK1731" s="86" t="s">
        <v>2084</v>
      </c>
      <c r="AL1731" s="81" t="b">
        <v>0</v>
      </c>
      <c r="AM1731" s="81">
        <v>0</v>
      </c>
      <c r="AN1731" s="86" t="s">
        <v>2084</v>
      </c>
      <c r="AO1731" s="86" t="s">
        <v>2178</v>
      </c>
      <c r="AP1731" s="81" t="b">
        <v>0</v>
      </c>
      <c r="AQ1731" s="86" t="s">
        <v>7439</v>
      </c>
      <c r="AR1731" s="81" t="s">
        <v>179</v>
      </c>
      <c r="AS1731" s="81">
        <v>0</v>
      </c>
      <c r="AT1731" s="81">
        <v>0</v>
      </c>
      <c r="AU1731" s="81"/>
      <c r="AV1731" s="81"/>
      <c r="AW1731" s="81"/>
      <c r="AX1731" s="81"/>
      <c r="AY1731" s="81"/>
      <c r="AZ1731" s="81"/>
      <c r="BA1731" s="81"/>
      <c r="BB1731" s="81"/>
    </row>
    <row r="1732" spans="1:54" x14ac:dyDescent="0.35">
      <c r="A1732" s="66" t="s">
        <v>4867</v>
      </c>
      <c r="B1732" s="66" t="s">
        <v>589</v>
      </c>
      <c r="C1732" s="67"/>
      <c r="D1732" s="68"/>
      <c r="E1732" s="69"/>
      <c r="F1732" s="70"/>
      <c r="G1732" s="67"/>
      <c r="H1732" s="71"/>
      <c r="I1732" s="72"/>
      <c r="J1732" s="72"/>
      <c r="K1732" s="36"/>
      <c r="L1732" s="79"/>
      <c r="M1732" s="79"/>
      <c r="N1732" s="74"/>
      <c r="O1732" s="81" t="s">
        <v>693</v>
      </c>
      <c r="P1732" s="83">
        <v>44467.276805555557</v>
      </c>
      <c r="Q1732" s="81" t="s">
        <v>5590</v>
      </c>
      <c r="R1732" s="81"/>
      <c r="S1732" s="81"/>
      <c r="T1732" s="86" t="s">
        <v>1008</v>
      </c>
      <c r="U1732" s="84" t="str">
        <f>HYPERLINK("https://pbs.twimg.com/media/E_Q5CyNVIAYHiOu.jpg")</f>
        <v>https://pbs.twimg.com/media/E_Q5CyNVIAYHiOu.jpg</v>
      </c>
      <c r="V1732" s="84" t="str">
        <f>HYPERLINK("https://pbs.twimg.com/media/E_Q5CyNVIAYHiOu.jpg")</f>
        <v>https://pbs.twimg.com/media/E_Q5CyNVIAYHiOu.jpg</v>
      </c>
      <c r="W1732" s="83">
        <v>44467.276805555557</v>
      </c>
      <c r="X1732" s="89">
        <v>44467</v>
      </c>
      <c r="Y1732" s="86" t="s">
        <v>6520</v>
      </c>
      <c r="Z1732" s="84" t="str">
        <f>HYPERLINK("https://twitter.com/jwjb_7/status/1442740508808265733")</f>
        <v>https://twitter.com/jwjb_7/status/1442740508808265733</v>
      </c>
      <c r="AA1732" s="81"/>
      <c r="AB1732" s="81"/>
      <c r="AC1732" s="86" t="s">
        <v>7440</v>
      </c>
      <c r="AD1732" s="81"/>
      <c r="AE1732" s="81" t="b">
        <v>0</v>
      </c>
      <c r="AF1732" s="81">
        <v>0</v>
      </c>
      <c r="AG1732" s="86" t="s">
        <v>2084</v>
      </c>
      <c r="AH1732" s="81" t="b">
        <v>0</v>
      </c>
      <c r="AI1732" s="81" t="s">
        <v>2168</v>
      </c>
      <c r="AJ1732" s="81"/>
      <c r="AK1732" s="86" t="s">
        <v>2084</v>
      </c>
      <c r="AL1732" s="81" t="b">
        <v>0</v>
      </c>
      <c r="AM1732" s="81">
        <v>3</v>
      </c>
      <c r="AN1732" s="86" t="s">
        <v>7609</v>
      </c>
      <c r="AO1732" s="86" t="s">
        <v>2178</v>
      </c>
      <c r="AP1732" s="81" t="b">
        <v>0</v>
      </c>
      <c r="AQ1732" s="86" t="s">
        <v>7609</v>
      </c>
      <c r="AR1732" s="81" t="s">
        <v>179</v>
      </c>
      <c r="AS1732" s="81">
        <v>0</v>
      </c>
      <c r="AT1732" s="81">
        <v>0</v>
      </c>
      <c r="AU1732" s="81"/>
      <c r="AV1732" s="81"/>
      <c r="AW1732" s="81"/>
      <c r="AX1732" s="81"/>
      <c r="AY1732" s="81"/>
      <c r="AZ1732" s="81"/>
      <c r="BA1732" s="81"/>
      <c r="BB1732" s="81"/>
    </row>
    <row r="1733" spans="1:54" x14ac:dyDescent="0.35">
      <c r="A1733" s="66" t="s">
        <v>4868</v>
      </c>
      <c r="B1733" s="66" t="s">
        <v>5183</v>
      </c>
      <c r="C1733" s="67"/>
      <c r="D1733" s="68"/>
      <c r="E1733" s="69"/>
      <c r="F1733" s="70"/>
      <c r="G1733" s="67"/>
      <c r="H1733" s="71"/>
      <c r="I1733" s="72"/>
      <c r="J1733" s="72"/>
      <c r="K1733" s="36"/>
      <c r="L1733" s="79"/>
      <c r="M1733" s="79"/>
      <c r="N1733" s="74"/>
      <c r="O1733" s="81" t="s">
        <v>695</v>
      </c>
      <c r="P1733" s="83">
        <v>44467.279085648152</v>
      </c>
      <c r="Q1733" s="81" t="s">
        <v>5591</v>
      </c>
      <c r="R1733" s="81"/>
      <c r="S1733" s="81"/>
      <c r="T1733" s="81"/>
      <c r="U1733" s="81"/>
      <c r="V1733" s="84" t="str">
        <f>HYPERLINK("https://pbs.twimg.com/profile_images/1022170576717209600/xEYsZ-OC_normal.jpg")</f>
        <v>https://pbs.twimg.com/profile_images/1022170576717209600/xEYsZ-OC_normal.jpg</v>
      </c>
      <c r="W1733" s="83">
        <v>44467.279085648152</v>
      </c>
      <c r="X1733" s="89">
        <v>44467</v>
      </c>
      <c r="Y1733" s="86" t="s">
        <v>6521</v>
      </c>
      <c r="Z1733" s="84" t="str">
        <f>HYPERLINK("https://twitter.com/nolenscuba/status/1442741332708143107")</f>
        <v>https://twitter.com/nolenscuba/status/1442741332708143107</v>
      </c>
      <c r="AA1733" s="81"/>
      <c r="AB1733" s="81"/>
      <c r="AC1733" s="86" t="s">
        <v>7441</v>
      </c>
      <c r="AD1733" s="86" t="s">
        <v>7749</v>
      </c>
      <c r="AE1733" s="81" t="b">
        <v>0</v>
      </c>
      <c r="AF1733" s="81">
        <v>2</v>
      </c>
      <c r="AG1733" s="86" t="s">
        <v>7924</v>
      </c>
      <c r="AH1733" s="81" t="b">
        <v>0</v>
      </c>
      <c r="AI1733" s="81" t="s">
        <v>2168</v>
      </c>
      <c r="AJ1733" s="81"/>
      <c r="AK1733" s="86" t="s">
        <v>2084</v>
      </c>
      <c r="AL1733" s="81" t="b">
        <v>0</v>
      </c>
      <c r="AM1733" s="81">
        <v>0</v>
      </c>
      <c r="AN1733" s="86" t="s">
        <v>2084</v>
      </c>
      <c r="AO1733" s="86" t="s">
        <v>2181</v>
      </c>
      <c r="AP1733" s="81" t="b">
        <v>0</v>
      </c>
      <c r="AQ1733" s="86" t="s">
        <v>7749</v>
      </c>
      <c r="AR1733" s="81" t="s">
        <v>179</v>
      </c>
      <c r="AS1733" s="81">
        <v>0</v>
      </c>
      <c r="AT1733" s="81">
        <v>0</v>
      </c>
      <c r="AU1733" s="81"/>
      <c r="AV1733" s="81"/>
      <c r="AW1733" s="81"/>
      <c r="AX1733" s="81"/>
      <c r="AY1733" s="81"/>
      <c r="AZ1733" s="81"/>
      <c r="BA1733" s="81"/>
      <c r="BB1733" s="81"/>
    </row>
    <row r="1734" spans="1:54" x14ac:dyDescent="0.35">
      <c r="A1734" s="66" t="s">
        <v>4869</v>
      </c>
      <c r="B1734" s="66" t="s">
        <v>4869</v>
      </c>
      <c r="C1734" s="67"/>
      <c r="D1734" s="68"/>
      <c r="E1734" s="69"/>
      <c r="F1734" s="70"/>
      <c r="G1734" s="67"/>
      <c r="H1734" s="71"/>
      <c r="I1734" s="72"/>
      <c r="J1734" s="72"/>
      <c r="K1734" s="36"/>
      <c r="L1734" s="79"/>
      <c r="M1734" s="79"/>
      <c r="N1734" s="74"/>
      <c r="O1734" s="81" t="s">
        <v>179</v>
      </c>
      <c r="P1734" s="83">
        <v>44467.280740740738</v>
      </c>
      <c r="Q1734" s="81" t="s">
        <v>5592</v>
      </c>
      <c r="R1734" s="81"/>
      <c r="S1734" s="81"/>
      <c r="T1734" s="81"/>
      <c r="U1734" s="81"/>
      <c r="V1734" s="84" t="str">
        <f>HYPERLINK("https://pbs.twimg.com/profile_images/1314844114974777344/JX5Z22xt_normal.png")</f>
        <v>https://pbs.twimg.com/profile_images/1314844114974777344/JX5Z22xt_normal.png</v>
      </c>
      <c r="W1734" s="83">
        <v>44467.280740740738</v>
      </c>
      <c r="X1734" s="89">
        <v>44467</v>
      </c>
      <c r="Y1734" s="86" t="s">
        <v>6522</v>
      </c>
      <c r="Z1734" s="84" t="str">
        <f>HYPERLINK("https://twitter.com/karirfess/status/1442741933500080128")</f>
        <v>https://twitter.com/karirfess/status/1442741933500080128</v>
      </c>
      <c r="AA1734" s="81"/>
      <c r="AB1734" s="81"/>
      <c r="AC1734" s="86" t="s">
        <v>7442</v>
      </c>
      <c r="AD1734" s="81"/>
      <c r="AE1734" s="81" t="b">
        <v>0</v>
      </c>
      <c r="AF1734" s="81">
        <v>0</v>
      </c>
      <c r="AG1734" s="86" t="s">
        <v>2084</v>
      </c>
      <c r="AH1734" s="81" t="b">
        <v>0</v>
      </c>
      <c r="AI1734" s="81" t="s">
        <v>2167</v>
      </c>
      <c r="AJ1734" s="81"/>
      <c r="AK1734" s="86" t="s">
        <v>2084</v>
      </c>
      <c r="AL1734" s="81" t="b">
        <v>0</v>
      </c>
      <c r="AM1734" s="81">
        <v>0</v>
      </c>
      <c r="AN1734" s="86" t="s">
        <v>2084</v>
      </c>
      <c r="AO1734" s="86" t="s">
        <v>4869</v>
      </c>
      <c r="AP1734" s="81" t="b">
        <v>0</v>
      </c>
      <c r="AQ1734" s="86" t="s">
        <v>7442</v>
      </c>
      <c r="AR1734" s="81" t="s">
        <v>179</v>
      </c>
      <c r="AS1734" s="81">
        <v>0</v>
      </c>
      <c r="AT1734" s="81">
        <v>0</v>
      </c>
      <c r="AU1734" s="81"/>
      <c r="AV1734" s="81"/>
      <c r="AW1734" s="81"/>
      <c r="AX1734" s="81"/>
      <c r="AY1734" s="81"/>
      <c r="AZ1734" s="81"/>
      <c r="BA1734" s="81"/>
      <c r="BB1734" s="81"/>
    </row>
    <row r="1735" spans="1:54" x14ac:dyDescent="0.35">
      <c r="A1735" s="66" t="s">
        <v>4870</v>
      </c>
      <c r="B1735" s="66" t="s">
        <v>4870</v>
      </c>
      <c r="C1735" s="67"/>
      <c r="D1735" s="68"/>
      <c r="E1735" s="69"/>
      <c r="F1735" s="70"/>
      <c r="G1735" s="67"/>
      <c r="H1735" s="71"/>
      <c r="I1735" s="72"/>
      <c r="J1735" s="72"/>
      <c r="K1735" s="36"/>
      <c r="L1735" s="79"/>
      <c r="M1735" s="79"/>
      <c r="N1735" s="74"/>
      <c r="O1735" s="81" t="s">
        <v>179</v>
      </c>
      <c r="P1735" s="83">
        <v>44463.281851851854</v>
      </c>
      <c r="Q1735" s="81" t="s">
        <v>5409</v>
      </c>
      <c r="R1735" s="84" t="str">
        <f>HYPERLINK("https://expresso.pt/eleicoes/autarquicas-2021/2021-09-24-Costa-pos-as-fichas-do-futuro-na-campanha-d1363c42")</f>
        <v>https://expresso.pt/eleicoes/autarquicas-2021/2021-09-24-Costa-pos-as-fichas-do-futuro-na-campanha-d1363c42</v>
      </c>
      <c r="S1735" s="81" t="s">
        <v>5721</v>
      </c>
      <c r="T1735" s="81"/>
      <c r="U1735" s="81"/>
      <c r="V1735" s="84" t="str">
        <f>HYPERLINK("https://pbs.twimg.com/profile_images/1408367175291781123/YDDEo1Fp_normal.jpg")</f>
        <v>https://pbs.twimg.com/profile_images/1408367175291781123/YDDEo1Fp_normal.jpg</v>
      </c>
      <c r="W1735" s="83">
        <v>44463.281851851854</v>
      </c>
      <c r="X1735" s="89">
        <v>44463</v>
      </c>
      <c r="Y1735" s="86" t="s">
        <v>6523</v>
      </c>
      <c r="Z1735" s="84" t="str">
        <f>HYPERLINK("https://twitter.com/expresso/status/1441292786741878792")</f>
        <v>https://twitter.com/expresso/status/1441292786741878792</v>
      </c>
      <c r="AA1735" s="81"/>
      <c r="AB1735" s="81"/>
      <c r="AC1735" s="86" t="s">
        <v>7443</v>
      </c>
      <c r="AD1735" s="81"/>
      <c r="AE1735" s="81" t="b">
        <v>0</v>
      </c>
      <c r="AF1735" s="81">
        <v>1</v>
      </c>
      <c r="AG1735" s="86" t="s">
        <v>2084</v>
      </c>
      <c r="AH1735" s="81" t="b">
        <v>0</v>
      </c>
      <c r="AI1735" s="81" t="s">
        <v>2171</v>
      </c>
      <c r="AJ1735" s="81"/>
      <c r="AK1735" s="86" t="s">
        <v>2084</v>
      </c>
      <c r="AL1735" s="81" t="b">
        <v>0</v>
      </c>
      <c r="AM1735" s="81">
        <v>1</v>
      </c>
      <c r="AN1735" s="86" t="s">
        <v>2084</v>
      </c>
      <c r="AO1735" s="86" t="s">
        <v>7976</v>
      </c>
      <c r="AP1735" s="81" t="b">
        <v>0</v>
      </c>
      <c r="AQ1735" s="86" t="s">
        <v>7443</v>
      </c>
      <c r="AR1735" s="81" t="s">
        <v>179</v>
      </c>
      <c r="AS1735" s="81">
        <v>0</v>
      </c>
      <c r="AT1735" s="81">
        <v>0</v>
      </c>
      <c r="AU1735" s="81"/>
      <c r="AV1735" s="81"/>
      <c r="AW1735" s="81"/>
      <c r="AX1735" s="81"/>
      <c r="AY1735" s="81"/>
      <c r="AZ1735" s="81"/>
      <c r="BA1735" s="81"/>
      <c r="BB1735" s="81"/>
    </row>
    <row r="1736" spans="1:54" x14ac:dyDescent="0.35">
      <c r="A1736" s="66" t="s">
        <v>4870</v>
      </c>
      <c r="B1736" s="66" t="s">
        <v>4870</v>
      </c>
      <c r="C1736" s="67"/>
      <c r="D1736" s="68"/>
      <c r="E1736" s="69"/>
      <c r="F1736" s="70"/>
      <c r="G1736" s="67"/>
      <c r="H1736" s="71"/>
      <c r="I1736" s="72"/>
      <c r="J1736" s="72"/>
      <c r="K1736" s="36"/>
      <c r="L1736" s="79"/>
      <c r="M1736" s="79"/>
      <c r="N1736" s="74"/>
      <c r="O1736" s="81" t="s">
        <v>179</v>
      </c>
      <c r="P1736" s="83">
        <v>44463.420497685183</v>
      </c>
      <c r="Q1736" s="81" t="s">
        <v>5412</v>
      </c>
      <c r="R1736" s="84" t="str">
        <f>HYPERLINK("https://expresso.pt/sociedade/2021-09-24-Sete-tendencias-no-pos-pandemia-restaurantes-vao-ser-mais-digitais-e-focados-nos-detalhes-comida-para-fora-e-esplanadas-vieram-para-ficar-df338160")</f>
        <v>https://expresso.pt/sociedade/2021-09-24-Sete-tendencias-no-pos-pandemia-restaurantes-vao-ser-mais-digitais-e-focados-nos-detalhes-comida-para-fora-e-esplanadas-vieram-para-ficar-df338160</v>
      </c>
      <c r="S1736" s="81" t="s">
        <v>5721</v>
      </c>
      <c r="T1736" s="81"/>
      <c r="U1736" s="81"/>
      <c r="V1736" s="84" t="str">
        <f>HYPERLINK("https://pbs.twimg.com/profile_images/1408367175291781123/YDDEo1Fp_normal.jpg")</f>
        <v>https://pbs.twimg.com/profile_images/1408367175291781123/YDDEo1Fp_normal.jpg</v>
      </c>
      <c r="W1736" s="83">
        <v>44463.420497685183</v>
      </c>
      <c r="X1736" s="89">
        <v>44463</v>
      </c>
      <c r="Y1736" s="86" t="s">
        <v>6524</v>
      </c>
      <c r="Z1736" s="84" t="str">
        <f>HYPERLINK("https://twitter.com/expresso/status/1441343029558714376")</f>
        <v>https://twitter.com/expresso/status/1441343029558714376</v>
      </c>
      <c r="AA1736" s="81"/>
      <c r="AB1736" s="81"/>
      <c r="AC1736" s="86" t="s">
        <v>7444</v>
      </c>
      <c r="AD1736" s="81"/>
      <c r="AE1736" s="81" t="b">
        <v>0</v>
      </c>
      <c r="AF1736" s="81">
        <v>2</v>
      </c>
      <c r="AG1736" s="86" t="s">
        <v>2084</v>
      </c>
      <c r="AH1736" s="81" t="b">
        <v>0</v>
      </c>
      <c r="AI1736" s="81" t="s">
        <v>2171</v>
      </c>
      <c r="AJ1736" s="81"/>
      <c r="AK1736" s="86" t="s">
        <v>2084</v>
      </c>
      <c r="AL1736" s="81" t="b">
        <v>0</v>
      </c>
      <c r="AM1736" s="81">
        <v>1</v>
      </c>
      <c r="AN1736" s="86" t="s">
        <v>2084</v>
      </c>
      <c r="AO1736" s="86" t="s">
        <v>7976</v>
      </c>
      <c r="AP1736" s="81" t="b">
        <v>0</v>
      </c>
      <c r="AQ1736" s="86" t="s">
        <v>7444</v>
      </c>
      <c r="AR1736" s="81" t="s">
        <v>179</v>
      </c>
      <c r="AS1736" s="81">
        <v>0</v>
      </c>
      <c r="AT1736" s="81">
        <v>0</v>
      </c>
      <c r="AU1736" s="81"/>
      <c r="AV1736" s="81"/>
      <c r="AW1736" s="81"/>
      <c r="AX1736" s="81"/>
      <c r="AY1736" s="81"/>
      <c r="AZ1736" s="81"/>
      <c r="BA1736" s="81"/>
      <c r="BB1736" s="81"/>
    </row>
    <row r="1737" spans="1:54" x14ac:dyDescent="0.35">
      <c r="A1737" s="66" t="s">
        <v>4870</v>
      </c>
      <c r="B1737" s="66" t="s">
        <v>4870</v>
      </c>
      <c r="C1737" s="67"/>
      <c r="D1737" s="68"/>
      <c r="E1737" s="69"/>
      <c r="F1737" s="70"/>
      <c r="G1737" s="67"/>
      <c r="H1737" s="71"/>
      <c r="I1737" s="72"/>
      <c r="J1737" s="72"/>
      <c r="K1737" s="36"/>
      <c r="L1737" s="79"/>
      <c r="M1737" s="79"/>
      <c r="N1737" s="74"/>
      <c r="O1737" s="81" t="s">
        <v>179</v>
      </c>
      <c r="P1737" s="83">
        <v>44464.476041666669</v>
      </c>
      <c r="Q1737" s="81" t="s">
        <v>5593</v>
      </c>
      <c r="R1737" s="84" t="str">
        <f>HYPERLINK("https://expresso.pt/economia/2021-09-25-Forum-do-BCE-debate-online-o-futuro-pos-pandemia-da-politica-monetaria-f56390c3")</f>
        <v>https://expresso.pt/economia/2021-09-25-Forum-do-BCE-debate-online-o-futuro-pos-pandemia-da-politica-monetaria-f56390c3</v>
      </c>
      <c r="S1737" s="81" t="s">
        <v>5721</v>
      </c>
      <c r="T1737" s="81"/>
      <c r="U1737" s="81"/>
      <c r="V1737" s="84" t="str">
        <f>HYPERLINK("https://pbs.twimg.com/profile_images/1408367175291781123/YDDEo1Fp_normal.jpg")</f>
        <v>https://pbs.twimg.com/profile_images/1408367175291781123/YDDEo1Fp_normal.jpg</v>
      </c>
      <c r="W1737" s="83">
        <v>44464.476041666669</v>
      </c>
      <c r="X1737" s="89">
        <v>44464</v>
      </c>
      <c r="Y1737" s="86" t="s">
        <v>6525</v>
      </c>
      <c r="Z1737" s="84" t="str">
        <f>HYPERLINK("https://twitter.com/expresso/status/1441725544479936519")</f>
        <v>https://twitter.com/expresso/status/1441725544479936519</v>
      </c>
      <c r="AA1737" s="81"/>
      <c r="AB1737" s="81"/>
      <c r="AC1737" s="86" t="s">
        <v>7445</v>
      </c>
      <c r="AD1737" s="81"/>
      <c r="AE1737" s="81" t="b">
        <v>0</v>
      </c>
      <c r="AF1737" s="81">
        <v>0</v>
      </c>
      <c r="AG1737" s="86" t="s">
        <v>2084</v>
      </c>
      <c r="AH1737" s="81" t="b">
        <v>0</v>
      </c>
      <c r="AI1737" s="81" t="s">
        <v>2171</v>
      </c>
      <c r="AJ1737" s="81"/>
      <c r="AK1737" s="86" t="s">
        <v>2084</v>
      </c>
      <c r="AL1737" s="81" t="b">
        <v>0</v>
      </c>
      <c r="AM1737" s="81">
        <v>0</v>
      </c>
      <c r="AN1737" s="86" t="s">
        <v>2084</v>
      </c>
      <c r="AO1737" s="86" t="s">
        <v>7976</v>
      </c>
      <c r="AP1737" s="81" t="b">
        <v>0</v>
      </c>
      <c r="AQ1737" s="86" t="s">
        <v>7445</v>
      </c>
      <c r="AR1737" s="81" t="s">
        <v>179</v>
      </c>
      <c r="AS1737" s="81">
        <v>0</v>
      </c>
      <c r="AT1737" s="81">
        <v>0</v>
      </c>
      <c r="AU1737" s="81"/>
      <c r="AV1737" s="81"/>
      <c r="AW1737" s="81"/>
      <c r="AX1737" s="81"/>
      <c r="AY1737" s="81"/>
      <c r="AZ1737" s="81"/>
      <c r="BA1737" s="81"/>
      <c r="BB1737" s="81"/>
    </row>
    <row r="1738" spans="1:54" x14ac:dyDescent="0.35">
      <c r="A1738" s="66" t="s">
        <v>4870</v>
      </c>
      <c r="B1738" s="66" t="s">
        <v>4870</v>
      </c>
      <c r="C1738" s="67"/>
      <c r="D1738" s="68"/>
      <c r="E1738" s="69"/>
      <c r="F1738" s="70"/>
      <c r="G1738" s="67"/>
      <c r="H1738" s="71"/>
      <c r="I1738" s="72"/>
      <c r="J1738" s="72"/>
      <c r="K1738" s="36"/>
      <c r="L1738" s="79"/>
      <c r="M1738" s="79"/>
      <c r="N1738" s="74"/>
      <c r="O1738" s="81" t="s">
        <v>179</v>
      </c>
      <c r="P1738" s="83">
        <v>44467.281909722224</v>
      </c>
      <c r="Q1738" s="81" t="s">
        <v>5594</v>
      </c>
      <c r="R1738" s="84" t="str">
        <f>HYPERLINK("https://expresso.pt/economia/2021-09-28-Forum-do-BCE-debate-esta-terca-feira-o-futuro-pos-pandemia-da-politica-monetaria-c3a7925a")</f>
        <v>https://expresso.pt/economia/2021-09-28-Forum-do-BCE-debate-esta-terca-feira-o-futuro-pos-pandemia-da-politica-monetaria-c3a7925a</v>
      </c>
      <c r="S1738" s="81" t="s">
        <v>5721</v>
      </c>
      <c r="T1738" s="81"/>
      <c r="U1738" s="81"/>
      <c r="V1738" s="84" t="str">
        <f>HYPERLINK("https://pbs.twimg.com/profile_images/1408367175291781123/YDDEo1Fp_normal.jpg")</f>
        <v>https://pbs.twimg.com/profile_images/1408367175291781123/YDDEo1Fp_normal.jpg</v>
      </c>
      <c r="W1738" s="83">
        <v>44467.281909722224</v>
      </c>
      <c r="X1738" s="89">
        <v>44467</v>
      </c>
      <c r="Y1738" s="86" t="s">
        <v>6526</v>
      </c>
      <c r="Z1738" s="84" t="str">
        <f>HYPERLINK("https://twitter.com/expresso/status/1442742357019987969")</f>
        <v>https://twitter.com/expresso/status/1442742357019987969</v>
      </c>
      <c r="AA1738" s="81"/>
      <c r="AB1738" s="81"/>
      <c r="AC1738" s="86" t="s">
        <v>7446</v>
      </c>
      <c r="AD1738" s="81"/>
      <c r="AE1738" s="81" t="b">
        <v>0</v>
      </c>
      <c r="AF1738" s="81">
        <v>0</v>
      </c>
      <c r="AG1738" s="86" t="s">
        <v>2084</v>
      </c>
      <c r="AH1738" s="81" t="b">
        <v>0</v>
      </c>
      <c r="AI1738" s="81" t="s">
        <v>2171</v>
      </c>
      <c r="AJ1738" s="81"/>
      <c r="AK1738" s="86" t="s">
        <v>2084</v>
      </c>
      <c r="AL1738" s="81" t="b">
        <v>0</v>
      </c>
      <c r="AM1738" s="81">
        <v>0</v>
      </c>
      <c r="AN1738" s="86" t="s">
        <v>2084</v>
      </c>
      <c r="AO1738" s="86" t="s">
        <v>7976</v>
      </c>
      <c r="AP1738" s="81" t="b">
        <v>0</v>
      </c>
      <c r="AQ1738" s="86" t="s">
        <v>7446</v>
      </c>
      <c r="AR1738" s="81" t="s">
        <v>179</v>
      </c>
      <c r="AS1738" s="81">
        <v>0</v>
      </c>
      <c r="AT1738" s="81">
        <v>0</v>
      </c>
      <c r="AU1738" s="81"/>
      <c r="AV1738" s="81"/>
      <c r="AW1738" s="81"/>
      <c r="AX1738" s="81"/>
      <c r="AY1738" s="81"/>
      <c r="AZ1738" s="81"/>
      <c r="BA1738" s="81"/>
      <c r="BB1738" s="81"/>
    </row>
    <row r="1739" spans="1:54" x14ac:dyDescent="0.35">
      <c r="A1739" s="66" t="s">
        <v>4871</v>
      </c>
      <c r="B1739" s="66" t="s">
        <v>5184</v>
      </c>
      <c r="C1739" s="67"/>
      <c r="D1739" s="68"/>
      <c r="E1739" s="69"/>
      <c r="F1739" s="70"/>
      <c r="G1739" s="67"/>
      <c r="H1739" s="71"/>
      <c r="I1739" s="72"/>
      <c r="J1739" s="72"/>
      <c r="K1739" s="36"/>
      <c r="L1739" s="79"/>
      <c r="M1739" s="79"/>
      <c r="N1739" s="74"/>
      <c r="O1739" s="81" t="s">
        <v>695</v>
      </c>
      <c r="P1739" s="83">
        <v>44467.285127314812</v>
      </c>
      <c r="Q1739" s="81" t="s">
        <v>5595</v>
      </c>
      <c r="R1739" s="81"/>
      <c r="S1739" s="81"/>
      <c r="T1739" s="81"/>
      <c r="U1739" s="81"/>
      <c r="V1739" s="84" t="str">
        <f>HYPERLINK("https://pbs.twimg.com/profile_images/1422273259924557825/RPbgVFfg_normal.jpg")</f>
        <v>https://pbs.twimg.com/profile_images/1422273259924557825/RPbgVFfg_normal.jpg</v>
      </c>
      <c r="W1739" s="83">
        <v>44467.285127314812</v>
      </c>
      <c r="X1739" s="89">
        <v>44467</v>
      </c>
      <c r="Y1739" s="86" t="s">
        <v>6527</v>
      </c>
      <c r="Z1739" s="84" t="str">
        <f>HYPERLINK("https://twitter.com/umcara786/status/1442743525196566529")</f>
        <v>https://twitter.com/umcara786/status/1442743525196566529</v>
      </c>
      <c r="AA1739" s="81"/>
      <c r="AB1739" s="81"/>
      <c r="AC1739" s="86" t="s">
        <v>7447</v>
      </c>
      <c r="AD1739" s="86" t="s">
        <v>7750</v>
      </c>
      <c r="AE1739" s="81" t="b">
        <v>0</v>
      </c>
      <c r="AF1739" s="81">
        <v>2</v>
      </c>
      <c r="AG1739" s="86" t="s">
        <v>7925</v>
      </c>
      <c r="AH1739" s="81" t="b">
        <v>0</v>
      </c>
      <c r="AI1739" s="81" t="s">
        <v>2171</v>
      </c>
      <c r="AJ1739" s="81"/>
      <c r="AK1739" s="86" t="s">
        <v>2084</v>
      </c>
      <c r="AL1739" s="81" t="b">
        <v>0</v>
      </c>
      <c r="AM1739" s="81">
        <v>0</v>
      </c>
      <c r="AN1739" s="86" t="s">
        <v>2084</v>
      </c>
      <c r="AO1739" s="86" t="s">
        <v>2178</v>
      </c>
      <c r="AP1739" s="81" t="b">
        <v>0</v>
      </c>
      <c r="AQ1739" s="86" t="s">
        <v>7750</v>
      </c>
      <c r="AR1739" s="81" t="s">
        <v>179</v>
      </c>
      <c r="AS1739" s="81">
        <v>0</v>
      </c>
      <c r="AT1739" s="81">
        <v>0</v>
      </c>
      <c r="AU1739" s="81"/>
      <c r="AV1739" s="81"/>
      <c r="AW1739" s="81"/>
      <c r="AX1739" s="81"/>
      <c r="AY1739" s="81"/>
      <c r="AZ1739" s="81"/>
      <c r="BA1739" s="81"/>
      <c r="BB1739" s="81"/>
    </row>
    <row r="1740" spans="1:54" x14ac:dyDescent="0.35">
      <c r="A1740" s="66" t="s">
        <v>4872</v>
      </c>
      <c r="B1740" s="66" t="s">
        <v>4872</v>
      </c>
      <c r="C1740" s="67"/>
      <c r="D1740" s="68"/>
      <c r="E1740" s="69"/>
      <c r="F1740" s="70"/>
      <c r="G1740" s="67"/>
      <c r="H1740" s="71"/>
      <c r="I1740" s="72"/>
      <c r="J1740" s="72"/>
      <c r="K1740" s="36"/>
      <c r="L1740" s="79"/>
      <c r="M1740" s="79"/>
      <c r="N1740" s="74"/>
      <c r="O1740" s="81" t="s">
        <v>179</v>
      </c>
      <c r="P1740" s="83">
        <v>44467.292141203703</v>
      </c>
      <c r="Q1740" s="81" t="s">
        <v>5596</v>
      </c>
      <c r="R1740" s="84" t="str">
        <f>HYPERLINK("https://lokerpkuriaupekanbaru.blogspot.com/2021/09/loker-bumn-pt-pos-indonesia-pekanbaru.html?m=1")</f>
        <v>https://lokerpkuriaupekanbaru.blogspot.com/2021/09/loker-bumn-pt-pos-indonesia-pekanbaru.html?m=1</v>
      </c>
      <c r="S1740" s="81" t="s">
        <v>969</v>
      </c>
      <c r="T1740" s="86" t="s">
        <v>5785</v>
      </c>
      <c r="U1740" s="81"/>
      <c r="V1740" s="84" t="str">
        <f>HYPERLINK("https://pbs.twimg.com/profile_images/1338178564076683265/bIxmyQ6N_normal.jpg")</f>
        <v>https://pbs.twimg.com/profile_images/1338178564076683265/bIxmyQ6N_normal.jpg</v>
      </c>
      <c r="W1740" s="83">
        <v>44467.292141203703</v>
      </c>
      <c r="X1740" s="89">
        <v>44467</v>
      </c>
      <c r="Y1740" s="86" t="s">
        <v>6528</v>
      </c>
      <c r="Z1740" s="84" t="str">
        <f>HYPERLINK("https://twitter.com/lokerpku1/status/1442746066315534337")</f>
        <v>https://twitter.com/lokerpku1/status/1442746066315534337</v>
      </c>
      <c r="AA1740" s="81"/>
      <c r="AB1740" s="81"/>
      <c r="AC1740" s="86" t="s">
        <v>7448</v>
      </c>
      <c r="AD1740" s="81"/>
      <c r="AE1740" s="81" t="b">
        <v>0</v>
      </c>
      <c r="AF1740" s="81">
        <v>0</v>
      </c>
      <c r="AG1740" s="86" t="s">
        <v>2084</v>
      </c>
      <c r="AH1740" s="81" t="b">
        <v>0</v>
      </c>
      <c r="AI1740" s="81" t="s">
        <v>2167</v>
      </c>
      <c r="AJ1740" s="81"/>
      <c r="AK1740" s="86" t="s">
        <v>2084</v>
      </c>
      <c r="AL1740" s="81" t="b">
        <v>0</v>
      </c>
      <c r="AM1740" s="81">
        <v>0</v>
      </c>
      <c r="AN1740" s="86" t="s">
        <v>2084</v>
      </c>
      <c r="AO1740" s="86" t="s">
        <v>2178</v>
      </c>
      <c r="AP1740" s="81" t="b">
        <v>0</v>
      </c>
      <c r="AQ1740" s="86" t="s">
        <v>7448</v>
      </c>
      <c r="AR1740" s="81" t="s">
        <v>179</v>
      </c>
      <c r="AS1740" s="81">
        <v>0</v>
      </c>
      <c r="AT1740" s="81">
        <v>0</v>
      </c>
      <c r="AU1740" s="81"/>
      <c r="AV1740" s="81"/>
      <c r="AW1740" s="81"/>
      <c r="AX1740" s="81"/>
      <c r="AY1740" s="81"/>
      <c r="AZ1740" s="81"/>
      <c r="BA1740" s="81"/>
      <c r="BB1740" s="81"/>
    </row>
    <row r="1741" spans="1:54" x14ac:dyDescent="0.35">
      <c r="A1741" s="66" t="s">
        <v>4873</v>
      </c>
      <c r="B1741" s="66" t="s">
        <v>4873</v>
      </c>
      <c r="C1741" s="67"/>
      <c r="D1741" s="68"/>
      <c r="E1741" s="69"/>
      <c r="F1741" s="70"/>
      <c r="G1741" s="67"/>
      <c r="H1741" s="71"/>
      <c r="I1741" s="72"/>
      <c r="J1741" s="72"/>
      <c r="K1741" s="36"/>
      <c r="L1741" s="79"/>
      <c r="M1741" s="79"/>
      <c r="N1741" s="74"/>
      <c r="O1741" s="81" t="s">
        <v>179</v>
      </c>
      <c r="P1741" s="83">
        <v>44467.29215277778</v>
      </c>
      <c r="Q1741" s="84" t="str">
        <f>HYPERLINK("https://t.co/OAwUWRPGR1")</f>
        <v>https://t.co/OAwUWRPGR1</v>
      </c>
      <c r="R1741" s="84" t="str">
        <f>HYPERLINK("https://regiao-sul.pt/2021/09/28/internacional/alemanha-inicio-incerto-na-era-pos-merkel-apos-a-votacao/553606")</f>
        <v>https://regiao-sul.pt/2021/09/28/internacional/alemanha-inicio-incerto-na-era-pos-merkel-apos-a-votacao/553606</v>
      </c>
      <c r="S1741" s="81" t="s">
        <v>5749</v>
      </c>
      <c r="T1741" s="81"/>
      <c r="U1741" s="81"/>
      <c r="V1741" s="84" t="str">
        <f>HYPERLINK("https://pbs.twimg.com/profile_images/1156511009189834753/CUbd2_vA_normal.jpg")</f>
        <v>https://pbs.twimg.com/profile_images/1156511009189834753/CUbd2_vA_normal.jpg</v>
      </c>
      <c r="W1741" s="83">
        <v>44467.29215277778</v>
      </c>
      <c r="X1741" s="89">
        <v>44467</v>
      </c>
      <c r="Y1741" s="86" t="s">
        <v>6529</v>
      </c>
      <c r="Z1741" s="84" t="str">
        <f>HYPERLINK("https://twitter.com/regiaosul/status/1442746067934715905")</f>
        <v>https://twitter.com/regiaosul/status/1442746067934715905</v>
      </c>
      <c r="AA1741" s="81"/>
      <c r="AB1741" s="81"/>
      <c r="AC1741" s="86" t="s">
        <v>7449</v>
      </c>
      <c r="AD1741" s="81"/>
      <c r="AE1741" s="81" t="b">
        <v>0</v>
      </c>
      <c r="AF1741" s="81">
        <v>0</v>
      </c>
      <c r="AG1741" s="86" t="s">
        <v>2084</v>
      </c>
      <c r="AH1741" s="81" t="b">
        <v>0</v>
      </c>
      <c r="AI1741" s="81" t="s">
        <v>2173</v>
      </c>
      <c r="AJ1741" s="81"/>
      <c r="AK1741" s="86" t="s">
        <v>2084</v>
      </c>
      <c r="AL1741" s="81" t="b">
        <v>0</v>
      </c>
      <c r="AM1741" s="81">
        <v>0</v>
      </c>
      <c r="AN1741" s="86" t="s">
        <v>2084</v>
      </c>
      <c r="AO1741" s="86" t="s">
        <v>2189</v>
      </c>
      <c r="AP1741" s="81" t="b">
        <v>0</v>
      </c>
      <c r="AQ1741" s="86" t="s">
        <v>7449</v>
      </c>
      <c r="AR1741" s="81" t="s">
        <v>179</v>
      </c>
      <c r="AS1741" s="81">
        <v>0</v>
      </c>
      <c r="AT1741" s="81">
        <v>0</v>
      </c>
      <c r="AU1741" s="81"/>
      <c r="AV1741" s="81"/>
      <c r="AW1741" s="81"/>
      <c r="AX1741" s="81"/>
      <c r="AY1741" s="81"/>
      <c r="AZ1741" s="81"/>
      <c r="BA1741" s="81"/>
      <c r="BB1741" s="81"/>
    </row>
    <row r="1742" spans="1:54" x14ac:dyDescent="0.35">
      <c r="A1742" s="66" t="s">
        <v>4875</v>
      </c>
      <c r="B1742" s="66" t="s">
        <v>5185</v>
      </c>
      <c r="C1742" s="67"/>
      <c r="D1742" s="68"/>
      <c r="E1742" s="69"/>
      <c r="F1742" s="70"/>
      <c r="G1742" s="67"/>
      <c r="H1742" s="71"/>
      <c r="I1742" s="72"/>
      <c r="J1742" s="72"/>
      <c r="K1742" s="36"/>
      <c r="L1742" s="79"/>
      <c r="M1742" s="79"/>
      <c r="N1742" s="74"/>
      <c r="O1742" s="81" t="s">
        <v>695</v>
      </c>
      <c r="P1742" s="83">
        <v>44467.344525462962</v>
      </c>
      <c r="Q1742" s="81" t="s">
        <v>5599</v>
      </c>
      <c r="R1742" s="81"/>
      <c r="S1742" s="81"/>
      <c r="T1742" s="81"/>
      <c r="U1742" s="81"/>
      <c r="V1742" s="84" t="str">
        <f>HYPERLINK("https://pbs.twimg.com/profile_images/1436782939556114436/Albs7c9Q_normal.jpg")</f>
        <v>https://pbs.twimg.com/profile_images/1436782939556114436/Albs7c9Q_normal.jpg</v>
      </c>
      <c r="W1742" s="83">
        <v>44467.344525462962</v>
      </c>
      <c r="X1742" s="89">
        <v>44467</v>
      </c>
      <c r="Y1742" s="86" t="s">
        <v>6532</v>
      </c>
      <c r="Z1742" s="84" t="str">
        <f>HYPERLINK("https://twitter.com/mysticm1nho/status/1442765046480662531")</f>
        <v>https://twitter.com/mysticm1nho/status/1442765046480662531</v>
      </c>
      <c r="AA1742" s="81"/>
      <c r="AB1742" s="81"/>
      <c r="AC1742" s="86" t="s">
        <v>7452</v>
      </c>
      <c r="AD1742" s="86" t="s">
        <v>7751</v>
      </c>
      <c r="AE1742" s="81" t="b">
        <v>0</v>
      </c>
      <c r="AF1742" s="81">
        <v>0</v>
      </c>
      <c r="AG1742" s="86" t="s">
        <v>7926</v>
      </c>
      <c r="AH1742" s="81" t="b">
        <v>0</v>
      </c>
      <c r="AI1742" s="81" t="s">
        <v>2167</v>
      </c>
      <c r="AJ1742" s="81"/>
      <c r="AK1742" s="86" t="s">
        <v>2084</v>
      </c>
      <c r="AL1742" s="81" t="b">
        <v>0</v>
      </c>
      <c r="AM1742" s="81">
        <v>0</v>
      </c>
      <c r="AN1742" s="86" t="s">
        <v>2084</v>
      </c>
      <c r="AO1742" s="86" t="s">
        <v>2179</v>
      </c>
      <c r="AP1742" s="81" t="b">
        <v>0</v>
      </c>
      <c r="AQ1742" s="86" t="s">
        <v>7751</v>
      </c>
      <c r="AR1742" s="81" t="s">
        <v>179</v>
      </c>
      <c r="AS1742" s="81">
        <v>0</v>
      </c>
      <c r="AT1742" s="81">
        <v>0</v>
      </c>
      <c r="AU1742" s="81"/>
      <c r="AV1742" s="81"/>
      <c r="AW1742" s="81"/>
      <c r="AX1742" s="81"/>
      <c r="AY1742" s="81"/>
      <c r="AZ1742" s="81"/>
      <c r="BA1742" s="81"/>
      <c r="BB1742" s="81"/>
    </row>
    <row r="1743" spans="1:54" x14ac:dyDescent="0.35">
      <c r="A1743" s="66" t="s">
        <v>4876</v>
      </c>
      <c r="B1743" s="66" t="s">
        <v>5186</v>
      </c>
      <c r="C1743" s="67"/>
      <c r="D1743" s="68"/>
      <c r="E1743" s="69"/>
      <c r="F1743" s="70"/>
      <c r="G1743" s="67"/>
      <c r="H1743" s="71"/>
      <c r="I1743" s="72"/>
      <c r="J1743" s="72"/>
      <c r="K1743" s="36"/>
      <c r="L1743" s="79"/>
      <c r="M1743" s="79"/>
      <c r="N1743" s="74"/>
      <c r="O1743" s="81" t="s">
        <v>696</v>
      </c>
      <c r="P1743" s="83">
        <v>44467.359780092593</v>
      </c>
      <c r="Q1743" s="81" t="s">
        <v>5600</v>
      </c>
      <c r="R1743" s="81"/>
      <c r="S1743" s="81"/>
      <c r="T1743" s="81"/>
      <c r="U1743" s="81"/>
      <c r="V1743" s="84" t="str">
        <f>HYPERLINK("https://pbs.twimg.com/profile_images/1434318510172278789/Y8s_E01A_normal.jpg")</f>
        <v>https://pbs.twimg.com/profile_images/1434318510172278789/Y8s_E01A_normal.jpg</v>
      </c>
      <c r="W1743" s="83">
        <v>44467.359780092593</v>
      </c>
      <c r="X1743" s="89">
        <v>44467</v>
      </c>
      <c r="Y1743" s="86" t="s">
        <v>6533</v>
      </c>
      <c r="Z1743" s="84" t="str">
        <f>HYPERLINK("https://twitter.com/anamitou/status/1442770578600046594")</f>
        <v>https://twitter.com/anamitou/status/1442770578600046594</v>
      </c>
      <c r="AA1743" s="81"/>
      <c r="AB1743" s="81"/>
      <c r="AC1743" s="86" t="s">
        <v>7453</v>
      </c>
      <c r="AD1743" s="86" t="s">
        <v>7752</v>
      </c>
      <c r="AE1743" s="81" t="b">
        <v>0</v>
      </c>
      <c r="AF1743" s="81">
        <v>0</v>
      </c>
      <c r="AG1743" s="86" t="s">
        <v>7927</v>
      </c>
      <c r="AH1743" s="81" t="b">
        <v>0</v>
      </c>
      <c r="AI1743" s="81" t="s">
        <v>2171</v>
      </c>
      <c r="AJ1743" s="81"/>
      <c r="AK1743" s="86" t="s">
        <v>2084</v>
      </c>
      <c r="AL1743" s="81" t="b">
        <v>0</v>
      </c>
      <c r="AM1743" s="81">
        <v>0</v>
      </c>
      <c r="AN1743" s="86" t="s">
        <v>2084</v>
      </c>
      <c r="AO1743" s="86" t="s">
        <v>2178</v>
      </c>
      <c r="AP1743" s="81" t="b">
        <v>0</v>
      </c>
      <c r="AQ1743" s="86" t="s">
        <v>7752</v>
      </c>
      <c r="AR1743" s="81" t="s">
        <v>179</v>
      </c>
      <c r="AS1743" s="81">
        <v>0</v>
      </c>
      <c r="AT1743" s="81">
        <v>0</v>
      </c>
      <c r="AU1743" s="81"/>
      <c r="AV1743" s="81"/>
      <c r="AW1743" s="81"/>
      <c r="AX1743" s="81"/>
      <c r="AY1743" s="81"/>
      <c r="AZ1743" s="81"/>
      <c r="BA1743" s="81"/>
      <c r="BB1743" s="81"/>
    </row>
    <row r="1744" spans="1:54" x14ac:dyDescent="0.35">
      <c r="A1744" s="66" t="s">
        <v>4876</v>
      </c>
      <c r="B1744" s="66" t="s">
        <v>5187</v>
      </c>
      <c r="C1744" s="67"/>
      <c r="D1744" s="68"/>
      <c r="E1744" s="69"/>
      <c r="F1744" s="70"/>
      <c r="G1744" s="67"/>
      <c r="H1744" s="71"/>
      <c r="I1744" s="72"/>
      <c r="J1744" s="72"/>
      <c r="K1744" s="36"/>
      <c r="L1744" s="79"/>
      <c r="M1744" s="79"/>
      <c r="N1744" s="74"/>
      <c r="O1744" s="81" t="s">
        <v>695</v>
      </c>
      <c r="P1744" s="83">
        <v>44467.359780092593</v>
      </c>
      <c r="Q1744" s="81" t="s">
        <v>5600</v>
      </c>
      <c r="R1744" s="81"/>
      <c r="S1744" s="81"/>
      <c r="T1744" s="81"/>
      <c r="U1744" s="81"/>
      <c r="V1744" s="84" t="str">
        <f>HYPERLINK("https://pbs.twimg.com/profile_images/1434318510172278789/Y8s_E01A_normal.jpg")</f>
        <v>https://pbs.twimg.com/profile_images/1434318510172278789/Y8s_E01A_normal.jpg</v>
      </c>
      <c r="W1744" s="83">
        <v>44467.359780092593</v>
      </c>
      <c r="X1744" s="89">
        <v>44467</v>
      </c>
      <c r="Y1744" s="86" t="s">
        <v>6533</v>
      </c>
      <c r="Z1744" s="84" t="str">
        <f>HYPERLINK("https://twitter.com/anamitou/status/1442770578600046594")</f>
        <v>https://twitter.com/anamitou/status/1442770578600046594</v>
      </c>
      <c r="AA1744" s="81"/>
      <c r="AB1744" s="81"/>
      <c r="AC1744" s="86" t="s">
        <v>7453</v>
      </c>
      <c r="AD1744" s="86" t="s">
        <v>7752</v>
      </c>
      <c r="AE1744" s="81" t="b">
        <v>0</v>
      </c>
      <c r="AF1744" s="81">
        <v>0</v>
      </c>
      <c r="AG1744" s="86" t="s">
        <v>7927</v>
      </c>
      <c r="AH1744" s="81" t="b">
        <v>0</v>
      </c>
      <c r="AI1744" s="81" t="s">
        <v>2171</v>
      </c>
      <c r="AJ1744" s="81"/>
      <c r="AK1744" s="86" t="s">
        <v>2084</v>
      </c>
      <c r="AL1744" s="81" t="b">
        <v>0</v>
      </c>
      <c r="AM1744" s="81">
        <v>0</v>
      </c>
      <c r="AN1744" s="86" t="s">
        <v>2084</v>
      </c>
      <c r="AO1744" s="86" t="s">
        <v>2178</v>
      </c>
      <c r="AP1744" s="81" t="b">
        <v>0</v>
      </c>
      <c r="AQ1744" s="86" t="s">
        <v>7752</v>
      </c>
      <c r="AR1744" s="81" t="s">
        <v>179</v>
      </c>
      <c r="AS1744" s="81">
        <v>0</v>
      </c>
      <c r="AT1744" s="81">
        <v>0</v>
      </c>
      <c r="AU1744" s="81"/>
      <c r="AV1744" s="81"/>
      <c r="AW1744" s="81"/>
      <c r="AX1744" s="81"/>
      <c r="AY1744" s="81"/>
      <c r="AZ1744" s="81"/>
      <c r="BA1744" s="81"/>
      <c r="BB1744" s="81"/>
    </row>
    <row r="1745" spans="1:54" x14ac:dyDescent="0.35">
      <c r="A1745" s="66" t="s">
        <v>4877</v>
      </c>
      <c r="B1745" s="66" t="s">
        <v>618</v>
      </c>
      <c r="C1745" s="67"/>
      <c r="D1745" s="68"/>
      <c r="E1745" s="69"/>
      <c r="F1745" s="70"/>
      <c r="G1745" s="67"/>
      <c r="H1745" s="71"/>
      <c r="I1745" s="72"/>
      <c r="J1745" s="72"/>
      <c r="K1745" s="36"/>
      <c r="L1745" s="79"/>
      <c r="M1745" s="79"/>
      <c r="N1745" s="74"/>
      <c r="O1745" s="81" t="s">
        <v>695</v>
      </c>
      <c r="P1745" s="83">
        <v>44467.371840277781</v>
      </c>
      <c r="Q1745" s="81" t="s">
        <v>5601</v>
      </c>
      <c r="R1745" s="81"/>
      <c r="S1745" s="81"/>
      <c r="T1745" s="81"/>
      <c r="U1745" s="81"/>
      <c r="V1745" s="84" t="str">
        <f>HYPERLINK("https://pbs.twimg.com/profile_images/1424956635781361670/T_QuW2tJ_normal.jpg")</f>
        <v>https://pbs.twimg.com/profile_images/1424956635781361670/T_QuW2tJ_normal.jpg</v>
      </c>
      <c r="W1745" s="83">
        <v>44467.371840277781</v>
      </c>
      <c r="X1745" s="89">
        <v>44467</v>
      </c>
      <c r="Y1745" s="86" t="s">
        <v>6534</v>
      </c>
      <c r="Z1745" s="84" t="str">
        <f>HYPERLINK("https://twitter.com/salsabillah127/status/1442774948641075206")</f>
        <v>https://twitter.com/salsabillah127/status/1442774948641075206</v>
      </c>
      <c r="AA1745" s="81"/>
      <c r="AB1745" s="81"/>
      <c r="AC1745" s="86" t="s">
        <v>7454</v>
      </c>
      <c r="AD1745" s="86" t="s">
        <v>7753</v>
      </c>
      <c r="AE1745" s="81" t="b">
        <v>0</v>
      </c>
      <c r="AF1745" s="81">
        <v>0</v>
      </c>
      <c r="AG1745" s="86" t="s">
        <v>2096</v>
      </c>
      <c r="AH1745" s="81" t="b">
        <v>0</v>
      </c>
      <c r="AI1745" s="81" t="s">
        <v>2167</v>
      </c>
      <c r="AJ1745" s="81"/>
      <c r="AK1745" s="86" t="s">
        <v>2084</v>
      </c>
      <c r="AL1745" s="81" t="b">
        <v>0</v>
      </c>
      <c r="AM1745" s="81">
        <v>0</v>
      </c>
      <c r="AN1745" s="86" t="s">
        <v>2084</v>
      </c>
      <c r="AO1745" s="86" t="s">
        <v>2178</v>
      </c>
      <c r="AP1745" s="81" t="b">
        <v>0</v>
      </c>
      <c r="AQ1745" s="86" t="s">
        <v>7753</v>
      </c>
      <c r="AR1745" s="81" t="s">
        <v>179</v>
      </c>
      <c r="AS1745" s="81">
        <v>0</v>
      </c>
      <c r="AT1745" s="81">
        <v>0</v>
      </c>
      <c r="AU1745" s="81"/>
      <c r="AV1745" s="81"/>
      <c r="AW1745" s="81"/>
      <c r="AX1745" s="81"/>
      <c r="AY1745" s="81"/>
      <c r="AZ1745" s="81"/>
      <c r="BA1745" s="81"/>
      <c r="BB1745" s="81"/>
    </row>
    <row r="1746" spans="1:54" x14ac:dyDescent="0.35">
      <c r="A1746" s="66" t="s">
        <v>4878</v>
      </c>
      <c r="B1746" s="66" t="s">
        <v>605</v>
      </c>
      <c r="C1746" s="67"/>
      <c r="D1746" s="68"/>
      <c r="E1746" s="69"/>
      <c r="F1746" s="70"/>
      <c r="G1746" s="67"/>
      <c r="H1746" s="71"/>
      <c r="I1746" s="72"/>
      <c r="J1746" s="72"/>
      <c r="K1746" s="36"/>
      <c r="L1746" s="79"/>
      <c r="M1746" s="79"/>
      <c r="N1746" s="74"/>
      <c r="O1746" s="81" t="s">
        <v>695</v>
      </c>
      <c r="P1746" s="83">
        <v>44467.376504629632</v>
      </c>
      <c r="Q1746" s="81" t="s">
        <v>5602</v>
      </c>
      <c r="R1746" s="81"/>
      <c r="S1746" s="81"/>
      <c r="T1746" s="81"/>
      <c r="U1746" s="81"/>
      <c r="V1746" s="84" t="str">
        <f>HYPERLINK("https://pbs.twimg.com/profile_images/1393037834915782657/TiXjuvHc_normal.jpg")</f>
        <v>https://pbs.twimg.com/profile_images/1393037834915782657/TiXjuvHc_normal.jpg</v>
      </c>
      <c r="W1746" s="83">
        <v>44467.376504629632</v>
      </c>
      <c r="X1746" s="89">
        <v>44467</v>
      </c>
      <c r="Y1746" s="86" t="s">
        <v>6540</v>
      </c>
      <c r="Z1746" s="84" t="str">
        <f>HYPERLINK("https://twitter.com/jkungege/status/1442776637326512128")</f>
        <v>https://twitter.com/jkungege/status/1442776637326512128</v>
      </c>
      <c r="AA1746" s="81"/>
      <c r="AB1746" s="81"/>
      <c r="AC1746" s="86" t="s">
        <v>7460</v>
      </c>
      <c r="AD1746" s="86" t="s">
        <v>7754</v>
      </c>
      <c r="AE1746" s="81" t="b">
        <v>0</v>
      </c>
      <c r="AF1746" s="81">
        <v>0</v>
      </c>
      <c r="AG1746" s="86" t="s">
        <v>2088</v>
      </c>
      <c r="AH1746" s="81" t="b">
        <v>0</v>
      </c>
      <c r="AI1746" s="81" t="s">
        <v>2167</v>
      </c>
      <c r="AJ1746" s="81"/>
      <c r="AK1746" s="86" t="s">
        <v>2084</v>
      </c>
      <c r="AL1746" s="81" t="b">
        <v>0</v>
      </c>
      <c r="AM1746" s="81">
        <v>0</v>
      </c>
      <c r="AN1746" s="86" t="s">
        <v>2084</v>
      </c>
      <c r="AO1746" s="86" t="s">
        <v>2178</v>
      </c>
      <c r="AP1746" s="81" t="b">
        <v>0</v>
      </c>
      <c r="AQ1746" s="86" t="s">
        <v>7754</v>
      </c>
      <c r="AR1746" s="81" t="s">
        <v>179</v>
      </c>
      <c r="AS1746" s="81">
        <v>0</v>
      </c>
      <c r="AT1746" s="81">
        <v>0</v>
      </c>
      <c r="AU1746" s="81"/>
      <c r="AV1746" s="81"/>
      <c r="AW1746" s="81"/>
      <c r="AX1746" s="81"/>
      <c r="AY1746" s="81"/>
      <c r="AZ1746" s="81"/>
      <c r="BA1746" s="81"/>
      <c r="BB1746" s="81"/>
    </row>
    <row r="1747" spans="1:54" x14ac:dyDescent="0.35">
      <c r="A1747" s="66" t="s">
        <v>4879</v>
      </c>
      <c r="B1747" s="66" t="s">
        <v>5188</v>
      </c>
      <c r="C1747" s="67"/>
      <c r="D1747" s="68"/>
      <c r="E1747" s="69"/>
      <c r="F1747" s="70"/>
      <c r="G1747" s="67"/>
      <c r="H1747" s="71"/>
      <c r="I1747" s="72"/>
      <c r="J1747" s="72"/>
      <c r="K1747" s="36"/>
      <c r="L1747" s="79"/>
      <c r="M1747" s="79"/>
      <c r="N1747" s="74"/>
      <c r="O1747" s="81" t="s">
        <v>696</v>
      </c>
      <c r="P1747" s="83">
        <v>44467.394965277781</v>
      </c>
      <c r="Q1747" s="81" t="s">
        <v>5603</v>
      </c>
      <c r="R1747" s="81" t="s">
        <v>5683</v>
      </c>
      <c r="S1747" s="81" t="s">
        <v>5751</v>
      </c>
      <c r="T1747" s="86" t="s">
        <v>4879</v>
      </c>
      <c r="U1747" s="84" t="str">
        <f>HYPERLINK("https://pbs.twimg.com/media/FAXLyJAUUAATq24.jpg")</f>
        <v>https://pbs.twimg.com/media/FAXLyJAUUAATq24.jpg</v>
      </c>
      <c r="V1747" s="84" t="str">
        <f>HYPERLINK("https://pbs.twimg.com/media/FAXLyJAUUAATq24.jpg")</f>
        <v>https://pbs.twimg.com/media/FAXLyJAUUAATq24.jpg</v>
      </c>
      <c r="W1747" s="83">
        <v>44467.394965277781</v>
      </c>
      <c r="X1747" s="89">
        <v>44467</v>
      </c>
      <c r="Y1747" s="86" t="s">
        <v>6541</v>
      </c>
      <c r="Z1747" s="84" t="str">
        <f>HYPERLINK("https://twitter.com/mncbank/status/1442783325379170306")</f>
        <v>https://twitter.com/mncbank/status/1442783325379170306</v>
      </c>
      <c r="AA1747" s="81"/>
      <c r="AB1747" s="81"/>
      <c r="AC1747" s="86" t="s">
        <v>7461</v>
      </c>
      <c r="AD1747" s="81"/>
      <c r="AE1747" s="81" t="b">
        <v>0</v>
      </c>
      <c r="AF1747" s="81">
        <v>1</v>
      </c>
      <c r="AG1747" s="86" t="s">
        <v>2084</v>
      </c>
      <c r="AH1747" s="81" t="b">
        <v>0</v>
      </c>
      <c r="AI1747" s="81" t="s">
        <v>2167</v>
      </c>
      <c r="AJ1747" s="81"/>
      <c r="AK1747" s="86" t="s">
        <v>2084</v>
      </c>
      <c r="AL1747" s="81" t="b">
        <v>0</v>
      </c>
      <c r="AM1747" s="81">
        <v>0</v>
      </c>
      <c r="AN1747" s="86" t="s">
        <v>2084</v>
      </c>
      <c r="AO1747" s="86" t="s">
        <v>2178</v>
      </c>
      <c r="AP1747" s="81" t="b">
        <v>0</v>
      </c>
      <c r="AQ1747" s="86" t="s">
        <v>7461</v>
      </c>
      <c r="AR1747" s="81" t="s">
        <v>179</v>
      </c>
      <c r="AS1747" s="81">
        <v>0</v>
      </c>
      <c r="AT1747" s="81">
        <v>0</v>
      </c>
      <c r="AU1747" s="81"/>
      <c r="AV1747" s="81"/>
      <c r="AW1747" s="81"/>
      <c r="AX1747" s="81"/>
      <c r="AY1747" s="81"/>
      <c r="AZ1747" s="81"/>
      <c r="BA1747" s="81"/>
      <c r="BB1747" s="81"/>
    </row>
    <row r="1748" spans="1:54" x14ac:dyDescent="0.35">
      <c r="A1748" s="66" t="s">
        <v>4880</v>
      </c>
      <c r="B1748" s="66" t="s">
        <v>4941</v>
      </c>
      <c r="C1748" s="67"/>
      <c r="D1748" s="68"/>
      <c r="E1748" s="69"/>
      <c r="F1748" s="70"/>
      <c r="G1748" s="67"/>
      <c r="H1748" s="71"/>
      <c r="I1748" s="72"/>
      <c r="J1748" s="72"/>
      <c r="K1748" s="36"/>
      <c r="L1748" s="79"/>
      <c r="M1748" s="79"/>
      <c r="N1748" s="74"/>
      <c r="O1748" s="81" t="s">
        <v>693</v>
      </c>
      <c r="P1748" s="83">
        <v>44467.402453703704</v>
      </c>
      <c r="Q1748" s="81" t="s">
        <v>5604</v>
      </c>
      <c r="R1748" s="81"/>
      <c r="S1748" s="81"/>
      <c r="T1748" s="86" t="s">
        <v>979</v>
      </c>
      <c r="U1748" s="84" t="str">
        <f>HYPERLINK("https://pbs.twimg.com/media/FAXNegPUYAAkjOP.jpg")</f>
        <v>https://pbs.twimg.com/media/FAXNegPUYAAkjOP.jpg</v>
      </c>
      <c r="V1748" s="84" t="str">
        <f>HYPERLINK("https://pbs.twimg.com/media/FAXNegPUYAAkjOP.jpg")</f>
        <v>https://pbs.twimg.com/media/FAXNegPUYAAkjOP.jpg</v>
      </c>
      <c r="W1748" s="83">
        <v>44467.402453703704</v>
      </c>
      <c r="X1748" s="89">
        <v>44467</v>
      </c>
      <c r="Y1748" s="86" t="s">
        <v>6542</v>
      </c>
      <c r="Z1748" s="84" t="str">
        <f>HYPERLINK("https://twitter.com/rut0san/status/1442786041920823298")</f>
        <v>https://twitter.com/rut0san/status/1442786041920823298</v>
      </c>
      <c r="AA1748" s="81"/>
      <c r="AB1748" s="81"/>
      <c r="AC1748" s="86" t="s">
        <v>7462</v>
      </c>
      <c r="AD1748" s="81"/>
      <c r="AE1748" s="81" t="b">
        <v>0</v>
      </c>
      <c r="AF1748" s="81">
        <v>0</v>
      </c>
      <c r="AG1748" s="86" t="s">
        <v>2084</v>
      </c>
      <c r="AH1748" s="81" t="b">
        <v>0</v>
      </c>
      <c r="AI1748" s="81" t="s">
        <v>2168</v>
      </c>
      <c r="AJ1748" s="81"/>
      <c r="AK1748" s="86" t="s">
        <v>2084</v>
      </c>
      <c r="AL1748" s="81" t="b">
        <v>0</v>
      </c>
      <c r="AM1748" s="81">
        <v>29</v>
      </c>
      <c r="AN1748" s="86" t="s">
        <v>7539</v>
      </c>
      <c r="AO1748" s="86" t="s">
        <v>2178</v>
      </c>
      <c r="AP1748" s="81" t="b">
        <v>0</v>
      </c>
      <c r="AQ1748" s="86" t="s">
        <v>7539</v>
      </c>
      <c r="AR1748" s="81" t="s">
        <v>179</v>
      </c>
      <c r="AS1748" s="81">
        <v>0</v>
      </c>
      <c r="AT1748" s="81">
        <v>0</v>
      </c>
      <c r="AU1748" s="81"/>
      <c r="AV1748" s="81"/>
      <c r="AW1748" s="81"/>
      <c r="AX1748" s="81"/>
      <c r="AY1748" s="81"/>
      <c r="AZ1748" s="81"/>
      <c r="BA1748" s="81"/>
      <c r="BB1748" s="81"/>
    </row>
    <row r="1749" spans="1:54" x14ac:dyDescent="0.35">
      <c r="A1749" s="66" t="s">
        <v>4881</v>
      </c>
      <c r="B1749" s="66" t="s">
        <v>4941</v>
      </c>
      <c r="C1749" s="67"/>
      <c r="D1749" s="68"/>
      <c r="E1749" s="69"/>
      <c r="F1749" s="70"/>
      <c r="G1749" s="67"/>
      <c r="H1749" s="71"/>
      <c r="I1749" s="72"/>
      <c r="J1749" s="72"/>
      <c r="K1749" s="36"/>
      <c r="L1749" s="79"/>
      <c r="M1749" s="79"/>
      <c r="N1749" s="74"/>
      <c r="O1749" s="81" t="s">
        <v>693</v>
      </c>
      <c r="P1749" s="83">
        <v>44467.404803240737</v>
      </c>
      <c r="Q1749" s="81" t="s">
        <v>5604</v>
      </c>
      <c r="R1749" s="81"/>
      <c r="S1749" s="81"/>
      <c r="T1749" s="86" t="s">
        <v>979</v>
      </c>
      <c r="U1749" s="84" t="str">
        <f>HYPERLINK("https://pbs.twimg.com/media/FAXNegPUYAAkjOP.jpg")</f>
        <v>https://pbs.twimg.com/media/FAXNegPUYAAkjOP.jpg</v>
      </c>
      <c r="V1749" s="84" t="str">
        <f>HYPERLINK("https://pbs.twimg.com/media/FAXNegPUYAAkjOP.jpg")</f>
        <v>https://pbs.twimg.com/media/FAXNegPUYAAkjOP.jpg</v>
      </c>
      <c r="W1749" s="83">
        <v>44467.404803240737</v>
      </c>
      <c r="X1749" s="89">
        <v>44467</v>
      </c>
      <c r="Y1749" s="86" t="s">
        <v>6543</v>
      </c>
      <c r="Z1749" s="84" t="str">
        <f>HYPERLINK("https://twitter.com/ataraxia_tbz/status/1442786894413139973")</f>
        <v>https://twitter.com/ataraxia_tbz/status/1442786894413139973</v>
      </c>
      <c r="AA1749" s="81"/>
      <c r="AB1749" s="81"/>
      <c r="AC1749" s="86" t="s">
        <v>7463</v>
      </c>
      <c r="AD1749" s="81"/>
      <c r="AE1749" s="81" t="b">
        <v>0</v>
      </c>
      <c r="AF1749" s="81">
        <v>0</v>
      </c>
      <c r="AG1749" s="86" t="s">
        <v>2084</v>
      </c>
      <c r="AH1749" s="81" t="b">
        <v>0</v>
      </c>
      <c r="AI1749" s="81" t="s">
        <v>2168</v>
      </c>
      <c r="AJ1749" s="81"/>
      <c r="AK1749" s="86" t="s">
        <v>2084</v>
      </c>
      <c r="AL1749" s="81" t="b">
        <v>0</v>
      </c>
      <c r="AM1749" s="81">
        <v>29</v>
      </c>
      <c r="AN1749" s="86" t="s">
        <v>7539</v>
      </c>
      <c r="AO1749" s="86" t="s">
        <v>2178</v>
      </c>
      <c r="AP1749" s="81" t="b">
        <v>0</v>
      </c>
      <c r="AQ1749" s="86" t="s">
        <v>7539</v>
      </c>
      <c r="AR1749" s="81" t="s">
        <v>179</v>
      </c>
      <c r="AS1749" s="81">
        <v>0</v>
      </c>
      <c r="AT1749" s="81">
        <v>0</v>
      </c>
      <c r="AU1749" s="81"/>
      <c r="AV1749" s="81"/>
      <c r="AW1749" s="81"/>
      <c r="AX1749" s="81"/>
      <c r="AY1749" s="81"/>
      <c r="AZ1749" s="81"/>
      <c r="BA1749" s="81"/>
      <c r="BB1749" s="81"/>
    </row>
    <row r="1750" spans="1:54" x14ac:dyDescent="0.35">
      <c r="A1750" s="66" t="s">
        <v>4883</v>
      </c>
      <c r="B1750" s="66" t="s">
        <v>4941</v>
      </c>
      <c r="C1750" s="67"/>
      <c r="D1750" s="68"/>
      <c r="E1750" s="69"/>
      <c r="F1750" s="70"/>
      <c r="G1750" s="67"/>
      <c r="H1750" s="71"/>
      <c r="I1750" s="72"/>
      <c r="J1750" s="72"/>
      <c r="K1750" s="36"/>
      <c r="L1750" s="79"/>
      <c r="M1750" s="79"/>
      <c r="N1750" s="74"/>
      <c r="O1750" s="81" t="s">
        <v>693</v>
      </c>
      <c r="P1750" s="83">
        <v>44467.411203703705</v>
      </c>
      <c r="Q1750" s="81" t="s">
        <v>5604</v>
      </c>
      <c r="R1750" s="81"/>
      <c r="S1750" s="81"/>
      <c r="T1750" s="86" t="s">
        <v>979</v>
      </c>
      <c r="U1750" s="84" t="str">
        <f>HYPERLINK("https://pbs.twimg.com/media/FAXNegPUYAAkjOP.jpg")</f>
        <v>https://pbs.twimg.com/media/FAXNegPUYAAkjOP.jpg</v>
      </c>
      <c r="V1750" s="84" t="str">
        <f>HYPERLINK("https://pbs.twimg.com/media/FAXNegPUYAAkjOP.jpg")</f>
        <v>https://pbs.twimg.com/media/FAXNegPUYAAkjOP.jpg</v>
      </c>
      <c r="W1750" s="83">
        <v>44467.411203703705</v>
      </c>
      <c r="X1750" s="89">
        <v>44467</v>
      </c>
      <c r="Y1750" s="86" t="s">
        <v>6545</v>
      </c>
      <c r="Z1750" s="84" t="str">
        <f>HYPERLINK("https://twitter.com/sunwooistiny/status/1442789211971604486")</f>
        <v>https://twitter.com/sunwooistiny/status/1442789211971604486</v>
      </c>
      <c r="AA1750" s="81"/>
      <c r="AB1750" s="81"/>
      <c r="AC1750" s="86" t="s">
        <v>7465</v>
      </c>
      <c r="AD1750" s="81"/>
      <c r="AE1750" s="81" t="b">
        <v>0</v>
      </c>
      <c r="AF1750" s="81">
        <v>0</v>
      </c>
      <c r="AG1750" s="86" t="s">
        <v>2084</v>
      </c>
      <c r="AH1750" s="81" t="b">
        <v>0</v>
      </c>
      <c r="AI1750" s="81" t="s">
        <v>2168</v>
      </c>
      <c r="AJ1750" s="81"/>
      <c r="AK1750" s="86" t="s">
        <v>2084</v>
      </c>
      <c r="AL1750" s="81" t="b">
        <v>0</v>
      </c>
      <c r="AM1750" s="81">
        <v>29</v>
      </c>
      <c r="AN1750" s="86" t="s">
        <v>7539</v>
      </c>
      <c r="AO1750" s="86" t="s">
        <v>2178</v>
      </c>
      <c r="AP1750" s="81" t="b">
        <v>0</v>
      </c>
      <c r="AQ1750" s="86" t="s">
        <v>7539</v>
      </c>
      <c r="AR1750" s="81" t="s">
        <v>179</v>
      </c>
      <c r="AS1750" s="81">
        <v>0</v>
      </c>
      <c r="AT1750" s="81">
        <v>0</v>
      </c>
      <c r="AU1750" s="81"/>
      <c r="AV1750" s="81"/>
      <c r="AW1750" s="81"/>
      <c r="AX1750" s="81"/>
      <c r="AY1750" s="81"/>
      <c r="AZ1750" s="81"/>
      <c r="BA1750" s="81"/>
      <c r="BB1750" s="81"/>
    </row>
    <row r="1751" spans="1:54" x14ac:dyDescent="0.35">
      <c r="A1751" s="66" t="s">
        <v>4884</v>
      </c>
      <c r="B1751" s="66" t="s">
        <v>4941</v>
      </c>
      <c r="C1751" s="67"/>
      <c r="D1751" s="68"/>
      <c r="E1751" s="69"/>
      <c r="F1751" s="70"/>
      <c r="G1751" s="67"/>
      <c r="H1751" s="71"/>
      <c r="I1751" s="72"/>
      <c r="J1751" s="72"/>
      <c r="K1751" s="36"/>
      <c r="L1751" s="79"/>
      <c r="M1751" s="79"/>
      <c r="N1751" s="74"/>
      <c r="O1751" s="81" t="s">
        <v>693</v>
      </c>
      <c r="P1751" s="83">
        <v>44467.413831018515</v>
      </c>
      <c r="Q1751" s="81" t="s">
        <v>5604</v>
      </c>
      <c r="R1751" s="81"/>
      <c r="S1751" s="81"/>
      <c r="T1751" s="86" t="s">
        <v>979</v>
      </c>
      <c r="U1751" s="84" t="str">
        <f>HYPERLINK("https://pbs.twimg.com/media/FAXNegPUYAAkjOP.jpg")</f>
        <v>https://pbs.twimg.com/media/FAXNegPUYAAkjOP.jpg</v>
      </c>
      <c r="V1751" s="84" t="str">
        <f>HYPERLINK("https://pbs.twimg.com/media/FAXNegPUYAAkjOP.jpg")</f>
        <v>https://pbs.twimg.com/media/FAXNegPUYAAkjOP.jpg</v>
      </c>
      <c r="W1751" s="83">
        <v>44467.413831018515</v>
      </c>
      <c r="X1751" s="89">
        <v>44467</v>
      </c>
      <c r="Y1751" s="86" t="s">
        <v>6547</v>
      </c>
      <c r="Z1751" s="84" t="str">
        <f>HYPERLINK("https://twitter.com/pruuwoojae/status/1442790166041546754")</f>
        <v>https://twitter.com/pruuwoojae/status/1442790166041546754</v>
      </c>
      <c r="AA1751" s="81"/>
      <c r="AB1751" s="81"/>
      <c r="AC1751" s="86" t="s">
        <v>7467</v>
      </c>
      <c r="AD1751" s="81"/>
      <c r="AE1751" s="81" t="b">
        <v>0</v>
      </c>
      <c r="AF1751" s="81">
        <v>0</v>
      </c>
      <c r="AG1751" s="86" t="s">
        <v>2084</v>
      </c>
      <c r="AH1751" s="81" t="b">
        <v>0</v>
      </c>
      <c r="AI1751" s="81" t="s">
        <v>2168</v>
      </c>
      <c r="AJ1751" s="81"/>
      <c r="AK1751" s="86" t="s">
        <v>2084</v>
      </c>
      <c r="AL1751" s="81" t="b">
        <v>0</v>
      </c>
      <c r="AM1751" s="81">
        <v>29</v>
      </c>
      <c r="AN1751" s="86" t="s">
        <v>7539</v>
      </c>
      <c r="AO1751" s="86" t="s">
        <v>2181</v>
      </c>
      <c r="AP1751" s="81" t="b">
        <v>0</v>
      </c>
      <c r="AQ1751" s="86" t="s">
        <v>7539</v>
      </c>
      <c r="AR1751" s="81" t="s">
        <v>179</v>
      </c>
      <c r="AS1751" s="81">
        <v>0</v>
      </c>
      <c r="AT1751" s="81">
        <v>0</v>
      </c>
      <c r="AU1751" s="81"/>
      <c r="AV1751" s="81"/>
      <c r="AW1751" s="81"/>
      <c r="AX1751" s="81"/>
      <c r="AY1751" s="81"/>
      <c r="AZ1751" s="81"/>
      <c r="BA1751" s="81"/>
      <c r="BB1751" s="81"/>
    </row>
    <row r="1752" spans="1:54" x14ac:dyDescent="0.35">
      <c r="A1752" s="66" t="s">
        <v>4885</v>
      </c>
      <c r="B1752" s="66" t="s">
        <v>4941</v>
      </c>
      <c r="C1752" s="67"/>
      <c r="D1752" s="68"/>
      <c r="E1752" s="69"/>
      <c r="F1752" s="70"/>
      <c r="G1752" s="67"/>
      <c r="H1752" s="71"/>
      <c r="I1752" s="72"/>
      <c r="J1752" s="72"/>
      <c r="K1752" s="36"/>
      <c r="L1752" s="79"/>
      <c r="M1752" s="79"/>
      <c r="N1752" s="74"/>
      <c r="O1752" s="81" t="s">
        <v>693</v>
      </c>
      <c r="P1752" s="83">
        <v>44467.414884259262</v>
      </c>
      <c r="Q1752" s="81" t="s">
        <v>5604</v>
      </c>
      <c r="R1752" s="81"/>
      <c r="S1752" s="81"/>
      <c r="T1752" s="86" t="s">
        <v>979</v>
      </c>
      <c r="U1752" s="84" t="str">
        <f>HYPERLINK("https://pbs.twimg.com/media/FAXNegPUYAAkjOP.jpg")</f>
        <v>https://pbs.twimg.com/media/FAXNegPUYAAkjOP.jpg</v>
      </c>
      <c r="V1752" s="84" t="str">
        <f>HYPERLINK("https://pbs.twimg.com/media/FAXNegPUYAAkjOP.jpg")</f>
        <v>https://pbs.twimg.com/media/FAXNegPUYAAkjOP.jpg</v>
      </c>
      <c r="W1752" s="83">
        <v>44467.414884259262</v>
      </c>
      <c r="X1752" s="89">
        <v>44467</v>
      </c>
      <c r="Y1752" s="86" t="s">
        <v>6548</v>
      </c>
      <c r="Z1752" s="84" t="str">
        <f>HYPERLINK("https://twitter.com/salma10740541/status/1442790546234302468")</f>
        <v>https://twitter.com/salma10740541/status/1442790546234302468</v>
      </c>
      <c r="AA1752" s="81"/>
      <c r="AB1752" s="81"/>
      <c r="AC1752" s="86" t="s">
        <v>7468</v>
      </c>
      <c r="AD1752" s="81"/>
      <c r="AE1752" s="81" t="b">
        <v>0</v>
      </c>
      <c r="AF1752" s="81">
        <v>0</v>
      </c>
      <c r="AG1752" s="86" t="s">
        <v>2084</v>
      </c>
      <c r="AH1752" s="81" t="b">
        <v>0</v>
      </c>
      <c r="AI1752" s="81" t="s">
        <v>2168</v>
      </c>
      <c r="AJ1752" s="81"/>
      <c r="AK1752" s="86" t="s">
        <v>2084</v>
      </c>
      <c r="AL1752" s="81" t="b">
        <v>0</v>
      </c>
      <c r="AM1752" s="81">
        <v>29</v>
      </c>
      <c r="AN1752" s="86" t="s">
        <v>7539</v>
      </c>
      <c r="AO1752" s="86" t="s">
        <v>2178</v>
      </c>
      <c r="AP1752" s="81" t="b">
        <v>0</v>
      </c>
      <c r="AQ1752" s="86" t="s">
        <v>7539</v>
      </c>
      <c r="AR1752" s="81" t="s">
        <v>179</v>
      </c>
      <c r="AS1752" s="81">
        <v>0</v>
      </c>
      <c r="AT1752" s="81">
        <v>0</v>
      </c>
      <c r="AU1752" s="81"/>
      <c r="AV1752" s="81"/>
      <c r="AW1752" s="81"/>
      <c r="AX1752" s="81"/>
      <c r="AY1752" s="81"/>
      <c r="AZ1752" s="81"/>
      <c r="BA1752" s="81"/>
      <c r="BB1752" s="81"/>
    </row>
    <row r="1753" spans="1:54" x14ac:dyDescent="0.35">
      <c r="A1753" s="66" t="s">
        <v>4886</v>
      </c>
      <c r="B1753" s="66" t="s">
        <v>4941</v>
      </c>
      <c r="C1753" s="67"/>
      <c r="D1753" s="68"/>
      <c r="E1753" s="69"/>
      <c r="F1753" s="70"/>
      <c r="G1753" s="67"/>
      <c r="H1753" s="71"/>
      <c r="I1753" s="72"/>
      <c r="J1753" s="72"/>
      <c r="K1753" s="36"/>
      <c r="L1753" s="79"/>
      <c r="M1753" s="79"/>
      <c r="N1753" s="74"/>
      <c r="O1753" s="81" t="s">
        <v>693</v>
      </c>
      <c r="P1753" s="83">
        <v>44467.415034722224</v>
      </c>
      <c r="Q1753" s="81" t="s">
        <v>5604</v>
      </c>
      <c r="R1753" s="81"/>
      <c r="S1753" s="81"/>
      <c r="T1753" s="86" t="s">
        <v>979</v>
      </c>
      <c r="U1753" s="84" t="str">
        <f>HYPERLINK("https://pbs.twimg.com/media/FAXNegPUYAAkjOP.jpg")</f>
        <v>https://pbs.twimg.com/media/FAXNegPUYAAkjOP.jpg</v>
      </c>
      <c r="V1753" s="84" t="str">
        <f>HYPERLINK("https://pbs.twimg.com/media/FAXNegPUYAAkjOP.jpg")</f>
        <v>https://pbs.twimg.com/media/FAXNegPUYAAkjOP.jpg</v>
      </c>
      <c r="W1753" s="83">
        <v>44467.415034722224</v>
      </c>
      <c r="X1753" s="89">
        <v>44467</v>
      </c>
      <c r="Y1753" s="86" t="s">
        <v>6549</v>
      </c>
      <c r="Z1753" s="84" t="str">
        <f>HYPERLINK("https://twitter.com/gyuubestie/status/1442790599036268544")</f>
        <v>https://twitter.com/gyuubestie/status/1442790599036268544</v>
      </c>
      <c r="AA1753" s="81"/>
      <c r="AB1753" s="81"/>
      <c r="AC1753" s="86" t="s">
        <v>7469</v>
      </c>
      <c r="AD1753" s="81"/>
      <c r="AE1753" s="81" t="b">
        <v>0</v>
      </c>
      <c r="AF1753" s="81">
        <v>0</v>
      </c>
      <c r="AG1753" s="86" t="s">
        <v>2084</v>
      </c>
      <c r="AH1753" s="81" t="b">
        <v>0</v>
      </c>
      <c r="AI1753" s="81" t="s">
        <v>2168</v>
      </c>
      <c r="AJ1753" s="81"/>
      <c r="AK1753" s="86" t="s">
        <v>2084</v>
      </c>
      <c r="AL1753" s="81" t="b">
        <v>0</v>
      </c>
      <c r="AM1753" s="81">
        <v>29</v>
      </c>
      <c r="AN1753" s="86" t="s">
        <v>7539</v>
      </c>
      <c r="AO1753" s="86" t="s">
        <v>2179</v>
      </c>
      <c r="AP1753" s="81" t="b">
        <v>0</v>
      </c>
      <c r="AQ1753" s="86" t="s">
        <v>7539</v>
      </c>
      <c r="AR1753" s="81" t="s">
        <v>179</v>
      </c>
      <c r="AS1753" s="81">
        <v>0</v>
      </c>
      <c r="AT1753" s="81">
        <v>0</v>
      </c>
      <c r="AU1753" s="81"/>
      <c r="AV1753" s="81"/>
      <c r="AW1753" s="81"/>
      <c r="AX1753" s="81"/>
      <c r="AY1753" s="81"/>
      <c r="AZ1753" s="81"/>
      <c r="BA1753" s="81"/>
      <c r="BB1753" s="81"/>
    </row>
    <row r="1754" spans="1:54" x14ac:dyDescent="0.35">
      <c r="A1754" s="66" t="s">
        <v>4887</v>
      </c>
      <c r="B1754" s="66" t="s">
        <v>4941</v>
      </c>
      <c r="C1754" s="67"/>
      <c r="D1754" s="68"/>
      <c r="E1754" s="69"/>
      <c r="F1754" s="70"/>
      <c r="G1754" s="67"/>
      <c r="H1754" s="71"/>
      <c r="I1754" s="72"/>
      <c r="J1754" s="72"/>
      <c r="K1754" s="36"/>
      <c r="L1754" s="79"/>
      <c r="M1754" s="79"/>
      <c r="N1754" s="74"/>
      <c r="O1754" s="81" t="s">
        <v>693</v>
      </c>
      <c r="P1754" s="83">
        <v>44467.417129629626</v>
      </c>
      <c r="Q1754" s="81" t="s">
        <v>5604</v>
      </c>
      <c r="R1754" s="81"/>
      <c r="S1754" s="81"/>
      <c r="T1754" s="86" t="s">
        <v>979</v>
      </c>
      <c r="U1754" s="84" t="str">
        <f>HYPERLINK("https://pbs.twimg.com/media/FAXNegPUYAAkjOP.jpg")</f>
        <v>https://pbs.twimg.com/media/FAXNegPUYAAkjOP.jpg</v>
      </c>
      <c r="V1754" s="84" t="str">
        <f>HYPERLINK("https://pbs.twimg.com/media/FAXNegPUYAAkjOP.jpg")</f>
        <v>https://pbs.twimg.com/media/FAXNegPUYAAkjOP.jpg</v>
      </c>
      <c r="W1754" s="83">
        <v>44467.417129629626</v>
      </c>
      <c r="X1754" s="89">
        <v>44467</v>
      </c>
      <c r="Y1754" s="86" t="s">
        <v>6550</v>
      </c>
      <c r="Z1754" s="84" t="str">
        <f>HYPERLINK("https://twitter.com/chnheewtf/status/1442791361183293440")</f>
        <v>https://twitter.com/chnheewtf/status/1442791361183293440</v>
      </c>
      <c r="AA1754" s="81"/>
      <c r="AB1754" s="81"/>
      <c r="AC1754" s="86" t="s">
        <v>7470</v>
      </c>
      <c r="AD1754" s="81"/>
      <c r="AE1754" s="81" t="b">
        <v>0</v>
      </c>
      <c r="AF1754" s="81">
        <v>0</v>
      </c>
      <c r="AG1754" s="86" t="s">
        <v>2084</v>
      </c>
      <c r="AH1754" s="81" t="b">
        <v>0</v>
      </c>
      <c r="AI1754" s="81" t="s">
        <v>2168</v>
      </c>
      <c r="AJ1754" s="81"/>
      <c r="AK1754" s="86" t="s">
        <v>2084</v>
      </c>
      <c r="AL1754" s="81" t="b">
        <v>0</v>
      </c>
      <c r="AM1754" s="81">
        <v>29</v>
      </c>
      <c r="AN1754" s="86" t="s">
        <v>7539</v>
      </c>
      <c r="AO1754" s="86" t="s">
        <v>2179</v>
      </c>
      <c r="AP1754" s="81" t="b">
        <v>0</v>
      </c>
      <c r="AQ1754" s="86" t="s">
        <v>7539</v>
      </c>
      <c r="AR1754" s="81" t="s">
        <v>179</v>
      </c>
      <c r="AS1754" s="81">
        <v>0</v>
      </c>
      <c r="AT1754" s="81">
        <v>0</v>
      </c>
      <c r="AU1754" s="81"/>
      <c r="AV1754" s="81"/>
      <c r="AW1754" s="81"/>
      <c r="AX1754" s="81"/>
      <c r="AY1754" s="81"/>
      <c r="AZ1754" s="81"/>
      <c r="BA1754" s="81"/>
      <c r="BB1754" s="81"/>
    </row>
    <row r="1755" spans="1:54" x14ac:dyDescent="0.35">
      <c r="A1755" s="66" t="s">
        <v>4889</v>
      </c>
      <c r="B1755" s="66" t="s">
        <v>5189</v>
      </c>
      <c r="C1755" s="67"/>
      <c r="D1755" s="68"/>
      <c r="E1755" s="69"/>
      <c r="F1755" s="70"/>
      <c r="G1755" s="67"/>
      <c r="H1755" s="71"/>
      <c r="I1755" s="72"/>
      <c r="J1755" s="72"/>
      <c r="K1755" s="36"/>
      <c r="L1755" s="79"/>
      <c r="M1755" s="79"/>
      <c r="N1755" s="74"/>
      <c r="O1755" s="81" t="s">
        <v>695</v>
      </c>
      <c r="P1755" s="83">
        <v>44467.41883101852</v>
      </c>
      <c r="Q1755" s="81" t="s">
        <v>5605</v>
      </c>
      <c r="R1755" s="81"/>
      <c r="S1755" s="81"/>
      <c r="T1755" s="81"/>
      <c r="U1755" s="81"/>
      <c r="V1755" s="84" t="str">
        <f>HYPERLINK("https://pbs.twimg.com/profile_images/1430404668337709056/7CaMPUlK_normal.jpg")</f>
        <v>https://pbs.twimg.com/profile_images/1430404668337709056/7CaMPUlK_normal.jpg</v>
      </c>
      <c r="W1755" s="83">
        <v>44467.41883101852</v>
      </c>
      <c r="X1755" s="89">
        <v>44467</v>
      </c>
      <c r="Y1755" s="86" t="s">
        <v>6552</v>
      </c>
      <c r="Z1755" s="84" t="str">
        <f>HYPERLINK("https://twitter.com/ezzyoungk/status/1442791973962665985")</f>
        <v>https://twitter.com/ezzyoungk/status/1442791973962665985</v>
      </c>
      <c r="AA1755" s="81"/>
      <c r="AB1755" s="81"/>
      <c r="AC1755" s="86" t="s">
        <v>7472</v>
      </c>
      <c r="AD1755" s="86" t="s">
        <v>7755</v>
      </c>
      <c r="AE1755" s="81" t="b">
        <v>0</v>
      </c>
      <c r="AF1755" s="81">
        <v>0</v>
      </c>
      <c r="AG1755" s="86" t="s">
        <v>7928</v>
      </c>
      <c r="AH1755" s="81" t="b">
        <v>0</v>
      </c>
      <c r="AI1755" s="81" t="s">
        <v>2167</v>
      </c>
      <c r="AJ1755" s="81"/>
      <c r="AK1755" s="86" t="s">
        <v>2084</v>
      </c>
      <c r="AL1755" s="81" t="b">
        <v>0</v>
      </c>
      <c r="AM1755" s="81">
        <v>0</v>
      </c>
      <c r="AN1755" s="86" t="s">
        <v>2084</v>
      </c>
      <c r="AO1755" s="86" t="s">
        <v>2178</v>
      </c>
      <c r="AP1755" s="81" t="b">
        <v>0</v>
      </c>
      <c r="AQ1755" s="86" t="s">
        <v>7755</v>
      </c>
      <c r="AR1755" s="81" t="s">
        <v>179</v>
      </c>
      <c r="AS1755" s="81">
        <v>0</v>
      </c>
      <c r="AT1755" s="81">
        <v>0</v>
      </c>
      <c r="AU1755" s="81"/>
      <c r="AV1755" s="81"/>
      <c r="AW1755" s="81"/>
      <c r="AX1755" s="81"/>
      <c r="AY1755" s="81"/>
      <c r="AZ1755" s="81"/>
      <c r="BA1755" s="81"/>
      <c r="BB1755" s="81"/>
    </row>
    <row r="1756" spans="1:54" x14ac:dyDescent="0.35">
      <c r="A1756" s="66" t="s">
        <v>4890</v>
      </c>
      <c r="B1756" s="66" t="s">
        <v>4941</v>
      </c>
      <c r="C1756" s="67"/>
      <c r="D1756" s="68"/>
      <c r="E1756" s="69"/>
      <c r="F1756" s="70"/>
      <c r="G1756" s="67"/>
      <c r="H1756" s="71"/>
      <c r="I1756" s="72"/>
      <c r="J1756" s="72"/>
      <c r="K1756" s="36"/>
      <c r="L1756" s="79"/>
      <c r="M1756" s="79"/>
      <c r="N1756" s="74"/>
      <c r="O1756" s="81" t="s">
        <v>693</v>
      </c>
      <c r="P1756" s="83">
        <v>44467.424525462964</v>
      </c>
      <c r="Q1756" s="81" t="s">
        <v>5604</v>
      </c>
      <c r="R1756" s="81"/>
      <c r="S1756" s="81"/>
      <c r="T1756" s="86" t="s">
        <v>979</v>
      </c>
      <c r="U1756" s="84" t="str">
        <f>HYPERLINK("https://pbs.twimg.com/media/FAXNegPUYAAkjOP.jpg")</f>
        <v>https://pbs.twimg.com/media/FAXNegPUYAAkjOP.jpg</v>
      </c>
      <c r="V1756" s="84" t="str">
        <f>HYPERLINK("https://pbs.twimg.com/media/FAXNegPUYAAkjOP.jpg")</f>
        <v>https://pbs.twimg.com/media/FAXNegPUYAAkjOP.jpg</v>
      </c>
      <c r="W1756" s="83">
        <v>44467.424525462964</v>
      </c>
      <c r="X1756" s="89">
        <v>44467</v>
      </c>
      <c r="Y1756" s="86" t="s">
        <v>6553</v>
      </c>
      <c r="Z1756" s="84" t="str">
        <f>HYPERLINK("https://twitter.com/fluffycoupss/status/1442794038512414727")</f>
        <v>https://twitter.com/fluffycoupss/status/1442794038512414727</v>
      </c>
      <c r="AA1756" s="81"/>
      <c r="AB1756" s="81"/>
      <c r="AC1756" s="86" t="s">
        <v>7473</v>
      </c>
      <c r="AD1756" s="81"/>
      <c r="AE1756" s="81" t="b">
        <v>0</v>
      </c>
      <c r="AF1756" s="81">
        <v>0</v>
      </c>
      <c r="AG1756" s="86" t="s">
        <v>2084</v>
      </c>
      <c r="AH1756" s="81" t="b">
        <v>0</v>
      </c>
      <c r="AI1756" s="81" t="s">
        <v>2168</v>
      </c>
      <c r="AJ1756" s="81"/>
      <c r="AK1756" s="86" t="s">
        <v>2084</v>
      </c>
      <c r="AL1756" s="81" t="b">
        <v>0</v>
      </c>
      <c r="AM1756" s="81">
        <v>29</v>
      </c>
      <c r="AN1756" s="86" t="s">
        <v>7539</v>
      </c>
      <c r="AO1756" s="86" t="s">
        <v>2179</v>
      </c>
      <c r="AP1756" s="81" t="b">
        <v>0</v>
      </c>
      <c r="AQ1756" s="86" t="s">
        <v>7539</v>
      </c>
      <c r="AR1756" s="81" t="s">
        <v>179</v>
      </c>
      <c r="AS1756" s="81">
        <v>0</v>
      </c>
      <c r="AT1756" s="81">
        <v>0</v>
      </c>
      <c r="AU1756" s="81"/>
      <c r="AV1756" s="81"/>
      <c r="AW1756" s="81"/>
      <c r="AX1756" s="81"/>
      <c r="AY1756" s="81"/>
      <c r="AZ1756" s="81"/>
      <c r="BA1756" s="81"/>
      <c r="BB1756" s="81"/>
    </row>
    <row r="1757" spans="1:54" x14ac:dyDescent="0.35">
      <c r="A1757" s="66" t="s">
        <v>4891</v>
      </c>
      <c r="B1757" s="66" t="s">
        <v>4941</v>
      </c>
      <c r="C1757" s="67"/>
      <c r="D1757" s="68"/>
      <c r="E1757" s="69"/>
      <c r="F1757" s="70"/>
      <c r="G1757" s="67"/>
      <c r="H1757" s="71"/>
      <c r="I1757" s="72"/>
      <c r="J1757" s="72"/>
      <c r="K1757" s="36"/>
      <c r="L1757" s="79"/>
      <c r="M1757" s="79"/>
      <c r="N1757" s="74"/>
      <c r="O1757" s="81" t="s">
        <v>693</v>
      </c>
      <c r="P1757" s="83">
        <v>44467.425081018519</v>
      </c>
      <c r="Q1757" s="81" t="s">
        <v>5604</v>
      </c>
      <c r="R1757" s="81"/>
      <c r="S1757" s="81"/>
      <c r="T1757" s="86" t="s">
        <v>979</v>
      </c>
      <c r="U1757" s="84" t="str">
        <f>HYPERLINK("https://pbs.twimg.com/media/FAXNegPUYAAkjOP.jpg")</f>
        <v>https://pbs.twimg.com/media/FAXNegPUYAAkjOP.jpg</v>
      </c>
      <c r="V1757" s="84" t="str">
        <f>HYPERLINK("https://pbs.twimg.com/media/FAXNegPUYAAkjOP.jpg")</f>
        <v>https://pbs.twimg.com/media/FAXNegPUYAAkjOP.jpg</v>
      </c>
      <c r="W1757" s="83">
        <v>44467.425081018519</v>
      </c>
      <c r="X1757" s="89">
        <v>44467</v>
      </c>
      <c r="Y1757" s="86" t="s">
        <v>1419</v>
      </c>
      <c r="Z1757" s="84" t="str">
        <f>HYPERLINK("https://twitter.com/kinaleeya/status/1442794240463888390")</f>
        <v>https://twitter.com/kinaleeya/status/1442794240463888390</v>
      </c>
      <c r="AA1757" s="81"/>
      <c r="AB1757" s="81"/>
      <c r="AC1757" s="86" t="s">
        <v>7474</v>
      </c>
      <c r="AD1757" s="81"/>
      <c r="AE1757" s="81" t="b">
        <v>0</v>
      </c>
      <c r="AF1757" s="81">
        <v>0</v>
      </c>
      <c r="AG1757" s="86" t="s">
        <v>2084</v>
      </c>
      <c r="AH1757" s="81" t="b">
        <v>0</v>
      </c>
      <c r="AI1757" s="81" t="s">
        <v>2168</v>
      </c>
      <c r="AJ1757" s="81"/>
      <c r="AK1757" s="86" t="s">
        <v>2084</v>
      </c>
      <c r="AL1757" s="81" t="b">
        <v>0</v>
      </c>
      <c r="AM1757" s="81">
        <v>29</v>
      </c>
      <c r="AN1757" s="86" t="s">
        <v>7539</v>
      </c>
      <c r="AO1757" s="86" t="s">
        <v>2179</v>
      </c>
      <c r="AP1757" s="81" t="b">
        <v>0</v>
      </c>
      <c r="AQ1757" s="86" t="s">
        <v>7539</v>
      </c>
      <c r="AR1757" s="81" t="s">
        <v>179</v>
      </c>
      <c r="AS1757" s="81">
        <v>0</v>
      </c>
      <c r="AT1757" s="81">
        <v>0</v>
      </c>
      <c r="AU1757" s="81"/>
      <c r="AV1757" s="81"/>
      <c r="AW1757" s="81"/>
      <c r="AX1757" s="81"/>
      <c r="AY1757" s="81"/>
      <c r="AZ1757" s="81"/>
      <c r="BA1757" s="81"/>
      <c r="BB1757" s="81"/>
    </row>
    <row r="1758" spans="1:54" x14ac:dyDescent="0.35">
      <c r="A1758" s="66" t="s">
        <v>571</v>
      </c>
      <c r="B1758" s="66" t="s">
        <v>571</v>
      </c>
      <c r="C1758" s="67"/>
      <c r="D1758" s="68"/>
      <c r="E1758" s="69"/>
      <c r="F1758" s="70"/>
      <c r="G1758" s="67"/>
      <c r="H1758" s="71"/>
      <c r="I1758" s="72"/>
      <c r="J1758" s="72"/>
      <c r="K1758" s="36"/>
      <c r="L1758" s="79"/>
      <c r="M1758" s="79"/>
      <c r="N1758" s="74"/>
      <c r="O1758" s="81" t="s">
        <v>179</v>
      </c>
      <c r="P1758" s="83">
        <v>44466.630578703705</v>
      </c>
      <c r="Q1758" s="81" t="s">
        <v>891</v>
      </c>
      <c r="R1758" s="81"/>
      <c r="S1758" s="81"/>
      <c r="T1758" s="81"/>
      <c r="U1758" s="84" t="str">
        <f>HYPERLINK("https://pbs.twimg.com/media/FATP2YPUcAUBhx-.jpg")</f>
        <v>https://pbs.twimg.com/media/FATP2YPUcAUBhx-.jpg</v>
      </c>
      <c r="V1758" s="84" t="str">
        <f>HYPERLINK("https://pbs.twimg.com/media/FATP2YPUcAUBhx-.jpg")</f>
        <v>https://pbs.twimg.com/media/FATP2YPUcAUBhx-.jpg</v>
      </c>
      <c r="W1758" s="83">
        <v>44466.630578703705</v>
      </c>
      <c r="X1758" s="89">
        <v>44466</v>
      </c>
      <c r="Y1758" s="86" t="s">
        <v>1457</v>
      </c>
      <c r="Z1758" s="84" t="str">
        <f>HYPERLINK("https://twitter.com/anwarkhairi/status/1442506321366958083")</f>
        <v>https://twitter.com/anwarkhairi/status/1442506321366958083</v>
      </c>
      <c r="AA1758" s="81"/>
      <c r="AB1758" s="81"/>
      <c r="AC1758" s="86" t="s">
        <v>1953</v>
      </c>
      <c r="AD1758" s="81"/>
      <c r="AE1758" s="81" t="b">
        <v>0</v>
      </c>
      <c r="AF1758" s="81">
        <v>2</v>
      </c>
      <c r="AG1758" s="86" t="s">
        <v>2084</v>
      </c>
      <c r="AH1758" s="81" t="b">
        <v>0</v>
      </c>
      <c r="AI1758" s="81" t="s">
        <v>2167</v>
      </c>
      <c r="AJ1758" s="81"/>
      <c r="AK1758" s="86" t="s">
        <v>2084</v>
      </c>
      <c r="AL1758" s="81" t="b">
        <v>0</v>
      </c>
      <c r="AM1758" s="81">
        <v>4</v>
      </c>
      <c r="AN1758" s="86" t="s">
        <v>2084</v>
      </c>
      <c r="AO1758" s="86" t="s">
        <v>2179</v>
      </c>
      <c r="AP1758" s="81" t="b">
        <v>0</v>
      </c>
      <c r="AQ1758" s="86" t="s">
        <v>1953</v>
      </c>
      <c r="AR1758" s="81" t="s">
        <v>179</v>
      </c>
      <c r="AS1758" s="81">
        <v>0</v>
      </c>
      <c r="AT1758" s="81">
        <v>0</v>
      </c>
      <c r="AU1758" s="81"/>
      <c r="AV1758" s="81"/>
      <c r="AW1758" s="81"/>
      <c r="AX1758" s="81"/>
      <c r="AY1758" s="81"/>
      <c r="AZ1758" s="81"/>
      <c r="BA1758" s="81"/>
      <c r="BB1758" s="81"/>
    </row>
    <row r="1759" spans="1:54" x14ac:dyDescent="0.35">
      <c r="A1759" s="66" t="s">
        <v>4892</v>
      </c>
      <c r="B1759" s="66" t="s">
        <v>571</v>
      </c>
      <c r="C1759" s="67"/>
      <c r="D1759" s="68"/>
      <c r="E1759" s="69"/>
      <c r="F1759" s="70"/>
      <c r="G1759" s="67"/>
      <c r="H1759" s="71"/>
      <c r="I1759" s="72"/>
      <c r="J1759" s="72"/>
      <c r="K1759" s="36"/>
      <c r="L1759" s="79"/>
      <c r="M1759" s="79"/>
      <c r="N1759" s="74"/>
      <c r="O1759" s="81" t="s">
        <v>693</v>
      </c>
      <c r="P1759" s="83">
        <v>44467.425416666665</v>
      </c>
      <c r="Q1759" s="81" t="s">
        <v>891</v>
      </c>
      <c r="R1759" s="81"/>
      <c r="S1759" s="81"/>
      <c r="T1759" s="81"/>
      <c r="U1759" s="84" t="str">
        <f>HYPERLINK("https://pbs.twimg.com/media/FATP2YPUcAUBhx-.jpg")</f>
        <v>https://pbs.twimg.com/media/FATP2YPUcAUBhx-.jpg</v>
      </c>
      <c r="V1759" s="84" t="str">
        <f>HYPERLINK("https://pbs.twimg.com/media/FATP2YPUcAUBhx-.jpg")</f>
        <v>https://pbs.twimg.com/media/FATP2YPUcAUBhx-.jpg</v>
      </c>
      <c r="W1759" s="83">
        <v>44467.425416666665</v>
      </c>
      <c r="X1759" s="89">
        <v>44467</v>
      </c>
      <c r="Y1759" s="86" t="s">
        <v>6554</v>
      </c>
      <c r="Z1759" s="84" t="str">
        <f>HYPERLINK("https://twitter.com/fadhlixzahari/status/1442794363046612992")</f>
        <v>https://twitter.com/fadhlixzahari/status/1442794363046612992</v>
      </c>
      <c r="AA1759" s="81"/>
      <c r="AB1759" s="81"/>
      <c r="AC1759" s="86" t="s">
        <v>7475</v>
      </c>
      <c r="AD1759" s="81"/>
      <c r="AE1759" s="81" t="b">
        <v>0</v>
      </c>
      <c r="AF1759" s="81">
        <v>0</v>
      </c>
      <c r="AG1759" s="86" t="s">
        <v>2084</v>
      </c>
      <c r="AH1759" s="81" t="b">
        <v>0</v>
      </c>
      <c r="AI1759" s="81" t="s">
        <v>2167</v>
      </c>
      <c r="AJ1759" s="81"/>
      <c r="AK1759" s="86" t="s">
        <v>2084</v>
      </c>
      <c r="AL1759" s="81" t="b">
        <v>0</v>
      </c>
      <c r="AM1759" s="81">
        <v>4</v>
      </c>
      <c r="AN1759" s="86" t="s">
        <v>1953</v>
      </c>
      <c r="AO1759" s="86" t="s">
        <v>2179</v>
      </c>
      <c r="AP1759" s="81" t="b">
        <v>0</v>
      </c>
      <c r="AQ1759" s="86" t="s">
        <v>1953</v>
      </c>
      <c r="AR1759" s="81" t="s">
        <v>179</v>
      </c>
      <c r="AS1759" s="81">
        <v>0</v>
      </c>
      <c r="AT1759" s="81">
        <v>0</v>
      </c>
      <c r="AU1759" s="81"/>
      <c r="AV1759" s="81"/>
      <c r="AW1759" s="81"/>
      <c r="AX1759" s="81"/>
      <c r="AY1759" s="81"/>
      <c r="AZ1759" s="81"/>
      <c r="BA1759" s="81"/>
      <c r="BB1759" s="81"/>
    </row>
    <row r="1760" spans="1:54" x14ac:dyDescent="0.35">
      <c r="A1760" s="66" t="s">
        <v>4893</v>
      </c>
      <c r="B1760" s="66" t="s">
        <v>4941</v>
      </c>
      <c r="C1760" s="67"/>
      <c r="D1760" s="68"/>
      <c r="E1760" s="69"/>
      <c r="F1760" s="70"/>
      <c r="G1760" s="67"/>
      <c r="H1760" s="71"/>
      <c r="I1760" s="72"/>
      <c r="J1760" s="72"/>
      <c r="K1760" s="36"/>
      <c r="L1760" s="79"/>
      <c r="M1760" s="79"/>
      <c r="N1760" s="74"/>
      <c r="O1760" s="81" t="s">
        <v>693</v>
      </c>
      <c r="P1760" s="83">
        <v>44467.431250000001</v>
      </c>
      <c r="Q1760" s="81" t="s">
        <v>5604</v>
      </c>
      <c r="R1760" s="81"/>
      <c r="S1760" s="81"/>
      <c r="T1760" s="86" t="s">
        <v>979</v>
      </c>
      <c r="U1760" s="84" t="str">
        <f>HYPERLINK("https://pbs.twimg.com/media/FAXNegPUYAAkjOP.jpg")</f>
        <v>https://pbs.twimg.com/media/FAXNegPUYAAkjOP.jpg</v>
      </c>
      <c r="V1760" s="84" t="str">
        <f>HYPERLINK("https://pbs.twimg.com/media/FAXNegPUYAAkjOP.jpg")</f>
        <v>https://pbs.twimg.com/media/FAXNegPUYAAkjOP.jpg</v>
      </c>
      <c r="W1760" s="83">
        <v>44467.431250000001</v>
      </c>
      <c r="X1760" s="89">
        <v>44467</v>
      </c>
      <c r="Y1760" s="86" t="s">
        <v>6555</v>
      </c>
      <c r="Z1760" s="84" t="str">
        <f>HYPERLINK("https://twitter.com/littlerose_go/status/1442796475474341889")</f>
        <v>https://twitter.com/littlerose_go/status/1442796475474341889</v>
      </c>
      <c r="AA1760" s="81"/>
      <c r="AB1760" s="81"/>
      <c r="AC1760" s="86" t="s">
        <v>7476</v>
      </c>
      <c r="AD1760" s="81"/>
      <c r="AE1760" s="81" t="b">
        <v>0</v>
      </c>
      <c r="AF1760" s="81">
        <v>0</v>
      </c>
      <c r="AG1760" s="86" t="s">
        <v>2084</v>
      </c>
      <c r="AH1760" s="81" t="b">
        <v>0</v>
      </c>
      <c r="AI1760" s="81" t="s">
        <v>2168</v>
      </c>
      <c r="AJ1760" s="81"/>
      <c r="AK1760" s="86" t="s">
        <v>2084</v>
      </c>
      <c r="AL1760" s="81" t="b">
        <v>0</v>
      </c>
      <c r="AM1760" s="81">
        <v>29</v>
      </c>
      <c r="AN1760" s="86" t="s">
        <v>7539</v>
      </c>
      <c r="AO1760" s="86" t="s">
        <v>2179</v>
      </c>
      <c r="AP1760" s="81" t="b">
        <v>0</v>
      </c>
      <c r="AQ1760" s="86" t="s">
        <v>7539</v>
      </c>
      <c r="AR1760" s="81" t="s">
        <v>179</v>
      </c>
      <c r="AS1760" s="81">
        <v>0</v>
      </c>
      <c r="AT1760" s="81">
        <v>0</v>
      </c>
      <c r="AU1760" s="81"/>
      <c r="AV1760" s="81"/>
      <c r="AW1760" s="81"/>
      <c r="AX1760" s="81"/>
      <c r="AY1760" s="81"/>
      <c r="AZ1760" s="81"/>
      <c r="BA1760" s="81"/>
      <c r="BB1760" s="81"/>
    </row>
    <row r="1761" spans="1:54" x14ac:dyDescent="0.35">
      <c r="A1761" s="66" t="s">
        <v>4894</v>
      </c>
      <c r="B1761" s="66" t="s">
        <v>4941</v>
      </c>
      <c r="C1761" s="67"/>
      <c r="D1761" s="68"/>
      <c r="E1761" s="69"/>
      <c r="F1761" s="70"/>
      <c r="G1761" s="67"/>
      <c r="H1761" s="71"/>
      <c r="I1761" s="72"/>
      <c r="J1761" s="72"/>
      <c r="K1761" s="36"/>
      <c r="L1761" s="79"/>
      <c r="M1761" s="79"/>
      <c r="N1761" s="74"/>
      <c r="O1761" s="81" t="s">
        <v>693</v>
      </c>
      <c r="P1761" s="83">
        <v>44467.433287037034</v>
      </c>
      <c r="Q1761" s="81" t="s">
        <v>5604</v>
      </c>
      <c r="R1761" s="81"/>
      <c r="S1761" s="81"/>
      <c r="T1761" s="86" t="s">
        <v>979</v>
      </c>
      <c r="U1761" s="84" t="str">
        <f>HYPERLINK("https://pbs.twimg.com/media/FAXNegPUYAAkjOP.jpg")</f>
        <v>https://pbs.twimg.com/media/FAXNegPUYAAkjOP.jpg</v>
      </c>
      <c r="V1761" s="84" t="str">
        <f>HYPERLINK("https://pbs.twimg.com/media/FAXNegPUYAAkjOP.jpg")</f>
        <v>https://pbs.twimg.com/media/FAXNegPUYAAkjOP.jpg</v>
      </c>
      <c r="W1761" s="83">
        <v>44467.433287037034</v>
      </c>
      <c r="X1761" s="89">
        <v>44467</v>
      </c>
      <c r="Y1761" s="86" t="s">
        <v>6556</v>
      </c>
      <c r="Z1761" s="84" t="str">
        <f>HYPERLINK("https://twitter.com/amirassdina/status/1442797214317776899")</f>
        <v>https://twitter.com/amirassdina/status/1442797214317776899</v>
      </c>
      <c r="AA1761" s="81"/>
      <c r="AB1761" s="81"/>
      <c r="AC1761" s="86" t="s">
        <v>7477</v>
      </c>
      <c r="AD1761" s="81"/>
      <c r="AE1761" s="81" t="b">
        <v>0</v>
      </c>
      <c r="AF1761" s="81">
        <v>0</v>
      </c>
      <c r="AG1761" s="86" t="s">
        <v>2084</v>
      </c>
      <c r="AH1761" s="81" t="b">
        <v>0</v>
      </c>
      <c r="AI1761" s="81" t="s">
        <v>2168</v>
      </c>
      <c r="AJ1761" s="81"/>
      <c r="AK1761" s="86" t="s">
        <v>2084</v>
      </c>
      <c r="AL1761" s="81" t="b">
        <v>0</v>
      </c>
      <c r="AM1761" s="81">
        <v>29</v>
      </c>
      <c r="AN1761" s="86" t="s">
        <v>7539</v>
      </c>
      <c r="AO1761" s="86" t="s">
        <v>2179</v>
      </c>
      <c r="AP1761" s="81" t="b">
        <v>0</v>
      </c>
      <c r="AQ1761" s="86" t="s">
        <v>7539</v>
      </c>
      <c r="AR1761" s="81" t="s">
        <v>179</v>
      </c>
      <c r="AS1761" s="81">
        <v>0</v>
      </c>
      <c r="AT1761" s="81">
        <v>0</v>
      </c>
      <c r="AU1761" s="81"/>
      <c r="AV1761" s="81"/>
      <c r="AW1761" s="81"/>
      <c r="AX1761" s="81"/>
      <c r="AY1761" s="81"/>
      <c r="AZ1761" s="81"/>
      <c r="BA1761" s="81"/>
      <c r="BB1761" s="81"/>
    </row>
    <row r="1762" spans="1:54" x14ac:dyDescent="0.35">
      <c r="A1762" s="66" t="s">
        <v>4895</v>
      </c>
      <c r="B1762" s="66" t="s">
        <v>4941</v>
      </c>
      <c r="C1762" s="67"/>
      <c r="D1762" s="68"/>
      <c r="E1762" s="69"/>
      <c r="F1762" s="70"/>
      <c r="G1762" s="67"/>
      <c r="H1762" s="71"/>
      <c r="I1762" s="72"/>
      <c r="J1762" s="72"/>
      <c r="K1762" s="36"/>
      <c r="L1762" s="79"/>
      <c r="M1762" s="79"/>
      <c r="N1762" s="74"/>
      <c r="O1762" s="81" t="s">
        <v>693</v>
      </c>
      <c r="P1762" s="83">
        <v>44467.443194444444</v>
      </c>
      <c r="Q1762" s="81" t="s">
        <v>5604</v>
      </c>
      <c r="R1762" s="81"/>
      <c r="S1762" s="81"/>
      <c r="T1762" s="86" t="s">
        <v>979</v>
      </c>
      <c r="U1762" s="84" t="str">
        <f>HYPERLINK("https://pbs.twimg.com/media/FAXNegPUYAAkjOP.jpg")</f>
        <v>https://pbs.twimg.com/media/FAXNegPUYAAkjOP.jpg</v>
      </c>
      <c r="V1762" s="84" t="str">
        <f>HYPERLINK("https://pbs.twimg.com/media/FAXNegPUYAAkjOP.jpg")</f>
        <v>https://pbs.twimg.com/media/FAXNegPUYAAkjOP.jpg</v>
      </c>
      <c r="W1762" s="83">
        <v>44467.443194444444</v>
      </c>
      <c r="X1762" s="89">
        <v>44467</v>
      </c>
      <c r="Y1762" s="86" t="s">
        <v>6558</v>
      </c>
      <c r="Z1762" s="84" t="str">
        <f>HYPERLINK("https://twitter.com/f4irywho/status/1442800805061353483")</f>
        <v>https://twitter.com/f4irywho/status/1442800805061353483</v>
      </c>
      <c r="AA1762" s="81"/>
      <c r="AB1762" s="81"/>
      <c r="AC1762" s="86" t="s">
        <v>7479</v>
      </c>
      <c r="AD1762" s="81"/>
      <c r="AE1762" s="81" t="b">
        <v>0</v>
      </c>
      <c r="AF1762" s="81">
        <v>0</v>
      </c>
      <c r="AG1762" s="86" t="s">
        <v>2084</v>
      </c>
      <c r="AH1762" s="81" t="b">
        <v>0</v>
      </c>
      <c r="AI1762" s="81" t="s">
        <v>2168</v>
      </c>
      <c r="AJ1762" s="81"/>
      <c r="AK1762" s="86" t="s">
        <v>2084</v>
      </c>
      <c r="AL1762" s="81" t="b">
        <v>0</v>
      </c>
      <c r="AM1762" s="81">
        <v>29</v>
      </c>
      <c r="AN1762" s="86" t="s">
        <v>7539</v>
      </c>
      <c r="AO1762" s="86" t="s">
        <v>2178</v>
      </c>
      <c r="AP1762" s="81" t="b">
        <v>0</v>
      </c>
      <c r="AQ1762" s="86" t="s">
        <v>7539</v>
      </c>
      <c r="AR1762" s="81" t="s">
        <v>179</v>
      </c>
      <c r="AS1762" s="81">
        <v>0</v>
      </c>
      <c r="AT1762" s="81">
        <v>0</v>
      </c>
      <c r="AU1762" s="81"/>
      <c r="AV1762" s="81"/>
      <c r="AW1762" s="81"/>
      <c r="AX1762" s="81"/>
      <c r="AY1762" s="81"/>
      <c r="AZ1762" s="81"/>
      <c r="BA1762" s="81"/>
      <c r="BB1762" s="81"/>
    </row>
    <row r="1763" spans="1:54" x14ac:dyDescent="0.35">
      <c r="A1763" s="66" t="s">
        <v>12502</v>
      </c>
      <c r="B1763" s="66" t="s">
        <v>5188</v>
      </c>
      <c r="C1763" s="67"/>
      <c r="D1763" s="68"/>
      <c r="E1763" s="69"/>
      <c r="F1763" s="70"/>
      <c r="G1763" s="67"/>
      <c r="H1763" s="71"/>
      <c r="I1763" s="72"/>
      <c r="J1763" s="72"/>
      <c r="K1763" s="36"/>
      <c r="L1763" s="79"/>
      <c r="M1763" s="79"/>
      <c r="N1763" s="74"/>
      <c r="O1763" s="81" t="s">
        <v>696</v>
      </c>
      <c r="P1763" s="83">
        <v>44467.456157407411</v>
      </c>
      <c r="Q1763" s="81" t="s">
        <v>12740</v>
      </c>
      <c r="R1763" s="84" t="str">
        <f>HYPERLINK("https://us02web.zoom.us/j/86022253889")</f>
        <v>https://us02web.zoom.us/j/86022253889</v>
      </c>
      <c r="S1763" s="81" t="s">
        <v>12846</v>
      </c>
      <c r="T1763" s="81"/>
      <c r="U1763" s="84" t="str">
        <f>HYPERLINK("https://pbs.twimg.com/media/FAXf9DMVEAQksAp.jpg")</f>
        <v>https://pbs.twimg.com/media/FAXf9DMVEAQksAp.jpg</v>
      </c>
      <c r="V1763" s="84" t="str">
        <f>HYPERLINK("https://pbs.twimg.com/media/FAXf9DMVEAQksAp.jpg")</f>
        <v>https://pbs.twimg.com/media/FAXf9DMVEAQksAp.jpg</v>
      </c>
      <c r="W1763" s="83">
        <v>44467.456157407411</v>
      </c>
      <c r="X1763" s="89">
        <v>44467</v>
      </c>
      <c r="Y1763" s="86" t="s">
        <v>12881</v>
      </c>
      <c r="Z1763" s="84" t="str">
        <f>HYPERLINK("https://twitter.com/sindonews/status/1442805500735737861")</f>
        <v>https://twitter.com/sindonews/status/1442805500735737861</v>
      </c>
      <c r="AA1763" s="81"/>
      <c r="AB1763" s="81"/>
      <c r="AC1763" s="86" t="s">
        <v>13118</v>
      </c>
      <c r="AD1763" s="81"/>
      <c r="AE1763" s="81" t="b">
        <v>0</v>
      </c>
      <c r="AF1763" s="81">
        <v>0</v>
      </c>
      <c r="AG1763" s="86" t="s">
        <v>2084</v>
      </c>
      <c r="AH1763" s="81" t="b">
        <v>0</v>
      </c>
      <c r="AI1763" s="81" t="s">
        <v>2167</v>
      </c>
      <c r="AJ1763" s="81"/>
      <c r="AK1763" s="86" t="s">
        <v>2084</v>
      </c>
      <c r="AL1763" s="81" t="b">
        <v>0</v>
      </c>
      <c r="AM1763" s="81">
        <v>0</v>
      </c>
      <c r="AN1763" s="86" t="s">
        <v>2084</v>
      </c>
      <c r="AO1763" s="86" t="s">
        <v>2178</v>
      </c>
      <c r="AP1763" s="81" t="b">
        <v>0</v>
      </c>
      <c r="AQ1763" s="86" t="s">
        <v>13118</v>
      </c>
      <c r="AR1763" s="81" t="s">
        <v>179</v>
      </c>
      <c r="AS1763" s="81">
        <v>0</v>
      </c>
      <c r="AT1763" s="81">
        <v>0</v>
      </c>
      <c r="AU1763" s="81"/>
      <c r="AV1763" s="81"/>
      <c r="AW1763" s="81"/>
      <c r="AX1763" s="81"/>
      <c r="AY1763" s="81"/>
      <c r="AZ1763" s="81"/>
      <c r="BA1763" s="81"/>
      <c r="BB1763" s="81"/>
    </row>
    <row r="1764" spans="1:54" x14ac:dyDescent="0.35">
      <c r="A1764" s="66" t="s">
        <v>12503</v>
      </c>
      <c r="B1764" s="66" t="s">
        <v>4941</v>
      </c>
      <c r="C1764" s="67"/>
      <c r="D1764" s="68"/>
      <c r="E1764" s="69"/>
      <c r="F1764" s="70"/>
      <c r="G1764" s="67"/>
      <c r="H1764" s="71"/>
      <c r="I1764" s="72"/>
      <c r="J1764" s="72"/>
      <c r="K1764" s="36"/>
      <c r="L1764" s="79"/>
      <c r="M1764" s="79"/>
      <c r="N1764" s="74"/>
      <c r="O1764" s="81" t="s">
        <v>693</v>
      </c>
      <c r="P1764" s="83">
        <v>44467.467766203707</v>
      </c>
      <c r="Q1764" s="81" t="s">
        <v>5604</v>
      </c>
      <c r="R1764" s="81"/>
      <c r="S1764" s="81"/>
      <c r="T1764" s="86" t="s">
        <v>979</v>
      </c>
      <c r="U1764" s="84" t="str">
        <f>HYPERLINK("https://pbs.twimg.com/media/FAXNegPUYAAkjOP.jpg")</f>
        <v>https://pbs.twimg.com/media/FAXNegPUYAAkjOP.jpg</v>
      </c>
      <c r="V1764" s="84" t="str">
        <f>HYPERLINK("https://pbs.twimg.com/media/FAXNegPUYAAkjOP.jpg")</f>
        <v>https://pbs.twimg.com/media/FAXNegPUYAAkjOP.jpg</v>
      </c>
      <c r="W1764" s="83">
        <v>44467.467766203707</v>
      </c>
      <c r="X1764" s="89">
        <v>44467</v>
      </c>
      <c r="Y1764" s="86" t="s">
        <v>6560</v>
      </c>
      <c r="Z1764" s="84" t="str">
        <f>HYPERLINK("https://twitter.com/jaewoolatte/status/1442809707874308102")</f>
        <v>https://twitter.com/jaewoolatte/status/1442809707874308102</v>
      </c>
      <c r="AA1764" s="81"/>
      <c r="AB1764" s="81"/>
      <c r="AC1764" s="86" t="s">
        <v>7481</v>
      </c>
      <c r="AD1764" s="81"/>
      <c r="AE1764" s="81" t="b">
        <v>0</v>
      </c>
      <c r="AF1764" s="81">
        <v>0</v>
      </c>
      <c r="AG1764" s="86" t="s">
        <v>2084</v>
      </c>
      <c r="AH1764" s="81" t="b">
        <v>0</v>
      </c>
      <c r="AI1764" s="81" t="s">
        <v>2168</v>
      </c>
      <c r="AJ1764" s="81"/>
      <c r="AK1764" s="86" t="s">
        <v>2084</v>
      </c>
      <c r="AL1764" s="81" t="b">
        <v>0</v>
      </c>
      <c r="AM1764" s="81">
        <v>29</v>
      </c>
      <c r="AN1764" s="86" t="s">
        <v>7539</v>
      </c>
      <c r="AO1764" s="86" t="s">
        <v>2179</v>
      </c>
      <c r="AP1764" s="81" t="b">
        <v>0</v>
      </c>
      <c r="AQ1764" s="86" t="s">
        <v>7539</v>
      </c>
      <c r="AR1764" s="81" t="s">
        <v>179</v>
      </c>
      <c r="AS1764" s="81">
        <v>0</v>
      </c>
      <c r="AT1764" s="81">
        <v>0</v>
      </c>
      <c r="AU1764" s="81"/>
      <c r="AV1764" s="81"/>
      <c r="AW1764" s="81"/>
      <c r="AX1764" s="81"/>
      <c r="AY1764" s="81"/>
      <c r="AZ1764" s="81"/>
      <c r="BA1764" s="81"/>
      <c r="BB1764" s="81"/>
    </row>
    <row r="1765" spans="1:54" x14ac:dyDescent="0.35">
      <c r="A1765" s="66" t="s">
        <v>4896</v>
      </c>
      <c r="B1765" s="66" t="s">
        <v>4896</v>
      </c>
      <c r="C1765" s="67"/>
      <c r="D1765" s="68"/>
      <c r="E1765" s="69"/>
      <c r="F1765" s="70"/>
      <c r="G1765" s="67"/>
      <c r="H1765" s="71"/>
      <c r="I1765" s="72"/>
      <c r="J1765" s="72"/>
      <c r="K1765" s="36"/>
      <c r="L1765" s="79"/>
      <c r="M1765" s="79"/>
      <c r="N1765" s="74"/>
      <c r="O1765" s="81" t="s">
        <v>179</v>
      </c>
      <c r="P1765" s="83">
        <v>44467.470543981479</v>
      </c>
      <c r="Q1765" s="81" t="s">
        <v>5607</v>
      </c>
      <c r="R1765" s="84" t="str">
        <f>HYPERLINK("https://www.linkedin.com/slink?code=eADzEKK3")</f>
        <v>https://www.linkedin.com/slink?code=eADzEKK3</v>
      </c>
      <c r="S1765" s="81" t="s">
        <v>5752</v>
      </c>
      <c r="T1765" s="81"/>
      <c r="U1765" s="84" t="str">
        <f>HYPERLINK("https://pbs.twimg.com/media/FAXkskOWUAAwwM7.png")</f>
        <v>https://pbs.twimg.com/media/FAXkskOWUAAwwM7.png</v>
      </c>
      <c r="V1765" s="84" t="str">
        <f>HYPERLINK("https://pbs.twimg.com/media/FAXkskOWUAAwwM7.png")</f>
        <v>https://pbs.twimg.com/media/FAXkskOWUAAwwM7.png</v>
      </c>
      <c r="W1765" s="83">
        <v>44467.470543981479</v>
      </c>
      <c r="X1765" s="89">
        <v>44467</v>
      </c>
      <c r="Y1765" s="86" t="s">
        <v>6561</v>
      </c>
      <c r="Z1765" s="84" t="str">
        <f>HYPERLINK("https://twitter.com/geraleconomia/status/1442810715509870594")</f>
        <v>https://twitter.com/geraleconomia/status/1442810715509870594</v>
      </c>
      <c r="AA1765" s="81"/>
      <c r="AB1765" s="81"/>
      <c r="AC1765" s="86" t="s">
        <v>7482</v>
      </c>
      <c r="AD1765" s="81"/>
      <c r="AE1765" s="81" t="b">
        <v>0</v>
      </c>
      <c r="AF1765" s="81">
        <v>1</v>
      </c>
      <c r="AG1765" s="86" t="s">
        <v>2084</v>
      </c>
      <c r="AH1765" s="81" t="b">
        <v>0</v>
      </c>
      <c r="AI1765" s="81" t="s">
        <v>2171</v>
      </c>
      <c r="AJ1765" s="81"/>
      <c r="AK1765" s="86" t="s">
        <v>2084</v>
      </c>
      <c r="AL1765" s="81" t="b">
        <v>0</v>
      </c>
      <c r="AM1765" s="81">
        <v>0</v>
      </c>
      <c r="AN1765" s="86" t="s">
        <v>2084</v>
      </c>
      <c r="AO1765" s="86" t="s">
        <v>2181</v>
      </c>
      <c r="AP1765" s="81" t="b">
        <v>0</v>
      </c>
      <c r="AQ1765" s="86" t="s">
        <v>7482</v>
      </c>
      <c r="AR1765" s="81" t="s">
        <v>179</v>
      </c>
      <c r="AS1765" s="81">
        <v>0</v>
      </c>
      <c r="AT1765" s="81">
        <v>0</v>
      </c>
      <c r="AU1765" s="81"/>
      <c r="AV1765" s="81"/>
      <c r="AW1765" s="81"/>
      <c r="AX1765" s="81"/>
      <c r="AY1765" s="81"/>
      <c r="AZ1765" s="81"/>
      <c r="BA1765" s="81"/>
      <c r="BB1765" s="81"/>
    </row>
    <row r="1766" spans="1:54" x14ac:dyDescent="0.35">
      <c r="A1766" s="66" t="s">
        <v>4897</v>
      </c>
      <c r="B1766" s="66" t="s">
        <v>596</v>
      </c>
      <c r="C1766" s="67"/>
      <c r="D1766" s="68"/>
      <c r="E1766" s="69"/>
      <c r="F1766" s="70"/>
      <c r="G1766" s="67"/>
      <c r="H1766" s="71"/>
      <c r="I1766" s="72"/>
      <c r="J1766" s="72"/>
      <c r="K1766" s="36"/>
      <c r="L1766" s="79"/>
      <c r="M1766" s="79"/>
      <c r="N1766" s="74"/>
      <c r="O1766" s="81" t="s">
        <v>693</v>
      </c>
      <c r="P1766" s="83">
        <v>44467.474374999998</v>
      </c>
      <c r="Q1766" s="81" t="s">
        <v>701</v>
      </c>
      <c r="R1766" s="84" t="str">
        <f>HYPERLINK("https://api.whatsapp.com/send?phone=6281222353823")</f>
        <v>https://api.whatsapp.com/send?phone=6281222353823</v>
      </c>
      <c r="S1766" s="81" t="s">
        <v>940</v>
      </c>
      <c r="T1766" s="81"/>
      <c r="U1766" s="84" t="str">
        <f>HYPERLINK("https://pbs.twimg.com/media/E_P_XMQWYAUXeaR.jpg")</f>
        <v>https://pbs.twimg.com/media/E_P_XMQWYAUXeaR.jpg</v>
      </c>
      <c r="V1766" s="84" t="str">
        <f>HYPERLINK("https://pbs.twimg.com/media/E_P_XMQWYAUXeaR.jpg")</f>
        <v>https://pbs.twimg.com/media/E_P_XMQWYAUXeaR.jpg</v>
      </c>
      <c r="W1766" s="83">
        <v>44467.474374999998</v>
      </c>
      <c r="X1766" s="89">
        <v>44467</v>
      </c>
      <c r="Y1766" s="86" t="s">
        <v>6562</v>
      </c>
      <c r="Z1766" s="84" t="str">
        <f>HYPERLINK("https://twitter.com/rainaverina/status/1442812102444392448")</f>
        <v>https://twitter.com/rainaverina/status/1442812102444392448</v>
      </c>
      <c r="AA1766" s="81"/>
      <c r="AB1766" s="81"/>
      <c r="AC1766" s="86" t="s">
        <v>7483</v>
      </c>
      <c r="AD1766" s="81"/>
      <c r="AE1766" s="81" t="b">
        <v>0</v>
      </c>
      <c r="AF1766" s="81">
        <v>0</v>
      </c>
      <c r="AG1766" s="86" t="s">
        <v>2084</v>
      </c>
      <c r="AH1766" s="81" t="b">
        <v>0</v>
      </c>
      <c r="AI1766" s="81" t="s">
        <v>2167</v>
      </c>
      <c r="AJ1766" s="81"/>
      <c r="AK1766" s="86" t="s">
        <v>2084</v>
      </c>
      <c r="AL1766" s="81" t="b">
        <v>0</v>
      </c>
      <c r="AM1766" s="81">
        <v>51</v>
      </c>
      <c r="AN1766" s="86" t="s">
        <v>2005</v>
      </c>
      <c r="AO1766" s="86" t="s">
        <v>2178</v>
      </c>
      <c r="AP1766" s="81" t="b">
        <v>0</v>
      </c>
      <c r="AQ1766" s="86" t="s">
        <v>2005</v>
      </c>
      <c r="AR1766" s="81" t="s">
        <v>179</v>
      </c>
      <c r="AS1766" s="81">
        <v>0</v>
      </c>
      <c r="AT1766" s="81">
        <v>0</v>
      </c>
      <c r="AU1766" s="81"/>
      <c r="AV1766" s="81"/>
      <c r="AW1766" s="81"/>
      <c r="AX1766" s="81"/>
      <c r="AY1766" s="81"/>
      <c r="AZ1766" s="81"/>
      <c r="BA1766" s="81"/>
      <c r="BB1766" s="81"/>
    </row>
    <row r="1767" spans="1:54" x14ac:dyDescent="0.35">
      <c r="A1767" s="66" t="s">
        <v>4898</v>
      </c>
      <c r="B1767" s="66" t="s">
        <v>4941</v>
      </c>
      <c r="C1767" s="67"/>
      <c r="D1767" s="68"/>
      <c r="E1767" s="69"/>
      <c r="F1767" s="70"/>
      <c r="G1767" s="67"/>
      <c r="H1767" s="71"/>
      <c r="I1767" s="72"/>
      <c r="J1767" s="72"/>
      <c r="K1767" s="36"/>
      <c r="L1767" s="79"/>
      <c r="M1767" s="79"/>
      <c r="N1767" s="74"/>
      <c r="O1767" s="81" t="s">
        <v>693</v>
      </c>
      <c r="P1767" s="83">
        <v>44467.478379629632</v>
      </c>
      <c r="Q1767" s="81" t="s">
        <v>5604</v>
      </c>
      <c r="R1767" s="81"/>
      <c r="S1767" s="81"/>
      <c r="T1767" s="86" t="s">
        <v>979</v>
      </c>
      <c r="U1767" s="84" t="str">
        <f>HYPERLINK("https://pbs.twimg.com/media/FAXNegPUYAAkjOP.jpg")</f>
        <v>https://pbs.twimg.com/media/FAXNegPUYAAkjOP.jpg</v>
      </c>
      <c r="V1767" s="84" t="str">
        <f>HYPERLINK("https://pbs.twimg.com/media/FAXNegPUYAAkjOP.jpg")</f>
        <v>https://pbs.twimg.com/media/FAXNegPUYAAkjOP.jpg</v>
      </c>
      <c r="W1767" s="83">
        <v>44467.478379629632</v>
      </c>
      <c r="X1767" s="89">
        <v>44467</v>
      </c>
      <c r="Y1767" s="86" t="s">
        <v>6563</v>
      </c>
      <c r="Z1767" s="84" t="str">
        <f>HYPERLINK("https://twitter.com/luvlych4nhee/status/1442813554306916365")</f>
        <v>https://twitter.com/luvlych4nhee/status/1442813554306916365</v>
      </c>
      <c r="AA1767" s="81"/>
      <c r="AB1767" s="81"/>
      <c r="AC1767" s="86" t="s">
        <v>7484</v>
      </c>
      <c r="AD1767" s="81"/>
      <c r="AE1767" s="81" t="b">
        <v>0</v>
      </c>
      <c r="AF1767" s="81">
        <v>0</v>
      </c>
      <c r="AG1767" s="86" t="s">
        <v>2084</v>
      </c>
      <c r="AH1767" s="81" t="b">
        <v>0</v>
      </c>
      <c r="AI1767" s="81" t="s">
        <v>2168</v>
      </c>
      <c r="AJ1767" s="81"/>
      <c r="AK1767" s="86" t="s">
        <v>2084</v>
      </c>
      <c r="AL1767" s="81" t="b">
        <v>0</v>
      </c>
      <c r="AM1767" s="81">
        <v>29</v>
      </c>
      <c r="AN1767" s="86" t="s">
        <v>7539</v>
      </c>
      <c r="AO1767" s="86" t="s">
        <v>2179</v>
      </c>
      <c r="AP1767" s="81" t="b">
        <v>0</v>
      </c>
      <c r="AQ1767" s="86" t="s">
        <v>7539</v>
      </c>
      <c r="AR1767" s="81" t="s">
        <v>179</v>
      </c>
      <c r="AS1767" s="81">
        <v>0</v>
      </c>
      <c r="AT1767" s="81">
        <v>0</v>
      </c>
      <c r="AU1767" s="81"/>
      <c r="AV1767" s="81"/>
      <c r="AW1767" s="81"/>
      <c r="AX1767" s="81"/>
      <c r="AY1767" s="81"/>
      <c r="AZ1767" s="81"/>
      <c r="BA1767" s="81"/>
      <c r="BB1767" s="81"/>
    </row>
    <row r="1768" spans="1:54" x14ac:dyDescent="0.35">
      <c r="A1768" s="66" t="s">
        <v>545</v>
      </c>
      <c r="B1768" s="66" t="s">
        <v>545</v>
      </c>
      <c r="C1768" s="67"/>
      <c r="D1768" s="68"/>
      <c r="E1768" s="69"/>
      <c r="F1768" s="70"/>
      <c r="G1768" s="67"/>
      <c r="H1768" s="71"/>
      <c r="I1768" s="72"/>
      <c r="J1768" s="72"/>
      <c r="K1768" s="36"/>
      <c r="L1768" s="79"/>
      <c r="M1768" s="79"/>
      <c r="N1768" s="74"/>
      <c r="O1768" s="81" t="s">
        <v>179</v>
      </c>
      <c r="P1768" s="83">
        <v>44466.519467592596</v>
      </c>
      <c r="Q1768" s="81" t="s">
        <v>883</v>
      </c>
      <c r="R1768" s="81"/>
      <c r="S1768" s="81"/>
      <c r="T1768" s="81"/>
      <c r="U1768" s="81"/>
      <c r="V1768" s="84" t="str">
        <f>HYPERLINK("https://pbs.twimg.com/profile_images/1438541233249394698/xzEkQyB7_normal.jpg")</f>
        <v>https://pbs.twimg.com/profile_images/1438541233249394698/xzEkQyB7_normal.jpg</v>
      </c>
      <c r="W1768" s="83">
        <v>44466.519467592596</v>
      </c>
      <c r="X1768" s="89">
        <v>44466</v>
      </c>
      <c r="Y1768" s="86" t="s">
        <v>1428</v>
      </c>
      <c r="Z1768" s="84" t="str">
        <f>HYPERLINK("https://twitter.com/joshyyyy111/status/1442466055654305802")</f>
        <v>https://twitter.com/joshyyyy111/status/1442466055654305802</v>
      </c>
      <c r="AA1768" s="81"/>
      <c r="AB1768" s="81"/>
      <c r="AC1768" s="86" t="s">
        <v>1924</v>
      </c>
      <c r="AD1768" s="86" t="s">
        <v>2078</v>
      </c>
      <c r="AE1768" s="81" t="b">
        <v>0</v>
      </c>
      <c r="AF1768" s="81">
        <v>0</v>
      </c>
      <c r="AG1768" s="86" t="s">
        <v>2161</v>
      </c>
      <c r="AH1768" s="81" t="b">
        <v>0</v>
      </c>
      <c r="AI1768" s="81" t="s">
        <v>2175</v>
      </c>
      <c r="AJ1768" s="81"/>
      <c r="AK1768" s="86" t="s">
        <v>2084</v>
      </c>
      <c r="AL1768" s="81" t="b">
        <v>0</v>
      </c>
      <c r="AM1768" s="81">
        <v>0</v>
      </c>
      <c r="AN1768" s="86" t="s">
        <v>2084</v>
      </c>
      <c r="AO1768" s="86" t="s">
        <v>2179</v>
      </c>
      <c r="AP1768" s="81" t="b">
        <v>0</v>
      </c>
      <c r="AQ1768" s="86" t="s">
        <v>2078</v>
      </c>
      <c r="AR1768" s="81" t="s">
        <v>179</v>
      </c>
      <c r="AS1768" s="81">
        <v>0</v>
      </c>
      <c r="AT1768" s="81">
        <v>0</v>
      </c>
      <c r="AU1768" s="81"/>
      <c r="AV1768" s="81"/>
      <c r="AW1768" s="81"/>
      <c r="AX1768" s="81"/>
      <c r="AY1768" s="81"/>
      <c r="AZ1768" s="81"/>
      <c r="BA1768" s="81"/>
      <c r="BB1768" s="81"/>
    </row>
    <row r="1769" spans="1:54" x14ac:dyDescent="0.35">
      <c r="A1769" s="66" t="s">
        <v>545</v>
      </c>
      <c r="B1769" s="66" t="s">
        <v>4941</v>
      </c>
      <c r="C1769" s="67"/>
      <c r="D1769" s="68"/>
      <c r="E1769" s="69"/>
      <c r="F1769" s="70"/>
      <c r="G1769" s="67"/>
      <c r="H1769" s="71"/>
      <c r="I1769" s="72"/>
      <c r="J1769" s="72"/>
      <c r="K1769" s="36"/>
      <c r="L1769" s="79"/>
      <c r="M1769" s="79"/>
      <c r="N1769" s="74"/>
      <c r="O1769" s="81" t="s">
        <v>693</v>
      </c>
      <c r="P1769" s="83">
        <v>44467.481388888889</v>
      </c>
      <c r="Q1769" s="81" t="s">
        <v>5604</v>
      </c>
      <c r="R1769" s="81"/>
      <c r="S1769" s="81"/>
      <c r="T1769" s="86" t="s">
        <v>979</v>
      </c>
      <c r="U1769" s="84" t="str">
        <f>HYPERLINK("https://pbs.twimg.com/media/FAXNegPUYAAkjOP.jpg")</f>
        <v>https://pbs.twimg.com/media/FAXNegPUYAAkjOP.jpg</v>
      </c>
      <c r="V1769" s="84" t="str">
        <f>HYPERLINK("https://pbs.twimg.com/media/FAXNegPUYAAkjOP.jpg")</f>
        <v>https://pbs.twimg.com/media/FAXNegPUYAAkjOP.jpg</v>
      </c>
      <c r="W1769" s="83">
        <v>44467.481388888889</v>
      </c>
      <c r="X1769" s="89">
        <v>44467</v>
      </c>
      <c r="Y1769" s="86" t="s">
        <v>6564</v>
      </c>
      <c r="Z1769" s="84" t="str">
        <f>HYPERLINK("https://twitter.com/joshyyyy111/status/1442814644255559680")</f>
        <v>https://twitter.com/joshyyyy111/status/1442814644255559680</v>
      </c>
      <c r="AA1769" s="81"/>
      <c r="AB1769" s="81"/>
      <c r="AC1769" s="86" t="s">
        <v>7485</v>
      </c>
      <c r="AD1769" s="81"/>
      <c r="AE1769" s="81" t="b">
        <v>0</v>
      </c>
      <c r="AF1769" s="81">
        <v>0</v>
      </c>
      <c r="AG1769" s="86" t="s">
        <v>2084</v>
      </c>
      <c r="AH1769" s="81" t="b">
        <v>0</v>
      </c>
      <c r="AI1769" s="81" t="s">
        <v>2168</v>
      </c>
      <c r="AJ1769" s="81"/>
      <c r="AK1769" s="86" t="s">
        <v>2084</v>
      </c>
      <c r="AL1769" s="81" t="b">
        <v>0</v>
      </c>
      <c r="AM1769" s="81">
        <v>29</v>
      </c>
      <c r="AN1769" s="86" t="s">
        <v>7539</v>
      </c>
      <c r="AO1769" s="86" t="s">
        <v>2179</v>
      </c>
      <c r="AP1769" s="81" t="b">
        <v>0</v>
      </c>
      <c r="AQ1769" s="86" t="s">
        <v>7539</v>
      </c>
      <c r="AR1769" s="81" t="s">
        <v>179</v>
      </c>
      <c r="AS1769" s="81">
        <v>0</v>
      </c>
      <c r="AT1769" s="81">
        <v>0</v>
      </c>
      <c r="AU1769" s="81"/>
      <c r="AV1769" s="81"/>
      <c r="AW1769" s="81"/>
      <c r="AX1769" s="81"/>
      <c r="AY1769" s="81"/>
      <c r="AZ1769" s="81"/>
      <c r="BA1769" s="81"/>
      <c r="BB1769" s="81"/>
    </row>
    <row r="1770" spans="1:54" x14ac:dyDescent="0.35">
      <c r="A1770" s="66" t="s">
        <v>4899</v>
      </c>
      <c r="B1770" s="66" t="s">
        <v>4941</v>
      </c>
      <c r="C1770" s="67"/>
      <c r="D1770" s="68"/>
      <c r="E1770" s="69"/>
      <c r="F1770" s="70"/>
      <c r="G1770" s="67"/>
      <c r="H1770" s="71"/>
      <c r="I1770" s="72"/>
      <c r="J1770" s="72"/>
      <c r="K1770" s="36"/>
      <c r="L1770" s="79"/>
      <c r="M1770" s="79"/>
      <c r="N1770" s="74"/>
      <c r="O1770" s="81" t="s">
        <v>693</v>
      </c>
      <c r="P1770" s="83">
        <v>44467.487326388888</v>
      </c>
      <c r="Q1770" s="81" t="s">
        <v>5604</v>
      </c>
      <c r="R1770" s="81"/>
      <c r="S1770" s="81"/>
      <c r="T1770" s="86" t="s">
        <v>979</v>
      </c>
      <c r="U1770" s="84" t="str">
        <f>HYPERLINK("https://pbs.twimg.com/media/FAXNegPUYAAkjOP.jpg")</f>
        <v>https://pbs.twimg.com/media/FAXNegPUYAAkjOP.jpg</v>
      </c>
      <c r="V1770" s="84" t="str">
        <f>HYPERLINK("https://pbs.twimg.com/media/FAXNegPUYAAkjOP.jpg")</f>
        <v>https://pbs.twimg.com/media/FAXNegPUYAAkjOP.jpg</v>
      </c>
      <c r="W1770" s="83">
        <v>44467.487326388888</v>
      </c>
      <c r="X1770" s="89">
        <v>44467</v>
      </c>
      <c r="Y1770" s="86" t="s">
        <v>6565</v>
      </c>
      <c r="Z1770" s="84" t="str">
        <f>HYPERLINK("https://twitter.com/diamondsjuliet/status/1442816796139003909")</f>
        <v>https://twitter.com/diamondsjuliet/status/1442816796139003909</v>
      </c>
      <c r="AA1770" s="81"/>
      <c r="AB1770" s="81"/>
      <c r="AC1770" s="86" t="s">
        <v>7486</v>
      </c>
      <c r="AD1770" s="81"/>
      <c r="AE1770" s="81" t="b">
        <v>0</v>
      </c>
      <c r="AF1770" s="81">
        <v>0</v>
      </c>
      <c r="AG1770" s="86" t="s">
        <v>2084</v>
      </c>
      <c r="AH1770" s="81" t="b">
        <v>0</v>
      </c>
      <c r="AI1770" s="81" t="s">
        <v>2168</v>
      </c>
      <c r="AJ1770" s="81"/>
      <c r="AK1770" s="86" t="s">
        <v>2084</v>
      </c>
      <c r="AL1770" s="81" t="b">
        <v>0</v>
      </c>
      <c r="AM1770" s="81">
        <v>29</v>
      </c>
      <c r="AN1770" s="86" t="s">
        <v>7539</v>
      </c>
      <c r="AO1770" s="86" t="s">
        <v>2179</v>
      </c>
      <c r="AP1770" s="81" t="b">
        <v>0</v>
      </c>
      <c r="AQ1770" s="86" t="s">
        <v>7539</v>
      </c>
      <c r="AR1770" s="81" t="s">
        <v>179</v>
      </c>
      <c r="AS1770" s="81">
        <v>0</v>
      </c>
      <c r="AT1770" s="81">
        <v>0</v>
      </c>
      <c r="AU1770" s="81"/>
      <c r="AV1770" s="81"/>
      <c r="AW1770" s="81"/>
      <c r="AX1770" s="81"/>
      <c r="AY1770" s="81"/>
      <c r="AZ1770" s="81"/>
      <c r="BA1770" s="81"/>
      <c r="BB1770" s="81"/>
    </row>
    <row r="1771" spans="1:54" x14ac:dyDescent="0.35">
      <c r="A1771" s="66" t="s">
        <v>4900</v>
      </c>
      <c r="B1771" s="66" t="s">
        <v>4941</v>
      </c>
      <c r="C1771" s="67"/>
      <c r="D1771" s="68"/>
      <c r="E1771" s="69"/>
      <c r="F1771" s="70"/>
      <c r="G1771" s="67"/>
      <c r="H1771" s="71"/>
      <c r="I1771" s="72"/>
      <c r="J1771" s="72"/>
      <c r="K1771" s="36"/>
      <c r="L1771" s="79"/>
      <c r="M1771" s="79"/>
      <c r="N1771" s="74"/>
      <c r="O1771" s="81" t="s">
        <v>693</v>
      </c>
      <c r="P1771" s="83">
        <v>44467.492789351854</v>
      </c>
      <c r="Q1771" s="81" t="s">
        <v>5604</v>
      </c>
      <c r="R1771" s="81"/>
      <c r="S1771" s="81"/>
      <c r="T1771" s="86" t="s">
        <v>979</v>
      </c>
      <c r="U1771" s="84" t="str">
        <f>HYPERLINK("https://pbs.twimg.com/media/FAXNegPUYAAkjOP.jpg")</f>
        <v>https://pbs.twimg.com/media/FAXNegPUYAAkjOP.jpg</v>
      </c>
      <c r="V1771" s="84" t="str">
        <f>HYPERLINK("https://pbs.twimg.com/media/FAXNegPUYAAkjOP.jpg")</f>
        <v>https://pbs.twimg.com/media/FAXNegPUYAAkjOP.jpg</v>
      </c>
      <c r="W1771" s="83">
        <v>44467.492789351854</v>
      </c>
      <c r="X1771" s="89">
        <v>44467</v>
      </c>
      <c r="Y1771" s="86" t="s">
        <v>6566</v>
      </c>
      <c r="Z1771" s="84" t="str">
        <f>HYPERLINK("https://twitter.com/ppongric/status/1442818779273064449")</f>
        <v>https://twitter.com/ppongric/status/1442818779273064449</v>
      </c>
      <c r="AA1771" s="81"/>
      <c r="AB1771" s="81"/>
      <c r="AC1771" s="86" t="s">
        <v>7487</v>
      </c>
      <c r="AD1771" s="81"/>
      <c r="AE1771" s="81" t="b">
        <v>0</v>
      </c>
      <c r="AF1771" s="81">
        <v>0</v>
      </c>
      <c r="AG1771" s="86" t="s">
        <v>2084</v>
      </c>
      <c r="AH1771" s="81" t="b">
        <v>0</v>
      </c>
      <c r="AI1771" s="81" t="s">
        <v>2168</v>
      </c>
      <c r="AJ1771" s="81"/>
      <c r="AK1771" s="86" t="s">
        <v>2084</v>
      </c>
      <c r="AL1771" s="81" t="b">
        <v>0</v>
      </c>
      <c r="AM1771" s="81">
        <v>29</v>
      </c>
      <c r="AN1771" s="86" t="s">
        <v>7539</v>
      </c>
      <c r="AO1771" s="86" t="s">
        <v>2179</v>
      </c>
      <c r="AP1771" s="81" t="b">
        <v>0</v>
      </c>
      <c r="AQ1771" s="86" t="s">
        <v>7539</v>
      </c>
      <c r="AR1771" s="81" t="s">
        <v>179</v>
      </c>
      <c r="AS1771" s="81">
        <v>0</v>
      </c>
      <c r="AT1771" s="81">
        <v>0</v>
      </c>
      <c r="AU1771" s="81"/>
      <c r="AV1771" s="81"/>
      <c r="AW1771" s="81"/>
      <c r="AX1771" s="81"/>
      <c r="AY1771" s="81"/>
      <c r="AZ1771" s="81"/>
      <c r="BA1771" s="81"/>
      <c r="BB1771" s="81"/>
    </row>
    <row r="1772" spans="1:54" x14ac:dyDescent="0.35">
      <c r="A1772" s="66" t="s">
        <v>4901</v>
      </c>
      <c r="B1772" s="66" t="s">
        <v>5190</v>
      </c>
      <c r="C1772" s="67"/>
      <c r="D1772" s="68"/>
      <c r="E1772" s="69"/>
      <c r="F1772" s="70"/>
      <c r="G1772" s="67"/>
      <c r="H1772" s="71"/>
      <c r="I1772" s="72"/>
      <c r="J1772" s="72"/>
      <c r="K1772" s="36"/>
      <c r="L1772" s="79"/>
      <c r="M1772" s="79"/>
      <c r="N1772" s="74"/>
      <c r="O1772" s="81" t="s">
        <v>695</v>
      </c>
      <c r="P1772" s="83">
        <v>44467.493668981479</v>
      </c>
      <c r="Q1772" s="81" t="s">
        <v>5608</v>
      </c>
      <c r="R1772" s="81"/>
      <c r="S1772" s="81"/>
      <c r="T1772" s="81"/>
      <c r="U1772" s="81"/>
      <c r="V1772" s="84" t="str">
        <f>HYPERLINK("https://pbs.twimg.com/profile_images/894410793705365504/gKLX0MkN_normal.jpg")</f>
        <v>https://pbs.twimg.com/profile_images/894410793705365504/gKLX0MkN_normal.jpg</v>
      </c>
      <c r="W1772" s="83">
        <v>44467.493668981479</v>
      </c>
      <c r="X1772" s="89">
        <v>44467</v>
      </c>
      <c r="Y1772" s="86" t="s">
        <v>6567</v>
      </c>
      <c r="Z1772" s="84" t="str">
        <f>HYPERLINK("https://twitter.com/pt_transjakarta/status/1442819095104147459")</f>
        <v>https://twitter.com/pt_transjakarta/status/1442819095104147459</v>
      </c>
      <c r="AA1772" s="81"/>
      <c r="AB1772" s="81"/>
      <c r="AC1772" s="86" t="s">
        <v>7488</v>
      </c>
      <c r="AD1772" s="86" t="s">
        <v>7756</v>
      </c>
      <c r="AE1772" s="81" t="b">
        <v>0</v>
      </c>
      <c r="AF1772" s="81">
        <v>0</v>
      </c>
      <c r="AG1772" s="86" t="s">
        <v>7929</v>
      </c>
      <c r="AH1772" s="81" t="b">
        <v>0</v>
      </c>
      <c r="AI1772" s="81" t="s">
        <v>2167</v>
      </c>
      <c r="AJ1772" s="81"/>
      <c r="AK1772" s="86" t="s">
        <v>2084</v>
      </c>
      <c r="AL1772" s="81" t="b">
        <v>0</v>
      </c>
      <c r="AM1772" s="81">
        <v>0</v>
      </c>
      <c r="AN1772" s="86" t="s">
        <v>2084</v>
      </c>
      <c r="AO1772" s="86" t="s">
        <v>2185</v>
      </c>
      <c r="AP1772" s="81" t="b">
        <v>0</v>
      </c>
      <c r="AQ1772" s="86" t="s">
        <v>7756</v>
      </c>
      <c r="AR1772" s="81" t="s">
        <v>179</v>
      </c>
      <c r="AS1772" s="81">
        <v>0</v>
      </c>
      <c r="AT1772" s="81">
        <v>0</v>
      </c>
      <c r="AU1772" s="81"/>
      <c r="AV1772" s="81"/>
      <c r="AW1772" s="81"/>
      <c r="AX1772" s="81"/>
      <c r="AY1772" s="81"/>
      <c r="AZ1772" s="81"/>
      <c r="BA1772" s="81"/>
      <c r="BB1772" s="81"/>
    </row>
    <row r="1773" spans="1:54" x14ac:dyDescent="0.35">
      <c r="A1773" s="66" t="s">
        <v>4902</v>
      </c>
      <c r="B1773" s="66" t="s">
        <v>5191</v>
      </c>
      <c r="C1773" s="67"/>
      <c r="D1773" s="68"/>
      <c r="E1773" s="69"/>
      <c r="F1773" s="70"/>
      <c r="G1773" s="67"/>
      <c r="H1773" s="71"/>
      <c r="I1773" s="72"/>
      <c r="J1773" s="72"/>
      <c r="K1773" s="36"/>
      <c r="L1773" s="79"/>
      <c r="M1773" s="79"/>
      <c r="N1773" s="74"/>
      <c r="O1773" s="81" t="s">
        <v>696</v>
      </c>
      <c r="P1773" s="83">
        <v>44467.500567129631</v>
      </c>
      <c r="Q1773" s="81" t="s">
        <v>5609</v>
      </c>
      <c r="R1773" s="81"/>
      <c r="S1773" s="81"/>
      <c r="T1773" s="86" t="s">
        <v>2171</v>
      </c>
      <c r="U1773" s="81"/>
      <c r="V1773" s="84" t="str">
        <f>HYPERLINK("https://pbs.twimg.com/profile_images/1406588849237725194/15WqYnm4_normal.jpg")</f>
        <v>https://pbs.twimg.com/profile_images/1406588849237725194/15WqYnm4_normal.jpg</v>
      </c>
      <c r="W1773" s="83">
        <v>44467.500567129631</v>
      </c>
      <c r="X1773" s="89">
        <v>44467</v>
      </c>
      <c r="Y1773" s="86" t="s">
        <v>6568</v>
      </c>
      <c r="Z1773" s="84" t="str">
        <f>HYPERLINK("https://twitter.com/nicodemos_r/status/1442821596922720260")</f>
        <v>https://twitter.com/nicodemos_r/status/1442821596922720260</v>
      </c>
      <c r="AA1773" s="81"/>
      <c r="AB1773" s="81"/>
      <c r="AC1773" s="86" t="s">
        <v>7489</v>
      </c>
      <c r="AD1773" s="86" t="s">
        <v>7757</v>
      </c>
      <c r="AE1773" s="81" t="b">
        <v>0</v>
      </c>
      <c r="AF1773" s="81">
        <v>0</v>
      </c>
      <c r="AG1773" s="86" t="s">
        <v>7930</v>
      </c>
      <c r="AH1773" s="81" t="b">
        <v>0</v>
      </c>
      <c r="AI1773" s="81" t="s">
        <v>2171</v>
      </c>
      <c r="AJ1773" s="81"/>
      <c r="AK1773" s="86" t="s">
        <v>2084</v>
      </c>
      <c r="AL1773" s="81" t="b">
        <v>0</v>
      </c>
      <c r="AM1773" s="81">
        <v>0</v>
      </c>
      <c r="AN1773" s="86" t="s">
        <v>2084</v>
      </c>
      <c r="AO1773" s="86" t="s">
        <v>2181</v>
      </c>
      <c r="AP1773" s="81" t="b">
        <v>0</v>
      </c>
      <c r="AQ1773" s="86" t="s">
        <v>7757</v>
      </c>
      <c r="AR1773" s="81" t="s">
        <v>179</v>
      </c>
      <c r="AS1773" s="81">
        <v>0</v>
      </c>
      <c r="AT1773" s="81">
        <v>0</v>
      </c>
      <c r="AU1773" s="81"/>
      <c r="AV1773" s="81"/>
      <c r="AW1773" s="81"/>
      <c r="AX1773" s="81"/>
      <c r="AY1773" s="81"/>
      <c r="AZ1773" s="81"/>
      <c r="BA1773" s="81"/>
      <c r="BB1773" s="81"/>
    </row>
    <row r="1774" spans="1:54" x14ac:dyDescent="0.35">
      <c r="A1774" s="66" t="s">
        <v>4902</v>
      </c>
      <c r="B1774" s="66" t="s">
        <v>5192</v>
      </c>
      <c r="C1774" s="67"/>
      <c r="D1774" s="68"/>
      <c r="E1774" s="69"/>
      <c r="F1774" s="70"/>
      <c r="G1774" s="67"/>
      <c r="H1774" s="71"/>
      <c r="I1774" s="72"/>
      <c r="J1774" s="72"/>
      <c r="K1774" s="36"/>
      <c r="L1774" s="79"/>
      <c r="M1774" s="79"/>
      <c r="N1774" s="74"/>
      <c r="O1774" s="81" t="s">
        <v>696</v>
      </c>
      <c r="P1774" s="83">
        <v>44467.500567129631</v>
      </c>
      <c r="Q1774" s="81" t="s">
        <v>5609</v>
      </c>
      <c r="R1774" s="81"/>
      <c r="S1774" s="81"/>
      <c r="T1774" s="86" t="s">
        <v>2171</v>
      </c>
      <c r="U1774" s="81"/>
      <c r="V1774" s="84" t="str">
        <f>HYPERLINK("https://pbs.twimg.com/profile_images/1406588849237725194/15WqYnm4_normal.jpg")</f>
        <v>https://pbs.twimg.com/profile_images/1406588849237725194/15WqYnm4_normal.jpg</v>
      </c>
      <c r="W1774" s="83">
        <v>44467.500567129631</v>
      </c>
      <c r="X1774" s="89">
        <v>44467</v>
      </c>
      <c r="Y1774" s="86" t="s">
        <v>6568</v>
      </c>
      <c r="Z1774" s="84" t="str">
        <f>HYPERLINK("https://twitter.com/nicodemos_r/status/1442821596922720260")</f>
        <v>https://twitter.com/nicodemos_r/status/1442821596922720260</v>
      </c>
      <c r="AA1774" s="81"/>
      <c r="AB1774" s="81"/>
      <c r="AC1774" s="86" t="s">
        <v>7489</v>
      </c>
      <c r="AD1774" s="86" t="s">
        <v>7757</v>
      </c>
      <c r="AE1774" s="81" t="b">
        <v>0</v>
      </c>
      <c r="AF1774" s="81">
        <v>0</v>
      </c>
      <c r="AG1774" s="86" t="s">
        <v>7930</v>
      </c>
      <c r="AH1774" s="81" t="b">
        <v>0</v>
      </c>
      <c r="AI1774" s="81" t="s">
        <v>2171</v>
      </c>
      <c r="AJ1774" s="81"/>
      <c r="AK1774" s="86" t="s">
        <v>2084</v>
      </c>
      <c r="AL1774" s="81" t="b">
        <v>0</v>
      </c>
      <c r="AM1774" s="81">
        <v>0</v>
      </c>
      <c r="AN1774" s="86" t="s">
        <v>2084</v>
      </c>
      <c r="AO1774" s="86" t="s">
        <v>2181</v>
      </c>
      <c r="AP1774" s="81" t="b">
        <v>0</v>
      </c>
      <c r="AQ1774" s="86" t="s">
        <v>7757</v>
      </c>
      <c r="AR1774" s="81" t="s">
        <v>179</v>
      </c>
      <c r="AS1774" s="81">
        <v>0</v>
      </c>
      <c r="AT1774" s="81">
        <v>0</v>
      </c>
      <c r="AU1774" s="81"/>
      <c r="AV1774" s="81"/>
      <c r="AW1774" s="81"/>
      <c r="AX1774" s="81"/>
      <c r="AY1774" s="81"/>
      <c r="AZ1774" s="81"/>
      <c r="BA1774" s="81"/>
      <c r="BB1774" s="81"/>
    </row>
    <row r="1775" spans="1:54" x14ac:dyDescent="0.35">
      <c r="A1775" s="66" t="s">
        <v>4902</v>
      </c>
      <c r="B1775" s="66" t="s">
        <v>5193</v>
      </c>
      <c r="C1775" s="67"/>
      <c r="D1775" s="68"/>
      <c r="E1775" s="69"/>
      <c r="F1775" s="70"/>
      <c r="G1775" s="67"/>
      <c r="H1775" s="71"/>
      <c r="I1775" s="72"/>
      <c r="J1775" s="72"/>
      <c r="K1775" s="36"/>
      <c r="L1775" s="79"/>
      <c r="M1775" s="79"/>
      <c r="N1775" s="74"/>
      <c r="O1775" s="81" t="s">
        <v>696</v>
      </c>
      <c r="P1775" s="83">
        <v>44467.500567129631</v>
      </c>
      <c r="Q1775" s="81" t="s">
        <v>5609</v>
      </c>
      <c r="R1775" s="81"/>
      <c r="S1775" s="81"/>
      <c r="T1775" s="86" t="s">
        <v>2171</v>
      </c>
      <c r="U1775" s="81"/>
      <c r="V1775" s="84" t="str">
        <f>HYPERLINK("https://pbs.twimg.com/profile_images/1406588849237725194/15WqYnm4_normal.jpg")</f>
        <v>https://pbs.twimg.com/profile_images/1406588849237725194/15WqYnm4_normal.jpg</v>
      </c>
      <c r="W1775" s="83">
        <v>44467.500567129631</v>
      </c>
      <c r="X1775" s="89">
        <v>44467</v>
      </c>
      <c r="Y1775" s="86" t="s">
        <v>6568</v>
      </c>
      <c r="Z1775" s="84" t="str">
        <f>HYPERLINK("https://twitter.com/nicodemos_r/status/1442821596922720260")</f>
        <v>https://twitter.com/nicodemos_r/status/1442821596922720260</v>
      </c>
      <c r="AA1775" s="81"/>
      <c r="AB1775" s="81"/>
      <c r="AC1775" s="86" t="s">
        <v>7489</v>
      </c>
      <c r="AD1775" s="86" t="s">
        <v>7757</v>
      </c>
      <c r="AE1775" s="81" t="b">
        <v>0</v>
      </c>
      <c r="AF1775" s="81">
        <v>0</v>
      </c>
      <c r="AG1775" s="86" t="s">
        <v>7930</v>
      </c>
      <c r="AH1775" s="81" t="b">
        <v>0</v>
      </c>
      <c r="AI1775" s="81" t="s">
        <v>2171</v>
      </c>
      <c r="AJ1775" s="81"/>
      <c r="AK1775" s="86" t="s">
        <v>2084</v>
      </c>
      <c r="AL1775" s="81" t="b">
        <v>0</v>
      </c>
      <c r="AM1775" s="81">
        <v>0</v>
      </c>
      <c r="AN1775" s="86" t="s">
        <v>2084</v>
      </c>
      <c r="AO1775" s="86" t="s">
        <v>2181</v>
      </c>
      <c r="AP1775" s="81" t="b">
        <v>0</v>
      </c>
      <c r="AQ1775" s="86" t="s">
        <v>7757</v>
      </c>
      <c r="AR1775" s="81" t="s">
        <v>179</v>
      </c>
      <c r="AS1775" s="81">
        <v>0</v>
      </c>
      <c r="AT1775" s="81">
        <v>0</v>
      </c>
      <c r="AU1775" s="81"/>
      <c r="AV1775" s="81"/>
      <c r="AW1775" s="81"/>
      <c r="AX1775" s="81"/>
      <c r="AY1775" s="81"/>
      <c r="AZ1775" s="81"/>
      <c r="BA1775" s="81"/>
      <c r="BB1775" s="81"/>
    </row>
    <row r="1776" spans="1:54" x14ac:dyDescent="0.35">
      <c r="A1776" s="66" t="s">
        <v>4902</v>
      </c>
      <c r="B1776" s="66" t="s">
        <v>5194</v>
      </c>
      <c r="C1776" s="67"/>
      <c r="D1776" s="68"/>
      <c r="E1776" s="69"/>
      <c r="F1776" s="70"/>
      <c r="G1776" s="67"/>
      <c r="H1776" s="71"/>
      <c r="I1776" s="72"/>
      <c r="J1776" s="72"/>
      <c r="K1776" s="36"/>
      <c r="L1776" s="79"/>
      <c r="M1776" s="79"/>
      <c r="N1776" s="74"/>
      <c r="O1776" s="81" t="s">
        <v>695</v>
      </c>
      <c r="P1776" s="83">
        <v>44467.500567129631</v>
      </c>
      <c r="Q1776" s="81" t="s">
        <v>5609</v>
      </c>
      <c r="R1776" s="81"/>
      <c r="S1776" s="81"/>
      <c r="T1776" s="86" t="s">
        <v>2171</v>
      </c>
      <c r="U1776" s="81"/>
      <c r="V1776" s="84" t="str">
        <f>HYPERLINK("https://pbs.twimg.com/profile_images/1406588849237725194/15WqYnm4_normal.jpg")</f>
        <v>https://pbs.twimg.com/profile_images/1406588849237725194/15WqYnm4_normal.jpg</v>
      </c>
      <c r="W1776" s="83">
        <v>44467.500567129631</v>
      </c>
      <c r="X1776" s="89">
        <v>44467</v>
      </c>
      <c r="Y1776" s="86" t="s">
        <v>6568</v>
      </c>
      <c r="Z1776" s="84" t="str">
        <f>HYPERLINK("https://twitter.com/nicodemos_r/status/1442821596922720260")</f>
        <v>https://twitter.com/nicodemos_r/status/1442821596922720260</v>
      </c>
      <c r="AA1776" s="81"/>
      <c r="AB1776" s="81"/>
      <c r="AC1776" s="86" t="s">
        <v>7489</v>
      </c>
      <c r="AD1776" s="86" t="s">
        <v>7757</v>
      </c>
      <c r="AE1776" s="81" t="b">
        <v>0</v>
      </c>
      <c r="AF1776" s="81">
        <v>0</v>
      </c>
      <c r="AG1776" s="86" t="s">
        <v>7930</v>
      </c>
      <c r="AH1776" s="81" t="b">
        <v>0</v>
      </c>
      <c r="AI1776" s="81" t="s">
        <v>2171</v>
      </c>
      <c r="AJ1776" s="81"/>
      <c r="AK1776" s="86" t="s">
        <v>2084</v>
      </c>
      <c r="AL1776" s="81" t="b">
        <v>0</v>
      </c>
      <c r="AM1776" s="81">
        <v>0</v>
      </c>
      <c r="AN1776" s="86" t="s">
        <v>2084</v>
      </c>
      <c r="AO1776" s="86" t="s">
        <v>2181</v>
      </c>
      <c r="AP1776" s="81" t="b">
        <v>0</v>
      </c>
      <c r="AQ1776" s="86" t="s">
        <v>7757</v>
      </c>
      <c r="AR1776" s="81" t="s">
        <v>179</v>
      </c>
      <c r="AS1776" s="81">
        <v>0</v>
      </c>
      <c r="AT1776" s="81">
        <v>0</v>
      </c>
      <c r="AU1776" s="81"/>
      <c r="AV1776" s="81"/>
      <c r="AW1776" s="81"/>
      <c r="AX1776" s="81"/>
      <c r="AY1776" s="81"/>
      <c r="AZ1776" s="81"/>
      <c r="BA1776" s="81"/>
      <c r="BB1776" s="81"/>
    </row>
    <row r="1777" spans="1:54" x14ac:dyDescent="0.35">
      <c r="A1777" s="66" t="s">
        <v>4903</v>
      </c>
      <c r="B1777" s="66" t="s">
        <v>5195</v>
      </c>
      <c r="C1777" s="67"/>
      <c r="D1777" s="68"/>
      <c r="E1777" s="69"/>
      <c r="F1777" s="70"/>
      <c r="G1777" s="67"/>
      <c r="H1777" s="71"/>
      <c r="I1777" s="72"/>
      <c r="J1777" s="72"/>
      <c r="K1777" s="36"/>
      <c r="L1777" s="79"/>
      <c r="M1777" s="79"/>
      <c r="N1777" s="74"/>
      <c r="O1777" s="81" t="s">
        <v>696</v>
      </c>
      <c r="P1777" s="83">
        <v>44467.524386574078</v>
      </c>
      <c r="Q1777" s="81" t="s">
        <v>5610</v>
      </c>
      <c r="R1777" s="81"/>
      <c r="S1777" s="81"/>
      <c r="T1777" s="81"/>
      <c r="U1777" s="81"/>
      <c r="V1777" s="84" t="str">
        <f>HYPERLINK("https://pbs.twimg.com/profile_images/1368351973066608642/e16kvgVX_normal.jpg")</f>
        <v>https://pbs.twimg.com/profile_images/1368351973066608642/e16kvgVX_normal.jpg</v>
      </c>
      <c r="W1777" s="83">
        <v>44467.524386574078</v>
      </c>
      <c r="X1777" s="89">
        <v>44467</v>
      </c>
      <c r="Y1777" s="86" t="s">
        <v>6569</v>
      </c>
      <c r="Z1777" s="84" t="str">
        <f>HYPERLINK("https://twitter.com/jsilva_72/status/1442830227584000007")</f>
        <v>https://twitter.com/jsilva_72/status/1442830227584000007</v>
      </c>
      <c r="AA1777" s="81"/>
      <c r="AB1777" s="81"/>
      <c r="AC1777" s="86" t="s">
        <v>7490</v>
      </c>
      <c r="AD1777" s="86" t="s">
        <v>7758</v>
      </c>
      <c r="AE1777" s="81" t="b">
        <v>0</v>
      </c>
      <c r="AF1777" s="81">
        <v>4</v>
      </c>
      <c r="AG1777" s="86" t="s">
        <v>7931</v>
      </c>
      <c r="AH1777" s="81" t="b">
        <v>0</v>
      </c>
      <c r="AI1777" s="81" t="s">
        <v>2171</v>
      </c>
      <c r="AJ1777" s="81"/>
      <c r="AK1777" s="86" t="s">
        <v>2084</v>
      </c>
      <c r="AL1777" s="81" t="b">
        <v>0</v>
      </c>
      <c r="AM1777" s="81">
        <v>0</v>
      </c>
      <c r="AN1777" s="86" t="s">
        <v>2084</v>
      </c>
      <c r="AO1777" s="86" t="s">
        <v>2181</v>
      </c>
      <c r="AP1777" s="81" t="b">
        <v>0</v>
      </c>
      <c r="AQ1777" s="86" t="s">
        <v>7758</v>
      </c>
      <c r="AR1777" s="81" t="s">
        <v>179</v>
      </c>
      <c r="AS1777" s="81">
        <v>0</v>
      </c>
      <c r="AT1777" s="81">
        <v>0</v>
      </c>
      <c r="AU1777" s="81"/>
      <c r="AV1777" s="81"/>
      <c r="AW1777" s="81"/>
      <c r="AX1777" s="81"/>
      <c r="AY1777" s="81"/>
      <c r="AZ1777" s="81"/>
      <c r="BA1777" s="81"/>
      <c r="BB1777" s="81"/>
    </row>
    <row r="1778" spans="1:54" x14ac:dyDescent="0.35">
      <c r="A1778" s="66" t="s">
        <v>4903</v>
      </c>
      <c r="B1778" s="66" t="s">
        <v>5196</v>
      </c>
      <c r="C1778" s="67"/>
      <c r="D1778" s="68"/>
      <c r="E1778" s="69"/>
      <c r="F1778" s="70"/>
      <c r="G1778" s="67"/>
      <c r="H1778" s="71"/>
      <c r="I1778" s="72"/>
      <c r="J1778" s="72"/>
      <c r="K1778" s="36"/>
      <c r="L1778" s="79"/>
      <c r="M1778" s="79"/>
      <c r="N1778" s="74"/>
      <c r="O1778" s="81" t="s">
        <v>695</v>
      </c>
      <c r="P1778" s="83">
        <v>44467.524386574078</v>
      </c>
      <c r="Q1778" s="81" t="s">
        <v>5610</v>
      </c>
      <c r="R1778" s="81"/>
      <c r="S1778" s="81"/>
      <c r="T1778" s="81"/>
      <c r="U1778" s="81"/>
      <c r="V1778" s="84" t="str">
        <f>HYPERLINK("https://pbs.twimg.com/profile_images/1368351973066608642/e16kvgVX_normal.jpg")</f>
        <v>https://pbs.twimg.com/profile_images/1368351973066608642/e16kvgVX_normal.jpg</v>
      </c>
      <c r="W1778" s="83">
        <v>44467.524386574078</v>
      </c>
      <c r="X1778" s="89">
        <v>44467</v>
      </c>
      <c r="Y1778" s="86" t="s">
        <v>6569</v>
      </c>
      <c r="Z1778" s="84" t="str">
        <f>HYPERLINK("https://twitter.com/jsilva_72/status/1442830227584000007")</f>
        <v>https://twitter.com/jsilva_72/status/1442830227584000007</v>
      </c>
      <c r="AA1778" s="81"/>
      <c r="AB1778" s="81"/>
      <c r="AC1778" s="86" t="s">
        <v>7490</v>
      </c>
      <c r="AD1778" s="86" t="s">
        <v>7758</v>
      </c>
      <c r="AE1778" s="81" t="b">
        <v>0</v>
      </c>
      <c r="AF1778" s="81">
        <v>4</v>
      </c>
      <c r="AG1778" s="86" t="s">
        <v>7931</v>
      </c>
      <c r="AH1778" s="81" t="b">
        <v>0</v>
      </c>
      <c r="AI1778" s="81" t="s">
        <v>2171</v>
      </c>
      <c r="AJ1778" s="81"/>
      <c r="AK1778" s="86" t="s">
        <v>2084</v>
      </c>
      <c r="AL1778" s="81" t="b">
        <v>0</v>
      </c>
      <c r="AM1778" s="81">
        <v>0</v>
      </c>
      <c r="AN1778" s="86" t="s">
        <v>2084</v>
      </c>
      <c r="AO1778" s="86" t="s">
        <v>2181</v>
      </c>
      <c r="AP1778" s="81" t="b">
        <v>0</v>
      </c>
      <c r="AQ1778" s="86" t="s">
        <v>7758</v>
      </c>
      <c r="AR1778" s="81" t="s">
        <v>179</v>
      </c>
      <c r="AS1778" s="81">
        <v>0</v>
      </c>
      <c r="AT1778" s="81">
        <v>0</v>
      </c>
      <c r="AU1778" s="81"/>
      <c r="AV1778" s="81"/>
      <c r="AW1778" s="81"/>
      <c r="AX1778" s="81"/>
      <c r="AY1778" s="81"/>
      <c r="AZ1778" s="81"/>
      <c r="BA1778" s="81"/>
      <c r="BB1778" s="81"/>
    </row>
    <row r="1779" spans="1:54" x14ac:dyDescent="0.35">
      <c r="A1779" s="66" t="s">
        <v>4903</v>
      </c>
      <c r="B1779" s="66" t="s">
        <v>5138</v>
      </c>
      <c r="C1779" s="67"/>
      <c r="D1779" s="68"/>
      <c r="E1779" s="69"/>
      <c r="F1779" s="70"/>
      <c r="G1779" s="67"/>
      <c r="H1779" s="71"/>
      <c r="I1779" s="72"/>
      <c r="J1779" s="72"/>
      <c r="K1779" s="36"/>
      <c r="L1779" s="79"/>
      <c r="M1779" s="79"/>
      <c r="N1779" s="74"/>
      <c r="O1779" s="81" t="s">
        <v>696</v>
      </c>
      <c r="P1779" s="83">
        <v>44467.524386574078</v>
      </c>
      <c r="Q1779" s="81" t="s">
        <v>5610</v>
      </c>
      <c r="R1779" s="81"/>
      <c r="S1779" s="81"/>
      <c r="T1779" s="81"/>
      <c r="U1779" s="81"/>
      <c r="V1779" s="84" t="str">
        <f>HYPERLINK("https://pbs.twimg.com/profile_images/1368351973066608642/e16kvgVX_normal.jpg")</f>
        <v>https://pbs.twimg.com/profile_images/1368351973066608642/e16kvgVX_normal.jpg</v>
      </c>
      <c r="W1779" s="83">
        <v>44467.524386574078</v>
      </c>
      <c r="X1779" s="89">
        <v>44467</v>
      </c>
      <c r="Y1779" s="86" t="s">
        <v>6569</v>
      </c>
      <c r="Z1779" s="84" t="str">
        <f>HYPERLINK("https://twitter.com/jsilva_72/status/1442830227584000007")</f>
        <v>https://twitter.com/jsilva_72/status/1442830227584000007</v>
      </c>
      <c r="AA1779" s="81"/>
      <c r="AB1779" s="81"/>
      <c r="AC1779" s="86" t="s">
        <v>7490</v>
      </c>
      <c r="AD1779" s="86" t="s">
        <v>7758</v>
      </c>
      <c r="AE1779" s="81" t="b">
        <v>0</v>
      </c>
      <c r="AF1779" s="81">
        <v>4</v>
      </c>
      <c r="AG1779" s="86" t="s">
        <v>7931</v>
      </c>
      <c r="AH1779" s="81" t="b">
        <v>0</v>
      </c>
      <c r="AI1779" s="81" t="s">
        <v>2171</v>
      </c>
      <c r="AJ1779" s="81"/>
      <c r="AK1779" s="86" t="s">
        <v>2084</v>
      </c>
      <c r="AL1779" s="81" t="b">
        <v>0</v>
      </c>
      <c r="AM1779" s="81">
        <v>0</v>
      </c>
      <c r="AN1779" s="86" t="s">
        <v>2084</v>
      </c>
      <c r="AO1779" s="86" t="s">
        <v>2181</v>
      </c>
      <c r="AP1779" s="81" t="b">
        <v>0</v>
      </c>
      <c r="AQ1779" s="86" t="s">
        <v>7758</v>
      </c>
      <c r="AR1779" s="81" t="s">
        <v>179</v>
      </c>
      <c r="AS1779" s="81">
        <v>0</v>
      </c>
      <c r="AT1779" s="81">
        <v>0</v>
      </c>
      <c r="AU1779" s="81"/>
      <c r="AV1779" s="81"/>
      <c r="AW1779" s="81"/>
      <c r="AX1779" s="81"/>
      <c r="AY1779" s="81"/>
      <c r="AZ1779" s="81"/>
      <c r="BA1779" s="81"/>
      <c r="BB1779" s="81"/>
    </row>
    <row r="1780" spans="1:54" x14ac:dyDescent="0.35">
      <c r="A1780" s="66" t="s">
        <v>4904</v>
      </c>
      <c r="B1780" s="66" t="s">
        <v>5197</v>
      </c>
      <c r="C1780" s="67"/>
      <c r="D1780" s="68"/>
      <c r="E1780" s="69"/>
      <c r="F1780" s="70"/>
      <c r="G1780" s="67"/>
      <c r="H1780" s="71"/>
      <c r="I1780" s="72"/>
      <c r="J1780" s="72"/>
      <c r="K1780" s="36"/>
      <c r="L1780" s="79"/>
      <c r="M1780" s="79"/>
      <c r="N1780" s="74"/>
      <c r="O1780" s="81" t="s">
        <v>696</v>
      </c>
      <c r="P1780" s="83">
        <v>44467.528819444444</v>
      </c>
      <c r="Q1780" s="81" t="s">
        <v>5611</v>
      </c>
      <c r="R1780" s="81"/>
      <c r="S1780" s="81"/>
      <c r="T1780" s="81"/>
      <c r="U1780" s="81"/>
      <c r="V1780" s="84" t="str">
        <f>HYPERLINK("https://pbs.twimg.com/profile_images/1443193746259120136/p6tPHjnq_normal.jpg")</f>
        <v>https://pbs.twimg.com/profile_images/1443193746259120136/p6tPHjnq_normal.jpg</v>
      </c>
      <c r="W1780" s="83">
        <v>44467.528819444444</v>
      </c>
      <c r="X1780" s="89">
        <v>44467</v>
      </c>
      <c r="Y1780" s="86" t="s">
        <v>6570</v>
      </c>
      <c r="Z1780" s="84" t="str">
        <f>HYPERLINK("https://twitter.com/luizcarlosalm19/status/1442831835202048004")</f>
        <v>https://twitter.com/luizcarlosalm19/status/1442831835202048004</v>
      </c>
      <c r="AA1780" s="81"/>
      <c r="AB1780" s="81"/>
      <c r="AC1780" s="86" t="s">
        <v>7491</v>
      </c>
      <c r="AD1780" s="86" t="s">
        <v>7759</v>
      </c>
      <c r="AE1780" s="81" t="b">
        <v>0</v>
      </c>
      <c r="AF1780" s="81">
        <v>2</v>
      </c>
      <c r="AG1780" s="86" t="s">
        <v>7932</v>
      </c>
      <c r="AH1780" s="81" t="b">
        <v>0</v>
      </c>
      <c r="AI1780" s="81" t="s">
        <v>2171</v>
      </c>
      <c r="AJ1780" s="81"/>
      <c r="AK1780" s="86" t="s">
        <v>2084</v>
      </c>
      <c r="AL1780" s="81" t="b">
        <v>0</v>
      </c>
      <c r="AM1780" s="81">
        <v>0</v>
      </c>
      <c r="AN1780" s="86" t="s">
        <v>2084</v>
      </c>
      <c r="AO1780" s="86" t="s">
        <v>2181</v>
      </c>
      <c r="AP1780" s="81" t="b">
        <v>0</v>
      </c>
      <c r="AQ1780" s="86" t="s">
        <v>7759</v>
      </c>
      <c r="AR1780" s="81" t="s">
        <v>179</v>
      </c>
      <c r="AS1780" s="81">
        <v>0</v>
      </c>
      <c r="AT1780" s="81">
        <v>0</v>
      </c>
      <c r="AU1780" s="81"/>
      <c r="AV1780" s="81"/>
      <c r="AW1780" s="81"/>
      <c r="AX1780" s="81"/>
      <c r="AY1780" s="81"/>
      <c r="AZ1780" s="81"/>
      <c r="BA1780" s="81"/>
      <c r="BB1780" s="81"/>
    </row>
    <row r="1781" spans="1:54" x14ac:dyDescent="0.35">
      <c r="A1781" s="66" t="s">
        <v>4904</v>
      </c>
      <c r="B1781" s="66" t="s">
        <v>5198</v>
      </c>
      <c r="C1781" s="67"/>
      <c r="D1781" s="68"/>
      <c r="E1781" s="69"/>
      <c r="F1781" s="70"/>
      <c r="G1781" s="67"/>
      <c r="H1781" s="71"/>
      <c r="I1781" s="72"/>
      <c r="J1781" s="72"/>
      <c r="K1781" s="36"/>
      <c r="L1781" s="79"/>
      <c r="M1781" s="79"/>
      <c r="N1781" s="74"/>
      <c r="O1781" s="81" t="s">
        <v>695</v>
      </c>
      <c r="P1781" s="83">
        <v>44467.528819444444</v>
      </c>
      <c r="Q1781" s="81" t="s">
        <v>5611</v>
      </c>
      <c r="R1781" s="81"/>
      <c r="S1781" s="81"/>
      <c r="T1781" s="81"/>
      <c r="U1781" s="81"/>
      <c r="V1781" s="84" t="str">
        <f>HYPERLINK("https://pbs.twimg.com/profile_images/1443193746259120136/p6tPHjnq_normal.jpg")</f>
        <v>https://pbs.twimg.com/profile_images/1443193746259120136/p6tPHjnq_normal.jpg</v>
      </c>
      <c r="W1781" s="83">
        <v>44467.528819444444</v>
      </c>
      <c r="X1781" s="89">
        <v>44467</v>
      </c>
      <c r="Y1781" s="86" t="s">
        <v>6570</v>
      </c>
      <c r="Z1781" s="84" t="str">
        <f>HYPERLINK("https://twitter.com/luizcarlosalm19/status/1442831835202048004")</f>
        <v>https://twitter.com/luizcarlosalm19/status/1442831835202048004</v>
      </c>
      <c r="AA1781" s="81"/>
      <c r="AB1781" s="81"/>
      <c r="AC1781" s="86" t="s">
        <v>7491</v>
      </c>
      <c r="AD1781" s="86" t="s">
        <v>7759</v>
      </c>
      <c r="AE1781" s="81" t="b">
        <v>0</v>
      </c>
      <c r="AF1781" s="81">
        <v>2</v>
      </c>
      <c r="AG1781" s="86" t="s">
        <v>7932</v>
      </c>
      <c r="AH1781" s="81" t="b">
        <v>0</v>
      </c>
      <c r="AI1781" s="81" t="s">
        <v>2171</v>
      </c>
      <c r="AJ1781" s="81"/>
      <c r="AK1781" s="86" t="s">
        <v>2084</v>
      </c>
      <c r="AL1781" s="81" t="b">
        <v>0</v>
      </c>
      <c r="AM1781" s="81">
        <v>0</v>
      </c>
      <c r="AN1781" s="86" t="s">
        <v>2084</v>
      </c>
      <c r="AO1781" s="86" t="s">
        <v>2181</v>
      </c>
      <c r="AP1781" s="81" t="b">
        <v>0</v>
      </c>
      <c r="AQ1781" s="86" t="s">
        <v>7759</v>
      </c>
      <c r="AR1781" s="81" t="s">
        <v>179</v>
      </c>
      <c r="AS1781" s="81">
        <v>0</v>
      </c>
      <c r="AT1781" s="81">
        <v>0</v>
      </c>
      <c r="AU1781" s="81"/>
      <c r="AV1781" s="81"/>
      <c r="AW1781" s="81"/>
      <c r="AX1781" s="81"/>
      <c r="AY1781" s="81"/>
      <c r="AZ1781" s="81"/>
      <c r="BA1781" s="81"/>
      <c r="BB1781" s="81"/>
    </row>
    <row r="1782" spans="1:54" x14ac:dyDescent="0.35">
      <c r="A1782" s="66" t="s">
        <v>4905</v>
      </c>
      <c r="B1782" s="66" t="s">
        <v>4941</v>
      </c>
      <c r="C1782" s="67"/>
      <c r="D1782" s="68"/>
      <c r="E1782" s="69"/>
      <c r="F1782" s="70"/>
      <c r="G1782" s="67"/>
      <c r="H1782" s="71"/>
      <c r="I1782" s="72"/>
      <c r="J1782" s="72"/>
      <c r="K1782" s="36"/>
      <c r="L1782" s="79"/>
      <c r="M1782" s="79"/>
      <c r="N1782" s="74"/>
      <c r="O1782" s="81" t="s">
        <v>693</v>
      </c>
      <c r="P1782" s="83">
        <v>44467.534525462965</v>
      </c>
      <c r="Q1782" s="81" t="s">
        <v>5604</v>
      </c>
      <c r="R1782" s="81"/>
      <c r="S1782" s="81"/>
      <c r="T1782" s="86" t="s">
        <v>979</v>
      </c>
      <c r="U1782" s="84" t="str">
        <f>HYPERLINK("https://pbs.twimg.com/media/FAXNegPUYAAkjOP.jpg")</f>
        <v>https://pbs.twimg.com/media/FAXNegPUYAAkjOP.jpg</v>
      </c>
      <c r="V1782" s="84" t="str">
        <f>HYPERLINK("https://pbs.twimg.com/media/FAXNegPUYAAkjOP.jpg")</f>
        <v>https://pbs.twimg.com/media/FAXNegPUYAAkjOP.jpg</v>
      </c>
      <c r="W1782" s="83">
        <v>44467.534525462965</v>
      </c>
      <c r="X1782" s="89">
        <v>44467</v>
      </c>
      <c r="Y1782" s="86" t="s">
        <v>6571</v>
      </c>
      <c r="Z1782" s="84" t="str">
        <f>HYPERLINK("https://twitter.com/snwo0412/status/1442833900368056320")</f>
        <v>https://twitter.com/snwo0412/status/1442833900368056320</v>
      </c>
      <c r="AA1782" s="81"/>
      <c r="AB1782" s="81"/>
      <c r="AC1782" s="86" t="s">
        <v>7492</v>
      </c>
      <c r="AD1782" s="81"/>
      <c r="AE1782" s="81" t="b">
        <v>0</v>
      </c>
      <c r="AF1782" s="81">
        <v>0</v>
      </c>
      <c r="AG1782" s="86" t="s">
        <v>2084</v>
      </c>
      <c r="AH1782" s="81" t="b">
        <v>0</v>
      </c>
      <c r="AI1782" s="81" t="s">
        <v>2168</v>
      </c>
      <c r="AJ1782" s="81"/>
      <c r="AK1782" s="86" t="s">
        <v>2084</v>
      </c>
      <c r="AL1782" s="81" t="b">
        <v>0</v>
      </c>
      <c r="AM1782" s="81">
        <v>29</v>
      </c>
      <c r="AN1782" s="86" t="s">
        <v>7539</v>
      </c>
      <c r="AO1782" s="86" t="s">
        <v>2178</v>
      </c>
      <c r="AP1782" s="81" t="b">
        <v>0</v>
      </c>
      <c r="AQ1782" s="86" t="s">
        <v>7539</v>
      </c>
      <c r="AR1782" s="81" t="s">
        <v>179</v>
      </c>
      <c r="AS1782" s="81">
        <v>0</v>
      </c>
      <c r="AT1782" s="81">
        <v>0</v>
      </c>
      <c r="AU1782" s="81"/>
      <c r="AV1782" s="81"/>
      <c r="AW1782" s="81"/>
      <c r="AX1782" s="81"/>
      <c r="AY1782" s="81"/>
      <c r="AZ1782" s="81"/>
      <c r="BA1782" s="81"/>
      <c r="BB1782" s="81"/>
    </row>
    <row r="1783" spans="1:54" x14ac:dyDescent="0.35">
      <c r="A1783" s="66" t="s">
        <v>4906</v>
      </c>
      <c r="B1783" s="66" t="s">
        <v>4906</v>
      </c>
      <c r="C1783" s="67"/>
      <c r="D1783" s="68"/>
      <c r="E1783" s="69"/>
      <c r="F1783" s="70"/>
      <c r="G1783" s="67"/>
      <c r="H1783" s="71"/>
      <c r="I1783" s="72"/>
      <c r="J1783" s="72"/>
      <c r="K1783" s="36"/>
      <c r="L1783" s="79"/>
      <c r="M1783" s="79"/>
      <c r="N1783" s="74"/>
      <c r="O1783" s="81" t="s">
        <v>179</v>
      </c>
      <c r="P1783" s="83">
        <v>44467.538483796299</v>
      </c>
      <c r="Q1783" s="81" t="s">
        <v>5612</v>
      </c>
      <c r="R1783" s="81"/>
      <c r="S1783" s="81"/>
      <c r="T1783" s="81"/>
      <c r="U1783" s="84" t="str">
        <f>HYPERLINK("https://pbs.twimg.com/media/FAX7FoeWYAENYwu.jpg")</f>
        <v>https://pbs.twimg.com/media/FAX7FoeWYAENYwu.jpg</v>
      </c>
      <c r="V1783" s="84" t="str">
        <f>HYPERLINK("https://pbs.twimg.com/media/FAX7FoeWYAENYwu.jpg")</f>
        <v>https://pbs.twimg.com/media/FAX7FoeWYAENYwu.jpg</v>
      </c>
      <c r="W1783" s="83">
        <v>44467.538483796299</v>
      </c>
      <c r="X1783" s="89">
        <v>44467</v>
      </c>
      <c r="Y1783" s="86" t="s">
        <v>6572</v>
      </c>
      <c r="Z1783" s="84" t="str">
        <f>HYPERLINK("https://twitter.com/burnout_pt/status/1442835336179200005")</f>
        <v>https://twitter.com/burnout_pt/status/1442835336179200005</v>
      </c>
      <c r="AA1783" s="81"/>
      <c r="AB1783" s="81"/>
      <c r="AC1783" s="86" t="s">
        <v>7493</v>
      </c>
      <c r="AD1783" s="86" t="s">
        <v>7760</v>
      </c>
      <c r="AE1783" s="81" t="b">
        <v>0</v>
      </c>
      <c r="AF1783" s="81">
        <v>1</v>
      </c>
      <c r="AG1783" s="86" t="s">
        <v>7933</v>
      </c>
      <c r="AH1783" s="81" t="b">
        <v>0</v>
      </c>
      <c r="AI1783" s="81" t="s">
        <v>2171</v>
      </c>
      <c r="AJ1783" s="81"/>
      <c r="AK1783" s="86" t="s">
        <v>2084</v>
      </c>
      <c r="AL1783" s="81" t="b">
        <v>0</v>
      </c>
      <c r="AM1783" s="81">
        <v>0</v>
      </c>
      <c r="AN1783" s="86" t="s">
        <v>2084</v>
      </c>
      <c r="AO1783" s="86" t="s">
        <v>2179</v>
      </c>
      <c r="AP1783" s="81" t="b">
        <v>0</v>
      </c>
      <c r="AQ1783" s="86" t="s">
        <v>7760</v>
      </c>
      <c r="AR1783" s="81" t="s">
        <v>179</v>
      </c>
      <c r="AS1783" s="81">
        <v>0</v>
      </c>
      <c r="AT1783" s="81">
        <v>0</v>
      </c>
      <c r="AU1783" s="81"/>
      <c r="AV1783" s="81"/>
      <c r="AW1783" s="81"/>
      <c r="AX1783" s="81"/>
      <c r="AY1783" s="81"/>
      <c r="AZ1783" s="81"/>
      <c r="BA1783" s="81"/>
      <c r="BB1783" s="81"/>
    </row>
    <row r="1784" spans="1:54" x14ac:dyDescent="0.35">
      <c r="A1784" s="66" t="s">
        <v>4907</v>
      </c>
      <c r="B1784" s="66" t="s">
        <v>4907</v>
      </c>
      <c r="C1784" s="67"/>
      <c r="D1784" s="68"/>
      <c r="E1784" s="69"/>
      <c r="F1784" s="70"/>
      <c r="G1784" s="67"/>
      <c r="H1784" s="71"/>
      <c r="I1784" s="72"/>
      <c r="J1784" s="72"/>
      <c r="K1784" s="36"/>
      <c r="L1784" s="79"/>
      <c r="M1784" s="79"/>
      <c r="N1784" s="74"/>
      <c r="O1784" s="81" t="s">
        <v>179</v>
      </c>
      <c r="P1784" s="83">
        <v>44467.539270833331</v>
      </c>
      <c r="Q1784" s="81" t="s">
        <v>5613</v>
      </c>
      <c r="R1784" s="81"/>
      <c r="S1784" s="81"/>
      <c r="T1784" s="81"/>
      <c r="U1784" s="81"/>
      <c r="V1784" s="84" t="str">
        <f>HYPERLINK("https://pbs.twimg.com/profile_images/3578786308/f17a42493984976ad2ad01337b06b4e9_normal.jpeg")</f>
        <v>https://pbs.twimg.com/profile_images/3578786308/f17a42493984976ad2ad01337b06b4e9_normal.jpeg</v>
      </c>
      <c r="W1784" s="83">
        <v>44467.539270833331</v>
      </c>
      <c r="X1784" s="89">
        <v>44467</v>
      </c>
      <c r="Y1784" s="86" t="s">
        <v>6573</v>
      </c>
      <c r="Z1784" s="84" t="str">
        <f>HYPERLINK("https://twitter.com/lillysol2/status/1442835622876622862")</f>
        <v>https://twitter.com/lillysol2/status/1442835622876622862</v>
      </c>
      <c r="AA1784" s="81"/>
      <c r="AB1784" s="81"/>
      <c r="AC1784" s="86" t="s">
        <v>7494</v>
      </c>
      <c r="AD1784" s="81"/>
      <c r="AE1784" s="81" t="b">
        <v>0</v>
      </c>
      <c r="AF1784" s="81">
        <v>0</v>
      </c>
      <c r="AG1784" s="86" t="s">
        <v>2084</v>
      </c>
      <c r="AH1784" s="81" t="b">
        <v>0</v>
      </c>
      <c r="AI1784" s="81" t="s">
        <v>2171</v>
      </c>
      <c r="AJ1784" s="81"/>
      <c r="AK1784" s="86" t="s">
        <v>2084</v>
      </c>
      <c r="AL1784" s="81" t="b">
        <v>0</v>
      </c>
      <c r="AM1784" s="81">
        <v>0</v>
      </c>
      <c r="AN1784" s="86" t="s">
        <v>2084</v>
      </c>
      <c r="AO1784" s="86" t="s">
        <v>2178</v>
      </c>
      <c r="AP1784" s="81" t="b">
        <v>0</v>
      </c>
      <c r="AQ1784" s="86" t="s">
        <v>7494</v>
      </c>
      <c r="AR1784" s="81" t="s">
        <v>179</v>
      </c>
      <c r="AS1784" s="81">
        <v>0</v>
      </c>
      <c r="AT1784" s="81">
        <v>0</v>
      </c>
      <c r="AU1784" s="81"/>
      <c r="AV1784" s="81"/>
      <c r="AW1784" s="81"/>
      <c r="AX1784" s="81"/>
      <c r="AY1784" s="81"/>
      <c r="AZ1784" s="81"/>
      <c r="BA1784" s="81"/>
      <c r="BB1784" s="81"/>
    </row>
    <row r="1785" spans="1:54" x14ac:dyDescent="0.35">
      <c r="A1785" s="66" t="s">
        <v>4908</v>
      </c>
      <c r="B1785" s="66" t="s">
        <v>4980</v>
      </c>
      <c r="C1785" s="67"/>
      <c r="D1785" s="68"/>
      <c r="E1785" s="69"/>
      <c r="F1785" s="70"/>
      <c r="G1785" s="67"/>
      <c r="H1785" s="71"/>
      <c r="I1785" s="72"/>
      <c r="J1785" s="72"/>
      <c r="K1785" s="36"/>
      <c r="L1785" s="79"/>
      <c r="M1785" s="79"/>
      <c r="N1785" s="74"/>
      <c r="O1785" s="81" t="s">
        <v>695</v>
      </c>
      <c r="P1785" s="83">
        <v>44467.541122685187</v>
      </c>
      <c r="Q1785" s="81" t="s">
        <v>5614</v>
      </c>
      <c r="R1785" s="81"/>
      <c r="S1785" s="81"/>
      <c r="T1785" s="81"/>
      <c r="U1785" s="81"/>
      <c r="V1785" s="84" t="str">
        <f>HYPERLINK("https://pbs.twimg.com/profile_images/1416876836269793283/gHOoyx5N_normal.jpg")</f>
        <v>https://pbs.twimg.com/profile_images/1416876836269793283/gHOoyx5N_normal.jpg</v>
      </c>
      <c r="W1785" s="83">
        <v>44467.541122685187</v>
      </c>
      <c r="X1785" s="89">
        <v>44467</v>
      </c>
      <c r="Y1785" s="86" t="s">
        <v>6574</v>
      </c>
      <c r="Z1785" s="84" t="str">
        <f>HYPERLINK("https://twitter.com/sandovalnascim5/status/1442836290869809155")</f>
        <v>https://twitter.com/sandovalnascim5/status/1442836290869809155</v>
      </c>
      <c r="AA1785" s="81"/>
      <c r="AB1785" s="81"/>
      <c r="AC1785" s="86" t="s">
        <v>7495</v>
      </c>
      <c r="AD1785" s="86" t="s">
        <v>7761</v>
      </c>
      <c r="AE1785" s="81" t="b">
        <v>0</v>
      </c>
      <c r="AF1785" s="81">
        <v>0</v>
      </c>
      <c r="AG1785" s="86" t="s">
        <v>7792</v>
      </c>
      <c r="AH1785" s="81" t="b">
        <v>0</v>
      </c>
      <c r="AI1785" s="81" t="s">
        <v>2171</v>
      </c>
      <c r="AJ1785" s="81"/>
      <c r="AK1785" s="86" t="s">
        <v>2084</v>
      </c>
      <c r="AL1785" s="81" t="b">
        <v>0</v>
      </c>
      <c r="AM1785" s="81">
        <v>0</v>
      </c>
      <c r="AN1785" s="86" t="s">
        <v>2084</v>
      </c>
      <c r="AO1785" s="86" t="s">
        <v>2178</v>
      </c>
      <c r="AP1785" s="81" t="b">
        <v>0</v>
      </c>
      <c r="AQ1785" s="86" t="s">
        <v>7761</v>
      </c>
      <c r="AR1785" s="81" t="s">
        <v>179</v>
      </c>
      <c r="AS1785" s="81">
        <v>0</v>
      </c>
      <c r="AT1785" s="81">
        <v>0</v>
      </c>
      <c r="AU1785" s="81"/>
      <c r="AV1785" s="81"/>
      <c r="AW1785" s="81"/>
      <c r="AX1785" s="81"/>
      <c r="AY1785" s="81"/>
      <c r="AZ1785" s="81"/>
      <c r="BA1785" s="81"/>
      <c r="BB1785" s="81"/>
    </row>
    <row r="1786" spans="1:54" x14ac:dyDescent="0.35">
      <c r="A1786" s="66" t="s">
        <v>4910</v>
      </c>
      <c r="B1786" s="66" t="s">
        <v>4910</v>
      </c>
      <c r="C1786" s="67"/>
      <c r="D1786" s="68"/>
      <c r="E1786" s="69"/>
      <c r="F1786" s="70"/>
      <c r="G1786" s="67"/>
      <c r="H1786" s="71"/>
      <c r="I1786" s="72"/>
      <c r="J1786" s="72"/>
      <c r="K1786" s="36"/>
      <c r="L1786" s="79"/>
      <c r="M1786" s="79"/>
      <c r="N1786" s="74"/>
      <c r="O1786" s="81" t="s">
        <v>179</v>
      </c>
      <c r="P1786" s="83">
        <v>44464.450833333336</v>
      </c>
      <c r="Q1786" s="81" t="s">
        <v>5617</v>
      </c>
      <c r="R1786" s="84" t="str">
        <f>HYPERLINK("https://www.jornaldenegocios.pt/economia/politica-monetaria/detalhe/forum-do-bce-debate-online-o-futuro-pos-pandemia-da-politica-monetaria")</f>
        <v>https://www.jornaldenegocios.pt/economia/politica-monetaria/detalhe/forum-do-bce-debate-online-o-futuro-pos-pandemia-da-politica-monetaria</v>
      </c>
      <c r="S1786" s="81" t="s">
        <v>5754</v>
      </c>
      <c r="T1786" s="81"/>
      <c r="U1786" s="81"/>
      <c r="V1786" s="84" t="str">
        <f>HYPERLINK("https://pbs.twimg.com/profile_images/467304327749455873/KRgRkhDE_normal.jpeg")</f>
        <v>https://pbs.twimg.com/profile_images/467304327749455873/KRgRkhDE_normal.jpeg</v>
      </c>
      <c r="W1786" s="83">
        <v>44464.450833333336</v>
      </c>
      <c r="X1786" s="89">
        <v>44464</v>
      </c>
      <c r="Y1786" s="86" t="s">
        <v>1421</v>
      </c>
      <c r="Z1786" s="84" t="str">
        <f>HYPERLINK("https://twitter.com/jnegocios/status/1441716411089424386")</f>
        <v>https://twitter.com/jnegocios/status/1441716411089424386</v>
      </c>
      <c r="AA1786" s="81"/>
      <c r="AB1786" s="81"/>
      <c r="AC1786" s="86" t="s">
        <v>7498</v>
      </c>
      <c r="AD1786" s="81"/>
      <c r="AE1786" s="81" t="b">
        <v>0</v>
      </c>
      <c r="AF1786" s="81">
        <v>1</v>
      </c>
      <c r="AG1786" s="86" t="s">
        <v>2084</v>
      </c>
      <c r="AH1786" s="81" t="b">
        <v>0</v>
      </c>
      <c r="AI1786" s="81" t="s">
        <v>2171</v>
      </c>
      <c r="AJ1786" s="81"/>
      <c r="AK1786" s="86" t="s">
        <v>2084</v>
      </c>
      <c r="AL1786" s="81" t="b">
        <v>0</v>
      </c>
      <c r="AM1786" s="81">
        <v>0</v>
      </c>
      <c r="AN1786" s="86" t="s">
        <v>2084</v>
      </c>
      <c r="AO1786" s="86" t="s">
        <v>7988</v>
      </c>
      <c r="AP1786" s="81" t="b">
        <v>0</v>
      </c>
      <c r="AQ1786" s="86" t="s">
        <v>7498</v>
      </c>
      <c r="AR1786" s="81" t="s">
        <v>179</v>
      </c>
      <c r="AS1786" s="81">
        <v>0</v>
      </c>
      <c r="AT1786" s="81">
        <v>0</v>
      </c>
      <c r="AU1786" s="81"/>
      <c r="AV1786" s="81"/>
      <c r="AW1786" s="81"/>
      <c r="AX1786" s="81"/>
      <c r="AY1786" s="81"/>
      <c r="AZ1786" s="81"/>
      <c r="BA1786" s="81"/>
      <c r="BB1786" s="81"/>
    </row>
    <row r="1787" spans="1:54" x14ac:dyDescent="0.35">
      <c r="A1787" s="66" t="s">
        <v>4910</v>
      </c>
      <c r="B1787" s="66" t="s">
        <v>4910</v>
      </c>
      <c r="C1787" s="67"/>
      <c r="D1787" s="68"/>
      <c r="E1787" s="69"/>
      <c r="F1787" s="70"/>
      <c r="G1787" s="67"/>
      <c r="H1787" s="71"/>
      <c r="I1787" s="72"/>
      <c r="J1787" s="72"/>
      <c r="K1787" s="36"/>
      <c r="L1787" s="79"/>
      <c r="M1787" s="79"/>
      <c r="N1787" s="74"/>
      <c r="O1787" s="81" t="s">
        <v>179</v>
      </c>
      <c r="P1787" s="83">
        <v>44467.555046296293</v>
      </c>
      <c r="Q1787" s="81" t="s">
        <v>5618</v>
      </c>
      <c r="R1787" s="84" t="str">
        <f>HYPERLINK("https://www.jornaldenegocios.pt/economia/detalhe/bruxelas-ja-adiantou-mais-de-50-mil-milhoes-do-plano-de-recuperacao-pos-covid")</f>
        <v>https://www.jornaldenegocios.pt/economia/detalhe/bruxelas-ja-adiantou-mais-de-50-mil-milhoes-do-plano-de-recuperacao-pos-covid</v>
      </c>
      <c r="S1787" s="81" t="s">
        <v>5754</v>
      </c>
      <c r="T1787" s="81"/>
      <c r="U1787" s="81"/>
      <c r="V1787" s="84" t="str">
        <f>HYPERLINK("https://pbs.twimg.com/profile_images/467304327749455873/KRgRkhDE_normal.jpeg")</f>
        <v>https://pbs.twimg.com/profile_images/467304327749455873/KRgRkhDE_normal.jpeg</v>
      </c>
      <c r="W1787" s="83">
        <v>44467.555046296293</v>
      </c>
      <c r="X1787" s="89">
        <v>44467</v>
      </c>
      <c r="Y1787" s="86" t="s">
        <v>6577</v>
      </c>
      <c r="Z1787" s="84" t="str">
        <f>HYPERLINK("https://twitter.com/jnegocios/status/1442841339272519684")</f>
        <v>https://twitter.com/jnegocios/status/1442841339272519684</v>
      </c>
      <c r="AA1787" s="81"/>
      <c r="AB1787" s="81"/>
      <c r="AC1787" s="86" t="s">
        <v>7499</v>
      </c>
      <c r="AD1787" s="81"/>
      <c r="AE1787" s="81" t="b">
        <v>0</v>
      </c>
      <c r="AF1787" s="81">
        <v>3</v>
      </c>
      <c r="AG1787" s="86" t="s">
        <v>2084</v>
      </c>
      <c r="AH1787" s="81" t="b">
        <v>0</v>
      </c>
      <c r="AI1787" s="81" t="s">
        <v>2171</v>
      </c>
      <c r="AJ1787" s="81"/>
      <c r="AK1787" s="86" t="s">
        <v>2084</v>
      </c>
      <c r="AL1787" s="81" t="b">
        <v>0</v>
      </c>
      <c r="AM1787" s="81">
        <v>1</v>
      </c>
      <c r="AN1787" s="86" t="s">
        <v>2084</v>
      </c>
      <c r="AO1787" s="86" t="s">
        <v>7988</v>
      </c>
      <c r="AP1787" s="81" t="b">
        <v>0</v>
      </c>
      <c r="AQ1787" s="86" t="s">
        <v>7499</v>
      </c>
      <c r="AR1787" s="81" t="s">
        <v>179</v>
      </c>
      <c r="AS1787" s="81">
        <v>0</v>
      </c>
      <c r="AT1787" s="81">
        <v>0</v>
      </c>
      <c r="AU1787" s="81"/>
      <c r="AV1787" s="81"/>
      <c r="AW1787" s="81"/>
      <c r="AX1787" s="81"/>
      <c r="AY1787" s="81"/>
      <c r="AZ1787" s="81"/>
      <c r="BA1787" s="81"/>
      <c r="BB1787" s="81"/>
    </row>
    <row r="1788" spans="1:54" x14ac:dyDescent="0.35">
      <c r="A1788" s="66" t="s">
        <v>4911</v>
      </c>
      <c r="B1788" s="66" t="s">
        <v>4910</v>
      </c>
      <c r="C1788" s="67"/>
      <c r="D1788" s="68"/>
      <c r="E1788" s="69"/>
      <c r="F1788" s="70"/>
      <c r="G1788" s="67"/>
      <c r="H1788" s="71"/>
      <c r="I1788" s="72"/>
      <c r="J1788" s="72"/>
      <c r="K1788" s="36"/>
      <c r="L1788" s="79"/>
      <c r="M1788" s="79"/>
      <c r="N1788" s="74"/>
      <c r="O1788" s="81" t="s">
        <v>693</v>
      </c>
      <c r="P1788" s="83">
        <v>44467.560300925928</v>
      </c>
      <c r="Q1788" s="81" t="s">
        <v>5618</v>
      </c>
      <c r="R1788" s="84" t="str">
        <f>HYPERLINK("https://www.jornaldenegocios.pt/economia/detalhe/bruxelas-ja-adiantou-mais-de-50-mil-milhoes-do-plano-de-recuperacao-pos-covid")</f>
        <v>https://www.jornaldenegocios.pt/economia/detalhe/bruxelas-ja-adiantou-mais-de-50-mil-milhoes-do-plano-de-recuperacao-pos-covid</v>
      </c>
      <c r="S1788" s="81" t="s">
        <v>5754</v>
      </c>
      <c r="T1788" s="81"/>
      <c r="U1788" s="81"/>
      <c r="V1788" s="84" t="str">
        <f>HYPERLINK("https://pbs.twimg.com/profile_images/1284559115159842817/AMlx8-g8_normal.jpg")</f>
        <v>https://pbs.twimg.com/profile_images/1284559115159842817/AMlx8-g8_normal.jpg</v>
      </c>
      <c r="W1788" s="83">
        <v>44467.560300925928</v>
      </c>
      <c r="X1788" s="89">
        <v>44467</v>
      </c>
      <c r="Y1788" s="86" t="s">
        <v>6578</v>
      </c>
      <c r="Z1788" s="84" t="str">
        <f>HYPERLINK("https://twitter.com/acidadebranca/status/1442843240923897857")</f>
        <v>https://twitter.com/acidadebranca/status/1442843240923897857</v>
      </c>
      <c r="AA1788" s="81"/>
      <c r="AB1788" s="81"/>
      <c r="AC1788" s="86" t="s">
        <v>7500</v>
      </c>
      <c r="AD1788" s="81"/>
      <c r="AE1788" s="81" t="b">
        <v>0</v>
      </c>
      <c r="AF1788" s="81">
        <v>0</v>
      </c>
      <c r="AG1788" s="86" t="s">
        <v>2084</v>
      </c>
      <c r="AH1788" s="81" t="b">
        <v>0</v>
      </c>
      <c r="AI1788" s="81" t="s">
        <v>2171</v>
      </c>
      <c r="AJ1788" s="81"/>
      <c r="AK1788" s="86" t="s">
        <v>2084</v>
      </c>
      <c r="AL1788" s="81" t="b">
        <v>0</v>
      </c>
      <c r="AM1788" s="81">
        <v>1</v>
      </c>
      <c r="AN1788" s="86" t="s">
        <v>7499</v>
      </c>
      <c r="AO1788" s="86" t="s">
        <v>2178</v>
      </c>
      <c r="AP1788" s="81" t="b">
        <v>0</v>
      </c>
      <c r="AQ1788" s="86" t="s">
        <v>7499</v>
      </c>
      <c r="AR1788" s="81" t="s">
        <v>179</v>
      </c>
      <c r="AS1788" s="81">
        <v>0</v>
      </c>
      <c r="AT1788" s="81">
        <v>0</v>
      </c>
      <c r="AU1788" s="81"/>
      <c r="AV1788" s="81"/>
      <c r="AW1788" s="81"/>
      <c r="AX1788" s="81"/>
      <c r="AY1788" s="81"/>
      <c r="AZ1788" s="81"/>
      <c r="BA1788" s="81"/>
      <c r="BB1788" s="81"/>
    </row>
    <row r="1789" spans="1:54" x14ac:dyDescent="0.35">
      <c r="A1789" s="66" t="s">
        <v>4912</v>
      </c>
      <c r="B1789" s="66" t="s">
        <v>4912</v>
      </c>
      <c r="C1789" s="67"/>
      <c r="D1789" s="68"/>
      <c r="E1789" s="69"/>
      <c r="F1789" s="70"/>
      <c r="G1789" s="67"/>
      <c r="H1789" s="71"/>
      <c r="I1789" s="72"/>
      <c r="J1789" s="72"/>
      <c r="K1789" s="36"/>
      <c r="L1789" s="79"/>
      <c r="M1789" s="79"/>
      <c r="N1789" s="74"/>
      <c r="O1789" s="81" t="s">
        <v>179</v>
      </c>
      <c r="P1789" s="83">
        <v>44467.564074074071</v>
      </c>
      <c r="Q1789" s="81" t="s">
        <v>5619</v>
      </c>
      <c r="R1789" s="84" t="str">
        <f>HYPERLINK("https://fne.pt/pt/noticias/go/comunicados-edusummit---reflexao-sobre-a-educacao-para-o-pos-pandemia-acontece-ja-este-fim-de-semana")</f>
        <v>https://fne.pt/pt/noticias/go/comunicados-edusummit---reflexao-sobre-a-educacao-para-o-pos-pandemia-acontece-ja-este-fim-de-semana</v>
      </c>
      <c r="S1789" s="81" t="s">
        <v>5755</v>
      </c>
      <c r="T1789" s="81"/>
      <c r="U1789" s="84" t="str">
        <f>HYPERLINK("https://pbs.twimg.com/media/FAYDgxlWUAERyhy.jpg")</f>
        <v>https://pbs.twimg.com/media/FAYDgxlWUAERyhy.jpg</v>
      </c>
      <c r="V1789" s="84" t="str">
        <f>HYPERLINK("https://pbs.twimg.com/media/FAYDgxlWUAERyhy.jpg")</f>
        <v>https://pbs.twimg.com/media/FAYDgxlWUAERyhy.jpg</v>
      </c>
      <c r="W1789" s="83">
        <v>44467.564074074071</v>
      </c>
      <c r="X1789" s="89">
        <v>44467</v>
      </c>
      <c r="Y1789" s="86" t="s">
        <v>6579</v>
      </c>
      <c r="Z1789" s="84" t="str">
        <f>HYPERLINK("https://twitter.com/fneduca/status/1442844610636795905")</f>
        <v>https://twitter.com/fneduca/status/1442844610636795905</v>
      </c>
      <c r="AA1789" s="81"/>
      <c r="AB1789" s="81"/>
      <c r="AC1789" s="86" t="s">
        <v>7501</v>
      </c>
      <c r="AD1789" s="81"/>
      <c r="AE1789" s="81" t="b">
        <v>0</v>
      </c>
      <c r="AF1789" s="81">
        <v>1</v>
      </c>
      <c r="AG1789" s="86" t="s">
        <v>2084</v>
      </c>
      <c r="AH1789" s="81" t="b">
        <v>0</v>
      </c>
      <c r="AI1789" s="81" t="s">
        <v>2171</v>
      </c>
      <c r="AJ1789" s="81"/>
      <c r="AK1789" s="86" t="s">
        <v>2084</v>
      </c>
      <c r="AL1789" s="81" t="b">
        <v>0</v>
      </c>
      <c r="AM1789" s="81">
        <v>0</v>
      </c>
      <c r="AN1789" s="86" t="s">
        <v>2084</v>
      </c>
      <c r="AO1789" s="86" t="s">
        <v>2181</v>
      </c>
      <c r="AP1789" s="81" t="b">
        <v>0</v>
      </c>
      <c r="AQ1789" s="86" t="s">
        <v>7501</v>
      </c>
      <c r="AR1789" s="81" t="s">
        <v>179</v>
      </c>
      <c r="AS1789" s="81">
        <v>0</v>
      </c>
      <c r="AT1789" s="81">
        <v>0</v>
      </c>
      <c r="AU1789" s="81"/>
      <c r="AV1789" s="81"/>
      <c r="AW1789" s="81"/>
      <c r="AX1789" s="81"/>
      <c r="AY1789" s="81"/>
      <c r="AZ1789" s="81"/>
      <c r="BA1789" s="81"/>
      <c r="BB1789" s="81"/>
    </row>
    <row r="1790" spans="1:54" x14ac:dyDescent="0.35">
      <c r="A1790" s="66" t="s">
        <v>4913</v>
      </c>
      <c r="B1790" s="66" t="s">
        <v>4913</v>
      </c>
      <c r="C1790" s="67"/>
      <c r="D1790" s="68"/>
      <c r="E1790" s="69"/>
      <c r="F1790" s="70"/>
      <c r="G1790" s="67"/>
      <c r="H1790" s="71"/>
      <c r="I1790" s="72"/>
      <c r="J1790" s="72"/>
      <c r="K1790" s="36"/>
      <c r="L1790" s="79"/>
      <c r="M1790" s="79"/>
      <c r="N1790" s="74"/>
      <c r="O1790" s="81" t="s">
        <v>179</v>
      </c>
      <c r="P1790" s="83">
        <v>44467.576261574075</v>
      </c>
      <c r="Q1790" s="81" t="s">
        <v>5620</v>
      </c>
      <c r="R1790" s="84" t="str">
        <f>HYPERLINK("https://www.ruc.pt/podcast/ha-vidas-nesta-cidade/percurso-pos-colonial-da-guine-bissau")</f>
        <v>https://www.ruc.pt/podcast/ha-vidas-nesta-cidade/percurso-pos-colonial-da-guine-bissau</v>
      </c>
      <c r="S1790" s="81" t="s">
        <v>5756</v>
      </c>
      <c r="T1790" s="81"/>
      <c r="U1790" s="81"/>
      <c r="V1790" s="84" t="str">
        <f>HYPERLINK("https://pbs.twimg.com/profile_images/1075450080486920192/QdO5TO5e_normal.jpg")</f>
        <v>https://pbs.twimg.com/profile_images/1075450080486920192/QdO5TO5e_normal.jpg</v>
      </c>
      <c r="W1790" s="83">
        <v>44467.576261574075</v>
      </c>
      <c r="X1790" s="89">
        <v>44467</v>
      </c>
      <c r="Y1790" s="86" t="s">
        <v>6580</v>
      </c>
      <c r="Z1790" s="84" t="str">
        <f>HYPERLINK("https://twitter.com/ces_uc/status/1442849026861305865")</f>
        <v>https://twitter.com/ces_uc/status/1442849026861305865</v>
      </c>
      <c r="AA1790" s="81"/>
      <c r="AB1790" s="81"/>
      <c r="AC1790" s="86" t="s">
        <v>7502</v>
      </c>
      <c r="AD1790" s="81"/>
      <c r="AE1790" s="81" t="b">
        <v>0</v>
      </c>
      <c r="AF1790" s="81">
        <v>3</v>
      </c>
      <c r="AG1790" s="86" t="s">
        <v>2084</v>
      </c>
      <c r="AH1790" s="81" t="b">
        <v>0</v>
      </c>
      <c r="AI1790" s="81" t="s">
        <v>2171</v>
      </c>
      <c r="AJ1790" s="81"/>
      <c r="AK1790" s="86" t="s">
        <v>2084</v>
      </c>
      <c r="AL1790" s="81" t="b">
        <v>0</v>
      </c>
      <c r="AM1790" s="81">
        <v>1</v>
      </c>
      <c r="AN1790" s="86" t="s">
        <v>2084</v>
      </c>
      <c r="AO1790" s="86" t="s">
        <v>2181</v>
      </c>
      <c r="AP1790" s="81" t="b">
        <v>0</v>
      </c>
      <c r="AQ1790" s="86" t="s">
        <v>7502</v>
      </c>
      <c r="AR1790" s="81" t="s">
        <v>179</v>
      </c>
      <c r="AS1790" s="81">
        <v>0</v>
      </c>
      <c r="AT1790" s="81">
        <v>0</v>
      </c>
      <c r="AU1790" s="81"/>
      <c r="AV1790" s="81"/>
      <c r="AW1790" s="81"/>
      <c r="AX1790" s="81"/>
      <c r="AY1790" s="81"/>
      <c r="AZ1790" s="81"/>
      <c r="BA1790" s="81"/>
      <c r="BB1790" s="81"/>
    </row>
    <row r="1791" spans="1:54" x14ac:dyDescent="0.35">
      <c r="A1791" s="66" t="s">
        <v>4914</v>
      </c>
      <c r="B1791" s="66" t="s">
        <v>5126</v>
      </c>
      <c r="C1791" s="67"/>
      <c r="D1791" s="68"/>
      <c r="E1791" s="69"/>
      <c r="F1791" s="70"/>
      <c r="G1791" s="67"/>
      <c r="H1791" s="71"/>
      <c r="I1791" s="72"/>
      <c r="J1791" s="72"/>
      <c r="K1791" s="36"/>
      <c r="L1791" s="79"/>
      <c r="M1791" s="79"/>
      <c r="N1791" s="74"/>
      <c r="O1791" s="81" t="s">
        <v>696</v>
      </c>
      <c r="P1791" s="83">
        <v>44467.579236111109</v>
      </c>
      <c r="Q1791" s="81" t="s">
        <v>5621</v>
      </c>
      <c r="R1791" s="81"/>
      <c r="S1791" s="81"/>
      <c r="T1791" s="81"/>
      <c r="U1791" s="81"/>
      <c r="V1791" s="84" t="str">
        <f>HYPERLINK("https://pbs.twimg.com/profile_images/1084512892/mahalo_1_normal.jpg")</f>
        <v>https://pbs.twimg.com/profile_images/1084512892/mahalo_1_normal.jpg</v>
      </c>
      <c r="W1791" s="83">
        <v>44467.579236111109</v>
      </c>
      <c r="X1791" s="89">
        <v>44467</v>
      </c>
      <c r="Y1791" s="86" t="s">
        <v>6581</v>
      </c>
      <c r="Z1791" s="84" t="str">
        <f>HYPERLINK("https://twitter.com/herbettigre/status/1442850105275604994")</f>
        <v>https://twitter.com/herbettigre/status/1442850105275604994</v>
      </c>
      <c r="AA1791" s="81"/>
      <c r="AB1791" s="81"/>
      <c r="AC1791" s="86" t="s">
        <v>7503</v>
      </c>
      <c r="AD1791" s="86" t="s">
        <v>7762</v>
      </c>
      <c r="AE1791" s="81" t="b">
        <v>0</v>
      </c>
      <c r="AF1791" s="81">
        <v>0</v>
      </c>
      <c r="AG1791" s="86" t="s">
        <v>7934</v>
      </c>
      <c r="AH1791" s="81" t="b">
        <v>0</v>
      </c>
      <c r="AI1791" s="81" t="s">
        <v>2171</v>
      </c>
      <c r="AJ1791" s="81"/>
      <c r="AK1791" s="86" t="s">
        <v>2084</v>
      </c>
      <c r="AL1791" s="81" t="b">
        <v>0</v>
      </c>
      <c r="AM1791" s="81">
        <v>0</v>
      </c>
      <c r="AN1791" s="86" t="s">
        <v>2084</v>
      </c>
      <c r="AO1791" s="86" t="s">
        <v>2181</v>
      </c>
      <c r="AP1791" s="81" t="b">
        <v>0</v>
      </c>
      <c r="AQ1791" s="86" t="s">
        <v>7762</v>
      </c>
      <c r="AR1791" s="81" t="s">
        <v>179</v>
      </c>
      <c r="AS1791" s="81">
        <v>0</v>
      </c>
      <c r="AT1791" s="81">
        <v>0</v>
      </c>
      <c r="AU1791" s="81"/>
      <c r="AV1791" s="81"/>
      <c r="AW1791" s="81"/>
      <c r="AX1791" s="81"/>
      <c r="AY1791" s="81"/>
      <c r="AZ1791" s="81"/>
      <c r="BA1791" s="81"/>
      <c r="BB1791" s="81"/>
    </row>
    <row r="1792" spans="1:54" x14ac:dyDescent="0.35">
      <c r="A1792" s="66" t="s">
        <v>4914</v>
      </c>
      <c r="B1792" s="66" t="s">
        <v>5127</v>
      </c>
      <c r="C1792" s="67"/>
      <c r="D1792" s="68"/>
      <c r="E1792" s="69"/>
      <c r="F1792" s="70"/>
      <c r="G1792" s="67"/>
      <c r="H1792" s="71"/>
      <c r="I1792" s="72"/>
      <c r="J1792" s="72"/>
      <c r="K1792" s="36"/>
      <c r="L1792" s="79"/>
      <c r="M1792" s="79"/>
      <c r="N1792" s="74"/>
      <c r="O1792" s="81" t="s">
        <v>696</v>
      </c>
      <c r="P1792" s="83">
        <v>44467.579236111109</v>
      </c>
      <c r="Q1792" s="81" t="s">
        <v>5621</v>
      </c>
      <c r="R1792" s="81"/>
      <c r="S1792" s="81"/>
      <c r="T1792" s="81"/>
      <c r="U1792" s="81"/>
      <c r="V1792" s="84" t="str">
        <f>HYPERLINK("https://pbs.twimg.com/profile_images/1084512892/mahalo_1_normal.jpg")</f>
        <v>https://pbs.twimg.com/profile_images/1084512892/mahalo_1_normal.jpg</v>
      </c>
      <c r="W1792" s="83">
        <v>44467.579236111109</v>
      </c>
      <c r="X1792" s="89">
        <v>44467</v>
      </c>
      <c r="Y1792" s="86" t="s">
        <v>6581</v>
      </c>
      <c r="Z1792" s="84" t="str">
        <f>HYPERLINK("https://twitter.com/herbettigre/status/1442850105275604994")</f>
        <v>https://twitter.com/herbettigre/status/1442850105275604994</v>
      </c>
      <c r="AA1792" s="81"/>
      <c r="AB1792" s="81"/>
      <c r="AC1792" s="86" t="s">
        <v>7503</v>
      </c>
      <c r="AD1792" s="86" t="s">
        <v>7762</v>
      </c>
      <c r="AE1792" s="81" t="b">
        <v>0</v>
      </c>
      <c r="AF1792" s="81">
        <v>0</v>
      </c>
      <c r="AG1792" s="86" t="s">
        <v>7934</v>
      </c>
      <c r="AH1792" s="81" t="b">
        <v>0</v>
      </c>
      <c r="AI1792" s="81" t="s">
        <v>2171</v>
      </c>
      <c r="AJ1792" s="81"/>
      <c r="AK1792" s="86" t="s">
        <v>2084</v>
      </c>
      <c r="AL1792" s="81" t="b">
        <v>0</v>
      </c>
      <c r="AM1792" s="81">
        <v>0</v>
      </c>
      <c r="AN1792" s="86" t="s">
        <v>2084</v>
      </c>
      <c r="AO1792" s="86" t="s">
        <v>2181</v>
      </c>
      <c r="AP1792" s="81" t="b">
        <v>0</v>
      </c>
      <c r="AQ1792" s="86" t="s">
        <v>7762</v>
      </c>
      <c r="AR1792" s="81" t="s">
        <v>179</v>
      </c>
      <c r="AS1792" s="81">
        <v>0</v>
      </c>
      <c r="AT1792" s="81">
        <v>0</v>
      </c>
      <c r="AU1792" s="81"/>
      <c r="AV1792" s="81"/>
      <c r="AW1792" s="81"/>
      <c r="AX1792" s="81"/>
      <c r="AY1792" s="81"/>
      <c r="AZ1792" s="81"/>
      <c r="BA1792" s="81"/>
      <c r="BB1792" s="81"/>
    </row>
    <row r="1793" spans="1:54" x14ac:dyDescent="0.35">
      <c r="A1793" s="66" t="s">
        <v>4914</v>
      </c>
      <c r="B1793" s="66" t="s">
        <v>5199</v>
      </c>
      <c r="C1793" s="67"/>
      <c r="D1793" s="68"/>
      <c r="E1793" s="69"/>
      <c r="F1793" s="70"/>
      <c r="G1793" s="67"/>
      <c r="H1793" s="71"/>
      <c r="I1793" s="72"/>
      <c r="J1793" s="72"/>
      <c r="K1793" s="36"/>
      <c r="L1793" s="79"/>
      <c r="M1793" s="79"/>
      <c r="N1793" s="74"/>
      <c r="O1793" s="81" t="s">
        <v>696</v>
      </c>
      <c r="P1793" s="83">
        <v>44467.579236111109</v>
      </c>
      <c r="Q1793" s="81" t="s">
        <v>5621</v>
      </c>
      <c r="R1793" s="81"/>
      <c r="S1793" s="81"/>
      <c r="T1793" s="81"/>
      <c r="U1793" s="81"/>
      <c r="V1793" s="84" t="str">
        <f>HYPERLINK("https://pbs.twimg.com/profile_images/1084512892/mahalo_1_normal.jpg")</f>
        <v>https://pbs.twimg.com/profile_images/1084512892/mahalo_1_normal.jpg</v>
      </c>
      <c r="W1793" s="83">
        <v>44467.579236111109</v>
      </c>
      <c r="X1793" s="89">
        <v>44467</v>
      </c>
      <c r="Y1793" s="86" t="s">
        <v>6581</v>
      </c>
      <c r="Z1793" s="84" t="str">
        <f>HYPERLINK("https://twitter.com/herbettigre/status/1442850105275604994")</f>
        <v>https://twitter.com/herbettigre/status/1442850105275604994</v>
      </c>
      <c r="AA1793" s="81"/>
      <c r="AB1793" s="81"/>
      <c r="AC1793" s="86" t="s">
        <v>7503</v>
      </c>
      <c r="AD1793" s="86" t="s">
        <v>7762</v>
      </c>
      <c r="AE1793" s="81" t="b">
        <v>0</v>
      </c>
      <c r="AF1793" s="81">
        <v>0</v>
      </c>
      <c r="AG1793" s="86" t="s">
        <v>7934</v>
      </c>
      <c r="AH1793" s="81" t="b">
        <v>0</v>
      </c>
      <c r="AI1793" s="81" t="s">
        <v>2171</v>
      </c>
      <c r="AJ1793" s="81"/>
      <c r="AK1793" s="86" t="s">
        <v>2084</v>
      </c>
      <c r="AL1793" s="81" t="b">
        <v>0</v>
      </c>
      <c r="AM1793" s="81">
        <v>0</v>
      </c>
      <c r="AN1793" s="86" t="s">
        <v>2084</v>
      </c>
      <c r="AO1793" s="86" t="s">
        <v>2181</v>
      </c>
      <c r="AP1793" s="81" t="b">
        <v>0</v>
      </c>
      <c r="AQ1793" s="86" t="s">
        <v>7762</v>
      </c>
      <c r="AR1793" s="81" t="s">
        <v>179</v>
      </c>
      <c r="AS1793" s="81">
        <v>0</v>
      </c>
      <c r="AT1793" s="81">
        <v>0</v>
      </c>
      <c r="AU1793" s="81"/>
      <c r="AV1793" s="81"/>
      <c r="AW1793" s="81"/>
      <c r="AX1793" s="81"/>
      <c r="AY1793" s="81"/>
      <c r="AZ1793" s="81"/>
      <c r="BA1793" s="81"/>
      <c r="BB1793" s="81"/>
    </row>
    <row r="1794" spans="1:54" x14ac:dyDescent="0.35">
      <c r="A1794" s="66" t="s">
        <v>4914</v>
      </c>
      <c r="B1794" s="66" t="s">
        <v>5200</v>
      </c>
      <c r="C1794" s="67"/>
      <c r="D1794" s="68"/>
      <c r="E1794" s="69"/>
      <c r="F1794" s="70"/>
      <c r="G1794" s="67"/>
      <c r="H1794" s="71"/>
      <c r="I1794" s="72"/>
      <c r="J1794" s="72"/>
      <c r="K1794" s="36"/>
      <c r="L1794" s="79"/>
      <c r="M1794" s="79"/>
      <c r="N1794" s="74"/>
      <c r="O1794" s="81" t="s">
        <v>695</v>
      </c>
      <c r="P1794" s="83">
        <v>44467.579236111109</v>
      </c>
      <c r="Q1794" s="81" t="s">
        <v>5621</v>
      </c>
      <c r="R1794" s="81"/>
      <c r="S1794" s="81"/>
      <c r="T1794" s="81"/>
      <c r="U1794" s="81"/>
      <c r="V1794" s="84" t="str">
        <f>HYPERLINK("https://pbs.twimg.com/profile_images/1084512892/mahalo_1_normal.jpg")</f>
        <v>https://pbs.twimg.com/profile_images/1084512892/mahalo_1_normal.jpg</v>
      </c>
      <c r="W1794" s="83">
        <v>44467.579236111109</v>
      </c>
      <c r="X1794" s="89">
        <v>44467</v>
      </c>
      <c r="Y1794" s="86" t="s">
        <v>6581</v>
      </c>
      <c r="Z1794" s="84" t="str">
        <f>HYPERLINK("https://twitter.com/herbettigre/status/1442850105275604994")</f>
        <v>https://twitter.com/herbettigre/status/1442850105275604994</v>
      </c>
      <c r="AA1794" s="81"/>
      <c r="AB1794" s="81"/>
      <c r="AC1794" s="86" t="s">
        <v>7503</v>
      </c>
      <c r="AD1794" s="86" t="s">
        <v>7762</v>
      </c>
      <c r="AE1794" s="81" t="b">
        <v>0</v>
      </c>
      <c r="AF1794" s="81">
        <v>0</v>
      </c>
      <c r="AG1794" s="86" t="s">
        <v>7934</v>
      </c>
      <c r="AH1794" s="81" t="b">
        <v>0</v>
      </c>
      <c r="AI1794" s="81" t="s">
        <v>2171</v>
      </c>
      <c r="AJ1794" s="81"/>
      <c r="AK1794" s="86" t="s">
        <v>2084</v>
      </c>
      <c r="AL1794" s="81" t="b">
        <v>0</v>
      </c>
      <c r="AM1794" s="81">
        <v>0</v>
      </c>
      <c r="AN1794" s="86" t="s">
        <v>2084</v>
      </c>
      <c r="AO1794" s="86" t="s">
        <v>2181</v>
      </c>
      <c r="AP1794" s="81" t="b">
        <v>0</v>
      </c>
      <c r="AQ1794" s="86" t="s">
        <v>7762</v>
      </c>
      <c r="AR1794" s="81" t="s">
        <v>179</v>
      </c>
      <c r="AS1794" s="81">
        <v>0</v>
      </c>
      <c r="AT1794" s="81">
        <v>0</v>
      </c>
      <c r="AU1794" s="81"/>
      <c r="AV1794" s="81"/>
      <c r="AW1794" s="81"/>
      <c r="AX1794" s="81"/>
      <c r="AY1794" s="81"/>
      <c r="AZ1794" s="81"/>
      <c r="BA1794" s="81"/>
      <c r="BB1794" s="81"/>
    </row>
    <row r="1795" spans="1:54" x14ac:dyDescent="0.35">
      <c r="A1795" s="66" t="s">
        <v>4915</v>
      </c>
      <c r="B1795" s="66" t="s">
        <v>4941</v>
      </c>
      <c r="C1795" s="67"/>
      <c r="D1795" s="68"/>
      <c r="E1795" s="69"/>
      <c r="F1795" s="70"/>
      <c r="G1795" s="67"/>
      <c r="H1795" s="71"/>
      <c r="I1795" s="72"/>
      <c r="J1795" s="72"/>
      <c r="K1795" s="36"/>
      <c r="L1795" s="79"/>
      <c r="M1795" s="79"/>
      <c r="N1795" s="74"/>
      <c r="O1795" s="81" t="s">
        <v>693</v>
      </c>
      <c r="P1795" s="83">
        <v>44467.600902777776</v>
      </c>
      <c r="Q1795" s="81" t="s">
        <v>5604</v>
      </c>
      <c r="R1795" s="81"/>
      <c r="S1795" s="81"/>
      <c r="T1795" s="86" t="s">
        <v>979</v>
      </c>
      <c r="U1795" s="84" t="str">
        <f>HYPERLINK("https://pbs.twimg.com/media/FAXNegPUYAAkjOP.jpg")</f>
        <v>https://pbs.twimg.com/media/FAXNegPUYAAkjOP.jpg</v>
      </c>
      <c r="V1795" s="84" t="str">
        <f>HYPERLINK("https://pbs.twimg.com/media/FAXNegPUYAAkjOP.jpg")</f>
        <v>https://pbs.twimg.com/media/FAXNegPUYAAkjOP.jpg</v>
      </c>
      <c r="W1795" s="83">
        <v>44467.600902777776</v>
      </c>
      <c r="X1795" s="89">
        <v>44467</v>
      </c>
      <c r="Y1795" s="86" t="s">
        <v>6582</v>
      </c>
      <c r="Z1795" s="84" t="str">
        <f>HYPERLINK("https://twitter.com/jungmatoo/status/1442857954936438784")</f>
        <v>https://twitter.com/jungmatoo/status/1442857954936438784</v>
      </c>
      <c r="AA1795" s="81"/>
      <c r="AB1795" s="81"/>
      <c r="AC1795" s="86" t="s">
        <v>7504</v>
      </c>
      <c r="AD1795" s="81"/>
      <c r="AE1795" s="81" t="b">
        <v>0</v>
      </c>
      <c r="AF1795" s="81">
        <v>0</v>
      </c>
      <c r="AG1795" s="86" t="s">
        <v>2084</v>
      </c>
      <c r="AH1795" s="81" t="b">
        <v>0</v>
      </c>
      <c r="AI1795" s="81" t="s">
        <v>2168</v>
      </c>
      <c r="AJ1795" s="81"/>
      <c r="AK1795" s="86" t="s">
        <v>2084</v>
      </c>
      <c r="AL1795" s="81" t="b">
        <v>0</v>
      </c>
      <c r="AM1795" s="81">
        <v>29</v>
      </c>
      <c r="AN1795" s="86" t="s">
        <v>7539</v>
      </c>
      <c r="AO1795" s="86" t="s">
        <v>2178</v>
      </c>
      <c r="AP1795" s="81" t="b">
        <v>0</v>
      </c>
      <c r="AQ1795" s="86" t="s">
        <v>7539</v>
      </c>
      <c r="AR1795" s="81" t="s">
        <v>179</v>
      </c>
      <c r="AS1795" s="81">
        <v>0</v>
      </c>
      <c r="AT1795" s="81">
        <v>0</v>
      </c>
      <c r="AU1795" s="81"/>
      <c r="AV1795" s="81"/>
      <c r="AW1795" s="81"/>
      <c r="AX1795" s="81"/>
      <c r="AY1795" s="81"/>
      <c r="AZ1795" s="81"/>
      <c r="BA1795" s="81"/>
      <c r="BB1795" s="81"/>
    </row>
    <row r="1796" spans="1:54" x14ac:dyDescent="0.35">
      <c r="A1796" s="66" t="s">
        <v>596</v>
      </c>
      <c r="B1796" s="66" t="s">
        <v>596</v>
      </c>
      <c r="C1796" s="67"/>
      <c r="D1796" s="68"/>
      <c r="E1796" s="69"/>
      <c r="F1796" s="70"/>
      <c r="G1796" s="67"/>
      <c r="H1796" s="71"/>
      <c r="I1796" s="72"/>
      <c r="J1796" s="72"/>
      <c r="K1796" s="36"/>
      <c r="L1796" s="79"/>
      <c r="M1796" s="79"/>
      <c r="N1796" s="74"/>
      <c r="O1796" s="81" t="s">
        <v>179</v>
      </c>
      <c r="P1796" s="83">
        <v>44453.570601851854</v>
      </c>
      <c r="Q1796" s="81" t="s">
        <v>701</v>
      </c>
      <c r="R1796" s="84" t="str">
        <f>HYPERLINK("https://api.whatsapp.com/send?phone=6281222353823")</f>
        <v>https://api.whatsapp.com/send?phone=6281222353823</v>
      </c>
      <c r="S1796" s="81" t="s">
        <v>940</v>
      </c>
      <c r="T1796" s="81"/>
      <c r="U1796" s="84" t="str">
        <f>HYPERLINK("https://pbs.twimg.com/media/E_P_XMQWYAUXeaR.jpg")</f>
        <v>https://pbs.twimg.com/media/E_P_XMQWYAUXeaR.jpg</v>
      </c>
      <c r="V1796" s="84" t="str">
        <f>HYPERLINK("https://pbs.twimg.com/media/E_P_XMQWYAUXeaR.jpg")</f>
        <v>https://pbs.twimg.com/media/E_P_XMQWYAUXeaR.jpg</v>
      </c>
      <c r="W1796" s="83">
        <v>44453.570601851854</v>
      </c>
      <c r="X1796" s="89">
        <v>44453</v>
      </c>
      <c r="Y1796" s="86" t="s">
        <v>1507</v>
      </c>
      <c r="Z1796" s="84" t="str">
        <f>HYPERLINK("https://twitter.com/amwidyou/status/1437773545434763271")</f>
        <v>https://twitter.com/amwidyou/status/1437773545434763271</v>
      </c>
      <c r="AA1796" s="81"/>
      <c r="AB1796" s="81"/>
      <c r="AC1796" s="86" t="s">
        <v>2005</v>
      </c>
      <c r="AD1796" s="81"/>
      <c r="AE1796" s="81" t="b">
        <v>0</v>
      </c>
      <c r="AF1796" s="81">
        <v>74</v>
      </c>
      <c r="AG1796" s="86" t="s">
        <v>2084</v>
      </c>
      <c r="AH1796" s="81" t="b">
        <v>0</v>
      </c>
      <c r="AI1796" s="81" t="s">
        <v>2167</v>
      </c>
      <c r="AJ1796" s="81"/>
      <c r="AK1796" s="86" t="s">
        <v>2084</v>
      </c>
      <c r="AL1796" s="81" t="b">
        <v>0</v>
      </c>
      <c r="AM1796" s="81">
        <v>51</v>
      </c>
      <c r="AN1796" s="86" t="s">
        <v>2084</v>
      </c>
      <c r="AO1796" s="86" t="s">
        <v>2178</v>
      </c>
      <c r="AP1796" s="81" t="b">
        <v>0</v>
      </c>
      <c r="AQ1796" s="86" t="s">
        <v>2005</v>
      </c>
      <c r="AR1796" s="81" t="s">
        <v>693</v>
      </c>
      <c r="AS1796" s="81">
        <v>0</v>
      </c>
      <c r="AT1796" s="81">
        <v>0</v>
      </c>
      <c r="AU1796" s="81" t="s">
        <v>2201</v>
      </c>
      <c r="AV1796" s="81" t="s">
        <v>2202</v>
      </c>
      <c r="AW1796" s="81" t="s">
        <v>12</v>
      </c>
      <c r="AX1796" s="81" t="s">
        <v>2206</v>
      </c>
      <c r="AY1796" s="81" t="s">
        <v>2209</v>
      </c>
      <c r="AZ1796" s="81" t="s">
        <v>2211</v>
      </c>
      <c r="BA1796" s="81" t="s">
        <v>2212</v>
      </c>
      <c r="BB1796" s="84" t="str">
        <f>HYPERLINK("https://api.twitter.com/1.1/geo/id/04f4e198a524dc50.json")</f>
        <v>https://api.twitter.com/1.1/geo/id/04f4e198a524dc50.json</v>
      </c>
    </row>
    <row r="1797" spans="1:54" x14ac:dyDescent="0.35">
      <c r="A1797" s="66" t="s">
        <v>4916</v>
      </c>
      <c r="B1797" s="66" t="s">
        <v>596</v>
      </c>
      <c r="C1797" s="67"/>
      <c r="D1797" s="68"/>
      <c r="E1797" s="69"/>
      <c r="F1797" s="70"/>
      <c r="G1797" s="67"/>
      <c r="H1797" s="71"/>
      <c r="I1797" s="72"/>
      <c r="J1797" s="72"/>
      <c r="K1797" s="36"/>
      <c r="L1797" s="79"/>
      <c r="M1797" s="79"/>
      <c r="N1797" s="74"/>
      <c r="O1797" s="81" t="s">
        <v>693</v>
      </c>
      <c r="P1797" s="83">
        <v>44467.601493055554</v>
      </c>
      <c r="Q1797" s="81" t="s">
        <v>701</v>
      </c>
      <c r="R1797" s="84" t="str">
        <f>HYPERLINK("https://api.whatsapp.com/send?phone=6281222353823")</f>
        <v>https://api.whatsapp.com/send?phone=6281222353823</v>
      </c>
      <c r="S1797" s="81" t="s">
        <v>940</v>
      </c>
      <c r="T1797" s="81"/>
      <c r="U1797" s="84" t="str">
        <f>HYPERLINK("https://pbs.twimg.com/media/E_P_XMQWYAUXeaR.jpg")</f>
        <v>https://pbs.twimg.com/media/E_P_XMQWYAUXeaR.jpg</v>
      </c>
      <c r="V1797" s="84" t="str">
        <f>HYPERLINK("https://pbs.twimg.com/media/E_P_XMQWYAUXeaR.jpg")</f>
        <v>https://pbs.twimg.com/media/E_P_XMQWYAUXeaR.jpg</v>
      </c>
      <c r="W1797" s="83">
        <v>44467.601493055554</v>
      </c>
      <c r="X1797" s="89">
        <v>44467</v>
      </c>
      <c r="Y1797" s="86" t="s">
        <v>6583</v>
      </c>
      <c r="Z1797" s="84" t="str">
        <f>HYPERLINK("https://twitter.com/nvlda/status/1442858169194082305")</f>
        <v>https://twitter.com/nvlda/status/1442858169194082305</v>
      </c>
      <c r="AA1797" s="81"/>
      <c r="AB1797" s="81"/>
      <c r="AC1797" s="86" t="s">
        <v>7505</v>
      </c>
      <c r="AD1797" s="81"/>
      <c r="AE1797" s="81" t="b">
        <v>0</v>
      </c>
      <c r="AF1797" s="81">
        <v>0</v>
      </c>
      <c r="AG1797" s="86" t="s">
        <v>2084</v>
      </c>
      <c r="AH1797" s="81" t="b">
        <v>0</v>
      </c>
      <c r="AI1797" s="81" t="s">
        <v>2167</v>
      </c>
      <c r="AJ1797" s="81"/>
      <c r="AK1797" s="86" t="s">
        <v>2084</v>
      </c>
      <c r="AL1797" s="81" t="b">
        <v>0</v>
      </c>
      <c r="AM1797" s="81">
        <v>51</v>
      </c>
      <c r="AN1797" s="86" t="s">
        <v>2005</v>
      </c>
      <c r="AO1797" s="86" t="s">
        <v>2178</v>
      </c>
      <c r="AP1797" s="81" t="b">
        <v>0</v>
      </c>
      <c r="AQ1797" s="86" t="s">
        <v>2005</v>
      </c>
      <c r="AR1797" s="81" t="s">
        <v>179</v>
      </c>
      <c r="AS1797" s="81">
        <v>0</v>
      </c>
      <c r="AT1797" s="81">
        <v>0</v>
      </c>
      <c r="AU1797" s="81"/>
      <c r="AV1797" s="81"/>
      <c r="AW1797" s="81"/>
      <c r="AX1797" s="81"/>
      <c r="AY1797" s="81"/>
      <c r="AZ1797" s="81"/>
      <c r="BA1797" s="81"/>
      <c r="BB1797" s="81"/>
    </row>
    <row r="1798" spans="1:54" x14ac:dyDescent="0.35">
      <c r="A1798" s="66" t="s">
        <v>4917</v>
      </c>
      <c r="B1798" s="66" t="s">
        <v>4935</v>
      </c>
      <c r="C1798" s="67"/>
      <c r="D1798" s="68"/>
      <c r="E1798" s="69"/>
      <c r="F1798" s="70"/>
      <c r="G1798" s="67"/>
      <c r="H1798" s="71"/>
      <c r="I1798" s="72"/>
      <c r="J1798" s="72"/>
      <c r="K1798" s="36"/>
      <c r="L1798" s="79"/>
      <c r="M1798" s="79"/>
      <c r="N1798" s="74"/>
      <c r="O1798" s="81" t="s">
        <v>693</v>
      </c>
      <c r="P1798" s="83">
        <v>44467.605567129627</v>
      </c>
      <c r="Q1798" s="81" t="s">
        <v>5622</v>
      </c>
      <c r="R1798" s="84" t="str">
        <f>HYPERLINK("https://www.brasil247.com/economia/dono-da-holding-do-itau-ataca-volta-de-lula-e-pede-terceira-via-em-2022-h1qpoibn?amp")</f>
        <v>https://www.brasil247.com/economia/dono-da-holding-do-itau-ataca-volta-de-lula-e-pede-terceira-via-em-2022-h1qpoibn?amp</v>
      </c>
      <c r="S1798" s="81" t="s">
        <v>5757</v>
      </c>
      <c r="T1798" s="81"/>
      <c r="U1798" s="81"/>
      <c r="V1798" s="84" t="str">
        <f>HYPERLINK("https://pbs.twimg.com/profile_images/1154418685064425472/tg_ah9D8_normal.jpg")</f>
        <v>https://pbs.twimg.com/profile_images/1154418685064425472/tg_ah9D8_normal.jpg</v>
      </c>
      <c r="W1798" s="83">
        <v>44467.605567129627</v>
      </c>
      <c r="X1798" s="89">
        <v>44467</v>
      </c>
      <c r="Y1798" s="86" t="s">
        <v>6584</v>
      </c>
      <c r="Z1798" s="84" t="str">
        <f>HYPERLINK("https://twitter.com/schmittrenata/status/1442859645014458381")</f>
        <v>https://twitter.com/schmittrenata/status/1442859645014458381</v>
      </c>
      <c r="AA1798" s="81"/>
      <c r="AB1798" s="81"/>
      <c r="AC1798" s="86" t="s">
        <v>7506</v>
      </c>
      <c r="AD1798" s="81"/>
      <c r="AE1798" s="81" t="b">
        <v>0</v>
      </c>
      <c r="AF1798" s="81">
        <v>0</v>
      </c>
      <c r="AG1798" s="86" t="s">
        <v>2084</v>
      </c>
      <c r="AH1798" s="81" t="b">
        <v>0</v>
      </c>
      <c r="AI1798" s="81" t="s">
        <v>2171</v>
      </c>
      <c r="AJ1798" s="81"/>
      <c r="AK1798" s="86" t="s">
        <v>2084</v>
      </c>
      <c r="AL1798" s="81" t="b">
        <v>0</v>
      </c>
      <c r="AM1798" s="81">
        <v>7</v>
      </c>
      <c r="AN1798" s="86" t="s">
        <v>7530</v>
      </c>
      <c r="AO1798" s="86" t="s">
        <v>2181</v>
      </c>
      <c r="AP1798" s="81" t="b">
        <v>0</v>
      </c>
      <c r="AQ1798" s="86" t="s">
        <v>7530</v>
      </c>
      <c r="AR1798" s="81" t="s">
        <v>179</v>
      </c>
      <c r="AS1798" s="81">
        <v>0</v>
      </c>
      <c r="AT1798" s="81">
        <v>0</v>
      </c>
      <c r="AU1798" s="81"/>
      <c r="AV1798" s="81"/>
      <c r="AW1798" s="81"/>
      <c r="AX1798" s="81"/>
      <c r="AY1798" s="81"/>
      <c r="AZ1798" s="81"/>
      <c r="BA1798" s="81"/>
      <c r="BB1798" s="81"/>
    </row>
    <row r="1799" spans="1:54" x14ac:dyDescent="0.35">
      <c r="A1799" s="66" t="s">
        <v>4918</v>
      </c>
      <c r="B1799" s="66" t="s">
        <v>4918</v>
      </c>
      <c r="C1799" s="67"/>
      <c r="D1799" s="68"/>
      <c r="E1799" s="69"/>
      <c r="F1799" s="70"/>
      <c r="G1799" s="67"/>
      <c r="H1799" s="71"/>
      <c r="I1799" s="72"/>
      <c r="J1799" s="72"/>
      <c r="K1799" s="36"/>
      <c r="L1799" s="79"/>
      <c r="M1799" s="79"/>
      <c r="N1799" s="74"/>
      <c r="O1799" s="81" t="s">
        <v>179</v>
      </c>
      <c r="P1799" s="83">
        <v>44467.607129629629</v>
      </c>
      <c r="Q1799" s="84" t="str">
        <f>HYPERLINK("https://t.co/3GX0pL3JNU")</f>
        <v>https://t.co/3GX0pL3JNU</v>
      </c>
      <c r="R1799" s="84" t="str">
        <f>HYPERLINK("https://nahawepesansan.blogspot.com/2021/09/kurang-3-hari-lagi-info-loker-pt-pos.html?m=1")</f>
        <v>https://nahawepesansan.blogspot.com/2021/09/kurang-3-hari-lagi-info-loker-pt-pos.html?m=1</v>
      </c>
      <c r="S1799" s="81" t="s">
        <v>969</v>
      </c>
      <c r="T1799" s="81"/>
      <c r="U1799" s="81"/>
      <c r="V1799" s="84" t="str">
        <f>HYPERLINK("https://pbs.twimg.com/profile_images/1434144230813831169/7cIiTmaH_normal.jpg")</f>
        <v>https://pbs.twimg.com/profile_images/1434144230813831169/7cIiTmaH_normal.jpg</v>
      </c>
      <c r="W1799" s="83">
        <v>44467.607129629629</v>
      </c>
      <c r="X1799" s="89">
        <v>44467</v>
      </c>
      <c r="Y1799" s="86" t="s">
        <v>6585</v>
      </c>
      <c r="Z1799" s="84" t="str">
        <f>HYPERLINK("https://twitter.com/permadiwahyu007/status/1442860211123851269")</f>
        <v>https://twitter.com/permadiwahyu007/status/1442860211123851269</v>
      </c>
      <c r="AA1799" s="81"/>
      <c r="AB1799" s="81"/>
      <c r="AC1799" s="86" t="s">
        <v>7507</v>
      </c>
      <c r="AD1799" s="81"/>
      <c r="AE1799" s="81" t="b">
        <v>0</v>
      </c>
      <c r="AF1799" s="81">
        <v>1</v>
      </c>
      <c r="AG1799" s="86" t="s">
        <v>2084</v>
      </c>
      <c r="AH1799" s="81" t="b">
        <v>0</v>
      </c>
      <c r="AI1799" s="81" t="s">
        <v>2173</v>
      </c>
      <c r="AJ1799" s="81"/>
      <c r="AK1799" s="86" t="s">
        <v>2084</v>
      </c>
      <c r="AL1799" s="81" t="b">
        <v>0</v>
      </c>
      <c r="AM1799" s="81">
        <v>0</v>
      </c>
      <c r="AN1799" s="86" t="s">
        <v>2084</v>
      </c>
      <c r="AO1799" s="86" t="s">
        <v>2178</v>
      </c>
      <c r="AP1799" s="81" t="b">
        <v>0</v>
      </c>
      <c r="AQ1799" s="86" t="s">
        <v>7507</v>
      </c>
      <c r="AR1799" s="81" t="s">
        <v>179</v>
      </c>
      <c r="AS1799" s="81">
        <v>0</v>
      </c>
      <c r="AT1799" s="81">
        <v>0</v>
      </c>
      <c r="AU1799" s="81"/>
      <c r="AV1799" s="81"/>
      <c r="AW1799" s="81"/>
      <c r="AX1799" s="81"/>
      <c r="AY1799" s="81"/>
      <c r="AZ1799" s="81"/>
      <c r="BA1799" s="81"/>
      <c r="BB1799" s="81"/>
    </row>
    <row r="1800" spans="1:54" x14ac:dyDescent="0.35">
      <c r="A1800" s="66" t="s">
        <v>4919</v>
      </c>
      <c r="B1800" s="66" t="s">
        <v>4944</v>
      </c>
      <c r="C1800" s="67"/>
      <c r="D1800" s="68"/>
      <c r="E1800" s="69"/>
      <c r="F1800" s="70"/>
      <c r="G1800" s="67"/>
      <c r="H1800" s="71"/>
      <c r="I1800" s="72"/>
      <c r="J1800" s="72"/>
      <c r="K1800" s="36"/>
      <c r="L1800" s="79"/>
      <c r="M1800" s="79"/>
      <c r="N1800" s="74"/>
      <c r="O1800" s="81" t="s">
        <v>693</v>
      </c>
      <c r="P1800" s="83">
        <v>44465.533854166664</v>
      </c>
      <c r="Q1800" s="81" t="s">
        <v>5505</v>
      </c>
      <c r="R1800" s="81"/>
      <c r="S1800" s="81"/>
      <c r="T1800" s="81"/>
      <c r="U1800" s="81"/>
      <c r="V1800" s="84" t="str">
        <f>HYPERLINK("https://pbs.twimg.com/profile_images/1052256612340109313/ImPBkQuU_normal.jpg")</f>
        <v>https://pbs.twimg.com/profile_images/1052256612340109313/ImPBkQuU_normal.jpg</v>
      </c>
      <c r="W1800" s="83">
        <v>44465.533854166664</v>
      </c>
      <c r="X1800" s="89">
        <v>44465</v>
      </c>
      <c r="Y1800" s="86" t="s">
        <v>6586</v>
      </c>
      <c r="Z1800" s="84" t="str">
        <f>HYPERLINK("https://twitter.com/mjuniorx/status/1442108881497464837")</f>
        <v>https://twitter.com/mjuniorx/status/1442108881497464837</v>
      </c>
      <c r="AA1800" s="81"/>
      <c r="AB1800" s="81"/>
      <c r="AC1800" s="86" t="s">
        <v>7508</v>
      </c>
      <c r="AD1800" s="81"/>
      <c r="AE1800" s="81" t="b">
        <v>0</v>
      </c>
      <c r="AF1800" s="81">
        <v>0</v>
      </c>
      <c r="AG1800" s="86" t="s">
        <v>2084</v>
      </c>
      <c r="AH1800" s="81" t="b">
        <v>0</v>
      </c>
      <c r="AI1800" s="81" t="s">
        <v>2171</v>
      </c>
      <c r="AJ1800" s="81"/>
      <c r="AK1800" s="86" t="s">
        <v>2084</v>
      </c>
      <c r="AL1800" s="81" t="b">
        <v>0</v>
      </c>
      <c r="AM1800" s="81">
        <v>255</v>
      </c>
      <c r="AN1800" s="86" t="s">
        <v>7543</v>
      </c>
      <c r="AO1800" s="86" t="s">
        <v>2181</v>
      </c>
      <c r="AP1800" s="81" t="b">
        <v>0</v>
      </c>
      <c r="AQ1800" s="86" t="s">
        <v>7543</v>
      </c>
      <c r="AR1800" s="81" t="s">
        <v>179</v>
      </c>
      <c r="AS1800" s="81">
        <v>0</v>
      </c>
      <c r="AT1800" s="81">
        <v>0</v>
      </c>
      <c r="AU1800" s="81"/>
      <c r="AV1800" s="81"/>
      <c r="AW1800" s="81"/>
      <c r="AX1800" s="81"/>
      <c r="AY1800" s="81"/>
      <c r="AZ1800" s="81"/>
      <c r="BA1800" s="81"/>
      <c r="BB1800" s="81"/>
    </row>
    <row r="1801" spans="1:54" x14ac:dyDescent="0.35">
      <c r="A1801" s="66" t="s">
        <v>4919</v>
      </c>
      <c r="B1801" s="66" t="s">
        <v>4935</v>
      </c>
      <c r="C1801" s="67"/>
      <c r="D1801" s="68"/>
      <c r="E1801" s="69"/>
      <c r="F1801" s="70"/>
      <c r="G1801" s="67"/>
      <c r="H1801" s="71"/>
      <c r="I1801" s="72"/>
      <c r="J1801" s="72"/>
      <c r="K1801" s="36"/>
      <c r="L1801" s="79"/>
      <c r="M1801" s="79"/>
      <c r="N1801" s="74"/>
      <c r="O1801" s="81" t="s">
        <v>693</v>
      </c>
      <c r="P1801" s="83">
        <v>44467.607407407406</v>
      </c>
      <c r="Q1801" s="81" t="s">
        <v>5622</v>
      </c>
      <c r="R1801" s="84" t="str">
        <f>HYPERLINK("https://www.brasil247.com/economia/dono-da-holding-do-itau-ataca-volta-de-lula-e-pede-terceira-via-em-2022-h1qpoibn?amp")</f>
        <v>https://www.brasil247.com/economia/dono-da-holding-do-itau-ataca-volta-de-lula-e-pede-terceira-via-em-2022-h1qpoibn?amp</v>
      </c>
      <c r="S1801" s="81" t="s">
        <v>5757</v>
      </c>
      <c r="T1801" s="81"/>
      <c r="U1801" s="81"/>
      <c r="V1801" s="84" t="str">
        <f>HYPERLINK("https://pbs.twimg.com/profile_images/1052256612340109313/ImPBkQuU_normal.jpg")</f>
        <v>https://pbs.twimg.com/profile_images/1052256612340109313/ImPBkQuU_normal.jpg</v>
      </c>
      <c r="W1801" s="83">
        <v>44467.607407407406</v>
      </c>
      <c r="X1801" s="89">
        <v>44467</v>
      </c>
      <c r="Y1801" s="86" t="s">
        <v>6587</v>
      </c>
      <c r="Z1801" s="84" t="str">
        <f>HYPERLINK("https://twitter.com/mjuniorx/status/1442860312076587008")</f>
        <v>https://twitter.com/mjuniorx/status/1442860312076587008</v>
      </c>
      <c r="AA1801" s="81"/>
      <c r="AB1801" s="81"/>
      <c r="AC1801" s="86" t="s">
        <v>7509</v>
      </c>
      <c r="AD1801" s="81"/>
      <c r="AE1801" s="81" t="b">
        <v>0</v>
      </c>
      <c r="AF1801" s="81">
        <v>0</v>
      </c>
      <c r="AG1801" s="86" t="s">
        <v>2084</v>
      </c>
      <c r="AH1801" s="81" t="b">
        <v>0</v>
      </c>
      <c r="AI1801" s="81" t="s">
        <v>2171</v>
      </c>
      <c r="AJ1801" s="81"/>
      <c r="AK1801" s="86" t="s">
        <v>2084</v>
      </c>
      <c r="AL1801" s="81" t="b">
        <v>0</v>
      </c>
      <c r="AM1801" s="81">
        <v>7</v>
      </c>
      <c r="AN1801" s="86" t="s">
        <v>7530</v>
      </c>
      <c r="AO1801" s="86" t="s">
        <v>2181</v>
      </c>
      <c r="AP1801" s="81" t="b">
        <v>0</v>
      </c>
      <c r="AQ1801" s="86" t="s">
        <v>7530</v>
      </c>
      <c r="AR1801" s="81" t="s">
        <v>179</v>
      </c>
      <c r="AS1801" s="81">
        <v>0</v>
      </c>
      <c r="AT1801" s="81">
        <v>0</v>
      </c>
      <c r="AU1801" s="81"/>
      <c r="AV1801" s="81"/>
      <c r="AW1801" s="81"/>
      <c r="AX1801" s="81"/>
      <c r="AY1801" s="81"/>
      <c r="AZ1801" s="81"/>
      <c r="BA1801" s="81"/>
      <c r="BB1801" s="81"/>
    </row>
    <row r="1802" spans="1:54" x14ac:dyDescent="0.35">
      <c r="A1802" s="66" t="s">
        <v>4920</v>
      </c>
      <c r="B1802" s="66" t="s">
        <v>4944</v>
      </c>
      <c r="C1802" s="67"/>
      <c r="D1802" s="68"/>
      <c r="E1802" s="69"/>
      <c r="F1802" s="70"/>
      <c r="G1802" s="67"/>
      <c r="H1802" s="71"/>
      <c r="I1802" s="72"/>
      <c r="J1802" s="72"/>
      <c r="K1802" s="36"/>
      <c r="L1802" s="79"/>
      <c r="M1802" s="79"/>
      <c r="N1802" s="74"/>
      <c r="O1802" s="81" t="s">
        <v>693</v>
      </c>
      <c r="P1802" s="83">
        <v>44465.550127314818</v>
      </c>
      <c r="Q1802" s="81" t="s">
        <v>5505</v>
      </c>
      <c r="R1802" s="81"/>
      <c r="S1802" s="81"/>
      <c r="T1802" s="81"/>
      <c r="U1802" s="81"/>
      <c r="V1802" s="84" t="str">
        <f>HYPERLINK("https://pbs.twimg.com/profile_images/1415120257518292998/YgaeW1oV_normal.jpg")</f>
        <v>https://pbs.twimg.com/profile_images/1415120257518292998/YgaeW1oV_normal.jpg</v>
      </c>
      <c r="W1802" s="83">
        <v>44465.550127314818</v>
      </c>
      <c r="X1802" s="89">
        <v>44465</v>
      </c>
      <c r="Y1802" s="86" t="s">
        <v>6588</v>
      </c>
      <c r="Z1802" s="84" t="str">
        <f>HYPERLINK("https://twitter.com/lbmoura13/status/1442114780156809220")</f>
        <v>https://twitter.com/lbmoura13/status/1442114780156809220</v>
      </c>
      <c r="AA1802" s="81"/>
      <c r="AB1802" s="81"/>
      <c r="AC1802" s="86" t="s">
        <v>7510</v>
      </c>
      <c r="AD1802" s="81"/>
      <c r="AE1802" s="81" t="b">
        <v>0</v>
      </c>
      <c r="AF1802" s="81">
        <v>0</v>
      </c>
      <c r="AG1802" s="86" t="s">
        <v>2084</v>
      </c>
      <c r="AH1802" s="81" t="b">
        <v>0</v>
      </c>
      <c r="AI1802" s="81" t="s">
        <v>2171</v>
      </c>
      <c r="AJ1802" s="81"/>
      <c r="AK1802" s="86" t="s">
        <v>2084</v>
      </c>
      <c r="AL1802" s="81" t="b">
        <v>0</v>
      </c>
      <c r="AM1802" s="81">
        <v>255</v>
      </c>
      <c r="AN1802" s="86" t="s">
        <v>7543</v>
      </c>
      <c r="AO1802" s="86" t="s">
        <v>2178</v>
      </c>
      <c r="AP1802" s="81" t="b">
        <v>0</v>
      </c>
      <c r="AQ1802" s="86" t="s">
        <v>7543</v>
      </c>
      <c r="AR1802" s="81" t="s">
        <v>179</v>
      </c>
      <c r="AS1802" s="81">
        <v>0</v>
      </c>
      <c r="AT1802" s="81">
        <v>0</v>
      </c>
      <c r="AU1802" s="81"/>
      <c r="AV1802" s="81"/>
      <c r="AW1802" s="81"/>
      <c r="AX1802" s="81"/>
      <c r="AY1802" s="81"/>
      <c r="AZ1802" s="81"/>
      <c r="BA1802" s="81"/>
      <c r="BB1802" s="81"/>
    </row>
    <row r="1803" spans="1:54" x14ac:dyDescent="0.35">
      <c r="A1803" s="66" t="s">
        <v>4920</v>
      </c>
      <c r="B1803" s="66" t="s">
        <v>4935</v>
      </c>
      <c r="C1803" s="67"/>
      <c r="D1803" s="68"/>
      <c r="E1803" s="69"/>
      <c r="F1803" s="70"/>
      <c r="G1803" s="67"/>
      <c r="H1803" s="71"/>
      <c r="I1803" s="72"/>
      <c r="J1803" s="72"/>
      <c r="K1803" s="36"/>
      <c r="L1803" s="79"/>
      <c r="M1803" s="79"/>
      <c r="N1803" s="74"/>
      <c r="O1803" s="81" t="s">
        <v>693</v>
      </c>
      <c r="P1803" s="83">
        <v>44467.608252314814</v>
      </c>
      <c r="Q1803" s="81" t="s">
        <v>5622</v>
      </c>
      <c r="R1803" s="84" t="str">
        <f>HYPERLINK("https://www.brasil247.com/economia/dono-da-holding-do-itau-ataca-volta-de-lula-e-pede-terceira-via-em-2022-h1qpoibn?amp")</f>
        <v>https://www.brasil247.com/economia/dono-da-holding-do-itau-ataca-volta-de-lula-e-pede-terceira-via-em-2022-h1qpoibn?amp</v>
      </c>
      <c r="S1803" s="81" t="s">
        <v>5757</v>
      </c>
      <c r="T1803" s="81"/>
      <c r="U1803" s="81"/>
      <c r="V1803" s="84" t="str">
        <f>HYPERLINK("https://pbs.twimg.com/profile_images/1415120257518292998/YgaeW1oV_normal.jpg")</f>
        <v>https://pbs.twimg.com/profile_images/1415120257518292998/YgaeW1oV_normal.jpg</v>
      </c>
      <c r="W1803" s="83">
        <v>44467.608252314814</v>
      </c>
      <c r="X1803" s="89">
        <v>44467</v>
      </c>
      <c r="Y1803" s="86" t="s">
        <v>6589</v>
      </c>
      <c r="Z1803" s="84" t="str">
        <f>HYPERLINK("https://twitter.com/lbmoura13/status/1442860621444308994")</f>
        <v>https://twitter.com/lbmoura13/status/1442860621444308994</v>
      </c>
      <c r="AA1803" s="81"/>
      <c r="AB1803" s="81"/>
      <c r="AC1803" s="86" t="s">
        <v>7511</v>
      </c>
      <c r="AD1803" s="81"/>
      <c r="AE1803" s="81" t="b">
        <v>0</v>
      </c>
      <c r="AF1803" s="81">
        <v>0</v>
      </c>
      <c r="AG1803" s="86" t="s">
        <v>2084</v>
      </c>
      <c r="AH1803" s="81" t="b">
        <v>0</v>
      </c>
      <c r="AI1803" s="81" t="s">
        <v>2171</v>
      </c>
      <c r="AJ1803" s="81"/>
      <c r="AK1803" s="86" t="s">
        <v>2084</v>
      </c>
      <c r="AL1803" s="81" t="b">
        <v>0</v>
      </c>
      <c r="AM1803" s="81">
        <v>7</v>
      </c>
      <c r="AN1803" s="86" t="s">
        <v>7530</v>
      </c>
      <c r="AO1803" s="86" t="s">
        <v>2178</v>
      </c>
      <c r="AP1803" s="81" t="b">
        <v>0</v>
      </c>
      <c r="AQ1803" s="86" t="s">
        <v>7530</v>
      </c>
      <c r="AR1803" s="81" t="s">
        <v>179</v>
      </c>
      <c r="AS1803" s="81">
        <v>0</v>
      </c>
      <c r="AT1803" s="81">
        <v>0</v>
      </c>
      <c r="AU1803" s="81"/>
      <c r="AV1803" s="81"/>
      <c r="AW1803" s="81"/>
      <c r="AX1803" s="81"/>
      <c r="AY1803" s="81"/>
      <c r="AZ1803" s="81"/>
      <c r="BA1803" s="81"/>
      <c r="BB1803" s="81"/>
    </row>
    <row r="1804" spans="1:54" x14ac:dyDescent="0.35">
      <c r="A1804" s="66" t="s">
        <v>4921</v>
      </c>
      <c r="B1804" s="66" t="s">
        <v>5042</v>
      </c>
      <c r="C1804" s="67"/>
      <c r="D1804" s="68"/>
      <c r="E1804" s="69"/>
      <c r="F1804" s="70"/>
      <c r="G1804" s="67"/>
      <c r="H1804" s="71"/>
      <c r="I1804" s="72"/>
      <c r="J1804" s="72"/>
      <c r="K1804" s="36"/>
      <c r="L1804" s="79"/>
      <c r="M1804" s="79"/>
      <c r="N1804" s="74"/>
      <c r="O1804" s="81" t="s">
        <v>696</v>
      </c>
      <c r="P1804" s="83">
        <v>44467.611562500002</v>
      </c>
      <c r="Q1804" s="81" t="s">
        <v>5623</v>
      </c>
      <c r="R1804" s="81"/>
      <c r="S1804" s="81"/>
      <c r="T1804" s="81"/>
      <c r="U1804" s="81"/>
      <c r="V1804" s="84" t="str">
        <f>HYPERLINK("https://pbs.twimg.com/profile_images/1369348411665903630/Ml3-UQ4z_normal.jpg")</f>
        <v>https://pbs.twimg.com/profile_images/1369348411665903630/Ml3-UQ4z_normal.jpg</v>
      </c>
      <c r="W1804" s="83">
        <v>44467.611562500002</v>
      </c>
      <c r="X1804" s="89">
        <v>44467</v>
      </c>
      <c r="Y1804" s="86" t="s">
        <v>6590</v>
      </c>
      <c r="Z1804" s="84" t="str">
        <f>HYPERLINK("https://twitter.com/josemarmoises/status/1442861820633489412")</f>
        <v>https://twitter.com/josemarmoises/status/1442861820633489412</v>
      </c>
      <c r="AA1804" s="81"/>
      <c r="AB1804" s="81"/>
      <c r="AC1804" s="86" t="s">
        <v>7512</v>
      </c>
      <c r="AD1804" s="86" t="s">
        <v>7763</v>
      </c>
      <c r="AE1804" s="81" t="b">
        <v>0</v>
      </c>
      <c r="AF1804" s="81">
        <v>0</v>
      </c>
      <c r="AG1804" s="86" t="s">
        <v>7935</v>
      </c>
      <c r="AH1804" s="81" t="b">
        <v>0</v>
      </c>
      <c r="AI1804" s="81" t="s">
        <v>2171</v>
      </c>
      <c r="AJ1804" s="81"/>
      <c r="AK1804" s="86" t="s">
        <v>2084</v>
      </c>
      <c r="AL1804" s="81" t="b">
        <v>0</v>
      </c>
      <c r="AM1804" s="81">
        <v>0</v>
      </c>
      <c r="AN1804" s="86" t="s">
        <v>2084</v>
      </c>
      <c r="AO1804" s="86" t="s">
        <v>2181</v>
      </c>
      <c r="AP1804" s="81" t="b">
        <v>0</v>
      </c>
      <c r="AQ1804" s="86" t="s">
        <v>7763</v>
      </c>
      <c r="AR1804" s="81" t="s">
        <v>179</v>
      </c>
      <c r="AS1804" s="81">
        <v>0</v>
      </c>
      <c r="AT1804" s="81">
        <v>0</v>
      </c>
      <c r="AU1804" s="81"/>
      <c r="AV1804" s="81"/>
      <c r="AW1804" s="81"/>
      <c r="AX1804" s="81"/>
      <c r="AY1804" s="81"/>
      <c r="AZ1804" s="81"/>
      <c r="BA1804" s="81"/>
      <c r="BB1804" s="81"/>
    </row>
    <row r="1805" spans="1:54" x14ac:dyDescent="0.35">
      <c r="A1805" s="66" t="s">
        <v>4921</v>
      </c>
      <c r="B1805" s="66" t="s">
        <v>5201</v>
      </c>
      <c r="C1805" s="67"/>
      <c r="D1805" s="68"/>
      <c r="E1805" s="69"/>
      <c r="F1805" s="70"/>
      <c r="G1805" s="67"/>
      <c r="H1805" s="71"/>
      <c r="I1805" s="72"/>
      <c r="J1805" s="72"/>
      <c r="K1805" s="36"/>
      <c r="L1805" s="79"/>
      <c r="M1805" s="79"/>
      <c r="N1805" s="74"/>
      <c r="O1805" s="81" t="s">
        <v>695</v>
      </c>
      <c r="P1805" s="83">
        <v>44467.611562500002</v>
      </c>
      <c r="Q1805" s="81" t="s">
        <v>5623</v>
      </c>
      <c r="R1805" s="81"/>
      <c r="S1805" s="81"/>
      <c r="T1805" s="81"/>
      <c r="U1805" s="81"/>
      <c r="V1805" s="84" t="str">
        <f>HYPERLINK("https://pbs.twimg.com/profile_images/1369348411665903630/Ml3-UQ4z_normal.jpg")</f>
        <v>https://pbs.twimg.com/profile_images/1369348411665903630/Ml3-UQ4z_normal.jpg</v>
      </c>
      <c r="W1805" s="83">
        <v>44467.611562500002</v>
      </c>
      <c r="X1805" s="89">
        <v>44467</v>
      </c>
      <c r="Y1805" s="86" t="s">
        <v>6590</v>
      </c>
      <c r="Z1805" s="84" t="str">
        <f>HYPERLINK("https://twitter.com/josemarmoises/status/1442861820633489412")</f>
        <v>https://twitter.com/josemarmoises/status/1442861820633489412</v>
      </c>
      <c r="AA1805" s="81"/>
      <c r="AB1805" s="81"/>
      <c r="AC1805" s="86" t="s">
        <v>7512</v>
      </c>
      <c r="AD1805" s="86" t="s">
        <v>7763</v>
      </c>
      <c r="AE1805" s="81" t="b">
        <v>0</v>
      </c>
      <c r="AF1805" s="81">
        <v>0</v>
      </c>
      <c r="AG1805" s="86" t="s">
        <v>7935</v>
      </c>
      <c r="AH1805" s="81" t="b">
        <v>0</v>
      </c>
      <c r="AI1805" s="81" t="s">
        <v>2171</v>
      </c>
      <c r="AJ1805" s="81"/>
      <c r="AK1805" s="86" t="s">
        <v>2084</v>
      </c>
      <c r="AL1805" s="81" t="b">
        <v>0</v>
      </c>
      <c r="AM1805" s="81">
        <v>0</v>
      </c>
      <c r="AN1805" s="86" t="s">
        <v>2084</v>
      </c>
      <c r="AO1805" s="86" t="s">
        <v>2181</v>
      </c>
      <c r="AP1805" s="81" t="b">
        <v>0</v>
      </c>
      <c r="AQ1805" s="86" t="s">
        <v>7763</v>
      </c>
      <c r="AR1805" s="81" t="s">
        <v>179</v>
      </c>
      <c r="AS1805" s="81">
        <v>0</v>
      </c>
      <c r="AT1805" s="81">
        <v>0</v>
      </c>
      <c r="AU1805" s="81"/>
      <c r="AV1805" s="81"/>
      <c r="AW1805" s="81"/>
      <c r="AX1805" s="81"/>
      <c r="AY1805" s="81"/>
      <c r="AZ1805" s="81"/>
      <c r="BA1805" s="81"/>
      <c r="BB1805" s="81"/>
    </row>
    <row r="1806" spans="1:54" x14ac:dyDescent="0.35">
      <c r="A1806" s="66" t="s">
        <v>4922</v>
      </c>
      <c r="B1806" s="66" t="s">
        <v>5202</v>
      </c>
      <c r="C1806" s="67"/>
      <c r="D1806" s="68"/>
      <c r="E1806" s="69"/>
      <c r="F1806" s="70"/>
      <c r="G1806" s="67"/>
      <c r="H1806" s="71"/>
      <c r="I1806" s="72"/>
      <c r="J1806" s="72"/>
      <c r="K1806" s="36"/>
      <c r="L1806" s="79"/>
      <c r="M1806" s="79"/>
      <c r="N1806" s="74"/>
      <c r="O1806" s="81" t="s">
        <v>696</v>
      </c>
      <c r="P1806" s="83">
        <v>44467.629212962966</v>
      </c>
      <c r="Q1806" s="81" t="s">
        <v>5624</v>
      </c>
      <c r="R1806" s="84" t="str">
        <f>HYPERLINK("https://www.gov.br/anvisa/pt-br/assuntos/noticias-anvisa/2021/anvisa-alerta-sobre-risco-de-miocardite-e-pericardite-pos-vacinacao")</f>
        <v>https://www.gov.br/anvisa/pt-br/assuntos/noticias-anvisa/2021/anvisa-alerta-sobre-risco-de-miocardite-e-pericardite-pos-vacinacao</v>
      </c>
      <c r="S1806" s="81" t="s">
        <v>5686</v>
      </c>
      <c r="T1806" s="81"/>
      <c r="U1806" s="81"/>
      <c r="V1806" s="84" t="str">
        <f>HYPERLINK("https://pbs.twimg.com/profile_images/1436834356492898305/_OlePtlG_normal.jpg")</f>
        <v>https://pbs.twimg.com/profile_images/1436834356492898305/_OlePtlG_normal.jpg</v>
      </c>
      <c r="W1806" s="83">
        <v>44467.629212962966</v>
      </c>
      <c r="X1806" s="89">
        <v>44467</v>
      </c>
      <c r="Y1806" s="86" t="s">
        <v>6591</v>
      </c>
      <c r="Z1806" s="84" t="str">
        <f>HYPERLINK("https://twitter.com/ufanistacut3/status/1442868214665396230")</f>
        <v>https://twitter.com/ufanistacut3/status/1442868214665396230</v>
      </c>
      <c r="AA1806" s="81"/>
      <c r="AB1806" s="81"/>
      <c r="AC1806" s="86" t="s">
        <v>7513</v>
      </c>
      <c r="AD1806" s="86" t="s">
        <v>7764</v>
      </c>
      <c r="AE1806" s="81" t="b">
        <v>0</v>
      </c>
      <c r="AF1806" s="81">
        <v>3</v>
      </c>
      <c r="AG1806" s="86" t="s">
        <v>7936</v>
      </c>
      <c r="AH1806" s="81" t="b">
        <v>0</v>
      </c>
      <c r="AI1806" s="81" t="s">
        <v>2173</v>
      </c>
      <c r="AJ1806" s="81"/>
      <c r="AK1806" s="86" t="s">
        <v>2084</v>
      </c>
      <c r="AL1806" s="81" t="b">
        <v>0</v>
      </c>
      <c r="AM1806" s="81">
        <v>0</v>
      </c>
      <c r="AN1806" s="86" t="s">
        <v>2084</v>
      </c>
      <c r="AO1806" s="86" t="s">
        <v>2178</v>
      </c>
      <c r="AP1806" s="81" t="b">
        <v>0</v>
      </c>
      <c r="AQ1806" s="86" t="s">
        <v>7764</v>
      </c>
      <c r="AR1806" s="81" t="s">
        <v>179</v>
      </c>
      <c r="AS1806" s="81">
        <v>0</v>
      </c>
      <c r="AT1806" s="81">
        <v>0</v>
      </c>
      <c r="AU1806" s="81"/>
      <c r="AV1806" s="81"/>
      <c r="AW1806" s="81"/>
      <c r="AX1806" s="81"/>
      <c r="AY1806" s="81"/>
      <c r="AZ1806" s="81"/>
      <c r="BA1806" s="81"/>
      <c r="BB1806" s="81"/>
    </row>
    <row r="1807" spans="1:54" x14ac:dyDescent="0.35">
      <c r="A1807" s="66" t="s">
        <v>4922</v>
      </c>
      <c r="B1807" s="66" t="s">
        <v>5203</v>
      </c>
      <c r="C1807" s="67"/>
      <c r="D1807" s="68"/>
      <c r="E1807" s="69"/>
      <c r="F1807" s="70"/>
      <c r="G1807" s="67"/>
      <c r="H1807" s="71"/>
      <c r="I1807" s="72"/>
      <c r="J1807" s="72"/>
      <c r="K1807" s="36"/>
      <c r="L1807" s="79"/>
      <c r="M1807" s="79"/>
      <c r="N1807" s="74"/>
      <c r="O1807" s="81" t="s">
        <v>696</v>
      </c>
      <c r="P1807" s="83">
        <v>44467.629212962966</v>
      </c>
      <c r="Q1807" s="81" t="s">
        <v>5624</v>
      </c>
      <c r="R1807" s="84" t="str">
        <f>HYPERLINK("https://www.gov.br/anvisa/pt-br/assuntos/noticias-anvisa/2021/anvisa-alerta-sobre-risco-de-miocardite-e-pericardite-pos-vacinacao")</f>
        <v>https://www.gov.br/anvisa/pt-br/assuntos/noticias-anvisa/2021/anvisa-alerta-sobre-risco-de-miocardite-e-pericardite-pos-vacinacao</v>
      </c>
      <c r="S1807" s="81" t="s">
        <v>5686</v>
      </c>
      <c r="T1807" s="81"/>
      <c r="U1807" s="81"/>
      <c r="V1807" s="84" t="str">
        <f>HYPERLINK("https://pbs.twimg.com/profile_images/1436834356492898305/_OlePtlG_normal.jpg")</f>
        <v>https://pbs.twimg.com/profile_images/1436834356492898305/_OlePtlG_normal.jpg</v>
      </c>
      <c r="W1807" s="83">
        <v>44467.629212962966</v>
      </c>
      <c r="X1807" s="89">
        <v>44467</v>
      </c>
      <c r="Y1807" s="86" t="s">
        <v>6591</v>
      </c>
      <c r="Z1807" s="84" t="str">
        <f>HYPERLINK("https://twitter.com/ufanistacut3/status/1442868214665396230")</f>
        <v>https://twitter.com/ufanistacut3/status/1442868214665396230</v>
      </c>
      <c r="AA1807" s="81"/>
      <c r="AB1807" s="81"/>
      <c r="AC1807" s="86" t="s">
        <v>7513</v>
      </c>
      <c r="AD1807" s="86" t="s">
        <v>7764</v>
      </c>
      <c r="AE1807" s="81" t="b">
        <v>0</v>
      </c>
      <c r="AF1807" s="81">
        <v>3</v>
      </c>
      <c r="AG1807" s="86" t="s">
        <v>7936</v>
      </c>
      <c r="AH1807" s="81" t="b">
        <v>0</v>
      </c>
      <c r="AI1807" s="81" t="s">
        <v>2173</v>
      </c>
      <c r="AJ1807" s="81"/>
      <c r="AK1807" s="86" t="s">
        <v>2084</v>
      </c>
      <c r="AL1807" s="81" t="b">
        <v>0</v>
      </c>
      <c r="AM1807" s="81">
        <v>0</v>
      </c>
      <c r="AN1807" s="86" t="s">
        <v>2084</v>
      </c>
      <c r="AO1807" s="86" t="s">
        <v>2178</v>
      </c>
      <c r="AP1807" s="81" t="b">
        <v>0</v>
      </c>
      <c r="AQ1807" s="86" t="s">
        <v>7764</v>
      </c>
      <c r="AR1807" s="81" t="s">
        <v>179</v>
      </c>
      <c r="AS1807" s="81">
        <v>0</v>
      </c>
      <c r="AT1807" s="81">
        <v>0</v>
      </c>
      <c r="AU1807" s="81"/>
      <c r="AV1807" s="81"/>
      <c r="AW1807" s="81"/>
      <c r="AX1807" s="81"/>
      <c r="AY1807" s="81"/>
      <c r="AZ1807" s="81"/>
      <c r="BA1807" s="81"/>
      <c r="BB1807" s="81"/>
    </row>
    <row r="1808" spans="1:54" x14ac:dyDescent="0.35">
      <c r="A1808" s="66" t="s">
        <v>4922</v>
      </c>
      <c r="B1808" s="66" t="s">
        <v>5204</v>
      </c>
      <c r="C1808" s="67"/>
      <c r="D1808" s="68"/>
      <c r="E1808" s="69"/>
      <c r="F1808" s="70"/>
      <c r="G1808" s="67"/>
      <c r="H1808" s="71"/>
      <c r="I1808" s="72"/>
      <c r="J1808" s="72"/>
      <c r="K1808" s="36"/>
      <c r="L1808" s="79"/>
      <c r="M1808" s="79"/>
      <c r="N1808" s="74"/>
      <c r="O1808" s="81" t="s">
        <v>696</v>
      </c>
      <c r="P1808" s="83">
        <v>44467.629212962966</v>
      </c>
      <c r="Q1808" s="81" t="s">
        <v>5624</v>
      </c>
      <c r="R1808" s="84" t="str">
        <f>HYPERLINK("https://www.gov.br/anvisa/pt-br/assuntos/noticias-anvisa/2021/anvisa-alerta-sobre-risco-de-miocardite-e-pericardite-pos-vacinacao")</f>
        <v>https://www.gov.br/anvisa/pt-br/assuntos/noticias-anvisa/2021/anvisa-alerta-sobre-risco-de-miocardite-e-pericardite-pos-vacinacao</v>
      </c>
      <c r="S1808" s="81" t="s">
        <v>5686</v>
      </c>
      <c r="T1808" s="81"/>
      <c r="U1808" s="81"/>
      <c r="V1808" s="84" t="str">
        <f>HYPERLINK("https://pbs.twimg.com/profile_images/1436834356492898305/_OlePtlG_normal.jpg")</f>
        <v>https://pbs.twimg.com/profile_images/1436834356492898305/_OlePtlG_normal.jpg</v>
      </c>
      <c r="W1808" s="83">
        <v>44467.629212962966</v>
      </c>
      <c r="X1808" s="89">
        <v>44467</v>
      </c>
      <c r="Y1808" s="86" t="s">
        <v>6591</v>
      </c>
      <c r="Z1808" s="84" t="str">
        <f>HYPERLINK("https://twitter.com/ufanistacut3/status/1442868214665396230")</f>
        <v>https://twitter.com/ufanistacut3/status/1442868214665396230</v>
      </c>
      <c r="AA1808" s="81"/>
      <c r="AB1808" s="81"/>
      <c r="AC1808" s="86" t="s">
        <v>7513</v>
      </c>
      <c r="AD1808" s="86" t="s">
        <v>7764</v>
      </c>
      <c r="AE1808" s="81" t="b">
        <v>0</v>
      </c>
      <c r="AF1808" s="81">
        <v>3</v>
      </c>
      <c r="AG1808" s="86" t="s">
        <v>7936</v>
      </c>
      <c r="AH1808" s="81" t="b">
        <v>0</v>
      </c>
      <c r="AI1808" s="81" t="s">
        <v>2173</v>
      </c>
      <c r="AJ1808" s="81"/>
      <c r="AK1808" s="86" t="s">
        <v>2084</v>
      </c>
      <c r="AL1808" s="81" t="b">
        <v>0</v>
      </c>
      <c r="AM1808" s="81">
        <v>0</v>
      </c>
      <c r="AN1808" s="86" t="s">
        <v>2084</v>
      </c>
      <c r="AO1808" s="86" t="s">
        <v>2178</v>
      </c>
      <c r="AP1808" s="81" t="b">
        <v>0</v>
      </c>
      <c r="AQ1808" s="86" t="s">
        <v>7764</v>
      </c>
      <c r="AR1808" s="81" t="s">
        <v>179</v>
      </c>
      <c r="AS1808" s="81">
        <v>0</v>
      </c>
      <c r="AT1808" s="81">
        <v>0</v>
      </c>
      <c r="AU1808" s="81"/>
      <c r="AV1808" s="81"/>
      <c r="AW1808" s="81"/>
      <c r="AX1808" s="81"/>
      <c r="AY1808" s="81"/>
      <c r="AZ1808" s="81"/>
      <c r="BA1808" s="81"/>
      <c r="BB1808" s="81"/>
    </row>
    <row r="1809" spans="1:54" x14ac:dyDescent="0.35">
      <c r="A1809" s="66" t="s">
        <v>4922</v>
      </c>
      <c r="B1809" s="66" t="s">
        <v>5205</v>
      </c>
      <c r="C1809" s="67"/>
      <c r="D1809" s="68"/>
      <c r="E1809" s="69"/>
      <c r="F1809" s="70"/>
      <c r="G1809" s="67"/>
      <c r="H1809" s="71"/>
      <c r="I1809" s="72"/>
      <c r="J1809" s="72"/>
      <c r="K1809" s="36"/>
      <c r="L1809" s="79"/>
      <c r="M1809" s="79"/>
      <c r="N1809" s="74"/>
      <c r="O1809" s="81" t="s">
        <v>696</v>
      </c>
      <c r="P1809" s="83">
        <v>44467.629212962966</v>
      </c>
      <c r="Q1809" s="81" t="s">
        <v>5624</v>
      </c>
      <c r="R1809" s="84" t="str">
        <f>HYPERLINK("https://www.gov.br/anvisa/pt-br/assuntos/noticias-anvisa/2021/anvisa-alerta-sobre-risco-de-miocardite-e-pericardite-pos-vacinacao")</f>
        <v>https://www.gov.br/anvisa/pt-br/assuntos/noticias-anvisa/2021/anvisa-alerta-sobre-risco-de-miocardite-e-pericardite-pos-vacinacao</v>
      </c>
      <c r="S1809" s="81" t="s">
        <v>5686</v>
      </c>
      <c r="T1809" s="81"/>
      <c r="U1809" s="81"/>
      <c r="V1809" s="84" t="str">
        <f>HYPERLINK("https://pbs.twimg.com/profile_images/1436834356492898305/_OlePtlG_normal.jpg")</f>
        <v>https://pbs.twimg.com/profile_images/1436834356492898305/_OlePtlG_normal.jpg</v>
      </c>
      <c r="W1809" s="83">
        <v>44467.629212962966</v>
      </c>
      <c r="X1809" s="89">
        <v>44467</v>
      </c>
      <c r="Y1809" s="86" t="s">
        <v>6591</v>
      </c>
      <c r="Z1809" s="84" t="str">
        <f>HYPERLINK("https://twitter.com/ufanistacut3/status/1442868214665396230")</f>
        <v>https://twitter.com/ufanistacut3/status/1442868214665396230</v>
      </c>
      <c r="AA1809" s="81"/>
      <c r="AB1809" s="81"/>
      <c r="AC1809" s="86" t="s">
        <v>7513</v>
      </c>
      <c r="AD1809" s="86" t="s">
        <v>7764</v>
      </c>
      <c r="AE1809" s="81" t="b">
        <v>0</v>
      </c>
      <c r="AF1809" s="81">
        <v>3</v>
      </c>
      <c r="AG1809" s="86" t="s">
        <v>7936</v>
      </c>
      <c r="AH1809" s="81" t="b">
        <v>0</v>
      </c>
      <c r="AI1809" s="81" t="s">
        <v>2173</v>
      </c>
      <c r="AJ1809" s="81"/>
      <c r="AK1809" s="86" t="s">
        <v>2084</v>
      </c>
      <c r="AL1809" s="81" t="b">
        <v>0</v>
      </c>
      <c r="AM1809" s="81">
        <v>0</v>
      </c>
      <c r="AN1809" s="86" t="s">
        <v>2084</v>
      </c>
      <c r="AO1809" s="86" t="s">
        <v>2178</v>
      </c>
      <c r="AP1809" s="81" t="b">
        <v>0</v>
      </c>
      <c r="AQ1809" s="86" t="s">
        <v>7764</v>
      </c>
      <c r="AR1809" s="81" t="s">
        <v>179</v>
      </c>
      <c r="AS1809" s="81">
        <v>0</v>
      </c>
      <c r="AT1809" s="81">
        <v>0</v>
      </c>
      <c r="AU1809" s="81"/>
      <c r="AV1809" s="81"/>
      <c r="AW1809" s="81"/>
      <c r="AX1809" s="81"/>
      <c r="AY1809" s="81"/>
      <c r="AZ1809" s="81"/>
      <c r="BA1809" s="81"/>
      <c r="BB1809" s="81"/>
    </row>
    <row r="1810" spans="1:54" x14ac:dyDescent="0.35">
      <c r="A1810" s="66" t="s">
        <v>4922</v>
      </c>
      <c r="B1810" s="66" t="s">
        <v>5206</v>
      </c>
      <c r="C1810" s="67"/>
      <c r="D1810" s="68"/>
      <c r="E1810" s="69"/>
      <c r="F1810" s="70"/>
      <c r="G1810" s="67"/>
      <c r="H1810" s="71"/>
      <c r="I1810" s="72"/>
      <c r="J1810" s="72"/>
      <c r="K1810" s="36"/>
      <c r="L1810" s="79"/>
      <c r="M1810" s="79"/>
      <c r="N1810" s="74"/>
      <c r="O1810" s="81" t="s">
        <v>696</v>
      </c>
      <c r="P1810" s="83">
        <v>44467.629212962966</v>
      </c>
      <c r="Q1810" s="81" t="s">
        <v>5624</v>
      </c>
      <c r="R1810" s="84" t="str">
        <f>HYPERLINK("https://www.gov.br/anvisa/pt-br/assuntos/noticias-anvisa/2021/anvisa-alerta-sobre-risco-de-miocardite-e-pericardite-pos-vacinacao")</f>
        <v>https://www.gov.br/anvisa/pt-br/assuntos/noticias-anvisa/2021/anvisa-alerta-sobre-risco-de-miocardite-e-pericardite-pos-vacinacao</v>
      </c>
      <c r="S1810" s="81" t="s">
        <v>5686</v>
      </c>
      <c r="T1810" s="81"/>
      <c r="U1810" s="81"/>
      <c r="V1810" s="84" t="str">
        <f>HYPERLINK("https://pbs.twimg.com/profile_images/1436834356492898305/_OlePtlG_normal.jpg")</f>
        <v>https://pbs.twimg.com/profile_images/1436834356492898305/_OlePtlG_normal.jpg</v>
      </c>
      <c r="W1810" s="83">
        <v>44467.629212962966</v>
      </c>
      <c r="X1810" s="89">
        <v>44467</v>
      </c>
      <c r="Y1810" s="86" t="s">
        <v>6591</v>
      </c>
      <c r="Z1810" s="84" t="str">
        <f>HYPERLINK("https://twitter.com/ufanistacut3/status/1442868214665396230")</f>
        <v>https://twitter.com/ufanistacut3/status/1442868214665396230</v>
      </c>
      <c r="AA1810" s="81"/>
      <c r="AB1810" s="81"/>
      <c r="AC1810" s="86" t="s">
        <v>7513</v>
      </c>
      <c r="AD1810" s="86" t="s">
        <v>7764</v>
      </c>
      <c r="AE1810" s="81" t="b">
        <v>0</v>
      </c>
      <c r="AF1810" s="81">
        <v>3</v>
      </c>
      <c r="AG1810" s="86" t="s">
        <v>7936</v>
      </c>
      <c r="AH1810" s="81" t="b">
        <v>0</v>
      </c>
      <c r="AI1810" s="81" t="s">
        <v>2173</v>
      </c>
      <c r="AJ1810" s="81"/>
      <c r="AK1810" s="86" t="s">
        <v>2084</v>
      </c>
      <c r="AL1810" s="81" t="b">
        <v>0</v>
      </c>
      <c r="AM1810" s="81">
        <v>0</v>
      </c>
      <c r="AN1810" s="86" t="s">
        <v>2084</v>
      </c>
      <c r="AO1810" s="86" t="s">
        <v>2178</v>
      </c>
      <c r="AP1810" s="81" t="b">
        <v>0</v>
      </c>
      <c r="AQ1810" s="86" t="s">
        <v>7764</v>
      </c>
      <c r="AR1810" s="81" t="s">
        <v>179</v>
      </c>
      <c r="AS1810" s="81">
        <v>0</v>
      </c>
      <c r="AT1810" s="81">
        <v>0</v>
      </c>
      <c r="AU1810" s="81"/>
      <c r="AV1810" s="81"/>
      <c r="AW1810" s="81"/>
      <c r="AX1810" s="81"/>
      <c r="AY1810" s="81"/>
      <c r="AZ1810" s="81"/>
      <c r="BA1810" s="81"/>
      <c r="BB1810" s="81"/>
    </row>
    <row r="1811" spans="1:54" x14ac:dyDescent="0.35">
      <c r="A1811" s="66" t="s">
        <v>4922</v>
      </c>
      <c r="B1811" s="66" t="s">
        <v>5207</v>
      </c>
      <c r="C1811" s="67"/>
      <c r="D1811" s="68"/>
      <c r="E1811" s="69"/>
      <c r="F1811" s="70"/>
      <c r="G1811" s="67"/>
      <c r="H1811" s="71"/>
      <c r="I1811" s="72"/>
      <c r="J1811" s="72"/>
      <c r="K1811" s="36"/>
      <c r="L1811" s="79"/>
      <c r="M1811" s="79"/>
      <c r="N1811" s="74"/>
      <c r="O1811" s="81" t="s">
        <v>695</v>
      </c>
      <c r="P1811" s="83">
        <v>44467.629212962966</v>
      </c>
      <c r="Q1811" s="81" t="s">
        <v>5624</v>
      </c>
      <c r="R1811" s="84" t="str">
        <f>HYPERLINK("https://www.gov.br/anvisa/pt-br/assuntos/noticias-anvisa/2021/anvisa-alerta-sobre-risco-de-miocardite-e-pericardite-pos-vacinacao")</f>
        <v>https://www.gov.br/anvisa/pt-br/assuntos/noticias-anvisa/2021/anvisa-alerta-sobre-risco-de-miocardite-e-pericardite-pos-vacinacao</v>
      </c>
      <c r="S1811" s="81" t="s">
        <v>5686</v>
      </c>
      <c r="T1811" s="81"/>
      <c r="U1811" s="81"/>
      <c r="V1811" s="84" t="str">
        <f>HYPERLINK("https://pbs.twimg.com/profile_images/1436834356492898305/_OlePtlG_normal.jpg")</f>
        <v>https://pbs.twimg.com/profile_images/1436834356492898305/_OlePtlG_normal.jpg</v>
      </c>
      <c r="W1811" s="83">
        <v>44467.629212962966</v>
      </c>
      <c r="X1811" s="89">
        <v>44467</v>
      </c>
      <c r="Y1811" s="86" t="s">
        <v>6591</v>
      </c>
      <c r="Z1811" s="84" t="str">
        <f>HYPERLINK("https://twitter.com/ufanistacut3/status/1442868214665396230")</f>
        <v>https://twitter.com/ufanistacut3/status/1442868214665396230</v>
      </c>
      <c r="AA1811" s="81"/>
      <c r="AB1811" s="81"/>
      <c r="AC1811" s="86" t="s">
        <v>7513</v>
      </c>
      <c r="AD1811" s="86" t="s">
        <v>7764</v>
      </c>
      <c r="AE1811" s="81" t="b">
        <v>0</v>
      </c>
      <c r="AF1811" s="81">
        <v>3</v>
      </c>
      <c r="AG1811" s="86" t="s">
        <v>7936</v>
      </c>
      <c r="AH1811" s="81" t="b">
        <v>0</v>
      </c>
      <c r="AI1811" s="81" t="s">
        <v>2173</v>
      </c>
      <c r="AJ1811" s="81"/>
      <c r="AK1811" s="86" t="s">
        <v>2084</v>
      </c>
      <c r="AL1811" s="81" t="b">
        <v>0</v>
      </c>
      <c r="AM1811" s="81">
        <v>0</v>
      </c>
      <c r="AN1811" s="86" t="s">
        <v>2084</v>
      </c>
      <c r="AO1811" s="86" t="s">
        <v>2178</v>
      </c>
      <c r="AP1811" s="81" t="b">
        <v>0</v>
      </c>
      <c r="AQ1811" s="86" t="s">
        <v>7764</v>
      </c>
      <c r="AR1811" s="81" t="s">
        <v>179</v>
      </c>
      <c r="AS1811" s="81">
        <v>0</v>
      </c>
      <c r="AT1811" s="81">
        <v>0</v>
      </c>
      <c r="AU1811" s="81"/>
      <c r="AV1811" s="81"/>
      <c r="AW1811" s="81"/>
      <c r="AX1811" s="81"/>
      <c r="AY1811" s="81"/>
      <c r="AZ1811" s="81"/>
      <c r="BA1811" s="81"/>
      <c r="BB1811" s="81"/>
    </row>
    <row r="1812" spans="1:54" x14ac:dyDescent="0.35">
      <c r="A1812" s="66" t="s">
        <v>4923</v>
      </c>
      <c r="B1812" s="66" t="s">
        <v>589</v>
      </c>
      <c r="C1812" s="67"/>
      <c r="D1812" s="68"/>
      <c r="E1812" s="69"/>
      <c r="F1812" s="70"/>
      <c r="G1812" s="67"/>
      <c r="H1812" s="71"/>
      <c r="I1812" s="72"/>
      <c r="J1812" s="72"/>
      <c r="K1812" s="36"/>
      <c r="L1812" s="79"/>
      <c r="M1812" s="79"/>
      <c r="N1812" s="74"/>
      <c r="O1812" s="81" t="s">
        <v>693</v>
      </c>
      <c r="P1812" s="83">
        <v>44467.636145833334</v>
      </c>
      <c r="Q1812" s="81" t="s">
        <v>5625</v>
      </c>
      <c r="R1812" s="81"/>
      <c r="S1812" s="81"/>
      <c r="T1812" s="86" t="s">
        <v>5786</v>
      </c>
      <c r="U1812" s="84" t="str">
        <f>HYPERLINK("https://pbs.twimg.com/media/FAYUHMTVEAoP82T.jpg")</f>
        <v>https://pbs.twimg.com/media/FAYUHMTVEAoP82T.jpg</v>
      </c>
      <c r="V1812" s="84" t="str">
        <f>HYPERLINK("https://pbs.twimg.com/media/FAYUHMTVEAoP82T.jpg")</f>
        <v>https://pbs.twimg.com/media/FAYUHMTVEAoP82T.jpg</v>
      </c>
      <c r="W1812" s="83">
        <v>44467.636145833334</v>
      </c>
      <c r="X1812" s="89">
        <v>44467</v>
      </c>
      <c r="Y1812" s="86" t="s">
        <v>6592</v>
      </c>
      <c r="Z1812" s="84" t="str">
        <f>HYPERLINK("https://twitter.com/sunteroids_444/status/1442870728756326414")</f>
        <v>https://twitter.com/sunteroids_444/status/1442870728756326414</v>
      </c>
      <c r="AA1812" s="81"/>
      <c r="AB1812" s="81"/>
      <c r="AC1812" s="86" t="s">
        <v>7514</v>
      </c>
      <c r="AD1812" s="81"/>
      <c r="AE1812" s="81" t="b">
        <v>0</v>
      </c>
      <c r="AF1812" s="81">
        <v>0</v>
      </c>
      <c r="AG1812" s="86" t="s">
        <v>2084</v>
      </c>
      <c r="AH1812" s="81" t="b">
        <v>0</v>
      </c>
      <c r="AI1812" s="81" t="s">
        <v>2168</v>
      </c>
      <c r="AJ1812" s="81"/>
      <c r="AK1812" s="86" t="s">
        <v>2084</v>
      </c>
      <c r="AL1812" s="81" t="b">
        <v>0</v>
      </c>
      <c r="AM1812" s="81">
        <v>15</v>
      </c>
      <c r="AN1812" s="86" t="s">
        <v>7613</v>
      </c>
      <c r="AO1812" s="86" t="s">
        <v>2178</v>
      </c>
      <c r="AP1812" s="81" t="b">
        <v>0</v>
      </c>
      <c r="AQ1812" s="86" t="s">
        <v>7613</v>
      </c>
      <c r="AR1812" s="81" t="s">
        <v>179</v>
      </c>
      <c r="AS1812" s="81">
        <v>0</v>
      </c>
      <c r="AT1812" s="81">
        <v>0</v>
      </c>
      <c r="AU1812" s="81"/>
      <c r="AV1812" s="81"/>
      <c r="AW1812" s="81"/>
      <c r="AX1812" s="81"/>
      <c r="AY1812" s="81"/>
      <c r="AZ1812" s="81"/>
      <c r="BA1812" s="81"/>
      <c r="BB1812" s="81"/>
    </row>
    <row r="1813" spans="1:54" x14ac:dyDescent="0.35">
      <c r="A1813" s="66" t="s">
        <v>4925</v>
      </c>
      <c r="B1813" s="66" t="s">
        <v>589</v>
      </c>
      <c r="C1813" s="67"/>
      <c r="D1813" s="68"/>
      <c r="E1813" s="69"/>
      <c r="F1813" s="70"/>
      <c r="G1813" s="67"/>
      <c r="H1813" s="71"/>
      <c r="I1813" s="72"/>
      <c r="J1813" s="72"/>
      <c r="K1813" s="36"/>
      <c r="L1813" s="79"/>
      <c r="M1813" s="79"/>
      <c r="N1813" s="74"/>
      <c r="O1813" s="81" t="s">
        <v>693</v>
      </c>
      <c r="P1813" s="83">
        <v>44467.646226851852</v>
      </c>
      <c r="Q1813" s="81" t="s">
        <v>5625</v>
      </c>
      <c r="R1813" s="81"/>
      <c r="S1813" s="81"/>
      <c r="T1813" s="86" t="s">
        <v>5786</v>
      </c>
      <c r="U1813" s="84" t="str">
        <f>HYPERLINK("https://pbs.twimg.com/media/FAYUHMTVEAoP82T.jpg")</f>
        <v>https://pbs.twimg.com/media/FAYUHMTVEAoP82T.jpg</v>
      </c>
      <c r="V1813" s="84" t="str">
        <f>HYPERLINK("https://pbs.twimg.com/media/FAYUHMTVEAoP82T.jpg")</f>
        <v>https://pbs.twimg.com/media/FAYUHMTVEAoP82T.jpg</v>
      </c>
      <c r="W1813" s="83">
        <v>44467.646226851852</v>
      </c>
      <c r="X1813" s="89">
        <v>44467</v>
      </c>
      <c r="Y1813" s="86" t="s">
        <v>1012</v>
      </c>
      <c r="Z1813" s="84" t="str">
        <f>HYPERLINK("https://twitter.com/nrqstnalya_/status/1442874379981836301")</f>
        <v>https://twitter.com/nrqstnalya_/status/1442874379981836301</v>
      </c>
      <c r="AA1813" s="81"/>
      <c r="AB1813" s="81"/>
      <c r="AC1813" s="86" t="s">
        <v>7517</v>
      </c>
      <c r="AD1813" s="81"/>
      <c r="AE1813" s="81" t="b">
        <v>0</v>
      </c>
      <c r="AF1813" s="81">
        <v>0</v>
      </c>
      <c r="AG1813" s="86" t="s">
        <v>2084</v>
      </c>
      <c r="AH1813" s="81" t="b">
        <v>0</v>
      </c>
      <c r="AI1813" s="81" t="s">
        <v>2168</v>
      </c>
      <c r="AJ1813" s="81"/>
      <c r="AK1813" s="86" t="s">
        <v>2084</v>
      </c>
      <c r="AL1813" s="81" t="b">
        <v>0</v>
      </c>
      <c r="AM1813" s="81">
        <v>15</v>
      </c>
      <c r="AN1813" s="86" t="s">
        <v>7613</v>
      </c>
      <c r="AO1813" s="86" t="s">
        <v>2178</v>
      </c>
      <c r="AP1813" s="81" t="b">
        <v>0</v>
      </c>
      <c r="AQ1813" s="86" t="s">
        <v>7613</v>
      </c>
      <c r="AR1813" s="81" t="s">
        <v>179</v>
      </c>
      <c r="AS1813" s="81">
        <v>0</v>
      </c>
      <c r="AT1813" s="81">
        <v>0</v>
      </c>
      <c r="AU1813" s="81"/>
      <c r="AV1813" s="81"/>
      <c r="AW1813" s="81"/>
      <c r="AX1813" s="81"/>
      <c r="AY1813" s="81"/>
      <c r="AZ1813" s="81"/>
      <c r="BA1813" s="81"/>
      <c r="BB1813" s="81"/>
    </row>
    <row r="1814" spans="1:54" x14ac:dyDescent="0.35">
      <c r="A1814" s="66" t="s">
        <v>4926</v>
      </c>
      <c r="B1814" s="66" t="s">
        <v>4926</v>
      </c>
      <c r="C1814" s="67"/>
      <c r="D1814" s="68"/>
      <c r="E1814" s="69"/>
      <c r="F1814" s="70"/>
      <c r="G1814" s="67"/>
      <c r="H1814" s="71"/>
      <c r="I1814" s="72"/>
      <c r="J1814" s="72"/>
      <c r="K1814" s="36"/>
      <c r="L1814" s="79"/>
      <c r="M1814" s="79"/>
      <c r="N1814" s="74"/>
      <c r="O1814" s="81" t="s">
        <v>179</v>
      </c>
      <c r="P1814" s="83">
        <v>44467.646377314813</v>
      </c>
      <c r="Q1814" s="81" t="s">
        <v>5626</v>
      </c>
      <c r="R1814" s="81"/>
      <c r="S1814" s="81"/>
      <c r="T1814" s="81"/>
      <c r="U1814" s="81"/>
      <c r="V1814" s="84" t="str">
        <f>HYPERLINK("https://pbs.twimg.com/profile_images/1432359179679723525/hHDTUwf7_normal.jpg")</f>
        <v>https://pbs.twimg.com/profile_images/1432359179679723525/hHDTUwf7_normal.jpg</v>
      </c>
      <c r="W1814" s="83">
        <v>44467.646377314813</v>
      </c>
      <c r="X1814" s="89">
        <v>44467</v>
      </c>
      <c r="Y1814" s="86" t="s">
        <v>6594</v>
      </c>
      <c r="Z1814" s="84" t="str">
        <f>HYPERLINK("https://twitter.com/oreolize/status/1442874437049585664")</f>
        <v>https://twitter.com/oreolize/status/1442874437049585664</v>
      </c>
      <c r="AA1814" s="81"/>
      <c r="AB1814" s="81"/>
      <c r="AC1814" s="86" t="s">
        <v>7518</v>
      </c>
      <c r="AD1814" s="81"/>
      <c r="AE1814" s="81" t="b">
        <v>0</v>
      </c>
      <c r="AF1814" s="81">
        <v>0</v>
      </c>
      <c r="AG1814" s="86" t="s">
        <v>2084</v>
      </c>
      <c r="AH1814" s="81" t="b">
        <v>0</v>
      </c>
      <c r="AI1814" s="81" t="s">
        <v>2167</v>
      </c>
      <c r="AJ1814" s="81"/>
      <c r="AK1814" s="86" t="s">
        <v>2084</v>
      </c>
      <c r="AL1814" s="81" t="b">
        <v>0</v>
      </c>
      <c r="AM1814" s="81">
        <v>0</v>
      </c>
      <c r="AN1814" s="86" t="s">
        <v>2084</v>
      </c>
      <c r="AO1814" s="86" t="s">
        <v>2178</v>
      </c>
      <c r="AP1814" s="81" t="b">
        <v>0</v>
      </c>
      <c r="AQ1814" s="86" t="s">
        <v>7518</v>
      </c>
      <c r="AR1814" s="81" t="s">
        <v>179</v>
      </c>
      <c r="AS1814" s="81">
        <v>0</v>
      </c>
      <c r="AT1814" s="81">
        <v>0</v>
      </c>
      <c r="AU1814" s="81" t="s">
        <v>7996</v>
      </c>
      <c r="AV1814" s="81" t="s">
        <v>2202</v>
      </c>
      <c r="AW1814" s="81" t="s">
        <v>12</v>
      </c>
      <c r="AX1814" s="81" t="s">
        <v>8006</v>
      </c>
      <c r="AY1814" s="81" t="s">
        <v>8014</v>
      </c>
      <c r="AZ1814" s="81" t="s">
        <v>8022</v>
      </c>
      <c r="BA1814" s="81" t="s">
        <v>2212</v>
      </c>
      <c r="BB1814" s="84" t="str">
        <f>HYPERLINK("https://api.twitter.com/1.1/geo/id/8b58170c3b5c9585.json")</f>
        <v>https://api.twitter.com/1.1/geo/id/8b58170c3b5c9585.json</v>
      </c>
    </row>
    <row r="1815" spans="1:54" x14ac:dyDescent="0.35">
      <c r="A1815" s="66" t="s">
        <v>4927</v>
      </c>
      <c r="B1815" s="66" t="s">
        <v>589</v>
      </c>
      <c r="C1815" s="67"/>
      <c r="D1815" s="68"/>
      <c r="E1815" s="69"/>
      <c r="F1815" s="70"/>
      <c r="G1815" s="67"/>
      <c r="H1815" s="71"/>
      <c r="I1815" s="72"/>
      <c r="J1815" s="72"/>
      <c r="K1815" s="36"/>
      <c r="L1815" s="79"/>
      <c r="M1815" s="79"/>
      <c r="N1815" s="74"/>
      <c r="O1815" s="81" t="s">
        <v>693</v>
      </c>
      <c r="P1815" s="83">
        <v>44467.65353009259</v>
      </c>
      <c r="Q1815" s="81" t="s">
        <v>5625</v>
      </c>
      <c r="R1815" s="81"/>
      <c r="S1815" s="81"/>
      <c r="T1815" s="86" t="s">
        <v>5786</v>
      </c>
      <c r="U1815" s="84" t="str">
        <f>HYPERLINK("https://pbs.twimg.com/media/FAYUHMTVEAoP82T.jpg")</f>
        <v>https://pbs.twimg.com/media/FAYUHMTVEAoP82T.jpg</v>
      </c>
      <c r="V1815" s="84" t="str">
        <f>HYPERLINK("https://pbs.twimg.com/media/FAYUHMTVEAoP82T.jpg")</f>
        <v>https://pbs.twimg.com/media/FAYUHMTVEAoP82T.jpg</v>
      </c>
      <c r="W1815" s="83">
        <v>44467.65353009259</v>
      </c>
      <c r="X1815" s="89">
        <v>44467</v>
      </c>
      <c r="Y1815" s="86" t="s">
        <v>6595</v>
      </c>
      <c r="Z1815" s="84" t="str">
        <f>HYPERLINK("https://twitter.com/cookieshoneydew/status/1442877026482884615")</f>
        <v>https://twitter.com/cookieshoneydew/status/1442877026482884615</v>
      </c>
      <c r="AA1815" s="81"/>
      <c r="AB1815" s="81"/>
      <c r="AC1815" s="86" t="s">
        <v>7519</v>
      </c>
      <c r="AD1815" s="81"/>
      <c r="AE1815" s="81" t="b">
        <v>0</v>
      </c>
      <c r="AF1815" s="81">
        <v>0</v>
      </c>
      <c r="AG1815" s="86" t="s">
        <v>2084</v>
      </c>
      <c r="AH1815" s="81" t="b">
        <v>0</v>
      </c>
      <c r="AI1815" s="81" t="s">
        <v>2168</v>
      </c>
      <c r="AJ1815" s="81"/>
      <c r="AK1815" s="86" t="s">
        <v>2084</v>
      </c>
      <c r="AL1815" s="81" t="b">
        <v>0</v>
      </c>
      <c r="AM1815" s="81">
        <v>15</v>
      </c>
      <c r="AN1815" s="86" t="s">
        <v>7613</v>
      </c>
      <c r="AO1815" s="86" t="s">
        <v>2178</v>
      </c>
      <c r="AP1815" s="81" t="b">
        <v>0</v>
      </c>
      <c r="AQ1815" s="86" t="s">
        <v>7613</v>
      </c>
      <c r="AR1815" s="81" t="s">
        <v>179</v>
      </c>
      <c r="AS1815" s="81">
        <v>0</v>
      </c>
      <c r="AT1815" s="81">
        <v>0</v>
      </c>
      <c r="AU1815" s="81"/>
      <c r="AV1815" s="81"/>
      <c r="AW1815" s="81"/>
      <c r="AX1815" s="81"/>
      <c r="AY1815" s="81"/>
      <c r="AZ1815" s="81"/>
      <c r="BA1815" s="81"/>
      <c r="BB1815" s="81"/>
    </row>
    <row r="1816" spans="1:54" x14ac:dyDescent="0.35">
      <c r="A1816" s="66" t="s">
        <v>4928</v>
      </c>
      <c r="B1816" s="66" t="s">
        <v>4928</v>
      </c>
      <c r="C1816" s="67"/>
      <c r="D1816" s="68"/>
      <c r="E1816" s="69"/>
      <c r="F1816" s="70"/>
      <c r="G1816" s="67"/>
      <c r="H1816" s="71"/>
      <c r="I1816" s="72"/>
      <c r="J1816" s="72"/>
      <c r="K1816" s="36"/>
      <c r="L1816" s="79"/>
      <c r="M1816" s="79"/>
      <c r="N1816" s="74"/>
      <c r="O1816" s="81" t="s">
        <v>179</v>
      </c>
      <c r="P1816" s="83">
        <v>44467.662905092591</v>
      </c>
      <c r="Q1816" s="81" t="s">
        <v>5627</v>
      </c>
      <c r="R1816" s="84" t="str">
        <f>HYPERLINK("https://msha.ke/beautyskinz.co/")</f>
        <v>https://msha.ke/beautyskinz.co/</v>
      </c>
      <c r="S1816" s="81" t="s">
        <v>5758</v>
      </c>
      <c r="T1816" s="81"/>
      <c r="U1816" s="81"/>
      <c r="V1816" s="84" t="str">
        <f>HYPERLINK("https://pbs.twimg.com/profile_images/1436337320442032128/Rn_L6k8s_normal.jpg")</f>
        <v>https://pbs.twimg.com/profile_images/1436337320442032128/Rn_L6k8s_normal.jpg</v>
      </c>
      <c r="W1816" s="83">
        <v>44467.662905092591</v>
      </c>
      <c r="X1816" s="89">
        <v>44467</v>
      </c>
      <c r="Y1816" s="86" t="s">
        <v>6596</v>
      </c>
      <c r="Z1816" s="84" t="str">
        <f>HYPERLINK("https://twitter.com/_beautyskinz/status/1442880423835537408")</f>
        <v>https://twitter.com/_beautyskinz/status/1442880423835537408</v>
      </c>
      <c r="AA1816" s="81"/>
      <c r="AB1816" s="81"/>
      <c r="AC1816" s="86" t="s">
        <v>7520</v>
      </c>
      <c r="AD1816" s="86" t="s">
        <v>7765</v>
      </c>
      <c r="AE1816" s="81" t="b">
        <v>0</v>
      </c>
      <c r="AF1816" s="81">
        <v>0</v>
      </c>
      <c r="AG1816" s="86" t="s">
        <v>7937</v>
      </c>
      <c r="AH1816" s="81" t="b">
        <v>0</v>
      </c>
      <c r="AI1816" s="81" t="s">
        <v>2167</v>
      </c>
      <c r="AJ1816" s="81"/>
      <c r="AK1816" s="86" t="s">
        <v>2084</v>
      </c>
      <c r="AL1816" s="81" t="b">
        <v>0</v>
      </c>
      <c r="AM1816" s="81">
        <v>0</v>
      </c>
      <c r="AN1816" s="86" t="s">
        <v>2084</v>
      </c>
      <c r="AO1816" s="86" t="s">
        <v>2178</v>
      </c>
      <c r="AP1816" s="81" t="b">
        <v>0</v>
      </c>
      <c r="AQ1816" s="86" t="s">
        <v>7765</v>
      </c>
      <c r="AR1816" s="81" t="s">
        <v>179</v>
      </c>
      <c r="AS1816" s="81">
        <v>0</v>
      </c>
      <c r="AT1816" s="81">
        <v>0</v>
      </c>
      <c r="AU1816" s="81"/>
      <c r="AV1816" s="81"/>
      <c r="AW1816" s="81"/>
      <c r="AX1816" s="81"/>
      <c r="AY1816" s="81"/>
      <c r="AZ1816" s="81"/>
      <c r="BA1816" s="81"/>
      <c r="BB1816" s="81"/>
    </row>
    <row r="1817" spans="1:54" x14ac:dyDescent="0.35">
      <c r="A1817" s="66" t="s">
        <v>4929</v>
      </c>
      <c r="B1817" s="66" t="s">
        <v>589</v>
      </c>
      <c r="C1817" s="67"/>
      <c r="D1817" s="68"/>
      <c r="E1817" s="69"/>
      <c r="F1817" s="70"/>
      <c r="G1817" s="67"/>
      <c r="H1817" s="71"/>
      <c r="I1817" s="72"/>
      <c r="J1817" s="72"/>
      <c r="K1817" s="36"/>
      <c r="L1817" s="79"/>
      <c r="M1817" s="79"/>
      <c r="N1817" s="74"/>
      <c r="O1817" s="81" t="s">
        <v>693</v>
      </c>
      <c r="P1817" s="83">
        <v>44467.666215277779</v>
      </c>
      <c r="Q1817" s="81" t="s">
        <v>5625</v>
      </c>
      <c r="R1817" s="81"/>
      <c r="S1817" s="81"/>
      <c r="T1817" s="86" t="s">
        <v>5786</v>
      </c>
      <c r="U1817" s="84" t="str">
        <f>HYPERLINK("https://pbs.twimg.com/media/FAYUHMTVEAoP82T.jpg")</f>
        <v>https://pbs.twimg.com/media/FAYUHMTVEAoP82T.jpg</v>
      </c>
      <c r="V1817" s="84" t="str">
        <f>HYPERLINK("https://pbs.twimg.com/media/FAYUHMTVEAoP82T.jpg")</f>
        <v>https://pbs.twimg.com/media/FAYUHMTVEAoP82T.jpg</v>
      </c>
      <c r="W1817" s="83">
        <v>44467.666215277779</v>
      </c>
      <c r="X1817" s="89">
        <v>44467</v>
      </c>
      <c r="Y1817" s="86" t="s">
        <v>6598</v>
      </c>
      <c r="Z1817" s="84" t="str">
        <f>HYPERLINK("https://twitter.com/syanayahya/status/1442881626036260864")</f>
        <v>https://twitter.com/syanayahya/status/1442881626036260864</v>
      </c>
      <c r="AA1817" s="81"/>
      <c r="AB1817" s="81"/>
      <c r="AC1817" s="86" t="s">
        <v>7522</v>
      </c>
      <c r="AD1817" s="81"/>
      <c r="AE1817" s="81" t="b">
        <v>0</v>
      </c>
      <c r="AF1817" s="81">
        <v>0</v>
      </c>
      <c r="AG1817" s="86" t="s">
        <v>2084</v>
      </c>
      <c r="AH1817" s="81" t="b">
        <v>0</v>
      </c>
      <c r="AI1817" s="81" t="s">
        <v>2168</v>
      </c>
      <c r="AJ1817" s="81"/>
      <c r="AK1817" s="86" t="s">
        <v>2084</v>
      </c>
      <c r="AL1817" s="81" t="b">
        <v>0</v>
      </c>
      <c r="AM1817" s="81">
        <v>15</v>
      </c>
      <c r="AN1817" s="86" t="s">
        <v>7613</v>
      </c>
      <c r="AO1817" s="86" t="s">
        <v>2179</v>
      </c>
      <c r="AP1817" s="81" t="b">
        <v>0</v>
      </c>
      <c r="AQ1817" s="86" t="s">
        <v>7613</v>
      </c>
      <c r="AR1817" s="81" t="s">
        <v>179</v>
      </c>
      <c r="AS1817" s="81">
        <v>0</v>
      </c>
      <c r="AT1817" s="81">
        <v>0</v>
      </c>
      <c r="AU1817" s="81"/>
      <c r="AV1817" s="81"/>
      <c r="AW1817" s="81"/>
      <c r="AX1817" s="81"/>
      <c r="AY1817" s="81"/>
      <c r="AZ1817" s="81"/>
      <c r="BA1817" s="81"/>
      <c r="BB1817" s="81"/>
    </row>
    <row r="1818" spans="1:54" x14ac:dyDescent="0.35">
      <c r="A1818" s="66" t="s">
        <v>4930</v>
      </c>
      <c r="B1818" s="66" t="s">
        <v>4941</v>
      </c>
      <c r="C1818" s="67"/>
      <c r="D1818" s="68"/>
      <c r="E1818" s="69"/>
      <c r="F1818" s="70"/>
      <c r="G1818" s="67"/>
      <c r="H1818" s="71"/>
      <c r="I1818" s="72"/>
      <c r="J1818" s="72"/>
      <c r="K1818" s="36"/>
      <c r="L1818" s="79"/>
      <c r="M1818" s="79"/>
      <c r="N1818" s="74"/>
      <c r="O1818" s="81" t="s">
        <v>693</v>
      </c>
      <c r="P1818" s="83">
        <v>44467.676550925928</v>
      </c>
      <c r="Q1818" s="81" t="s">
        <v>5604</v>
      </c>
      <c r="R1818" s="81"/>
      <c r="S1818" s="81"/>
      <c r="T1818" s="86" t="s">
        <v>979</v>
      </c>
      <c r="U1818" s="84" t="str">
        <f>HYPERLINK("https://pbs.twimg.com/media/FAXNegPUYAAkjOP.jpg")</f>
        <v>https://pbs.twimg.com/media/FAXNegPUYAAkjOP.jpg</v>
      </c>
      <c r="V1818" s="84" t="str">
        <f>HYPERLINK("https://pbs.twimg.com/media/FAXNegPUYAAkjOP.jpg")</f>
        <v>https://pbs.twimg.com/media/FAXNegPUYAAkjOP.jpg</v>
      </c>
      <c r="W1818" s="83">
        <v>44467.676550925928</v>
      </c>
      <c r="X1818" s="89">
        <v>44467</v>
      </c>
      <c r="Y1818" s="86" t="s">
        <v>6599</v>
      </c>
      <c r="Z1818" s="84" t="str">
        <f>HYPERLINK("https://twitter.com/moonjyuuu/status/1442885371012943877")</f>
        <v>https://twitter.com/moonjyuuu/status/1442885371012943877</v>
      </c>
      <c r="AA1818" s="81"/>
      <c r="AB1818" s="81"/>
      <c r="AC1818" s="86" t="s">
        <v>7523</v>
      </c>
      <c r="AD1818" s="81"/>
      <c r="AE1818" s="81" t="b">
        <v>0</v>
      </c>
      <c r="AF1818" s="81">
        <v>0</v>
      </c>
      <c r="AG1818" s="86" t="s">
        <v>2084</v>
      </c>
      <c r="AH1818" s="81" t="b">
        <v>0</v>
      </c>
      <c r="AI1818" s="81" t="s">
        <v>2168</v>
      </c>
      <c r="AJ1818" s="81"/>
      <c r="AK1818" s="86" t="s">
        <v>2084</v>
      </c>
      <c r="AL1818" s="81" t="b">
        <v>0</v>
      </c>
      <c r="AM1818" s="81">
        <v>29</v>
      </c>
      <c r="AN1818" s="86" t="s">
        <v>7539</v>
      </c>
      <c r="AO1818" s="86" t="s">
        <v>2179</v>
      </c>
      <c r="AP1818" s="81" t="b">
        <v>0</v>
      </c>
      <c r="AQ1818" s="86" t="s">
        <v>7539</v>
      </c>
      <c r="AR1818" s="81" t="s">
        <v>179</v>
      </c>
      <c r="AS1818" s="81">
        <v>0</v>
      </c>
      <c r="AT1818" s="81">
        <v>0</v>
      </c>
      <c r="AU1818" s="81"/>
      <c r="AV1818" s="81"/>
      <c r="AW1818" s="81"/>
      <c r="AX1818" s="81"/>
      <c r="AY1818" s="81"/>
      <c r="AZ1818" s="81"/>
      <c r="BA1818" s="81"/>
      <c r="BB1818" s="81"/>
    </row>
    <row r="1819" spans="1:54" x14ac:dyDescent="0.35">
      <c r="A1819" s="66" t="s">
        <v>4931</v>
      </c>
      <c r="B1819" s="66" t="s">
        <v>4941</v>
      </c>
      <c r="C1819" s="67"/>
      <c r="D1819" s="68"/>
      <c r="E1819" s="69"/>
      <c r="F1819" s="70"/>
      <c r="G1819" s="67"/>
      <c r="H1819" s="71"/>
      <c r="I1819" s="72"/>
      <c r="J1819" s="72"/>
      <c r="K1819" s="36"/>
      <c r="L1819" s="79"/>
      <c r="M1819" s="79"/>
      <c r="N1819" s="74"/>
      <c r="O1819" s="81" t="s">
        <v>693</v>
      </c>
      <c r="P1819" s="83">
        <v>44467.677499999998</v>
      </c>
      <c r="Q1819" s="81" t="s">
        <v>5604</v>
      </c>
      <c r="R1819" s="81"/>
      <c r="S1819" s="81"/>
      <c r="T1819" s="86" t="s">
        <v>979</v>
      </c>
      <c r="U1819" s="84" t="str">
        <f>HYPERLINK("https://pbs.twimg.com/media/FAXNegPUYAAkjOP.jpg")</f>
        <v>https://pbs.twimg.com/media/FAXNegPUYAAkjOP.jpg</v>
      </c>
      <c r="V1819" s="84" t="str">
        <f>HYPERLINK("https://pbs.twimg.com/media/FAXNegPUYAAkjOP.jpg")</f>
        <v>https://pbs.twimg.com/media/FAXNegPUYAAkjOP.jpg</v>
      </c>
      <c r="W1819" s="83">
        <v>44467.677499999998</v>
      </c>
      <c r="X1819" s="89">
        <v>44467</v>
      </c>
      <c r="Y1819" s="86" t="s">
        <v>6600</v>
      </c>
      <c r="Z1819" s="84" t="str">
        <f>HYPERLINK("https://twitter.com/jaexquisitee/status/1442885712433455115")</f>
        <v>https://twitter.com/jaexquisitee/status/1442885712433455115</v>
      </c>
      <c r="AA1819" s="81"/>
      <c r="AB1819" s="81"/>
      <c r="AC1819" s="86" t="s">
        <v>7524</v>
      </c>
      <c r="AD1819" s="81"/>
      <c r="AE1819" s="81" t="b">
        <v>0</v>
      </c>
      <c r="AF1819" s="81">
        <v>0</v>
      </c>
      <c r="AG1819" s="86" t="s">
        <v>2084</v>
      </c>
      <c r="AH1819" s="81" t="b">
        <v>0</v>
      </c>
      <c r="AI1819" s="81" t="s">
        <v>2168</v>
      </c>
      <c r="AJ1819" s="81"/>
      <c r="AK1819" s="86" t="s">
        <v>2084</v>
      </c>
      <c r="AL1819" s="81" t="b">
        <v>0</v>
      </c>
      <c r="AM1819" s="81">
        <v>29</v>
      </c>
      <c r="AN1819" s="86" t="s">
        <v>7539</v>
      </c>
      <c r="AO1819" s="86" t="s">
        <v>2179</v>
      </c>
      <c r="AP1819" s="81" t="b">
        <v>0</v>
      </c>
      <c r="AQ1819" s="86" t="s">
        <v>7539</v>
      </c>
      <c r="AR1819" s="81" t="s">
        <v>179</v>
      </c>
      <c r="AS1819" s="81">
        <v>0</v>
      </c>
      <c r="AT1819" s="81">
        <v>0</v>
      </c>
      <c r="AU1819" s="81"/>
      <c r="AV1819" s="81"/>
      <c r="AW1819" s="81"/>
      <c r="AX1819" s="81"/>
      <c r="AY1819" s="81"/>
      <c r="AZ1819" s="81"/>
      <c r="BA1819" s="81"/>
      <c r="BB1819" s="81"/>
    </row>
    <row r="1820" spans="1:54" x14ac:dyDescent="0.35">
      <c r="A1820" s="66" t="s">
        <v>396</v>
      </c>
      <c r="B1820" s="66" t="s">
        <v>415</v>
      </c>
      <c r="C1820" s="67"/>
      <c r="D1820" s="68"/>
      <c r="E1820" s="69"/>
      <c r="F1820" s="70"/>
      <c r="G1820" s="67"/>
      <c r="H1820" s="71"/>
      <c r="I1820" s="72"/>
      <c r="J1820" s="72"/>
      <c r="K1820" s="36"/>
      <c r="L1820" s="79"/>
      <c r="M1820" s="79"/>
      <c r="N1820" s="74"/>
      <c r="O1820" s="81" t="s">
        <v>693</v>
      </c>
      <c r="P1820" s="83">
        <v>44463.016550925924</v>
      </c>
      <c r="Q1820" s="81" t="s">
        <v>759</v>
      </c>
      <c r="R1820" s="81"/>
      <c r="S1820" s="81"/>
      <c r="T1820" s="86" t="s">
        <v>979</v>
      </c>
      <c r="U1820" s="84" t="str">
        <f>HYPERLINK("https://pbs.twimg.com/media/E_9V_ibVEAYc8c_.jpg")</f>
        <v>https://pbs.twimg.com/media/E_9V_ibVEAYc8c_.jpg</v>
      </c>
      <c r="V1820" s="84" t="str">
        <f>HYPERLINK("https://pbs.twimg.com/media/E_9V_ibVEAYc8c_.jpg")</f>
        <v>https://pbs.twimg.com/media/E_9V_ibVEAYc8c_.jpg</v>
      </c>
      <c r="W1820" s="83">
        <v>44463.016550925924</v>
      </c>
      <c r="X1820" s="89">
        <v>44463</v>
      </c>
      <c r="Y1820" s="86" t="s">
        <v>1224</v>
      </c>
      <c r="Z1820" s="84" t="str">
        <f>HYPERLINK("https://twitter.com/bbyerics/status/1441196642254811136")</f>
        <v>https://twitter.com/bbyerics/status/1441196642254811136</v>
      </c>
      <c r="AA1820" s="81"/>
      <c r="AB1820" s="81"/>
      <c r="AC1820" s="86" t="s">
        <v>1720</v>
      </c>
      <c r="AD1820" s="81"/>
      <c r="AE1820" s="81" t="b">
        <v>0</v>
      </c>
      <c r="AF1820" s="81">
        <v>0</v>
      </c>
      <c r="AG1820" s="86" t="s">
        <v>2084</v>
      </c>
      <c r="AH1820" s="81" t="b">
        <v>0</v>
      </c>
      <c r="AI1820" s="81" t="s">
        <v>2168</v>
      </c>
      <c r="AJ1820" s="81"/>
      <c r="AK1820" s="86" t="s">
        <v>2084</v>
      </c>
      <c r="AL1820" s="81" t="b">
        <v>0</v>
      </c>
      <c r="AM1820" s="81">
        <v>12</v>
      </c>
      <c r="AN1820" s="86" t="s">
        <v>1740</v>
      </c>
      <c r="AO1820" s="86" t="s">
        <v>2178</v>
      </c>
      <c r="AP1820" s="81" t="b">
        <v>0</v>
      </c>
      <c r="AQ1820" s="86" t="s">
        <v>1740</v>
      </c>
      <c r="AR1820" s="81" t="s">
        <v>179</v>
      </c>
      <c r="AS1820" s="81">
        <v>0</v>
      </c>
      <c r="AT1820" s="81">
        <v>0</v>
      </c>
      <c r="AU1820" s="81"/>
      <c r="AV1820" s="81"/>
      <c r="AW1820" s="81"/>
      <c r="AX1820" s="81"/>
      <c r="AY1820" s="81"/>
      <c r="AZ1820" s="81"/>
      <c r="BA1820" s="81"/>
      <c r="BB1820" s="81"/>
    </row>
    <row r="1821" spans="1:54" x14ac:dyDescent="0.35">
      <c r="A1821" s="66" t="s">
        <v>396</v>
      </c>
      <c r="B1821" s="66" t="s">
        <v>415</v>
      </c>
      <c r="C1821" s="67"/>
      <c r="D1821" s="68"/>
      <c r="E1821" s="69"/>
      <c r="F1821" s="70"/>
      <c r="G1821" s="67"/>
      <c r="H1821" s="71"/>
      <c r="I1821" s="72"/>
      <c r="J1821" s="72"/>
      <c r="K1821" s="36"/>
      <c r="L1821" s="79"/>
      <c r="M1821" s="79"/>
      <c r="N1821" s="74"/>
      <c r="O1821" s="81" t="s">
        <v>693</v>
      </c>
      <c r="P1821" s="83">
        <v>44463.306446759256</v>
      </c>
      <c r="Q1821" s="81" t="s">
        <v>784</v>
      </c>
      <c r="R1821" s="81"/>
      <c r="S1821" s="81"/>
      <c r="T1821" s="86" t="s">
        <v>979</v>
      </c>
      <c r="U1821" s="84" t="str">
        <f>HYPERLINK("https://pbs.twimg.com/media/FACFXSrVUAEcVQU.jpg")</f>
        <v>https://pbs.twimg.com/media/FACFXSrVUAEcVQU.jpg</v>
      </c>
      <c r="V1821" s="84" t="str">
        <f>HYPERLINK("https://pbs.twimg.com/media/FACFXSrVUAEcVQU.jpg")</f>
        <v>https://pbs.twimg.com/media/FACFXSrVUAEcVQU.jpg</v>
      </c>
      <c r="W1821" s="83">
        <v>44463.306446759256</v>
      </c>
      <c r="X1821" s="89">
        <v>44463</v>
      </c>
      <c r="Y1821" s="86" t="s">
        <v>1225</v>
      </c>
      <c r="Z1821" s="84" t="str">
        <f>HYPERLINK("https://twitter.com/bbyerics/status/1441301697138024448")</f>
        <v>https://twitter.com/bbyerics/status/1441301697138024448</v>
      </c>
      <c r="AA1821" s="81"/>
      <c r="AB1821" s="81"/>
      <c r="AC1821" s="86" t="s">
        <v>1721</v>
      </c>
      <c r="AD1821" s="81"/>
      <c r="AE1821" s="81" t="b">
        <v>0</v>
      </c>
      <c r="AF1821" s="81">
        <v>0</v>
      </c>
      <c r="AG1821" s="86" t="s">
        <v>2084</v>
      </c>
      <c r="AH1821" s="81" t="b">
        <v>0</v>
      </c>
      <c r="AI1821" s="81" t="s">
        <v>2168</v>
      </c>
      <c r="AJ1821" s="81"/>
      <c r="AK1821" s="86" t="s">
        <v>2084</v>
      </c>
      <c r="AL1821" s="81" t="b">
        <v>0</v>
      </c>
      <c r="AM1821" s="81">
        <v>8</v>
      </c>
      <c r="AN1821" s="86" t="s">
        <v>1741</v>
      </c>
      <c r="AO1821" s="86" t="s">
        <v>2178</v>
      </c>
      <c r="AP1821" s="81" t="b">
        <v>0</v>
      </c>
      <c r="AQ1821" s="86" t="s">
        <v>1741</v>
      </c>
      <c r="AR1821" s="81" t="s">
        <v>179</v>
      </c>
      <c r="AS1821" s="81">
        <v>0</v>
      </c>
      <c r="AT1821" s="81">
        <v>0</v>
      </c>
      <c r="AU1821" s="81"/>
      <c r="AV1821" s="81"/>
      <c r="AW1821" s="81"/>
      <c r="AX1821" s="81"/>
      <c r="AY1821" s="81"/>
      <c r="AZ1821" s="81"/>
      <c r="BA1821" s="81"/>
      <c r="BB1821" s="81"/>
    </row>
    <row r="1822" spans="1:54" x14ac:dyDescent="0.35">
      <c r="A1822" s="66" t="s">
        <v>396</v>
      </c>
      <c r="B1822" s="66" t="s">
        <v>4941</v>
      </c>
      <c r="C1822" s="67"/>
      <c r="D1822" s="68"/>
      <c r="E1822" s="69"/>
      <c r="F1822" s="70"/>
      <c r="G1822" s="67"/>
      <c r="H1822" s="71"/>
      <c r="I1822" s="72"/>
      <c r="J1822" s="72"/>
      <c r="K1822" s="36"/>
      <c r="L1822" s="79"/>
      <c r="M1822" s="79"/>
      <c r="N1822" s="74"/>
      <c r="O1822" s="81" t="s">
        <v>693</v>
      </c>
      <c r="P1822" s="83">
        <v>44467.682106481479</v>
      </c>
      <c r="Q1822" s="81" t="s">
        <v>5604</v>
      </c>
      <c r="R1822" s="81"/>
      <c r="S1822" s="81"/>
      <c r="T1822" s="86" t="s">
        <v>979</v>
      </c>
      <c r="U1822" s="84" t="str">
        <f>HYPERLINK("https://pbs.twimg.com/media/FAXNegPUYAAkjOP.jpg")</f>
        <v>https://pbs.twimg.com/media/FAXNegPUYAAkjOP.jpg</v>
      </c>
      <c r="V1822" s="84" t="str">
        <f>HYPERLINK("https://pbs.twimg.com/media/FAXNegPUYAAkjOP.jpg")</f>
        <v>https://pbs.twimg.com/media/FAXNegPUYAAkjOP.jpg</v>
      </c>
      <c r="W1822" s="83">
        <v>44467.682106481479</v>
      </c>
      <c r="X1822" s="89">
        <v>44467</v>
      </c>
      <c r="Y1822" s="86" t="s">
        <v>6601</v>
      </c>
      <c r="Z1822" s="84" t="str">
        <f>HYPERLINK("https://twitter.com/bbyerics/status/1442887383846842372")</f>
        <v>https://twitter.com/bbyerics/status/1442887383846842372</v>
      </c>
      <c r="AA1822" s="81"/>
      <c r="AB1822" s="81"/>
      <c r="AC1822" s="86" t="s">
        <v>7525</v>
      </c>
      <c r="AD1822" s="81"/>
      <c r="AE1822" s="81" t="b">
        <v>0</v>
      </c>
      <c r="AF1822" s="81">
        <v>0</v>
      </c>
      <c r="AG1822" s="86" t="s">
        <v>2084</v>
      </c>
      <c r="AH1822" s="81" t="b">
        <v>0</v>
      </c>
      <c r="AI1822" s="81" t="s">
        <v>2168</v>
      </c>
      <c r="AJ1822" s="81"/>
      <c r="AK1822" s="86" t="s">
        <v>2084</v>
      </c>
      <c r="AL1822" s="81" t="b">
        <v>0</v>
      </c>
      <c r="AM1822" s="81">
        <v>29</v>
      </c>
      <c r="AN1822" s="86" t="s">
        <v>7539</v>
      </c>
      <c r="AO1822" s="86" t="s">
        <v>2178</v>
      </c>
      <c r="AP1822" s="81" t="b">
        <v>0</v>
      </c>
      <c r="AQ1822" s="86" t="s">
        <v>7539</v>
      </c>
      <c r="AR1822" s="81" t="s">
        <v>179</v>
      </c>
      <c r="AS1822" s="81">
        <v>0</v>
      </c>
      <c r="AT1822" s="81">
        <v>0</v>
      </c>
      <c r="AU1822" s="81"/>
      <c r="AV1822" s="81"/>
      <c r="AW1822" s="81"/>
      <c r="AX1822" s="81"/>
      <c r="AY1822" s="81"/>
      <c r="AZ1822" s="81"/>
      <c r="BA1822" s="81"/>
      <c r="BB1822" s="81"/>
    </row>
    <row r="1823" spans="1:54" x14ac:dyDescent="0.35">
      <c r="A1823" s="66" t="s">
        <v>4932</v>
      </c>
      <c r="B1823" s="66" t="s">
        <v>4932</v>
      </c>
      <c r="C1823" s="67"/>
      <c r="D1823" s="68"/>
      <c r="E1823" s="69"/>
      <c r="F1823" s="70"/>
      <c r="G1823" s="67"/>
      <c r="H1823" s="71"/>
      <c r="I1823" s="72"/>
      <c r="J1823" s="72"/>
      <c r="K1823" s="36"/>
      <c r="L1823" s="79"/>
      <c r="M1823" s="79"/>
      <c r="N1823" s="74"/>
      <c r="O1823" s="81" t="s">
        <v>179</v>
      </c>
      <c r="P1823" s="83">
        <v>44467.687557870369</v>
      </c>
      <c r="Q1823" s="81" t="s">
        <v>5628</v>
      </c>
      <c r="R1823" s="81"/>
      <c r="S1823" s="81"/>
      <c r="T1823" s="81"/>
      <c r="U1823" s="81"/>
      <c r="V1823" s="84" t="str">
        <f>HYPERLINK("https://pbs.twimg.com/profile_images/1443091256876306434/HVJr3bDm_normal.jpg")</f>
        <v>https://pbs.twimg.com/profile_images/1443091256876306434/HVJr3bDm_normal.jpg</v>
      </c>
      <c r="W1823" s="83">
        <v>44467.687557870369</v>
      </c>
      <c r="X1823" s="89">
        <v>44467</v>
      </c>
      <c r="Y1823" s="86" t="s">
        <v>6602</v>
      </c>
      <c r="Z1823" s="84" t="str">
        <f>HYPERLINK("https://twitter.com/berylvisaariza/status/1442889357866594309")</f>
        <v>https://twitter.com/berylvisaariza/status/1442889357866594309</v>
      </c>
      <c r="AA1823" s="81"/>
      <c r="AB1823" s="81"/>
      <c r="AC1823" s="86" t="s">
        <v>7526</v>
      </c>
      <c r="AD1823" s="86" t="s">
        <v>7766</v>
      </c>
      <c r="AE1823" s="81" t="b">
        <v>0</v>
      </c>
      <c r="AF1823" s="81">
        <v>0</v>
      </c>
      <c r="AG1823" s="86" t="s">
        <v>7938</v>
      </c>
      <c r="AH1823" s="81" t="b">
        <v>0</v>
      </c>
      <c r="AI1823" s="81" t="s">
        <v>2167</v>
      </c>
      <c r="AJ1823" s="81"/>
      <c r="AK1823" s="86" t="s">
        <v>2084</v>
      </c>
      <c r="AL1823" s="81" t="b">
        <v>0</v>
      </c>
      <c r="AM1823" s="81">
        <v>0</v>
      </c>
      <c r="AN1823" s="86" t="s">
        <v>2084</v>
      </c>
      <c r="AO1823" s="86" t="s">
        <v>2179</v>
      </c>
      <c r="AP1823" s="81" t="b">
        <v>0</v>
      </c>
      <c r="AQ1823" s="86" t="s">
        <v>7766</v>
      </c>
      <c r="AR1823" s="81" t="s">
        <v>179</v>
      </c>
      <c r="AS1823" s="81">
        <v>0</v>
      </c>
      <c r="AT1823" s="81">
        <v>0</v>
      </c>
      <c r="AU1823" s="81" t="s">
        <v>7997</v>
      </c>
      <c r="AV1823" s="81" t="s">
        <v>2202</v>
      </c>
      <c r="AW1823" s="81" t="s">
        <v>12</v>
      </c>
      <c r="AX1823" s="81" t="s">
        <v>8007</v>
      </c>
      <c r="AY1823" s="81" t="s">
        <v>8015</v>
      </c>
      <c r="AZ1823" s="81" t="s">
        <v>8023</v>
      </c>
      <c r="BA1823" s="81" t="s">
        <v>2212</v>
      </c>
      <c r="BB1823" s="84" t="str">
        <f>HYPERLINK("https://api.twitter.com/1.1/geo/id/814feb98943c7ce1.json")</f>
        <v>https://api.twitter.com/1.1/geo/id/814feb98943c7ce1.json</v>
      </c>
    </row>
    <row r="1824" spans="1:54" x14ac:dyDescent="0.35">
      <c r="A1824" s="66" t="s">
        <v>592</v>
      </c>
      <c r="B1824" s="66" t="s">
        <v>592</v>
      </c>
      <c r="C1824" s="67"/>
      <c r="D1824" s="68"/>
      <c r="E1824" s="69"/>
      <c r="F1824" s="70"/>
      <c r="G1824" s="67"/>
      <c r="H1824" s="71"/>
      <c r="I1824" s="72"/>
      <c r="J1824" s="72"/>
      <c r="K1824" s="36"/>
      <c r="L1824" s="79"/>
      <c r="M1824" s="79"/>
      <c r="N1824" s="74"/>
      <c r="O1824" s="81" t="s">
        <v>179</v>
      </c>
      <c r="P1824" s="83">
        <v>44459.481215277781</v>
      </c>
      <c r="Q1824" s="81" t="s">
        <v>700</v>
      </c>
      <c r="R1824" s="81"/>
      <c r="S1824" s="81"/>
      <c r="T1824" s="86" t="s">
        <v>972</v>
      </c>
      <c r="U1824" s="84" t="str">
        <f>HYPERLINK("https://pbs.twimg.com/media/E_ubZIHUYAESLiB.jpg")</f>
        <v>https://pbs.twimg.com/media/E_ubZIHUYAESLiB.jpg</v>
      </c>
      <c r="V1824" s="84" t="str">
        <f>HYPERLINK("https://pbs.twimg.com/media/E_ubZIHUYAESLiB.jpg")</f>
        <v>https://pbs.twimg.com/media/E_ubZIHUYAESLiB.jpg</v>
      </c>
      <c r="W1824" s="83">
        <v>44459.481215277781</v>
      </c>
      <c r="X1824" s="89">
        <v>44459</v>
      </c>
      <c r="Y1824" s="86" t="s">
        <v>1497</v>
      </c>
      <c r="Z1824" s="84" t="str">
        <f>HYPERLINK("https://twitter.com/linorieng/status/1439915481238958085")</f>
        <v>https://twitter.com/linorieng/status/1439915481238958085</v>
      </c>
      <c r="AA1824" s="81"/>
      <c r="AB1824" s="81"/>
      <c r="AC1824" s="86" t="s">
        <v>1995</v>
      </c>
      <c r="AD1824" s="81"/>
      <c r="AE1824" s="81" t="b">
        <v>0</v>
      </c>
      <c r="AF1824" s="81">
        <v>19</v>
      </c>
      <c r="AG1824" s="86" t="s">
        <v>2084</v>
      </c>
      <c r="AH1824" s="81" t="b">
        <v>0</v>
      </c>
      <c r="AI1824" s="81" t="s">
        <v>2168</v>
      </c>
      <c r="AJ1824" s="81"/>
      <c r="AK1824" s="86" t="s">
        <v>2084</v>
      </c>
      <c r="AL1824" s="81" t="b">
        <v>0</v>
      </c>
      <c r="AM1824" s="81">
        <v>27</v>
      </c>
      <c r="AN1824" s="86" t="s">
        <v>2084</v>
      </c>
      <c r="AO1824" s="86" t="s">
        <v>2178</v>
      </c>
      <c r="AP1824" s="81" t="b">
        <v>0</v>
      </c>
      <c r="AQ1824" s="86" t="s">
        <v>1995</v>
      </c>
      <c r="AR1824" s="81" t="s">
        <v>693</v>
      </c>
      <c r="AS1824" s="81">
        <v>0</v>
      </c>
      <c r="AT1824" s="81">
        <v>0</v>
      </c>
      <c r="AU1824" s="81"/>
      <c r="AV1824" s="81"/>
      <c r="AW1824" s="81"/>
      <c r="AX1824" s="81"/>
      <c r="AY1824" s="81"/>
      <c r="AZ1824" s="81"/>
      <c r="BA1824" s="81"/>
      <c r="BB1824" s="81"/>
    </row>
    <row r="1825" spans="1:54" x14ac:dyDescent="0.35">
      <c r="A1825" s="66" t="s">
        <v>592</v>
      </c>
      <c r="B1825" s="66" t="s">
        <v>592</v>
      </c>
      <c r="C1825" s="67"/>
      <c r="D1825" s="68"/>
      <c r="E1825" s="69"/>
      <c r="F1825" s="70"/>
      <c r="G1825" s="67"/>
      <c r="H1825" s="71"/>
      <c r="I1825" s="72"/>
      <c r="J1825" s="72"/>
      <c r="K1825" s="36"/>
      <c r="L1825" s="79"/>
      <c r="M1825" s="79"/>
      <c r="N1825" s="74"/>
      <c r="O1825" s="81" t="s">
        <v>179</v>
      </c>
      <c r="P1825" s="83">
        <v>44461.327557870369</v>
      </c>
      <c r="Q1825" s="81" t="s">
        <v>741</v>
      </c>
      <c r="R1825" s="81"/>
      <c r="S1825" s="81"/>
      <c r="T1825" s="86" t="s">
        <v>972</v>
      </c>
      <c r="U1825" s="84" t="str">
        <f>HYPERLINK("https://pbs.twimg.com/media/E_38CFLVkAAf4fL.jpg")</f>
        <v>https://pbs.twimg.com/media/E_38CFLVkAAf4fL.jpg</v>
      </c>
      <c r="V1825" s="84" t="str">
        <f>HYPERLINK("https://pbs.twimg.com/media/E_38CFLVkAAf4fL.jpg")</f>
        <v>https://pbs.twimg.com/media/E_38CFLVkAAf4fL.jpg</v>
      </c>
      <c r="W1825" s="83">
        <v>44461.327557870369</v>
      </c>
      <c r="X1825" s="89">
        <v>44461</v>
      </c>
      <c r="Y1825" s="86" t="s">
        <v>1498</v>
      </c>
      <c r="Z1825" s="84" t="str">
        <f>HYPERLINK("https://twitter.com/linorieng/status/1440584572043886602")</f>
        <v>https://twitter.com/linorieng/status/1440584572043886602</v>
      </c>
      <c r="AA1825" s="81"/>
      <c r="AB1825" s="81"/>
      <c r="AC1825" s="86" t="s">
        <v>1996</v>
      </c>
      <c r="AD1825" s="81"/>
      <c r="AE1825" s="81" t="b">
        <v>0</v>
      </c>
      <c r="AF1825" s="81">
        <v>13</v>
      </c>
      <c r="AG1825" s="86" t="s">
        <v>2084</v>
      </c>
      <c r="AH1825" s="81" t="b">
        <v>0</v>
      </c>
      <c r="AI1825" s="81" t="s">
        <v>2168</v>
      </c>
      <c r="AJ1825" s="81"/>
      <c r="AK1825" s="86" t="s">
        <v>2084</v>
      </c>
      <c r="AL1825" s="81" t="b">
        <v>0</v>
      </c>
      <c r="AM1825" s="81">
        <v>25</v>
      </c>
      <c r="AN1825" s="86" t="s">
        <v>2084</v>
      </c>
      <c r="AO1825" s="86" t="s">
        <v>2178</v>
      </c>
      <c r="AP1825" s="81" t="b">
        <v>0</v>
      </c>
      <c r="AQ1825" s="86" t="s">
        <v>1996</v>
      </c>
      <c r="AR1825" s="81" t="s">
        <v>179</v>
      </c>
      <c r="AS1825" s="81">
        <v>0</v>
      </c>
      <c r="AT1825" s="81">
        <v>0</v>
      </c>
      <c r="AU1825" s="81"/>
      <c r="AV1825" s="81"/>
      <c r="AW1825" s="81"/>
      <c r="AX1825" s="81"/>
      <c r="AY1825" s="81"/>
      <c r="AZ1825" s="81"/>
      <c r="BA1825" s="81"/>
      <c r="BB1825" s="81"/>
    </row>
    <row r="1826" spans="1:54" x14ac:dyDescent="0.35">
      <c r="A1826" s="66" t="s">
        <v>592</v>
      </c>
      <c r="B1826" s="66" t="s">
        <v>592</v>
      </c>
      <c r="C1826" s="67"/>
      <c r="D1826" s="68"/>
      <c r="E1826" s="69"/>
      <c r="F1826" s="70"/>
      <c r="G1826" s="67"/>
      <c r="H1826" s="71"/>
      <c r="I1826" s="72"/>
      <c r="J1826" s="72"/>
      <c r="K1826" s="36"/>
      <c r="L1826" s="79"/>
      <c r="M1826" s="79"/>
      <c r="N1826" s="74"/>
      <c r="O1826" s="81" t="s">
        <v>179</v>
      </c>
      <c r="P1826" s="83">
        <v>44466.32402777778</v>
      </c>
      <c r="Q1826" s="81" t="s">
        <v>868</v>
      </c>
      <c r="R1826" s="81"/>
      <c r="S1826" s="81"/>
      <c r="T1826" s="86" t="s">
        <v>972</v>
      </c>
      <c r="U1826" s="84" t="str">
        <f>HYPERLINK("https://pbs.twimg.com/media/FARq0TBVUAYl272.jpg")</f>
        <v>https://pbs.twimg.com/media/FARq0TBVUAYl272.jpg</v>
      </c>
      <c r="V1826" s="84" t="str">
        <f>HYPERLINK("https://pbs.twimg.com/media/FARq0TBVUAYl272.jpg")</f>
        <v>https://pbs.twimg.com/media/FARq0TBVUAYl272.jpg</v>
      </c>
      <c r="W1826" s="83">
        <v>44466.32402777778</v>
      </c>
      <c r="X1826" s="89">
        <v>44466</v>
      </c>
      <c r="Y1826" s="86" t="s">
        <v>1499</v>
      </c>
      <c r="Z1826" s="84" t="str">
        <f>HYPERLINK("https://twitter.com/linorieng/status/1442395231924613127")</f>
        <v>https://twitter.com/linorieng/status/1442395231924613127</v>
      </c>
      <c r="AA1826" s="81"/>
      <c r="AB1826" s="81"/>
      <c r="AC1826" s="86" t="s">
        <v>1997</v>
      </c>
      <c r="AD1826" s="81"/>
      <c r="AE1826" s="81" t="b">
        <v>0</v>
      </c>
      <c r="AF1826" s="81">
        <v>4</v>
      </c>
      <c r="AG1826" s="86" t="s">
        <v>2084</v>
      </c>
      <c r="AH1826" s="81" t="b">
        <v>0</v>
      </c>
      <c r="AI1826" s="81" t="s">
        <v>2168</v>
      </c>
      <c r="AJ1826" s="81"/>
      <c r="AK1826" s="86" t="s">
        <v>2084</v>
      </c>
      <c r="AL1826" s="81" t="b">
        <v>0</v>
      </c>
      <c r="AM1826" s="81">
        <v>9</v>
      </c>
      <c r="AN1826" s="86" t="s">
        <v>2084</v>
      </c>
      <c r="AO1826" s="86" t="s">
        <v>2178</v>
      </c>
      <c r="AP1826" s="81" t="b">
        <v>0</v>
      </c>
      <c r="AQ1826" s="86" t="s">
        <v>1997</v>
      </c>
      <c r="AR1826" s="81" t="s">
        <v>179</v>
      </c>
      <c r="AS1826" s="81">
        <v>0</v>
      </c>
      <c r="AT1826" s="81">
        <v>0</v>
      </c>
      <c r="AU1826" s="81"/>
      <c r="AV1826" s="81"/>
      <c r="AW1826" s="81"/>
      <c r="AX1826" s="81"/>
      <c r="AY1826" s="81"/>
      <c r="AZ1826" s="81"/>
      <c r="BA1826" s="81"/>
      <c r="BB1826" s="81"/>
    </row>
    <row r="1827" spans="1:54" x14ac:dyDescent="0.35">
      <c r="A1827" s="66" t="s">
        <v>592</v>
      </c>
      <c r="B1827" s="66" t="s">
        <v>592</v>
      </c>
      <c r="C1827" s="67"/>
      <c r="D1827" s="68"/>
      <c r="E1827" s="69"/>
      <c r="F1827" s="70"/>
      <c r="G1827" s="67"/>
      <c r="H1827" s="71"/>
      <c r="I1827" s="72"/>
      <c r="J1827" s="72"/>
      <c r="K1827" s="36"/>
      <c r="L1827" s="79"/>
      <c r="M1827" s="79"/>
      <c r="N1827" s="74"/>
      <c r="O1827" s="81" t="s">
        <v>179</v>
      </c>
      <c r="P1827" s="83">
        <v>44466.593194444446</v>
      </c>
      <c r="Q1827" s="81" t="s">
        <v>889</v>
      </c>
      <c r="R1827" s="81"/>
      <c r="S1827" s="81"/>
      <c r="T1827" s="86" t="s">
        <v>972</v>
      </c>
      <c r="U1827" s="84" t="str">
        <f>HYPERLINK("https://pbs.twimg.com/media/FATDiHHVEAIdbWq.jpg")</f>
        <v>https://pbs.twimg.com/media/FATDiHHVEAIdbWq.jpg</v>
      </c>
      <c r="V1827" s="84" t="str">
        <f>HYPERLINK("https://pbs.twimg.com/media/FATDiHHVEAIdbWq.jpg")</f>
        <v>https://pbs.twimg.com/media/FATDiHHVEAIdbWq.jpg</v>
      </c>
      <c r="W1827" s="83">
        <v>44466.593194444446</v>
      </c>
      <c r="X1827" s="89">
        <v>44466</v>
      </c>
      <c r="Y1827" s="86" t="s">
        <v>1500</v>
      </c>
      <c r="Z1827" s="84" t="str">
        <f>HYPERLINK("https://twitter.com/linorieng/status/1442492775157534723")</f>
        <v>https://twitter.com/linorieng/status/1442492775157534723</v>
      </c>
      <c r="AA1827" s="81"/>
      <c r="AB1827" s="81"/>
      <c r="AC1827" s="86" t="s">
        <v>1998</v>
      </c>
      <c r="AD1827" s="81"/>
      <c r="AE1827" s="81" t="b">
        <v>0</v>
      </c>
      <c r="AF1827" s="81">
        <v>1</v>
      </c>
      <c r="AG1827" s="86" t="s">
        <v>2084</v>
      </c>
      <c r="AH1827" s="81" t="b">
        <v>0</v>
      </c>
      <c r="AI1827" s="81" t="s">
        <v>2168</v>
      </c>
      <c r="AJ1827" s="81"/>
      <c r="AK1827" s="86" t="s">
        <v>2084</v>
      </c>
      <c r="AL1827" s="81" t="b">
        <v>0</v>
      </c>
      <c r="AM1827" s="81">
        <v>3</v>
      </c>
      <c r="AN1827" s="86" t="s">
        <v>2084</v>
      </c>
      <c r="AO1827" s="86" t="s">
        <v>2178</v>
      </c>
      <c r="AP1827" s="81" t="b">
        <v>0</v>
      </c>
      <c r="AQ1827" s="86" t="s">
        <v>1998</v>
      </c>
      <c r="AR1827" s="81" t="s">
        <v>179</v>
      </c>
      <c r="AS1827" s="81">
        <v>0</v>
      </c>
      <c r="AT1827" s="81">
        <v>0</v>
      </c>
      <c r="AU1827" s="81"/>
      <c r="AV1827" s="81"/>
      <c r="AW1827" s="81"/>
      <c r="AX1827" s="81"/>
      <c r="AY1827" s="81"/>
      <c r="AZ1827" s="81"/>
      <c r="BA1827" s="81"/>
      <c r="BB1827" s="81"/>
    </row>
    <row r="1828" spans="1:54" x14ac:dyDescent="0.35">
      <c r="A1828" s="66" t="s">
        <v>4933</v>
      </c>
      <c r="B1828" s="66" t="s">
        <v>592</v>
      </c>
      <c r="C1828" s="67"/>
      <c r="D1828" s="68"/>
      <c r="E1828" s="69"/>
      <c r="F1828" s="70"/>
      <c r="G1828" s="67"/>
      <c r="H1828" s="71"/>
      <c r="I1828" s="72"/>
      <c r="J1828" s="72"/>
      <c r="K1828" s="36"/>
      <c r="L1828" s="79"/>
      <c r="M1828" s="79"/>
      <c r="N1828" s="74"/>
      <c r="O1828" s="81" t="s">
        <v>693</v>
      </c>
      <c r="P1828" s="83">
        <v>44467.690868055557</v>
      </c>
      <c r="Q1828" s="81" t="s">
        <v>889</v>
      </c>
      <c r="R1828" s="81"/>
      <c r="S1828" s="81"/>
      <c r="T1828" s="86" t="s">
        <v>972</v>
      </c>
      <c r="U1828" s="84" t="str">
        <f>HYPERLINK("https://pbs.twimg.com/media/FATDiHHVEAIdbWq.jpg")</f>
        <v>https://pbs.twimg.com/media/FATDiHHVEAIdbWq.jpg</v>
      </c>
      <c r="V1828" s="84" t="str">
        <f>HYPERLINK("https://pbs.twimg.com/media/FATDiHHVEAIdbWq.jpg")</f>
        <v>https://pbs.twimg.com/media/FATDiHHVEAIdbWq.jpg</v>
      </c>
      <c r="W1828" s="83">
        <v>44467.690868055557</v>
      </c>
      <c r="X1828" s="89">
        <v>44467</v>
      </c>
      <c r="Y1828" s="86" t="s">
        <v>6603</v>
      </c>
      <c r="Z1828" s="84" t="str">
        <f>HYPERLINK("https://twitter.com/hsnaann_/status/1442890560038047745")</f>
        <v>https://twitter.com/hsnaann_/status/1442890560038047745</v>
      </c>
      <c r="AA1828" s="81"/>
      <c r="AB1828" s="81"/>
      <c r="AC1828" s="86" t="s">
        <v>7527</v>
      </c>
      <c r="AD1828" s="81"/>
      <c r="AE1828" s="81" t="b">
        <v>0</v>
      </c>
      <c r="AF1828" s="81">
        <v>0</v>
      </c>
      <c r="AG1828" s="86" t="s">
        <v>2084</v>
      </c>
      <c r="AH1828" s="81" t="b">
        <v>0</v>
      </c>
      <c r="AI1828" s="81" t="s">
        <v>2168</v>
      </c>
      <c r="AJ1828" s="81"/>
      <c r="AK1828" s="86" t="s">
        <v>2084</v>
      </c>
      <c r="AL1828" s="81" t="b">
        <v>0</v>
      </c>
      <c r="AM1828" s="81">
        <v>3</v>
      </c>
      <c r="AN1828" s="86" t="s">
        <v>1998</v>
      </c>
      <c r="AO1828" s="86" t="s">
        <v>2179</v>
      </c>
      <c r="AP1828" s="81" t="b">
        <v>0</v>
      </c>
      <c r="AQ1828" s="86" t="s">
        <v>1998</v>
      </c>
      <c r="AR1828" s="81" t="s">
        <v>179</v>
      </c>
      <c r="AS1828" s="81">
        <v>0</v>
      </c>
      <c r="AT1828" s="81">
        <v>0</v>
      </c>
      <c r="AU1828" s="81"/>
      <c r="AV1828" s="81"/>
      <c r="AW1828" s="81"/>
      <c r="AX1828" s="81"/>
      <c r="AY1828" s="81"/>
      <c r="AZ1828" s="81"/>
      <c r="BA1828" s="81"/>
      <c r="BB1828" s="81"/>
    </row>
    <row r="1829" spans="1:54" x14ac:dyDescent="0.35">
      <c r="A1829" s="66" t="s">
        <v>4934</v>
      </c>
      <c r="B1829" s="66" t="s">
        <v>5208</v>
      </c>
      <c r="C1829" s="67"/>
      <c r="D1829" s="68"/>
      <c r="E1829" s="69"/>
      <c r="F1829" s="70"/>
      <c r="G1829" s="67"/>
      <c r="H1829" s="71"/>
      <c r="I1829" s="72"/>
      <c r="J1829" s="72"/>
      <c r="K1829" s="36"/>
      <c r="L1829" s="79"/>
      <c r="M1829" s="79"/>
      <c r="N1829" s="74"/>
      <c r="O1829" s="81" t="s">
        <v>696</v>
      </c>
      <c r="P1829" s="83">
        <v>44467.693888888891</v>
      </c>
      <c r="Q1829" s="81" t="s">
        <v>5629</v>
      </c>
      <c r="R1829" s="81"/>
      <c r="S1829" s="81"/>
      <c r="T1829" s="81"/>
      <c r="U1829" s="81"/>
      <c r="V1829" s="84" t="str">
        <f>HYPERLINK("https://pbs.twimg.com/profile_images/1414028235705356290/e_e6XdgB_normal.jpg")</f>
        <v>https://pbs.twimg.com/profile_images/1414028235705356290/e_e6XdgB_normal.jpg</v>
      </c>
      <c r="W1829" s="83">
        <v>44467.693888888891</v>
      </c>
      <c r="X1829" s="89">
        <v>44467</v>
      </c>
      <c r="Y1829" s="86" t="s">
        <v>6604</v>
      </c>
      <c r="Z1829" s="84" t="str">
        <f>HYPERLINK("https://twitter.com/guilhermoney_/status/1442891652067069953")</f>
        <v>https://twitter.com/guilhermoney_/status/1442891652067069953</v>
      </c>
      <c r="AA1829" s="81"/>
      <c r="AB1829" s="81"/>
      <c r="AC1829" s="86" t="s">
        <v>7528</v>
      </c>
      <c r="AD1829" s="86" t="s">
        <v>7767</v>
      </c>
      <c r="AE1829" s="81" t="b">
        <v>0</v>
      </c>
      <c r="AF1829" s="81">
        <v>7</v>
      </c>
      <c r="AG1829" s="86" t="s">
        <v>7939</v>
      </c>
      <c r="AH1829" s="81" t="b">
        <v>0</v>
      </c>
      <c r="AI1829" s="81" t="s">
        <v>2171</v>
      </c>
      <c r="AJ1829" s="81"/>
      <c r="AK1829" s="86" t="s">
        <v>2084</v>
      </c>
      <c r="AL1829" s="81" t="b">
        <v>0</v>
      </c>
      <c r="AM1829" s="81">
        <v>0</v>
      </c>
      <c r="AN1829" s="86" t="s">
        <v>2084</v>
      </c>
      <c r="AO1829" s="86" t="s">
        <v>2181</v>
      </c>
      <c r="AP1829" s="81" t="b">
        <v>0</v>
      </c>
      <c r="AQ1829" s="86" t="s">
        <v>7767</v>
      </c>
      <c r="AR1829" s="81" t="s">
        <v>179</v>
      </c>
      <c r="AS1829" s="81">
        <v>0</v>
      </c>
      <c r="AT1829" s="81">
        <v>0</v>
      </c>
      <c r="AU1829" s="81"/>
      <c r="AV1829" s="81"/>
      <c r="AW1829" s="81"/>
      <c r="AX1829" s="81"/>
      <c r="AY1829" s="81"/>
      <c r="AZ1829" s="81"/>
      <c r="BA1829" s="81"/>
      <c r="BB1829" s="81"/>
    </row>
    <row r="1830" spans="1:54" x14ac:dyDescent="0.35">
      <c r="A1830" s="66" t="s">
        <v>4934</v>
      </c>
      <c r="B1830" s="66" t="s">
        <v>5209</v>
      </c>
      <c r="C1830" s="67"/>
      <c r="D1830" s="68"/>
      <c r="E1830" s="69"/>
      <c r="F1830" s="70"/>
      <c r="G1830" s="67"/>
      <c r="H1830" s="71"/>
      <c r="I1830" s="72"/>
      <c r="J1830" s="72"/>
      <c r="K1830" s="36"/>
      <c r="L1830" s="79"/>
      <c r="M1830" s="79"/>
      <c r="N1830" s="74"/>
      <c r="O1830" s="81" t="s">
        <v>695</v>
      </c>
      <c r="P1830" s="83">
        <v>44467.693888888891</v>
      </c>
      <c r="Q1830" s="81" t="s">
        <v>5629</v>
      </c>
      <c r="R1830" s="81"/>
      <c r="S1830" s="81"/>
      <c r="T1830" s="81"/>
      <c r="U1830" s="81"/>
      <c r="V1830" s="84" t="str">
        <f>HYPERLINK("https://pbs.twimg.com/profile_images/1414028235705356290/e_e6XdgB_normal.jpg")</f>
        <v>https://pbs.twimg.com/profile_images/1414028235705356290/e_e6XdgB_normal.jpg</v>
      </c>
      <c r="W1830" s="83">
        <v>44467.693888888891</v>
      </c>
      <c r="X1830" s="89">
        <v>44467</v>
      </c>
      <c r="Y1830" s="86" t="s">
        <v>6604</v>
      </c>
      <c r="Z1830" s="84" t="str">
        <f>HYPERLINK("https://twitter.com/guilhermoney_/status/1442891652067069953")</f>
        <v>https://twitter.com/guilhermoney_/status/1442891652067069953</v>
      </c>
      <c r="AA1830" s="81"/>
      <c r="AB1830" s="81"/>
      <c r="AC1830" s="86" t="s">
        <v>7528</v>
      </c>
      <c r="AD1830" s="86" t="s">
        <v>7767</v>
      </c>
      <c r="AE1830" s="81" t="b">
        <v>0</v>
      </c>
      <c r="AF1830" s="81">
        <v>7</v>
      </c>
      <c r="AG1830" s="86" t="s">
        <v>7939</v>
      </c>
      <c r="AH1830" s="81" t="b">
        <v>0</v>
      </c>
      <c r="AI1830" s="81" t="s">
        <v>2171</v>
      </c>
      <c r="AJ1830" s="81"/>
      <c r="AK1830" s="86" t="s">
        <v>2084</v>
      </c>
      <c r="AL1830" s="81" t="b">
        <v>0</v>
      </c>
      <c r="AM1830" s="81">
        <v>0</v>
      </c>
      <c r="AN1830" s="86" t="s">
        <v>2084</v>
      </c>
      <c r="AO1830" s="86" t="s">
        <v>2181</v>
      </c>
      <c r="AP1830" s="81" t="b">
        <v>0</v>
      </c>
      <c r="AQ1830" s="86" t="s">
        <v>7767</v>
      </c>
      <c r="AR1830" s="81" t="s">
        <v>179</v>
      </c>
      <c r="AS1830" s="81">
        <v>0</v>
      </c>
      <c r="AT1830" s="81">
        <v>0</v>
      </c>
      <c r="AU1830" s="81"/>
      <c r="AV1830" s="81"/>
      <c r="AW1830" s="81"/>
      <c r="AX1830" s="81"/>
      <c r="AY1830" s="81"/>
      <c r="AZ1830" s="81"/>
      <c r="BA1830" s="81"/>
      <c r="BB1830" s="81"/>
    </row>
    <row r="1831" spans="1:54" x14ac:dyDescent="0.35">
      <c r="A1831" s="66" t="s">
        <v>4935</v>
      </c>
      <c r="B1831" s="66" t="s">
        <v>4944</v>
      </c>
      <c r="C1831" s="67"/>
      <c r="D1831" s="68"/>
      <c r="E1831" s="69"/>
      <c r="F1831" s="70"/>
      <c r="G1831" s="67"/>
      <c r="H1831" s="71"/>
      <c r="I1831" s="72"/>
      <c r="J1831" s="72"/>
      <c r="K1831" s="36"/>
      <c r="L1831" s="79"/>
      <c r="M1831" s="79"/>
      <c r="N1831" s="74"/>
      <c r="O1831" s="81" t="s">
        <v>693</v>
      </c>
      <c r="P1831" s="83">
        <v>44465.532719907409</v>
      </c>
      <c r="Q1831" s="81" t="s">
        <v>5505</v>
      </c>
      <c r="R1831" s="81"/>
      <c r="S1831" s="81"/>
      <c r="T1831" s="81"/>
      <c r="U1831" s="81"/>
      <c r="V1831" s="84" t="str">
        <f>HYPERLINK("https://pbs.twimg.com/profile_images/1361907424245018626/QGAAi80J_normal.jpg")</f>
        <v>https://pbs.twimg.com/profile_images/1361907424245018626/QGAAi80J_normal.jpg</v>
      </c>
      <c r="W1831" s="83">
        <v>44465.532719907409</v>
      </c>
      <c r="X1831" s="89">
        <v>44465</v>
      </c>
      <c r="Y1831" s="86" t="s">
        <v>6605</v>
      </c>
      <c r="Z1831" s="84" t="str">
        <f>HYPERLINK("https://twitter.com/ellocohumaita/status/1442108471407783940")</f>
        <v>https://twitter.com/ellocohumaita/status/1442108471407783940</v>
      </c>
      <c r="AA1831" s="81"/>
      <c r="AB1831" s="81"/>
      <c r="AC1831" s="86" t="s">
        <v>7529</v>
      </c>
      <c r="AD1831" s="81"/>
      <c r="AE1831" s="81" t="b">
        <v>0</v>
      </c>
      <c r="AF1831" s="81">
        <v>0</v>
      </c>
      <c r="AG1831" s="86" t="s">
        <v>2084</v>
      </c>
      <c r="AH1831" s="81" t="b">
        <v>0</v>
      </c>
      <c r="AI1831" s="81" t="s">
        <v>2171</v>
      </c>
      <c r="AJ1831" s="81"/>
      <c r="AK1831" s="86" t="s">
        <v>2084</v>
      </c>
      <c r="AL1831" s="81" t="b">
        <v>0</v>
      </c>
      <c r="AM1831" s="81">
        <v>255</v>
      </c>
      <c r="AN1831" s="86" t="s">
        <v>7543</v>
      </c>
      <c r="AO1831" s="86" t="s">
        <v>2178</v>
      </c>
      <c r="AP1831" s="81" t="b">
        <v>0</v>
      </c>
      <c r="AQ1831" s="86" t="s">
        <v>7543</v>
      </c>
      <c r="AR1831" s="81" t="s">
        <v>179</v>
      </c>
      <c r="AS1831" s="81">
        <v>0</v>
      </c>
      <c r="AT1831" s="81">
        <v>0</v>
      </c>
      <c r="AU1831" s="81"/>
      <c r="AV1831" s="81"/>
      <c r="AW1831" s="81"/>
      <c r="AX1831" s="81"/>
      <c r="AY1831" s="81"/>
      <c r="AZ1831" s="81"/>
      <c r="BA1831" s="81"/>
      <c r="BB1831" s="81"/>
    </row>
    <row r="1832" spans="1:54" x14ac:dyDescent="0.35">
      <c r="A1832" s="66" t="s">
        <v>4935</v>
      </c>
      <c r="B1832" s="66" t="s">
        <v>4935</v>
      </c>
      <c r="C1832" s="67"/>
      <c r="D1832" s="68"/>
      <c r="E1832" s="69"/>
      <c r="F1832" s="70"/>
      <c r="G1832" s="67"/>
      <c r="H1832" s="71"/>
      <c r="I1832" s="72"/>
      <c r="J1832" s="72"/>
      <c r="K1832" s="36"/>
      <c r="L1832" s="79"/>
      <c r="M1832" s="79"/>
      <c r="N1832" s="74"/>
      <c r="O1832" s="81" t="s">
        <v>179</v>
      </c>
      <c r="P1832" s="83">
        <v>44467.605173611111</v>
      </c>
      <c r="Q1832" s="81" t="s">
        <v>5622</v>
      </c>
      <c r="R1832" s="84" t="str">
        <f>HYPERLINK("https://www.brasil247.com/economia/dono-da-holding-do-itau-ataca-volta-de-lula-e-pede-terceira-via-em-2022-h1qpoibn?amp")</f>
        <v>https://www.brasil247.com/economia/dono-da-holding-do-itau-ataca-volta-de-lula-e-pede-terceira-via-em-2022-h1qpoibn?amp</v>
      </c>
      <c r="S1832" s="81" t="s">
        <v>5757</v>
      </c>
      <c r="T1832" s="81"/>
      <c r="U1832" s="81"/>
      <c r="V1832" s="84" t="str">
        <f>HYPERLINK("https://pbs.twimg.com/profile_images/1361907424245018626/QGAAi80J_normal.jpg")</f>
        <v>https://pbs.twimg.com/profile_images/1361907424245018626/QGAAi80J_normal.jpg</v>
      </c>
      <c r="W1832" s="83">
        <v>44467.605173611111</v>
      </c>
      <c r="X1832" s="89">
        <v>44467</v>
      </c>
      <c r="Y1832" s="86" t="s">
        <v>6606</v>
      </c>
      <c r="Z1832" s="84" t="str">
        <f>HYPERLINK("https://twitter.com/ellocohumaita/status/1442859503351840768")</f>
        <v>https://twitter.com/ellocohumaita/status/1442859503351840768</v>
      </c>
      <c r="AA1832" s="81"/>
      <c r="AB1832" s="81"/>
      <c r="AC1832" s="86" t="s">
        <v>7530</v>
      </c>
      <c r="AD1832" s="81"/>
      <c r="AE1832" s="81" t="b">
        <v>0</v>
      </c>
      <c r="AF1832" s="81">
        <v>28</v>
      </c>
      <c r="AG1832" s="86" t="s">
        <v>2084</v>
      </c>
      <c r="AH1832" s="81" t="b">
        <v>0</v>
      </c>
      <c r="AI1832" s="81" t="s">
        <v>2171</v>
      </c>
      <c r="AJ1832" s="81"/>
      <c r="AK1832" s="86" t="s">
        <v>2084</v>
      </c>
      <c r="AL1832" s="81" t="b">
        <v>0</v>
      </c>
      <c r="AM1832" s="81">
        <v>7</v>
      </c>
      <c r="AN1832" s="86" t="s">
        <v>2084</v>
      </c>
      <c r="AO1832" s="86" t="s">
        <v>2178</v>
      </c>
      <c r="AP1832" s="81" t="b">
        <v>0</v>
      </c>
      <c r="AQ1832" s="86" t="s">
        <v>7530</v>
      </c>
      <c r="AR1832" s="81" t="s">
        <v>179</v>
      </c>
      <c r="AS1832" s="81">
        <v>0</v>
      </c>
      <c r="AT1832" s="81">
        <v>0</v>
      </c>
      <c r="AU1832" s="81"/>
      <c r="AV1832" s="81"/>
      <c r="AW1832" s="81"/>
      <c r="AX1832" s="81"/>
      <c r="AY1832" s="81"/>
      <c r="AZ1832" s="81"/>
      <c r="BA1832" s="81"/>
      <c r="BB1832" s="81"/>
    </row>
    <row r="1833" spans="1:54" x14ac:dyDescent="0.35">
      <c r="A1833" s="66" t="s">
        <v>4936</v>
      </c>
      <c r="B1833" s="66" t="s">
        <v>4935</v>
      </c>
      <c r="C1833" s="67"/>
      <c r="D1833" s="68"/>
      <c r="E1833" s="69"/>
      <c r="F1833" s="70"/>
      <c r="G1833" s="67"/>
      <c r="H1833" s="71"/>
      <c r="I1833" s="72"/>
      <c r="J1833" s="72"/>
      <c r="K1833" s="36"/>
      <c r="L1833" s="79"/>
      <c r="M1833" s="79"/>
      <c r="N1833" s="74"/>
      <c r="O1833" s="81" t="s">
        <v>693</v>
      </c>
      <c r="P1833" s="83">
        <v>44467.701562499999</v>
      </c>
      <c r="Q1833" s="81" t="s">
        <v>5622</v>
      </c>
      <c r="R1833" s="84" t="str">
        <f>HYPERLINK("https://www.brasil247.com/economia/dono-da-holding-do-itau-ataca-volta-de-lula-e-pede-terceira-via-em-2022-h1qpoibn?amp")</f>
        <v>https://www.brasil247.com/economia/dono-da-holding-do-itau-ataca-volta-de-lula-e-pede-terceira-via-em-2022-h1qpoibn?amp</v>
      </c>
      <c r="S1833" s="81" t="s">
        <v>5757</v>
      </c>
      <c r="T1833" s="81"/>
      <c r="U1833" s="81"/>
      <c r="V1833" s="84" t="str">
        <f>HYPERLINK("https://pbs.twimg.com/profile_images/1408552584701435905/kjmWui2j_normal.jpg")</f>
        <v>https://pbs.twimg.com/profile_images/1408552584701435905/kjmWui2j_normal.jpg</v>
      </c>
      <c r="W1833" s="83">
        <v>44467.701562499999</v>
      </c>
      <c r="X1833" s="89">
        <v>44467</v>
      </c>
      <c r="Y1833" s="86" t="s">
        <v>6607</v>
      </c>
      <c r="Z1833" s="84" t="str">
        <f>HYPERLINK("https://twitter.com/piquename/status/1442894434102767625")</f>
        <v>https://twitter.com/piquename/status/1442894434102767625</v>
      </c>
      <c r="AA1833" s="81"/>
      <c r="AB1833" s="81"/>
      <c r="AC1833" s="86" t="s">
        <v>7531</v>
      </c>
      <c r="AD1833" s="81"/>
      <c r="AE1833" s="81" t="b">
        <v>0</v>
      </c>
      <c r="AF1833" s="81">
        <v>0</v>
      </c>
      <c r="AG1833" s="86" t="s">
        <v>2084</v>
      </c>
      <c r="AH1833" s="81" t="b">
        <v>0</v>
      </c>
      <c r="AI1833" s="81" t="s">
        <v>2171</v>
      </c>
      <c r="AJ1833" s="81"/>
      <c r="AK1833" s="86" t="s">
        <v>2084</v>
      </c>
      <c r="AL1833" s="81" t="b">
        <v>0</v>
      </c>
      <c r="AM1833" s="81">
        <v>7</v>
      </c>
      <c r="AN1833" s="86" t="s">
        <v>7530</v>
      </c>
      <c r="AO1833" s="86" t="s">
        <v>2178</v>
      </c>
      <c r="AP1833" s="81" t="b">
        <v>0</v>
      </c>
      <c r="AQ1833" s="86" t="s">
        <v>7530</v>
      </c>
      <c r="AR1833" s="81" t="s">
        <v>179</v>
      </c>
      <c r="AS1833" s="81">
        <v>0</v>
      </c>
      <c r="AT1833" s="81">
        <v>0</v>
      </c>
      <c r="AU1833" s="81"/>
      <c r="AV1833" s="81"/>
      <c r="AW1833" s="81"/>
      <c r="AX1833" s="81"/>
      <c r="AY1833" s="81"/>
      <c r="AZ1833" s="81"/>
      <c r="BA1833" s="81"/>
      <c r="BB1833" s="81"/>
    </row>
    <row r="1834" spans="1:54" x14ac:dyDescent="0.35">
      <c r="A1834" s="66" t="s">
        <v>4938</v>
      </c>
      <c r="B1834" s="66" t="s">
        <v>5210</v>
      </c>
      <c r="C1834" s="67"/>
      <c r="D1834" s="68"/>
      <c r="E1834" s="69"/>
      <c r="F1834" s="70"/>
      <c r="G1834" s="67"/>
      <c r="H1834" s="71"/>
      <c r="I1834" s="72"/>
      <c r="J1834" s="72"/>
      <c r="K1834" s="36"/>
      <c r="L1834" s="79"/>
      <c r="M1834" s="79"/>
      <c r="N1834" s="74"/>
      <c r="O1834" s="81" t="s">
        <v>694</v>
      </c>
      <c r="P1834" s="83">
        <v>44467.721655092595</v>
      </c>
      <c r="Q1834" s="81" t="s">
        <v>5631</v>
      </c>
      <c r="R1834" s="84" t="str">
        <f>HYPERLINK("https://byq6z.app.goo.gl/NzREi")</f>
        <v>https://byq6z.app.goo.gl/NzREi</v>
      </c>
      <c r="S1834" s="81" t="s">
        <v>5759</v>
      </c>
      <c r="T1834" s="81"/>
      <c r="U1834" s="81"/>
      <c r="V1834" s="84" t="str">
        <f>HYPERLINK("https://pbs.twimg.com/profile_images/1146784986718232576/jye-DYN2_normal.jpg")</f>
        <v>https://pbs.twimg.com/profile_images/1146784986718232576/jye-DYN2_normal.jpg</v>
      </c>
      <c r="W1834" s="83">
        <v>44467.721655092595</v>
      </c>
      <c r="X1834" s="89">
        <v>44467</v>
      </c>
      <c r="Y1834" s="86" t="s">
        <v>6610</v>
      </c>
      <c r="Z1834" s="84" t="str">
        <f>HYPERLINK("https://twitter.com/sbgcnacional/status/1442901713728331781")</f>
        <v>https://twitter.com/sbgcnacional/status/1442901713728331781</v>
      </c>
      <c r="AA1834" s="81"/>
      <c r="AB1834" s="81"/>
      <c r="AC1834" s="86" t="s">
        <v>7534</v>
      </c>
      <c r="AD1834" s="81"/>
      <c r="AE1834" s="81" t="b">
        <v>0</v>
      </c>
      <c r="AF1834" s="81">
        <v>0</v>
      </c>
      <c r="AG1834" s="86" t="s">
        <v>2084</v>
      </c>
      <c r="AH1834" s="81" t="b">
        <v>0</v>
      </c>
      <c r="AI1834" s="81" t="s">
        <v>2171</v>
      </c>
      <c r="AJ1834" s="81"/>
      <c r="AK1834" s="86" t="s">
        <v>2084</v>
      </c>
      <c r="AL1834" s="81" t="b">
        <v>0</v>
      </c>
      <c r="AM1834" s="81">
        <v>5</v>
      </c>
      <c r="AN1834" s="86" t="s">
        <v>7554</v>
      </c>
      <c r="AO1834" s="86" t="s">
        <v>2181</v>
      </c>
      <c r="AP1834" s="81" t="b">
        <v>0</v>
      </c>
      <c r="AQ1834" s="86" t="s">
        <v>7554</v>
      </c>
      <c r="AR1834" s="81" t="s">
        <v>179</v>
      </c>
      <c r="AS1834" s="81">
        <v>0</v>
      </c>
      <c r="AT1834" s="81">
        <v>0</v>
      </c>
      <c r="AU1834" s="81"/>
      <c r="AV1834" s="81"/>
      <c r="AW1834" s="81"/>
      <c r="AX1834" s="81"/>
      <c r="AY1834" s="81"/>
      <c r="AZ1834" s="81"/>
      <c r="BA1834" s="81"/>
      <c r="BB1834" s="81"/>
    </row>
    <row r="1835" spans="1:54" x14ac:dyDescent="0.35">
      <c r="A1835" s="66" t="s">
        <v>4938</v>
      </c>
      <c r="B1835" s="66" t="s">
        <v>4953</v>
      </c>
      <c r="C1835" s="67"/>
      <c r="D1835" s="68"/>
      <c r="E1835" s="69"/>
      <c r="F1835" s="70"/>
      <c r="G1835" s="67"/>
      <c r="H1835" s="71"/>
      <c r="I1835" s="72"/>
      <c r="J1835" s="72"/>
      <c r="K1835" s="36"/>
      <c r="L1835" s="79"/>
      <c r="M1835" s="79"/>
      <c r="N1835" s="74"/>
      <c r="O1835" s="81" t="s">
        <v>694</v>
      </c>
      <c r="P1835" s="83">
        <v>44467.721655092595</v>
      </c>
      <c r="Q1835" s="81" t="s">
        <v>5631</v>
      </c>
      <c r="R1835" s="84" t="str">
        <f>HYPERLINK("https://byq6z.app.goo.gl/NzREi")</f>
        <v>https://byq6z.app.goo.gl/NzREi</v>
      </c>
      <c r="S1835" s="81" t="s">
        <v>5759</v>
      </c>
      <c r="T1835" s="81"/>
      <c r="U1835" s="81"/>
      <c r="V1835" s="84" t="str">
        <f>HYPERLINK("https://pbs.twimg.com/profile_images/1146784986718232576/jye-DYN2_normal.jpg")</f>
        <v>https://pbs.twimg.com/profile_images/1146784986718232576/jye-DYN2_normal.jpg</v>
      </c>
      <c r="W1835" s="83">
        <v>44467.721655092595</v>
      </c>
      <c r="X1835" s="89">
        <v>44467</v>
      </c>
      <c r="Y1835" s="86" t="s">
        <v>6610</v>
      </c>
      <c r="Z1835" s="84" t="str">
        <f>HYPERLINK("https://twitter.com/sbgcnacional/status/1442901713728331781")</f>
        <v>https://twitter.com/sbgcnacional/status/1442901713728331781</v>
      </c>
      <c r="AA1835" s="81"/>
      <c r="AB1835" s="81"/>
      <c r="AC1835" s="86" t="s">
        <v>7534</v>
      </c>
      <c r="AD1835" s="81"/>
      <c r="AE1835" s="81" t="b">
        <v>0</v>
      </c>
      <c r="AF1835" s="81">
        <v>0</v>
      </c>
      <c r="AG1835" s="86" t="s">
        <v>2084</v>
      </c>
      <c r="AH1835" s="81" t="b">
        <v>0</v>
      </c>
      <c r="AI1835" s="81" t="s">
        <v>2171</v>
      </c>
      <c r="AJ1835" s="81"/>
      <c r="AK1835" s="86" t="s">
        <v>2084</v>
      </c>
      <c r="AL1835" s="81" t="b">
        <v>0</v>
      </c>
      <c r="AM1835" s="81">
        <v>5</v>
      </c>
      <c r="AN1835" s="86" t="s">
        <v>7554</v>
      </c>
      <c r="AO1835" s="86" t="s">
        <v>2181</v>
      </c>
      <c r="AP1835" s="81" t="b">
        <v>0</v>
      </c>
      <c r="AQ1835" s="86" t="s">
        <v>7554</v>
      </c>
      <c r="AR1835" s="81" t="s">
        <v>179</v>
      </c>
      <c r="AS1835" s="81">
        <v>0</v>
      </c>
      <c r="AT1835" s="81">
        <v>0</v>
      </c>
      <c r="AU1835" s="81"/>
      <c r="AV1835" s="81"/>
      <c r="AW1835" s="81"/>
      <c r="AX1835" s="81"/>
      <c r="AY1835" s="81"/>
      <c r="AZ1835" s="81"/>
      <c r="BA1835" s="81"/>
      <c r="BB1835" s="81"/>
    </row>
    <row r="1836" spans="1:54" x14ac:dyDescent="0.35">
      <c r="A1836" s="66" t="s">
        <v>4938</v>
      </c>
      <c r="B1836" s="66" t="s">
        <v>5211</v>
      </c>
      <c r="C1836" s="67"/>
      <c r="D1836" s="68"/>
      <c r="E1836" s="69"/>
      <c r="F1836" s="70"/>
      <c r="G1836" s="67"/>
      <c r="H1836" s="71"/>
      <c r="I1836" s="72"/>
      <c r="J1836" s="72"/>
      <c r="K1836" s="36"/>
      <c r="L1836" s="79"/>
      <c r="M1836" s="79"/>
      <c r="N1836" s="74"/>
      <c r="O1836" s="81" t="s">
        <v>694</v>
      </c>
      <c r="P1836" s="83">
        <v>44467.721655092595</v>
      </c>
      <c r="Q1836" s="81" t="s">
        <v>5631</v>
      </c>
      <c r="R1836" s="84" t="str">
        <f>HYPERLINK("https://byq6z.app.goo.gl/NzREi")</f>
        <v>https://byq6z.app.goo.gl/NzREi</v>
      </c>
      <c r="S1836" s="81" t="s">
        <v>5759</v>
      </c>
      <c r="T1836" s="81"/>
      <c r="U1836" s="81"/>
      <c r="V1836" s="84" t="str">
        <f>HYPERLINK("https://pbs.twimg.com/profile_images/1146784986718232576/jye-DYN2_normal.jpg")</f>
        <v>https://pbs.twimg.com/profile_images/1146784986718232576/jye-DYN2_normal.jpg</v>
      </c>
      <c r="W1836" s="83">
        <v>44467.721655092595</v>
      </c>
      <c r="X1836" s="89">
        <v>44467</v>
      </c>
      <c r="Y1836" s="86" t="s">
        <v>6610</v>
      </c>
      <c r="Z1836" s="84" t="str">
        <f>HYPERLINK("https://twitter.com/sbgcnacional/status/1442901713728331781")</f>
        <v>https://twitter.com/sbgcnacional/status/1442901713728331781</v>
      </c>
      <c r="AA1836" s="81"/>
      <c r="AB1836" s="81"/>
      <c r="AC1836" s="86" t="s">
        <v>7534</v>
      </c>
      <c r="AD1836" s="81"/>
      <c r="AE1836" s="81" t="b">
        <v>0</v>
      </c>
      <c r="AF1836" s="81">
        <v>0</v>
      </c>
      <c r="AG1836" s="86" t="s">
        <v>2084</v>
      </c>
      <c r="AH1836" s="81" t="b">
        <v>0</v>
      </c>
      <c r="AI1836" s="81" t="s">
        <v>2171</v>
      </c>
      <c r="AJ1836" s="81"/>
      <c r="AK1836" s="86" t="s">
        <v>2084</v>
      </c>
      <c r="AL1836" s="81" t="b">
        <v>0</v>
      </c>
      <c r="AM1836" s="81">
        <v>5</v>
      </c>
      <c r="AN1836" s="86" t="s">
        <v>7554</v>
      </c>
      <c r="AO1836" s="86" t="s">
        <v>2181</v>
      </c>
      <c r="AP1836" s="81" t="b">
        <v>0</v>
      </c>
      <c r="AQ1836" s="86" t="s">
        <v>7554</v>
      </c>
      <c r="AR1836" s="81" t="s">
        <v>179</v>
      </c>
      <c r="AS1836" s="81">
        <v>0</v>
      </c>
      <c r="AT1836" s="81">
        <v>0</v>
      </c>
      <c r="AU1836" s="81"/>
      <c r="AV1836" s="81"/>
      <c r="AW1836" s="81"/>
      <c r="AX1836" s="81"/>
      <c r="AY1836" s="81"/>
      <c r="AZ1836" s="81"/>
      <c r="BA1836" s="81"/>
      <c r="BB1836" s="81"/>
    </row>
    <row r="1837" spans="1:54" x14ac:dyDescent="0.35">
      <c r="A1837" s="66" t="s">
        <v>4938</v>
      </c>
      <c r="B1837" s="66" t="s">
        <v>5212</v>
      </c>
      <c r="C1837" s="67"/>
      <c r="D1837" s="68"/>
      <c r="E1837" s="69"/>
      <c r="F1837" s="70"/>
      <c r="G1837" s="67"/>
      <c r="H1837" s="71"/>
      <c r="I1837" s="72"/>
      <c r="J1837" s="72"/>
      <c r="K1837" s="36"/>
      <c r="L1837" s="79"/>
      <c r="M1837" s="79"/>
      <c r="N1837" s="74"/>
      <c r="O1837" s="81" t="s">
        <v>694</v>
      </c>
      <c r="P1837" s="83">
        <v>44467.721655092595</v>
      </c>
      <c r="Q1837" s="81" t="s">
        <v>5631</v>
      </c>
      <c r="R1837" s="84" t="str">
        <f>HYPERLINK("https://byq6z.app.goo.gl/NzREi")</f>
        <v>https://byq6z.app.goo.gl/NzREi</v>
      </c>
      <c r="S1837" s="81" t="s">
        <v>5759</v>
      </c>
      <c r="T1837" s="81"/>
      <c r="U1837" s="81"/>
      <c r="V1837" s="84" t="str">
        <f>HYPERLINK("https://pbs.twimg.com/profile_images/1146784986718232576/jye-DYN2_normal.jpg")</f>
        <v>https://pbs.twimg.com/profile_images/1146784986718232576/jye-DYN2_normal.jpg</v>
      </c>
      <c r="W1837" s="83">
        <v>44467.721655092595</v>
      </c>
      <c r="X1837" s="89">
        <v>44467</v>
      </c>
      <c r="Y1837" s="86" t="s">
        <v>6610</v>
      </c>
      <c r="Z1837" s="84" t="str">
        <f>HYPERLINK("https://twitter.com/sbgcnacional/status/1442901713728331781")</f>
        <v>https://twitter.com/sbgcnacional/status/1442901713728331781</v>
      </c>
      <c r="AA1837" s="81"/>
      <c r="AB1837" s="81"/>
      <c r="AC1837" s="86" t="s">
        <v>7534</v>
      </c>
      <c r="AD1837" s="81"/>
      <c r="AE1837" s="81" t="b">
        <v>0</v>
      </c>
      <c r="AF1837" s="81">
        <v>0</v>
      </c>
      <c r="AG1837" s="86" t="s">
        <v>2084</v>
      </c>
      <c r="AH1837" s="81" t="b">
        <v>0</v>
      </c>
      <c r="AI1837" s="81" t="s">
        <v>2171</v>
      </c>
      <c r="AJ1837" s="81"/>
      <c r="AK1837" s="86" t="s">
        <v>2084</v>
      </c>
      <c r="AL1837" s="81" t="b">
        <v>0</v>
      </c>
      <c r="AM1837" s="81">
        <v>5</v>
      </c>
      <c r="AN1837" s="86" t="s">
        <v>7554</v>
      </c>
      <c r="AO1837" s="86" t="s">
        <v>2181</v>
      </c>
      <c r="AP1837" s="81" t="b">
        <v>0</v>
      </c>
      <c r="AQ1837" s="86" t="s">
        <v>7554</v>
      </c>
      <c r="AR1837" s="81" t="s">
        <v>179</v>
      </c>
      <c r="AS1837" s="81">
        <v>0</v>
      </c>
      <c r="AT1837" s="81">
        <v>0</v>
      </c>
      <c r="AU1837" s="81"/>
      <c r="AV1837" s="81"/>
      <c r="AW1837" s="81"/>
      <c r="AX1837" s="81"/>
      <c r="AY1837" s="81"/>
      <c r="AZ1837" s="81"/>
      <c r="BA1837" s="81"/>
      <c r="BB1837" s="81"/>
    </row>
    <row r="1838" spans="1:54" x14ac:dyDescent="0.35">
      <c r="A1838" s="66" t="s">
        <v>4938</v>
      </c>
      <c r="B1838" s="66" t="s">
        <v>4952</v>
      </c>
      <c r="C1838" s="67"/>
      <c r="D1838" s="68"/>
      <c r="E1838" s="69"/>
      <c r="F1838" s="70"/>
      <c r="G1838" s="67"/>
      <c r="H1838" s="71"/>
      <c r="I1838" s="72"/>
      <c r="J1838" s="72"/>
      <c r="K1838" s="36"/>
      <c r="L1838" s="79"/>
      <c r="M1838" s="79"/>
      <c r="N1838" s="74"/>
      <c r="O1838" s="81" t="s">
        <v>693</v>
      </c>
      <c r="P1838" s="83">
        <v>44467.721655092595</v>
      </c>
      <c r="Q1838" s="81" t="s">
        <v>5631</v>
      </c>
      <c r="R1838" s="84" t="str">
        <f>HYPERLINK("https://byq6z.app.goo.gl/NzREi")</f>
        <v>https://byq6z.app.goo.gl/NzREi</v>
      </c>
      <c r="S1838" s="81" t="s">
        <v>5759</v>
      </c>
      <c r="T1838" s="81"/>
      <c r="U1838" s="81"/>
      <c r="V1838" s="84" t="str">
        <f>HYPERLINK("https://pbs.twimg.com/profile_images/1146784986718232576/jye-DYN2_normal.jpg")</f>
        <v>https://pbs.twimg.com/profile_images/1146784986718232576/jye-DYN2_normal.jpg</v>
      </c>
      <c r="W1838" s="83">
        <v>44467.721655092595</v>
      </c>
      <c r="X1838" s="89">
        <v>44467</v>
      </c>
      <c r="Y1838" s="86" t="s">
        <v>6610</v>
      </c>
      <c r="Z1838" s="84" t="str">
        <f>HYPERLINK("https://twitter.com/sbgcnacional/status/1442901713728331781")</f>
        <v>https://twitter.com/sbgcnacional/status/1442901713728331781</v>
      </c>
      <c r="AA1838" s="81"/>
      <c r="AB1838" s="81"/>
      <c r="AC1838" s="86" t="s">
        <v>7534</v>
      </c>
      <c r="AD1838" s="81"/>
      <c r="AE1838" s="81" t="b">
        <v>0</v>
      </c>
      <c r="AF1838" s="81">
        <v>0</v>
      </c>
      <c r="AG1838" s="86" t="s">
        <v>2084</v>
      </c>
      <c r="AH1838" s="81" t="b">
        <v>0</v>
      </c>
      <c r="AI1838" s="81" t="s">
        <v>2171</v>
      </c>
      <c r="AJ1838" s="81"/>
      <c r="AK1838" s="86" t="s">
        <v>2084</v>
      </c>
      <c r="AL1838" s="81" t="b">
        <v>0</v>
      </c>
      <c r="AM1838" s="81">
        <v>5</v>
      </c>
      <c r="AN1838" s="86" t="s">
        <v>7554</v>
      </c>
      <c r="AO1838" s="86" t="s">
        <v>2181</v>
      </c>
      <c r="AP1838" s="81" t="b">
        <v>0</v>
      </c>
      <c r="AQ1838" s="86" t="s">
        <v>7554</v>
      </c>
      <c r="AR1838" s="81" t="s">
        <v>179</v>
      </c>
      <c r="AS1838" s="81">
        <v>0</v>
      </c>
      <c r="AT1838" s="81">
        <v>0</v>
      </c>
      <c r="AU1838" s="81"/>
      <c r="AV1838" s="81"/>
      <c r="AW1838" s="81"/>
      <c r="AX1838" s="81"/>
      <c r="AY1838" s="81"/>
      <c r="AZ1838" s="81"/>
      <c r="BA1838" s="81"/>
      <c r="BB1838" s="81"/>
    </row>
    <row r="1839" spans="1:54" x14ac:dyDescent="0.35">
      <c r="A1839" s="66" t="s">
        <v>4939</v>
      </c>
      <c r="B1839" s="66" t="s">
        <v>4939</v>
      </c>
      <c r="C1839" s="67"/>
      <c r="D1839" s="68"/>
      <c r="E1839" s="69"/>
      <c r="F1839" s="70"/>
      <c r="G1839" s="67"/>
      <c r="H1839" s="71"/>
      <c r="I1839" s="72"/>
      <c r="J1839" s="72"/>
      <c r="K1839" s="36"/>
      <c r="L1839" s="79"/>
      <c r="M1839" s="79"/>
      <c r="N1839" s="74"/>
      <c r="O1839" s="81" t="s">
        <v>179</v>
      </c>
      <c r="P1839" s="83">
        <v>44459.618506944447</v>
      </c>
      <c r="Q1839" s="81" t="s">
        <v>5282</v>
      </c>
      <c r="R1839"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1839" s="81" t="s">
        <v>5696</v>
      </c>
      <c r="T1839" s="81"/>
      <c r="U1839" s="84" t="str">
        <f>HYPERLINK("https://pbs.twimg.com/media/E_vHfERXoA8GltO.jpg")</f>
        <v>https://pbs.twimg.com/media/E_vHfERXoA8GltO.jpg</v>
      </c>
      <c r="V1839" s="84" t="str">
        <f>HYPERLINK("https://pbs.twimg.com/media/E_vHfERXoA8GltO.jpg")</f>
        <v>https://pbs.twimg.com/media/E_vHfERXoA8GltO.jpg</v>
      </c>
      <c r="W1839" s="83">
        <v>44459.618506944447</v>
      </c>
      <c r="X1839" s="89">
        <v>44459</v>
      </c>
      <c r="Y1839" s="86" t="s">
        <v>6611</v>
      </c>
      <c r="Z1839" s="84" t="str">
        <f>HYPERLINK("https://twitter.com/internetlabbr/status/1439965231917174791")</f>
        <v>https://twitter.com/internetlabbr/status/1439965231917174791</v>
      </c>
      <c r="AA1839" s="81"/>
      <c r="AB1839" s="81"/>
      <c r="AC1839" s="86" t="s">
        <v>7535</v>
      </c>
      <c r="AD1839" s="81"/>
      <c r="AE1839" s="81" t="b">
        <v>0</v>
      </c>
      <c r="AF1839" s="81">
        <v>25</v>
      </c>
      <c r="AG1839" s="86" t="s">
        <v>2084</v>
      </c>
      <c r="AH1839" s="81" t="b">
        <v>0</v>
      </c>
      <c r="AI1839" s="81" t="s">
        <v>2171</v>
      </c>
      <c r="AJ1839" s="81"/>
      <c r="AK1839" s="86" t="s">
        <v>2084</v>
      </c>
      <c r="AL1839" s="81" t="b">
        <v>0</v>
      </c>
      <c r="AM1839" s="81">
        <v>16</v>
      </c>
      <c r="AN1839" s="86" t="s">
        <v>2084</v>
      </c>
      <c r="AO1839" s="86" t="s">
        <v>2181</v>
      </c>
      <c r="AP1839" s="81" t="b">
        <v>0</v>
      </c>
      <c r="AQ1839" s="86" t="s">
        <v>7535</v>
      </c>
      <c r="AR1839" s="81" t="s">
        <v>179</v>
      </c>
      <c r="AS1839" s="81">
        <v>0</v>
      </c>
      <c r="AT1839" s="81">
        <v>0</v>
      </c>
      <c r="AU1839" s="81"/>
      <c r="AV1839" s="81"/>
      <c r="AW1839" s="81"/>
      <c r="AX1839" s="81"/>
      <c r="AY1839" s="81"/>
      <c r="AZ1839" s="81"/>
      <c r="BA1839" s="81"/>
      <c r="BB1839" s="81"/>
    </row>
    <row r="1840" spans="1:54" x14ac:dyDescent="0.35">
      <c r="A1840" s="66" t="s">
        <v>4939</v>
      </c>
      <c r="B1840" s="66" t="s">
        <v>4939</v>
      </c>
      <c r="C1840" s="67"/>
      <c r="D1840" s="68"/>
      <c r="E1840" s="69"/>
      <c r="F1840" s="70"/>
      <c r="G1840" s="67"/>
      <c r="H1840" s="71"/>
      <c r="I1840" s="72"/>
      <c r="J1840" s="72"/>
      <c r="K1840" s="36"/>
      <c r="L1840" s="79"/>
      <c r="M1840" s="79"/>
      <c r="N1840" s="74"/>
      <c r="O1840" s="81" t="s">
        <v>179</v>
      </c>
      <c r="P1840" s="83">
        <v>44459.618518518517</v>
      </c>
      <c r="Q1840" s="81" t="s">
        <v>5298</v>
      </c>
      <c r="R1840"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1840" s="81" t="s">
        <v>5696</v>
      </c>
      <c r="T1840" s="81"/>
      <c r="U1840" s="81"/>
      <c r="V1840" s="84" t="str">
        <f>HYPERLINK("https://pbs.twimg.com/profile_images/1101592240273657856/oIh9qBcm_normal.png")</f>
        <v>https://pbs.twimg.com/profile_images/1101592240273657856/oIh9qBcm_normal.png</v>
      </c>
      <c r="W1840" s="83">
        <v>44459.618518518517</v>
      </c>
      <c r="X1840" s="89">
        <v>44459</v>
      </c>
      <c r="Y1840" s="86" t="s">
        <v>6612</v>
      </c>
      <c r="Z1840" s="84" t="str">
        <f>HYPERLINK("https://twitter.com/internetlabbr/status/1439965237135003657")</f>
        <v>https://twitter.com/internetlabbr/status/1439965237135003657</v>
      </c>
      <c r="AA1840" s="81"/>
      <c r="AB1840" s="81"/>
      <c r="AC1840" s="86" t="s">
        <v>7536</v>
      </c>
      <c r="AD1840" s="86" t="s">
        <v>7768</v>
      </c>
      <c r="AE1840" s="81" t="b">
        <v>0</v>
      </c>
      <c r="AF1840" s="81">
        <v>13</v>
      </c>
      <c r="AG1840" s="86" t="s">
        <v>7940</v>
      </c>
      <c r="AH1840" s="81" t="b">
        <v>0</v>
      </c>
      <c r="AI1840" s="81" t="s">
        <v>2171</v>
      </c>
      <c r="AJ1840" s="81"/>
      <c r="AK1840" s="86" t="s">
        <v>2084</v>
      </c>
      <c r="AL1840" s="81" t="b">
        <v>0</v>
      </c>
      <c r="AM1840" s="81">
        <v>1</v>
      </c>
      <c r="AN1840" s="86" t="s">
        <v>2084</v>
      </c>
      <c r="AO1840" s="86" t="s">
        <v>2181</v>
      </c>
      <c r="AP1840" s="81" t="b">
        <v>0</v>
      </c>
      <c r="AQ1840" s="86" t="s">
        <v>7768</v>
      </c>
      <c r="AR1840" s="81" t="s">
        <v>179</v>
      </c>
      <c r="AS1840" s="81">
        <v>0</v>
      </c>
      <c r="AT1840" s="81">
        <v>0</v>
      </c>
      <c r="AU1840" s="81"/>
      <c r="AV1840" s="81"/>
      <c r="AW1840" s="81"/>
      <c r="AX1840" s="81"/>
      <c r="AY1840" s="81"/>
      <c r="AZ1840" s="81"/>
      <c r="BA1840" s="81"/>
      <c r="BB1840" s="81"/>
    </row>
    <row r="1841" spans="1:54" x14ac:dyDescent="0.35">
      <c r="A1841" s="66" t="s">
        <v>4939</v>
      </c>
      <c r="B1841" s="66" t="s">
        <v>4939</v>
      </c>
      <c r="C1841" s="67"/>
      <c r="D1841" s="68"/>
      <c r="E1841" s="69"/>
      <c r="F1841" s="70"/>
      <c r="G1841" s="67"/>
      <c r="H1841" s="71"/>
      <c r="I1841" s="72"/>
      <c r="J1841" s="72"/>
      <c r="K1841" s="36"/>
      <c r="L1841" s="79"/>
      <c r="M1841" s="79"/>
      <c r="N1841" s="74"/>
      <c r="O1841" s="81" t="s">
        <v>179</v>
      </c>
      <c r="P1841" s="83">
        <v>44466.548622685186</v>
      </c>
      <c r="Q1841" s="81" t="s">
        <v>5632</v>
      </c>
      <c r="R1841" s="81" t="s">
        <v>5684</v>
      </c>
      <c r="S1841" s="81" t="s">
        <v>5760</v>
      </c>
      <c r="T1841" s="81"/>
      <c r="U1841" s="81"/>
      <c r="V1841" s="84" t="str">
        <f>HYPERLINK("https://pbs.twimg.com/profile_images/1101592240273657856/oIh9qBcm_normal.png")</f>
        <v>https://pbs.twimg.com/profile_images/1101592240273657856/oIh9qBcm_normal.png</v>
      </c>
      <c r="W1841" s="83">
        <v>44466.548622685186</v>
      </c>
      <c r="X1841" s="89">
        <v>44466</v>
      </c>
      <c r="Y1841" s="86" t="s">
        <v>6613</v>
      </c>
      <c r="Z1841" s="84" t="str">
        <f>HYPERLINK("https://twitter.com/internetlabbr/status/1442476622091857920")</f>
        <v>https://twitter.com/internetlabbr/status/1442476622091857920</v>
      </c>
      <c r="AA1841" s="81"/>
      <c r="AB1841" s="81"/>
      <c r="AC1841" s="86" t="s">
        <v>7537</v>
      </c>
      <c r="AD1841" s="81"/>
      <c r="AE1841" s="81" t="b">
        <v>0</v>
      </c>
      <c r="AF1841" s="81">
        <v>4</v>
      </c>
      <c r="AG1841" s="86" t="s">
        <v>2084</v>
      </c>
      <c r="AH1841" s="81" t="b">
        <v>1</v>
      </c>
      <c r="AI1841" s="81" t="s">
        <v>2171</v>
      </c>
      <c r="AJ1841" s="81"/>
      <c r="AK1841" s="86" t="s">
        <v>7535</v>
      </c>
      <c r="AL1841" s="81" t="b">
        <v>0</v>
      </c>
      <c r="AM1841" s="81">
        <v>0</v>
      </c>
      <c r="AN1841" s="86" t="s">
        <v>2084</v>
      </c>
      <c r="AO1841" s="86" t="s">
        <v>2181</v>
      </c>
      <c r="AP1841" s="81" t="b">
        <v>0</v>
      </c>
      <c r="AQ1841" s="86" t="s">
        <v>7537</v>
      </c>
      <c r="AR1841" s="81" t="s">
        <v>179</v>
      </c>
      <c r="AS1841" s="81">
        <v>0</v>
      </c>
      <c r="AT1841" s="81">
        <v>0</v>
      </c>
      <c r="AU1841" s="81"/>
      <c r="AV1841" s="81"/>
      <c r="AW1841" s="81"/>
      <c r="AX1841" s="81"/>
      <c r="AY1841" s="81"/>
      <c r="AZ1841" s="81"/>
      <c r="BA1841" s="81"/>
      <c r="BB1841" s="81"/>
    </row>
    <row r="1842" spans="1:54" x14ac:dyDescent="0.35">
      <c r="A1842" s="66" t="s">
        <v>4940</v>
      </c>
      <c r="B1842" s="66" t="s">
        <v>4939</v>
      </c>
      <c r="C1842" s="67"/>
      <c r="D1842" s="68"/>
      <c r="E1842" s="69"/>
      <c r="F1842" s="70"/>
      <c r="G1842" s="67"/>
      <c r="H1842" s="71"/>
      <c r="I1842" s="72"/>
      <c r="J1842" s="72"/>
      <c r="K1842" s="36"/>
      <c r="L1842" s="79"/>
      <c r="M1842" s="79"/>
      <c r="N1842" s="74"/>
      <c r="O1842" s="81" t="s">
        <v>693</v>
      </c>
      <c r="P1842" s="83">
        <v>44467.737766203703</v>
      </c>
      <c r="Q1842" s="81" t="s">
        <v>5282</v>
      </c>
      <c r="R1842"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1842" s="81" t="s">
        <v>5696</v>
      </c>
      <c r="T1842" s="81"/>
      <c r="U1842" s="84" t="str">
        <f>HYPERLINK("https://pbs.twimg.com/media/E_vHfERXoA8GltO.jpg")</f>
        <v>https://pbs.twimg.com/media/E_vHfERXoA8GltO.jpg</v>
      </c>
      <c r="V1842" s="84" t="str">
        <f>HYPERLINK("https://pbs.twimg.com/media/E_vHfERXoA8GltO.jpg")</f>
        <v>https://pbs.twimg.com/media/E_vHfERXoA8GltO.jpg</v>
      </c>
      <c r="W1842" s="83">
        <v>44467.737766203703</v>
      </c>
      <c r="X1842" s="89">
        <v>44467</v>
      </c>
      <c r="Y1842" s="86" t="s">
        <v>6614</v>
      </c>
      <c r="Z1842" s="84" t="str">
        <f>HYPERLINK("https://twitter.com/britocruz_/status/1442907555068448768")</f>
        <v>https://twitter.com/britocruz_/status/1442907555068448768</v>
      </c>
      <c r="AA1842" s="81"/>
      <c r="AB1842" s="81"/>
      <c r="AC1842" s="86" t="s">
        <v>7538</v>
      </c>
      <c r="AD1842" s="81"/>
      <c r="AE1842" s="81" t="b">
        <v>0</v>
      </c>
      <c r="AF1842" s="81">
        <v>0</v>
      </c>
      <c r="AG1842" s="86" t="s">
        <v>2084</v>
      </c>
      <c r="AH1842" s="81" t="b">
        <v>0</v>
      </c>
      <c r="AI1842" s="81" t="s">
        <v>2171</v>
      </c>
      <c r="AJ1842" s="81"/>
      <c r="AK1842" s="86" t="s">
        <v>2084</v>
      </c>
      <c r="AL1842" s="81" t="b">
        <v>0</v>
      </c>
      <c r="AM1842" s="81">
        <v>16</v>
      </c>
      <c r="AN1842" s="86" t="s">
        <v>7535</v>
      </c>
      <c r="AO1842" s="86" t="s">
        <v>2181</v>
      </c>
      <c r="AP1842" s="81" t="b">
        <v>0</v>
      </c>
      <c r="AQ1842" s="86" t="s">
        <v>7535</v>
      </c>
      <c r="AR1842" s="81" t="s">
        <v>179</v>
      </c>
      <c r="AS1842" s="81">
        <v>0</v>
      </c>
      <c r="AT1842" s="81">
        <v>0</v>
      </c>
      <c r="AU1842" s="81"/>
      <c r="AV1842" s="81"/>
      <c r="AW1842" s="81"/>
      <c r="AX1842" s="81"/>
      <c r="AY1842" s="81"/>
      <c r="AZ1842" s="81"/>
      <c r="BA1842" s="81"/>
      <c r="BB1842" s="81"/>
    </row>
    <row r="1843" spans="1:54" x14ac:dyDescent="0.35">
      <c r="A1843" s="66" t="s">
        <v>4942</v>
      </c>
      <c r="B1843" s="66" t="s">
        <v>4941</v>
      </c>
      <c r="C1843" s="67"/>
      <c r="D1843" s="68"/>
      <c r="E1843" s="69"/>
      <c r="F1843" s="70"/>
      <c r="G1843" s="67"/>
      <c r="H1843" s="71"/>
      <c r="I1843" s="72"/>
      <c r="J1843" s="72"/>
      <c r="K1843" s="36"/>
      <c r="L1843" s="79"/>
      <c r="M1843" s="79"/>
      <c r="N1843" s="74"/>
      <c r="O1843" s="81" t="s">
        <v>693</v>
      </c>
      <c r="P1843" s="83">
        <v>44467.739618055559</v>
      </c>
      <c r="Q1843" s="81" t="s">
        <v>5604</v>
      </c>
      <c r="R1843" s="81"/>
      <c r="S1843" s="81"/>
      <c r="T1843" s="86" t="s">
        <v>979</v>
      </c>
      <c r="U1843" s="84" t="str">
        <f>HYPERLINK("https://pbs.twimg.com/media/FAXNegPUYAAkjOP.jpg")</f>
        <v>https://pbs.twimg.com/media/FAXNegPUYAAkjOP.jpg</v>
      </c>
      <c r="V1843" s="84" t="str">
        <f>HYPERLINK("https://pbs.twimg.com/media/FAXNegPUYAAkjOP.jpg")</f>
        <v>https://pbs.twimg.com/media/FAXNegPUYAAkjOP.jpg</v>
      </c>
      <c r="W1843" s="83">
        <v>44467.739618055559</v>
      </c>
      <c r="X1843" s="89">
        <v>44467</v>
      </c>
      <c r="Y1843" s="86" t="s">
        <v>6616</v>
      </c>
      <c r="Z1843" s="84" t="str">
        <f>HYPERLINK("https://twitter.com/softyhyunjaee/status/1442908227113406465")</f>
        <v>https://twitter.com/softyhyunjaee/status/1442908227113406465</v>
      </c>
      <c r="AA1843" s="81"/>
      <c r="AB1843" s="81"/>
      <c r="AC1843" s="86" t="s">
        <v>7540</v>
      </c>
      <c r="AD1843" s="81"/>
      <c r="AE1843" s="81" t="b">
        <v>0</v>
      </c>
      <c r="AF1843" s="81">
        <v>0</v>
      </c>
      <c r="AG1843" s="86" t="s">
        <v>2084</v>
      </c>
      <c r="AH1843" s="81" t="b">
        <v>0</v>
      </c>
      <c r="AI1843" s="81" t="s">
        <v>2168</v>
      </c>
      <c r="AJ1843" s="81"/>
      <c r="AK1843" s="86" t="s">
        <v>2084</v>
      </c>
      <c r="AL1843" s="81" t="b">
        <v>0</v>
      </c>
      <c r="AM1843" s="81">
        <v>29</v>
      </c>
      <c r="AN1843" s="86" t="s">
        <v>7539</v>
      </c>
      <c r="AO1843" s="86" t="s">
        <v>2178</v>
      </c>
      <c r="AP1843" s="81" t="b">
        <v>0</v>
      </c>
      <c r="AQ1843" s="86" t="s">
        <v>7539</v>
      </c>
      <c r="AR1843" s="81" t="s">
        <v>179</v>
      </c>
      <c r="AS1843" s="81">
        <v>0</v>
      </c>
      <c r="AT1843" s="81">
        <v>0</v>
      </c>
      <c r="AU1843" s="81"/>
      <c r="AV1843" s="81"/>
      <c r="AW1843" s="81"/>
      <c r="AX1843" s="81"/>
      <c r="AY1843" s="81"/>
      <c r="AZ1843" s="81"/>
      <c r="BA1843" s="81"/>
      <c r="BB1843" s="81"/>
    </row>
    <row r="1844" spans="1:54" x14ac:dyDescent="0.35">
      <c r="A1844" s="66" t="s">
        <v>4947</v>
      </c>
      <c r="B1844" s="66" t="s">
        <v>5213</v>
      </c>
      <c r="C1844" s="67"/>
      <c r="D1844" s="68"/>
      <c r="E1844" s="69"/>
      <c r="F1844" s="70"/>
      <c r="G1844" s="67"/>
      <c r="H1844" s="71"/>
      <c r="I1844" s="72"/>
      <c r="J1844" s="72"/>
      <c r="K1844" s="36"/>
      <c r="L1844" s="79"/>
      <c r="M1844" s="79"/>
      <c r="N1844" s="74"/>
      <c r="O1844" s="81" t="s">
        <v>696</v>
      </c>
      <c r="P1844" s="83">
        <v>44467.794247685182</v>
      </c>
      <c r="Q1844" s="81" t="s">
        <v>5634</v>
      </c>
      <c r="R1844" s="81"/>
      <c r="S1844" s="81"/>
      <c r="T1844" s="81"/>
      <c r="U1844" s="81"/>
      <c r="V1844" s="84" t="str">
        <f>HYPERLINK("https://pbs.twimg.com/profile_images/1361013354429571072/_rmiAN6U_normal.jpg")</f>
        <v>https://pbs.twimg.com/profile_images/1361013354429571072/_rmiAN6U_normal.jpg</v>
      </c>
      <c r="W1844" s="83">
        <v>44467.794247685182</v>
      </c>
      <c r="X1844" s="89">
        <v>44467</v>
      </c>
      <c r="Y1844" s="86" t="s">
        <v>6623</v>
      </c>
      <c r="Z1844" s="84" t="str">
        <f>HYPERLINK("https://twitter.com/mlet_brasil/status/1442928021246144513")</f>
        <v>https://twitter.com/mlet_brasil/status/1442928021246144513</v>
      </c>
      <c r="AA1844" s="81"/>
      <c r="AB1844" s="81"/>
      <c r="AC1844" s="86" t="s">
        <v>7547</v>
      </c>
      <c r="AD1844" s="86" t="s">
        <v>7769</v>
      </c>
      <c r="AE1844" s="81" t="b">
        <v>0</v>
      </c>
      <c r="AF1844" s="81">
        <v>0</v>
      </c>
      <c r="AG1844" s="86" t="s">
        <v>7941</v>
      </c>
      <c r="AH1844" s="81" t="b">
        <v>0</v>
      </c>
      <c r="AI1844" s="81" t="s">
        <v>2171</v>
      </c>
      <c r="AJ1844" s="81"/>
      <c r="AK1844" s="86" t="s">
        <v>2084</v>
      </c>
      <c r="AL1844" s="81" t="b">
        <v>0</v>
      </c>
      <c r="AM1844" s="81">
        <v>0</v>
      </c>
      <c r="AN1844" s="86" t="s">
        <v>2084</v>
      </c>
      <c r="AO1844" s="86" t="s">
        <v>2178</v>
      </c>
      <c r="AP1844" s="81" t="b">
        <v>0</v>
      </c>
      <c r="AQ1844" s="86" t="s">
        <v>7769</v>
      </c>
      <c r="AR1844" s="81" t="s">
        <v>179</v>
      </c>
      <c r="AS1844" s="81">
        <v>0</v>
      </c>
      <c r="AT1844" s="81">
        <v>0</v>
      </c>
      <c r="AU1844" s="81"/>
      <c r="AV1844" s="81"/>
      <c r="AW1844" s="81"/>
      <c r="AX1844" s="81"/>
      <c r="AY1844" s="81"/>
      <c r="AZ1844" s="81"/>
      <c r="BA1844" s="81"/>
      <c r="BB1844" s="81"/>
    </row>
    <row r="1845" spans="1:54" x14ac:dyDescent="0.35">
      <c r="A1845" s="66" t="s">
        <v>4947</v>
      </c>
      <c r="B1845" s="66" t="s">
        <v>5214</v>
      </c>
      <c r="C1845" s="67"/>
      <c r="D1845" s="68"/>
      <c r="E1845" s="69"/>
      <c r="F1845" s="70"/>
      <c r="G1845" s="67"/>
      <c r="H1845" s="71"/>
      <c r="I1845" s="72"/>
      <c r="J1845" s="72"/>
      <c r="K1845" s="36"/>
      <c r="L1845" s="79"/>
      <c r="M1845" s="79"/>
      <c r="N1845" s="74"/>
      <c r="O1845" s="81" t="s">
        <v>696</v>
      </c>
      <c r="P1845" s="83">
        <v>44467.794247685182</v>
      </c>
      <c r="Q1845" s="81" t="s">
        <v>5634</v>
      </c>
      <c r="R1845" s="81"/>
      <c r="S1845" s="81"/>
      <c r="T1845" s="81"/>
      <c r="U1845" s="81"/>
      <c r="V1845" s="84" t="str">
        <f>HYPERLINK("https://pbs.twimg.com/profile_images/1361013354429571072/_rmiAN6U_normal.jpg")</f>
        <v>https://pbs.twimg.com/profile_images/1361013354429571072/_rmiAN6U_normal.jpg</v>
      </c>
      <c r="W1845" s="83">
        <v>44467.794247685182</v>
      </c>
      <c r="X1845" s="89">
        <v>44467</v>
      </c>
      <c r="Y1845" s="86" t="s">
        <v>6623</v>
      </c>
      <c r="Z1845" s="84" t="str">
        <f>HYPERLINK("https://twitter.com/mlet_brasil/status/1442928021246144513")</f>
        <v>https://twitter.com/mlet_brasil/status/1442928021246144513</v>
      </c>
      <c r="AA1845" s="81"/>
      <c r="AB1845" s="81"/>
      <c r="AC1845" s="86" t="s">
        <v>7547</v>
      </c>
      <c r="AD1845" s="86" t="s">
        <v>7769</v>
      </c>
      <c r="AE1845" s="81" t="b">
        <v>0</v>
      </c>
      <c r="AF1845" s="81">
        <v>0</v>
      </c>
      <c r="AG1845" s="86" t="s">
        <v>7941</v>
      </c>
      <c r="AH1845" s="81" t="b">
        <v>0</v>
      </c>
      <c r="AI1845" s="81" t="s">
        <v>2171</v>
      </c>
      <c r="AJ1845" s="81"/>
      <c r="AK1845" s="86" t="s">
        <v>2084</v>
      </c>
      <c r="AL1845" s="81" t="b">
        <v>0</v>
      </c>
      <c r="AM1845" s="81">
        <v>0</v>
      </c>
      <c r="AN1845" s="86" t="s">
        <v>2084</v>
      </c>
      <c r="AO1845" s="86" t="s">
        <v>2178</v>
      </c>
      <c r="AP1845" s="81" t="b">
        <v>0</v>
      </c>
      <c r="AQ1845" s="86" t="s">
        <v>7769</v>
      </c>
      <c r="AR1845" s="81" t="s">
        <v>179</v>
      </c>
      <c r="AS1845" s="81">
        <v>0</v>
      </c>
      <c r="AT1845" s="81">
        <v>0</v>
      </c>
      <c r="AU1845" s="81"/>
      <c r="AV1845" s="81"/>
      <c r="AW1845" s="81"/>
      <c r="AX1845" s="81"/>
      <c r="AY1845" s="81"/>
      <c r="AZ1845" s="81"/>
      <c r="BA1845" s="81"/>
      <c r="BB1845" s="81"/>
    </row>
    <row r="1846" spans="1:54" x14ac:dyDescent="0.35">
      <c r="A1846" s="66" t="s">
        <v>4947</v>
      </c>
      <c r="B1846" s="66" t="s">
        <v>5215</v>
      </c>
      <c r="C1846" s="67"/>
      <c r="D1846" s="68"/>
      <c r="E1846" s="69"/>
      <c r="F1846" s="70"/>
      <c r="G1846" s="67"/>
      <c r="H1846" s="71"/>
      <c r="I1846" s="72"/>
      <c r="J1846" s="72"/>
      <c r="K1846" s="36"/>
      <c r="L1846" s="79"/>
      <c r="M1846" s="79"/>
      <c r="N1846" s="74"/>
      <c r="O1846" s="81" t="s">
        <v>696</v>
      </c>
      <c r="P1846" s="83">
        <v>44467.794247685182</v>
      </c>
      <c r="Q1846" s="81" t="s">
        <v>5634</v>
      </c>
      <c r="R1846" s="81"/>
      <c r="S1846" s="81"/>
      <c r="T1846" s="81"/>
      <c r="U1846" s="81"/>
      <c r="V1846" s="84" t="str">
        <f>HYPERLINK("https://pbs.twimg.com/profile_images/1361013354429571072/_rmiAN6U_normal.jpg")</f>
        <v>https://pbs.twimg.com/profile_images/1361013354429571072/_rmiAN6U_normal.jpg</v>
      </c>
      <c r="W1846" s="83">
        <v>44467.794247685182</v>
      </c>
      <c r="X1846" s="89">
        <v>44467</v>
      </c>
      <c r="Y1846" s="86" t="s">
        <v>6623</v>
      </c>
      <c r="Z1846" s="84" t="str">
        <f>HYPERLINK("https://twitter.com/mlet_brasil/status/1442928021246144513")</f>
        <v>https://twitter.com/mlet_brasil/status/1442928021246144513</v>
      </c>
      <c r="AA1846" s="81"/>
      <c r="AB1846" s="81"/>
      <c r="AC1846" s="86" t="s">
        <v>7547</v>
      </c>
      <c r="AD1846" s="86" t="s">
        <v>7769</v>
      </c>
      <c r="AE1846" s="81" t="b">
        <v>0</v>
      </c>
      <c r="AF1846" s="81">
        <v>0</v>
      </c>
      <c r="AG1846" s="86" t="s">
        <v>7941</v>
      </c>
      <c r="AH1846" s="81" t="b">
        <v>0</v>
      </c>
      <c r="AI1846" s="81" t="s">
        <v>2171</v>
      </c>
      <c r="AJ1846" s="81"/>
      <c r="AK1846" s="86" t="s">
        <v>2084</v>
      </c>
      <c r="AL1846" s="81" t="b">
        <v>0</v>
      </c>
      <c r="AM1846" s="81">
        <v>0</v>
      </c>
      <c r="AN1846" s="86" t="s">
        <v>2084</v>
      </c>
      <c r="AO1846" s="86" t="s">
        <v>2178</v>
      </c>
      <c r="AP1846" s="81" t="b">
        <v>0</v>
      </c>
      <c r="AQ1846" s="86" t="s">
        <v>7769</v>
      </c>
      <c r="AR1846" s="81" t="s">
        <v>179</v>
      </c>
      <c r="AS1846" s="81">
        <v>0</v>
      </c>
      <c r="AT1846" s="81">
        <v>0</v>
      </c>
      <c r="AU1846" s="81"/>
      <c r="AV1846" s="81"/>
      <c r="AW1846" s="81"/>
      <c r="AX1846" s="81"/>
      <c r="AY1846" s="81"/>
      <c r="AZ1846" s="81"/>
      <c r="BA1846" s="81"/>
      <c r="BB1846" s="81"/>
    </row>
    <row r="1847" spans="1:54" x14ac:dyDescent="0.35">
      <c r="A1847" s="66" t="s">
        <v>4947</v>
      </c>
      <c r="B1847" s="66" t="s">
        <v>5216</v>
      </c>
      <c r="C1847" s="67"/>
      <c r="D1847" s="68"/>
      <c r="E1847" s="69"/>
      <c r="F1847" s="70"/>
      <c r="G1847" s="67"/>
      <c r="H1847" s="71"/>
      <c r="I1847" s="72"/>
      <c r="J1847" s="72"/>
      <c r="K1847" s="36"/>
      <c r="L1847" s="79"/>
      <c r="M1847" s="79"/>
      <c r="N1847" s="74"/>
      <c r="O1847" s="81" t="s">
        <v>696</v>
      </c>
      <c r="P1847" s="83">
        <v>44467.794247685182</v>
      </c>
      <c r="Q1847" s="81" t="s">
        <v>5634</v>
      </c>
      <c r="R1847" s="81"/>
      <c r="S1847" s="81"/>
      <c r="T1847" s="81"/>
      <c r="U1847" s="81"/>
      <c r="V1847" s="84" t="str">
        <f>HYPERLINK("https://pbs.twimg.com/profile_images/1361013354429571072/_rmiAN6U_normal.jpg")</f>
        <v>https://pbs.twimg.com/profile_images/1361013354429571072/_rmiAN6U_normal.jpg</v>
      </c>
      <c r="W1847" s="83">
        <v>44467.794247685182</v>
      </c>
      <c r="X1847" s="89">
        <v>44467</v>
      </c>
      <c r="Y1847" s="86" t="s">
        <v>6623</v>
      </c>
      <c r="Z1847" s="84" t="str">
        <f>HYPERLINK("https://twitter.com/mlet_brasil/status/1442928021246144513")</f>
        <v>https://twitter.com/mlet_brasil/status/1442928021246144513</v>
      </c>
      <c r="AA1847" s="81"/>
      <c r="AB1847" s="81"/>
      <c r="AC1847" s="86" t="s">
        <v>7547</v>
      </c>
      <c r="AD1847" s="86" t="s">
        <v>7769</v>
      </c>
      <c r="AE1847" s="81" t="b">
        <v>0</v>
      </c>
      <c r="AF1847" s="81">
        <v>0</v>
      </c>
      <c r="AG1847" s="86" t="s">
        <v>7941</v>
      </c>
      <c r="AH1847" s="81" t="b">
        <v>0</v>
      </c>
      <c r="AI1847" s="81" t="s">
        <v>2171</v>
      </c>
      <c r="AJ1847" s="81"/>
      <c r="AK1847" s="86" t="s">
        <v>2084</v>
      </c>
      <c r="AL1847" s="81" t="b">
        <v>0</v>
      </c>
      <c r="AM1847" s="81">
        <v>0</v>
      </c>
      <c r="AN1847" s="86" t="s">
        <v>2084</v>
      </c>
      <c r="AO1847" s="86" t="s">
        <v>2178</v>
      </c>
      <c r="AP1847" s="81" t="b">
        <v>0</v>
      </c>
      <c r="AQ1847" s="86" t="s">
        <v>7769</v>
      </c>
      <c r="AR1847" s="81" t="s">
        <v>179</v>
      </c>
      <c r="AS1847" s="81">
        <v>0</v>
      </c>
      <c r="AT1847" s="81">
        <v>0</v>
      </c>
      <c r="AU1847" s="81"/>
      <c r="AV1847" s="81"/>
      <c r="AW1847" s="81"/>
      <c r="AX1847" s="81"/>
      <c r="AY1847" s="81"/>
      <c r="AZ1847" s="81"/>
      <c r="BA1847" s="81"/>
      <c r="BB1847" s="81"/>
    </row>
    <row r="1848" spans="1:54" x14ac:dyDescent="0.35">
      <c r="A1848" s="66" t="s">
        <v>4947</v>
      </c>
      <c r="B1848" s="66" t="s">
        <v>5217</v>
      </c>
      <c r="C1848" s="67"/>
      <c r="D1848" s="68"/>
      <c r="E1848" s="69"/>
      <c r="F1848" s="70"/>
      <c r="G1848" s="67"/>
      <c r="H1848" s="71"/>
      <c r="I1848" s="72"/>
      <c r="J1848" s="72"/>
      <c r="K1848" s="36"/>
      <c r="L1848" s="79"/>
      <c r="M1848" s="79"/>
      <c r="N1848" s="74"/>
      <c r="O1848" s="81" t="s">
        <v>696</v>
      </c>
      <c r="P1848" s="83">
        <v>44467.794247685182</v>
      </c>
      <c r="Q1848" s="81" t="s">
        <v>5634</v>
      </c>
      <c r="R1848" s="81"/>
      <c r="S1848" s="81"/>
      <c r="T1848" s="81"/>
      <c r="U1848" s="81"/>
      <c r="V1848" s="84" t="str">
        <f>HYPERLINK("https://pbs.twimg.com/profile_images/1361013354429571072/_rmiAN6U_normal.jpg")</f>
        <v>https://pbs.twimg.com/profile_images/1361013354429571072/_rmiAN6U_normal.jpg</v>
      </c>
      <c r="W1848" s="83">
        <v>44467.794247685182</v>
      </c>
      <c r="X1848" s="89">
        <v>44467</v>
      </c>
      <c r="Y1848" s="86" t="s">
        <v>6623</v>
      </c>
      <c r="Z1848" s="84" t="str">
        <f>HYPERLINK("https://twitter.com/mlet_brasil/status/1442928021246144513")</f>
        <v>https://twitter.com/mlet_brasil/status/1442928021246144513</v>
      </c>
      <c r="AA1848" s="81"/>
      <c r="AB1848" s="81"/>
      <c r="AC1848" s="86" t="s">
        <v>7547</v>
      </c>
      <c r="AD1848" s="86" t="s">
        <v>7769</v>
      </c>
      <c r="AE1848" s="81" t="b">
        <v>0</v>
      </c>
      <c r="AF1848" s="81">
        <v>0</v>
      </c>
      <c r="AG1848" s="86" t="s">
        <v>7941</v>
      </c>
      <c r="AH1848" s="81" t="b">
        <v>0</v>
      </c>
      <c r="AI1848" s="81" t="s">
        <v>2171</v>
      </c>
      <c r="AJ1848" s="81"/>
      <c r="AK1848" s="86" t="s">
        <v>2084</v>
      </c>
      <c r="AL1848" s="81" t="b">
        <v>0</v>
      </c>
      <c r="AM1848" s="81">
        <v>0</v>
      </c>
      <c r="AN1848" s="86" t="s">
        <v>2084</v>
      </c>
      <c r="AO1848" s="86" t="s">
        <v>2178</v>
      </c>
      <c r="AP1848" s="81" t="b">
        <v>0</v>
      </c>
      <c r="AQ1848" s="86" t="s">
        <v>7769</v>
      </c>
      <c r="AR1848" s="81" t="s">
        <v>179</v>
      </c>
      <c r="AS1848" s="81">
        <v>0</v>
      </c>
      <c r="AT1848" s="81">
        <v>0</v>
      </c>
      <c r="AU1848" s="81"/>
      <c r="AV1848" s="81"/>
      <c r="AW1848" s="81"/>
      <c r="AX1848" s="81"/>
      <c r="AY1848" s="81"/>
      <c r="AZ1848" s="81"/>
      <c r="BA1848" s="81"/>
      <c r="BB1848" s="81"/>
    </row>
    <row r="1849" spans="1:54" x14ac:dyDescent="0.35">
      <c r="A1849" s="66" t="s">
        <v>4947</v>
      </c>
      <c r="B1849" s="66" t="s">
        <v>5218</v>
      </c>
      <c r="C1849" s="67"/>
      <c r="D1849" s="68"/>
      <c r="E1849" s="69"/>
      <c r="F1849" s="70"/>
      <c r="G1849" s="67"/>
      <c r="H1849" s="71"/>
      <c r="I1849" s="72"/>
      <c r="J1849" s="72"/>
      <c r="K1849" s="36"/>
      <c r="L1849" s="79"/>
      <c r="M1849" s="79"/>
      <c r="N1849" s="74"/>
      <c r="O1849" s="81" t="s">
        <v>695</v>
      </c>
      <c r="P1849" s="83">
        <v>44467.794247685182</v>
      </c>
      <c r="Q1849" s="81" t="s">
        <v>5634</v>
      </c>
      <c r="R1849" s="81"/>
      <c r="S1849" s="81"/>
      <c r="T1849" s="81"/>
      <c r="U1849" s="81"/>
      <c r="V1849" s="84" t="str">
        <f>HYPERLINK("https://pbs.twimg.com/profile_images/1361013354429571072/_rmiAN6U_normal.jpg")</f>
        <v>https://pbs.twimg.com/profile_images/1361013354429571072/_rmiAN6U_normal.jpg</v>
      </c>
      <c r="W1849" s="83">
        <v>44467.794247685182</v>
      </c>
      <c r="X1849" s="89">
        <v>44467</v>
      </c>
      <c r="Y1849" s="86" t="s">
        <v>6623</v>
      </c>
      <c r="Z1849" s="84" t="str">
        <f>HYPERLINK("https://twitter.com/mlet_brasil/status/1442928021246144513")</f>
        <v>https://twitter.com/mlet_brasil/status/1442928021246144513</v>
      </c>
      <c r="AA1849" s="81"/>
      <c r="AB1849" s="81"/>
      <c r="AC1849" s="86" t="s">
        <v>7547</v>
      </c>
      <c r="AD1849" s="86" t="s">
        <v>7769</v>
      </c>
      <c r="AE1849" s="81" t="b">
        <v>0</v>
      </c>
      <c r="AF1849" s="81">
        <v>0</v>
      </c>
      <c r="AG1849" s="86" t="s">
        <v>7941</v>
      </c>
      <c r="AH1849" s="81" t="b">
        <v>0</v>
      </c>
      <c r="AI1849" s="81" t="s">
        <v>2171</v>
      </c>
      <c r="AJ1849" s="81"/>
      <c r="AK1849" s="86" t="s">
        <v>2084</v>
      </c>
      <c r="AL1849" s="81" t="b">
        <v>0</v>
      </c>
      <c r="AM1849" s="81">
        <v>0</v>
      </c>
      <c r="AN1849" s="86" t="s">
        <v>2084</v>
      </c>
      <c r="AO1849" s="86" t="s">
        <v>2178</v>
      </c>
      <c r="AP1849" s="81" t="b">
        <v>0</v>
      </c>
      <c r="AQ1849" s="86" t="s">
        <v>7769</v>
      </c>
      <c r="AR1849" s="81" t="s">
        <v>179</v>
      </c>
      <c r="AS1849" s="81">
        <v>0</v>
      </c>
      <c r="AT1849" s="81">
        <v>0</v>
      </c>
      <c r="AU1849" s="81"/>
      <c r="AV1849" s="81"/>
      <c r="AW1849" s="81"/>
      <c r="AX1849" s="81"/>
      <c r="AY1849" s="81"/>
      <c r="AZ1849" s="81"/>
      <c r="BA1849" s="81"/>
      <c r="BB1849" s="81"/>
    </row>
    <row r="1850" spans="1:54" x14ac:dyDescent="0.35">
      <c r="A1850" s="66" t="s">
        <v>4947</v>
      </c>
      <c r="B1850" s="66" t="s">
        <v>4944</v>
      </c>
      <c r="C1850" s="67"/>
      <c r="D1850" s="68"/>
      <c r="E1850" s="69"/>
      <c r="F1850" s="70"/>
      <c r="G1850" s="67"/>
      <c r="H1850" s="71"/>
      <c r="I1850" s="72"/>
      <c r="J1850" s="72"/>
      <c r="K1850" s="36"/>
      <c r="L1850" s="79"/>
      <c r="M1850" s="79"/>
      <c r="N1850" s="74"/>
      <c r="O1850" s="81" t="s">
        <v>693</v>
      </c>
      <c r="P1850" s="83">
        <v>44466.062337962961</v>
      </c>
      <c r="Q1850" s="81" t="s">
        <v>5505</v>
      </c>
      <c r="R1850" s="81"/>
      <c r="S1850" s="81"/>
      <c r="T1850" s="81"/>
      <c r="U1850" s="81"/>
      <c r="V1850" s="84" t="str">
        <f>HYPERLINK("https://pbs.twimg.com/profile_images/1361013354429571072/_rmiAN6U_normal.jpg")</f>
        <v>https://pbs.twimg.com/profile_images/1361013354429571072/_rmiAN6U_normal.jpg</v>
      </c>
      <c r="W1850" s="83">
        <v>44466.062337962961</v>
      </c>
      <c r="X1850" s="89">
        <v>44466</v>
      </c>
      <c r="Y1850" s="86" t="s">
        <v>6622</v>
      </c>
      <c r="Z1850" s="84" t="str">
        <f>HYPERLINK("https://twitter.com/mlet_brasil/status/1442300399059292165")</f>
        <v>https://twitter.com/mlet_brasil/status/1442300399059292165</v>
      </c>
      <c r="AA1850" s="81"/>
      <c r="AB1850" s="81"/>
      <c r="AC1850" s="86" t="s">
        <v>7546</v>
      </c>
      <c r="AD1850" s="81"/>
      <c r="AE1850" s="81" t="b">
        <v>0</v>
      </c>
      <c r="AF1850" s="81">
        <v>0</v>
      </c>
      <c r="AG1850" s="86" t="s">
        <v>2084</v>
      </c>
      <c r="AH1850" s="81" t="b">
        <v>0</v>
      </c>
      <c r="AI1850" s="81" t="s">
        <v>2171</v>
      </c>
      <c r="AJ1850" s="81"/>
      <c r="AK1850" s="86" t="s">
        <v>2084</v>
      </c>
      <c r="AL1850" s="81" t="b">
        <v>0</v>
      </c>
      <c r="AM1850" s="81">
        <v>255</v>
      </c>
      <c r="AN1850" s="86" t="s">
        <v>7543</v>
      </c>
      <c r="AO1850" s="86" t="s">
        <v>2178</v>
      </c>
      <c r="AP1850" s="81" t="b">
        <v>0</v>
      </c>
      <c r="AQ1850" s="86" t="s">
        <v>7543</v>
      </c>
      <c r="AR1850" s="81" t="s">
        <v>179</v>
      </c>
      <c r="AS1850" s="81">
        <v>0</v>
      </c>
      <c r="AT1850" s="81">
        <v>0</v>
      </c>
      <c r="AU1850" s="81"/>
      <c r="AV1850" s="81"/>
      <c r="AW1850" s="81"/>
      <c r="AX1850" s="81"/>
      <c r="AY1850" s="81"/>
      <c r="AZ1850" s="81"/>
      <c r="BA1850" s="81"/>
      <c r="BB1850" s="81"/>
    </row>
    <row r="1851" spans="1:54" x14ac:dyDescent="0.35">
      <c r="A1851" s="66" t="s">
        <v>4947</v>
      </c>
      <c r="B1851" s="66" t="s">
        <v>5117</v>
      </c>
      <c r="C1851" s="67"/>
      <c r="D1851" s="68"/>
      <c r="E1851" s="69"/>
      <c r="F1851" s="70"/>
      <c r="G1851" s="67"/>
      <c r="H1851" s="71"/>
      <c r="I1851" s="72"/>
      <c r="J1851" s="72"/>
      <c r="K1851" s="36"/>
      <c r="L1851" s="79"/>
      <c r="M1851" s="79"/>
      <c r="N1851" s="74"/>
      <c r="O1851" s="81" t="s">
        <v>696</v>
      </c>
      <c r="P1851" s="83">
        <v>44467.794247685182</v>
      </c>
      <c r="Q1851" s="81" t="s">
        <v>5634</v>
      </c>
      <c r="R1851" s="81"/>
      <c r="S1851" s="81"/>
      <c r="T1851" s="81"/>
      <c r="U1851" s="81"/>
      <c r="V1851" s="84" t="str">
        <f>HYPERLINK("https://pbs.twimg.com/profile_images/1361013354429571072/_rmiAN6U_normal.jpg")</f>
        <v>https://pbs.twimg.com/profile_images/1361013354429571072/_rmiAN6U_normal.jpg</v>
      </c>
      <c r="W1851" s="83">
        <v>44467.794247685182</v>
      </c>
      <c r="X1851" s="89">
        <v>44467</v>
      </c>
      <c r="Y1851" s="86" t="s">
        <v>6623</v>
      </c>
      <c r="Z1851" s="84" t="str">
        <f>HYPERLINK("https://twitter.com/mlet_brasil/status/1442928021246144513")</f>
        <v>https://twitter.com/mlet_brasil/status/1442928021246144513</v>
      </c>
      <c r="AA1851" s="81"/>
      <c r="AB1851" s="81"/>
      <c r="AC1851" s="86" t="s">
        <v>7547</v>
      </c>
      <c r="AD1851" s="86" t="s">
        <v>7769</v>
      </c>
      <c r="AE1851" s="81" t="b">
        <v>0</v>
      </c>
      <c r="AF1851" s="81">
        <v>0</v>
      </c>
      <c r="AG1851" s="86" t="s">
        <v>7941</v>
      </c>
      <c r="AH1851" s="81" t="b">
        <v>0</v>
      </c>
      <c r="AI1851" s="81" t="s">
        <v>2171</v>
      </c>
      <c r="AJ1851" s="81"/>
      <c r="AK1851" s="86" t="s">
        <v>2084</v>
      </c>
      <c r="AL1851" s="81" t="b">
        <v>0</v>
      </c>
      <c r="AM1851" s="81">
        <v>0</v>
      </c>
      <c r="AN1851" s="86" t="s">
        <v>2084</v>
      </c>
      <c r="AO1851" s="86" t="s">
        <v>2178</v>
      </c>
      <c r="AP1851" s="81" t="b">
        <v>0</v>
      </c>
      <c r="AQ1851" s="86" t="s">
        <v>7769</v>
      </c>
      <c r="AR1851" s="81" t="s">
        <v>179</v>
      </c>
      <c r="AS1851" s="81">
        <v>0</v>
      </c>
      <c r="AT1851" s="81">
        <v>0</v>
      </c>
      <c r="AU1851" s="81"/>
      <c r="AV1851" s="81"/>
      <c r="AW1851" s="81"/>
      <c r="AX1851" s="81"/>
      <c r="AY1851" s="81"/>
      <c r="AZ1851" s="81"/>
      <c r="BA1851" s="81"/>
      <c r="BB1851" s="81"/>
    </row>
    <row r="1852" spans="1:54" x14ac:dyDescent="0.35">
      <c r="A1852" s="66" t="s">
        <v>4948</v>
      </c>
      <c r="B1852" s="66" t="s">
        <v>4948</v>
      </c>
      <c r="C1852" s="67"/>
      <c r="D1852" s="68"/>
      <c r="E1852" s="69"/>
      <c r="F1852" s="70"/>
      <c r="G1852" s="67"/>
      <c r="H1852" s="71"/>
      <c r="I1852" s="72"/>
      <c r="J1852" s="72"/>
      <c r="K1852" s="36"/>
      <c r="L1852" s="79"/>
      <c r="M1852" s="79"/>
      <c r="N1852" s="74"/>
      <c r="O1852" s="81" t="s">
        <v>179</v>
      </c>
      <c r="P1852" s="83">
        <v>44467.836585648147</v>
      </c>
      <c r="Q1852" s="81" t="s">
        <v>5635</v>
      </c>
      <c r="R1852" s="81"/>
      <c r="S1852" s="81"/>
      <c r="T1852" s="81"/>
      <c r="U1852" s="81"/>
      <c r="V1852" s="84" t="str">
        <f>HYPERLINK("https://pbs.twimg.com/profile_images/1443226033088462848/S9Nssg5L_normal.jpg")</f>
        <v>https://pbs.twimg.com/profile_images/1443226033088462848/S9Nssg5L_normal.jpg</v>
      </c>
      <c r="W1852" s="83">
        <v>44467.836585648147</v>
      </c>
      <c r="X1852" s="89">
        <v>44467</v>
      </c>
      <c r="Y1852" s="86" t="s">
        <v>6624</v>
      </c>
      <c r="Z1852" s="84" t="str">
        <f>HYPERLINK("https://twitter.com/pijahheyyoo/status/1442943365251682306")</f>
        <v>https://twitter.com/pijahheyyoo/status/1442943365251682306</v>
      </c>
      <c r="AA1852" s="81"/>
      <c r="AB1852" s="81"/>
      <c r="AC1852" s="86" t="s">
        <v>7548</v>
      </c>
      <c r="AD1852" s="81"/>
      <c r="AE1852" s="81" t="b">
        <v>0</v>
      </c>
      <c r="AF1852" s="81">
        <v>0</v>
      </c>
      <c r="AG1852" s="86" t="s">
        <v>2084</v>
      </c>
      <c r="AH1852" s="81" t="b">
        <v>0</v>
      </c>
      <c r="AI1852" s="81" t="s">
        <v>2167</v>
      </c>
      <c r="AJ1852" s="81"/>
      <c r="AK1852" s="86" t="s">
        <v>2084</v>
      </c>
      <c r="AL1852" s="81" t="b">
        <v>0</v>
      </c>
      <c r="AM1852" s="81">
        <v>0</v>
      </c>
      <c r="AN1852" s="86" t="s">
        <v>2084</v>
      </c>
      <c r="AO1852" s="86" t="s">
        <v>2179</v>
      </c>
      <c r="AP1852" s="81" t="b">
        <v>0</v>
      </c>
      <c r="AQ1852" s="86" t="s">
        <v>7548</v>
      </c>
      <c r="AR1852" s="81" t="s">
        <v>179</v>
      </c>
      <c r="AS1852" s="81">
        <v>0</v>
      </c>
      <c r="AT1852" s="81">
        <v>0</v>
      </c>
      <c r="AU1852" s="81"/>
      <c r="AV1852" s="81"/>
      <c r="AW1852" s="81"/>
      <c r="AX1852" s="81"/>
      <c r="AY1852" s="81"/>
      <c r="AZ1852" s="81"/>
      <c r="BA1852" s="81"/>
      <c r="BB1852" s="81"/>
    </row>
    <row r="1853" spans="1:54" x14ac:dyDescent="0.35">
      <c r="A1853" s="66" t="s">
        <v>4949</v>
      </c>
      <c r="B1853" s="66" t="s">
        <v>5219</v>
      </c>
      <c r="C1853" s="67"/>
      <c r="D1853" s="68"/>
      <c r="E1853" s="69"/>
      <c r="F1853" s="70"/>
      <c r="G1853" s="67"/>
      <c r="H1853" s="71"/>
      <c r="I1853" s="72"/>
      <c r="J1853" s="72"/>
      <c r="K1853" s="36"/>
      <c r="L1853" s="79"/>
      <c r="M1853" s="79"/>
      <c r="N1853" s="74"/>
      <c r="O1853" s="81" t="s">
        <v>696</v>
      </c>
      <c r="P1853" s="83">
        <v>44467.869756944441</v>
      </c>
      <c r="Q1853" s="81" t="s">
        <v>5636</v>
      </c>
      <c r="R1853" s="81"/>
      <c r="S1853" s="81"/>
      <c r="T1853" s="81"/>
      <c r="U1853" s="81"/>
      <c r="V1853" s="84" t="str">
        <f>HYPERLINK("https://pbs.twimg.com/profile_images/1192046893892800512/BmhcovJG_normal.jpg")</f>
        <v>https://pbs.twimg.com/profile_images/1192046893892800512/BmhcovJG_normal.jpg</v>
      </c>
      <c r="W1853" s="83">
        <v>44467.869756944441</v>
      </c>
      <c r="X1853" s="89">
        <v>44467</v>
      </c>
      <c r="Y1853" s="86" t="s">
        <v>6625</v>
      </c>
      <c r="Z1853" s="84" t="str">
        <f>HYPERLINK("https://twitter.com/amessiasleal/status/1442955387628445698")</f>
        <v>https://twitter.com/amessiasleal/status/1442955387628445698</v>
      </c>
      <c r="AA1853" s="81"/>
      <c r="AB1853" s="81"/>
      <c r="AC1853" s="86" t="s">
        <v>7549</v>
      </c>
      <c r="AD1853" s="86" t="s">
        <v>7770</v>
      </c>
      <c r="AE1853" s="81" t="b">
        <v>0</v>
      </c>
      <c r="AF1853" s="81">
        <v>0</v>
      </c>
      <c r="AG1853" s="86" t="s">
        <v>7942</v>
      </c>
      <c r="AH1853" s="81" t="b">
        <v>0</v>
      </c>
      <c r="AI1853" s="81" t="s">
        <v>2171</v>
      </c>
      <c r="AJ1853" s="81"/>
      <c r="AK1853" s="86" t="s">
        <v>2084</v>
      </c>
      <c r="AL1853" s="81" t="b">
        <v>0</v>
      </c>
      <c r="AM1853" s="81">
        <v>0</v>
      </c>
      <c r="AN1853" s="86" t="s">
        <v>2084</v>
      </c>
      <c r="AO1853" s="86" t="s">
        <v>2179</v>
      </c>
      <c r="AP1853" s="81" t="b">
        <v>0</v>
      </c>
      <c r="AQ1853" s="86" t="s">
        <v>7770</v>
      </c>
      <c r="AR1853" s="81" t="s">
        <v>179</v>
      </c>
      <c r="AS1853" s="81">
        <v>0</v>
      </c>
      <c r="AT1853" s="81">
        <v>0</v>
      </c>
      <c r="AU1853" s="81"/>
      <c r="AV1853" s="81"/>
      <c r="AW1853" s="81"/>
      <c r="AX1853" s="81"/>
      <c r="AY1853" s="81"/>
      <c r="AZ1853" s="81"/>
      <c r="BA1853" s="81"/>
      <c r="BB1853" s="81"/>
    </row>
    <row r="1854" spans="1:54" x14ac:dyDescent="0.35">
      <c r="A1854" s="66" t="s">
        <v>4949</v>
      </c>
      <c r="B1854" s="66" t="s">
        <v>5220</v>
      </c>
      <c r="C1854" s="67"/>
      <c r="D1854" s="68"/>
      <c r="E1854" s="69"/>
      <c r="F1854" s="70"/>
      <c r="G1854" s="67"/>
      <c r="H1854" s="71"/>
      <c r="I1854" s="72"/>
      <c r="J1854" s="72"/>
      <c r="K1854" s="36"/>
      <c r="L1854" s="79"/>
      <c r="M1854" s="79"/>
      <c r="N1854" s="74"/>
      <c r="O1854" s="81" t="s">
        <v>696</v>
      </c>
      <c r="P1854" s="83">
        <v>44467.869756944441</v>
      </c>
      <c r="Q1854" s="81" t="s">
        <v>5636</v>
      </c>
      <c r="R1854" s="81"/>
      <c r="S1854" s="81"/>
      <c r="T1854" s="81"/>
      <c r="U1854" s="81"/>
      <c r="V1854" s="84" t="str">
        <f>HYPERLINK("https://pbs.twimg.com/profile_images/1192046893892800512/BmhcovJG_normal.jpg")</f>
        <v>https://pbs.twimg.com/profile_images/1192046893892800512/BmhcovJG_normal.jpg</v>
      </c>
      <c r="W1854" s="83">
        <v>44467.869756944441</v>
      </c>
      <c r="X1854" s="89">
        <v>44467</v>
      </c>
      <c r="Y1854" s="86" t="s">
        <v>6625</v>
      </c>
      <c r="Z1854" s="84" t="str">
        <f>HYPERLINK("https://twitter.com/amessiasleal/status/1442955387628445698")</f>
        <v>https://twitter.com/amessiasleal/status/1442955387628445698</v>
      </c>
      <c r="AA1854" s="81"/>
      <c r="AB1854" s="81"/>
      <c r="AC1854" s="86" t="s">
        <v>7549</v>
      </c>
      <c r="AD1854" s="86" t="s">
        <v>7770</v>
      </c>
      <c r="AE1854" s="81" t="b">
        <v>0</v>
      </c>
      <c r="AF1854" s="81">
        <v>0</v>
      </c>
      <c r="AG1854" s="86" t="s">
        <v>7942</v>
      </c>
      <c r="AH1854" s="81" t="b">
        <v>0</v>
      </c>
      <c r="AI1854" s="81" t="s">
        <v>2171</v>
      </c>
      <c r="AJ1854" s="81"/>
      <c r="AK1854" s="86" t="s">
        <v>2084</v>
      </c>
      <c r="AL1854" s="81" t="b">
        <v>0</v>
      </c>
      <c r="AM1854" s="81">
        <v>0</v>
      </c>
      <c r="AN1854" s="86" t="s">
        <v>2084</v>
      </c>
      <c r="AO1854" s="86" t="s">
        <v>2179</v>
      </c>
      <c r="AP1854" s="81" t="b">
        <v>0</v>
      </c>
      <c r="AQ1854" s="86" t="s">
        <v>7770</v>
      </c>
      <c r="AR1854" s="81" t="s">
        <v>179</v>
      </c>
      <c r="AS1854" s="81">
        <v>0</v>
      </c>
      <c r="AT1854" s="81">
        <v>0</v>
      </c>
      <c r="AU1854" s="81"/>
      <c r="AV1854" s="81"/>
      <c r="AW1854" s="81"/>
      <c r="AX1854" s="81"/>
      <c r="AY1854" s="81"/>
      <c r="AZ1854" s="81"/>
      <c r="BA1854" s="81"/>
      <c r="BB1854" s="81"/>
    </row>
    <row r="1855" spans="1:54" x14ac:dyDescent="0.35">
      <c r="A1855" s="66" t="s">
        <v>4945</v>
      </c>
      <c r="B1855" s="66" t="s">
        <v>4944</v>
      </c>
      <c r="C1855" s="67"/>
      <c r="D1855" s="68"/>
      <c r="E1855" s="69"/>
      <c r="F1855" s="70"/>
      <c r="G1855" s="67"/>
      <c r="H1855" s="71"/>
      <c r="I1855" s="72"/>
      <c r="J1855" s="72"/>
      <c r="K1855" s="36"/>
      <c r="L1855" s="79"/>
      <c r="M1855" s="79"/>
      <c r="N1855" s="74"/>
      <c r="O1855" s="81" t="s">
        <v>693</v>
      </c>
      <c r="P1855" s="83">
        <v>44465.903900462959</v>
      </c>
      <c r="Q1855" s="81" t="s">
        <v>5505</v>
      </c>
      <c r="R1855" s="81"/>
      <c r="S1855" s="81"/>
      <c r="T1855" s="81"/>
      <c r="U1855" s="81"/>
      <c r="V1855" s="84" t="str">
        <f>HYPERLINK("https://pbs.twimg.com/profile_images/1398704405617258496/VJWENCbp_normal.jpg")</f>
        <v>https://pbs.twimg.com/profile_images/1398704405617258496/VJWENCbp_normal.jpg</v>
      </c>
      <c r="W1855" s="83">
        <v>44465.903900462959</v>
      </c>
      <c r="X1855" s="89">
        <v>44465</v>
      </c>
      <c r="Y1855" s="86" t="s">
        <v>6620</v>
      </c>
      <c r="Z1855" s="84" t="str">
        <f>HYPERLINK("https://twitter.com/profsosa13/status/1442242982535516160")</f>
        <v>https://twitter.com/profsosa13/status/1442242982535516160</v>
      </c>
      <c r="AA1855" s="81"/>
      <c r="AB1855" s="81"/>
      <c r="AC1855" s="86" t="s">
        <v>7544</v>
      </c>
      <c r="AD1855" s="81"/>
      <c r="AE1855" s="81" t="b">
        <v>0</v>
      </c>
      <c r="AF1855" s="81">
        <v>0</v>
      </c>
      <c r="AG1855" s="86" t="s">
        <v>2084</v>
      </c>
      <c r="AH1855" s="81" t="b">
        <v>0</v>
      </c>
      <c r="AI1855" s="81" t="s">
        <v>2171</v>
      </c>
      <c r="AJ1855" s="81"/>
      <c r="AK1855" s="86" t="s">
        <v>2084</v>
      </c>
      <c r="AL1855" s="81" t="b">
        <v>0</v>
      </c>
      <c r="AM1855" s="81">
        <v>255</v>
      </c>
      <c r="AN1855" s="86" t="s">
        <v>7543</v>
      </c>
      <c r="AO1855" s="86" t="s">
        <v>2181</v>
      </c>
      <c r="AP1855" s="81" t="b">
        <v>0</v>
      </c>
      <c r="AQ1855" s="86" t="s">
        <v>7543</v>
      </c>
      <c r="AR1855" s="81" t="s">
        <v>179</v>
      </c>
      <c r="AS1855" s="81">
        <v>0</v>
      </c>
      <c r="AT1855" s="81">
        <v>0</v>
      </c>
      <c r="AU1855" s="81"/>
      <c r="AV1855" s="81"/>
      <c r="AW1855" s="81"/>
      <c r="AX1855" s="81"/>
      <c r="AY1855" s="81"/>
      <c r="AZ1855" s="81"/>
      <c r="BA1855" s="81"/>
      <c r="BB1855" s="81"/>
    </row>
    <row r="1856" spans="1:54" x14ac:dyDescent="0.35">
      <c r="A1856" s="66" t="s">
        <v>4949</v>
      </c>
      <c r="B1856" s="66" t="s">
        <v>4945</v>
      </c>
      <c r="C1856" s="67"/>
      <c r="D1856" s="68"/>
      <c r="E1856" s="69"/>
      <c r="F1856" s="70"/>
      <c r="G1856" s="67"/>
      <c r="H1856" s="71"/>
      <c r="I1856" s="72"/>
      <c r="J1856" s="72"/>
      <c r="K1856" s="36"/>
      <c r="L1856" s="79"/>
      <c r="M1856" s="79"/>
      <c r="N1856" s="74"/>
      <c r="O1856" s="81" t="s">
        <v>696</v>
      </c>
      <c r="P1856" s="83">
        <v>44467.869756944441</v>
      </c>
      <c r="Q1856" s="81" t="s">
        <v>5636</v>
      </c>
      <c r="R1856" s="81"/>
      <c r="S1856" s="81"/>
      <c r="T1856" s="81"/>
      <c r="U1856" s="81"/>
      <c r="V1856" s="84" t="str">
        <f>HYPERLINK("https://pbs.twimg.com/profile_images/1192046893892800512/BmhcovJG_normal.jpg")</f>
        <v>https://pbs.twimg.com/profile_images/1192046893892800512/BmhcovJG_normal.jpg</v>
      </c>
      <c r="W1856" s="83">
        <v>44467.869756944441</v>
      </c>
      <c r="X1856" s="89">
        <v>44467</v>
      </c>
      <c r="Y1856" s="86" t="s">
        <v>6625</v>
      </c>
      <c r="Z1856" s="84" t="str">
        <f>HYPERLINK("https://twitter.com/amessiasleal/status/1442955387628445698")</f>
        <v>https://twitter.com/amessiasleal/status/1442955387628445698</v>
      </c>
      <c r="AA1856" s="81"/>
      <c r="AB1856" s="81"/>
      <c r="AC1856" s="86" t="s">
        <v>7549</v>
      </c>
      <c r="AD1856" s="86" t="s">
        <v>7770</v>
      </c>
      <c r="AE1856" s="81" t="b">
        <v>0</v>
      </c>
      <c r="AF1856" s="81">
        <v>0</v>
      </c>
      <c r="AG1856" s="86" t="s">
        <v>7942</v>
      </c>
      <c r="AH1856" s="81" t="b">
        <v>0</v>
      </c>
      <c r="AI1856" s="81" t="s">
        <v>2171</v>
      </c>
      <c r="AJ1856" s="81"/>
      <c r="AK1856" s="86" t="s">
        <v>2084</v>
      </c>
      <c r="AL1856" s="81" t="b">
        <v>0</v>
      </c>
      <c r="AM1856" s="81">
        <v>0</v>
      </c>
      <c r="AN1856" s="86" t="s">
        <v>2084</v>
      </c>
      <c r="AO1856" s="86" t="s">
        <v>2179</v>
      </c>
      <c r="AP1856" s="81" t="b">
        <v>0</v>
      </c>
      <c r="AQ1856" s="86" t="s">
        <v>7770</v>
      </c>
      <c r="AR1856" s="81" t="s">
        <v>179</v>
      </c>
      <c r="AS1856" s="81">
        <v>0</v>
      </c>
      <c r="AT1856" s="81">
        <v>0</v>
      </c>
      <c r="AU1856" s="81"/>
      <c r="AV1856" s="81"/>
      <c r="AW1856" s="81"/>
      <c r="AX1856" s="81"/>
      <c r="AY1856" s="81"/>
      <c r="AZ1856" s="81"/>
      <c r="BA1856" s="81"/>
      <c r="BB1856" s="81"/>
    </row>
    <row r="1857" spans="1:54" x14ac:dyDescent="0.35">
      <c r="A1857" s="66" t="s">
        <v>4949</v>
      </c>
      <c r="B1857" s="66" t="s">
        <v>5221</v>
      </c>
      <c r="C1857" s="67"/>
      <c r="D1857" s="68"/>
      <c r="E1857" s="69"/>
      <c r="F1857" s="70"/>
      <c r="G1857" s="67"/>
      <c r="H1857" s="71"/>
      <c r="I1857" s="72"/>
      <c r="J1857" s="72"/>
      <c r="K1857" s="36"/>
      <c r="L1857" s="79"/>
      <c r="M1857" s="79"/>
      <c r="N1857" s="74"/>
      <c r="O1857" s="81" t="s">
        <v>695</v>
      </c>
      <c r="P1857" s="83">
        <v>44467.869756944441</v>
      </c>
      <c r="Q1857" s="81" t="s">
        <v>5636</v>
      </c>
      <c r="R1857" s="81"/>
      <c r="S1857" s="81"/>
      <c r="T1857" s="81"/>
      <c r="U1857" s="81"/>
      <c r="V1857" s="84" t="str">
        <f>HYPERLINK("https://pbs.twimg.com/profile_images/1192046893892800512/BmhcovJG_normal.jpg")</f>
        <v>https://pbs.twimg.com/profile_images/1192046893892800512/BmhcovJG_normal.jpg</v>
      </c>
      <c r="W1857" s="83">
        <v>44467.869756944441</v>
      </c>
      <c r="X1857" s="89">
        <v>44467</v>
      </c>
      <c r="Y1857" s="86" t="s">
        <v>6625</v>
      </c>
      <c r="Z1857" s="84" t="str">
        <f>HYPERLINK("https://twitter.com/amessiasleal/status/1442955387628445698")</f>
        <v>https://twitter.com/amessiasleal/status/1442955387628445698</v>
      </c>
      <c r="AA1857" s="81"/>
      <c r="AB1857" s="81"/>
      <c r="AC1857" s="86" t="s">
        <v>7549</v>
      </c>
      <c r="AD1857" s="86" t="s">
        <v>7770</v>
      </c>
      <c r="AE1857" s="81" t="b">
        <v>0</v>
      </c>
      <c r="AF1857" s="81">
        <v>0</v>
      </c>
      <c r="AG1857" s="86" t="s">
        <v>7942</v>
      </c>
      <c r="AH1857" s="81" t="b">
        <v>0</v>
      </c>
      <c r="AI1857" s="81" t="s">
        <v>2171</v>
      </c>
      <c r="AJ1857" s="81"/>
      <c r="AK1857" s="86" t="s">
        <v>2084</v>
      </c>
      <c r="AL1857" s="81" t="b">
        <v>0</v>
      </c>
      <c r="AM1857" s="81">
        <v>0</v>
      </c>
      <c r="AN1857" s="86" t="s">
        <v>2084</v>
      </c>
      <c r="AO1857" s="86" t="s">
        <v>2179</v>
      </c>
      <c r="AP1857" s="81" t="b">
        <v>0</v>
      </c>
      <c r="AQ1857" s="86" t="s">
        <v>7770</v>
      </c>
      <c r="AR1857" s="81" t="s">
        <v>179</v>
      </c>
      <c r="AS1857" s="81">
        <v>0</v>
      </c>
      <c r="AT1857" s="81">
        <v>0</v>
      </c>
      <c r="AU1857" s="81"/>
      <c r="AV1857" s="81"/>
      <c r="AW1857" s="81"/>
      <c r="AX1857" s="81"/>
      <c r="AY1857" s="81"/>
      <c r="AZ1857" s="81"/>
      <c r="BA1857" s="81"/>
      <c r="BB1857" s="81"/>
    </row>
    <row r="1858" spans="1:54" x14ac:dyDescent="0.35">
      <c r="A1858" s="66" t="s">
        <v>4950</v>
      </c>
      <c r="B1858" s="66" t="s">
        <v>5222</v>
      </c>
      <c r="C1858" s="67"/>
      <c r="D1858" s="68"/>
      <c r="E1858" s="69"/>
      <c r="F1858" s="70"/>
      <c r="G1858" s="67"/>
      <c r="H1858" s="71"/>
      <c r="I1858" s="72"/>
      <c r="J1858" s="72"/>
      <c r="K1858" s="36"/>
      <c r="L1858" s="79"/>
      <c r="M1858" s="79"/>
      <c r="N1858" s="74"/>
      <c r="O1858" s="81" t="s">
        <v>695</v>
      </c>
      <c r="P1858" s="83">
        <v>44467.970729166664</v>
      </c>
      <c r="Q1858" s="81" t="s">
        <v>5637</v>
      </c>
      <c r="R1858" s="81"/>
      <c r="S1858" s="81"/>
      <c r="T1858" s="81"/>
      <c r="U1858" s="81"/>
      <c r="V1858" s="84" t="str">
        <f>HYPERLINK("https://pbs.twimg.com/profile_images/1435458774123253761/8T5o2_ui_normal.jpg")</f>
        <v>https://pbs.twimg.com/profile_images/1435458774123253761/8T5o2_ui_normal.jpg</v>
      </c>
      <c r="W1858" s="83">
        <v>44467.970729166664</v>
      </c>
      <c r="X1858" s="89">
        <v>44467</v>
      </c>
      <c r="Y1858" s="86" t="s">
        <v>6626</v>
      </c>
      <c r="Z1858" s="84" t="str">
        <f>HYPERLINK("https://twitter.com/elninoob_/status/1442991975502843910")</f>
        <v>https://twitter.com/elninoob_/status/1442991975502843910</v>
      </c>
      <c r="AA1858" s="81"/>
      <c r="AB1858" s="81"/>
      <c r="AC1858" s="86" t="s">
        <v>7550</v>
      </c>
      <c r="AD1858" s="86" t="s">
        <v>7771</v>
      </c>
      <c r="AE1858" s="81" t="b">
        <v>0</v>
      </c>
      <c r="AF1858" s="81">
        <v>3</v>
      </c>
      <c r="AG1858" s="86" t="s">
        <v>7943</v>
      </c>
      <c r="AH1858" s="81" t="b">
        <v>0</v>
      </c>
      <c r="AI1858" s="81" t="s">
        <v>2167</v>
      </c>
      <c r="AJ1858" s="81"/>
      <c r="AK1858" s="86" t="s">
        <v>2084</v>
      </c>
      <c r="AL1858" s="81" t="b">
        <v>0</v>
      </c>
      <c r="AM1858" s="81">
        <v>0</v>
      </c>
      <c r="AN1858" s="86" t="s">
        <v>2084</v>
      </c>
      <c r="AO1858" s="86" t="s">
        <v>2178</v>
      </c>
      <c r="AP1858" s="81" t="b">
        <v>0</v>
      </c>
      <c r="AQ1858" s="86" t="s">
        <v>7771</v>
      </c>
      <c r="AR1858" s="81" t="s">
        <v>179</v>
      </c>
      <c r="AS1858" s="81">
        <v>0</v>
      </c>
      <c r="AT1858" s="81">
        <v>0</v>
      </c>
      <c r="AU1858" s="81"/>
      <c r="AV1858" s="81"/>
      <c r="AW1858" s="81"/>
      <c r="AX1858" s="81"/>
      <c r="AY1858" s="81"/>
      <c r="AZ1858" s="81"/>
      <c r="BA1858" s="81"/>
      <c r="BB1858" s="81"/>
    </row>
    <row r="1859" spans="1:54" x14ac:dyDescent="0.35">
      <c r="A1859" s="66" t="s">
        <v>4951</v>
      </c>
      <c r="B1859" s="66" t="s">
        <v>602</v>
      </c>
      <c r="C1859" s="67"/>
      <c r="D1859" s="68"/>
      <c r="E1859" s="69"/>
      <c r="F1859" s="70"/>
      <c r="G1859" s="67"/>
      <c r="H1859" s="71"/>
      <c r="I1859" s="72"/>
      <c r="J1859" s="72"/>
      <c r="K1859" s="36"/>
      <c r="L1859" s="79"/>
      <c r="M1859" s="79"/>
      <c r="N1859" s="74"/>
      <c r="O1859" s="81" t="s">
        <v>695</v>
      </c>
      <c r="P1859" s="83">
        <v>44468.014687499999</v>
      </c>
      <c r="Q1859" s="81" t="s">
        <v>5638</v>
      </c>
      <c r="R1859" s="81"/>
      <c r="S1859" s="81"/>
      <c r="T1859" s="81"/>
      <c r="U1859" s="81"/>
      <c r="V1859" s="84" t="str">
        <f>HYPERLINK("https://pbs.twimg.com/profile_images/378800000493362285/b02489e61a9ec9edcdae8836f3ea9f7f_normal.jpeg")</f>
        <v>https://pbs.twimg.com/profile_images/378800000493362285/b02489e61a9ec9edcdae8836f3ea9f7f_normal.jpeg</v>
      </c>
      <c r="W1859" s="83">
        <v>44468.014687499999</v>
      </c>
      <c r="X1859" s="89">
        <v>44468</v>
      </c>
      <c r="Y1859" s="86" t="s">
        <v>6627</v>
      </c>
      <c r="Z1859" s="84" t="str">
        <f>HYPERLINK("https://twitter.com/imanborneo/status/1443007907570741248")</f>
        <v>https://twitter.com/imanborneo/status/1443007907570741248</v>
      </c>
      <c r="AA1859" s="81"/>
      <c r="AB1859" s="81"/>
      <c r="AC1859" s="86" t="s">
        <v>7551</v>
      </c>
      <c r="AD1859" s="86" t="s">
        <v>2080</v>
      </c>
      <c r="AE1859" s="81" t="b">
        <v>0</v>
      </c>
      <c r="AF1859" s="81">
        <v>0</v>
      </c>
      <c r="AG1859" s="86" t="s">
        <v>2163</v>
      </c>
      <c r="AH1859" s="81" t="b">
        <v>0</v>
      </c>
      <c r="AI1859" s="81" t="s">
        <v>2167</v>
      </c>
      <c r="AJ1859" s="81"/>
      <c r="AK1859" s="86" t="s">
        <v>2084</v>
      </c>
      <c r="AL1859" s="81" t="b">
        <v>0</v>
      </c>
      <c r="AM1859" s="81">
        <v>0</v>
      </c>
      <c r="AN1859" s="86" t="s">
        <v>2084</v>
      </c>
      <c r="AO1859" s="86" t="s">
        <v>2178</v>
      </c>
      <c r="AP1859" s="81" t="b">
        <v>0</v>
      </c>
      <c r="AQ1859" s="86" t="s">
        <v>2080</v>
      </c>
      <c r="AR1859" s="81" t="s">
        <v>179</v>
      </c>
      <c r="AS1859" s="81">
        <v>0</v>
      </c>
      <c r="AT1859" s="81">
        <v>0</v>
      </c>
      <c r="AU1859" s="81"/>
      <c r="AV1859" s="81"/>
      <c r="AW1859" s="81"/>
      <c r="AX1859" s="81"/>
      <c r="AY1859" s="81"/>
      <c r="AZ1859" s="81"/>
      <c r="BA1859" s="81"/>
      <c r="BB1859" s="81"/>
    </row>
    <row r="1860" spans="1:54" x14ac:dyDescent="0.35">
      <c r="A1860" s="66" t="s">
        <v>586</v>
      </c>
      <c r="B1860" s="66" t="s">
        <v>5223</v>
      </c>
      <c r="C1860" s="67"/>
      <c r="D1860" s="68"/>
      <c r="E1860" s="69"/>
      <c r="F1860" s="70"/>
      <c r="G1860" s="67"/>
      <c r="H1860" s="71"/>
      <c r="I1860" s="72"/>
      <c r="J1860" s="72"/>
      <c r="K1860" s="36"/>
      <c r="L1860" s="79"/>
      <c r="M1860" s="79"/>
      <c r="N1860" s="74"/>
      <c r="O1860" s="81" t="s">
        <v>695</v>
      </c>
      <c r="P1860" s="83">
        <v>44468.040949074071</v>
      </c>
      <c r="Q1860" s="81" t="s">
        <v>5639</v>
      </c>
      <c r="R1860" s="84" t="str">
        <f>HYPERLINK("https://diposin.co.id/")</f>
        <v>https://diposin.co.id/</v>
      </c>
      <c r="S1860" s="81" t="s">
        <v>937</v>
      </c>
      <c r="T1860" s="81"/>
      <c r="U1860" s="81"/>
      <c r="V1860" s="84" t="str">
        <f>HYPERLINK("https://pbs.twimg.com/profile_images/813703989061558273/pSVNdrgA_normal.jpg")</f>
        <v>https://pbs.twimg.com/profile_images/813703989061558273/pSVNdrgA_normal.jpg</v>
      </c>
      <c r="W1860" s="83">
        <v>44468.040949074071</v>
      </c>
      <c r="X1860" s="89">
        <v>44468</v>
      </c>
      <c r="Y1860" s="86" t="s">
        <v>6628</v>
      </c>
      <c r="Z1860" s="84" t="str">
        <f>HYPERLINK("https://twitter.com/bravobeacukai/status/1443017422361927687")</f>
        <v>https://twitter.com/bravobeacukai/status/1443017422361927687</v>
      </c>
      <c r="AA1860" s="81"/>
      <c r="AB1860" s="81"/>
      <c r="AC1860" s="86" t="s">
        <v>7552</v>
      </c>
      <c r="AD1860" s="86" t="s">
        <v>7772</v>
      </c>
      <c r="AE1860" s="81" t="b">
        <v>0</v>
      </c>
      <c r="AF1860" s="81">
        <v>0</v>
      </c>
      <c r="AG1860" s="86" t="s">
        <v>7944</v>
      </c>
      <c r="AH1860" s="81" t="b">
        <v>0</v>
      </c>
      <c r="AI1860" s="81" t="s">
        <v>2167</v>
      </c>
      <c r="AJ1860" s="81"/>
      <c r="AK1860" s="86" t="s">
        <v>2084</v>
      </c>
      <c r="AL1860" s="81" t="b">
        <v>0</v>
      </c>
      <c r="AM1860" s="81">
        <v>0</v>
      </c>
      <c r="AN1860" s="86" t="s">
        <v>2084</v>
      </c>
      <c r="AO1860" s="86" t="s">
        <v>2185</v>
      </c>
      <c r="AP1860" s="81" t="b">
        <v>0</v>
      </c>
      <c r="AQ1860" s="86" t="s">
        <v>7772</v>
      </c>
      <c r="AR1860" s="81" t="s">
        <v>179</v>
      </c>
      <c r="AS1860" s="81">
        <v>0</v>
      </c>
      <c r="AT1860" s="81">
        <v>0</v>
      </c>
      <c r="AU1860" s="81"/>
      <c r="AV1860" s="81"/>
      <c r="AW1860" s="81"/>
      <c r="AX1860" s="81"/>
      <c r="AY1860" s="81"/>
      <c r="AZ1860" s="81"/>
      <c r="BA1860" s="81"/>
      <c r="BB1860" s="81"/>
    </row>
    <row r="1861" spans="1:54" x14ac:dyDescent="0.35">
      <c r="A1861" s="66" t="s">
        <v>326</v>
      </c>
      <c r="B1861" s="66" t="s">
        <v>344</v>
      </c>
      <c r="C1861" s="67"/>
      <c r="D1861" s="68"/>
      <c r="E1861" s="69"/>
      <c r="F1861" s="70"/>
      <c r="G1861" s="67"/>
      <c r="H1861" s="71"/>
      <c r="I1861" s="72"/>
      <c r="J1861" s="72"/>
      <c r="K1861" s="36"/>
      <c r="L1861" s="79"/>
      <c r="M1861" s="79"/>
      <c r="N1861" s="74"/>
      <c r="O1861" s="81" t="s">
        <v>693</v>
      </c>
      <c r="P1861" s="83">
        <v>44461.479687500003</v>
      </c>
      <c r="Q1861" s="81" t="s">
        <v>743</v>
      </c>
      <c r="R1861" s="81"/>
      <c r="S1861" s="81"/>
      <c r="T1861" s="86" t="s">
        <v>977</v>
      </c>
      <c r="U1861" s="84" t="str">
        <f>HYPERLINK("https://pbs.twimg.com/media/E_4G1w0UcAYtmKg.jpg")</f>
        <v>https://pbs.twimg.com/media/E_4G1w0UcAYtmKg.jpg</v>
      </c>
      <c r="V1861" s="84" t="str">
        <f>HYPERLINK("https://pbs.twimg.com/media/E_4G1w0UcAYtmKg.jpg")</f>
        <v>https://pbs.twimg.com/media/E_4G1w0UcAYtmKg.jpg</v>
      </c>
      <c r="W1861" s="83">
        <v>44461.479687500003</v>
      </c>
      <c r="X1861" s="89">
        <v>44461</v>
      </c>
      <c r="Y1861" s="86" t="s">
        <v>1130</v>
      </c>
      <c r="Z1861" s="84" t="str">
        <f>HYPERLINK("https://twitter.com/pasarnctrt/status/1440639703246458888")</f>
        <v>https://twitter.com/pasarnctrt/status/1440639703246458888</v>
      </c>
      <c r="AA1861" s="81"/>
      <c r="AB1861" s="81"/>
      <c r="AC1861" s="86" t="s">
        <v>1628</v>
      </c>
      <c r="AD1861" s="81"/>
      <c r="AE1861" s="81" t="b">
        <v>0</v>
      </c>
      <c r="AF1861" s="81">
        <v>0</v>
      </c>
      <c r="AG1861" s="86" t="s">
        <v>2084</v>
      </c>
      <c r="AH1861" s="81" t="b">
        <v>0</v>
      </c>
      <c r="AI1861" s="81" t="s">
        <v>2168</v>
      </c>
      <c r="AJ1861" s="81"/>
      <c r="AK1861" s="86" t="s">
        <v>2084</v>
      </c>
      <c r="AL1861" s="81" t="b">
        <v>0</v>
      </c>
      <c r="AM1861" s="81">
        <v>12</v>
      </c>
      <c r="AN1861" s="86" t="s">
        <v>1646</v>
      </c>
      <c r="AO1861" s="86" t="s">
        <v>2179</v>
      </c>
      <c r="AP1861" s="81" t="b">
        <v>0</v>
      </c>
      <c r="AQ1861" s="86" t="s">
        <v>1646</v>
      </c>
      <c r="AR1861" s="81" t="s">
        <v>179</v>
      </c>
      <c r="AS1861" s="81">
        <v>0</v>
      </c>
      <c r="AT1861" s="81">
        <v>0</v>
      </c>
      <c r="AU1861" s="81"/>
      <c r="AV1861" s="81"/>
      <c r="AW1861" s="81"/>
      <c r="AX1861" s="81"/>
      <c r="AY1861" s="81"/>
      <c r="AZ1861" s="81"/>
      <c r="BA1861" s="81"/>
      <c r="BB1861" s="81"/>
    </row>
    <row r="1862" spans="1:54" x14ac:dyDescent="0.35">
      <c r="A1862" s="66" t="s">
        <v>326</v>
      </c>
      <c r="B1862" s="66" t="s">
        <v>589</v>
      </c>
      <c r="C1862" s="67"/>
      <c r="D1862" s="68"/>
      <c r="E1862" s="69"/>
      <c r="F1862" s="70"/>
      <c r="G1862" s="67"/>
      <c r="H1862" s="71"/>
      <c r="I1862" s="72"/>
      <c r="J1862" s="72"/>
      <c r="K1862" s="36"/>
      <c r="L1862" s="79"/>
      <c r="M1862" s="79"/>
      <c r="N1862" s="74"/>
      <c r="O1862" s="81" t="s">
        <v>693</v>
      </c>
      <c r="P1862" s="83">
        <v>44468.052025462966</v>
      </c>
      <c r="Q1862" s="81" t="s">
        <v>5625</v>
      </c>
      <c r="R1862" s="81"/>
      <c r="S1862" s="81"/>
      <c r="T1862" s="86" t="s">
        <v>5786</v>
      </c>
      <c r="U1862" s="84" t="str">
        <f>HYPERLINK("https://pbs.twimg.com/media/FAYUHMTVEAoP82T.jpg")</f>
        <v>https://pbs.twimg.com/media/FAYUHMTVEAoP82T.jpg</v>
      </c>
      <c r="V1862" s="84" t="str">
        <f>HYPERLINK("https://pbs.twimg.com/media/FAYUHMTVEAoP82T.jpg")</f>
        <v>https://pbs.twimg.com/media/FAYUHMTVEAoP82T.jpg</v>
      </c>
      <c r="W1862" s="83">
        <v>44468.052025462966</v>
      </c>
      <c r="X1862" s="89">
        <v>44468</v>
      </c>
      <c r="Y1862" s="86" t="s">
        <v>6629</v>
      </c>
      <c r="Z1862" s="84" t="str">
        <f>HYPERLINK("https://twitter.com/pasarnctrt/status/1443021438315741186")</f>
        <v>https://twitter.com/pasarnctrt/status/1443021438315741186</v>
      </c>
      <c r="AA1862" s="81"/>
      <c r="AB1862" s="81"/>
      <c r="AC1862" s="86" t="s">
        <v>7553</v>
      </c>
      <c r="AD1862" s="81"/>
      <c r="AE1862" s="81" t="b">
        <v>0</v>
      </c>
      <c r="AF1862" s="81">
        <v>0</v>
      </c>
      <c r="AG1862" s="86" t="s">
        <v>2084</v>
      </c>
      <c r="AH1862" s="81" t="b">
        <v>0</v>
      </c>
      <c r="AI1862" s="81" t="s">
        <v>2168</v>
      </c>
      <c r="AJ1862" s="81"/>
      <c r="AK1862" s="86" t="s">
        <v>2084</v>
      </c>
      <c r="AL1862" s="81" t="b">
        <v>0</v>
      </c>
      <c r="AM1862" s="81">
        <v>15</v>
      </c>
      <c r="AN1862" s="86" t="s">
        <v>7613</v>
      </c>
      <c r="AO1862" s="86" t="s">
        <v>2181</v>
      </c>
      <c r="AP1862" s="81" t="b">
        <v>0</v>
      </c>
      <c r="AQ1862" s="86" t="s">
        <v>7613</v>
      </c>
      <c r="AR1862" s="81" t="s">
        <v>179</v>
      </c>
      <c r="AS1862" s="81">
        <v>0</v>
      </c>
      <c r="AT1862" s="81">
        <v>0</v>
      </c>
      <c r="AU1862" s="81"/>
      <c r="AV1862" s="81"/>
      <c r="AW1862" s="81"/>
      <c r="AX1862" s="81"/>
      <c r="AY1862" s="81"/>
      <c r="AZ1862" s="81"/>
      <c r="BA1862" s="81"/>
      <c r="BB1862" s="81"/>
    </row>
    <row r="1863" spans="1:54" x14ac:dyDescent="0.35">
      <c r="A1863" s="66" t="s">
        <v>4954</v>
      </c>
      <c r="B1863" s="66" t="s">
        <v>5210</v>
      </c>
      <c r="C1863" s="67"/>
      <c r="D1863" s="68"/>
      <c r="E1863" s="69"/>
      <c r="F1863" s="70"/>
      <c r="G1863" s="67"/>
      <c r="H1863" s="71"/>
      <c r="I1863" s="72"/>
      <c r="J1863" s="72"/>
      <c r="K1863" s="36"/>
      <c r="L1863" s="79"/>
      <c r="M1863" s="79"/>
      <c r="N1863" s="74"/>
      <c r="O1863" s="81" t="s">
        <v>694</v>
      </c>
      <c r="P1863" s="83">
        <v>44468.056956018518</v>
      </c>
      <c r="Q1863" s="81" t="s">
        <v>5631</v>
      </c>
      <c r="R1863" s="84" t="str">
        <f>HYPERLINK("https://byq6z.app.goo.gl/NzREi")</f>
        <v>https://byq6z.app.goo.gl/NzREi</v>
      </c>
      <c r="S1863" s="81" t="s">
        <v>5759</v>
      </c>
      <c r="T1863" s="81"/>
      <c r="U1863" s="81"/>
      <c r="V1863" s="84" t="str">
        <f>HYPERLINK("https://pbs.twimg.com/profile_images/1388261259716485133/fkbI3oyr_normal.jpg")</f>
        <v>https://pbs.twimg.com/profile_images/1388261259716485133/fkbI3oyr_normal.jpg</v>
      </c>
      <c r="W1863" s="83">
        <v>44468.056956018518</v>
      </c>
      <c r="X1863" s="89">
        <v>44468</v>
      </c>
      <c r="Y1863" s="86" t="s">
        <v>6632</v>
      </c>
      <c r="Z1863" s="84" t="str">
        <f>HYPERLINK("https://twitter.com/estevamregia/status/1443023225278144513")</f>
        <v>https://twitter.com/estevamregia/status/1443023225278144513</v>
      </c>
      <c r="AA1863" s="81"/>
      <c r="AB1863" s="81"/>
      <c r="AC1863" s="86" t="s">
        <v>7556</v>
      </c>
      <c r="AD1863" s="81"/>
      <c r="AE1863" s="81" t="b">
        <v>0</v>
      </c>
      <c r="AF1863" s="81">
        <v>0</v>
      </c>
      <c r="AG1863" s="86" t="s">
        <v>2084</v>
      </c>
      <c r="AH1863" s="81" t="b">
        <v>0</v>
      </c>
      <c r="AI1863" s="81" t="s">
        <v>2171</v>
      </c>
      <c r="AJ1863" s="81"/>
      <c r="AK1863" s="86" t="s">
        <v>2084</v>
      </c>
      <c r="AL1863" s="81" t="b">
        <v>0</v>
      </c>
      <c r="AM1863" s="81">
        <v>5</v>
      </c>
      <c r="AN1863" s="86" t="s">
        <v>7554</v>
      </c>
      <c r="AO1863" s="86" t="s">
        <v>2181</v>
      </c>
      <c r="AP1863" s="81" t="b">
        <v>0</v>
      </c>
      <c r="AQ1863" s="86" t="s">
        <v>7554</v>
      </c>
      <c r="AR1863" s="81" t="s">
        <v>179</v>
      </c>
      <c r="AS1863" s="81">
        <v>0</v>
      </c>
      <c r="AT1863" s="81">
        <v>0</v>
      </c>
      <c r="AU1863" s="81"/>
      <c r="AV1863" s="81"/>
      <c r="AW1863" s="81"/>
      <c r="AX1863" s="81"/>
      <c r="AY1863" s="81"/>
      <c r="AZ1863" s="81"/>
      <c r="BA1863" s="81"/>
      <c r="BB1863" s="81"/>
    </row>
    <row r="1864" spans="1:54" x14ac:dyDescent="0.35">
      <c r="A1864" s="66" t="s">
        <v>4954</v>
      </c>
      <c r="B1864" s="66" t="s">
        <v>4953</v>
      </c>
      <c r="C1864" s="67"/>
      <c r="D1864" s="68"/>
      <c r="E1864" s="69"/>
      <c r="F1864" s="70"/>
      <c r="G1864" s="67"/>
      <c r="H1864" s="71"/>
      <c r="I1864" s="72"/>
      <c r="J1864" s="72"/>
      <c r="K1864" s="36"/>
      <c r="L1864" s="79"/>
      <c r="M1864" s="79"/>
      <c r="N1864" s="74"/>
      <c r="O1864" s="81" t="s">
        <v>694</v>
      </c>
      <c r="P1864" s="83">
        <v>44468.056956018518</v>
      </c>
      <c r="Q1864" s="81" t="s">
        <v>5631</v>
      </c>
      <c r="R1864" s="84" t="str">
        <f>HYPERLINK("https://byq6z.app.goo.gl/NzREi")</f>
        <v>https://byq6z.app.goo.gl/NzREi</v>
      </c>
      <c r="S1864" s="81" t="s">
        <v>5759</v>
      </c>
      <c r="T1864" s="81"/>
      <c r="U1864" s="81"/>
      <c r="V1864" s="84" t="str">
        <f>HYPERLINK("https://pbs.twimg.com/profile_images/1388261259716485133/fkbI3oyr_normal.jpg")</f>
        <v>https://pbs.twimg.com/profile_images/1388261259716485133/fkbI3oyr_normal.jpg</v>
      </c>
      <c r="W1864" s="83">
        <v>44468.056956018518</v>
      </c>
      <c r="X1864" s="89">
        <v>44468</v>
      </c>
      <c r="Y1864" s="86" t="s">
        <v>6632</v>
      </c>
      <c r="Z1864" s="84" t="str">
        <f>HYPERLINK("https://twitter.com/estevamregia/status/1443023225278144513")</f>
        <v>https://twitter.com/estevamregia/status/1443023225278144513</v>
      </c>
      <c r="AA1864" s="81"/>
      <c r="AB1864" s="81"/>
      <c r="AC1864" s="86" t="s">
        <v>7556</v>
      </c>
      <c r="AD1864" s="81"/>
      <c r="AE1864" s="81" t="b">
        <v>0</v>
      </c>
      <c r="AF1864" s="81">
        <v>0</v>
      </c>
      <c r="AG1864" s="86" t="s">
        <v>2084</v>
      </c>
      <c r="AH1864" s="81" t="b">
        <v>0</v>
      </c>
      <c r="AI1864" s="81" t="s">
        <v>2171</v>
      </c>
      <c r="AJ1864" s="81"/>
      <c r="AK1864" s="86" t="s">
        <v>2084</v>
      </c>
      <c r="AL1864" s="81" t="b">
        <v>0</v>
      </c>
      <c r="AM1864" s="81">
        <v>5</v>
      </c>
      <c r="AN1864" s="86" t="s">
        <v>7554</v>
      </c>
      <c r="AO1864" s="86" t="s">
        <v>2181</v>
      </c>
      <c r="AP1864" s="81" t="b">
        <v>0</v>
      </c>
      <c r="AQ1864" s="86" t="s">
        <v>7554</v>
      </c>
      <c r="AR1864" s="81" t="s">
        <v>179</v>
      </c>
      <c r="AS1864" s="81">
        <v>0</v>
      </c>
      <c r="AT1864" s="81">
        <v>0</v>
      </c>
      <c r="AU1864" s="81"/>
      <c r="AV1864" s="81"/>
      <c r="AW1864" s="81"/>
      <c r="AX1864" s="81"/>
      <c r="AY1864" s="81"/>
      <c r="AZ1864" s="81"/>
      <c r="BA1864" s="81"/>
      <c r="BB1864" s="81"/>
    </row>
    <row r="1865" spans="1:54" x14ac:dyDescent="0.35">
      <c r="A1865" s="66" t="s">
        <v>4954</v>
      </c>
      <c r="B1865" s="66" t="s">
        <v>5211</v>
      </c>
      <c r="C1865" s="67"/>
      <c r="D1865" s="68"/>
      <c r="E1865" s="69"/>
      <c r="F1865" s="70"/>
      <c r="G1865" s="67"/>
      <c r="H1865" s="71"/>
      <c r="I1865" s="72"/>
      <c r="J1865" s="72"/>
      <c r="K1865" s="36"/>
      <c r="L1865" s="79"/>
      <c r="M1865" s="79"/>
      <c r="N1865" s="74"/>
      <c r="O1865" s="81" t="s">
        <v>694</v>
      </c>
      <c r="P1865" s="83">
        <v>44468.056956018518</v>
      </c>
      <c r="Q1865" s="81" t="s">
        <v>5631</v>
      </c>
      <c r="R1865" s="84" t="str">
        <f>HYPERLINK("https://byq6z.app.goo.gl/NzREi")</f>
        <v>https://byq6z.app.goo.gl/NzREi</v>
      </c>
      <c r="S1865" s="81" t="s">
        <v>5759</v>
      </c>
      <c r="T1865" s="81"/>
      <c r="U1865" s="81"/>
      <c r="V1865" s="84" t="str">
        <f>HYPERLINK("https://pbs.twimg.com/profile_images/1388261259716485133/fkbI3oyr_normal.jpg")</f>
        <v>https://pbs.twimg.com/profile_images/1388261259716485133/fkbI3oyr_normal.jpg</v>
      </c>
      <c r="W1865" s="83">
        <v>44468.056956018518</v>
      </c>
      <c r="X1865" s="89">
        <v>44468</v>
      </c>
      <c r="Y1865" s="86" t="s">
        <v>6632</v>
      </c>
      <c r="Z1865" s="84" t="str">
        <f>HYPERLINK("https://twitter.com/estevamregia/status/1443023225278144513")</f>
        <v>https://twitter.com/estevamregia/status/1443023225278144513</v>
      </c>
      <c r="AA1865" s="81"/>
      <c r="AB1865" s="81"/>
      <c r="AC1865" s="86" t="s">
        <v>7556</v>
      </c>
      <c r="AD1865" s="81"/>
      <c r="AE1865" s="81" t="b">
        <v>0</v>
      </c>
      <c r="AF1865" s="81">
        <v>0</v>
      </c>
      <c r="AG1865" s="86" t="s">
        <v>2084</v>
      </c>
      <c r="AH1865" s="81" t="b">
        <v>0</v>
      </c>
      <c r="AI1865" s="81" t="s">
        <v>2171</v>
      </c>
      <c r="AJ1865" s="81"/>
      <c r="AK1865" s="86" t="s">
        <v>2084</v>
      </c>
      <c r="AL1865" s="81" t="b">
        <v>0</v>
      </c>
      <c r="AM1865" s="81">
        <v>5</v>
      </c>
      <c r="AN1865" s="86" t="s">
        <v>7554</v>
      </c>
      <c r="AO1865" s="86" t="s">
        <v>2181</v>
      </c>
      <c r="AP1865" s="81" t="b">
        <v>0</v>
      </c>
      <c r="AQ1865" s="86" t="s">
        <v>7554</v>
      </c>
      <c r="AR1865" s="81" t="s">
        <v>179</v>
      </c>
      <c r="AS1865" s="81">
        <v>0</v>
      </c>
      <c r="AT1865" s="81">
        <v>0</v>
      </c>
      <c r="AU1865" s="81"/>
      <c r="AV1865" s="81"/>
      <c r="AW1865" s="81"/>
      <c r="AX1865" s="81"/>
      <c r="AY1865" s="81"/>
      <c r="AZ1865" s="81"/>
      <c r="BA1865" s="81"/>
      <c r="BB1865" s="81"/>
    </row>
    <row r="1866" spans="1:54" x14ac:dyDescent="0.35">
      <c r="A1866" s="66" t="s">
        <v>4954</v>
      </c>
      <c r="B1866" s="66" t="s">
        <v>5212</v>
      </c>
      <c r="C1866" s="67"/>
      <c r="D1866" s="68"/>
      <c r="E1866" s="69"/>
      <c r="F1866" s="70"/>
      <c r="G1866" s="67"/>
      <c r="H1866" s="71"/>
      <c r="I1866" s="72"/>
      <c r="J1866" s="72"/>
      <c r="K1866" s="36"/>
      <c r="L1866" s="79"/>
      <c r="M1866" s="79"/>
      <c r="N1866" s="74"/>
      <c r="O1866" s="81" t="s">
        <v>694</v>
      </c>
      <c r="P1866" s="83">
        <v>44468.056956018518</v>
      </c>
      <c r="Q1866" s="81" t="s">
        <v>5631</v>
      </c>
      <c r="R1866" s="84" t="str">
        <f>HYPERLINK("https://byq6z.app.goo.gl/NzREi")</f>
        <v>https://byq6z.app.goo.gl/NzREi</v>
      </c>
      <c r="S1866" s="81" t="s">
        <v>5759</v>
      </c>
      <c r="T1866" s="81"/>
      <c r="U1866" s="81"/>
      <c r="V1866" s="84" t="str">
        <f>HYPERLINK("https://pbs.twimg.com/profile_images/1388261259716485133/fkbI3oyr_normal.jpg")</f>
        <v>https://pbs.twimg.com/profile_images/1388261259716485133/fkbI3oyr_normal.jpg</v>
      </c>
      <c r="W1866" s="83">
        <v>44468.056956018518</v>
      </c>
      <c r="X1866" s="89">
        <v>44468</v>
      </c>
      <c r="Y1866" s="86" t="s">
        <v>6632</v>
      </c>
      <c r="Z1866" s="84" t="str">
        <f>HYPERLINK("https://twitter.com/estevamregia/status/1443023225278144513")</f>
        <v>https://twitter.com/estevamregia/status/1443023225278144513</v>
      </c>
      <c r="AA1866" s="81"/>
      <c r="AB1866" s="81"/>
      <c r="AC1866" s="86" t="s">
        <v>7556</v>
      </c>
      <c r="AD1866" s="81"/>
      <c r="AE1866" s="81" t="b">
        <v>0</v>
      </c>
      <c r="AF1866" s="81">
        <v>0</v>
      </c>
      <c r="AG1866" s="86" t="s">
        <v>2084</v>
      </c>
      <c r="AH1866" s="81" t="b">
        <v>0</v>
      </c>
      <c r="AI1866" s="81" t="s">
        <v>2171</v>
      </c>
      <c r="AJ1866" s="81"/>
      <c r="AK1866" s="86" t="s">
        <v>2084</v>
      </c>
      <c r="AL1866" s="81" t="b">
        <v>0</v>
      </c>
      <c r="AM1866" s="81">
        <v>5</v>
      </c>
      <c r="AN1866" s="86" t="s">
        <v>7554</v>
      </c>
      <c r="AO1866" s="86" t="s">
        <v>2181</v>
      </c>
      <c r="AP1866" s="81" t="b">
        <v>0</v>
      </c>
      <c r="AQ1866" s="86" t="s">
        <v>7554</v>
      </c>
      <c r="AR1866" s="81" t="s">
        <v>179</v>
      </c>
      <c r="AS1866" s="81">
        <v>0</v>
      </c>
      <c r="AT1866" s="81">
        <v>0</v>
      </c>
      <c r="AU1866" s="81"/>
      <c r="AV1866" s="81"/>
      <c r="AW1866" s="81"/>
      <c r="AX1866" s="81"/>
      <c r="AY1866" s="81"/>
      <c r="AZ1866" s="81"/>
      <c r="BA1866" s="81"/>
      <c r="BB1866" s="81"/>
    </row>
    <row r="1867" spans="1:54" x14ac:dyDescent="0.35">
      <c r="A1867" s="66" t="s">
        <v>4954</v>
      </c>
      <c r="B1867" s="66" t="s">
        <v>4952</v>
      </c>
      <c r="C1867" s="67"/>
      <c r="D1867" s="68"/>
      <c r="E1867" s="69"/>
      <c r="F1867" s="70"/>
      <c r="G1867" s="67"/>
      <c r="H1867" s="71"/>
      <c r="I1867" s="72"/>
      <c r="J1867" s="72"/>
      <c r="K1867" s="36"/>
      <c r="L1867" s="79"/>
      <c r="M1867" s="79"/>
      <c r="N1867" s="74"/>
      <c r="O1867" s="81" t="s">
        <v>693</v>
      </c>
      <c r="P1867" s="83">
        <v>44468.056956018518</v>
      </c>
      <c r="Q1867" s="81" t="s">
        <v>5631</v>
      </c>
      <c r="R1867" s="84" t="str">
        <f>HYPERLINK("https://byq6z.app.goo.gl/NzREi")</f>
        <v>https://byq6z.app.goo.gl/NzREi</v>
      </c>
      <c r="S1867" s="81" t="s">
        <v>5759</v>
      </c>
      <c r="T1867" s="81"/>
      <c r="U1867" s="81"/>
      <c r="V1867" s="84" t="str">
        <f>HYPERLINK("https://pbs.twimg.com/profile_images/1388261259716485133/fkbI3oyr_normal.jpg")</f>
        <v>https://pbs.twimg.com/profile_images/1388261259716485133/fkbI3oyr_normal.jpg</v>
      </c>
      <c r="W1867" s="83">
        <v>44468.056956018518</v>
      </c>
      <c r="X1867" s="89">
        <v>44468</v>
      </c>
      <c r="Y1867" s="86" t="s">
        <v>6632</v>
      </c>
      <c r="Z1867" s="84" t="str">
        <f>HYPERLINK("https://twitter.com/estevamregia/status/1443023225278144513")</f>
        <v>https://twitter.com/estevamregia/status/1443023225278144513</v>
      </c>
      <c r="AA1867" s="81"/>
      <c r="AB1867" s="81"/>
      <c r="AC1867" s="86" t="s">
        <v>7556</v>
      </c>
      <c r="AD1867" s="81"/>
      <c r="AE1867" s="81" t="b">
        <v>0</v>
      </c>
      <c r="AF1867" s="81">
        <v>0</v>
      </c>
      <c r="AG1867" s="86" t="s">
        <v>2084</v>
      </c>
      <c r="AH1867" s="81" t="b">
        <v>0</v>
      </c>
      <c r="AI1867" s="81" t="s">
        <v>2171</v>
      </c>
      <c r="AJ1867" s="81"/>
      <c r="AK1867" s="86" t="s">
        <v>2084</v>
      </c>
      <c r="AL1867" s="81" t="b">
        <v>0</v>
      </c>
      <c r="AM1867" s="81">
        <v>5</v>
      </c>
      <c r="AN1867" s="86" t="s">
        <v>7554</v>
      </c>
      <c r="AO1867" s="86" t="s">
        <v>2181</v>
      </c>
      <c r="AP1867" s="81" t="b">
        <v>0</v>
      </c>
      <c r="AQ1867" s="86" t="s">
        <v>7554</v>
      </c>
      <c r="AR1867" s="81" t="s">
        <v>179</v>
      </c>
      <c r="AS1867" s="81">
        <v>0</v>
      </c>
      <c r="AT1867" s="81">
        <v>0</v>
      </c>
      <c r="AU1867" s="81"/>
      <c r="AV1867" s="81"/>
      <c r="AW1867" s="81"/>
      <c r="AX1867" s="81"/>
      <c r="AY1867" s="81"/>
      <c r="AZ1867" s="81"/>
      <c r="BA1867" s="81"/>
      <c r="BB1867" s="81"/>
    </row>
    <row r="1868" spans="1:54" x14ac:dyDescent="0.35">
      <c r="A1868" s="66" t="s">
        <v>4955</v>
      </c>
      <c r="B1868" s="66" t="s">
        <v>589</v>
      </c>
      <c r="C1868" s="67"/>
      <c r="D1868" s="68"/>
      <c r="E1868" s="69"/>
      <c r="F1868" s="70"/>
      <c r="G1868" s="67"/>
      <c r="H1868" s="71"/>
      <c r="I1868" s="72"/>
      <c r="J1868" s="72"/>
      <c r="K1868" s="36"/>
      <c r="L1868" s="79"/>
      <c r="M1868" s="79"/>
      <c r="N1868" s="74"/>
      <c r="O1868" s="81" t="s">
        <v>693</v>
      </c>
      <c r="P1868" s="83">
        <v>44468.065497685187</v>
      </c>
      <c r="Q1868" s="81" t="s">
        <v>5625</v>
      </c>
      <c r="R1868" s="81"/>
      <c r="S1868" s="81"/>
      <c r="T1868" s="86" t="s">
        <v>5786</v>
      </c>
      <c r="U1868" s="84" t="str">
        <f>HYPERLINK("https://pbs.twimg.com/media/FAYUHMTVEAoP82T.jpg")</f>
        <v>https://pbs.twimg.com/media/FAYUHMTVEAoP82T.jpg</v>
      </c>
      <c r="V1868" s="84" t="str">
        <f>HYPERLINK("https://pbs.twimg.com/media/FAYUHMTVEAoP82T.jpg")</f>
        <v>https://pbs.twimg.com/media/FAYUHMTVEAoP82T.jpg</v>
      </c>
      <c r="W1868" s="83">
        <v>44468.065497685187</v>
      </c>
      <c r="X1868" s="89">
        <v>44468</v>
      </c>
      <c r="Y1868" s="86" t="s">
        <v>6633</v>
      </c>
      <c r="Z1868" s="84" t="str">
        <f>HYPERLINK("https://twitter.com/foxyrj00/status/1443026319692877830")</f>
        <v>https://twitter.com/foxyrj00/status/1443026319692877830</v>
      </c>
      <c r="AA1868" s="81"/>
      <c r="AB1868" s="81"/>
      <c r="AC1868" s="86" t="s">
        <v>7557</v>
      </c>
      <c r="AD1868" s="81"/>
      <c r="AE1868" s="81" t="b">
        <v>0</v>
      </c>
      <c r="AF1868" s="81">
        <v>0</v>
      </c>
      <c r="AG1868" s="86" t="s">
        <v>2084</v>
      </c>
      <c r="AH1868" s="81" t="b">
        <v>0</v>
      </c>
      <c r="AI1868" s="81" t="s">
        <v>2168</v>
      </c>
      <c r="AJ1868" s="81"/>
      <c r="AK1868" s="86" t="s">
        <v>2084</v>
      </c>
      <c r="AL1868" s="81" t="b">
        <v>0</v>
      </c>
      <c r="AM1868" s="81">
        <v>15</v>
      </c>
      <c r="AN1868" s="86" t="s">
        <v>7613</v>
      </c>
      <c r="AO1868" s="86" t="s">
        <v>2179</v>
      </c>
      <c r="AP1868" s="81" t="b">
        <v>0</v>
      </c>
      <c r="AQ1868" s="86" t="s">
        <v>7613</v>
      </c>
      <c r="AR1868" s="81" t="s">
        <v>179</v>
      </c>
      <c r="AS1868" s="81">
        <v>0</v>
      </c>
      <c r="AT1868" s="81">
        <v>0</v>
      </c>
      <c r="AU1868" s="81"/>
      <c r="AV1868" s="81"/>
      <c r="AW1868" s="81"/>
      <c r="AX1868" s="81"/>
      <c r="AY1868" s="81"/>
      <c r="AZ1868" s="81"/>
      <c r="BA1868" s="81"/>
      <c r="BB1868" s="81"/>
    </row>
    <row r="1869" spans="1:54" x14ac:dyDescent="0.35">
      <c r="A1869" s="66" t="s">
        <v>4956</v>
      </c>
      <c r="B1869" s="66" t="s">
        <v>5224</v>
      </c>
      <c r="C1869" s="67"/>
      <c r="D1869" s="68"/>
      <c r="E1869" s="69"/>
      <c r="F1869" s="70"/>
      <c r="G1869" s="67"/>
      <c r="H1869" s="71"/>
      <c r="I1869" s="72"/>
      <c r="J1869" s="72"/>
      <c r="K1869" s="36"/>
      <c r="L1869" s="79"/>
      <c r="M1869" s="79"/>
      <c r="N1869" s="74"/>
      <c r="O1869" s="81" t="s">
        <v>695</v>
      </c>
      <c r="P1869" s="83">
        <v>44468.079641203702</v>
      </c>
      <c r="Q1869" s="81" t="s">
        <v>5642</v>
      </c>
      <c r="R1869" s="81"/>
      <c r="S1869" s="81"/>
      <c r="T1869" s="81"/>
      <c r="U1869" s="84" t="str">
        <f>HYPERLINK("https://pbs.twimg.com/ext_tw_video_thumb/1443031302198943747/pu/img/ZQ-Z9kaTwf13Qfpk.jpg")</f>
        <v>https://pbs.twimg.com/ext_tw_video_thumb/1443031302198943747/pu/img/ZQ-Z9kaTwf13Qfpk.jpg</v>
      </c>
      <c r="V1869" s="84" t="str">
        <f>HYPERLINK("https://pbs.twimg.com/ext_tw_video_thumb/1443031302198943747/pu/img/ZQ-Z9kaTwf13Qfpk.jpg")</f>
        <v>https://pbs.twimg.com/ext_tw_video_thumb/1443031302198943747/pu/img/ZQ-Z9kaTwf13Qfpk.jpg</v>
      </c>
      <c r="W1869" s="83">
        <v>44468.079641203702</v>
      </c>
      <c r="X1869" s="89">
        <v>44468</v>
      </c>
      <c r="Y1869" s="86" t="s">
        <v>6636</v>
      </c>
      <c r="Z1869" s="84" t="str">
        <f>HYPERLINK("https://twitter.com/luclavilo/status/1443031447615508487")</f>
        <v>https://twitter.com/luclavilo/status/1443031447615508487</v>
      </c>
      <c r="AA1869" s="81"/>
      <c r="AB1869" s="81"/>
      <c r="AC1869" s="86" t="s">
        <v>7560</v>
      </c>
      <c r="AD1869" s="86" t="s">
        <v>7774</v>
      </c>
      <c r="AE1869" s="81" t="b">
        <v>0</v>
      </c>
      <c r="AF1869" s="81">
        <v>5</v>
      </c>
      <c r="AG1869" s="86" t="s">
        <v>7945</v>
      </c>
      <c r="AH1869" s="81" t="b">
        <v>0</v>
      </c>
      <c r="AI1869" s="81" t="s">
        <v>2171</v>
      </c>
      <c r="AJ1869" s="81"/>
      <c r="AK1869" s="86" t="s">
        <v>2084</v>
      </c>
      <c r="AL1869" s="81" t="b">
        <v>0</v>
      </c>
      <c r="AM1869" s="81">
        <v>4</v>
      </c>
      <c r="AN1869" s="86" t="s">
        <v>2084</v>
      </c>
      <c r="AO1869" s="86" t="s">
        <v>2178</v>
      </c>
      <c r="AP1869" s="81" t="b">
        <v>0</v>
      </c>
      <c r="AQ1869" s="86" t="s">
        <v>7774</v>
      </c>
      <c r="AR1869" s="81" t="s">
        <v>693</v>
      </c>
      <c r="AS1869" s="81">
        <v>0</v>
      </c>
      <c r="AT1869" s="81">
        <v>0</v>
      </c>
      <c r="AU1869" s="81"/>
      <c r="AV1869" s="81"/>
      <c r="AW1869" s="81"/>
      <c r="AX1869" s="81"/>
      <c r="AY1869" s="81"/>
      <c r="AZ1869" s="81"/>
      <c r="BA1869" s="81"/>
      <c r="BB1869" s="81"/>
    </row>
    <row r="1870" spans="1:54" x14ac:dyDescent="0.35">
      <c r="A1870" s="66" t="s">
        <v>4957</v>
      </c>
      <c r="B1870" s="66" t="s">
        <v>4956</v>
      </c>
      <c r="C1870" s="67"/>
      <c r="D1870" s="68"/>
      <c r="E1870" s="69"/>
      <c r="F1870" s="70"/>
      <c r="G1870" s="67"/>
      <c r="H1870" s="71"/>
      <c r="I1870" s="72"/>
      <c r="J1870" s="72"/>
      <c r="K1870" s="36"/>
      <c r="L1870" s="79"/>
      <c r="M1870" s="79"/>
      <c r="N1870" s="74"/>
      <c r="O1870" s="81" t="s">
        <v>693</v>
      </c>
      <c r="P1870" s="83">
        <v>44468.088402777779</v>
      </c>
      <c r="Q1870" s="81" t="s">
        <v>5642</v>
      </c>
      <c r="R1870" s="81"/>
      <c r="S1870" s="81"/>
      <c r="T1870" s="81"/>
      <c r="U1870" s="84" t="str">
        <f>HYPERLINK("https://pbs.twimg.com/ext_tw_video_thumb/1443031302198943747/pu/img/ZQ-Z9kaTwf13Qfpk.jpg")</f>
        <v>https://pbs.twimg.com/ext_tw_video_thumb/1443031302198943747/pu/img/ZQ-Z9kaTwf13Qfpk.jpg</v>
      </c>
      <c r="V1870" s="84" t="str">
        <f>HYPERLINK("https://pbs.twimg.com/ext_tw_video_thumb/1443031302198943747/pu/img/ZQ-Z9kaTwf13Qfpk.jpg")</f>
        <v>https://pbs.twimg.com/ext_tw_video_thumb/1443031302198943747/pu/img/ZQ-Z9kaTwf13Qfpk.jpg</v>
      </c>
      <c r="W1870" s="83">
        <v>44468.088402777779</v>
      </c>
      <c r="X1870" s="89">
        <v>44468</v>
      </c>
      <c r="Y1870" s="86" t="s">
        <v>6637</v>
      </c>
      <c r="Z1870" s="84" t="str">
        <f>HYPERLINK("https://twitter.com/avante_pt/status/1443034621466365953")</f>
        <v>https://twitter.com/avante_pt/status/1443034621466365953</v>
      </c>
      <c r="AA1870" s="81"/>
      <c r="AB1870" s="81"/>
      <c r="AC1870" s="86" t="s">
        <v>7561</v>
      </c>
      <c r="AD1870" s="81"/>
      <c r="AE1870" s="81" t="b">
        <v>0</v>
      </c>
      <c r="AF1870" s="81">
        <v>0</v>
      </c>
      <c r="AG1870" s="86" t="s">
        <v>2084</v>
      </c>
      <c r="AH1870" s="81" t="b">
        <v>0</v>
      </c>
      <c r="AI1870" s="81" t="s">
        <v>2171</v>
      </c>
      <c r="AJ1870" s="81"/>
      <c r="AK1870" s="86" t="s">
        <v>2084</v>
      </c>
      <c r="AL1870" s="81" t="b">
        <v>0</v>
      </c>
      <c r="AM1870" s="81">
        <v>4</v>
      </c>
      <c r="AN1870" s="86" t="s">
        <v>7560</v>
      </c>
      <c r="AO1870" s="86" t="s">
        <v>2178</v>
      </c>
      <c r="AP1870" s="81" t="b">
        <v>0</v>
      </c>
      <c r="AQ1870" s="86" t="s">
        <v>7560</v>
      </c>
      <c r="AR1870" s="81" t="s">
        <v>179</v>
      </c>
      <c r="AS1870" s="81">
        <v>0</v>
      </c>
      <c r="AT1870" s="81">
        <v>0</v>
      </c>
      <c r="AU1870" s="81"/>
      <c r="AV1870" s="81"/>
      <c r="AW1870" s="81"/>
      <c r="AX1870" s="81"/>
      <c r="AY1870" s="81"/>
      <c r="AZ1870" s="81"/>
      <c r="BA1870" s="81"/>
      <c r="BB1870" s="81"/>
    </row>
    <row r="1871" spans="1:54" x14ac:dyDescent="0.35">
      <c r="A1871" s="66" t="s">
        <v>4957</v>
      </c>
      <c r="B1871" s="66" t="s">
        <v>5224</v>
      </c>
      <c r="C1871" s="67"/>
      <c r="D1871" s="68"/>
      <c r="E1871" s="69"/>
      <c r="F1871" s="70"/>
      <c r="G1871" s="67"/>
      <c r="H1871" s="71"/>
      <c r="I1871" s="72"/>
      <c r="J1871" s="72"/>
      <c r="K1871" s="36"/>
      <c r="L1871" s="79"/>
      <c r="M1871" s="79"/>
      <c r="N1871" s="74"/>
      <c r="O1871" s="81" t="s">
        <v>695</v>
      </c>
      <c r="P1871" s="83">
        <v>44468.088402777779</v>
      </c>
      <c r="Q1871" s="81" t="s">
        <v>5642</v>
      </c>
      <c r="R1871" s="81"/>
      <c r="S1871" s="81"/>
      <c r="T1871" s="81"/>
      <c r="U1871" s="84" t="str">
        <f>HYPERLINK("https://pbs.twimg.com/ext_tw_video_thumb/1443031302198943747/pu/img/ZQ-Z9kaTwf13Qfpk.jpg")</f>
        <v>https://pbs.twimg.com/ext_tw_video_thumb/1443031302198943747/pu/img/ZQ-Z9kaTwf13Qfpk.jpg</v>
      </c>
      <c r="V1871" s="84" t="str">
        <f>HYPERLINK("https://pbs.twimg.com/ext_tw_video_thumb/1443031302198943747/pu/img/ZQ-Z9kaTwf13Qfpk.jpg")</f>
        <v>https://pbs.twimg.com/ext_tw_video_thumb/1443031302198943747/pu/img/ZQ-Z9kaTwf13Qfpk.jpg</v>
      </c>
      <c r="W1871" s="83">
        <v>44468.088402777779</v>
      </c>
      <c r="X1871" s="89">
        <v>44468</v>
      </c>
      <c r="Y1871" s="86" t="s">
        <v>6637</v>
      </c>
      <c r="Z1871" s="84" t="str">
        <f>HYPERLINK("https://twitter.com/avante_pt/status/1443034621466365953")</f>
        <v>https://twitter.com/avante_pt/status/1443034621466365953</v>
      </c>
      <c r="AA1871" s="81"/>
      <c r="AB1871" s="81"/>
      <c r="AC1871" s="86" t="s">
        <v>7561</v>
      </c>
      <c r="AD1871" s="81"/>
      <c r="AE1871" s="81" t="b">
        <v>0</v>
      </c>
      <c r="AF1871" s="81">
        <v>0</v>
      </c>
      <c r="AG1871" s="86" t="s">
        <v>2084</v>
      </c>
      <c r="AH1871" s="81" t="b">
        <v>0</v>
      </c>
      <c r="AI1871" s="81" t="s">
        <v>2171</v>
      </c>
      <c r="AJ1871" s="81"/>
      <c r="AK1871" s="86" t="s">
        <v>2084</v>
      </c>
      <c r="AL1871" s="81" t="b">
        <v>0</v>
      </c>
      <c r="AM1871" s="81">
        <v>4</v>
      </c>
      <c r="AN1871" s="86" t="s">
        <v>7560</v>
      </c>
      <c r="AO1871" s="86" t="s">
        <v>2178</v>
      </c>
      <c r="AP1871" s="81" t="b">
        <v>0</v>
      </c>
      <c r="AQ1871" s="86" t="s">
        <v>7560</v>
      </c>
      <c r="AR1871" s="81" t="s">
        <v>179</v>
      </c>
      <c r="AS1871" s="81">
        <v>0</v>
      </c>
      <c r="AT1871" s="81">
        <v>0</v>
      </c>
      <c r="AU1871" s="81"/>
      <c r="AV1871" s="81"/>
      <c r="AW1871" s="81"/>
      <c r="AX1871" s="81"/>
      <c r="AY1871" s="81"/>
      <c r="AZ1871" s="81"/>
      <c r="BA1871" s="81"/>
      <c r="BB1871" s="81"/>
    </row>
    <row r="1872" spans="1:54" x14ac:dyDescent="0.35">
      <c r="A1872" s="66" t="s">
        <v>4958</v>
      </c>
      <c r="B1872" s="66" t="s">
        <v>4958</v>
      </c>
      <c r="C1872" s="67"/>
      <c r="D1872" s="68"/>
      <c r="E1872" s="69"/>
      <c r="F1872" s="70"/>
      <c r="G1872" s="67"/>
      <c r="H1872" s="71"/>
      <c r="I1872" s="72"/>
      <c r="J1872" s="72"/>
      <c r="K1872" s="36"/>
      <c r="L1872" s="79"/>
      <c r="M1872" s="79"/>
      <c r="N1872" s="74"/>
      <c r="O1872" s="81" t="s">
        <v>179</v>
      </c>
      <c r="P1872" s="83">
        <v>44468.067372685182</v>
      </c>
      <c r="Q1872" s="81" t="s">
        <v>5643</v>
      </c>
      <c r="R1872" s="81"/>
      <c r="S1872" s="81"/>
      <c r="T1872" s="86" t="s">
        <v>5787</v>
      </c>
      <c r="U1872" s="81"/>
      <c r="V1872" s="84" t="str">
        <f>HYPERLINK("https://pbs.twimg.com/profile_images/1440838601286160392/BVzN3Psg_normal.jpg")</f>
        <v>https://pbs.twimg.com/profile_images/1440838601286160392/BVzN3Psg_normal.jpg</v>
      </c>
      <c r="W1872" s="83">
        <v>44468.067372685182</v>
      </c>
      <c r="X1872" s="89">
        <v>44468</v>
      </c>
      <c r="Y1872" s="86" t="s">
        <v>6638</v>
      </c>
      <c r="Z1872" s="84" t="str">
        <f>HYPERLINK("https://twitter.com/nideoliveira71/status/1443026999312850948")</f>
        <v>https://twitter.com/nideoliveira71/status/1443026999312850948</v>
      </c>
      <c r="AA1872" s="81"/>
      <c r="AB1872" s="81"/>
      <c r="AC1872" s="86" t="s">
        <v>7562</v>
      </c>
      <c r="AD1872" s="81"/>
      <c r="AE1872" s="81" t="b">
        <v>0</v>
      </c>
      <c r="AF1872" s="81">
        <v>1</v>
      </c>
      <c r="AG1872" s="86" t="s">
        <v>2084</v>
      </c>
      <c r="AH1872" s="81" t="b">
        <v>0</v>
      </c>
      <c r="AI1872" s="81" t="s">
        <v>2171</v>
      </c>
      <c r="AJ1872" s="81"/>
      <c r="AK1872" s="86" t="s">
        <v>2084</v>
      </c>
      <c r="AL1872" s="81" t="b">
        <v>0</v>
      </c>
      <c r="AM1872" s="81">
        <v>1</v>
      </c>
      <c r="AN1872" s="86" t="s">
        <v>2084</v>
      </c>
      <c r="AO1872" s="86" t="s">
        <v>2181</v>
      </c>
      <c r="AP1872" s="81" t="b">
        <v>0</v>
      </c>
      <c r="AQ1872" s="86" t="s">
        <v>7562</v>
      </c>
      <c r="AR1872" s="81" t="s">
        <v>179</v>
      </c>
      <c r="AS1872" s="81">
        <v>0</v>
      </c>
      <c r="AT1872" s="81">
        <v>0</v>
      </c>
      <c r="AU1872" s="81"/>
      <c r="AV1872" s="81"/>
      <c r="AW1872" s="81"/>
      <c r="AX1872" s="81"/>
      <c r="AY1872" s="81"/>
      <c r="AZ1872" s="81"/>
      <c r="BA1872" s="81"/>
      <c r="BB1872" s="81"/>
    </row>
    <row r="1873" spans="1:54" x14ac:dyDescent="0.35">
      <c r="A1873" s="66" t="s">
        <v>4959</v>
      </c>
      <c r="B1873" s="66" t="s">
        <v>4958</v>
      </c>
      <c r="C1873" s="67"/>
      <c r="D1873" s="68"/>
      <c r="E1873" s="69"/>
      <c r="F1873" s="70"/>
      <c r="G1873" s="67"/>
      <c r="H1873" s="71"/>
      <c r="I1873" s="72"/>
      <c r="J1873" s="72"/>
      <c r="K1873" s="36"/>
      <c r="L1873" s="79"/>
      <c r="M1873" s="79"/>
      <c r="N1873" s="74"/>
      <c r="O1873" s="81" t="s">
        <v>693</v>
      </c>
      <c r="P1873" s="83">
        <v>44468.100462962961</v>
      </c>
      <c r="Q1873" s="81" t="s">
        <v>5643</v>
      </c>
      <c r="R1873" s="81"/>
      <c r="S1873" s="81"/>
      <c r="T1873" s="86" t="s">
        <v>5787</v>
      </c>
      <c r="U1873" s="81"/>
      <c r="V1873" s="84" t="str">
        <f>HYPERLINK("https://pbs.twimg.com/profile_images/1441965729088040964/IhqRTFX9_normal.jpg")</f>
        <v>https://pbs.twimg.com/profile_images/1441965729088040964/IhqRTFX9_normal.jpg</v>
      </c>
      <c r="W1873" s="83">
        <v>44468.100462962961</v>
      </c>
      <c r="X1873" s="89">
        <v>44468</v>
      </c>
      <c r="Y1873" s="86" t="s">
        <v>6639</v>
      </c>
      <c r="Z1873" s="84" t="str">
        <f>HYPERLINK("https://twitter.com/natransversal/status/1443038992027557889")</f>
        <v>https://twitter.com/natransversal/status/1443038992027557889</v>
      </c>
      <c r="AA1873" s="81"/>
      <c r="AB1873" s="81"/>
      <c r="AC1873" s="86" t="s">
        <v>7563</v>
      </c>
      <c r="AD1873" s="81"/>
      <c r="AE1873" s="81" t="b">
        <v>0</v>
      </c>
      <c r="AF1873" s="81">
        <v>0</v>
      </c>
      <c r="AG1873" s="86" t="s">
        <v>2084</v>
      </c>
      <c r="AH1873" s="81" t="b">
        <v>0</v>
      </c>
      <c r="AI1873" s="81" t="s">
        <v>2171</v>
      </c>
      <c r="AJ1873" s="81"/>
      <c r="AK1873" s="86" t="s">
        <v>2084</v>
      </c>
      <c r="AL1873" s="81" t="b">
        <v>0</v>
      </c>
      <c r="AM1873" s="81">
        <v>1</v>
      </c>
      <c r="AN1873" s="86" t="s">
        <v>7562</v>
      </c>
      <c r="AO1873" s="86" t="s">
        <v>2181</v>
      </c>
      <c r="AP1873" s="81" t="b">
        <v>0</v>
      </c>
      <c r="AQ1873" s="86" t="s">
        <v>7562</v>
      </c>
      <c r="AR1873" s="81" t="s">
        <v>179</v>
      </c>
      <c r="AS1873" s="81">
        <v>0</v>
      </c>
      <c r="AT1873" s="81">
        <v>0</v>
      </c>
      <c r="AU1873" s="81"/>
      <c r="AV1873" s="81"/>
      <c r="AW1873" s="81"/>
      <c r="AX1873" s="81"/>
      <c r="AY1873" s="81"/>
      <c r="AZ1873" s="81"/>
      <c r="BA1873" s="81"/>
      <c r="BB1873" s="81"/>
    </row>
    <row r="1874" spans="1:54" x14ac:dyDescent="0.35">
      <c r="A1874" s="66" t="s">
        <v>4960</v>
      </c>
      <c r="B1874" s="66" t="s">
        <v>4960</v>
      </c>
      <c r="C1874" s="67"/>
      <c r="D1874" s="68"/>
      <c r="E1874" s="69"/>
      <c r="F1874" s="70"/>
      <c r="G1874" s="67"/>
      <c r="H1874" s="71"/>
      <c r="I1874" s="72"/>
      <c r="J1874" s="72"/>
      <c r="K1874" s="36"/>
      <c r="L1874" s="79"/>
      <c r="M1874" s="79"/>
      <c r="N1874" s="74"/>
      <c r="O1874" s="81" t="s">
        <v>179</v>
      </c>
      <c r="P1874" s="83">
        <v>44465.522847222222</v>
      </c>
      <c r="Q1874" s="81" t="s">
        <v>5644</v>
      </c>
      <c r="R1874" s="84" t="str">
        <f>HYPERLINK("https://twitter.com/em_com/status/1442100048985219072")</f>
        <v>https://twitter.com/em_com/status/1442100048985219072</v>
      </c>
      <c r="S1874" s="81" t="s">
        <v>936</v>
      </c>
      <c r="T1874" s="81"/>
      <c r="U1874" s="84" t="str">
        <f>HYPERLINK("https://pbs.twimg.com/media/FANiwD-UcAQjjNw.jpg")</f>
        <v>https://pbs.twimg.com/media/FANiwD-UcAQjjNw.jpg</v>
      </c>
      <c r="V1874" s="84" t="str">
        <f>HYPERLINK("https://pbs.twimg.com/media/FANiwD-UcAQjjNw.jpg")</f>
        <v>https://pbs.twimg.com/media/FANiwD-UcAQjjNw.jpg</v>
      </c>
      <c r="W1874" s="83">
        <v>44465.522847222222</v>
      </c>
      <c r="X1874" s="89">
        <v>44465</v>
      </c>
      <c r="Y1874" s="86" t="s">
        <v>6640</v>
      </c>
      <c r="Z1874" s="84" t="str">
        <f>HYPERLINK("https://twitter.com/oiasmargenspla1/status/1442104894651961346")</f>
        <v>https://twitter.com/oiasmargenspla1/status/1442104894651961346</v>
      </c>
      <c r="AA1874" s="81"/>
      <c r="AB1874" s="81"/>
      <c r="AC1874" s="86" t="s">
        <v>7564</v>
      </c>
      <c r="AD1874" s="81"/>
      <c r="AE1874" s="81" t="b">
        <v>0</v>
      </c>
      <c r="AF1874" s="81">
        <v>0</v>
      </c>
      <c r="AG1874" s="86" t="s">
        <v>2084</v>
      </c>
      <c r="AH1874" s="81" t="b">
        <v>1</v>
      </c>
      <c r="AI1874" s="81" t="s">
        <v>2171</v>
      </c>
      <c r="AJ1874" s="81"/>
      <c r="AK1874" s="86" t="s">
        <v>7969</v>
      </c>
      <c r="AL1874" s="81" t="b">
        <v>0</v>
      </c>
      <c r="AM1874" s="81">
        <v>0</v>
      </c>
      <c r="AN1874" s="86" t="s">
        <v>2084</v>
      </c>
      <c r="AO1874" s="86" t="s">
        <v>2178</v>
      </c>
      <c r="AP1874" s="81" t="b">
        <v>0</v>
      </c>
      <c r="AQ1874" s="86" t="s">
        <v>7564</v>
      </c>
      <c r="AR1874" s="81" t="s">
        <v>179</v>
      </c>
      <c r="AS1874" s="81">
        <v>0</v>
      </c>
      <c r="AT1874" s="81">
        <v>0</v>
      </c>
      <c r="AU1874" s="81"/>
      <c r="AV1874" s="81"/>
      <c r="AW1874" s="81"/>
      <c r="AX1874" s="81"/>
      <c r="AY1874" s="81"/>
      <c r="AZ1874" s="81"/>
      <c r="BA1874" s="81"/>
      <c r="BB1874" s="81"/>
    </row>
    <row r="1875" spans="1:54" x14ac:dyDescent="0.35">
      <c r="A1875" s="66" t="s">
        <v>4960</v>
      </c>
      <c r="B1875" s="66" t="s">
        <v>4960</v>
      </c>
      <c r="C1875" s="67"/>
      <c r="D1875" s="68"/>
      <c r="E1875" s="69"/>
      <c r="F1875" s="70"/>
      <c r="G1875" s="67"/>
      <c r="H1875" s="71"/>
      <c r="I1875" s="72"/>
      <c r="J1875" s="72"/>
      <c r="K1875" s="36"/>
      <c r="L1875" s="79"/>
      <c r="M1875" s="79"/>
      <c r="N1875" s="74"/>
      <c r="O1875" s="81" t="s">
        <v>179</v>
      </c>
      <c r="P1875" s="83">
        <v>44465.608599537038</v>
      </c>
      <c r="Q1875" s="81" t="s">
        <v>5645</v>
      </c>
      <c r="R1875" s="84" t="str">
        <f>HYPERLINK("https://twitter.com/DiarioPE/status/1442133531724034053")</f>
        <v>https://twitter.com/DiarioPE/status/1442133531724034053</v>
      </c>
      <c r="S1875" s="81" t="s">
        <v>936</v>
      </c>
      <c r="T1875" s="81"/>
      <c r="U1875" s="84" t="str">
        <f>HYPERLINK("https://pbs.twimg.com/media/FAN_BVcVkAI82j7.jpg")</f>
        <v>https://pbs.twimg.com/media/FAN_BVcVkAI82j7.jpg</v>
      </c>
      <c r="V1875" s="84" t="str">
        <f>HYPERLINK("https://pbs.twimg.com/media/FAN_BVcVkAI82j7.jpg")</f>
        <v>https://pbs.twimg.com/media/FAN_BVcVkAI82j7.jpg</v>
      </c>
      <c r="W1875" s="83">
        <v>44465.608599537038</v>
      </c>
      <c r="X1875" s="89">
        <v>44465</v>
      </c>
      <c r="Y1875" s="86" t="s">
        <v>6641</v>
      </c>
      <c r="Z1875" s="84" t="str">
        <f>HYPERLINK("https://twitter.com/oiasmargenspla1/status/1442135970157973505")</f>
        <v>https://twitter.com/oiasmargenspla1/status/1442135970157973505</v>
      </c>
      <c r="AA1875" s="81"/>
      <c r="AB1875" s="81"/>
      <c r="AC1875" s="86" t="s">
        <v>7565</v>
      </c>
      <c r="AD1875" s="81"/>
      <c r="AE1875" s="81" t="b">
        <v>0</v>
      </c>
      <c r="AF1875" s="81">
        <v>0</v>
      </c>
      <c r="AG1875" s="86" t="s">
        <v>2084</v>
      </c>
      <c r="AH1875" s="81" t="b">
        <v>1</v>
      </c>
      <c r="AI1875" s="81" t="s">
        <v>2171</v>
      </c>
      <c r="AJ1875" s="81"/>
      <c r="AK1875" s="86" t="s">
        <v>7970</v>
      </c>
      <c r="AL1875" s="81" t="b">
        <v>0</v>
      </c>
      <c r="AM1875" s="81">
        <v>0</v>
      </c>
      <c r="AN1875" s="86" t="s">
        <v>2084</v>
      </c>
      <c r="AO1875" s="86" t="s">
        <v>2178</v>
      </c>
      <c r="AP1875" s="81" t="b">
        <v>0</v>
      </c>
      <c r="AQ1875" s="86" t="s">
        <v>7565</v>
      </c>
      <c r="AR1875" s="81" t="s">
        <v>179</v>
      </c>
      <c r="AS1875" s="81">
        <v>0</v>
      </c>
      <c r="AT1875" s="81">
        <v>0</v>
      </c>
      <c r="AU1875" s="81"/>
      <c r="AV1875" s="81"/>
      <c r="AW1875" s="81"/>
      <c r="AX1875" s="81"/>
      <c r="AY1875" s="81"/>
      <c r="AZ1875" s="81"/>
      <c r="BA1875" s="81"/>
      <c r="BB1875" s="81"/>
    </row>
    <row r="1876" spans="1:54" x14ac:dyDescent="0.35">
      <c r="A1876" s="66" t="s">
        <v>4960</v>
      </c>
      <c r="B1876" s="66" t="s">
        <v>4960</v>
      </c>
      <c r="C1876" s="67"/>
      <c r="D1876" s="68"/>
      <c r="E1876" s="69"/>
      <c r="F1876" s="70"/>
      <c r="G1876" s="67"/>
      <c r="H1876" s="71"/>
      <c r="I1876" s="72"/>
      <c r="J1876" s="72"/>
      <c r="K1876" s="36"/>
      <c r="L1876" s="79"/>
      <c r="M1876" s="79"/>
      <c r="N1876" s="74"/>
      <c r="O1876" s="81" t="s">
        <v>179</v>
      </c>
      <c r="P1876" s="83">
        <v>44466.512002314812</v>
      </c>
      <c r="Q1876" s="81" t="s">
        <v>5646</v>
      </c>
      <c r="R1876" s="84" t="str">
        <f>HYPERLINK("https://twitter.com/em_com/status/1442442870477180930")</f>
        <v>https://twitter.com/em_com/status/1442442870477180930</v>
      </c>
      <c r="S1876" s="81" t="s">
        <v>936</v>
      </c>
      <c r="T1876" s="81"/>
      <c r="U1876" s="84" t="str">
        <f>HYPERLINK("https://pbs.twimg.com/media/FASoxc6XIAAltu7.jpg")</f>
        <v>https://pbs.twimg.com/media/FASoxc6XIAAltu7.jpg</v>
      </c>
      <c r="V1876" s="84" t="str">
        <f>HYPERLINK("https://pbs.twimg.com/media/FASoxc6XIAAltu7.jpg")</f>
        <v>https://pbs.twimg.com/media/FASoxc6XIAAltu7.jpg</v>
      </c>
      <c r="W1876" s="83">
        <v>44466.512002314812</v>
      </c>
      <c r="X1876" s="89">
        <v>44466</v>
      </c>
      <c r="Y1876" s="86" t="s">
        <v>6642</v>
      </c>
      <c r="Z1876" s="84" t="str">
        <f>HYPERLINK("https://twitter.com/oiasmargenspla1/status/1442463350764576770")</f>
        <v>https://twitter.com/oiasmargenspla1/status/1442463350764576770</v>
      </c>
      <c r="AA1876" s="81"/>
      <c r="AB1876" s="81"/>
      <c r="AC1876" s="86" t="s">
        <v>7566</v>
      </c>
      <c r="AD1876" s="81"/>
      <c r="AE1876" s="81" t="b">
        <v>0</v>
      </c>
      <c r="AF1876" s="81">
        <v>0</v>
      </c>
      <c r="AG1876" s="86" t="s">
        <v>2084</v>
      </c>
      <c r="AH1876" s="81" t="b">
        <v>1</v>
      </c>
      <c r="AI1876" s="81" t="s">
        <v>2171</v>
      </c>
      <c r="AJ1876" s="81"/>
      <c r="AK1876" s="86" t="s">
        <v>7971</v>
      </c>
      <c r="AL1876" s="81" t="b">
        <v>0</v>
      </c>
      <c r="AM1876" s="81">
        <v>0</v>
      </c>
      <c r="AN1876" s="86" t="s">
        <v>2084</v>
      </c>
      <c r="AO1876" s="86" t="s">
        <v>2178</v>
      </c>
      <c r="AP1876" s="81" t="b">
        <v>0</v>
      </c>
      <c r="AQ1876" s="86" t="s">
        <v>7566</v>
      </c>
      <c r="AR1876" s="81" t="s">
        <v>179</v>
      </c>
      <c r="AS1876" s="81">
        <v>0</v>
      </c>
      <c r="AT1876" s="81">
        <v>0</v>
      </c>
      <c r="AU1876" s="81"/>
      <c r="AV1876" s="81"/>
      <c r="AW1876" s="81"/>
      <c r="AX1876" s="81"/>
      <c r="AY1876" s="81"/>
      <c r="AZ1876" s="81"/>
      <c r="BA1876" s="81"/>
      <c r="BB1876" s="81"/>
    </row>
    <row r="1877" spans="1:54" x14ac:dyDescent="0.35">
      <c r="A1877" s="66" t="s">
        <v>4960</v>
      </c>
      <c r="B1877" s="66" t="s">
        <v>4960</v>
      </c>
      <c r="C1877" s="67"/>
      <c r="D1877" s="68"/>
      <c r="E1877" s="69"/>
      <c r="F1877" s="70"/>
      <c r="G1877" s="67"/>
      <c r="H1877" s="71"/>
      <c r="I1877" s="72"/>
      <c r="J1877" s="72"/>
      <c r="K1877" s="36"/>
      <c r="L1877" s="79"/>
      <c r="M1877" s="79"/>
      <c r="N1877" s="74"/>
      <c r="O1877" s="81" t="s">
        <v>179</v>
      </c>
      <c r="P1877" s="83">
        <v>44466.667488425926</v>
      </c>
      <c r="Q1877" s="81" t="s">
        <v>5647</v>
      </c>
      <c r="R1877" s="84" t="str">
        <f>HYPERLINK("https://twitter.com/opovo/status/1442281595042336772")</f>
        <v>https://twitter.com/opovo/status/1442281595042336772</v>
      </c>
      <c r="S1877" s="81" t="s">
        <v>936</v>
      </c>
      <c r="T1877" s="81"/>
      <c r="U1877" s="84" t="str">
        <f>HYPERLINK("https://pbs.twimg.com/media/FATcA6kVEAIfcoQ.jpg")</f>
        <v>https://pbs.twimg.com/media/FATcA6kVEAIfcoQ.jpg</v>
      </c>
      <c r="V1877" s="84" t="str">
        <f>HYPERLINK("https://pbs.twimg.com/media/FATcA6kVEAIfcoQ.jpg")</f>
        <v>https://pbs.twimg.com/media/FATcA6kVEAIfcoQ.jpg</v>
      </c>
      <c r="W1877" s="83">
        <v>44466.667488425926</v>
      </c>
      <c r="X1877" s="89">
        <v>44466</v>
      </c>
      <c r="Y1877" s="86" t="s">
        <v>6643</v>
      </c>
      <c r="Z1877" s="84" t="str">
        <f>HYPERLINK("https://twitter.com/oiasmargenspla1/status/1442519697480732677")</f>
        <v>https://twitter.com/oiasmargenspla1/status/1442519697480732677</v>
      </c>
      <c r="AA1877" s="81"/>
      <c r="AB1877" s="81"/>
      <c r="AC1877" s="86" t="s">
        <v>7567</v>
      </c>
      <c r="AD1877" s="81"/>
      <c r="AE1877" s="81" t="b">
        <v>0</v>
      </c>
      <c r="AF1877" s="81">
        <v>0</v>
      </c>
      <c r="AG1877" s="86" t="s">
        <v>2084</v>
      </c>
      <c r="AH1877" s="81" t="b">
        <v>1</v>
      </c>
      <c r="AI1877" s="81" t="s">
        <v>2171</v>
      </c>
      <c r="AJ1877" s="81"/>
      <c r="AK1877" s="86" t="s">
        <v>7972</v>
      </c>
      <c r="AL1877" s="81" t="b">
        <v>0</v>
      </c>
      <c r="AM1877" s="81">
        <v>0</v>
      </c>
      <c r="AN1877" s="86" t="s">
        <v>2084</v>
      </c>
      <c r="AO1877" s="86" t="s">
        <v>2178</v>
      </c>
      <c r="AP1877" s="81" t="b">
        <v>0</v>
      </c>
      <c r="AQ1877" s="86" t="s">
        <v>7567</v>
      </c>
      <c r="AR1877" s="81" t="s">
        <v>179</v>
      </c>
      <c r="AS1877" s="81">
        <v>0</v>
      </c>
      <c r="AT1877" s="81">
        <v>0</v>
      </c>
      <c r="AU1877" s="81"/>
      <c r="AV1877" s="81"/>
      <c r="AW1877" s="81"/>
      <c r="AX1877" s="81"/>
      <c r="AY1877" s="81"/>
      <c r="AZ1877" s="81"/>
      <c r="BA1877" s="81"/>
      <c r="BB1877" s="81"/>
    </row>
    <row r="1878" spans="1:54" x14ac:dyDescent="0.35">
      <c r="A1878" s="66" t="s">
        <v>4960</v>
      </c>
      <c r="B1878" s="66" t="s">
        <v>4960</v>
      </c>
      <c r="C1878" s="67"/>
      <c r="D1878" s="68"/>
      <c r="E1878" s="69"/>
      <c r="F1878" s="70"/>
      <c r="G1878" s="67"/>
      <c r="H1878" s="71"/>
      <c r="I1878" s="72"/>
      <c r="J1878" s="72"/>
      <c r="K1878" s="36"/>
      <c r="L1878" s="79"/>
      <c r="M1878" s="79"/>
      <c r="N1878" s="74"/>
      <c r="O1878" s="81" t="s">
        <v>179</v>
      </c>
      <c r="P1878" s="83">
        <v>44466.672303240739</v>
      </c>
      <c r="Q1878" s="81" t="s">
        <v>5648</v>
      </c>
      <c r="R1878" s="84" t="str">
        <f>HYPERLINK("https://twitter.com/Darth_Re/status/1442514483037888514")</f>
        <v>https://twitter.com/Darth_Re/status/1442514483037888514</v>
      </c>
      <c r="S1878" s="81" t="s">
        <v>936</v>
      </c>
      <c r="T1878" s="81"/>
      <c r="U1878" s="84" t="str">
        <f>HYPERLINK("https://pbs.twimg.com/media/FATdmJnUUAIRJnf.jpg")</f>
        <v>https://pbs.twimg.com/media/FATdmJnUUAIRJnf.jpg</v>
      </c>
      <c r="V1878" s="84" t="str">
        <f>HYPERLINK("https://pbs.twimg.com/media/FATdmJnUUAIRJnf.jpg")</f>
        <v>https://pbs.twimg.com/media/FATdmJnUUAIRJnf.jpg</v>
      </c>
      <c r="W1878" s="83">
        <v>44466.672303240739</v>
      </c>
      <c r="X1878" s="89">
        <v>44466</v>
      </c>
      <c r="Y1878" s="86" t="s">
        <v>6644</v>
      </c>
      <c r="Z1878" s="84" t="str">
        <f>HYPERLINK("https://twitter.com/oiasmargenspla1/status/1442521442210439168")</f>
        <v>https://twitter.com/oiasmargenspla1/status/1442521442210439168</v>
      </c>
      <c r="AA1878" s="81"/>
      <c r="AB1878" s="81"/>
      <c r="AC1878" s="86" t="s">
        <v>7568</v>
      </c>
      <c r="AD1878" s="81"/>
      <c r="AE1878" s="81" t="b">
        <v>0</v>
      </c>
      <c r="AF1878" s="81">
        <v>1</v>
      </c>
      <c r="AG1878" s="86" t="s">
        <v>2084</v>
      </c>
      <c r="AH1878" s="81" t="b">
        <v>1</v>
      </c>
      <c r="AI1878" s="81" t="s">
        <v>2171</v>
      </c>
      <c r="AJ1878" s="81"/>
      <c r="AK1878" s="86" t="s">
        <v>7973</v>
      </c>
      <c r="AL1878" s="81" t="b">
        <v>0</v>
      </c>
      <c r="AM1878" s="81">
        <v>0</v>
      </c>
      <c r="AN1878" s="86" t="s">
        <v>2084</v>
      </c>
      <c r="AO1878" s="86" t="s">
        <v>2178</v>
      </c>
      <c r="AP1878" s="81" t="b">
        <v>0</v>
      </c>
      <c r="AQ1878" s="86" t="s">
        <v>7568</v>
      </c>
      <c r="AR1878" s="81" t="s">
        <v>179</v>
      </c>
      <c r="AS1878" s="81">
        <v>0</v>
      </c>
      <c r="AT1878" s="81">
        <v>0</v>
      </c>
      <c r="AU1878" s="81"/>
      <c r="AV1878" s="81"/>
      <c r="AW1878" s="81"/>
      <c r="AX1878" s="81"/>
      <c r="AY1878" s="81"/>
      <c r="AZ1878" s="81"/>
      <c r="BA1878" s="81"/>
      <c r="BB1878" s="81"/>
    </row>
    <row r="1879" spans="1:54" x14ac:dyDescent="0.35">
      <c r="A1879" s="66" t="s">
        <v>4960</v>
      </c>
      <c r="B1879" s="66" t="s">
        <v>4960</v>
      </c>
      <c r="C1879" s="67"/>
      <c r="D1879" s="68"/>
      <c r="E1879" s="69"/>
      <c r="F1879" s="70"/>
      <c r="G1879" s="67"/>
      <c r="H1879" s="71"/>
      <c r="I1879" s="72"/>
      <c r="J1879" s="72"/>
      <c r="K1879" s="36"/>
      <c r="L1879" s="79"/>
      <c r="M1879" s="79"/>
      <c r="N1879" s="74"/>
      <c r="O1879" s="81" t="s">
        <v>179</v>
      </c>
      <c r="P1879" s="83">
        <v>44467.485138888886</v>
      </c>
      <c r="Q1879" s="81" t="s">
        <v>5649</v>
      </c>
      <c r="R1879" s="84" t="str">
        <f>HYPERLINK("https://twitter.com/em_com/status/1442811910873919488")</f>
        <v>https://twitter.com/em_com/status/1442811910873919488</v>
      </c>
      <c r="S1879" s="81" t="s">
        <v>936</v>
      </c>
      <c r="T1879" s="81"/>
      <c r="U1879" s="84" t="str">
        <f>HYPERLINK("https://pbs.twimg.com/media/FAXpf1xXEAU_ICe.jpg")</f>
        <v>https://pbs.twimg.com/media/FAXpf1xXEAU_ICe.jpg</v>
      </c>
      <c r="V1879" s="84" t="str">
        <f>HYPERLINK("https://pbs.twimg.com/media/FAXpf1xXEAU_ICe.jpg")</f>
        <v>https://pbs.twimg.com/media/FAXpf1xXEAU_ICe.jpg</v>
      </c>
      <c r="W1879" s="83">
        <v>44467.485138888886</v>
      </c>
      <c r="X1879" s="89">
        <v>44467</v>
      </c>
      <c r="Y1879" s="86" t="s">
        <v>6645</v>
      </c>
      <c r="Z1879" s="84" t="str">
        <f>HYPERLINK("https://twitter.com/oiasmargenspla1/status/1442816004682354692")</f>
        <v>https://twitter.com/oiasmargenspla1/status/1442816004682354692</v>
      </c>
      <c r="AA1879" s="81"/>
      <c r="AB1879" s="81"/>
      <c r="AC1879" s="86" t="s">
        <v>7569</v>
      </c>
      <c r="AD1879" s="81"/>
      <c r="AE1879" s="81" t="b">
        <v>0</v>
      </c>
      <c r="AF1879" s="81">
        <v>0</v>
      </c>
      <c r="AG1879" s="86" t="s">
        <v>2084</v>
      </c>
      <c r="AH1879" s="81" t="b">
        <v>1</v>
      </c>
      <c r="AI1879" s="81" t="s">
        <v>2171</v>
      </c>
      <c r="AJ1879" s="81"/>
      <c r="AK1879" s="86" t="s">
        <v>7974</v>
      </c>
      <c r="AL1879" s="81" t="b">
        <v>0</v>
      </c>
      <c r="AM1879" s="81">
        <v>0</v>
      </c>
      <c r="AN1879" s="86" t="s">
        <v>2084</v>
      </c>
      <c r="AO1879" s="86" t="s">
        <v>2178</v>
      </c>
      <c r="AP1879" s="81" t="b">
        <v>0</v>
      </c>
      <c r="AQ1879" s="86" t="s">
        <v>7569</v>
      </c>
      <c r="AR1879" s="81" t="s">
        <v>179</v>
      </c>
      <c r="AS1879" s="81">
        <v>0</v>
      </c>
      <c r="AT1879" s="81">
        <v>0</v>
      </c>
      <c r="AU1879" s="81"/>
      <c r="AV1879" s="81"/>
      <c r="AW1879" s="81"/>
      <c r="AX1879" s="81"/>
      <c r="AY1879" s="81"/>
      <c r="AZ1879" s="81"/>
      <c r="BA1879" s="81"/>
      <c r="BB1879" s="81"/>
    </row>
    <row r="1880" spans="1:54" x14ac:dyDescent="0.35">
      <c r="A1880" s="66" t="s">
        <v>4960</v>
      </c>
      <c r="B1880" s="66" t="s">
        <v>4960</v>
      </c>
      <c r="C1880" s="67"/>
      <c r="D1880" s="68"/>
      <c r="E1880" s="69"/>
      <c r="F1880" s="70"/>
      <c r="G1880" s="67"/>
      <c r="H1880" s="71"/>
      <c r="I1880" s="72"/>
      <c r="J1880" s="72"/>
      <c r="K1880" s="36"/>
      <c r="L1880" s="79"/>
      <c r="M1880" s="79"/>
      <c r="N1880" s="74"/>
      <c r="O1880" s="81" t="s">
        <v>179</v>
      </c>
      <c r="P1880" s="83">
        <v>44468.100995370369</v>
      </c>
      <c r="Q1880" s="81" t="s">
        <v>5650</v>
      </c>
      <c r="R1880" s="84" t="str">
        <f>HYPERLINK("https://twitter.com/DiarioPE/status/1443035299030962181")</f>
        <v>https://twitter.com/DiarioPE/status/1443035299030962181</v>
      </c>
      <c r="S1880" s="81" t="s">
        <v>936</v>
      </c>
      <c r="T1880" s="81"/>
      <c r="U1880" s="84" t="str">
        <f>HYPERLINK("https://pbs.twimg.com/media/FAa0fCpXsA8bamc.jpg")</f>
        <v>https://pbs.twimg.com/media/FAa0fCpXsA8bamc.jpg</v>
      </c>
      <c r="V1880" s="84" t="str">
        <f>HYPERLINK("https://pbs.twimg.com/media/FAa0fCpXsA8bamc.jpg")</f>
        <v>https://pbs.twimg.com/media/FAa0fCpXsA8bamc.jpg</v>
      </c>
      <c r="W1880" s="83">
        <v>44468.100995370369</v>
      </c>
      <c r="X1880" s="89">
        <v>44468</v>
      </c>
      <c r="Y1880" s="86" t="s">
        <v>1474</v>
      </c>
      <c r="Z1880" s="84" t="str">
        <f>HYPERLINK("https://twitter.com/oiasmargenspla1/status/1443039184252456963")</f>
        <v>https://twitter.com/oiasmargenspla1/status/1443039184252456963</v>
      </c>
      <c r="AA1880" s="81"/>
      <c r="AB1880" s="81"/>
      <c r="AC1880" s="86" t="s">
        <v>7570</v>
      </c>
      <c r="AD1880" s="81"/>
      <c r="AE1880" s="81" t="b">
        <v>0</v>
      </c>
      <c r="AF1880" s="81">
        <v>0</v>
      </c>
      <c r="AG1880" s="86" t="s">
        <v>2084</v>
      </c>
      <c r="AH1880" s="81" t="b">
        <v>1</v>
      </c>
      <c r="AI1880" s="81" t="s">
        <v>2171</v>
      </c>
      <c r="AJ1880" s="81"/>
      <c r="AK1880" s="86" t="s">
        <v>7975</v>
      </c>
      <c r="AL1880" s="81" t="b">
        <v>0</v>
      </c>
      <c r="AM1880" s="81">
        <v>0</v>
      </c>
      <c r="AN1880" s="86" t="s">
        <v>2084</v>
      </c>
      <c r="AO1880" s="86" t="s">
        <v>2178</v>
      </c>
      <c r="AP1880" s="81" t="b">
        <v>0</v>
      </c>
      <c r="AQ1880" s="86" t="s">
        <v>7570</v>
      </c>
      <c r="AR1880" s="81" t="s">
        <v>179</v>
      </c>
      <c r="AS1880" s="81">
        <v>0</v>
      </c>
      <c r="AT1880" s="81">
        <v>0</v>
      </c>
      <c r="AU1880" s="81"/>
      <c r="AV1880" s="81"/>
      <c r="AW1880" s="81"/>
      <c r="AX1880" s="81"/>
      <c r="AY1880" s="81"/>
      <c r="AZ1880" s="81"/>
      <c r="BA1880" s="81"/>
      <c r="BB1880" s="81"/>
    </row>
    <row r="1881" spans="1:54" x14ac:dyDescent="0.35">
      <c r="A1881" s="66" t="s">
        <v>4961</v>
      </c>
      <c r="B1881" s="66" t="s">
        <v>5225</v>
      </c>
      <c r="C1881" s="67"/>
      <c r="D1881" s="68"/>
      <c r="E1881" s="69"/>
      <c r="F1881" s="70"/>
      <c r="G1881" s="67"/>
      <c r="H1881" s="71"/>
      <c r="I1881" s="72"/>
      <c r="J1881" s="72"/>
      <c r="K1881" s="36"/>
      <c r="L1881" s="79"/>
      <c r="M1881" s="79"/>
      <c r="N1881" s="74"/>
      <c r="O1881" s="81" t="s">
        <v>696</v>
      </c>
      <c r="P1881" s="83">
        <v>44468.108356481483</v>
      </c>
      <c r="Q1881" s="81" t="s">
        <v>5651</v>
      </c>
      <c r="R1881" s="81"/>
      <c r="S1881" s="81"/>
      <c r="T1881" s="81"/>
      <c r="U1881" s="81"/>
      <c r="V1881" s="84" t="str">
        <f>HYPERLINK("https://pbs.twimg.com/profile_images/1255121963305127937/MN2fya8h_normal.jpg")</f>
        <v>https://pbs.twimg.com/profile_images/1255121963305127937/MN2fya8h_normal.jpg</v>
      </c>
      <c r="W1881" s="83">
        <v>44468.108356481483</v>
      </c>
      <c r="X1881" s="89">
        <v>44468</v>
      </c>
      <c r="Y1881" s="86" t="s">
        <v>6646</v>
      </c>
      <c r="Z1881" s="84" t="str">
        <f>HYPERLINK("https://twitter.com/eueltito/status/1443041852563890178")</f>
        <v>https://twitter.com/eueltito/status/1443041852563890178</v>
      </c>
      <c r="AA1881" s="81"/>
      <c r="AB1881" s="81"/>
      <c r="AC1881" s="86" t="s">
        <v>7571</v>
      </c>
      <c r="AD1881" s="86" t="s">
        <v>7775</v>
      </c>
      <c r="AE1881" s="81" t="b">
        <v>0</v>
      </c>
      <c r="AF1881" s="81">
        <v>0</v>
      </c>
      <c r="AG1881" s="86" t="s">
        <v>7946</v>
      </c>
      <c r="AH1881" s="81" t="b">
        <v>0</v>
      </c>
      <c r="AI1881" s="81" t="s">
        <v>2171</v>
      </c>
      <c r="AJ1881" s="81"/>
      <c r="AK1881" s="86" t="s">
        <v>2084</v>
      </c>
      <c r="AL1881" s="81" t="b">
        <v>0</v>
      </c>
      <c r="AM1881" s="81">
        <v>0</v>
      </c>
      <c r="AN1881" s="86" t="s">
        <v>2084</v>
      </c>
      <c r="AO1881" s="86" t="s">
        <v>2178</v>
      </c>
      <c r="AP1881" s="81" t="b">
        <v>0</v>
      </c>
      <c r="AQ1881" s="86" t="s">
        <v>7775</v>
      </c>
      <c r="AR1881" s="81" t="s">
        <v>179</v>
      </c>
      <c r="AS1881" s="81">
        <v>0</v>
      </c>
      <c r="AT1881" s="81">
        <v>0</v>
      </c>
      <c r="AU1881" s="81"/>
      <c r="AV1881" s="81"/>
      <c r="AW1881" s="81"/>
      <c r="AX1881" s="81"/>
      <c r="AY1881" s="81"/>
      <c r="AZ1881" s="81"/>
      <c r="BA1881" s="81"/>
      <c r="BB1881" s="81"/>
    </row>
    <row r="1882" spans="1:54" x14ac:dyDescent="0.35">
      <c r="A1882" s="66" t="s">
        <v>4961</v>
      </c>
      <c r="B1882" s="66" t="s">
        <v>5226</v>
      </c>
      <c r="C1882" s="67"/>
      <c r="D1882" s="68"/>
      <c r="E1882" s="69"/>
      <c r="F1882" s="70"/>
      <c r="G1882" s="67"/>
      <c r="H1882" s="71"/>
      <c r="I1882" s="72"/>
      <c r="J1882" s="72"/>
      <c r="K1882" s="36"/>
      <c r="L1882" s="79"/>
      <c r="M1882" s="79"/>
      <c r="N1882" s="74"/>
      <c r="O1882" s="81" t="s">
        <v>695</v>
      </c>
      <c r="P1882" s="83">
        <v>44468.108356481483</v>
      </c>
      <c r="Q1882" s="81" t="s">
        <v>5651</v>
      </c>
      <c r="R1882" s="81"/>
      <c r="S1882" s="81"/>
      <c r="T1882" s="81"/>
      <c r="U1882" s="81"/>
      <c r="V1882" s="84" t="str">
        <f>HYPERLINK("https://pbs.twimg.com/profile_images/1255121963305127937/MN2fya8h_normal.jpg")</f>
        <v>https://pbs.twimg.com/profile_images/1255121963305127937/MN2fya8h_normal.jpg</v>
      </c>
      <c r="W1882" s="83">
        <v>44468.108356481483</v>
      </c>
      <c r="X1882" s="89">
        <v>44468</v>
      </c>
      <c r="Y1882" s="86" t="s">
        <v>6646</v>
      </c>
      <c r="Z1882" s="84" t="str">
        <f>HYPERLINK("https://twitter.com/eueltito/status/1443041852563890178")</f>
        <v>https://twitter.com/eueltito/status/1443041852563890178</v>
      </c>
      <c r="AA1882" s="81"/>
      <c r="AB1882" s="81"/>
      <c r="AC1882" s="86" t="s">
        <v>7571</v>
      </c>
      <c r="AD1882" s="86" t="s">
        <v>7775</v>
      </c>
      <c r="AE1882" s="81" t="b">
        <v>0</v>
      </c>
      <c r="AF1882" s="81">
        <v>0</v>
      </c>
      <c r="AG1882" s="86" t="s">
        <v>7946</v>
      </c>
      <c r="AH1882" s="81" t="b">
        <v>0</v>
      </c>
      <c r="AI1882" s="81" t="s">
        <v>2171</v>
      </c>
      <c r="AJ1882" s="81"/>
      <c r="AK1882" s="86" t="s">
        <v>2084</v>
      </c>
      <c r="AL1882" s="81" t="b">
        <v>0</v>
      </c>
      <c r="AM1882" s="81">
        <v>0</v>
      </c>
      <c r="AN1882" s="86" t="s">
        <v>2084</v>
      </c>
      <c r="AO1882" s="86" t="s">
        <v>2178</v>
      </c>
      <c r="AP1882" s="81" t="b">
        <v>0</v>
      </c>
      <c r="AQ1882" s="86" t="s">
        <v>7775</v>
      </c>
      <c r="AR1882" s="81" t="s">
        <v>179</v>
      </c>
      <c r="AS1882" s="81">
        <v>0</v>
      </c>
      <c r="AT1882" s="81">
        <v>0</v>
      </c>
      <c r="AU1882" s="81"/>
      <c r="AV1882" s="81"/>
      <c r="AW1882" s="81"/>
      <c r="AX1882" s="81"/>
      <c r="AY1882" s="81"/>
      <c r="AZ1882" s="81"/>
      <c r="BA1882" s="81"/>
      <c r="BB1882" s="81"/>
    </row>
    <row r="1883" spans="1:54" x14ac:dyDescent="0.35">
      <c r="A1883" s="66" t="s">
        <v>4962</v>
      </c>
      <c r="B1883" s="66" t="s">
        <v>639</v>
      </c>
      <c r="C1883" s="67"/>
      <c r="D1883" s="68"/>
      <c r="E1883" s="69"/>
      <c r="F1883" s="70"/>
      <c r="G1883" s="67"/>
      <c r="H1883" s="71"/>
      <c r="I1883" s="72"/>
      <c r="J1883" s="72"/>
      <c r="K1883" s="36"/>
      <c r="L1883" s="79"/>
      <c r="M1883" s="79"/>
      <c r="N1883" s="74"/>
      <c r="O1883" s="81" t="s">
        <v>696</v>
      </c>
      <c r="P1883" s="83">
        <v>44468.111354166664</v>
      </c>
      <c r="Q1883" s="81" t="s">
        <v>5652</v>
      </c>
      <c r="R1883" s="81"/>
      <c r="S1883" s="81"/>
      <c r="T1883" s="81"/>
      <c r="U1883" s="81"/>
      <c r="V1883" s="84" t="str">
        <f>HYPERLINK("https://pbs.twimg.com/profile_images/1442880533294292992/qllbwH4j_normal.jpg")</f>
        <v>https://pbs.twimg.com/profile_images/1442880533294292992/qllbwH4j_normal.jpg</v>
      </c>
      <c r="W1883" s="83">
        <v>44468.111354166664</v>
      </c>
      <c r="X1883" s="89">
        <v>44468</v>
      </c>
      <c r="Y1883" s="86" t="s">
        <v>6647</v>
      </c>
      <c r="Z1883" s="84" t="str">
        <f>HYPERLINK("https://twitter.com/likaliku6969/status/1443042940012482564")</f>
        <v>https://twitter.com/likaliku6969/status/1443042940012482564</v>
      </c>
      <c r="AA1883" s="81"/>
      <c r="AB1883" s="81"/>
      <c r="AC1883" s="86" t="s">
        <v>7572</v>
      </c>
      <c r="AD1883" s="86" t="s">
        <v>7776</v>
      </c>
      <c r="AE1883" s="81" t="b">
        <v>0</v>
      </c>
      <c r="AF1883" s="81">
        <v>0</v>
      </c>
      <c r="AG1883" s="86" t="s">
        <v>7947</v>
      </c>
      <c r="AH1883" s="81" t="b">
        <v>0</v>
      </c>
      <c r="AI1883" s="81" t="s">
        <v>2167</v>
      </c>
      <c r="AJ1883" s="81"/>
      <c r="AK1883" s="86" t="s">
        <v>2084</v>
      </c>
      <c r="AL1883" s="81" t="b">
        <v>0</v>
      </c>
      <c r="AM1883" s="81">
        <v>0</v>
      </c>
      <c r="AN1883" s="86" t="s">
        <v>2084</v>
      </c>
      <c r="AO1883" s="86" t="s">
        <v>2178</v>
      </c>
      <c r="AP1883" s="81" t="b">
        <v>0</v>
      </c>
      <c r="AQ1883" s="86" t="s">
        <v>7776</v>
      </c>
      <c r="AR1883" s="81" t="s">
        <v>179</v>
      </c>
      <c r="AS1883" s="81">
        <v>0</v>
      </c>
      <c r="AT1883" s="81">
        <v>0</v>
      </c>
      <c r="AU1883" s="81"/>
      <c r="AV1883" s="81"/>
      <c r="AW1883" s="81"/>
      <c r="AX1883" s="81"/>
      <c r="AY1883" s="81"/>
      <c r="AZ1883" s="81"/>
      <c r="BA1883" s="81"/>
      <c r="BB1883" s="81"/>
    </row>
    <row r="1884" spans="1:54" x14ac:dyDescent="0.35">
      <c r="A1884" s="66" t="s">
        <v>4962</v>
      </c>
      <c r="B1884" s="66" t="s">
        <v>5227</v>
      </c>
      <c r="C1884" s="67"/>
      <c r="D1884" s="68"/>
      <c r="E1884" s="69"/>
      <c r="F1884" s="70"/>
      <c r="G1884" s="67"/>
      <c r="H1884" s="71"/>
      <c r="I1884" s="72"/>
      <c r="J1884" s="72"/>
      <c r="K1884" s="36"/>
      <c r="L1884" s="79"/>
      <c r="M1884" s="79"/>
      <c r="N1884" s="74"/>
      <c r="O1884" s="81" t="s">
        <v>695</v>
      </c>
      <c r="P1884" s="83">
        <v>44468.111354166664</v>
      </c>
      <c r="Q1884" s="81" t="s">
        <v>5652</v>
      </c>
      <c r="R1884" s="81"/>
      <c r="S1884" s="81"/>
      <c r="T1884" s="81"/>
      <c r="U1884" s="81"/>
      <c r="V1884" s="84" t="str">
        <f>HYPERLINK("https://pbs.twimg.com/profile_images/1442880533294292992/qllbwH4j_normal.jpg")</f>
        <v>https://pbs.twimg.com/profile_images/1442880533294292992/qllbwH4j_normal.jpg</v>
      </c>
      <c r="W1884" s="83">
        <v>44468.111354166664</v>
      </c>
      <c r="X1884" s="89">
        <v>44468</v>
      </c>
      <c r="Y1884" s="86" t="s">
        <v>6647</v>
      </c>
      <c r="Z1884" s="84" t="str">
        <f>HYPERLINK("https://twitter.com/likaliku6969/status/1443042940012482564")</f>
        <v>https://twitter.com/likaliku6969/status/1443042940012482564</v>
      </c>
      <c r="AA1884" s="81"/>
      <c r="AB1884" s="81"/>
      <c r="AC1884" s="86" t="s">
        <v>7572</v>
      </c>
      <c r="AD1884" s="86" t="s">
        <v>7776</v>
      </c>
      <c r="AE1884" s="81" t="b">
        <v>0</v>
      </c>
      <c r="AF1884" s="81">
        <v>0</v>
      </c>
      <c r="AG1884" s="86" t="s">
        <v>7947</v>
      </c>
      <c r="AH1884" s="81" t="b">
        <v>0</v>
      </c>
      <c r="AI1884" s="81" t="s">
        <v>2167</v>
      </c>
      <c r="AJ1884" s="81"/>
      <c r="AK1884" s="86" t="s">
        <v>2084</v>
      </c>
      <c r="AL1884" s="81" t="b">
        <v>0</v>
      </c>
      <c r="AM1884" s="81">
        <v>0</v>
      </c>
      <c r="AN1884" s="86" t="s">
        <v>2084</v>
      </c>
      <c r="AO1884" s="86" t="s">
        <v>2178</v>
      </c>
      <c r="AP1884" s="81" t="b">
        <v>0</v>
      </c>
      <c r="AQ1884" s="86" t="s">
        <v>7776</v>
      </c>
      <c r="AR1884" s="81" t="s">
        <v>179</v>
      </c>
      <c r="AS1884" s="81">
        <v>0</v>
      </c>
      <c r="AT1884" s="81">
        <v>0</v>
      </c>
      <c r="AU1884" s="81"/>
      <c r="AV1884" s="81"/>
      <c r="AW1884" s="81"/>
      <c r="AX1884" s="81"/>
      <c r="AY1884" s="81"/>
      <c r="AZ1884" s="81"/>
      <c r="BA1884" s="81"/>
      <c r="BB1884" s="81"/>
    </row>
    <row r="1885" spans="1:54" x14ac:dyDescent="0.35">
      <c r="A1885" s="66" t="s">
        <v>4968</v>
      </c>
      <c r="B1885" s="66" t="s">
        <v>589</v>
      </c>
      <c r="C1885" s="67"/>
      <c r="D1885" s="68"/>
      <c r="E1885" s="69"/>
      <c r="F1885" s="70"/>
      <c r="G1885" s="67"/>
      <c r="H1885" s="71"/>
      <c r="I1885" s="72"/>
      <c r="J1885" s="72"/>
      <c r="K1885" s="36"/>
      <c r="L1885" s="79"/>
      <c r="M1885" s="79"/>
      <c r="N1885" s="74"/>
      <c r="O1885" s="81" t="s">
        <v>693</v>
      </c>
      <c r="P1885" s="83">
        <v>44467.272141203706</v>
      </c>
      <c r="Q1885" s="81" t="s">
        <v>5663</v>
      </c>
      <c r="R1885" s="81"/>
      <c r="S1885" s="81"/>
      <c r="T1885" s="86" t="s">
        <v>1008</v>
      </c>
      <c r="U1885" s="84" t="str">
        <f>HYPERLINK("https://pbs.twimg.com/media/E_Q4OesVEAEeAWr.jpg")</f>
        <v>https://pbs.twimg.com/media/E_Q4OesVEAEeAWr.jpg</v>
      </c>
      <c r="V1885" s="84" t="str">
        <f>HYPERLINK("https://pbs.twimg.com/media/E_Q4OesVEAEeAWr.jpg")</f>
        <v>https://pbs.twimg.com/media/E_Q4OesVEAEeAWr.jpg</v>
      </c>
      <c r="W1885" s="83">
        <v>44467.272141203706</v>
      </c>
      <c r="X1885" s="89">
        <v>44467</v>
      </c>
      <c r="Y1885" s="86" t="s">
        <v>6666</v>
      </c>
      <c r="Z1885" s="84" t="str">
        <f>HYPERLINK("https://twitter.com/igot7mytrades/status/1442738817329364994")</f>
        <v>https://twitter.com/igot7mytrades/status/1442738817329364994</v>
      </c>
      <c r="AA1885" s="81"/>
      <c r="AB1885" s="81"/>
      <c r="AC1885" s="86" t="s">
        <v>7592</v>
      </c>
      <c r="AD1885" s="81"/>
      <c r="AE1885" s="81" t="b">
        <v>0</v>
      </c>
      <c r="AF1885" s="81">
        <v>0</v>
      </c>
      <c r="AG1885" s="86" t="s">
        <v>2084</v>
      </c>
      <c r="AH1885" s="81" t="b">
        <v>0</v>
      </c>
      <c r="AI1885" s="81" t="s">
        <v>2168</v>
      </c>
      <c r="AJ1885" s="81"/>
      <c r="AK1885" s="86" t="s">
        <v>2084</v>
      </c>
      <c r="AL1885" s="81" t="b">
        <v>0</v>
      </c>
      <c r="AM1885" s="81">
        <v>2</v>
      </c>
      <c r="AN1885" s="86" t="s">
        <v>7608</v>
      </c>
      <c r="AO1885" s="86" t="s">
        <v>2178</v>
      </c>
      <c r="AP1885" s="81" t="b">
        <v>0</v>
      </c>
      <c r="AQ1885" s="86" t="s">
        <v>7608</v>
      </c>
      <c r="AR1885" s="81" t="s">
        <v>179</v>
      </c>
      <c r="AS1885" s="81">
        <v>0</v>
      </c>
      <c r="AT1885" s="81">
        <v>0</v>
      </c>
      <c r="AU1885" s="81"/>
      <c r="AV1885" s="81"/>
      <c r="AW1885" s="81"/>
      <c r="AX1885" s="81"/>
      <c r="AY1885" s="81"/>
      <c r="AZ1885" s="81"/>
      <c r="BA1885" s="81"/>
      <c r="BB1885" s="81"/>
    </row>
    <row r="1886" spans="1:54" x14ac:dyDescent="0.35">
      <c r="A1886" s="66" t="s">
        <v>4968</v>
      </c>
      <c r="B1886" s="66" t="s">
        <v>589</v>
      </c>
      <c r="C1886" s="67"/>
      <c r="D1886" s="68"/>
      <c r="E1886" s="69"/>
      <c r="F1886" s="70"/>
      <c r="G1886" s="67"/>
      <c r="H1886" s="71"/>
      <c r="I1886" s="72"/>
      <c r="J1886" s="72"/>
      <c r="K1886" s="36"/>
      <c r="L1886" s="79"/>
      <c r="M1886" s="79"/>
      <c r="N1886" s="74"/>
      <c r="O1886" s="81" t="s">
        <v>693</v>
      </c>
      <c r="P1886" s="83">
        <v>44468.123969907407</v>
      </c>
      <c r="Q1886" s="81" t="s">
        <v>5664</v>
      </c>
      <c r="R1886" s="81"/>
      <c r="S1886" s="81"/>
      <c r="T1886" s="86" t="s">
        <v>1008</v>
      </c>
      <c r="U1886" s="84" t="str">
        <f>HYPERLINK("https://pbs.twimg.com/media/FAYOUjOUYAQ_JP2.jpg")</f>
        <v>https://pbs.twimg.com/media/FAYOUjOUYAQ_JP2.jpg</v>
      </c>
      <c r="V1886" s="84" t="str">
        <f>HYPERLINK("https://pbs.twimg.com/media/FAYOUjOUYAQ_JP2.jpg")</f>
        <v>https://pbs.twimg.com/media/FAYOUjOUYAQ_JP2.jpg</v>
      </c>
      <c r="W1886" s="83">
        <v>44468.123969907407</v>
      </c>
      <c r="X1886" s="89">
        <v>44468</v>
      </c>
      <c r="Y1886" s="86" t="s">
        <v>6667</v>
      </c>
      <c r="Z1886" s="84" t="str">
        <f>HYPERLINK("https://twitter.com/igot7mytrades/status/1443047511078232067")</f>
        <v>https://twitter.com/igot7mytrades/status/1443047511078232067</v>
      </c>
      <c r="AA1886" s="81"/>
      <c r="AB1886" s="81"/>
      <c r="AC1886" s="86" t="s">
        <v>7593</v>
      </c>
      <c r="AD1886" s="81"/>
      <c r="AE1886" s="81" t="b">
        <v>0</v>
      </c>
      <c r="AF1886" s="81">
        <v>0</v>
      </c>
      <c r="AG1886" s="86" t="s">
        <v>2084</v>
      </c>
      <c r="AH1886" s="81" t="b">
        <v>0</v>
      </c>
      <c r="AI1886" s="81" t="s">
        <v>2168</v>
      </c>
      <c r="AJ1886" s="81"/>
      <c r="AK1886" s="86" t="s">
        <v>2084</v>
      </c>
      <c r="AL1886" s="81" t="b">
        <v>0</v>
      </c>
      <c r="AM1886" s="81">
        <v>6</v>
      </c>
      <c r="AN1886" s="86" t="s">
        <v>7612</v>
      </c>
      <c r="AO1886" s="86" t="s">
        <v>2178</v>
      </c>
      <c r="AP1886" s="81" t="b">
        <v>0</v>
      </c>
      <c r="AQ1886" s="86" t="s">
        <v>7612</v>
      </c>
      <c r="AR1886" s="81" t="s">
        <v>179</v>
      </c>
      <c r="AS1886" s="81">
        <v>0</v>
      </c>
      <c r="AT1886" s="81">
        <v>0</v>
      </c>
      <c r="AU1886" s="81"/>
      <c r="AV1886" s="81"/>
      <c r="AW1886" s="81"/>
      <c r="AX1886" s="81"/>
      <c r="AY1886" s="81"/>
      <c r="AZ1886" s="81"/>
      <c r="BA1886" s="81"/>
      <c r="BB1886" s="81"/>
    </row>
    <row r="1887" spans="1:54" x14ac:dyDescent="0.35">
      <c r="A1887" s="66" t="s">
        <v>4968</v>
      </c>
      <c r="B1887" s="66" t="s">
        <v>589</v>
      </c>
      <c r="C1887" s="67"/>
      <c r="D1887" s="68"/>
      <c r="E1887" s="69"/>
      <c r="F1887" s="70"/>
      <c r="G1887" s="67"/>
      <c r="H1887" s="71"/>
      <c r="I1887" s="72"/>
      <c r="J1887" s="72"/>
      <c r="K1887" s="36"/>
      <c r="L1887" s="79"/>
      <c r="M1887" s="79"/>
      <c r="N1887" s="74"/>
      <c r="O1887" s="81" t="s">
        <v>693</v>
      </c>
      <c r="P1887" s="83">
        <v>44468.124120370368</v>
      </c>
      <c r="Q1887" s="81" t="s">
        <v>5665</v>
      </c>
      <c r="R1887" s="81"/>
      <c r="S1887" s="81"/>
      <c r="T1887" s="86" t="s">
        <v>1008</v>
      </c>
      <c r="U1887" s="84" t="str">
        <f>HYPERLINK("https://pbs.twimg.com/media/FAYLEGQWYAAROZm.jpg")</f>
        <v>https://pbs.twimg.com/media/FAYLEGQWYAAROZm.jpg</v>
      </c>
      <c r="V1887" s="84" t="str">
        <f>HYPERLINK("https://pbs.twimg.com/media/FAYLEGQWYAAROZm.jpg")</f>
        <v>https://pbs.twimg.com/media/FAYLEGQWYAAROZm.jpg</v>
      </c>
      <c r="W1887" s="83">
        <v>44468.124120370368</v>
      </c>
      <c r="X1887" s="89">
        <v>44468</v>
      </c>
      <c r="Y1887" s="86" t="s">
        <v>6668</v>
      </c>
      <c r="Z1887" s="84" t="str">
        <f>HYPERLINK("https://twitter.com/igot7mytrades/status/1443047565314850818")</f>
        <v>https://twitter.com/igot7mytrades/status/1443047565314850818</v>
      </c>
      <c r="AA1887" s="81"/>
      <c r="AB1887" s="81"/>
      <c r="AC1887" s="86" t="s">
        <v>7594</v>
      </c>
      <c r="AD1887" s="81"/>
      <c r="AE1887" s="81" t="b">
        <v>0</v>
      </c>
      <c r="AF1887" s="81">
        <v>0</v>
      </c>
      <c r="AG1887" s="86" t="s">
        <v>2084</v>
      </c>
      <c r="AH1887" s="81" t="b">
        <v>0</v>
      </c>
      <c r="AI1887" s="81" t="s">
        <v>2168</v>
      </c>
      <c r="AJ1887" s="81"/>
      <c r="AK1887" s="86" t="s">
        <v>2084</v>
      </c>
      <c r="AL1887" s="81" t="b">
        <v>0</v>
      </c>
      <c r="AM1887" s="81">
        <v>2</v>
      </c>
      <c r="AN1887" s="86" t="s">
        <v>7611</v>
      </c>
      <c r="AO1887" s="86" t="s">
        <v>2178</v>
      </c>
      <c r="AP1887" s="81" t="b">
        <v>0</v>
      </c>
      <c r="AQ1887" s="86" t="s">
        <v>7611</v>
      </c>
      <c r="AR1887" s="81" t="s">
        <v>179</v>
      </c>
      <c r="AS1887" s="81">
        <v>0</v>
      </c>
      <c r="AT1887" s="81">
        <v>0</v>
      </c>
      <c r="AU1887" s="81"/>
      <c r="AV1887" s="81"/>
      <c r="AW1887" s="81"/>
      <c r="AX1887" s="81"/>
      <c r="AY1887" s="81"/>
      <c r="AZ1887" s="81"/>
      <c r="BA1887" s="81"/>
      <c r="BB1887" s="81"/>
    </row>
    <row r="1888" spans="1:54" x14ac:dyDescent="0.35">
      <c r="A1888" s="66" t="s">
        <v>4968</v>
      </c>
      <c r="B1888" s="66" t="s">
        <v>589</v>
      </c>
      <c r="C1888" s="67"/>
      <c r="D1888" s="68"/>
      <c r="E1888" s="69"/>
      <c r="F1888" s="70"/>
      <c r="G1888" s="67"/>
      <c r="H1888" s="71"/>
      <c r="I1888" s="72"/>
      <c r="J1888" s="72"/>
      <c r="K1888" s="36"/>
      <c r="L1888" s="79"/>
      <c r="M1888" s="79"/>
      <c r="N1888" s="74"/>
      <c r="O1888" s="81" t="s">
        <v>693</v>
      </c>
      <c r="P1888" s="83">
        <v>44468.124212962961</v>
      </c>
      <c r="Q1888" s="81" t="s">
        <v>5590</v>
      </c>
      <c r="R1888" s="81"/>
      <c r="S1888" s="81"/>
      <c r="T1888" s="86" t="s">
        <v>1008</v>
      </c>
      <c r="U1888" s="84" t="str">
        <f>HYPERLINK("https://pbs.twimg.com/media/E_Q5CyNVIAYHiOu.jpg")</f>
        <v>https://pbs.twimg.com/media/E_Q5CyNVIAYHiOu.jpg</v>
      </c>
      <c r="V1888" s="84" t="str">
        <f>HYPERLINK("https://pbs.twimg.com/media/E_Q5CyNVIAYHiOu.jpg")</f>
        <v>https://pbs.twimg.com/media/E_Q5CyNVIAYHiOu.jpg</v>
      </c>
      <c r="W1888" s="83">
        <v>44468.124212962961</v>
      </c>
      <c r="X1888" s="89">
        <v>44468</v>
      </c>
      <c r="Y1888" s="86" t="s">
        <v>6669</v>
      </c>
      <c r="Z1888" s="84" t="str">
        <f>HYPERLINK("https://twitter.com/igot7mytrades/status/1443047595929051136")</f>
        <v>https://twitter.com/igot7mytrades/status/1443047595929051136</v>
      </c>
      <c r="AA1888" s="81"/>
      <c r="AB1888" s="81"/>
      <c r="AC1888" s="86" t="s">
        <v>7595</v>
      </c>
      <c r="AD1888" s="81"/>
      <c r="AE1888" s="81" t="b">
        <v>0</v>
      </c>
      <c r="AF1888" s="81">
        <v>0</v>
      </c>
      <c r="AG1888" s="86" t="s">
        <v>2084</v>
      </c>
      <c r="AH1888" s="81" t="b">
        <v>0</v>
      </c>
      <c r="AI1888" s="81" t="s">
        <v>2168</v>
      </c>
      <c r="AJ1888" s="81"/>
      <c r="AK1888" s="86" t="s">
        <v>2084</v>
      </c>
      <c r="AL1888" s="81" t="b">
        <v>0</v>
      </c>
      <c r="AM1888" s="81">
        <v>3</v>
      </c>
      <c r="AN1888" s="86" t="s">
        <v>7609</v>
      </c>
      <c r="AO1888" s="86" t="s">
        <v>2178</v>
      </c>
      <c r="AP1888" s="81" t="b">
        <v>0</v>
      </c>
      <c r="AQ1888" s="86" t="s">
        <v>7609</v>
      </c>
      <c r="AR1888" s="81" t="s">
        <v>179</v>
      </c>
      <c r="AS1888" s="81">
        <v>0</v>
      </c>
      <c r="AT1888" s="81">
        <v>0</v>
      </c>
      <c r="AU1888" s="81"/>
      <c r="AV1888" s="81"/>
      <c r="AW1888" s="81"/>
      <c r="AX1888" s="81"/>
      <c r="AY1888" s="81"/>
      <c r="AZ1888" s="81"/>
      <c r="BA1888" s="81"/>
      <c r="BB1888" s="81"/>
    </row>
    <row r="1889" spans="1:54" x14ac:dyDescent="0.35">
      <c r="A1889" s="66" t="s">
        <v>4968</v>
      </c>
      <c r="B1889" s="66" t="s">
        <v>589</v>
      </c>
      <c r="C1889" s="67"/>
      <c r="D1889" s="68"/>
      <c r="E1889" s="69"/>
      <c r="F1889" s="70"/>
      <c r="G1889" s="67"/>
      <c r="H1889" s="71"/>
      <c r="I1889" s="72"/>
      <c r="J1889" s="72"/>
      <c r="K1889" s="36"/>
      <c r="L1889" s="79"/>
      <c r="M1889" s="79"/>
      <c r="N1889" s="74"/>
      <c r="O1889" s="81" t="s">
        <v>693</v>
      </c>
      <c r="P1889" s="83">
        <v>44468.12431712963</v>
      </c>
      <c r="Q1889" s="81" t="s">
        <v>5666</v>
      </c>
      <c r="R1889" s="81"/>
      <c r="S1889" s="81"/>
      <c r="T1889" s="86" t="s">
        <v>1008</v>
      </c>
      <c r="U1889" s="84" t="str">
        <f>HYPERLINK("https://pbs.twimg.com/media/FAYKlY0XEAQ88YO.jpg")</f>
        <v>https://pbs.twimg.com/media/FAYKlY0XEAQ88YO.jpg</v>
      </c>
      <c r="V1889" s="84" t="str">
        <f>HYPERLINK("https://pbs.twimg.com/media/FAYKlY0XEAQ88YO.jpg")</f>
        <v>https://pbs.twimg.com/media/FAYKlY0XEAQ88YO.jpg</v>
      </c>
      <c r="W1889" s="83">
        <v>44468.12431712963</v>
      </c>
      <c r="X1889" s="89">
        <v>44468</v>
      </c>
      <c r="Y1889" s="86" t="s">
        <v>6670</v>
      </c>
      <c r="Z1889" s="84" t="str">
        <f>HYPERLINK("https://twitter.com/igot7mytrades/status/1443047634395037700")</f>
        <v>https://twitter.com/igot7mytrades/status/1443047634395037700</v>
      </c>
      <c r="AA1889" s="81"/>
      <c r="AB1889" s="81"/>
      <c r="AC1889" s="86" t="s">
        <v>7596</v>
      </c>
      <c r="AD1889" s="81"/>
      <c r="AE1889" s="81" t="b">
        <v>0</v>
      </c>
      <c r="AF1889" s="81">
        <v>0</v>
      </c>
      <c r="AG1889" s="86" t="s">
        <v>2084</v>
      </c>
      <c r="AH1889" s="81" t="b">
        <v>0</v>
      </c>
      <c r="AI1889" s="81" t="s">
        <v>2168</v>
      </c>
      <c r="AJ1889" s="81"/>
      <c r="AK1889" s="86" t="s">
        <v>2084</v>
      </c>
      <c r="AL1889" s="81" t="b">
        <v>0</v>
      </c>
      <c r="AM1889" s="81">
        <v>3</v>
      </c>
      <c r="AN1889" s="86" t="s">
        <v>7610</v>
      </c>
      <c r="AO1889" s="86" t="s">
        <v>2178</v>
      </c>
      <c r="AP1889" s="81" t="b">
        <v>0</v>
      </c>
      <c r="AQ1889" s="86" t="s">
        <v>7610</v>
      </c>
      <c r="AR1889" s="81" t="s">
        <v>179</v>
      </c>
      <c r="AS1889" s="81">
        <v>0</v>
      </c>
      <c r="AT1889" s="81">
        <v>0</v>
      </c>
      <c r="AU1889" s="81"/>
      <c r="AV1889" s="81"/>
      <c r="AW1889" s="81"/>
      <c r="AX1889" s="81"/>
      <c r="AY1889" s="81"/>
      <c r="AZ1889" s="81"/>
      <c r="BA1889" s="81"/>
      <c r="BB1889" s="81"/>
    </row>
    <row r="1890" spans="1:54" x14ac:dyDescent="0.35">
      <c r="A1890" s="66" t="s">
        <v>4968</v>
      </c>
      <c r="B1890" s="66" t="s">
        <v>589</v>
      </c>
      <c r="C1890" s="67"/>
      <c r="D1890" s="68"/>
      <c r="E1890" s="69"/>
      <c r="F1890" s="70"/>
      <c r="G1890" s="67"/>
      <c r="H1890" s="71"/>
      <c r="I1890" s="72"/>
      <c r="J1890" s="72"/>
      <c r="K1890" s="36"/>
      <c r="L1890" s="79"/>
      <c r="M1890" s="79"/>
      <c r="N1890" s="74"/>
      <c r="O1890" s="81" t="s">
        <v>693</v>
      </c>
      <c r="P1890" s="83">
        <v>44468.124351851853</v>
      </c>
      <c r="Q1890" s="81" t="s">
        <v>916</v>
      </c>
      <c r="R1890" s="81"/>
      <c r="S1890" s="81"/>
      <c r="T1890" s="86" t="s">
        <v>1008</v>
      </c>
      <c r="U1890" s="84" t="str">
        <f>HYPERLINK("https://pbs.twimg.com/media/FAVw6BvVcAAhYYi.jpg")</f>
        <v>https://pbs.twimg.com/media/FAVw6BvVcAAhYYi.jpg</v>
      </c>
      <c r="V1890" s="84" t="str">
        <f>HYPERLINK("https://pbs.twimg.com/media/FAVw6BvVcAAhYYi.jpg")</f>
        <v>https://pbs.twimg.com/media/FAVw6BvVcAAhYYi.jpg</v>
      </c>
      <c r="W1890" s="83">
        <v>44468.124351851853</v>
      </c>
      <c r="X1890" s="89">
        <v>44468</v>
      </c>
      <c r="Y1890" s="86" t="s">
        <v>6671</v>
      </c>
      <c r="Z1890" s="84" t="str">
        <f>HYPERLINK("https://twitter.com/igot7mytrades/status/1443047646394925063")</f>
        <v>https://twitter.com/igot7mytrades/status/1443047646394925063</v>
      </c>
      <c r="AA1890" s="81"/>
      <c r="AB1890" s="81"/>
      <c r="AC1890" s="86" t="s">
        <v>7597</v>
      </c>
      <c r="AD1890" s="81"/>
      <c r="AE1890" s="81" t="b">
        <v>0</v>
      </c>
      <c r="AF1890" s="81">
        <v>0</v>
      </c>
      <c r="AG1890" s="86" t="s">
        <v>2084</v>
      </c>
      <c r="AH1890" s="81" t="b">
        <v>0</v>
      </c>
      <c r="AI1890" s="81" t="s">
        <v>2168</v>
      </c>
      <c r="AJ1890" s="81"/>
      <c r="AK1890" s="86" t="s">
        <v>2084</v>
      </c>
      <c r="AL1890" s="81" t="b">
        <v>0</v>
      </c>
      <c r="AM1890" s="81">
        <v>1</v>
      </c>
      <c r="AN1890" s="86" t="s">
        <v>1985</v>
      </c>
      <c r="AO1890" s="86" t="s">
        <v>2178</v>
      </c>
      <c r="AP1890" s="81" t="b">
        <v>0</v>
      </c>
      <c r="AQ1890" s="86" t="s">
        <v>1985</v>
      </c>
      <c r="AR1890" s="81" t="s">
        <v>179</v>
      </c>
      <c r="AS1890" s="81">
        <v>0</v>
      </c>
      <c r="AT1890" s="81">
        <v>0</v>
      </c>
      <c r="AU1890" s="81"/>
      <c r="AV1890" s="81"/>
      <c r="AW1890" s="81"/>
      <c r="AX1890" s="81"/>
      <c r="AY1890" s="81"/>
      <c r="AZ1890" s="81"/>
      <c r="BA1890" s="81"/>
      <c r="BB1890" s="81"/>
    </row>
    <row r="1891" spans="1:54" x14ac:dyDescent="0.35">
      <c r="A1891" s="66" t="s">
        <v>590</v>
      </c>
      <c r="B1891" s="66" t="s">
        <v>590</v>
      </c>
      <c r="C1891" s="67"/>
      <c r="D1891" s="68"/>
      <c r="E1891" s="69"/>
      <c r="F1891" s="70"/>
      <c r="G1891" s="67"/>
      <c r="H1891" s="71"/>
      <c r="I1891" s="72"/>
      <c r="J1891" s="72"/>
      <c r="K1891" s="36"/>
      <c r="L1891" s="79"/>
      <c r="M1891" s="79"/>
      <c r="N1891" s="74"/>
      <c r="O1891" s="81" t="s">
        <v>179</v>
      </c>
      <c r="P1891" s="83">
        <v>44460.124884259261</v>
      </c>
      <c r="Q1891" s="81" t="s">
        <v>917</v>
      </c>
      <c r="R1891" s="81"/>
      <c r="S1891" s="81"/>
      <c r="T1891" s="81"/>
      <c r="U1891" s="84" t="str">
        <f>HYPERLINK("https://pbs.twimg.com/media/E_xvpTbVgAIq5r-.jpg")</f>
        <v>https://pbs.twimg.com/media/E_xvpTbVgAIq5r-.jpg</v>
      </c>
      <c r="V1891" s="84" t="str">
        <f>HYPERLINK("https://pbs.twimg.com/media/E_xvpTbVgAIq5r-.jpg")</f>
        <v>https://pbs.twimg.com/media/E_xvpTbVgAIq5r-.jpg</v>
      </c>
      <c r="W1891" s="83">
        <v>44460.124884259261</v>
      </c>
      <c r="X1891" s="89">
        <v>44460</v>
      </c>
      <c r="Y1891" s="86" t="s">
        <v>1488</v>
      </c>
      <c r="Z1891" s="84" t="str">
        <f>HYPERLINK("https://twitter.com/tinggibdnalami/status/1440148739310571525")</f>
        <v>https://twitter.com/tinggibdnalami/status/1440148739310571525</v>
      </c>
      <c r="AA1891" s="81"/>
      <c r="AB1891" s="81"/>
      <c r="AC1891" s="86" t="s">
        <v>1986</v>
      </c>
      <c r="AD1891" s="81"/>
      <c r="AE1891" s="81" t="b">
        <v>0</v>
      </c>
      <c r="AF1891" s="81">
        <v>0</v>
      </c>
      <c r="AG1891" s="86" t="s">
        <v>2084</v>
      </c>
      <c r="AH1891" s="81" t="b">
        <v>0</v>
      </c>
      <c r="AI1891" s="81" t="s">
        <v>2167</v>
      </c>
      <c r="AJ1891" s="81"/>
      <c r="AK1891" s="86" t="s">
        <v>2084</v>
      </c>
      <c r="AL1891" s="81" t="b">
        <v>0</v>
      </c>
      <c r="AM1891" s="81">
        <v>0</v>
      </c>
      <c r="AN1891" s="86" t="s">
        <v>2084</v>
      </c>
      <c r="AO1891" s="86" t="s">
        <v>2183</v>
      </c>
      <c r="AP1891" s="81" t="b">
        <v>0</v>
      </c>
      <c r="AQ1891" s="86" t="s">
        <v>1986</v>
      </c>
      <c r="AR1891" s="81" t="s">
        <v>179</v>
      </c>
      <c r="AS1891" s="81">
        <v>0</v>
      </c>
      <c r="AT1891" s="81">
        <v>0</v>
      </c>
      <c r="AU1891" s="81"/>
      <c r="AV1891" s="81"/>
      <c r="AW1891" s="81"/>
      <c r="AX1891" s="81"/>
      <c r="AY1891" s="81"/>
      <c r="AZ1891" s="81"/>
      <c r="BA1891" s="81"/>
      <c r="BB1891" s="81"/>
    </row>
    <row r="1892" spans="1:54" x14ac:dyDescent="0.35">
      <c r="A1892" s="66" t="s">
        <v>590</v>
      </c>
      <c r="B1892" s="66" t="s">
        <v>590</v>
      </c>
      <c r="C1892" s="67"/>
      <c r="D1892" s="68"/>
      <c r="E1892" s="69"/>
      <c r="F1892" s="70"/>
      <c r="G1892" s="67"/>
      <c r="H1892" s="71"/>
      <c r="I1892" s="72"/>
      <c r="J1892" s="72"/>
      <c r="K1892" s="36"/>
      <c r="L1892" s="79"/>
      <c r="M1892" s="79"/>
      <c r="N1892" s="74"/>
      <c r="O1892" s="81" t="s">
        <v>179</v>
      </c>
      <c r="P1892" s="83">
        <v>44461.124675925923</v>
      </c>
      <c r="Q1892" s="81" t="s">
        <v>918</v>
      </c>
      <c r="R1892" s="81"/>
      <c r="S1892" s="81"/>
      <c r="T1892" s="81"/>
      <c r="U1892" s="84" t="str">
        <f>HYPERLINK("https://pbs.twimg.com/media/E_25Km-VkA8hkVE.jpg")</f>
        <v>https://pbs.twimg.com/media/E_25Km-VkA8hkVE.jpg</v>
      </c>
      <c r="V1892" s="84" t="str">
        <f>HYPERLINK("https://pbs.twimg.com/media/E_25Km-VkA8hkVE.jpg")</f>
        <v>https://pbs.twimg.com/media/E_25Km-VkA8hkVE.jpg</v>
      </c>
      <c r="W1892" s="83">
        <v>44461.124675925923</v>
      </c>
      <c r="X1892" s="89">
        <v>44461</v>
      </c>
      <c r="Y1892" s="86" t="s">
        <v>1489</v>
      </c>
      <c r="Z1892" s="84" t="str">
        <f>HYPERLINK("https://twitter.com/tinggibdnalami/status/1440511049958977539")</f>
        <v>https://twitter.com/tinggibdnalami/status/1440511049958977539</v>
      </c>
      <c r="AA1892" s="81"/>
      <c r="AB1892" s="81"/>
      <c r="AC1892" s="86" t="s">
        <v>1987</v>
      </c>
      <c r="AD1892" s="81"/>
      <c r="AE1892" s="81" t="b">
        <v>0</v>
      </c>
      <c r="AF1892" s="81">
        <v>0</v>
      </c>
      <c r="AG1892" s="86" t="s">
        <v>2084</v>
      </c>
      <c r="AH1892" s="81" t="b">
        <v>0</v>
      </c>
      <c r="AI1892" s="81" t="s">
        <v>2167</v>
      </c>
      <c r="AJ1892" s="81"/>
      <c r="AK1892" s="86" t="s">
        <v>2084</v>
      </c>
      <c r="AL1892" s="81" t="b">
        <v>0</v>
      </c>
      <c r="AM1892" s="81">
        <v>0</v>
      </c>
      <c r="AN1892" s="86" t="s">
        <v>2084</v>
      </c>
      <c r="AO1892" s="86" t="s">
        <v>2183</v>
      </c>
      <c r="AP1892" s="81" t="b">
        <v>0</v>
      </c>
      <c r="AQ1892" s="86" t="s">
        <v>1987</v>
      </c>
      <c r="AR1892" s="81" t="s">
        <v>179</v>
      </c>
      <c r="AS1892" s="81">
        <v>0</v>
      </c>
      <c r="AT1892" s="81">
        <v>0</v>
      </c>
      <c r="AU1892" s="81"/>
      <c r="AV1892" s="81"/>
      <c r="AW1892" s="81"/>
      <c r="AX1892" s="81"/>
      <c r="AY1892" s="81"/>
      <c r="AZ1892" s="81"/>
      <c r="BA1892" s="81"/>
      <c r="BB1892" s="81"/>
    </row>
    <row r="1893" spans="1:54" x14ac:dyDescent="0.35">
      <c r="A1893" s="66" t="s">
        <v>590</v>
      </c>
      <c r="B1893" s="66" t="s">
        <v>590</v>
      </c>
      <c r="C1893" s="67"/>
      <c r="D1893" s="68"/>
      <c r="E1893" s="69"/>
      <c r="F1893" s="70"/>
      <c r="G1893" s="67"/>
      <c r="H1893" s="71"/>
      <c r="I1893" s="72"/>
      <c r="J1893" s="72"/>
      <c r="K1893" s="36"/>
      <c r="L1893" s="79"/>
      <c r="M1893" s="79"/>
      <c r="N1893" s="74"/>
      <c r="O1893" s="81" t="s">
        <v>179</v>
      </c>
      <c r="P1893" s="83">
        <v>44462.124826388892</v>
      </c>
      <c r="Q1893" s="81" t="s">
        <v>919</v>
      </c>
      <c r="R1893" s="81"/>
      <c r="S1893" s="81"/>
      <c r="T1893" s="81"/>
      <c r="U1893" s="84" t="str">
        <f>HYPERLINK("https://pbs.twimg.com/media/E_8Czf1XoAA9apo.jpg")</f>
        <v>https://pbs.twimg.com/media/E_8Czf1XoAA9apo.jpg</v>
      </c>
      <c r="V1893" s="84" t="str">
        <f>HYPERLINK("https://pbs.twimg.com/media/E_8Czf1XoAA9apo.jpg")</f>
        <v>https://pbs.twimg.com/media/E_8Czf1XoAA9apo.jpg</v>
      </c>
      <c r="W1893" s="83">
        <v>44462.124826388892</v>
      </c>
      <c r="X1893" s="89">
        <v>44462</v>
      </c>
      <c r="Y1893" s="86" t="s">
        <v>1490</v>
      </c>
      <c r="Z1893" s="84" t="str">
        <f>HYPERLINK("https://twitter.com/tinggibdnalami/status/1440873491864109056")</f>
        <v>https://twitter.com/tinggibdnalami/status/1440873491864109056</v>
      </c>
      <c r="AA1893" s="81"/>
      <c r="AB1893" s="81"/>
      <c r="AC1893" s="86" t="s">
        <v>1988</v>
      </c>
      <c r="AD1893" s="81"/>
      <c r="AE1893" s="81" t="b">
        <v>0</v>
      </c>
      <c r="AF1893" s="81">
        <v>0</v>
      </c>
      <c r="AG1893" s="86" t="s">
        <v>2084</v>
      </c>
      <c r="AH1893" s="81" t="b">
        <v>0</v>
      </c>
      <c r="AI1893" s="81" t="s">
        <v>2167</v>
      </c>
      <c r="AJ1893" s="81"/>
      <c r="AK1893" s="86" t="s">
        <v>2084</v>
      </c>
      <c r="AL1893" s="81" t="b">
        <v>0</v>
      </c>
      <c r="AM1893" s="81">
        <v>0</v>
      </c>
      <c r="AN1893" s="86" t="s">
        <v>2084</v>
      </c>
      <c r="AO1893" s="86" t="s">
        <v>2183</v>
      </c>
      <c r="AP1893" s="81" t="b">
        <v>0</v>
      </c>
      <c r="AQ1893" s="86" t="s">
        <v>1988</v>
      </c>
      <c r="AR1893" s="81" t="s">
        <v>179</v>
      </c>
      <c r="AS1893" s="81">
        <v>0</v>
      </c>
      <c r="AT1893" s="81">
        <v>0</v>
      </c>
      <c r="AU1893" s="81"/>
      <c r="AV1893" s="81"/>
      <c r="AW1893" s="81"/>
      <c r="AX1893" s="81"/>
      <c r="AY1893" s="81"/>
      <c r="AZ1893" s="81"/>
      <c r="BA1893" s="81"/>
      <c r="BB1893" s="81"/>
    </row>
    <row r="1894" spans="1:54" x14ac:dyDescent="0.35">
      <c r="A1894" s="66" t="s">
        <v>590</v>
      </c>
      <c r="B1894" s="66" t="s">
        <v>590</v>
      </c>
      <c r="C1894" s="67"/>
      <c r="D1894" s="68"/>
      <c r="E1894" s="69"/>
      <c r="F1894" s="70"/>
      <c r="G1894" s="67"/>
      <c r="H1894" s="71"/>
      <c r="I1894" s="72"/>
      <c r="J1894" s="72"/>
      <c r="K1894" s="36"/>
      <c r="L1894" s="79"/>
      <c r="M1894" s="79"/>
      <c r="N1894" s="74"/>
      <c r="O1894" s="81" t="s">
        <v>179</v>
      </c>
      <c r="P1894" s="83">
        <v>44463.125069444446</v>
      </c>
      <c r="Q1894" s="81" t="s">
        <v>920</v>
      </c>
      <c r="R1894" s="81"/>
      <c r="S1894" s="81"/>
      <c r="T1894" s="81"/>
      <c r="U1894" s="84" t="str">
        <f>HYPERLINK("https://pbs.twimg.com/media/FABMedZXsAAa5d5.jpg")</f>
        <v>https://pbs.twimg.com/media/FABMedZXsAAa5d5.jpg</v>
      </c>
      <c r="V1894" s="84" t="str">
        <f>HYPERLINK("https://pbs.twimg.com/media/FABMedZXsAAa5d5.jpg")</f>
        <v>https://pbs.twimg.com/media/FABMedZXsAAa5d5.jpg</v>
      </c>
      <c r="W1894" s="83">
        <v>44463.125069444446</v>
      </c>
      <c r="X1894" s="89">
        <v>44463</v>
      </c>
      <c r="Y1894" s="86" t="s">
        <v>1491</v>
      </c>
      <c r="Z1894" s="84" t="str">
        <f>HYPERLINK("https://twitter.com/tinggibdnalami/status/1441235969382895619")</f>
        <v>https://twitter.com/tinggibdnalami/status/1441235969382895619</v>
      </c>
      <c r="AA1894" s="81"/>
      <c r="AB1894" s="81"/>
      <c r="AC1894" s="86" t="s">
        <v>1989</v>
      </c>
      <c r="AD1894" s="81"/>
      <c r="AE1894" s="81" t="b">
        <v>0</v>
      </c>
      <c r="AF1894" s="81">
        <v>0</v>
      </c>
      <c r="AG1894" s="86" t="s">
        <v>2084</v>
      </c>
      <c r="AH1894" s="81" t="b">
        <v>0</v>
      </c>
      <c r="AI1894" s="81" t="s">
        <v>2167</v>
      </c>
      <c r="AJ1894" s="81"/>
      <c r="AK1894" s="86" t="s">
        <v>2084</v>
      </c>
      <c r="AL1894" s="81" t="b">
        <v>0</v>
      </c>
      <c r="AM1894" s="81">
        <v>0</v>
      </c>
      <c r="AN1894" s="86" t="s">
        <v>2084</v>
      </c>
      <c r="AO1894" s="86" t="s">
        <v>2183</v>
      </c>
      <c r="AP1894" s="81" t="b">
        <v>0</v>
      </c>
      <c r="AQ1894" s="86" t="s">
        <v>1989</v>
      </c>
      <c r="AR1894" s="81" t="s">
        <v>179</v>
      </c>
      <c r="AS1894" s="81">
        <v>0</v>
      </c>
      <c r="AT1894" s="81">
        <v>0</v>
      </c>
      <c r="AU1894" s="81"/>
      <c r="AV1894" s="81"/>
      <c r="AW1894" s="81"/>
      <c r="AX1894" s="81"/>
      <c r="AY1894" s="81"/>
      <c r="AZ1894" s="81"/>
      <c r="BA1894" s="81"/>
      <c r="BB1894" s="81"/>
    </row>
    <row r="1895" spans="1:54" x14ac:dyDescent="0.35">
      <c r="A1895" s="66" t="s">
        <v>590</v>
      </c>
      <c r="B1895" s="66" t="s">
        <v>590</v>
      </c>
      <c r="C1895" s="67"/>
      <c r="D1895" s="68"/>
      <c r="E1895" s="69"/>
      <c r="F1895" s="70"/>
      <c r="G1895" s="67"/>
      <c r="H1895" s="71"/>
      <c r="I1895" s="72"/>
      <c r="J1895" s="72"/>
      <c r="K1895" s="36"/>
      <c r="L1895" s="79"/>
      <c r="M1895" s="79"/>
      <c r="N1895" s="74"/>
      <c r="O1895" s="81" t="s">
        <v>179</v>
      </c>
      <c r="P1895" s="83">
        <v>44464.124386574076</v>
      </c>
      <c r="Q1895" s="81" t="s">
        <v>921</v>
      </c>
      <c r="R1895" s="81"/>
      <c r="S1895" s="81"/>
      <c r="T1895" s="81"/>
      <c r="U1895" s="84" t="str">
        <f>HYPERLINK("https://pbs.twimg.com/media/FAGV1xxXIAAJcxg.jpg")</f>
        <v>https://pbs.twimg.com/media/FAGV1xxXIAAJcxg.jpg</v>
      </c>
      <c r="V1895" s="84" t="str">
        <f>HYPERLINK("https://pbs.twimg.com/media/FAGV1xxXIAAJcxg.jpg")</f>
        <v>https://pbs.twimg.com/media/FAGV1xxXIAAJcxg.jpg</v>
      </c>
      <c r="W1895" s="83">
        <v>44464.124386574076</v>
      </c>
      <c r="X1895" s="89">
        <v>44464</v>
      </c>
      <c r="Y1895" s="86" t="s">
        <v>1492</v>
      </c>
      <c r="Z1895" s="84" t="str">
        <f>HYPERLINK("https://twitter.com/tinggibdnalami/status/1441598108853489664")</f>
        <v>https://twitter.com/tinggibdnalami/status/1441598108853489664</v>
      </c>
      <c r="AA1895" s="81"/>
      <c r="AB1895" s="81"/>
      <c r="AC1895" s="86" t="s">
        <v>1990</v>
      </c>
      <c r="AD1895" s="81"/>
      <c r="AE1895" s="81" t="b">
        <v>0</v>
      </c>
      <c r="AF1895" s="81">
        <v>0</v>
      </c>
      <c r="AG1895" s="86" t="s">
        <v>2084</v>
      </c>
      <c r="AH1895" s="81" t="b">
        <v>0</v>
      </c>
      <c r="AI1895" s="81" t="s">
        <v>2167</v>
      </c>
      <c r="AJ1895" s="81"/>
      <c r="AK1895" s="86" t="s">
        <v>2084</v>
      </c>
      <c r="AL1895" s="81" t="b">
        <v>0</v>
      </c>
      <c r="AM1895" s="81">
        <v>0</v>
      </c>
      <c r="AN1895" s="86" t="s">
        <v>2084</v>
      </c>
      <c r="AO1895" s="86" t="s">
        <v>2183</v>
      </c>
      <c r="AP1895" s="81" t="b">
        <v>0</v>
      </c>
      <c r="AQ1895" s="86" t="s">
        <v>1990</v>
      </c>
      <c r="AR1895" s="81" t="s">
        <v>179</v>
      </c>
      <c r="AS1895" s="81">
        <v>0</v>
      </c>
      <c r="AT1895" s="81">
        <v>0</v>
      </c>
      <c r="AU1895" s="81"/>
      <c r="AV1895" s="81"/>
      <c r="AW1895" s="81"/>
      <c r="AX1895" s="81"/>
      <c r="AY1895" s="81"/>
      <c r="AZ1895" s="81"/>
      <c r="BA1895" s="81"/>
      <c r="BB1895" s="81"/>
    </row>
    <row r="1896" spans="1:54" x14ac:dyDescent="0.35">
      <c r="A1896" s="66" t="s">
        <v>590</v>
      </c>
      <c r="B1896" s="66" t="s">
        <v>590</v>
      </c>
      <c r="C1896" s="67"/>
      <c r="D1896" s="68"/>
      <c r="E1896" s="69"/>
      <c r="F1896" s="70"/>
      <c r="G1896" s="67"/>
      <c r="H1896" s="71"/>
      <c r="I1896" s="72"/>
      <c r="J1896" s="72"/>
      <c r="K1896" s="36"/>
      <c r="L1896" s="79"/>
      <c r="M1896" s="79"/>
      <c r="N1896" s="74"/>
      <c r="O1896" s="81" t="s">
        <v>179</v>
      </c>
      <c r="P1896" s="83">
        <v>44465.125185185185</v>
      </c>
      <c r="Q1896" s="81" t="s">
        <v>922</v>
      </c>
      <c r="R1896" s="81"/>
      <c r="S1896" s="81"/>
      <c r="T1896" s="81"/>
      <c r="U1896" s="84" t="str">
        <f>HYPERLINK("https://pbs.twimg.com/media/FALfsXfXsAE9IHY.jpg")</f>
        <v>https://pbs.twimg.com/media/FALfsXfXsAE9IHY.jpg</v>
      </c>
      <c r="V1896" s="84" t="str">
        <f>HYPERLINK("https://pbs.twimg.com/media/FALfsXfXsAE9IHY.jpg")</f>
        <v>https://pbs.twimg.com/media/FALfsXfXsAE9IHY.jpg</v>
      </c>
      <c r="W1896" s="83">
        <v>44465.125185185185</v>
      </c>
      <c r="X1896" s="89">
        <v>44465</v>
      </c>
      <c r="Y1896" s="86" t="s">
        <v>1493</v>
      </c>
      <c r="Z1896" s="84" t="str">
        <f>HYPERLINK("https://twitter.com/tinggibdnalami/status/1441960786125934598")</f>
        <v>https://twitter.com/tinggibdnalami/status/1441960786125934598</v>
      </c>
      <c r="AA1896" s="81"/>
      <c r="AB1896" s="81"/>
      <c r="AC1896" s="86" t="s">
        <v>1991</v>
      </c>
      <c r="AD1896" s="81"/>
      <c r="AE1896" s="81" t="b">
        <v>0</v>
      </c>
      <c r="AF1896" s="81">
        <v>0</v>
      </c>
      <c r="AG1896" s="86" t="s">
        <v>2084</v>
      </c>
      <c r="AH1896" s="81" t="b">
        <v>0</v>
      </c>
      <c r="AI1896" s="81" t="s">
        <v>2167</v>
      </c>
      <c r="AJ1896" s="81"/>
      <c r="AK1896" s="86" t="s">
        <v>2084</v>
      </c>
      <c r="AL1896" s="81" t="b">
        <v>0</v>
      </c>
      <c r="AM1896" s="81">
        <v>0</v>
      </c>
      <c r="AN1896" s="86" t="s">
        <v>2084</v>
      </c>
      <c r="AO1896" s="86" t="s">
        <v>2183</v>
      </c>
      <c r="AP1896" s="81" t="b">
        <v>0</v>
      </c>
      <c r="AQ1896" s="86" t="s">
        <v>1991</v>
      </c>
      <c r="AR1896" s="81" t="s">
        <v>179</v>
      </c>
      <c r="AS1896" s="81">
        <v>0</v>
      </c>
      <c r="AT1896" s="81">
        <v>0</v>
      </c>
      <c r="AU1896" s="81"/>
      <c r="AV1896" s="81"/>
      <c r="AW1896" s="81"/>
      <c r="AX1896" s="81"/>
      <c r="AY1896" s="81"/>
      <c r="AZ1896" s="81"/>
      <c r="BA1896" s="81"/>
      <c r="BB1896" s="81"/>
    </row>
    <row r="1897" spans="1:54" x14ac:dyDescent="0.35">
      <c r="A1897" s="66" t="s">
        <v>590</v>
      </c>
      <c r="B1897" s="66" t="s">
        <v>590</v>
      </c>
      <c r="C1897" s="67"/>
      <c r="D1897" s="68"/>
      <c r="E1897" s="69"/>
      <c r="F1897" s="70"/>
      <c r="G1897" s="67"/>
      <c r="H1897" s="71"/>
      <c r="I1897" s="72"/>
      <c r="J1897" s="72"/>
      <c r="K1897" s="36"/>
      <c r="L1897" s="79"/>
      <c r="M1897" s="79"/>
      <c r="N1897" s="74"/>
      <c r="O1897" s="81" t="s">
        <v>179</v>
      </c>
      <c r="P1897" s="83">
        <v>44466.124560185184</v>
      </c>
      <c r="Q1897" s="81" t="s">
        <v>923</v>
      </c>
      <c r="R1897" s="81"/>
      <c r="S1897" s="81"/>
      <c r="T1897" s="81"/>
      <c r="U1897" s="84" t="str">
        <f>HYPERLINK("https://pbs.twimg.com/media/FAQpFA5WEAEY50A.jpg")</f>
        <v>https://pbs.twimg.com/media/FAQpFA5WEAEY50A.jpg</v>
      </c>
      <c r="V1897" s="84" t="str">
        <f>HYPERLINK("https://pbs.twimg.com/media/FAQpFA5WEAEY50A.jpg")</f>
        <v>https://pbs.twimg.com/media/FAQpFA5WEAEY50A.jpg</v>
      </c>
      <c r="W1897" s="83">
        <v>44466.124560185184</v>
      </c>
      <c r="X1897" s="89">
        <v>44466</v>
      </c>
      <c r="Y1897" s="86" t="s">
        <v>1494</v>
      </c>
      <c r="Z1897" s="84" t="str">
        <f>HYPERLINK("https://twitter.com/tinggibdnalami/status/1442322948359065600")</f>
        <v>https://twitter.com/tinggibdnalami/status/1442322948359065600</v>
      </c>
      <c r="AA1897" s="81"/>
      <c r="AB1897" s="81"/>
      <c r="AC1897" s="86" t="s">
        <v>1992</v>
      </c>
      <c r="AD1897" s="81"/>
      <c r="AE1897" s="81" t="b">
        <v>0</v>
      </c>
      <c r="AF1897" s="81">
        <v>0</v>
      </c>
      <c r="AG1897" s="86" t="s">
        <v>2084</v>
      </c>
      <c r="AH1897" s="81" t="b">
        <v>0</v>
      </c>
      <c r="AI1897" s="81" t="s">
        <v>2167</v>
      </c>
      <c r="AJ1897" s="81"/>
      <c r="AK1897" s="86" t="s">
        <v>2084</v>
      </c>
      <c r="AL1897" s="81" t="b">
        <v>0</v>
      </c>
      <c r="AM1897" s="81">
        <v>0</v>
      </c>
      <c r="AN1897" s="86" t="s">
        <v>2084</v>
      </c>
      <c r="AO1897" s="86" t="s">
        <v>2183</v>
      </c>
      <c r="AP1897" s="81" t="b">
        <v>0</v>
      </c>
      <c r="AQ1897" s="86" t="s">
        <v>1992</v>
      </c>
      <c r="AR1897" s="81" t="s">
        <v>179</v>
      </c>
      <c r="AS1897" s="81">
        <v>0</v>
      </c>
      <c r="AT1897" s="81">
        <v>0</v>
      </c>
      <c r="AU1897" s="81"/>
      <c r="AV1897" s="81"/>
      <c r="AW1897" s="81"/>
      <c r="AX1897" s="81"/>
      <c r="AY1897" s="81"/>
      <c r="AZ1897" s="81"/>
      <c r="BA1897" s="81"/>
      <c r="BB1897" s="81"/>
    </row>
    <row r="1898" spans="1:54" x14ac:dyDescent="0.35">
      <c r="A1898" s="66" t="s">
        <v>590</v>
      </c>
      <c r="B1898" s="66" t="s">
        <v>590</v>
      </c>
      <c r="C1898" s="67"/>
      <c r="D1898" s="68"/>
      <c r="E1898" s="69"/>
      <c r="F1898" s="70"/>
      <c r="G1898" s="67"/>
      <c r="H1898" s="71"/>
      <c r="I1898" s="72"/>
      <c r="J1898" s="72"/>
      <c r="K1898" s="36"/>
      <c r="L1898" s="79"/>
      <c r="M1898" s="79"/>
      <c r="N1898" s="74"/>
      <c r="O1898" s="81" t="s">
        <v>179</v>
      </c>
      <c r="P1898" s="83">
        <v>44467.125057870369</v>
      </c>
      <c r="Q1898" s="81" t="s">
        <v>924</v>
      </c>
      <c r="R1898" s="81"/>
      <c r="S1898" s="81"/>
      <c r="T1898" s="81"/>
      <c r="U1898" s="84" t="str">
        <f>HYPERLINK("https://pbs.twimg.com/media/FAVy1QVWQAMXc_L.jpg")</f>
        <v>https://pbs.twimg.com/media/FAVy1QVWQAMXc_L.jpg</v>
      </c>
      <c r="V1898" s="84" t="str">
        <f>HYPERLINK("https://pbs.twimg.com/media/FAVy1QVWQAMXc_L.jpg")</f>
        <v>https://pbs.twimg.com/media/FAVy1QVWQAMXc_L.jpg</v>
      </c>
      <c r="W1898" s="83">
        <v>44467.125057870369</v>
      </c>
      <c r="X1898" s="89">
        <v>44467</v>
      </c>
      <c r="Y1898" s="86" t="s">
        <v>1495</v>
      </c>
      <c r="Z1898" s="84" t="str">
        <f>HYPERLINK("https://twitter.com/tinggibdnalami/status/1442685516416274437")</f>
        <v>https://twitter.com/tinggibdnalami/status/1442685516416274437</v>
      </c>
      <c r="AA1898" s="81"/>
      <c r="AB1898" s="81"/>
      <c r="AC1898" s="86" t="s">
        <v>1993</v>
      </c>
      <c r="AD1898" s="81"/>
      <c r="AE1898" s="81" t="b">
        <v>0</v>
      </c>
      <c r="AF1898" s="81">
        <v>0</v>
      </c>
      <c r="AG1898" s="86" t="s">
        <v>2084</v>
      </c>
      <c r="AH1898" s="81" t="b">
        <v>0</v>
      </c>
      <c r="AI1898" s="81" t="s">
        <v>2167</v>
      </c>
      <c r="AJ1898" s="81"/>
      <c r="AK1898" s="86" t="s">
        <v>2084</v>
      </c>
      <c r="AL1898" s="81" t="b">
        <v>0</v>
      </c>
      <c r="AM1898" s="81">
        <v>0</v>
      </c>
      <c r="AN1898" s="86" t="s">
        <v>2084</v>
      </c>
      <c r="AO1898" s="86" t="s">
        <v>2183</v>
      </c>
      <c r="AP1898" s="81" t="b">
        <v>0</v>
      </c>
      <c r="AQ1898" s="86" t="s">
        <v>1993</v>
      </c>
      <c r="AR1898" s="81" t="s">
        <v>179</v>
      </c>
      <c r="AS1898" s="81">
        <v>0</v>
      </c>
      <c r="AT1898" s="81">
        <v>0</v>
      </c>
      <c r="AU1898" s="81"/>
      <c r="AV1898" s="81"/>
      <c r="AW1898" s="81"/>
      <c r="AX1898" s="81"/>
      <c r="AY1898" s="81"/>
      <c r="AZ1898" s="81"/>
      <c r="BA1898" s="81"/>
      <c r="BB1898" s="81"/>
    </row>
    <row r="1899" spans="1:54" x14ac:dyDescent="0.35">
      <c r="A1899" s="66" t="s">
        <v>590</v>
      </c>
      <c r="B1899" s="66" t="s">
        <v>590</v>
      </c>
      <c r="C1899" s="67"/>
      <c r="D1899" s="68"/>
      <c r="E1899" s="69"/>
      <c r="F1899" s="70"/>
      <c r="G1899" s="67"/>
      <c r="H1899" s="71"/>
      <c r="I1899" s="72"/>
      <c r="J1899" s="72"/>
      <c r="K1899" s="36"/>
      <c r="L1899" s="79"/>
      <c r="M1899" s="79"/>
      <c r="N1899" s="74"/>
      <c r="O1899" s="81" t="s">
        <v>179</v>
      </c>
      <c r="P1899" s="83">
        <v>44468.124467592592</v>
      </c>
      <c r="Q1899" s="81" t="s">
        <v>5667</v>
      </c>
      <c r="R1899" s="81"/>
      <c r="S1899" s="81"/>
      <c r="T1899" s="81"/>
      <c r="U1899" s="84" t="str">
        <f>HYPERLINK("https://pbs.twimg.com/media/FAa8OgfXIAMZ_we.jpg")</f>
        <v>https://pbs.twimg.com/media/FAa8OgfXIAMZ_we.jpg</v>
      </c>
      <c r="V1899" s="84" t="str">
        <f>HYPERLINK("https://pbs.twimg.com/media/FAa8OgfXIAMZ_we.jpg")</f>
        <v>https://pbs.twimg.com/media/FAa8OgfXIAMZ_we.jpg</v>
      </c>
      <c r="W1899" s="83">
        <v>44468.124467592592</v>
      </c>
      <c r="X1899" s="89">
        <v>44468</v>
      </c>
      <c r="Y1899" s="86" t="s">
        <v>1487</v>
      </c>
      <c r="Z1899" s="84" t="str">
        <f>HYPERLINK("https://twitter.com/tinggibdnalami/status/1443047689902493699")</f>
        <v>https://twitter.com/tinggibdnalami/status/1443047689902493699</v>
      </c>
      <c r="AA1899" s="81"/>
      <c r="AB1899" s="81"/>
      <c r="AC1899" s="86" t="s">
        <v>7598</v>
      </c>
      <c r="AD1899" s="81"/>
      <c r="AE1899" s="81" t="b">
        <v>0</v>
      </c>
      <c r="AF1899" s="81">
        <v>0</v>
      </c>
      <c r="AG1899" s="86" t="s">
        <v>2084</v>
      </c>
      <c r="AH1899" s="81" t="b">
        <v>0</v>
      </c>
      <c r="AI1899" s="81" t="s">
        <v>2167</v>
      </c>
      <c r="AJ1899" s="81"/>
      <c r="AK1899" s="86" t="s">
        <v>2084</v>
      </c>
      <c r="AL1899" s="81" t="b">
        <v>0</v>
      </c>
      <c r="AM1899" s="81">
        <v>0</v>
      </c>
      <c r="AN1899" s="86" t="s">
        <v>2084</v>
      </c>
      <c r="AO1899" s="86" t="s">
        <v>2183</v>
      </c>
      <c r="AP1899" s="81" t="b">
        <v>0</v>
      </c>
      <c r="AQ1899" s="86" t="s">
        <v>7598</v>
      </c>
      <c r="AR1899" s="81" t="s">
        <v>179</v>
      </c>
      <c r="AS1899" s="81">
        <v>0</v>
      </c>
      <c r="AT1899" s="81">
        <v>0</v>
      </c>
      <c r="AU1899" s="81"/>
      <c r="AV1899" s="81"/>
      <c r="AW1899" s="81"/>
      <c r="AX1899" s="81"/>
      <c r="AY1899" s="81"/>
      <c r="AZ1899" s="81"/>
      <c r="BA1899" s="81"/>
      <c r="BB1899" s="81"/>
    </row>
    <row r="1900" spans="1:54" x14ac:dyDescent="0.35">
      <c r="A1900" s="66" t="s">
        <v>4969</v>
      </c>
      <c r="B1900" s="66" t="s">
        <v>589</v>
      </c>
      <c r="C1900" s="67"/>
      <c r="D1900" s="68"/>
      <c r="E1900" s="69"/>
      <c r="F1900" s="70"/>
      <c r="G1900" s="67"/>
      <c r="H1900" s="71"/>
      <c r="I1900" s="72"/>
      <c r="J1900" s="72"/>
      <c r="K1900" s="36"/>
      <c r="L1900" s="79"/>
      <c r="M1900" s="79"/>
      <c r="N1900" s="74"/>
      <c r="O1900" s="81" t="s">
        <v>693</v>
      </c>
      <c r="P1900" s="83">
        <v>44468.141400462962</v>
      </c>
      <c r="Q1900" s="81" t="s">
        <v>5625</v>
      </c>
      <c r="R1900" s="81"/>
      <c r="S1900" s="81"/>
      <c r="T1900" s="86" t="s">
        <v>5786</v>
      </c>
      <c r="U1900" s="84" t="str">
        <f>HYPERLINK("https://pbs.twimg.com/media/FAYUHMTVEAoP82T.jpg")</f>
        <v>https://pbs.twimg.com/media/FAYUHMTVEAoP82T.jpg</v>
      </c>
      <c r="V1900" s="84" t="str">
        <f>HYPERLINK("https://pbs.twimg.com/media/FAYUHMTVEAoP82T.jpg")</f>
        <v>https://pbs.twimg.com/media/FAYUHMTVEAoP82T.jpg</v>
      </c>
      <c r="W1900" s="83">
        <v>44468.141400462962</v>
      </c>
      <c r="X1900" s="89">
        <v>44468</v>
      </c>
      <c r="Y1900" s="86" t="s">
        <v>6672</v>
      </c>
      <c r="Z1900" s="84" t="str">
        <f>HYPERLINK("https://twitter.com/nctmytrade/status/1443053826689298432")</f>
        <v>https://twitter.com/nctmytrade/status/1443053826689298432</v>
      </c>
      <c r="AA1900" s="81"/>
      <c r="AB1900" s="81"/>
      <c r="AC1900" s="86" t="s">
        <v>7599</v>
      </c>
      <c r="AD1900" s="81"/>
      <c r="AE1900" s="81" t="b">
        <v>0</v>
      </c>
      <c r="AF1900" s="81">
        <v>0</v>
      </c>
      <c r="AG1900" s="86" t="s">
        <v>2084</v>
      </c>
      <c r="AH1900" s="81" t="b">
        <v>0</v>
      </c>
      <c r="AI1900" s="81" t="s">
        <v>2168</v>
      </c>
      <c r="AJ1900" s="81"/>
      <c r="AK1900" s="86" t="s">
        <v>2084</v>
      </c>
      <c r="AL1900" s="81" t="b">
        <v>0</v>
      </c>
      <c r="AM1900" s="81">
        <v>15</v>
      </c>
      <c r="AN1900" s="86" t="s">
        <v>7613</v>
      </c>
      <c r="AO1900" s="86" t="s">
        <v>2179</v>
      </c>
      <c r="AP1900" s="81" t="b">
        <v>0</v>
      </c>
      <c r="AQ1900" s="86" t="s">
        <v>7613</v>
      </c>
      <c r="AR1900" s="81" t="s">
        <v>179</v>
      </c>
      <c r="AS1900" s="81">
        <v>0</v>
      </c>
      <c r="AT1900" s="81">
        <v>0</v>
      </c>
      <c r="AU1900" s="81"/>
      <c r="AV1900" s="81"/>
      <c r="AW1900" s="81"/>
      <c r="AX1900" s="81"/>
      <c r="AY1900" s="81"/>
      <c r="AZ1900" s="81"/>
      <c r="BA1900" s="81"/>
      <c r="BB1900" s="81"/>
    </row>
    <row r="1901" spans="1:54" x14ac:dyDescent="0.35">
      <c r="A1901" s="66" t="s">
        <v>4970</v>
      </c>
      <c r="B1901" s="66" t="s">
        <v>589</v>
      </c>
      <c r="C1901" s="67"/>
      <c r="D1901" s="68"/>
      <c r="E1901" s="69"/>
      <c r="F1901" s="70"/>
      <c r="G1901" s="67"/>
      <c r="H1901" s="71"/>
      <c r="I1901" s="72"/>
      <c r="J1901" s="72"/>
      <c r="K1901" s="36"/>
      <c r="L1901" s="79"/>
      <c r="M1901" s="79"/>
      <c r="N1901" s="74"/>
      <c r="O1901" s="81" t="s">
        <v>693</v>
      </c>
      <c r="P1901" s="83">
        <v>44468.142835648148</v>
      </c>
      <c r="Q1901" s="81" t="s">
        <v>5625</v>
      </c>
      <c r="R1901" s="81"/>
      <c r="S1901" s="81"/>
      <c r="T1901" s="86" t="s">
        <v>5786</v>
      </c>
      <c r="U1901" s="84" t="str">
        <f>HYPERLINK("https://pbs.twimg.com/media/FAYUHMTVEAoP82T.jpg")</f>
        <v>https://pbs.twimg.com/media/FAYUHMTVEAoP82T.jpg</v>
      </c>
      <c r="V1901" s="84" t="str">
        <f>HYPERLINK("https://pbs.twimg.com/media/FAYUHMTVEAoP82T.jpg")</f>
        <v>https://pbs.twimg.com/media/FAYUHMTVEAoP82T.jpg</v>
      </c>
      <c r="W1901" s="83">
        <v>44468.142835648148</v>
      </c>
      <c r="X1901" s="89">
        <v>44468</v>
      </c>
      <c r="Y1901" s="86" t="s">
        <v>6673</v>
      </c>
      <c r="Z1901" s="84" t="str">
        <f>HYPERLINK("https://twitter.com/levanterjimin/status/1443054346661339137")</f>
        <v>https://twitter.com/levanterjimin/status/1443054346661339137</v>
      </c>
      <c r="AA1901" s="81"/>
      <c r="AB1901" s="81"/>
      <c r="AC1901" s="86" t="s">
        <v>7600</v>
      </c>
      <c r="AD1901" s="81"/>
      <c r="AE1901" s="81" t="b">
        <v>0</v>
      </c>
      <c r="AF1901" s="81">
        <v>0</v>
      </c>
      <c r="AG1901" s="86" t="s">
        <v>2084</v>
      </c>
      <c r="AH1901" s="81" t="b">
        <v>0</v>
      </c>
      <c r="AI1901" s="81" t="s">
        <v>2168</v>
      </c>
      <c r="AJ1901" s="81"/>
      <c r="AK1901" s="86" t="s">
        <v>2084</v>
      </c>
      <c r="AL1901" s="81" t="b">
        <v>0</v>
      </c>
      <c r="AM1901" s="81">
        <v>15</v>
      </c>
      <c r="AN1901" s="86" t="s">
        <v>7613</v>
      </c>
      <c r="AO1901" s="86" t="s">
        <v>2181</v>
      </c>
      <c r="AP1901" s="81" t="b">
        <v>0</v>
      </c>
      <c r="AQ1901" s="86" t="s">
        <v>7613</v>
      </c>
      <c r="AR1901" s="81" t="s">
        <v>179</v>
      </c>
      <c r="AS1901" s="81">
        <v>0</v>
      </c>
      <c r="AT1901" s="81">
        <v>0</v>
      </c>
      <c r="AU1901" s="81"/>
      <c r="AV1901" s="81"/>
      <c r="AW1901" s="81"/>
      <c r="AX1901" s="81"/>
      <c r="AY1901" s="81"/>
      <c r="AZ1901" s="81"/>
      <c r="BA1901" s="81"/>
      <c r="BB1901" s="81"/>
    </row>
    <row r="1902" spans="1:54" x14ac:dyDescent="0.35">
      <c r="A1902" s="66" t="s">
        <v>4971</v>
      </c>
      <c r="B1902" s="66" t="s">
        <v>4971</v>
      </c>
      <c r="C1902" s="67"/>
      <c r="D1902" s="68"/>
      <c r="E1902" s="69"/>
      <c r="F1902" s="70"/>
      <c r="G1902" s="67"/>
      <c r="H1902" s="71"/>
      <c r="I1902" s="72"/>
      <c r="J1902" s="72"/>
      <c r="K1902" s="36"/>
      <c r="L1902" s="79"/>
      <c r="M1902" s="79"/>
      <c r="N1902" s="74"/>
      <c r="O1902" s="81" t="s">
        <v>179</v>
      </c>
      <c r="P1902" s="83">
        <v>44468.040520833332</v>
      </c>
      <c r="Q1902" s="81" t="s">
        <v>5668</v>
      </c>
      <c r="R1902" s="84" t="str">
        <f>HYPERLINK("https://www.oposisicerdas.com/2021/09/dugaan-korupsi-rp-52-miliar-di-anak.html")</f>
        <v>https://www.oposisicerdas.com/2021/09/dugaan-korupsi-rp-52-miliar-di-anak.html</v>
      </c>
      <c r="S1902" s="81" t="s">
        <v>5762</v>
      </c>
      <c r="T1902" s="81"/>
      <c r="U1902" s="81"/>
      <c r="V1902" s="84" t="str">
        <f>HYPERLINK("https://pbs.twimg.com/profile_images/1238029886066851841/eqxRguVj_normal.jpg")</f>
        <v>https://pbs.twimg.com/profile_images/1238029886066851841/eqxRguVj_normal.jpg</v>
      </c>
      <c r="W1902" s="83">
        <v>44468.040520833332</v>
      </c>
      <c r="X1902" s="89">
        <v>44468</v>
      </c>
      <c r="Y1902" s="86" t="s">
        <v>6674</v>
      </c>
      <c r="Z1902" s="84" t="str">
        <f>HYPERLINK("https://twitter.com/oposisicerdas/status/1443017270750445576")</f>
        <v>https://twitter.com/oposisicerdas/status/1443017270750445576</v>
      </c>
      <c r="AA1902" s="81"/>
      <c r="AB1902" s="81"/>
      <c r="AC1902" s="86" t="s">
        <v>7601</v>
      </c>
      <c r="AD1902" s="81"/>
      <c r="AE1902" s="81" t="b">
        <v>0</v>
      </c>
      <c r="AF1902" s="81">
        <v>10</v>
      </c>
      <c r="AG1902" s="86" t="s">
        <v>2084</v>
      </c>
      <c r="AH1902" s="81" t="b">
        <v>0</v>
      </c>
      <c r="AI1902" s="81" t="s">
        <v>2167</v>
      </c>
      <c r="AJ1902" s="81"/>
      <c r="AK1902" s="86" t="s">
        <v>2084</v>
      </c>
      <c r="AL1902" s="81" t="b">
        <v>0</v>
      </c>
      <c r="AM1902" s="81">
        <v>4</v>
      </c>
      <c r="AN1902" s="86" t="s">
        <v>2084</v>
      </c>
      <c r="AO1902" s="86" t="s">
        <v>2181</v>
      </c>
      <c r="AP1902" s="81" t="b">
        <v>0</v>
      </c>
      <c r="AQ1902" s="86" t="s">
        <v>7601</v>
      </c>
      <c r="AR1902" s="81" t="s">
        <v>179</v>
      </c>
      <c r="AS1902" s="81">
        <v>0</v>
      </c>
      <c r="AT1902" s="81">
        <v>0</v>
      </c>
      <c r="AU1902" s="81"/>
      <c r="AV1902" s="81"/>
      <c r="AW1902" s="81"/>
      <c r="AX1902" s="81"/>
      <c r="AY1902" s="81"/>
      <c r="AZ1902" s="81"/>
      <c r="BA1902" s="81"/>
      <c r="BB1902" s="81"/>
    </row>
    <row r="1903" spans="1:54" x14ac:dyDescent="0.35">
      <c r="A1903" s="66" t="s">
        <v>4972</v>
      </c>
      <c r="B1903" s="66" t="s">
        <v>4971</v>
      </c>
      <c r="C1903" s="67"/>
      <c r="D1903" s="68"/>
      <c r="E1903" s="69"/>
      <c r="F1903" s="70"/>
      <c r="G1903" s="67"/>
      <c r="H1903" s="71"/>
      <c r="I1903" s="72"/>
      <c r="J1903" s="72"/>
      <c r="K1903" s="36"/>
      <c r="L1903" s="79"/>
      <c r="M1903" s="79"/>
      <c r="N1903" s="74"/>
      <c r="O1903" s="81" t="s">
        <v>693</v>
      </c>
      <c r="P1903" s="83">
        <v>44468.158842592595</v>
      </c>
      <c r="Q1903" s="81" t="s">
        <v>5668</v>
      </c>
      <c r="R1903" s="84" t="str">
        <f>HYPERLINK("https://www.oposisicerdas.com/2021/09/dugaan-korupsi-rp-52-miliar-di-anak.html")</f>
        <v>https://www.oposisicerdas.com/2021/09/dugaan-korupsi-rp-52-miliar-di-anak.html</v>
      </c>
      <c r="S1903" s="81" t="s">
        <v>5762</v>
      </c>
      <c r="T1903" s="81"/>
      <c r="U1903" s="81"/>
      <c r="V1903" s="84" t="str">
        <f>HYPERLINK("https://pbs.twimg.com/profile_images/1392184767475445766/4c2pyFrq_normal.jpg")</f>
        <v>https://pbs.twimg.com/profile_images/1392184767475445766/4c2pyFrq_normal.jpg</v>
      </c>
      <c r="W1903" s="83">
        <v>44468.158842592595</v>
      </c>
      <c r="X1903" s="89">
        <v>44468</v>
      </c>
      <c r="Y1903" s="86" t="s">
        <v>6675</v>
      </c>
      <c r="Z1903" s="84" t="str">
        <f>HYPERLINK("https://twitter.com/inlandertengik/status/1443060148537200642")</f>
        <v>https://twitter.com/inlandertengik/status/1443060148537200642</v>
      </c>
      <c r="AA1903" s="81"/>
      <c r="AB1903" s="81"/>
      <c r="AC1903" s="86" t="s">
        <v>7602</v>
      </c>
      <c r="AD1903" s="81"/>
      <c r="AE1903" s="81" t="b">
        <v>0</v>
      </c>
      <c r="AF1903" s="81">
        <v>0</v>
      </c>
      <c r="AG1903" s="86" t="s">
        <v>2084</v>
      </c>
      <c r="AH1903" s="81" t="b">
        <v>0</v>
      </c>
      <c r="AI1903" s="81" t="s">
        <v>2167</v>
      </c>
      <c r="AJ1903" s="81"/>
      <c r="AK1903" s="86" t="s">
        <v>2084</v>
      </c>
      <c r="AL1903" s="81" t="b">
        <v>0</v>
      </c>
      <c r="AM1903" s="81">
        <v>4</v>
      </c>
      <c r="AN1903" s="86" t="s">
        <v>7601</v>
      </c>
      <c r="AO1903" s="86" t="s">
        <v>2178</v>
      </c>
      <c r="AP1903" s="81" t="b">
        <v>0</v>
      </c>
      <c r="AQ1903" s="86" t="s">
        <v>7601</v>
      </c>
      <c r="AR1903" s="81" t="s">
        <v>179</v>
      </c>
      <c r="AS1903" s="81">
        <v>0</v>
      </c>
      <c r="AT1903" s="81">
        <v>0</v>
      </c>
      <c r="AU1903" s="81"/>
      <c r="AV1903" s="81"/>
      <c r="AW1903" s="81"/>
      <c r="AX1903" s="81"/>
      <c r="AY1903" s="81"/>
      <c r="AZ1903" s="81"/>
      <c r="BA1903" s="81"/>
      <c r="BB1903" s="81"/>
    </row>
    <row r="1904" spans="1:54" x14ac:dyDescent="0.35">
      <c r="A1904" s="66" t="s">
        <v>4973</v>
      </c>
      <c r="B1904" s="66" t="s">
        <v>4973</v>
      </c>
      <c r="C1904" s="67"/>
      <c r="D1904" s="68"/>
      <c r="E1904" s="69"/>
      <c r="F1904" s="70"/>
      <c r="G1904" s="67"/>
      <c r="H1904" s="71"/>
      <c r="I1904" s="72"/>
      <c r="J1904" s="72"/>
      <c r="K1904" s="36"/>
      <c r="L1904" s="79"/>
      <c r="M1904" s="79"/>
      <c r="N1904" s="74"/>
      <c r="O1904" s="81" t="s">
        <v>179</v>
      </c>
      <c r="P1904" s="83">
        <v>44468.159988425927</v>
      </c>
      <c r="Q1904" s="81" t="s">
        <v>5669</v>
      </c>
      <c r="R1904" s="84" t="s">
        <v>5673</v>
      </c>
      <c r="S1904" s="81" t="s">
        <v>5687</v>
      </c>
      <c r="T1904" s="86" t="s">
        <v>5788</v>
      </c>
      <c r="U1904" s="81"/>
      <c r="V1904" s="84" t="str">
        <f>HYPERLINK("https://pbs.twimg.com/profile_images/1219031004444340224/lbTBV36e_normal.jpg")</f>
        <v>https://pbs.twimg.com/profile_images/1219031004444340224/lbTBV36e_normal.jpg</v>
      </c>
      <c r="W1904" s="83">
        <v>44468.159988425927</v>
      </c>
      <c r="X1904" s="89">
        <v>44468</v>
      </c>
      <c r="Y1904" s="86" t="s">
        <v>6676</v>
      </c>
      <c r="Z1904" s="84" t="str">
        <f>HYPERLINK("https://twitter.com/didsanttos/status/1443060560950611968")</f>
        <v>https://twitter.com/didsanttos/status/1443060560950611968</v>
      </c>
      <c r="AA1904" s="81"/>
      <c r="AB1904" s="81"/>
      <c r="AC1904" s="86" t="s">
        <v>7603</v>
      </c>
      <c r="AD1904" s="81"/>
      <c r="AE1904" s="81" t="b">
        <v>0</v>
      </c>
      <c r="AF1904" s="81">
        <v>0</v>
      </c>
      <c r="AG1904" s="86" t="s">
        <v>2084</v>
      </c>
      <c r="AH1904" s="81" t="b">
        <v>0</v>
      </c>
      <c r="AI1904" s="81" t="s">
        <v>2171</v>
      </c>
      <c r="AJ1904" s="81"/>
      <c r="AK1904" s="86" t="s">
        <v>2084</v>
      </c>
      <c r="AL1904" s="81" t="b">
        <v>0</v>
      </c>
      <c r="AM1904" s="81">
        <v>0</v>
      </c>
      <c r="AN1904" s="86" t="s">
        <v>2084</v>
      </c>
      <c r="AO1904" s="86" t="s">
        <v>2178</v>
      </c>
      <c r="AP1904" s="81" t="b">
        <v>0</v>
      </c>
      <c r="AQ1904" s="86" t="s">
        <v>7603</v>
      </c>
      <c r="AR1904" s="81" t="s">
        <v>179</v>
      </c>
      <c r="AS1904" s="81">
        <v>0</v>
      </c>
      <c r="AT1904" s="81">
        <v>0</v>
      </c>
      <c r="AU1904" s="81"/>
      <c r="AV1904" s="81"/>
      <c r="AW1904" s="81"/>
      <c r="AX1904" s="81"/>
      <c r="AY1904" s="81"/>
      <c r="AZ1904" s="81"/>
      <c r="BA1904" s="81"/>
      <c r="BB1904" s="81"/>
    </row>
    <row r="1905" spans="1:54" x14ac:dyDescent="0.35">
      <c r="A1905" s="66" t="s">
        <v>4974</v>
      </c>
      <c r="B1905" s="66" t="s">
        <v>4974</v>
      </c>
      <c r="C1905" s="67"/>
      <c r="D1905" s="68"/>
      <c r="E1905" s="69"/>
      <c r="F1905" s="70"/>
      <c r="G1905" s="67"/>
      <c r="H1905" s="71"/>
      <c r="I1905" s="72"/>
      <c r="J1905" s="72"/>
      <c r="K1905" s="36"/>
      <c r="L1905" s="79"/>
      <c r="M1905" s="79"/>
      <c r="N1905" s="74"/>
      <c r="O1905" s="81" t="s">
        <v>179</v>
      </c>
      <c r="P1905" s="83">
        <v>44468.165254629632</v>
      </c>
      <c r="Q1905" s="81" t="s">
        <v>5670</v>
      </c>
      <c r="R1905" s="81"/>
      <c r="S1905" s="81"/>
      <c r="T1905" s="81"/>
      <c r="U1905" s="81"/>
      <c r="V1905" s="84" t="str">
        <f>HYPERLINK("https://pbs.twimg.com/profile_images/1432526940640997376/qfwE2b96_normal.jpg")</f>
        <v>https://pbs.twimg.com/profile_images/1432526940640997376/qfwE2b96_normal.jpg</v>
      </c>
      <c r="W1905" s="83">
        <v>44468.165254629632</v>
      </c>
      <c r="X1905" s="89">
        <v>44468</v>
      </c>
      <c r="Y1905" s="86" t="s">
        <v>6677</v>
      </c>
      <c r="Z1905" s="84" t="str">
        <f>HYPERLINK("https://twitter.com/aish4hismail/status/1443062472475234309")</f>
        <v>https://twitter.com/aish4hismail/status/1443062472475234309</v>
      </c>
      <c r="AA1905" s="81"/>
      <c r="AB1905" s="81"/>
      <c r="AC1905" s="86" t="s">
        <v>7604</v>
      </c>
      <c r="AD1905" s="81"/>
      <c r="AE1905" s="81" t="b">
        <v>0</v>
      </c>
      <c r="AF1905" s="81">
        <v>0</v>
      </c>
      <c r="AG1905" s="86" t="s">
        <v>2084</v>
      </c>
      <c r="AH1905" s="81" t="b">
        <v>0</v>
      </c>
      <c r="AI1905" s="81" t="s">
        <v>2167</v>
      </c>
      <c r="AJ1905" s="81"/>
      <c r="AK1905" s="86" t="s">
        <v>2084</v>
      </c>
      <c r="AL1905" s="81" t="b">
        <v>0</v>
      </c>
      <c r="AM1905" s="81">
        <v>0</v>
      </c>
      <c r="AN1905" s="86" t="s">
        <v>2084</v>
      </c>
      <c r="AO1905" s="86" t="s">
        <v>2179</v>
      </c>
      <c r="AP1905" s="81" t="b">
        <v>0</v>
      </c>
      <c r="AQ1905" s="86" t="s">
        <v>7604</v>
      </c>
      <c r="AR1905" s="81" t="s">
        <v>179</v>
      </c>
      <c r="AS1905" s="81">
        <v>0</v>
      </c>
      <c r="AT1905" s="81">
        <v>0</v>
      </c>
      <c r="AU1905" s="81"/>
      <c r="AV1905" s="81"/>
      <c r="AW1905" s="81"/>
      <c r="AX1905" s="81"/>
      <c r="AY1905" s="81"/>
      <c r="AZ1905" s="81"/>
      <c r="BA1905" s="81"/>
      <c r="BB1905" s="81"/>
    </row>
    <row r="1906" spans="1:54" x14ac:dyDescent="0.35">
      <c r="A1906" s="66" t="s">
        <v>4975</v>
      </c>
      <c r="B1906" s="66" t="s">
        <v>589</v>
      </c>
      <c r="C1906" s="67"/>
      <c r="D1906" s="68"/>
      <c r="E1906" s="69"/>
      <c r="F1906" s="70"/>
      <c r="G1906" s="67"/>
      <c r="H1906" s="71"/>
      <c r="I1906" s="72"/>
      <c r="J1906" s="72"/>
      <c r="K1906" s="36"/>
      <c r="L1906" s="79"/>
      <c r="M1906" s="79"/>
      <c r="N1906" s="74"/>
      <c r="O1906" s="81" t="s">
        <v>693</v>
      </c>
      <c r="P1906" s="83">
        <v>44468.176238425927</v>
      </c>
      <c r="Q1906" s="81" t="s">
        <v>5664</v>
      </c>
      <c r="R1906" s="81"/>
      <c r="S1906" s="81"/>
      <c r="T1906" s="86" t="s">
        <v>1008</v>
      </c>
      <c r="U1906" s="84" t="str">
        <f>HYPERLINK("https://pbs.twimg.com/media/FAYOUjOUYAQ_JP2.jpg")</f>
        <v>https://pbs.twimg.com/media/FAYOUjOUYAQ_JP2.jpg</v>
      </c>
      <c r="V1906" s="84" t="str">
        <f>HYPERLINK("https://pbs.twimg.com/media/FAYOUjOUYAQ_JP2.jpg")</f>
        <v>https://pbs.twimg.com/media/FAYOUjOUYAQ_JP2.jpg</v>
      </c>
      <c r="W1906" s="83">
        <v>44468.176238425927</v>
      </c>
      <c r="X1906" s="89">
        <v>44468</v>
      </c>
      <c r="Y1906" s="86" t="s">
        <v>6678</v>
      </c>
      <c r="Z1906" s="84" t="str">
        <f>HYPERLINK("https://twitter.com/mygot7market/status/1443066450504142854")</f>
        <v>https://twitter.com/mygot7market/status/1443066450504142854</v>
      </c>
      <c r="AA1906" s="81"/>
      <c r="AB1906" s="81"/>
      <c r="AC1906" s="86" t="s">
        <v>7605</v>
      </c>
      <c r="AD1906" s="81"/>
      <c r="AE1906" s="81" t="b">
        <v>0</v>
      </c>
      <c r="AF1906" s="81">
        <v>0</v>
      </c>
      <c r="AG1906" s="86" t="s">
        <v>2084</v>
      </c>
      <c r="AH1906" s="81" t="b">
        <v>0</v>
      </c>
      <c r="AI1906" s="81" t="s">
        <v>2168</v>
      </c>
      <c r="AJ1906" s="81"/>
      <c r="AK1906" s="86" t="s">
        <v>2084</v>
      </c>
      <c r="AL1906" s="81" t="b">
        <v>0</v>
      </c>
      <c r="AM1906" s="81">
        <v>6</v>
      </c>
      <c r="AN1906" s="86" t="s">
        <v>7612</v>
      </c>
      <c r="AO1906" s="86" t="s">
        <v>2178</v>
      </c>
      <c r="AP1906" s="81" t="b">
        <v>0</v>
      </c>
      <c r="AQ1906" s="86" t="s">
        <v>7612</v>
      </c>
      <c r="AR1906" s="81" t="s">
        <v>179</v>
      </c>
      <c r="AS1906" s="81">
        <v>0</v>
      </c>
      <c r="AT1906" s="81">
        <v>0</v>
      </c>
      <c r="AU1906" s="81"/>
      <c r="AV1906" s="81"/>
      <c r="AW1906" s="81"/>
      <c r="AX1906" s="81"/>
      <c r="AY1906" s="81"/>
      <c r="AZ1906" s="81"/>
      <c r="BA1906" s="81"/>
      <c r="BB1906" s="81"/>
    </row>
    <row r="1907" spans="1:54" x14ac:dyDescent="0.35">
      <c r="A1907" s="66" t="s">
        <v>4975</v>
      </c>
      <c r="B1907" s="66" t="s">
        <v>589</v>
      </c>
      <c r="C1907" s="67"/>
      <c r="D1907" s="68"/>
      <c r="E1907" s="69"/>
      <c r="F1907" s="70"/>
      <c r="G1907" s="67"/>
      <c r="H1907" s="71"/>
      <c r="I1907" s="72"/>
      <c r="J1907" s="72"/>
      <c r="K1907" s="36"/>
      <c r="L1907" s="79"/>
      <c r="M1907" s="79"/>
      <c r="N1907" s="74"/>
      <c r="O1907" s="81" t="s">
        <v>693</v>
      </c>
      <c r="P1907" s="83">
        <v>44468.176319444443</v>
      </c>
      <c r="Q1907" s="81" t="s">
        <v>5666</v>
      </c>
      <c r="R1907" s="81"/>
      <c r="S1907" s="81"/>
      <c r="T1907" s="86" t="s">
        <v>1008</v>
      </c>
      <c r="U1907" s="84" t="str">
        <f>HYPERLINK("https://pbs.twimg.com/media/FAYKlY0XEAQ88YO.jpg")</f>
        <v>https://pbs.twimg.com/media/FAYKlY0XEAQ88YO.jpg</v>
      </c>
      <c r="V1907" s="84" t="str">
        <f>HYPERLINK("https://pbs.twimg.com/media/FAYKlY0XEAQ88YO.jpg")</f>
        <v>https://pbs.twimg.com/media/FAYKlY0XEAQ88YO.jpg</v>
      </c>
      <c r="W1907" s="83">
        <v>44468.176319444443</v>
      </c>
      <c r="X1907" s="89">
        <v>44468</v>
      </c>
      <c r="Y1907" s="86" t="s">
        <v>6679</v>
      </c>
      <c r="Z1907" s="84" t="str">
        <f>HYPERLINK("https://twitter.com/mygot7market/status/1443066481948848133")</f>
        <v>https://twitter.com/mygot7market/status/1443066481948848133</v>
      </c>
      <c r="AA1907" s="81"/>
      <c r="AB1907" s="81"/>
      <c r="AC1907" s="86" t="s">
        <v>7606</v>
      </c>
      <c r="AD1907" s="81"/>
      <c r="AE1907" s="81" t="b">
        <v>0</v>
      </c>
      <c r="AF1907" s="81">
        <v>0</v>
      </c>
      <c r="AG1907" s="86" t="s">
        <v>2084</v>
      </c>
      <c r="AH1907" s="81" t="b">
        <v>0</v>
      </c>
      <c r="AI1907" s="81" t="s">
        <v>2168</v>
      </c>
      <c r="AJ1907" s="81"/>
      <c r="AK1907" s="86" t="s">
        <v>2084</v>
      </c>
      <c r="AL1907" s="81" t="b">
        <v>0</v>
      </c>
      <c r="AM1907" s="81">
        <v>3</v>
      </c>
      <c r="AN1907" s="86" t="s">
        <v>7610</v>
      </c>
      <c r="AO1907" s="86" t="s">
        <v>2178</v>
      </c>
      <c r="AP1907" s="81" t="b">
        <v>0</v>
      </c>
      <c r="AQ1907" s="86" t="s">
        <v>7610</v>
      </c>
      <c r="AR1907" s="81" t="s">
        <v>179</v>
      </c>
      <c r="AS1907" s="81">
        <v>0</v>
      </c>
      <c r="AT1907" s="81">
        <v>0</v>
      </c>
      <c r="AU1907" s="81"/>
      <c r="AV1907" s="81"/>
      <c r="AW1907" s="81"/>
      <c r="AX1907" s="81"/>
      <c r="AY1907" s="81"/>
      <c r="AZ1907" s="81"/>
      <c r="BA1907" s="81"/>
      <c r="BB1907" s="81"/>
    </row>
    <row r="1908" spans="1:54" x14ac:dyDescent="0.35">
      <c r="A1908" s="66" t="s">
        <v>4975</v>
      </c>
      <c r="B1908" s="66" t="s">
        <v>589</v>
      </c>
      <c r="C1908" s="67"/>
      <c r="D1908" s="68"/>
      <c r="E1908" s="69"/>
      <c r="F1908" s="70"/>
      <c r="G1908" s="67"/>
      <c r="H1908" s="71"/>
      <c r="I1908" s="72"/>
      <c r="J1908" s="72"/>
      <c r="K1908" s="36"/>
      <c r="L1908" s="79"/>
      <c r="M1908" s="79"/>
      <c r="N1908" s="74"/>
      <c r="O1908" s="81" t="s">
        <v>693</v>
      </c>
      <c r="P1908" s="83">
        <v>44468.176377314812</v>
      </c>
      <c r="Q1908" s="81" t="s">
        <v>5665</v>
      </c>
      <c r="R1908" s="81"/>
      <c r="S1908" s="81"/>
      <c r="T1908" s="86" t="s">
        <v>1008</v>
      </c>
      <c r="U1908" s="84" t="str">
        <f>HYPERLINK("https://pbs.twimg.com/media/FAYLEGQWYAAROZm.jpg")</f>
        <v>https://pbs.twimg.com/media/FAYLEGQWYAAROZm.jpg</v>
      </c>
      <c r="V1908" s="84" t="str">
        <f>HYPERLINK("https://pbs.twimg.com/media/FAYLEGQWYAAROZm.jpg")</f>
        <v>https://pbs.twimg.com/media/FAYLEGQWYAAROZm.jpg</v>
      </c>
      <c r="W1908" s="83">
        <v>44468.176377314812</v>
      </c>
      <c r="X1908" s="89">
        <v>44468</v>
      </c>
      <c r="Y1908" s="86" t="s">
        <v>6680</v>
      </c>
      <c r="Z1908" s="84" t="str">
        <f>HYPERLINK("https://twitter.com/mygot7market/status/1443066499908788232")</f>
        <v>https://twitter.com/mygot7market/status/1443066499908788232</v>
      </c>
      <c r="AA1908" s="81"/>
      <c r="AB1908" s="81"/>
      <c r="AC1908" s="86" t="s">
        <v>7607</v>
      </c>
      <c r="AD1908" s="81"/>
      <c r="AE1908" s="81" t="b">
        <v>0</v>
      </c>
      <c r="AF1908" s="81">
        <v>0</v>
      </c>
      <c r="AG1908" s="86" t="s">
        <v>2084</v>
      </c>
      <c r="AH1908" s="81" t="b">
        <v>0</v>
      </c>
      <c r="AI1908" s="81" t="s">
        <v>2168</v>
      </c>
      <c r="AJ1908" s="81"/>
      <c r="AK1908" s="86" t="s">
        <v>2084</v>
      </c>
      <c r="AL1908" s="81" t="b">
        <v>0</v>
      </c>
      <c r="AM1908" s="81">
        <v>2</v>
      </c>
      <c r="AN1908" s="86" t="s">
        <v>7611</v>
      </c>
      <c r="AO1908" s="86" t="s">
        <v>2178</v>
      </c>
      <c r="AP1908" s="81" t="b">
        <v>0</v>
      </c>
      <c r="AQ1908" s="86" t="s">
        <v>7611</v>
      </c>
      <c r="AR1908" s="81" t="s">
        <v>179</v>
      </c>
      <c r="AS1908" s="81">
        <v>0</v>
      </c>
      <c r="AT1908" s="81">
        <v>0</v>
      </c>
      <c r="AU1908" s="81"/>
      <c r="AV1908" s="81"/>
      <c r="AW1908" s="81"/>
      <c r="AX1908" s="81"/>
      <c r="AY1908" s="81"/>
      <c r="AZ1908" s="81"/>
      <c r="BA1908" s="81"/>
      <c r="BB1908" s="81"/>
    </row>
    <row r="1909" spans="1:54" x14ac:dyDescent="0.35">
      <c r="A1909" s="66" t="s">
        <v>4976</v>
      </c>
      <c r="B1909" s="66" t="s">
        <v>589</v>
      </c>
      <c r="C1909" s="67"/>
      <c r="D1909" s="68"/>
      <c r="E1909" s="69"/>
      <c r="F1909" s="70"/>
      <c r="G1909" s="67"/>
      <c r="H1909" s="71"/>
      <c r="I1909" s="72"/>
      <c r="J1909" s="72"/>
      <c r="K1909" s="36"/>
      <c r="L1909" s="79"/>
      <c r="M1909" s="79"/>
      <c r="N1909" s="74"/>
      <c r="O1909" s="81" t="s">
        <v>693</v>
      </c>
      <c r="P1909" s="83">
        <v>44468.179537037038</v>
      </c>
      <c r="Q1909" s="81" t="s">
        <v>5664</v>
      </c>
      <c r="R1909" s="81"/>
      <c r="S1909" s="81"/>
      <c r="T1909" s="86" t="s">
        <v>1008</v>
      </c>
      <c r="U1909" s="84" t="str">
        <f>HYPERLINK("https://pbs.twimg.com/media/FAYOUjOUYAQ_JP2.jpg")</f>
        <v>https://pbs.twimg.com/media/FAYOUjOUYAQ_JP2.jpg</v>
      </c>
      <c r="V1909" s="84" t="str">
        <f>HYPERLINK("https://pbs.twimg.com/media/FAYOUjOUYAQ_JP2.jpg")</f>
        <v>https://pbs.twimg.com/media/FAYOUjOUYAQ_JP2.jpg</v>
      </c>
      <c r="W1909" s="83">
        <v>44468.179537037038</v>
      </c>
      <c r="X1909" s="89">
        <v>44468</v>
      </c>
      <c r="Y1909" s="86" t="s">
        <v>6687</v>
      </c>
      <c r="Z1909" s="84" t="str">
        <f>HYPERLINK("https://twitter.com/zanifaysron/status/1443067646371459072")</f>
        <v>https://twitter.com/zanifaysron/status/1443067646371459072</v>
      </c>
      <c r="AA1909" s="81"/>
      <c r="AB1909" s="81"/>
      <c r="AC1909" s="86" t="s">
        <v>7614</v>
      </c>
      <c r="AD1909" s="81"/>
      <c r="AE1909" s="81" t="b">
        <v>0</v>
      </c>
      <c r="AF1909" s="81">
        <v>0</v>
      </c>
      <c r="AG1909" s="86" t="s">
        <v>2084</v>
      </c>
      <c r="AH1909" s="81" t="b">
        <v>0</v>
      </c>
      <c r="AI1909" s="81" t="s">
        <v>2168</v>
      </c>
      <c r="AJ1909" s="81"/>
      <c r="AK1909" s="86" t="s">
        <v>2084</v>
      </c>
      <c r="AL1909" s="81" t="b">
        <v>0</v>
      </c>
      <c r="AM1909" s="81">
        <v>6</v>
      </c>
      <c r="AN1909" s="86" t="s">
        <v>7612</v>
      </c>
      <c r="AO1909" s="86" t="s">
        <v>2179</v>
      </c>
      <c r="AP1909" s="81" t="b">
        <v>0</v>
      </c>
      <c r="AQ1909" s="86" t="s">
        <v>7612</v>
      </c>
      <c r="AR1909" s="81" t="s">
        <v>179</v>
      </c>
      <c r="AS1909" s="81">
        <v>0</v>
      </c>
      <c r="AT1909" s="81">
        <v>0</v>
      </c>
      <c r="AU1909" s="81"/>
      <c r="AV1909" s="81"/>
      <c r="AW1909" s="81"/>
      <c r="AX1909" s="81"/>
      <c r="AY1909" s="81"/>
      <c r="AZ1909" s="81"/>
      <c r="BA1909" s="81"/>
      <c r="BB1909" s="81"/>
    </row>
    <row r="1910" spans="1:54" x14ac:dyDescent="0.35">
      <c r="A1910" s="66" t="s">
        <v>4976</v>
      </c>
      <c r="B1910" s="66" t="s">
        <v>589</v>
      </c>
      <c r="C1910" s="67"/>
      <c r="D1910" s="68"/>
      <c r="E1910" s="69"/>
      <c r="F1910" s="70"/>
      <c r="G1910" s="67"/>
      <c r="H1910" s="71"/>
      <c r="I1910" s="72"/>
      <c r="J1910" s="72"/>
      <c r="K1910" s="36"/>
      <c r="L1910" s="79"/>
      <c r="M1910" s="79"/>
      <c r="N1910" s="74"/>
      <c r="O1910" s="81" t="s">
        <v>693</v>
      </c>
      <c r="P1910" s="83">
        <v>44468.179895833331</v>
      </c>
      <c r="Q1910" s="81" t="s">
        <v>5666</v>
      </c>
      <c r="R1910" s="81"/>
      <c r="S1910" s="81"/>
      <c r="T1910" s="86" t="s">
        <v>1008</v>
      </c>
      <c r="U1910" s="84" t="str">
        <f>HYPERLINK("https://pbs.twimg.com/media/FAYKlY0XEAQ88YO.jpg")</f>
        <v>https://pbs.twimg.com/media/FAYKlY0XEAQ88YO.jpg</v>
      </c>
      <c r="V1910" s="84" t="str">
        <f>HYPERLINK("https://pbs.twimg.com/media/FAYKlY0XEAQ88YO.jpg")</f>
        <v>https://pbs.twimg.com/media/FAYKlY0XEAQ88YO.jpg</v>
      </c>
      <c r="W1910" s="83">
        <v>44468.179895833331</v>
      </c>
      <c r="X1910" s="89">
        <v>44468</v>
      </c>
      <c r="Y1910" s="86" t="s">
        <v>6688</v>
      </c>
      <c r="Z1910" s="84" t="str">
        <f>HYPERLINK("https://twitter.com/zanifaysron/status/1443067777992957959")</f>
        <v>https://twitter.com/zanifaysron/status/1443067777992957959</v>
      </c>
      <c r="AA1910" s="81"/>
      <c r="AB1910" s="81"/>
      <c r="AC1910" s="86" t="s">
        <v>7615</v>
      </c>
      <c r="AD1910" s="81"/>
      <c r="AE1910" s="81" t="b">
        <v>0</v>
      </c>
      <c r="AF1910" s="81">
        <v>0</v>
      </c>
      <c r="AG1910" s="86" t="s">
        <v>2084</v>
      </c>
      <c r="AH1910" s="81" t="b">
        <v>0</v>
      </c>
      <c r="AI1910" s="81" t="s">
        <v>2168</v>
      </c>
      <c r="AJ1910" s="81"/>
      <c r="AK1910" s="86" t="s">
        <v>2084</v>
      </c>
      <c r="AL1910" s="81" t="b">
        <v>0</v>
      </c>
      <c r="AM1910" s="81">
        <v>3</v>
      </c>
      <c r="AN1910" s="86" t="s">
        <v>7610</v>
      </c>
      <c r="AO1910" s="86" t="s">
        <v>2179</v>
      </c>
      <c r="AP1910" s="81" t="b">
        <v>0</v>
      </c>
      <c r="AQ1910" s="86" t="s">
        <v>7610</v>
      </c>
      <c r="AR1910" s="81" t="s">
        <v>179</v>
      </c>
      <c r="AS1910" s="81">
        <v>0</v>
      </c>
      <c r="AT1910" s="81">
        <v>0</v>
      </c>
      <c r="AU1910" s="81"/>
      <c r="AV1910" s="81"/>
      <c r="AW1910" s="81"/>
      <c r="AX1910" s="81"/>
      <c r="AY1910" s="81"/>
      <c r="AZ1910" s="81"/>
      <c r="BA1910" s="81"/>
      <c r="BB1910" s="81"/>
    </row>
    <row r="1911" spans="1:54" x14ac:dyDescent="0.35">
      <c r="A1911" s="66" t="s">
        <v>12504</v>
      </c>
      <c r="B1911" s="66" t="s">
        <v>5188</v>
      </c>
      <c r="C1911" s="67"/>
      <c r="D1911" s="68"/>
      <c r="E1911" s="69"/>
      <c r="F1911" s="70"/>
      <c r="G1911" s="67"/>
      <c r="H1911" s="71"/>
      <c r="I1911" s="72"/>
      <c r="J1911" s="72"/>
      <c r="K1911" s="36"/>
      <c r="L1911" s="79"/>
      <c r="M1911" s="79"/>
      <c r="N1911" s="74"/>
      <c r="O1911" s="81" t="s">
        <v>696</v>
      </c>
      <c r="P1911" s="83">
        <v>44468.198101851849</v>
      </c>
      <c r="Q1911" s="81" t="s">
        <v>12741</v>
      </c>
      <c r="R1911" s="84" t="str">
        <f>HYPERLINK("https://us02web.zoom.us/j/86022253889")</f>
        <v>https://us02web.zoom.us/j/86022253889</v>
      </c>
      <c r="S1911" s="81" t="s">
        <v>12846</v>
      </c>
      <c r="T1911" s="81"/>
      <c r="U1911" s="81"/>
      <c r="V1911" s="84" t="str">
        <f>HYPERLINK("https://pbs.twimg.com/profile_images/1265589807314395136/78lBrRv7_normal.jpg")</f>
        <v>https://pbs.twimg.com/profile_images/1265589807314395136/78lBrRv7_normal.jpg</v>
      </c>
      <c r="W1911" s="83">
        <v>44468.198101851849</v>
      </c>
      <c r="X1911" s="89">
        <v>44468</v>
      </c>
      <c r="Y1911" s="86" t="s">
        <v>12882</v>
      </c>
      <c r="Z1911" s="84" t="str">
        <f>HYPERLINK("https://twitter.com/mnctrijaya/status/1443074374785921026")</f>
        <v>https://twitter.com/mnctrijaya/status/1443074374785921026</v>
      </c>
      <c r="AA1911" s="81"/>
      <c r="AB1911" s="81"/>
      <c r="AC1911" s="86" t="s">
        <v>13119</v>
      </c>
      <c r="AD1911" s="86" t="s">
        <v>13358</v>
      </c>
      <c r="AE1911" s="81" t="b">
        <v>0</v>
      </c>
      <c r="AF1911" s="81">
        <v>0</v>
      </c>
      <c r="AG1911" s="86" t="s">
        <v>13401</v>
      </c>
      <c r="AH1911" s="81" t="b">
        <v>0</v>
      </c>
      <c r="AI1911" s="81" t="s">
        <v>2167</v>
      </c>
      <c r="AJ1911" s="81"/>
      <c r="AK1911" s="86" t="s">
        <v>2084</v>
      </c>
      <c r="AL1911" s="81" t="b">
        <v>0</v>
      </c>
      <c r="AM1911" s="81">
        <v>0</v>
      </c>
      <c r="AN1911" s="86" t="s">
        <v>2084</v>
      </c>
      <c r="AO1911" s="86" t="s">
        <v>2181</v>
      </c>
      <c r="AP1911" s="81" t="b">
        <v>0</v>
      </c>
      <c r="AQ1911" s="86" t="s">
        <v>13358</v>
      </c>
      <c r="AR1911" s="81" t="s">
        <v>179</v>
      </c>
      <c r="AS1911" s="81">
        <v>0</v>
      </c>
      <c r="AT1911" s="81">
        <v>0</v>
      </c>
      <c r="AU1911" s="81"/>
      <c r="AV1911" s="81"/>
      <c r="AW1911" s="81"/>
      <c r="AX1911" s="81"/>
      <c r="AY1911" s="81"/>
      <c r="AZ1911" s="81"/>
      <c r="BA1911" s="81"/>
      <c r="BB1911" s="81"/>
    </row>
    <row r="1912" spans="1:54" x14ac:dyDescent="0.35">
      <c r="A1912" s="66" t="s">
        <v>514</v>
      </c>
      <c r="B1912" s="66" t="s">
        <v>514</v>
      </c>
      <c r="C1912" s="67"/>
      <c r="D1912" s="68"/>
      <c r="E1912" s="69"/>
      <c r="F1912" s="70"/>
      <c r="G1912" s="67"/>
      <c r="H1912" s="71"/>
      <c r="I1912" s="72"/>
      <c r="J1912" s="72"/>
      <c r="K1912" s="36"/>
      <c r="L1912" s="79"/>
      <c r="M1912" s="79"/>
      <c r="N1912" s="74"/>
      <c r="O1912" s="81" t="s">
        <v>179</v>
      </c>
      <c r="P1912" s="83">
        <v>44461.220266203702</v>
      </c>
      <c r="Q1912" s="81" t="s">
        <v>856</v>
      </c>
      <c r="R1912" s="81"/>
      <c r="S1912" s="81"/>
      <c r="T1912" s="86" t="s">
        <v>989</v>
      </c>
      <c r="U1912" s="84" t="str">
        <f>HYPERLINK("https://pbs.twimg.com/media/E_3YkP1UUAcWye3.jpg")</f>
        <v>https://pbs.twimg.com/media/E_3YkP1UUAcWye3.jpg</v>
      </c>
      <c r="V1912" s="84" t="str">
        <f>HYPERLINK("https://pbs.twimg.com/media/E_3YkP1UUAcWye3.jpg")</f>
        <v>https://pbs.twimg.com/media/E_3YkP1UUAcWye3.jpg</v>
      </c>
      <c r="W1912" s="83">
        <v>44461.220266203702</v>
      </c>
      <c r="X1912" s="89">
        <v>44461</v>
      </c>
      <c r="Y1912" s="86" t="s">
        <v>1387</v>
      </c>
      <c r="Z1912" s="84" t="str">
        <f>HYPERLINK("https://twitter.com/tarbantinbooks/status/1440545691273601026")</f>
        <v>https://twitter.com/tarbantinbooks/status/1440545691273601026</v>
      </c>
      <c r="AA1912" s="81"/>
      <c r="AB1912" s="81"/>
      <c r="AC1912" s="86" t="s">
        <v>1885</v>
      </c>
      <c r="AD1912" s="81"/>
      <c r="AE1912" s="81" t="b">
        <v>0</v>
      </c>
      <c r="AF1912" s="81">
        <v>0</v>
      </c>
      <c r="AG1912" s="86" t="s">
        <v>2084</v>
      </c>
      <c r="AH1912" s="81" t="b">
        <v>0</v>
      </c>
      <c r="AI1912" s="81" t="s">
        <v>2167</v>
      </c>
      <c r="AJ1912" s="81"/>
      <c r="AK1912" s="86" t="s">
        <v>2084</v>
      </c>
      <c r="AL1912" s="81" t="b">
        <v>0</v>
      </c>
      <c r="AM1912" s="81">
        <v>0</v>
      </c>
      <c r="AN1912" s="86" t="s">
        <v>2084</v>
      </c>
      <c r="AO1912" s="86" t="s">
        <v>2178</v>
      </c>
      <c r="AP1912" s="81" t="b">
        <v>0</v>
      </c>
      <c r="AQ1912" s="86" t="s">
        <v>1885</v>
      </c>
      <c r="AR1912" s="81" t="s">
        <v>179</v>
      </c>
      <c r="AS1912" s="81">
        <v>0</v>
      </c>
      <c r="AT1912" s="81">
        <v>0</v>
      </c>
      <c r="AU1912" s="81" t="s">
        <v>2199</v>
      </c>
      <c r="AV1912" s="81" t="s">
        <v>2202</v>
      </c>
      <c r="AW1912" s="81" t="s">
        <v>12</v>
      </c>
      <c r="AX1912" s="81" t="s">
        <v>2204</v>
      </c>
      <c r="AY1912" s="81" t="s">
        <v>2207</v>
      </c>
      <c r="AZ1912" s="81" t="s">
        <v>2204</v>
      </c>
      <c r="BA1912" s="81" t="s">
        <v>2213</v>
      </c>
      <c r="BB1912" s="84" t="str">
        <f>HYPERLINK("https://api.twitter.com/1.1/geo/id/0fc374080c942001.json")</f>
        <v>https://api.twitter.com/1.1/geo/id/0fc374080c942001.json</v>
      </c>
    </row>
    <row r="1913" spans="1:54" x14ac:dyDescent="0.35">
      <c r="A1913" s="66" t="s">
        <v>514</v>
      </c>
      <c r="B1913" s="66" t="s">
        <v>514</v>
      </c>
      <c r="C1913" s="67"/>
      <c r="D1913" s="68"/>
      <c r="E1913" s="69"/>
      <c r="F1913" s="70"/>
      <c r="G1913" s="67"/>
      <c r="H1913" s="71"/>
      <c r="I1913" s="72"/>
      <c r="J1913" s="72"/>
      <c r="K1913" s="36"/>
      <c r="L1913" s="79"/>
      <c r="M1913" s="79"/>
      <c r="N1913" s="74"/>
      <c r="O1913" s="81" t="s">
        <v>179</v>
      </c>
      <c r="P1913" s="83">
        <v>44461.447106481479</v>
      </c>
      <c r="Q1913" s="81" t="s">
        <v>857</v>
      </c>
      <c r="R1913" s="81"/>
      <c r="S1913" s="81"/>
      <c r="T1913" s="86" t="s">
        <v>990</v>
      </c>
      <c r="U1913" s="84" t="str">
        <f>HYPERLINK("https://pbs.twimg.com/media/E_4jWW3UcAAWmnV.jpg")</f>
        <v>https://pbs.twimg.com/media/E_4jWW3UcAAWmnV.jpg</v>
      </c>
      <c r="V1913" s="84" t="str">
        <f>HYPERLINK("https://pbs.twimg.com/media/E_4jWW3UcAAWmnV.jpg")</f>
        <v>https://pbs.twimg.com/media/E_4jWW3UcAAWmnV.jpg</v>
      </c>
      <c r="W1913" s="83">
        <v>44461.447106481479</v>
      </c>
      <c r="X1913" s="89">
        <v>44461</v>
      </c>
      <c r="Y1913" s="86" t="s">
        <v>1388</v>
      </c>
      <c r="Z1913" s="84" t="str">
        <f>HYPERLINK("https://twitter.com/tarbantinbooks/status/1440627896163340292")</f>
        <v>https://twitter.com/tarbantinbooks/status/1440627896163340292</v>
      </c>
      <c r="AA1913" s="81"/>
      <c r="AB1913" s="81"/>
      <c r="AC1913" s="86" t="s">
        <v>1886</v>
      </c>
      <c r="AD1913" s="81"/>
      <c r="AE1913" s="81" t="b">
        <v>0</v>
      </c>
      <c r="AF1913" s="81">
        <v>0</v>
      </c>
      <c r="AG1913" s="86" t="s">
        <v>2084</v>
      </c>
      <c r="AH1913" s="81" t="b">
        <v>0</v>
      </c>
      <c r="AI1913" s="81" t="s">
        <v>2167</v>
      </c>
      <c r="AJ1913" s="81"/>
      <c r="AK1913" s="86" t="s">
        <v>2084</v>
      </c>
      <c r="AL1913" s="81" t="b">
        <v>0</v>
      </c>
      <c r="AM1913" s="81">
        <v>0</v>
      </c>
      <c r="AN1913" s="86" t="s">
        <v>2084</v>
      </c>
      <c r="AO1913" s="86" t="s">
        <v>2178</v>
      </c>
      <c r="AP1913" s="81" t="b">
        <v>0</v>
      </c>
      <c r="AQ1913" s="86" t="s">
        <v>1886</v>
      </c>
      <c r="AR1913" s="81" t="s">
        <v>179</v>
      </c>
      <c r="AS1913" s="81">
        <v>0</v>
      </c>
      <c r="AT1913" s="81">
        <v>0</v>
      </c>
      <c r="AU1913" s="81" t="s">
        <v>2199</v>
      </c>
      <c r="AV1913" s="81" t="s">
        <v>2202</v>
      </c>
      <c r="AW1913" s="81" t="s">
        <v>12</v>
      </c>
      <c r="AX1913" s="81" t="s">
        <v>2204</v>
      </c>
      <c r="AY1913" s="81" t="s">
        <v>2207</v>
      </c>
      <c r="AZ1913" s="81" t="s">
        <v>2204</v>
      </c>
      <c r="BA1913" s="81" t="s">
        <v>2213</v>
      </c>
      <c r="BB1913" s="84" t="str">
        <f>HYPERLINK("https://api.twitter.com/1.1/geo/id/0fc374080c942001.json")</f>
        <v>https://api.twitter.com/1.1/geo/id/0fc374080c942001.json</v>
      </c>
    </row>
    <row r="1914" spans="1:54" x14ac:dyDescent="0.35">
      <c r="A1914" s="66" t="s">
        <v>514</v>
      </c>
      <c r="B1914" s="66" t="s">
        <v>514</v>
      </c>
      <c r="C1914" s="67"/>
      <c r="D1914" s="68"/>
      <c r="E1914" s="69"/>
      <c r="F1914" s="70"/>
      <c r="G1914" s="67"/>
      <c r="H1914" s="71"/>
      <c r="I1914" s="72"/>
      <c r="J1914" s="72"/>
      <c r="K1914" s="36"/>
      <c r="L1914" s="79"/>
      <c r="M1914" s="79"/>
      <c r="N1914" s="74"/>
      <c r="O1914" s="81" t="s">
        <v>179</v>
      </c>
      <c r="P1914" s="83">
        <v>44462.210509259261</v>
      </c>
      <c r="Q1914" s="81" t="s">
        <v>858</v>
      </c>
      <c r="R1914" s="81"/>
      <c r="S1914" s="81"/>
      <c r="T1914" s="81"/>
      <c r="U1914" s="84" t="str">
        <f>HYPERLINK("https://pbs.twimg.com/media/E_8e9yqVQAYmASa.jpg")</f>
        <v>https://pbs.twimg.com/media/E_8e9yqVQAYmASa.jpg</v>
      </c>
      <c r="V1914" s="84" t="str">
        <f>HYPERLINK("https://pbs.twimg.com/media/E_8e9yqVQAYmASa.jpg")</f>
        <v>https://pbs.twimg.com/media/E_8e9yqVQAYmASa.jpg</v>
      </c>
      <c r="W1914" s="83">
        <v>44462.210509259261</v>
      </c>
      <c r="X1914" s="89">
        <v>44462</v>
      </c>
      <c r="Y1914" s="86" t="s">
        <v>1389</v>
      </c>
      <c r="Z1914" s="84" t="str">
        <f>HYPERLINK("https://twitter.com/tarbantinbooks/status/1440904543110197248")</f>
        <v>https://twitter.com/tarbantinbooks/status/1440904543110197248</v>
      </c>
      <c r="AA1914" s="81"/>
      <c r="AB1914" s="81"/>
      <c r="AC1914" s="86" t="s">
        <v>1887</v>
      </c>
      <c r="AD1914" s="81"/>
      <c r="AE1914" s="81" t="b">
        <v>0</v>
      </c>
      <c r="AF1914" s="81">
        <v>0</v>
      </c>
      <c r="AG1914" s="86" t="s">
        <v>2084</v>
      </c>
      <c r="AH1914" s="81" t="b">
        <v>0</v>
      </c>
      <c r="AI1914" s="81" t="s">
        <v>2167</v>
      </c>
      <c r="AJ1914" s="81"/>
      <c r="AK1914" s="86" t="s">
        <v>2084</v>
      </c>
      <c r="AL1914" s="81" t="b">
        <v>0</v>
      </c>
      <c r="AM1914" s="81">
        <v>0</v>
      </c>
      <c r="AN1914" s="86" t="s">
        <v>2084</v>
      </c>
      <c r="AO1914" s="86" t="s">
        <v>2178</v>
      </c>
      <c r="AP1914" s="81" t="b">
        <v>0</v>
      </c>
      <c r="AQ1914" s="86" t="s">
        <v>1887</v>
      </c>
      <c r="AR1914" s="81" t="s">
        <v>179</v>
      </c>
      <c r="AS1914" s="81">
        <v>0</v>
      </c>
      <c r="AT1914" s="81">
        <v>0</v>
      </c>
      <c r="AU1914" s="81" t="s">
        <v>2199</v>
      </c>
      <c r="AV1914" s="81" t="s">
        <v>2202</v>
      </c>
      <c r="AW1914" s="81" t="s">
        <v>12</v>
      </c>
      <c r="AX1914" s="81" t="s">
        <v>2204</v>
      </c>
      <c r="AY1914" s="81" t="s">
        <v>2207</v>
      </c>
      <c r="AZ1914" s="81" t="s">
        <v>2204</v>
      </c>
      <c r="BA1914" s="81" t="s">
        <v>2213</v>
      </c>
      <c r="BB1914" s="84" t="str">
        <f>HYPERLINK("https://api.twitter.com/1.1/geo/id/0fc374080c942001.json")</f>
        <v>https://api.twitter.com/1.1/geo/id/0fc374080c942001.json</v>
      </c>
    </row>
    <row r="1915" spans="1:54" x14ac:dyDescent="0.35">
      <c r="A1915" s="66" t="s">
        <v>514</v>
      </c>
      <c r="B1915" s="66" t="s">
        <v>514</v>
      </c>
      <c r="C1915" s="67"/>
      <c r="D1915" s="68"/>
      <c r="E1915" s="69"/>
      <c r="F1915" s="70"/>
      <c r="G1915" s="67"/>
      <c r="H1915" s="71"/>
      <c r="I1915" s="72"/>
      <c r="J1915" s="72"/>
      <c r="K1915" s="36"/>
      <c r="L1915" s="79"/>
      <c r="M1915" s="79"/>
      <c r="N1915" s="74"/>
      <c r="O1915" s="81" t="s">
        <v>179</v>
      </c>
      <c r="P1915" s="83">
        <v>44464.435520833336</v>
      </c>
      <c r="Q1915" s="81" t="s">
        <v>859</v>
      </c>
      <c r="R1915" s="81"/>
      <c r="S1915" s="81"/>
      <c r="T1915" s="81"/>
      <c r="U1915" s="84" t="str">
        <f>HYPERLINK("https://pbs.twimg.com/media/FAH8T7iUcAckmIr.jpg")</f>
        <v>https://pbs.twimg.com/media/FAH8T7iUcAckmIr.jpg</v>
      </c>
      <c r="V1915" s="84" t="str">
        <f>HYPERLINK("https://pbs.twimg.com/media/FAH8T7iUcAckmIr.jpg")</f>
        <v>https://pbs.twimg.com/media/FAH8T7iUcAckmIr.jpg</v>
      </c>
      <c r="W1915" s="83">
        <v>44464.435520833336</v>
      </c>
      <c r="X1915" s="89">
        <v>44464</v>
      </c>
      <c r="Y1915" s="86" t="s">
        <v>1390</v>
      </c>
      <c r="Z1915" s="84" t="str">
        <f>HYPERLINK("https://twitter.com/tarbantinbooks/status/1441710860196474886")</f>
        <v>https://twitter.com/tarbantinbooks/status/1441710860196474886</v>
      </c>
      <c r="AA1915" s="81"/>
      <c r="AB1915" s="81"/>
      <c r="AC1915" s="86" t="s">
        <v>1888</v>
      </c>
      <c r="AD1915" s="81"/>
      <c r="AE1915" s="81" t="b">
        <v>0</v>
      </c>
      <c r="AF1915" s="81">
        <v>0</v>
      </c>
      <c r="AG1915" s="86" t="s">
        <v>2084</v>
      </c>
      <c r="AH1915" s="81" t="b">
        <v>0</v>
      </c>
      <c r="AI1915" s="81" t="s">
        <v>2167</v>
      </c>
      <c r="AJ1915" s="81"/>
      <c r="AK1915" s="86" t="s">
        <v>2084</v>
      </c>
      <c r="AL1915" s="81" t="b">
        <v>0</v>
      </c>
      <c r="AM1915" s="81">
        <v>0</v>
      </c>
      <c r="AN1915" s="86" t="s">
        <v>2084</v>
      </c>
      <c r="AO1915" s="86" t="s">
        <v>2178</v>
      </c>
      <c r="AP1915" s="81" t="b">
        <v>0</v>
      </c>
      <c r="AQ1915" s="86" t="s">
        <v>1888</v>
      </c>
      <c r="AR1915" s="81" t="s">
        <v>179</v>
      </c>
      <c r="AS1915" s="81">
        <v>0</v>
      </c>
      <c r="AT1915" s="81">
        <v>0</v>
      </c>
      <c r="AU1915" s="81" t="s">
        <v>2199</v>
      </c>
      <c r="AV1915" s="81" t="s">
        <v>2202</v>
      </c>
      <c r="AW1915" s="81" t="s">
        <v>12</v>
      </c>
      <c r="AX1915" s="81" t="s">
        <v>2204</v>
      </c>
      <c r="AY1915" s="81" t="s">
        <v>2207</v>
      </c>
      <c r="AZ1915" s="81" t="s">
        <v>2204</v>
      </c>
      <c r="BA1915" s="81" t="s">
        <v>2213</v>
      </c>
      <c r="BB1915" s="84" t="str">
        <f>HYPERLINK("https://api.twitter.com/1.1/geo/id/0fc374080c942001.json")</f>
        <v>https://api.twitter.com/1.1/geo/id/0fc374080c942001.json</v>
      </c>
    </row>
    <row r="1916" spans="1:54" x14ac:dyDescent="0.35">
      <c r="A1916" s="66" t="s">
        <v>514</v>
      </c>
      <c r="B1916" s="66" t="s">
        <v>514</v>
      </c>
      <c r="C1916" s="67"/>
      <c r="D1916" s="68"/>
      <c r="E1916" s="69"/>
      <c r="F1916" s="70"/>
      <c r="G1916" s="67"/>
      <c r="H1916" s="71"/>
      <c r="I1916" s="72"/>
      <c r="J1916" s="72"/>
      <c r="K1916" s="36"/>
      <c r="L1916" s="79"/>
      <c r="M1916" s="79"/>
      <c r="N1916" s="74"/>
      <c r="O1916" s="81" t="s">
        <v>179</v>
      </c>
      <c r="P1916" s="83">
        <v>44466.215370370373</v>
      </c>
      <c r="Q1916" s="81" t="s">
        <v>860</v>
      </c>
      <c r="R1916" s="81"/>
      <c r="S1916" s="81"/>
      <c r="T1916" s="86" t="s">
        <v>991</v>
      </c>
      <c r="U1916" s="84" t="str">
        <f>HYPERLINK("https://pbs.twimg.com/media/FARGrh6VkAQjreI.jpg")</f>
        <v>https://pbs.twimg.com/media/FARGrh6VkAQjreI.jpg</v>
      </c>
      <c r="V1916" s="84" t="str">
        <f>HYPERLINK("https://pbs.twimg.com/media/FARGrh6VkAQjreI.jpg")</f>
        <v>https://pbs.twimg.com/media/FARGrh6VkAQjreI.jpg</v>
      </c>
      <c r="W1916" s="83">
        <v>44466.215370370373</v>
      </c>
      <c r="X1916" s="89">
        <v>44466</v>
      </c>
      <c r="Y1916" s="86" t="s">
        <v>1391</v>
      </c>
      <c r="Z1916" s="84" t="str">
        <f>HYPERLINK("https://twitter.com/tarbantinbooks/status/1442355856239038469")</f>
        <v>https://twitter.com/tarbantinbooks/status/1442355856239038469</v>
      </c>
      <c r="AA1916" s="81"/>
      <c r="AB1916" s="81"/>
      <c r="AC1916" s="86" t="s">
        <v>1889</v>
      </c>
      <c r="AD1916" s="81"/>
      <c r="AE1916" s="81" t="b">
        <v>0</v>
      </c>
      <c r="AF1916" s="81">
        <v>0</v>
      </c>
      <c r="AG1916" s="86" t="s">
        <v>2084</v>
      </c>
      <c r="AH1916" s="81" t="b">
        <v>0</v>
      </c>
      <c r="AI1916" s="81" t="s">
        <v>2167</v>
      </c>
      <c r="AJ1916" s="81"/>
      <c r="AK1916" s="86" t="s">
        <v>2084</v>
      </c>
      <c r="AL1916" s="81" t="b">
        <v>0</v>
      </c>
      <c r="AM1916" s="81">
        <v>0</v>
      </c>
      <c r="AN1916" s="86" t="s">
        <v>2084</v>
      </c>
      <c r="AO1916" s="86" t="s">
        <v>2178</v>
      </c>
      <c r="AP1916" s="81" t="b">
        <v>0</v>
      </c>
      <c r="AQ1916" s="86" t="s">
        <v>1889</v>
      </c>
      <c r="AR1916" s="81" t="s">
        <v>179</v>
      </c>
      <c r="AS1916" s="81">
        <v>0</v>
      </c>
      <c r="AT1916" s="81">
        <v>0</v>
      </c>
      <c r="AU1916" s="81" t="s">
        <v>2199</v>
      </c>
      <c r="AV1916" s="81" t="s">
        <v>2202</v>
      </c>
      <c r="AW1916" s="81" t="s">
        <v>12</v>
      </c>
      <c r="AX1916" s="81" t="s">
        <v>2204</v>
      </c>
      <c r="AY1916" s="81" t="s">
        <v>2207</v>
      </c>
      <c r="AZ1916" s="81" t="s">
        <v>2204</v>
      </c>
      <c r="BA1916" s="81" t="s">
        <v>2213</v>
      </c>
      <c r="BB1916" s="84" t="str">
        <f>HYPERLINK("https://api.twitter.com/1.1/geo/id/0fc374080c942001.json")</f>
        <v>https://api.twitter.com/1.1/geo/id/0fc374080c942001.json</v>
      </c>
    </row>
    <row r="1917" spans="1:54" x14ac:dyDescent="0.35">
      <c r="A1917" s="66" t="s">
        <v>514</v>
      </c>
      <c r="B1917" s="66" t="s">
        <v>514</v>
      </c>
      <c r="C1917" s="67"/>
      <c r="D1917" s="68"/>
      <c r="E1917" s="69"/>
      <c r="F1917" s="70"/>
      <c r="G1917" s="67"/>
      <c r="H1917" s="71"/>
      <c r="I1917" s="72"/>
      <c r="J1917" s="72"/>
      <c r="K1917" s="36"/>
      <c r="L1917" s="79"/>
      <c r="M1917" s="79"/>
      <c r="N1917" s="74"/>
      <c r="O1917" s="81" t="s">
        <v>179</v>
      </c>
      <c r="P1917" s="83">
        <v>44467.435648148145</v>
      </c>
      <c r="Q1917" s="81" t="s">
        <v>5606</v>
      </c>
      <c r="R1917" s="81"/>
      <c r="S1917" s="81"/>
      <c r="T1917" s="81"/>
      <c r="U1917" s="84" t="str">
        <f>HYPERLINK("https://pbs.twimg.com/media/FAXZJUGVIAAiCy4.jpg")</f>
        <v>https://pbs.twimg.com/media/FAXZJUGVIAAiCy4.jpg</v>
      </c>
      <c r="V1917" s="84" t="str">
        <f>HYPERLINK("https://pbs.twimg.com/media/FAXZJUGVIAAiCy4.jpg")</f>
        <v>https://pbs.twimg.com/media/FAXZJUGVIAAiCy4.jpg</v>
      </c>
      <c r="W1917" s="83">
        <v>44467.435648148145</v>
      </c>
      <c r="X1917" s="89">
        <v>44467</v>
      </c>
      <c r="Y1917" s="86" t="s">
        <v>6557</v>
      </c>
      <c r="Z1917" s="84" t="str">
        <f>HYPERLINK("https://twitter.com/tarbantinbooks/status/1442798071549607941")</f>
        <v>https://twitter.com/tarbantinbooks/status/1442798071549607941</v>
      </c>
      <c r="AA1917" s="81"/>
      <c r="AB1917" s="81"/>
      <c r="AC1917" s="86" t="s">
        <v>7478</v>
      </c>
      <c r="AD1917" s="81"/>
      <c r="AE1917" s="81" t="b">
        <v>0</v>
      </c>
      <c r="AF1917" s="81">
        <v>0</v>
      </c>
      <c r="AG1917" s="86" t="s">
        <v>2084</v>
      </c>
      <c r="AH1917" s="81" t="b">
        <v>0</v>
      </c>
      <c r="AI1917" s="81" t="s">
        <v>2167</v>
      </c>
      <c r="AJ1917" s="81"/>
      <c r="AK1917" s="86" t="s">
        <v>2084</v>
      </c>
      <c r="AL1917" s="81" t="b">
        <v>0</v>
      </c>
      <c r="AM1917" s="81">
        <v>0</v>
      </c>
      <c r="AN1917" s="86" t="s">
        <v>2084</v>
      </c>
      <c r="AO1917" s="86" t="s">
        <v>2178</v>
      </c>
      <c r="AP1917" s="81" t="b">
        <v>0</v>
      </c>
      <c r="AQ1917" s="86" t="s">
        <v>7478</v>
      </c>
      <c r="AR1917" s="81" t="s">
        <v>179</v>
      </c>
      <c r="AS1917" s="81">
        <v>0</v>
      </c>
      <c r="AT1917" s="81">
        <v>0</v>
      </c>
      <c r="AU1917" s="81" t="s">
        <v>2199</v>
      </c>
      <c r="AV1917" s="81" t="s">
        <v>2202</v>
      </c>
      <c r="AW1917" s="81" t="s">
        <v>12</v>
      </c>
      <c r="AX1917" s="81" t="s">
        <v>2204</v>
      </c>
      <c r="AY1917" s="81" t="s">
        <v>2207</v>
      </c>
      <c r="AZ1917" s="81" t="s">
        <v>2204</v>
      </c>
      <c r="BA1917" s="81" t="s">
        <v>2213</v>
      </c>
      <c r="BB1917" s="84" t="str">
        <f>HYPERLINK("https://api.twitter.com/1.1/geo/id/0fc374080c942001.json")</f>
        <v>https://api.twitter.com/1.1/geo/id/0fc374080c942001.json</v>
      </c>
    </row>
    <row r="1918" spans="1:54" x14ac:dyDescent="0.35">
      <c r="A1918" s="66" t="s">
        <v>514</v>
      </c>
      <c r="B1918" s="66" t="s">
        <v>514</v>
      </c>
      <c r="C1918" s="67"/>
      <c r="D1918" s="68"/>
      <c r="E1918" s="69"/>
      <c r="F1918" s="70"/>
      <c r="G1918" s="67"/>
      <c r="H1918" s="71"/>
      <c r="I1918" s="72"/>
      <c r="J1918" s="72"/>
      <c r="K1918" s="36"/>
      <c r="L1918" s="79"/>
      <c r="M1918" s="79"/>
      <c r="N1918" s="74"/>
      <c r="O1918" s="81" t="s">
        <v>179</v>
      </c>
      <c r="P1918" s="83">
        <v>44468.212175925924</v>
      </c>
      <c r="Q1918" s="81" t="s">
        <v>12742</v>
      </c>
      <c r="R1918" s="81"/>
      <c r="S1918" s="81"/>
      <c r="T1918" s="86" t="s">
        <v>12862</v>
      </c>
      <c r="U1918" s="84" t="str">
        <f>HYPERLINK("https://pbs.twimg.com/media/FAbZCcaUYAARhdu.jpg")</f>
        <v>https://pbs.twimg.com/media/FAbZCcaUYAARhdu.jpg</v>
      </c>
      <c r="V1918" s="84" t="str">
        <f>HYPERLINK("https://pbs.twimg.com/media/FAbZCcaUYAARhdu.jpg")</f>
        <v>https://pbs.twimg.com/media/FAbZCcaUYAARhdu.jpg</v>
      </c>
      <c r="W1918" s="83">
        <v>44468.212175925924</v>
      </c>
      <c r="X1918" s="89">
        <v>44468</v>
      </c>
      <c r="Y1918" s="86" t="s">
        <v>12883</v>
      </c>
      <c r="Z1918" s="84" t="str">
        <f>HYPERLINK("https://twitter.com/tarbantinbooks/status/1443079475948777474")</f>
        <v>https://twitter.com/tarbantinbooks/status/1443079475948777474</v>
      </c>
      <c r="AA1918" s="81"/>
      <c r="AB1918" s="81"/>
      <c r="AC1918" s="86" t="s">
        <v>13120</v>
      </c>
      <c r="AD1918" s="81"/>
      <c r="AE1918" s="81" t="b">
        <v>0</v>
      </c>
      <c r="AF1918" s="81">
        <v>0</v>
      </c>
      <c r="AG1918" s="86" t="s">
        <v>2084</v>
      </c>
      <c r="AH1918" s="81" t="b">
        <v>0</v>
      </c>
      <c r="AI1918" s="81" t="s">
        <v>2167</v>
      </c>
      <c r="AJ1918" s="81"/>
      <c r="AK1918" s="86" t="s">
        <v>2084</v>
      </c>
      <c r="AL1918" s="81" t="b">
        <v>0</v>
      </c>
      <c r="AM1918" s="81">
        <v>0</v>
      </c>
      <c r="AN1918" s="86" t="s">
        <v>2084</v>
      </c>
      <c r="AO1918" s="86" t="s">
        <v>2178</v>
      </c>
      <c r="AP1918" s="81" t="b">
        <v>0</v>
      </c>
      <c r="AQ1918" s="86" t="s">
        <v>13120</v>
      </c>
      <c r="AR1918" s="81" t="s">
        <v>179</v>
      </c>
      <c r="AS1918" s="81">
        <v>0</v>
      </c>
      <c r="AT1918" s="81">
        <v>0</v>
      </c>
      <c r="AU1918" s="81" t="s">
        <v>2199</v>
      </c>
      <c r="AV1918" s="81" t="s">
        <v>2202</v>
      </c>
      <c r="AW1918" s="81" t="s">
        <v>12</v>
      </c>
      <c r="AX1918" s="81" t="s">
        <v>2204</v>
      </c>
      <c r="AY1918" s="81" t="s">
        <v>2207</v>
      </c>
      <c r="AZ1918" s="81" t="s">
        <v>2204</v>
      </c>
      <c r="BA1918" s="81" t="s">
        <v>2213</v>
      </c>
      <c r="BB1918" s="84" t="str">
        <f>HYPERLINK("https://api.twitter.com/1.1/geo/id/0fc374080c942001.json")</f>
        <v>https://api.twitter.com/1.1/geo/id/0fc374080c942001.json</v>
      </c>
    </row>
    <row r="1919" spans="1:54" x14ac:dyDescent="0.35">
      <c r="A1919" s="66" t="s">
        <v>12505</v>
      </c>
      <c r="B1919" s="66" t="s">
        <v>589</v>
      </c>
      <c r="C1919" s="67"/>
      <c r="D1919" s="68"/>
      <c r="E1919" s="69"/>
      <c r="F1919" s="70"/>
      <c r="G1919" s="67"/>
      <c r="H1919" s="71"/>
      <c r="I1919" s="72"/>
      <c r="J1919" s="72"/>
      <c r="K1919" s="36"/>
      <c r="L1919" s="79"/>
      <c r="M1919" s="79"/>
      <c r="N1919" s="74"/>
      <c r="O1919" s="81" t="s">
        <v>693</v>
      </c>
      <c r="P1919" s="83">
        <v>44468.217685185184</v>
      </c>
      <c r="Q1919" s="81" t="s">
        <v>5664</v>
      </c>
      <c r="R1919" s="81"/>
      <c r="S1919" s="81"/>
      <c r="T1919" s="86" t="s">
        <v>1008</v>
      </c>
      <c r="U1919" s="84" t="str">
        <f>HYPERLINK("https://pbs.twimg.com/media/FAYOUjOUYAQ_JP2.jpg")</f>
        <v>https://pbs.twimg.com/media/FAYOUjOUYAQ_JP2.jpg</v>
      </c>
      <c r="V1919" s="84" t="str">
        <f>HYPERLINK("https://pbs.twimg.com/media/FAYOUjOUYAQ_JP2.jpg")</f>
        <v>https://pbs.twimg.com/media/FAYOUjOUYAQ_JP2.jpg</v>
      </c>
      <c r="W1919" s="83">
        <v>44468.217685185184</v>
      </c>
      <c r="X1919" s="89">
        <v>44468</v>
      </c>
      <c r="Y1919" s="86" t="s">
        <v>12884</v>
      </c>
      <c r="Z1919" s="84" t="str">
        <f>HYPERLINK("https://twitter.com/naylyinasri/status/1443081469593747458")</f>
        <v>https://twitter.com/naylyinasri/status/1443081469593747458</v>
      </c>
      <c r="AA1919" s="81"/>
      <c r="AB1919" s="81"/>
      <c r="AC1919" s="86" t="s">
        <v>13121</v>
      </c>
      <c r="AD1919" s="81"/>
      <c r="AE1919" s="81" t="b">
        <v>0</v>
      </c>
      <c r="AF1919" s="81">
        <v>0</v>
      </c>
      <c r="AG1919" s="86" t="s">
        <v>2084</v>
      </c>
      <c r="AH1919" s="81" t="b">
        <v>0</v>
      </c>
      <c r="AI1919" s="81" t="s">
        <v>2168</v>
      </c>
      <c r="AJ1919" s="81"/>
      <c r="AK1919" s="86" t="s">
        <v>2084</v>
      </c>
      <c r="AL1919" s="81" t="b">
        <v>0</v>
      </c>
      <c r="AM1919" s="81">
        <v>6</v>
      </c>
      <c r="AN1919" s="86" t="s">
        <v>7612</v>
      </c>
      <c r="AO1919" s="86" t="s">
        <v>2179</v>
      </c>
      <c r="AP1919" s="81" t="b">
        <v>0</v>
      </c>
      <c r="AQ1919" s="86" t="s">
        <v>7612</v>
      </c>
      <c r="AR1919" s="81" t="s">
        <v>179</v>
      </c>
      <c r="AS1919" s="81">
        <v>0</v>
      </c>
      <c r="AT1919" s="81">
        <v>0</v>
      </c>
      <c r="AU1919" s="81"/>
      <c r="AV1919" s="81"/>
      <c r="AW1919" s="81"/>
      <c r="AX1919" s="81"/>
      <c r="AY1919" s="81"/>
      <c r="AZ1919" s="81"/>
      <c r="BA1919" s="81"/>
      <c r="BB1919" s="81"/>
    </row>
    <row r="1920" spans="1:54" x14ac:dyDescent="0.35">
      <c r="A1920" s="66" t="s">
        <v>12506</v>
      </c>
      <c r="B1920" s="66" t="s">
        <v>589</v>
      </c>
      <c r="C1920" s="67"/>
      <c r="D1920" s="68"/>
      <c r="E1920" s="69"/>
      <c r="F1920" s="70"/>
      <c r="G1920" s="67"/>
      <c r="H1920" s="71"/>
      <c r="I1920" s="72"/>
      <c r="J1920" s="72"/>
      <c r="K1920" s="36"/>
      <c r="L1920" s="79"/>
      <c r="M1920" s="79"/>
      <c r="N1920" s="74"/>
      <c r="O1920" s="81" t="s">
        <v>693</v>
      </c>
      <c r="P1920" s="83">
        <v>44468.227118055554</v>
      </c>
      <c r="Q1920" s="81" t="s">
        <v>5625</v>
      </c>
      <c r="R1920" s="81"/>
      <c r="S1920" s="81"/>
      <c r="T1920" s="86" t="s">
        <v>5786</v>
      </c>
      <c r="U1920" s="84" t="str">
        <f>HYPERLINK("https://pbs.twimg.com/media/FAYUHMTVEAoP82T.jpg")</f>
        <v>https://pbs.twimg.com/media/FAYUHMTVEAoP82T.jpg</v>
      </c>
      <c r="V1920" s="84" t="str">
        <f>HYPERLINK("https://pbs.twimg.com/media/FAYUHMTVEAoP82T.jpg")</f>
        <v>https://pbs.twimg.com/media/FAYUHMTVEAoP82T.jpg</v>
      </c>
      <c r="W1920" s="83">
        <v>44468.227118055554</v>
      </c>
      <c r="X1920" s="89">
        <v>44468</v>
      </c>
      <c r="Y1920" s="86" t="s">
        <v>12885</v>
      </c>
      <c r="Z1920" s="84" t="str">
        <f>HYPERLINK("https://twitter.com/rendaewoo/status/1443084888870031362")</f>
        <v>https://twitter.com/rendaewoo/status/1443084888870031362</v>
      </c>
      <c r="AA1920" s="81"/>
      <c r="AB1920" s="81"/>
      <c r="AC1920" s="86" t="s">
        <v>13122</v>
      </c>
      <c r="AD1920" s="81"/>
      <c r="AE1920" s="81" t="b">
        <v>0</v>
      </c>
      <c r="AF1920" s="81">
        <v>0</v>
      </c>
      <c r="AG1920" s="86" t="s">
        <v>2084</v>
      </c>
      <c r="AH1920" s="81" t="b">
        <v>0</v>
      </c>
      <c r="AI1920" s="81" t="s">
        <v>2168</v>
      </c>
      <c r="AJ1920" s="81"/>
      <c r="AK1920" s="86" t="s">
        <v>2084</v>
      </c>
      <c r="AL1920" s="81" t="b">
        <v>0</v>
      </c>
      <c r="AM1920" s="81">
        <v>15</v>
      </c>
      <c r="AN1920" s="86" t="s">
        <v>7613</v>
      </c>
      <c r="AO1920" s="86" t="s">
        <v>2181</v>
      </c>
      <c r="AP1920" s="81" t="b">
        <v>0</v>
      </c>
      <c r="AQ1920" s="86" t="s">
        <v>7613</v>
      </c>
      <c r="AR1920" s="81" t="s">
        <v>179</v>
      </c>
      <c r="AS1920" s="81">
        <v>0</v>
      </c>
      <c r="AT1920" s="81">
        <v>0</v>
      </c>
      <c r="AU1920" s="81"/>
      <c r="AV1920" s="81"/>
      <c r="AW1920" s="81"/>
      <c r="AX1920" s="81"/>
      <c r="AY1920" s="81"/>
      <c r="AZ1920" s="81"/>
      <c r="BA1920" s="81"/>
      <c r="BB1920" s="81"/>
    </row>
    <row r="1921" spans="1:54" x14ac:dyDescent="0.35">
      <c r="A1921" s="66" t="s">
        <v>12507</v>
      </c>
      <c r="B1921" s="66" t="s">
        <v>4978</v>
      </c>
      <c r="C1921" s="67"/>
      <c r="D1921" s="68"/>
      <c r="E1921" s="69"/>
      <c r="F1921" s="70"/>
      <c r="G1921" s="67"/>
      <c r="H1921" s="71"/>
      <c r="I1921" s="72"/>
      <c r="J1921" s="72"/>
      <c r="K1921" s="36"/>
      <c r="L1921" s="79"/>
      <c r="M1921" s="79"/>
      <c r="N1921" s="74"/>
      <c r="O1921" s="81" t="s">
        <v>696</v>
      </c>
      <c r="P1921" s="83">
        <v>44468.235914351855</v>
      </c>
      <c r="Q1921" s="81" t="s">
        <v>12743</v>
      </c>
      <c r="R1921" s="81"/>
      <c r="S1921" s="81"/>
      <c r="T1921" s="81"/>
      <c r="U1921" s="81"/>
      <c r="V1921" s="84" t="str">
        <f>HYPERLINK("https://pbs.twimg.com/profile_images/1385381263209648128/S81S4cJL_normal.jpg")</f>
        <v>https://pbs.twimg.com/profile_images/1385381263209648128/S81S4cJL_normal.jpg</v>
      </c>
      <c r="W1921" s="83">
        <v>44468.235914351855</v>
      </c>
      <c r="X1921" s="89">
        <v>44468</v>
      </c>
      <c r="Y1921" s="86" t="s">
        <v>12886</v>
      </c>
      <c r="Z1921" s="84" t="str">
        <f>HYPERLINK("https://twitter.com/netuno598/status/1443088077757497346")</f>
        <v>https://twitter.com/netuno598/status/1443088077757497346</v>
      </c>
      <c r="AA1921" s="81"/>
      <c r="AB1921" s="81"/>
      <c r="AC1921" s="86" t="s">
        <v>13123</v>
      </c>
      <c r="AD1921" s="86" t="s">
        <v>13359</v>
      </c>
      <c r="AE1921" s="81" t="b">
        <v>0</v>
      </c>
      <c r="AF1921" s="81">
        <v>0</v>
      </c>
      <c r="AG1921" s="86" t="s">
        <v>13402</v>
      </c>
      <c r="AH1921" s="81" t="b">
        <v>0</v>
      </c>
      <c r="AI1921" s="81" t="s">
        <v>2171</v>
      </c>
      <c r="AJ1921" s="81"/>
      <c r="AK1921" s="86" t="s">
        <v>2084</v>
      </c>
      <c r="AL1921" s="81" t="b">
        <v>0</v>
      </c>
      <c r="AM1921" s="81">
        <v>0</v>
      </c>
      <c r="AN1921" s="86" t="s">
        <v>2084</v>
      </c>
      <c r="AO1921" s="86" t="s">
        <v>2178</v>
      </c>
      <c r="AP1921" s="81" t="b">
        <v>0</v>
      </c>
      <c r="AQ1921" s="86" t="s">
        <v>13359</v>
      </c>
      <c r="AR1921" s="81" t="s">
        <v>179</v>
      </c>
      <c r="AS1921" s="81">
        <v>0</v>
      </c>
      <c r="AT1921" s="81">
        <v>0</v>
      </c>
      <c r="AU1921" s="81"/>
      <c r="AV1921" s="81"/>
      <c r="AW1921" s="81"/>
      <c r="AX1921" s="81"/>
      <c r="AY1921" s="81"/>
      <c r="AZ1921" s="81"/>
      <c r="BA1921" s="81"/>
      <c r="BB1921" s="81"/>
    </row>
    <row r="1922" spans="1:54" x14ac:dyDescent="0.35">
      <c r="A1922" s="66" t="s">
        <v>12507</v>
      </c>
      <c r="B1922" s="66" t="s">
        <v>12671</v>
      </c>
      <c r="C1922" s="67"/>
      <c r="D1922" s="68"/>
      <c r="E1922" s="69"/>
      <c r="F1922" s="70"/>
      <c r="G1922" s="67"/>
      <c r="H1922" s="71"/>
      <c r="I1922" s="72"/>
      <c r="J1922" s="72"/>
      <c r="K1922" s="36"/>
      <c r="L1922" s="79"/>
      <c r="M1922" s="79"/>
      <c r="N1922" s="74"/>
      <c r="O1922" s="81" t="s">
        <v>695</v>
      </c>
      <c r="P1922" s="83">
        <v>44468.235914351855</v>
      </c>
      <c r="Q1922" s="81" t="s">
        <v>12743</v>
      </c>
      <c r="R1922" s="81"/>
      <c r="S1922" s="81"/>
      <c r="T1922" s="81"/>
      <c r="U1922" s="81"/>
      <c r="V1922" s="84" t="str">
        <f>HYPERLINK("https://pbs.twimg.com/profile_images/1385381263209648128/S81S4cJL_normal.jpg")</f>
        <v>https://pbs.twimg.com/profile_images/1385381263209648128/S81S4cJL_normal.jpg</v>
      </c>
      <c r="W1922" s="83">
        <v>44468.235914351855</v>
      </c>
      <c r="X1922" s="89">
        <v>44468</v>
      </c>
      <c r="Y1922" s="86" t="s">
        <v>12886</v>
      </c>
      <c r="Z1922" s="84" t="str">
        <f>HYPERLINK("https://twitter.com/netuno598/status/1443088077757497346")</f>
        <v>https://twitter.com/netuno598/status/1443088077757497346</v>
      </c>
      <c r="AA1922" s="81"/>
      <c r="AB1922" s="81"/>
      <c r="AC1922" s="86" t="s">
        <v>13123</v>
      </c>
      <c r="AD1922" s="86" t="s">
        <v>13359</v>
      </c>
      <c r="AE1922" s="81" t="b">
        <v>0</v>
      </c>
      <c r="AF1922" s="81">
        <v>0</v>
      </c>
      <c r="AG1922" s="86" t="s">
        <v>13402</v>
      </c>
      <c r="AH1922" s="81" t="b">
        <v>0</v>
      </c>
      <c r="AI1922" s="81" t="s">
        <v>2171</v>
      </c>
      <c r="AJ1922" s="81"/>
      <c r="AK1922" s="86" t="s">
        <v>2084</v>
      </c>
      <c r="AL1922" s="81" t="b">
        <v>0</v>
      </c>
      <c r="AM1922" s="81">
        <v>0</v>
      </c>
      <c r="AN1922" s="86" t="s">
        <v>2084</v>
      </c>
      <c r="AO1922" s="86" t="s">
        <v>2178</v>
      </c>
      <c r="AP1922" s="81" t="b">
        <v>0</v>
      </c>
      <c r="AQ1922" s="86" t="s">
        <v>13359</v>
      </c>
      <c r="AR1922" s="81" t="s">
        <v>179</v>
      </c>
      <c r="AS1922" s="81">
        <v>0</v>
      </c>
      <c r="AT1922" s="81">
        <v>0</v>
      </c>
      <c r="AU1922" s="81"/>
      <c r="AV1922" s="81"/>
      <c r="AW1922" s="81"/>
      <c r="AX1922" s="81"/>
      <c r="AY1922" s="81"/>
      <c r="AZ1922" s="81"/>
      <c r="BA1922" s="81"/>
      <c r="BB1922" s="81"/>
    </row>
    <row r="1923" spans="1:54" x14ac:dyDescent="0.35">
      <c r="A1923" s="66" t="s">
        <v>12508</v>
      </c>
      <c r="B1923" s="66" t="s">
        <v>12508</v>
      </c>
      <c r="C1923" s="67"/>
      <c r="D1923" s="68"/>
      <c r="E1923" s="69"/>
      <c r="F1923" s="70"/>
      <c r="G1923" s="67"/>
      <c r="H1923" s="71"/>
      <c r="I1923" s="72"/>
      <c r="J1923" s="72"/>
      <c r="K1923" s="36"/>
      <c r="L1923" s="79"/>
      <c r="M1923" s="79"/>
      <c r="N1923" s="74"/>
      <c r="O1923" s="81" t="s">
        <v>179</v>
      </c>
      <c r="P1923" s="83">
        <v>44468.186736111114</v>
      </c>
      <c r="Q1923" s="81" t="s">
        <v>12744</v>
      </c>
      <c r="R1923" s="81"/>
      <c r="S1923" s="81"/>
      <c r="T1923" s="81"/>
      <c r="U1923" s="84" t="str">
        <f>HYPERLINK("https://pbs.twimg.com/media/FAbQv4RVkAAdoSZ.jpg")</f>
        <v>https://pbs.twimg.com/media/FAbQv4RVkAAdoSZ.jpg</v>
      </c>
      <c r="V1923" s="84" t="str">
        <f>HYPERLINK("https://pbs.twimg.com/media/FAbQv4RVkAAdoSZ.jpg")</f>
        <v>https://pbs.twimg.com/media/FAbQv4RVkAAdoSZ.jpg</v>
      </c>
      <c r="W1923" s="83">
        <v>44468.186736111114</v>
      </c>
      <c r="X1923" s="89">
        <v>44468</v>
      </c>
      <c r="Y1923" s="86" t="s">
        <v>12887</v>
      </c>
      <c r="Z1923" s="84" t="str">
        <f>HYPERLINK("https://twitter.com/tangselpos_new/status/1443070254406533121")</f>
        <v>https://twitter.com/tangselpos_new/status/1443070254406533121</v>
      </c>
      <c r="AA1923" s="81"/>
      <c r="AB1923" s="81"/>
      <c r="AC1923" s="86" t="s">
        <v>13124</v>
      </c>
      <c r="AD1923" s="81"/>
      <c r="AE1923" s="81" t="b">
        <v>0</v>
      </c>
      <c r="AF1923" s="81">
        <v>0</v>
      </c>
      <c r="AG1923" s="86" t="s">
        <v>2084</v>
      </c>
      <c r="AH1923" s="81" t="b">
        <v>0</v>
      </c>
      <c r="AI1923" s="81" t="s">
        <v>2167</v>
      </c>
      <c r="AJ1923" s="81"/>
      <c r="AK1923" s="86" t="s">
        <v>2084</v>
      </c>
      <c r="AL1923" s="81" t="b">
        <v>0</v>
      </c>
      <c r="AM1923" s="81">
        <v>1</v>
      </c>
      <c r="AN1923" s="86" t="s">
        <v>2084</v>
      </c>
      <c r="AO1923" s="86" t="s">
        <v>2178</v>
      </c>
      <c r="AP1923" s="81" t="b">
        <v>0</v>
      </c>
      <c r="AQ1923" s="86" t="s">
        <v>13124</v>
      </c>
      <c r="AR1923" s="81" t="s">
        <v>179</v>
      </c>
      <c r="AS1923" s="81">
        <v>0</v>
      </c>
      <c r="AT1923" s="81">
        <v>0</v>
      </c>
      <c r="AU1923" s="81"/>
      <c r="AV1923" s="81"/>
      <c r="AW1923" s="81"/>
      <c r="AX1923" s="81"/>
      <c r="AY1923" s="81"/>
      <c r="AZ1923" s="81"/>
      <c r="BA1923" s="81"/>
      <c r="BB1923" s="81"/>
    </row>
    <row r="1924" spans="1:54" x14ac:dyDescent="0.35">
      <c r="A1924" s="66" t="s">
        <v>12509</v>
      </c>
      <c r="B1924" s="66" t="s">
        <v>12508</v>
      </c>
      <c r="C1924" s="67"/>
      <c r="D1924" s="68"/>
      <c r="E1924" s="69"/>
      <c r="F1924" s="70"/>
      <c r="G1924" s="67"/>
      <c r="H1924" s="71"/>
      <c r="I1924" s="72"/>
      <c r="J1924" s="72"/>
      <c r="K1924" s="36"/>
      <c r="L1924" s="79"/>
      <c r="M1924" s="79"/>
      <c r="N1924" s="74"/>
      <c r="O1924" s="81" t="s">
        <v>693</v>
      </c>
      <c r="P1924" s="83">
        <v>44468.260451388887</v>
      </c>
      <c r="Q1924" s="81" t="s">
        <v>12744</v>
      </c>
      <c r="R1924" s="81"/>
      <c r="S1924" s="81"/>
      <c r="T1924" s="81"/>
      <c r="U1924" s="84" t="str">
        <f>HYPERLINK("https://pbs.twimg.com/media/FAbQv4RVkAAdoSZ.jpg")</f>
        <v>https://pbs.twimg.com/media/FAbQv4RVkAAdoSZ.jpg</v>
      </c>
      <c r="V1924" s="84" t="str">
        <f>HYPERLINK("https://pbs.twimg.com/media/FAbQv4RVkAAdoSZ.jpg")</f>
        <v>https://pbs.twimg.com/media/FAbQv4RVkAAdoSZ.jpg</v>
      </c>
      <c r="W1924" s="83">
        <v>44468.260451388887</v>
      </c>
      <c r="X1924" s="89">
        <v>44468</v>
      </c>
      <c r="Y1924" s="86" t="s">
        <v>12888</v>
      </c>
      <c r="Z1924" s="84" t="str">
        <f>HYPERLINK("https://twitter.com/sulaimaniman_/status/1443096969585389569")</f>
        <v>https://twitter.com/sulaimaniman_/status/1443096969585389569</v>
      </c>
      <c r="AA1924" s="81"/>
      <c r="AB1924" s="81"/>
      <c r="AC1924" s="86" t="s">
        <v>13125</v>
      </c>
      <c r="AD1924" s="81"/>
      <c r="AE1924" s="81" t="b">
        <v>0</v>
      </c>
      <c r="AF1924" s="81">
        <v>0</v>
      </c>
      <c r="AG1924" s="86" t="s">
        <v>2084</v>
      </c>
      <c r="AH1924" s="81" t="b">
        <v>0</v>
      </c>
      <c r="AI1924" s="81" t="s">
        <v>2167</v>
      </c>
      <c r="AJ1924" s="81"/>
      <c r="AK1924" s="86" t="s">
        <v>2084</v>
      </c>
      <c r="AL1924" s="81" t="b">
        <v>0</v>
      </c>
      <c r="AM1924" s="81">
        <v>1</v>
      </c>
      <c r="AN1924" s="86" t="s">
        <v>13124</v>
      </c>
      <c r="AO1924" s="86" t="s">
        <v>2178</v>
      </c>
      <c r="AP1924" s="81" t="b">
        <v>0</v>
      </c>
      <c r="AQ1924" s="86" t="s">
        <v>13124</v>
      </c>
      <c r="AR1924" s="81" t="s">
        <v>179</v>
      </c>
      <c r="AS1924" s="81">
        <v>0</v>
      </c>
      <c r="AT1924" s="81">
        <v>0</v>
      </c>
      <c r="AU1924" s="81"/>
      <c r="AV1924" s="81"/>
      <c r="AW1924" s="81"/>
      <c r="AX1924" s="81"/>
      <c r="AY1924" s="81"/>
      <c r="AZ1924" s="81"/>
      <c r="BA1924" s="81"/>
      <c r="BB1924" s="81"/>
    </row>
    <row r="1925" spans="1:54" x14ac:dyDescent="0.35">
      <c r="A1925" s="66" t="s">
        <v>12510</v>
      </c>
      <c r="B1925" s="66" t="s">
        <v>12510</v>
      </c>
      <c r="C1925" s="67"/>
      <c r="D1925" s="68"/>
      <c r="E1925" s="69"/>
      <c r="F1925" s="70"/>
      <c r="G1925" s="67"/>
      <c r="H1925" s="71"/>
      <c r="I1925" s="72"/>
      <c r="J1925" s="72"/>
      <c r="K1925" s="36"/>
      <c r="L1925" s="79"/>
      <c r="M1925" s="79"/>
      <c r="N1925" s="74"/>
      <c r="O1925" s="81" t="s">
        <v>179</v>
      </c>
      <c r="P1925" s="83">
        <v>44468.26222222222</v>
      </c>
      <c r="Q1925" s="81" t="s">
        <v>12745</v>
      </c>
      <c r="R1925" s="84" t="str">
        <f>HYPERLINK("https://www.republika.co.id/berita/r06mes423/kembangkan-layanan-setor-tunai-pt-pos-indonesia-gandeng-mnc?utm_source=dlvr.it&amp;utm_medium=twitter")</f>
        <v>https://www.republika.co.id/berita/r06mes423/kembangkan-layanan-setor-tunai-pt-pos-indonesia-gandeng-mnc?utm_source=dlvr.it&amp;utm_medium=twitter</v>
      </c>
      <c r="S1925" s="81" t="s">
        <v>937</v>
      </c>
      <c r="T1925" s="81"/>
      <c r="U1925" s="84" t="str">
        <f>HYPERLINK("https://pbs.twimg.com/media/FAbpoMPVQAAtKeT.jpg")</f>
        <v>https://pbs.twimg.com/media/FAbpoMPVQAAtKeT.jpg</v>
      </c>
      <c r="V1925" s="84" t="str">
        <f>HYPERLINK("https://pbs.twimg.com/media/FAbpoMPVQAAtKeT.jpg")</f>
        <v>https://pbs.twimg.com/media/FAbpoMPVQAAtKeT.jpg</v>
      </c>
      <c r="W1925" s="83">
        <v>44468.26222222222</v>
      </c>
      <c r="X1925" s="89">
        <v>44468</v>
      </c>
      <c r="Y1925" s="86" t="s">
        <v>12889</v>
      </c>
      <c r="Z1925" s="84" t="str">
        <f>HYPERLINK("https://twitter.com/harismaulanaaku/status/1443097608772222980")</f>
        <v>https://twitter.com/harismaulanaaku/status/1443097608772222980</v>
      </c>
      <c r="AA1925" s="81"/>
      <c r="AB1925" s="81"/>
      <c r="AC1925" s="86" t="s">
        <v>13126</v>
      </c>
      <c r="AD1925" s="81"/>
      <c r="AE1925" s="81" t="b">
        <v>0</v>
      </c>
      <c r="AF1925" s="81">
        <v>0</v>
      </c>
      <c r="AG1925" s="86" t="s">
        <v>2084</v>
      </c>
      <c r="AH1925" s="81" t="b">
        <v>0</v>
      </c>
      <c r="AI1925" s="81" t="s">
        <v>2167</v>
      </c>
      <c r="AJ1925" s="81"/>
      <c r="AK1925" s="86" t="s">
        <v>2084</v>
      </c>
      <c r="AL1925" s="81" t="b">
        <v>0</v>
      </c>
      <c r="AM1925" s="81">
        <v>0</v>
      </c>
      <c r="AN1925" s="86" t="s">
        <v>2084</v>
      </c>
      <c r="AO1925" s="86" t="s">
        <v>2188</v>
      </c>
      <c r="AP1925" s="81" t="b">
        <v>0</v>
      </c>
      <c r="AQ1925" s="86" t="s">
        <v>13126</v>
      </c>
      <c r="AR1925" s="81" t="s">
        <v>179</v>
      </c>
      <c r="AS1925" s="81">
        <v>0</v>
      </c>
      <c r="AT1925" s="81">
        <v>0</v>
      </c>
      <c r="AU1925" s="81"/>
      <c r="AV1925" s="81"/>
      <c r="AW1925" s="81"/>
      <c r="AX1925" s="81"/>
      <c r="AY1925" s="81"/>
      <c r="AZ1925" s="81"/>
      <c r="BA1925" s="81"/>
      <c r="BB1925" s="81"/>
    </row>
    <row r="1926" spans="1:54" x14ac:dyDescent="0.35">
      <c r="A1926" s="66" t="s">
        <v>12511</v>
      </c>
      <c r="B1926" s="66" t="s">
        <v>12511</v>
      </c>
      <c r="C1926" s="67"/>
      <c r="D1926" s="68"/>
      <c r="E1926" s="69"/>
      <c r="F1926" s="70"/>
      <c r="G1926" s="67"/>
      <c r="H1926" s="71"/>
      <c r="I1926" s="72"/>
      <c r="J1926" s="72"/>
      <c r="K1926" s="36"/>
      <c r="L1926" s="79"/>
      <c r="M1926" s="79"/>
      <c r="N1926" s="74"/>
      <c r="O1926" s="81" t="s">
        <v>179</v>
      </c>
      <c r="P1926" s="83">
        <v>44468.269733796296</v>
      </c>
      <c r="Q1926" s="81" t="s">
        <v>12746</v>
      </c>
      <c r="R1926" s="81"/>
      <c r="S1926" s="81"/>
      <c r="T1926" s="81"/>
      <c r="U1926" s="84" t="str">
        <f>HYPERLINK("https://pbs.twimg.com/tweet_video_thumb/FAbsGOlUcAYpHVd.jpg")</f>
        <v>https://pbs.twimg.com/tweet_video_thumb/FAbsGOlUcAYpHVd.jpg</v>
      </c>
      <c r="V1926" s="84" t="str">
        <f>HYPERLINK("https://pbs.twimg.com/tweet_video_thumb/FAbsGOlUcAYpHVd.jpg")</f>
        <v>https://pbs.twimg.com/tweet_video_thumb/FAbsGOlUcAYpHVd.jpg</v>
      </c>
      <c r="W1926" s="83">
        <v>44468.269733796296</v>
      </c>
      <c r="X1926" s="89">
        <v>44468</v>
      </c>
      <c r="Y1926" s="86" t="s">
        <v>12890</v>
      </c>
      <c r="Z1926" s="84" t="str">
        <f>HYPERLINK("https://twitter.com/aisydalilah/status/1443100330921631750")</f>
        <v>https://twitter.com/aisydalilah/status/1443100330921631750</v>
      </c>
      <c r="AA1926" s="81"/>
      <c r="AB1926" s="81"/>
      <c r="AC1926" s="86" t="s">
        <v>13127</v>
      </c>
      <c r="AD1926" s="81"/>
      <c r="AE1926" s="81" t="b">
        <v>0</v>
      </c>
      <c r="AF1926" s="81">
        <v>0</v>
      </c>
      <c r="AG1926" s="86" t="s">
        <v>2084</v>
      </c>
      <c r="AH1926" s="81" t="b">
        <v>0</v>
      </c>
      <c r="AI1926" s="81" t="s">
        <v>2167</v>
      </c>
      <c r="AJ1926" s="81"/>
      <c r="AK1926" s="86" t="s">
        <v>2084</v>
      </c>
      <c r="AL1926" s="81" t="b">
        <v>0</v>
      </c>
      <c r="AM1926" s="81">
        <v>0</v>
      </c>
      <c r="AN1926" s="86" t="s">
        <v>2084</v>
      </c>
      <c r="AO1926" s="86" t="s">
        <v>2178</v>
      </c>
      <c r="AP1926" s="81" t="b">
        <v>0</v>
      </c>
      <c r="AQ1926" s="86" t="s">
        <v>13127</v>
      </c>
      <c r="AR1926" s="81" t="s">
        <v>179</v>
      </c>
      <c r="AS1926" s="81">
        <v>0</v>
      </c>
      <c r="AT1926" s="81">
        <v>0</v>
      </c>
      <c r="AU1926" s="81"/>
      <c r="AV1926" s="81"/>
      <c r="AW1926" s="81"/>
      <c r="AX1926" s="81"/>
      <c r="AY1926" s="81"/>
      <c r="AZ1926" s="81"/>
      <c r="BA1926" s="81"/>
      <c r="BB1926" s="81"/>
    </row>
    <row r="1927" spans="1:54" x14ac:dyDescent="0.35">
      <c r="A1927" s="66" t="s">
        <v>12512</v>
      </c>
      <c r="B1927" s="66" t="s">
        <v>12512</v>
      </c>
      <c r="C1927" s="67"/>
      <c r="D1927" s="68"/>
      <c r="E1927" s="69"/>
      <c r="F1927" s="70"/>
      <c r="G1927" s="67"/>
      <c r="H1927" s="71"/>
      <c r="I1927" s="72"/>
      <c r="J1927" s="72"/>
      <c r="K1927" s="36"/>
      <c r="L1927" s="79"/>
      <c r="M1927" s="79"/>
      <c r="N1927" s="74"/>
      <c r="O1927" s="81" t="s">
        <v>179</v>
      </c>
      <c r="P1927" s="83">
        <v>44468.280891203707</v>
      </c>
      <c r="Q1927" s="81" t="s">
        <v>12747</v>
      </c>
      <c r="R1927" s="84" t="str">
        <f>HYPERLINK("https://investor.id/business/265210/mnc-ecommerce-rangkul-pt-pos-tingkatkan-layanan-pengirimannbsp")</f>
        <v>https://investor.id/business/265210/mnc-ecommerce-rangkul-pt-pos-tingkatkan-layanan-pengirimannbsp</v>
      </c>
      <c r="S1927" s="81" t="s">
        <v>12847</v>
      </c>
      <c r="T1927" s="81"/>
      <c r="U1927" s="84" t="str">
        <f>HYPERLINK("https://pbs.twimg.com/media/FAbvyE3VIAMUjkF.jpg")</f>
        <v>https://pbs.twimg.com/media/FAbvyE3VIAMUjkF.jpg</v>
      </c>
      <c r="V1927" s="84" t="str">
        <f>HYPERLINK("https://pbs.twimg.com/media/FAbvyE3VIAMUjkF.jpg")</f>
        <v>https://pbs.twimg.com/media/FAbvyE3VIAMUjkF.jpg</v>
      </c>
      <c r="W1927" s="83">
        <v>44468.280891203707</v>
      </c>
      <c r="X1927" s="89">
        <v>44468</v>
      </c>
      <c r="Y1927" s="86" t="s">
        <v>12891</v>
      </c>
      <c r="Z1927" s="84" t="str">
        <f>HYPERLINK("https://twitter.com/investorid/status/1443104376269144065")</f>
        <v>https://twitter.com/investorid/status/1443104376269144065</v>
      </c>
      <c r="AA1927" s="81"/>
      <c r="AB1927" s="81"/>
      <c r="AC1927" s="86" t="s">
        <v>13128</v>
      </c>
      <c r="AD1927" s="81"/>
      <c r="AE1927" s="81" t="b">
        <v>0</v>
      </c>
      <c r="AF1927" s="81">
        <v>0</v>
      </c>
      <c r="AG1927" s="86" t="s">
        <v>2084</v>
      </c>
      <c r="AH1927" s="81" t="b">
        <v>0</v>
      </c>
      <c r="AI1927" s="81" t="s">
        <v>2167</v>
      </c>
      <c r="AJ1927" s="81"/>
      <c r="AK1927" s="86" t="s">
        <v>2084</v>
      </c>
      <c r="AL1927" s="81" t="b">
        <v>0</v>
      </c>
      <c r="AM1927" s="81">
        <v>0</v>
      </c>
      <c r="AN1927" s="86" t="s">
        <v>2084</v>
      </c>
      <c r="AO1927" s="86" t="s">
        <v>13440</v>
      </c>
      <c r="AP1927" s="81" t="b">
        <v>0</v>
      </c>
      <c r="AQ1927" s="86" t="s">
        <v>13128</v>
      </c>
      <c r="AR1927" s="81" t="s">
        <v>179</v>
      </c>
      <c r="AS1927" s="81">
        <v>0</v>
      </c>
      <c r="AT1927" s="81">
        <v>0</v>
      </c>
      <c r="AU1927" s="81"/>
      <c r="AV1927" s="81"/>
      <c r="AW1927" s="81"/>
      <c r="AX1927" s="81"/>
      <c r="AY1927" s="81"/>
      <c r="AZ1927" s="81"/>
      <c r="BA1927" s="81"/>
      <c r="BB1927" s="81"/>
    </row>
    <row r="1928" spans="1:54" x14ac:dyDescent="0.35">
      <c r="A1928" s="66" t="s">
        <v>12513</v>
      </c>
      <c r="B1928" s="66" t="s">
        <v>12513</v>
      </c>
      <c r="C1928" s="67"/>
      <c r="D1928" s="68"/>
      <c r="E1928" s="69"/>
      <c r="F1928" s="70"/>
      <c r="G1928" s="67"/>
      <c r="H1928" s="71"/>
      <c r="I1928" s="72"/>
      <c r="J1928" s="72"/>
      <c r="K1928" s="36"/>
      <c r="L1928" s="79"/>
      <c r="M1928" s="79"/>
      <c r="N1928" s="74"/>
      <c r="O1928" s="81" t="s">
        <v>179</v>
      </c>
      <c r="P1928" s="83">
        <v>44468.282395833332</v>
      </c>
      <c r="Q1928" s="81" t="s">
        <v>12748</v>
      </c>
      <c r="R1928" s="81"/>
      <c r="S1928" s="81"/>
      <c r="T1928" s="81"/>
      <c r="U1928" s="81"/>
      <c r="V1928" s="84" t="str">
        <f>HYPERLINK("https://pbs.twimg.com/profile_images/1437809310935891976/7bHbh1qF_normal.jpg")</f>
        <v>https://pbs.twimg.com/profile_images/1437809310935891976/7bHbh1qF_normal.jpg</v>
      </c>
      <c r="W1928" s="83">
        <v>44468.282395833332</v>
      </c>
      <c r="X1928" s="89">
        <v>44468</v>
      </c>
      <c r="Y1928" s="86" t="s">
        <v>12892</v>
      </c>
      <c r="Z1928" s="84" t="str">
        <f>HYPERLINK("https://twitter.com/_peanutttt/status/1443104922317189128")</f>
        <v>https://twitter.com/_peanutttt/status/1443104922317189128</v>
      </c>
      <c r="AA1928" s="81"/>
      <c r="AB1928" s="81"/>
      <c r="AC1928" s="86" t="s">
        <v>13129</v>
      </c>
      <c r="AD1928" s="81"/>
      <c r="AE1928" s="81" t="b">
        <v>0</v>
      </c>
      <c r="AF1928" s="81">
        <v>0</v>
      </c>
      <c r="AG1928" s="86" t="s">
        <v>2084</v>
      </c>
      <c r="AH1928" s="81" t="b">
        <v>0</v>
      </c>
      <c r="AI1928" s="81" t="s">
        <v>2167</v>
      </c>
      <c r="AJ1928" s="81"/>
      <c r="AK1928" s="86" t="s">
        <v>2084</v>
      </c>
      <c r="AL1928" s="81" t="b">
        <v>0</v>
      </c>
      <c r="AM1928" s="81">
        <v>0</v>
      </c>
      <c r="AN1928" s="86" t="s">
        <v>2084</v>
      </c>
      <c r="AO1928" s="86" t="s">
        <v>2178</v>
      </c>
      <c r="AP1928" s="81" t="b">
        <v>0</v>
      </c>
      <c r="AQ1928" s="86" t="s">
        <v>13129</v>
      </c>
      <c r="AR1928" s="81" t="s">
        <v>179</v>
      </c>
      <c r="AS1928" s="81">
        <v>0</v>
      </c>
      <c r="AT1928" s="81">
        <v>0</v>
      </c>
      <c r="AU1928" s="81"/>
      <c r="AV1928" s="81"/>
      <c r="AW1928" s="81"/>
      <c r="AX1928" s="81"/>
      <c r="AY1928" s="81"/>
      <c r="AZ1928" s="81"/>
      <c r="BA1928" s="81"/>
      <c r="BB1928" s="81"/>
    </row>
    <row r="1929" spans="1:54" x14ac:dyDescent="0.35">
      <c r="A1929" s="66" t="s">
        <v>12514</v>
      </c>
      <c r="B1929" s="66" t="s">
        <v>12672</v>
      </c>
      <c r="C1929" s="67"/>
      <c r="D1929" s="68"/>
      <c r="E1929" s="69"/>
      <c r="F1929" s="70"/>
      <c r="G1929" s="67"/>
      <c r="H1929" s="71"/>
      <c r="I1929" s="72"/>
      <c r="J1929" s="72"/>
      <c r="K1929" s="36"/>
      <c r="L1929" s="79"/>
      <c r="M1929" s="79"/>
      <c r="N1929" s="74"/>
      <c r="O1929" s="81" t="s">
        <v>695</v>
      </c>
      <c r="P1929" s="83">
        <v>44468.286562499998</v>
      </c>
      <c r="Q1929" s="81" t="s">
        <v>12749</v>
      </c>
      <c r="R1929" s="81"/>
      <c r="S1929" s="81"/>
      <c r="T1929" s="81"/>
      <c r="U1929" s="81"/>
      <c r="V1929" s="84" t="str">
        <f>HYPERLINK("https://pbs.twimg.com/profile_images/797097830569549824/dxQDuDj8_normal.jpg")</f>
        <v>https://pbs.twimg.com/profile_images/797097830569549824/dxQDuDj8_normal.jpg</v>
      </c>
      <c r="W1929" s="83">
        <v>44468.286562499998</v>
      </c>
      <c r="X1929" s="89">
        <v>44468</v>
      </c>
      <c r="Y1929" s="86" t="s">
        <v>12893</v>
      </c>
      <c r="Z1929" s="84" t="str">
        <f>HYPERLINK("https://twitter.com/debapirez/status/1443106431423561734")</f>
        <v>https://twitter.com/debapirez/status/1443106431423561734</v>
      </c>
      <c r="AA1929" s="81"/>
      <c r="AB1929" s="81"/>
      <c r="AC1929" s="86" t="s">
        <v>13130</v>
      </c>
      <c r="AD1929" s="86" t="s">
        <v>13360</v>
      </c>
      <c r="AE1929" s="81" t="b">
        <v>0</v>
      </c>
      <c r="AF1929" s="81">
        <v>0</v>
      </c>
      <c r="AG1929" s="86" t="s">
        <v>13403</v>
      </c>
      <c r="AH1929" s="81" t="b">
        <v>0</v>
      </c>
      <c r="AI1929" s="81" t="s">
        <v>2167</v>
      </c>
      <c r="AJ1929" s="81"/>
      <c r="AK1929" s="86" t="s">
        <v>2084</v>
      </c>
      <c r="AL1929" s="81" t="b">
        <v>0</v>
      </c>
      <c r="AM1929" s="81">
        <v>0</v>
      </c>
      <c r="AN1929" s="86" t="s">
        <v>2084</v>
      </c>
      <c r="AO1929" s="86" t="s">
        <v>2179</v>
      </c>
      <c r="AP1929" s="81" t="b">
        <v>0</v>
      </c>
      <c r="AQ1929" s="86" t="s">
        <v>13360</v>
      </c>
      <c r="AR1929" s="81" t="s">
        <v>179</v>
      </c>
      <c r="AS1929" s="81">
        <v>0</v>
      </c>
      <c r="AT1929" s="81">
        <v>0</v>
      </c>
      <c r="AU1929" s="81"/>
      <c r="AV1929" s="81"/>
      <c r="AW1929" s="81"/>
      <c r="AX1929" s="81"/>
      <c r="AY1929" s="81"/>
      <c r="AZ1929" s="81"/>
      <c r="BA1929" s="81"/>
      <c r="BB1929" s="81"/>
    </row>
    <row r="1930" spans="1:54" x14ac:dyDescent="0.35">
      <c r="A1930" s="66" t="s">
        <v>12515</v>
      </c>
      <c r="B1930" s="66" t="s">
        <v>12673</v>
      </c>
      <c r="C1930" s="67"/>
      <c r="D1930" s="68"/>
      <c r="E1930" s="69"/>
      <c r="F1930" s="70"/>
      <c r="G1930" s="67"/>
      <c r="H1930" s="71"/>
      <c r="I1930" s="72"/>
      <c r="J1930" s="72"/>
      <c r="K1930" s="36"/>
      <c r="L1930" s="79"/>
      <c r="M1930" s="79"/>
      <c r="N1930" s="74"/>
      <c r="O1930" s="81" t="s">
        <v>695</v>
      </c>
      <c r="P1930" s="83">
        <v>44468.297442129631</v>
      </c>
      <c r="Q1930" s="81" t="s">
        <v>12750</v>
      </c>
      <c r="R1930" s="81"/>
      <c r="S1930" s="81"/>
      <c r="T1930" s="81"/>
      <c r="U1930" s="81"/>
      <c r="V1930" s="84" t="str">
        <f>HYPERLINK("https://pbs.twimg.com/profile_images/1355520160384176134/htg_M8n-_normal.jpg")</f>
        <v>https://pbs.twimg.com/profile_images/1355520160384176134/htg_M8n-_normal.jpg</v>
      </c>
      <c r="W1930" s="83">
        <v>44468.297442129631</v>
      </c>
      <c r="X1930" s="89">
        <v>44468</v>
      </c>
      <c r="Y1930" s="86" t="s">
        <v>12894</v>
      </c>
      <c r="Z1930" s="84" t="str">
        <f>HYPERLINK("https://twitter.com/starktuni/status/1443110373532454912")</f>
        <v>https://twitter.com/starktuni/status/1443110373532454912</v>
      </c>
      <c r="AA1930" s="81"/>
      <c r="AB1930" s="81"/>
      <c r="AC1930" s="86" t="s">
        <v>13131</v>
      </c>
      <c r="AD1930" s="86" t="s">
        <v>13361</v>
      </c>
      <c r="AE1930" s="81" t="b">
        <v>0</v>
      </c>
      <c r="AF1930" s="81">
        <v>1</v>
      </c>
      <c r="AG1930" s="86" t="s">
        <v>13404</v>
      </c>
      <c r="AH1930" s="81" t="b">
        <v>0</v>
      </c>
      <c r="AI1930" s="81" t="s">
        <v>2167</v>
      </c>
      <c r="AJ1930" s="81"/>
      <c r="AK1930" s="86" t="s">
        <v>2084</v>
      </c>
      <c r="AL1930" s="81" t="b">
        <v>0</v>
      </c>
      <c r="AM1930" s="81">
        <v>0</v>
      </c>
      <c r="AN1930" s="86" t="s">
        <v>2084</v>
      </c>
      <c r="AO1930" s="86" t="s">
        <v>2178</v>
      </c>
      <c r="AP1930" s="81" t="b">
        <v>0</v>
      </c>
      <c r="AQ1930" s="86" t="s">
        <v>13361</v>
      </c>
      <c r="AR1930" s="81" t="s">
        <v>179</v>
      </c>
      <c r="AS1930" s="81">
        <v>0</v>
      </c>
      <c r="AT1930" s="81">
        <v>0</v>
      </c>
      <c r="AU1930" s="81"/>
      <c r="AV1930" s="81"/>
      <c r="AW1930" s="81"/>
      <c r="AX1930" s="81"/>
      <c r="AY1930" s="81"/>
      <c r="AZ1930" s="81"/>
      <c r="BA1930" s="81"/>
      <c r="BB1930" s="81"/>
    </row>
    <row r="1931" spans="1:54" x14ac:dyDescent="0.35">
      <c r="A1931" s="66" t="s">
        <v>219</v>
      </c>
      <c r="B1931" s="66" t="s">
        <v>219</v>
      </c>
      <c r="C1931" s="67"/>
      <c r="D1931" s="68"/>
      <c r="E1931" s="69"/>
      <c r="F1931" s="70"/>
      <c r="G1931" s="67"/>
      <c r="H1931" s="71"/>
      <c r="I1931" s="72"/>
      <c r="J1931" s="72"/>
      <c r="K1931" s="36"/>
      <c r="L1931" s="79"/>
      <c r="M1931" s="79"/>
      <c r="N1931" s="74"/>
      <c r="O1931" s="81" t="s">
        <v>179</v>
      </c>
      <c r="P1931" s="83">
        <v>44468.298842592594</v>
      </c>
      <c r="Q1931" s="81" t="s">
        <v>12751</v>
      </c>
      <c r="R1931" s="81"/>
      <c r="S1931" s="81"/>
      <c r="T1931" s="86" t="s">
        <v>12863</v>
      </c>
      <c r="U1931" s="84" t="str">
        <f>HYPERLINK("https://pbs.twimg.com/ext_tw_video_thumb/1443110816903958533/pu/img/usKGcSUF4z8N_t5p.jpg")</f>
        <v>https://pbs.twimg.com/ext_tw_video_thumb/1443110816903958533/pu/img/usKGcSUF4z8N_t5p.jpg</v>
      </c>
      <c r="V1931" s="84" t="str">
        <f>HYPERLINK("https://pbs.twimg.com/ext_tw_video_thumb/1443110816903958533/pu/img/usKGcSUF4z8N_t5p.jpg")</f>
        <v>https://pbs.twimg.com/ext_tw_video_thumb/1443110816903958533/pu/img/usKGcSUF4z8N_t5p.jpg</v>
      </c>
      <c r="W1931" s="83">
        <v>44468.298842592594</v>
      </c>
      <c r="X1931" s="89">
        <v>44468</v>
      </c>
      <c r="Y1931" s="86" t="s">
        <v>12895</v>
      </c>
      <c r="Z1931" s="84" t="str">
        <f>HYPERLINK("https://twitter.com/flagamedia/status/1443110882024701954")</f>
        <v>https://twitter.com/flagamedia/status/1443110882024701954</v>
      </c>
      <c r="AA1931" s="81"/>
      <c r="AB1931" s="81"/>
      <c r="AC1931" s="86" t="s">
        <v>13132</v>
      </c>
      <c r="AD1931" s="81"/>
      <c r="AE1931" s="81" t="b">
        <v>0</v>
      </c>
      <c r="AF1931" s="81">
        <v>0</v>
      </c>
      <c r="AG1931" s="86" t="s">
        <v>2084</v>
      </c>
      <c r="AH1931" s="81" t="b">
        <v>0</v>
      </c>
      <c r="AI1931" s="81" t="s">
        <v>2168</v>
      </c>
      <c r="AJ1931" s="81"/>
      <c r="AK1931" s="86" t="s">
        <v>2084</v>
      </c>
      <c r="AL1931" s="81" t="b">
        <v>0</v>
      </c>
      <c r="AM1931" s="81">
        <v>1</v>
      </c>
      <c r="AN1931" s="86" t="s">
        <v>2084</v>
      </c>
      <c r="AO1931" s="86" t="s">
        <v>2179</v>
      </c>
      <c r="AP1931" s="81" t="b">
        <v>0</v>
      </c>
      <c r="AQ1931" s="86" t="s">
        <v>13132</v>
      </c>
      <c r="AR1931" s="81" t="s">
        <v>179</v>
      </c>
      <c r="AS1931" s="81">
        <v>0</v>
      </c>
      <c r="AT1931" s="81">
        <v>0</v>
      </c>
      <c r="AU1931" s="81"/>
      <c r="AV1931" s="81"/>
      <c r="AW1931" s="81"/>
      <c r="AX1931" s="81"/>
      <c r="AY1931" s="81"/>
      <c r="AZ1931" s="81"/>
      <c r="BA1931" s="81"/>
      <c r="BB1931" s="81"/>
    </row>
    <row r="1932" spans="1:54" x14ac:dyDescent="0.35">
      <c r="A1932" s="66" t="s">
        <v>12516</v>
      </c>
      <c r="B1932" s="66" t="s">
        <v>219</v>
      </c>
      <c r="C1932" s="67"/>
      <c r="D1932" s="68"/>
      <c r="E1932" s="69"/>
      <c r="F1932" s="70"/>
      <c r="G1932" s="67"/>
      <c r="H1932" s="71"/>
      <c r="I1932" s="72"/>
      <c r="J1932" s="72"/>
      <c r="K1932" s="36"/>
      <c r="L1932" s="79"/>
      <c r="M1932" s="79"/>
      <c r="N1932" s="74"/>
      <c r="O1932" s="81" t="s">
        <v>693</v>
      </c>
      <c r="P1932" s="83">
        <v>44468.299664351849</v>
      </c>
      <c r="Q1932" s="81" t="s">
        <v>12751</v>
      </c>
      <c r="R1932" s="81"/>
      <c r="S1932" s="81"/>
      <c r="T1932" s="86" t="s">
        <v>12863</v>
      </c>
      <c r="U1932" s="84" t="str">
        <f>HYPERLINK("https://pbs.twimg.com/ext_tw_video_thumb/1443110816903958533/pu/img/usKGcSUF4z8N_t5p.jpg")</f>
        <v>https://pbs.twimg.com/ext_tw_video_thumb/1443110816903958533/pu/img/usKGcSUF4z8N_t5p.jpg</v>
      </c>
      <c r="V1932" s="84" t="str">
        <f>HYPERLINK("https://pbs.twimg.com/ext_tw_video_thumb/1443110816903958533/pu/img/usKGcSUF4z8N_t5p.jpg")</f>
        <v>https://pbs.twimg.com/ext_tw_video_thumb/1443110816903958533/pu/img/usKGcSUF4z8N_t5p.jpg</v>
      </c>
      <c r="W1932" s="83">
        <v>44468.299664351849</v>
      </c>
      <c r="X1932" s="89">
        <v>44468</v>
      </c>
      <c r="Y1932" s="86" t="s">
        <v>12896</v>
      </c>
      <c r="Z1932" s="84" t="str">
        <f>HYPERLINK("https://twitter.com/digitalbotrt/status/1443111178390102019")</f>
        <v>https://twitter.com/digitalbotrt/status/1443111178390102019</v>
      </c>
      <c r="AA1932" s="81"/>
      <c r="AB1932" s="81"/>
      <c r="AC1932" s="86" t="s">
        <v>13133</v>
      </c>
      <c r="AD1932" s="81"/>
      <c r="AE1932" s="81" t="b">
        <v>0</v>
      </c>
      <c r="AF1932" s="81">
        <v>0</v>
      </c>
      <c r="AG1932" s="86" t="s">
        <v>2084</v>
      </c>
      <c r="AH1932" s="81" t="b">
        <v>0</v>
      </c>
      <c r="AI1932" s="81" t="s">
        <v>2168</v>
      </c>
      <c r="AJ1932" s="81"/>
      <c r="AK1932" s="86" t="s">
        <v>2084</v>
      </c>
      <c r="AL1932" s="81" t="b">
        <v>0</v>
      </c>
      <c r="AM1932" s="81">
        <v>1</v>
      </c>
      <c r="AN1932" s="86" t="s">
        <v>13132</v>
      </c>
      <c r="AO1932" s="86" t="s">
        <v>13441</v>
      </c>
      <c r="AP1932" s="81" t="b">
        <v>0</v>
      </c>
      <c r="AQ1932" s="86" t="s">
        <v>13132</v>
      </c>
      <c r="AR1932" s="81" t="s">
        <v>179</v>
      </c>
      <c r="AS1932" s="81">
        <v>0</v>
      </c>
      <c r="AT1932" s="81">
        <v>0</v>
      </c>
      <c r="AU1932" s="81"/>
      <c r="AV1932" s="81"/>
      <c r="AW1932" s="81"/>
      <c r="AX1932" s="81"/>
      <c r="AY1932" s="81"/>
      <c r="AZ1932" s="81"/>
      <c r="BA1932" s="81"/>
      <c r="BB1932" s="81"/>
    </row>
    <row r="1933" spans="1:54" x14ac:dyDescent="0.35">
      <c r="A1933" s="66" t="s">
        <v>12517</v>
      </c>
      <c r="B1933" s="66" t="s">
        <v>12517</v>
      </c>
      <c r="C1933" s="67"/>
      <c r="D1933" s="68"/>
      <c r="E1933" s="69"/>
      <c r="F1933" s="70"/>
      <c r="G1933" s="67"/>
      <c r="H1933" s="71"/>
      <c r="I1933" s="72"/>
      <c r="J1933" s="72"/>
      <c r="K1933" s="36"/>
      <c r="L1933" s="79"/>
      <c r="M1933" s="79"/>
      <c r="N1933" s="74"/>
      <c r="O1933" s="81" t="s">
        <v>179</v>
      </c>
      <c r="P1933" s="83">
        <v>44468.305972222224</v>
      </c>
      <c r="Q1933" s="81" t="s">
        <v>12752</v>
      </c>
      <c r="R1933" s="84" t="str">
        <f>HYPERLINK("https://twitter.com/tuairumahkitai/status/1441585731080654848")</f>
        <v>https://twitter.com/tuairumahkitai/status/1441585731080654848</v>
      </c>
      <c r="S1933" s="81" t="s">
        <v>936</v>
      </c>
      <c r="T1933" s="81"/>
      <c r="U1933" s="81"/>
      <c r="V1933" s="84" t="str">
        <f>HYPERLINK("https://pbs.twimg.com/profile_images/1426802212404035592/sIsky1bd_normal.jpg")</f>
        <v>https://pbs.twimg.com/profile_images/1426802212404035592/sIsky1bd_normal.jpg</v>
      </c>
      <c r="W1933" s="83">
        <v>44468.305972222224</v>
      </c>
      <c r="X1933" s="89">
        <v>44468</v>
      </c>
      <c r="Y1933" s="86" t="s">
        <v>12897</v>
      </c>
      <c r="Z1933" s="84" t="str">
        <f>HYPERLINK("https://twitter.com/frhainaaa/status/1443113467171393537")</f>
        <v>https://twitter.com/frhainaaa/status/1443113467171393537</v>
      </c>
      <c r="AA1933" s="81"/>
      <c r="AB1933" s="81"/>
      <c r="AC1933" s="86" t="s">
        <v>13134</v>
      </c>
      <c r="AD1933" s="81"/>
      <c r="AE1933" s="81" t="b">
        <v>0</v>
      </c>
      <c r="AF1933" s="81">
        <v>0</v>
      </c>
      <c r="AG1933" s="86" t="s">
        <v>2084</v>
      </c>
      <c r="AH1933" s="81" t="b">
        <v>1</v>
      </c>
      <c r="AI1933" s="81" t="s">
        <v>2167</v>
      </c>
      <c r="AJ1933" s="81"/>
      <c r="AK1933" s="86" t="s">
        <v>13437</v>
      </c>
      <c r="AL1933" s="81" t="b">
        <v>0</v>
      </c>
      <c r="AM1933" s="81">
        <v>0</v>
      </c>
      <c r="AN1933" s="86" t="s">
        <v>2084</v>
      </c>
      <c r="AO1933" s="86" t="s">
        <v>2179</v>
      </c>
      <c r="AP1933" s="81" t="b">
        <v>0</v>
      </c>
      <c r="AQ1933" s="86" t="s">
        <v>13134</v>
      </c>
      <c r="AR1933" s="81" t="s">
        <v>179</v>
      </c>
      <c r="AS1933" s="81">
        <v>0</v>
      </c>
      <c r="AT1933" s="81">
        <v>0</v>
      </c>
      <c r="AU1933" s="81"/>
      <c r="AV1933" s="81"/>
      <c r="AW1933" s="81"/>
      <c r="AX1933" s="81"/>
      <c r="AY1933" s="81"/>
      <c r="AZ1933" s="81"/>
      <c r="BA1933" s="81"/>
      <c r="BB1933" s="81"/>
    </row>
    <row r="1934" spans="1:54" x14ac:dyDescent="0.35">
      <c r="A1934" s="66" t="s">
        <v>12518</v>
      </c>
      <c r="B1934" s="66" t="s">
        <v>12518</v>
      </c>
      <c r="C1934" s="67"/>
      <c r="D1934" s="68"/>
      <c r="E1934" s="69"/>
      <c r="F1934" s="70"/>
      <c r="G1934" s="67"/>
      <c r="H1934" s="71"/>
      <c r="I1934" s="72"/>
      <c r="J1934" s="72"/>
      <c r="K1934" s="36"/>
      <c r="L1934" s="79"/>
      <c r="M1934" s="79"/>
      <c r="N1934" s="74"/>
      <c r="O1934" s="81" t="s">
        <v>179</v>
      </c>
      <c r="P1934" s="83">
        <v>44468.323472222219</v>
      </c>
      <c r="Q1934" s="81" t="s">
        <v>12753</v>
      </c>
      <c r="R1934" s="81"/>
      <c r="S1934" s="81"/>
      <c r="T1934" s="81"/>
      <c r="U1934" s="84" t="str">
        <f>HYPERLINK("https://pbs.twimg.com/media/FAb9wsYVkAA_l1k.jpg")</f>
        <v>https://pbs.twimg.com/media/FAb9wsYVkAA_l1k.jpg</v>
      </c>
      <c r="V1934" s="84" t="str">
        <f>HYPERLINK("https://pbs.twimg.com/media/FAb9wsYVkAA_l1k.jpg")</f>
        <v>https://pbs.twimg.com/media/FAb9wsYVkAA_l1k.jpg</v>
      </c>
      <c r="W1934" s="83">
        <v>44468.323472222219</v>
      </c>
      <c r="X1934" s="89">
        <v>44468</v>
      </c>
      <c r="Y1934" s="86" t="s">
        <v>12898</v>
      </c>
      <c r="Z1934" s="84" t="str">
        <f>HYPERLINK("https://twitter.com/handayaniherbal/status/1443119808455667717")</f>
        <v>https://twitter.com/handayaniherbal/status/1443119808455667717</v>
      </c>
      <c r="AA1934" s="81"/>
      <c r="AB1934" s="81"/>
      <c r="AC1934" s="86" t="s">
        <v>13135</v>
      </c>
      <c r="AD1934" s="86" t="s">
        <v>13362</v>
      </c>
      <c r="AE1934" s="81" t="b">
        <v>0</v>
      </c>
      <c r="AF1934" s="81">
        <v>0</v>
      </c>
      <c r="AG1934" s="86" t="s">
        <v>13405</v>
      </c>
      <c r="AH1934" s="81" t="b">
        <v>0</v>
      </c>
      <c r="AI1934" s="81" t="s">
        <v>2167</v>
      </c>
      <c r="AJ1934" s="81"/>
      <c r="AK1934" s="86" t="s">
        <v>2084</v>
      </c>
      <c r="AL1934" s="81" t="b">
        <v>0</v>
      </c>
      <c r="AM1934" s="81">
        <v>0</v>
      </c>
      <c r="AN1934" s="86" t="s">
        <v>2084</v>
      </c>
      <c r="AO1934" s="86" t="s">
        <v>2181</v>
      </c>
      <c r="AP1934" s="81" t="b">
        <v>0</v>
      </c>
      <c r="AQ1934" s="86" t="s">
        <v>13362</v>
      </c>
      <c r="AR1934" s="81" t="s">
        <v>179</v>
      </c>
      <c r="AS1934" s="81">
        <v>0</v>
      </c>
      <c r="AT1934" s="81">
        <v>0</v>
      </c>
      <c r="AU1934" s="81"/>
      <c r="AV1934" s="81"/>
      <c r="AW1934" s="81"/>
      <c r="AX1934" s="81"/>
      <c r="AY1934" s="81"/>
      <c r="AZ1934" s="81"/>
      <c r="BA1934" s="81"/>
      <c r="BB1934" s="81"/>
    </row>
    <row r="1935" spans="1:54" x14ac:dyDescent="0.35">
      <c r="A1935" s="66" t="s">
        <v>12518</v>
      </c>
      <c r="B1935" s="66" t="s">
        <v>12518</v>
      </c>
      <c r="C1935" s="67"/>
      <c r="D1935" s="68"/>
      <c r="E1935" s="69"/>
      <c r="F1935" s="70"/>
      <c r="G1935" s="67"/>
      <c r="H1935" s="71"/>
      <c r="I1935" s="72"/>
      <c r="J1935" s="72"/>
      <c r="K1935" s="36"/>
      <c r="L1935" s="79"/>
      <c r="M1935" s="79"/>
      <c r="N1935" s="74"/>
      <c r="O1935" s="81" t="s">
        <v>179</v>
      </c>
      <c r="P1935" s="83">
        <v>44468.330868055556</v>
      </c>
      <c r="Q1935" s="81" t="s">
        <v>12754</v>
      </c>
      <c r="R1935" s="81"/>
      <c r="S1935" s="81"/>
      <c r="T1935" s="81"/>
      <c r="U1935" s="84" t="str">
        <f>HYPERLINK("https://pbs.twimg.com/media/FAcAKktVIAU6yZH.jpg")</f>
        <v>https://pbs.twimg.com/media/FAcAKktVIAU6yZH.jpg</v>
      </c>
      <c r="V1935" s="84" t="str">
        <f>HYPERLINK("https://pbs.twimg.com/media/FAcAKktVIAU6yZH.jpg")</f>
        <v>https://pbs.twimg.com/media/FAcAKktVIAU6yZH.jpg</v>
      </c>
      <c r="W1935" s="83">
        <v>44468.330868055556</v>
      </c>
      <c r="X1935" s="89">
        <v>44468</v>
      </c>
      <c r="Y1935" s="86" t="s">
        <v>12899</v>
      </c>
      <c r="Z1935" s="84" t="str">
        <f>HYPERLINK("https://twitter.com/handayaniherbal/status/1443122488590831619")</f>
        <v>https://twitter.com/handayaniherbal/status/1443122488590831619</v>
      </c>
      <c r="AA1935" s="81"/>
      <c r="AB1935" s="81"/>
      <c r="AC1935" s="86" t="s">
        <v>13136</v>
      </c>
      <c r="AD1935" s="86" t="s">
        <v>13363</v>
      </c>
      <c r="AE1935" s="81" t="b">
        <v>0</v>
      </c>
      <c r="AF1935" s="81">
        <v>0</v>
      </c>
      <c r="AG1935" s="86" t="s">
        <v>13405</v>
      </c>
      <c r="AH1935" s="81" t="b">
        <v>0</v>
      </c>
      <c r="AI1935" s="81" t="s">
        <v>2167</v>
      </c>
      <c r="AJ1935" s="81"/>
      <c r="AK1935" s="86" t="s">
        <v>2084</v>
      </c>
      <c r="AL1935" s="81" t="b">
        <v>0</v>
      </c>
      <c r="AM1935" s="81">
        <v>0</v>
      </c>
      <c r="AN1935" s="86" t="s">
        <v>2084</v>
      </c>
      <c r="AO1935" s="86" t="s">
        <v>2181</v>
      </c>
      <c r="AP1935" s="81" t="b">
        <v>0</v>
      </c>
      <c r="AQ1935" s="86" t="s">
        <v>13363</v>
      </c>
      <c r="AR1935" s="81" t="s">
        <v>179</v>
      </c>
      <c r="AS1935" s="81">
        <v>0</v>
      </c>
      <c r="AT1935" s="81">
        <v>0</v>
      </c>
      <c r="AU1935" s="81"/>
      <c r="AV1935" s="81"/>
      <c r="AW1935" s="81"/>
      <c r="AX1935" s="81"/>
      <c r="AY1935" s="81"/>
      <c r="AZ1935" s="81"/>
      <c r="BA1935" s="81"/>
      <c r="BB1935" s="81"/>
    </row>
    <row r="1936" spans="1:54" x14ac:dyDescent="0.35">
      <c r="A1936" s="66" t="s">
        <v>12519</v>
      </c>
      <c r="B1936" s="66" t="s">
        <v>12674</v>
      </c>
      <c r="C1936" s="67"/>
      <c r="D1936" s="68"/>
      <c r="E1936" s="69"/>
      <c r="F1936" s="70"/>
      <c r="G1936" s="67"/>
      <c r="H1936" s="71"/>
      <c r="I1936" s="72"/>
      <c r="J1936" s="72"/>
      <c r="K1936" s="36"/>
      <c r="L1936" s="79"/>
      <c r="M1936" s="79"/>
      <c r="N1936" s="74"/>
      <c r="O1936" s="81" t="s">
        <v>696</v>
      </c>
      <c r="P1936" s="83">
        <v>44468.350243055553</v>
      </c>
      <c r="Q1936" s="81" t="s">
        <v>12755</v>
      </c>
      <c r="R1936" s="81"/>
      <c r="S1936" s="81"/>
      <c r="T1936" s="81"/>
      <c r="U1936" s="81"/>
      <c r="V1936" s="84" t="str">
        <f>HYPERLINK("https://pbs.twimg.com/profile_images/1390434969860952066/vV6EgDqz_normal.jpg")</f>
        <v>https://pbs.twimg.com/profile_images/1390434969860952066/vV6EgDqz_normal.jpg</v>
      </c>
      <c r="W1936" s="83">
        <v>44468.350243055553</v>
      </c>
      <c r="X1936" s="89">
        <v>44468</v>
      </c>
      <c r="Y1936" s="86" t="s">
        <v>12900</v>
      </c>
      <c r="Z1936" s="84" t="str">
        <f>HYPERLINK("https://twitter.com/vademetroananas/status/1443129509662822402")</f>
        <v>https://twitter.com/vademetroananas/status/1443129509662822402</v>
      </c>
      <c r="AA1936" s="81"/>
      <c r="AB1936" s="81"/>
      <c r="AC1936" s="86" t="s">
        <v>13137</v>
      </c>
      <c r="AD1936" s="86" t="s">
        <v>13364</v>
      </c>
      <c r="AE1936" s="81" t="b">
        <v>0</v>
      </c>
      <c r="AF1936" s="81">
        <v>0</v>
      </c>
      <c r="AG1936" s="86" t="s">
        <v>13406</v>
      </c>
      <c r="AH1936" s="81" t="b">
        <v>0</v>
      </c>
      <c r="AI1936" s="81" t="s">
        <v>2171</v>
      </c>
      <c r="AJ1936" s="81"/>
      <c r="AK1936" s="86" t="s">
        <v>2084</v>
      </c>
      <c r="AL1936" s="81" t="b">
        <v>0</v>
      </c>
      <c r="AM1936" s="81">
        <v>0</v>
      </c>
      <c r="AN1936" s="86" t="s">
        <v>2084</v>
      </c>
      <c r="AO1936" s="86" t="s">
        <v>2178</v>
      </c>
      <c r="AP1936" s="81" t="b">
        <v>0</v>
      </c>
      <c r="AQ1936" s="86" t="s">
        <v>13364</v>
      </c>
      <c r="AR1936" s="81" t="s">
        <v>179</v>
      </c>
      <c r="AS1936" s="81">
        <v>0</v>
      </c>
      <c r="AT1936" s="81">
        <v>0</v>
      </c>
      <c r="AU1936" s="81" t="s">
        <v>13446</v>
      </c>
      <c r="AV1936" s="81" t="s">
        <v>10990</v>
      </c>
      <c r="AW1936" s="81" t="s">
        <v>13450</v>
      </c>
      <c r="AX1936" s="81" t="s">
        <v>10971</v>
      </c>
      <c r="AY1936" s="81" t="s">
        <v>13453</v>
      </c>
      <c r="AZ1936" s="81" t="s">
        <v>11238</v>
      </c>
      <c r="BA1936" s="81" t="s">
        <v>2212</v>
      </c>
      <c r="BB1936" s="84" t="str">
        <f>HYPERLINK("https://api.twitter.com/1.1/geo/id/c1430b24da8e9229.json")</f>
        <v>https://api.twitter.com/1.1/geo/id/c1430b24da8e9229.json</v>
      </c>
    </row>
    <row r="1937" spans="1:54" x14ac:dyDescent="0.35">
      <c r="A1937" s="66" t="s">
        <v>12519</v>
      </c>
      <c r="B1937" s="66" t="s">
        <v>12675</v>
      </c>
      <c r="C1937" s="67"/>
      <c r="D1937" s="68"/>
      <c r="E1937" s="69"/>
      <c r="F1937" s="70"/>
      <c r="G1937" s="67"/>
      <c r="H1937" s="71"/>
      <c r="I1937" s="72"/>
      <c r="J1937" s="72"/>
      <c r="K1937" s="36"/>
      <c r="L1937" s="79"/>
      <c r="M1937" s="79"/>
      <c r="N1937" s="74"/>
      <c r="O1937" s="81" t="s">
        <v>695</v>
      </c>
      <c r="P1937" s="83">
        <v>44468.350243055553</v>
      </c>
      <c r="Q1937" s="81" t="s">
        <v>12755</v>
      </c>
      <c r="R1937" s="81"/>
      <c r="S1937" s="81"/>
      <c r="T1937" s="81"/>
      <c r="U1937" s="81"/>
      <c r="V1937" s="84" t="str">
        <f>HYPERLINK("https://pbs.twimg.com/profile_images/1390434969860952066/vV6EgDqz_normal.jpg")</f>
        <v>https://pbs.twimg.com/profile_images/1390434969860952066/vV6EgDqz_normal.jpg</v>
      </c>
      <c r="W1937" s="83">
        <v>44468.350243055553</v>
      </c>
      <c r="X1937" s="89">
        <v>44468</v>
      </c>
      <c r="Y1937" s="86" t="s">
        <v>12900</v>
      </c>
      <c r="Z1937" s="84" t="str">
        <f>HYPERLINK("https://twitter.com/vademetroananas/status/1443129509662822402")</f>
        <v>https://twitter.com/vademetroananas/status/1443129509662822402</v>
      </c>
      <c r="AA1937" s="81"/>
      <c r="AB1937" s="81"/>
      <c r="AC1937" s="86" t="s">
        <v>13137</v>
      </c>
      <c r="AD1937" s="86" t="s">
        <v>13364</v>
      </c>
      <c r="AE1937" s="81" t="b">
        <v>0</v>
      </c>
      <c r="AF1937" s="81">
        <v>0</v>
      </c>
      <c r="AG1937" s="86" t="s">
        <v>13406</v>
      </c>
      <c r="AH1937" s="81" t="b">
        <v>0</v>
      </c>
      <c r="AI1937" s="81" t="s">
        <v>2171</v>
      </c>
      <c r="AJ1937" s="81"/>
      <c r="AK1937" s="86" t="s">
        <v>2084</v>
      </c>
      <c r="AL1937" s="81" t="b">
        <v>0</v>
      </c>
      <c r="AM1937" s="81">
        <v>0</v>
      </c>
      <c r="AN1937" s="86" t="s">
        <v>2084</v>
      </c>
      <c r="AO1937" s="86" t="s">
        <v>2178</v>
      </c>
      <c r="AP1937" s="81" t="b">
        <v>0</v>
      </c>
      <c r="AQ1937" s="86" t="s">
        <v>13364</v>
      </c>
      <c r="AR1937" s="81" t="s">
        <v>179</v>
      </c>
      <c r="AS1937" s="81">
        <v>0</v>
      </c>
      <c r="AT1937" s="81">
        <v>0</v>
      </c>
      <c r="AU1937" s="81" t="s">
        <v>13446</v>
      </c>
      <c r="AV1937" s="81" t="s">
        <v>10990</v>
      </c>
      <c r="AW1937" s="81" t="s">
        <v>13450</v>
      </c>
      <c r="AX1937" s="81" t="s">
        <v>10971</v>
      </c>
      <c r="AY1937" s="81" t="s">
        <v>13453</v>
      </c>
      <c r="AZ1937" s="81" t="s">
        <v>11238</v>
      </c>
      <c r="BA1937" s="81" t="s">
        <v>2212</v>
      </c>
      <c r="BB1937" s="84" t="str">
        <f>HYPERLINK("https://api.twitter.com/1.1/geo/id/c1430b24da8e9229.json")</f>
        <v>https://api.twitter.com/1.1/geo/id/c1430b24da8e9229.json</v>
      </c>
    </row>
    <row r="1938" spans="1:54" x14ac:dyDescent="0.35">
      <c r="A1938" s="66" t="s">
        <v>12520</v>
      </c>
      <c r="B1938" s="66" t="s">
        <v>12676</v>
      </c>
      <c r="C1938" s="67"/>
      <c r="D1938" s="68"/>
      <c r="E1938" s="69"/>
      <c r="F1938" s="70"/>
      <c r="G1938" s="67"/>
      <c r="H1938" s="71"/>
      <c r="I1938" s="72"/>
      <c r="J1938" s="72"/>
      <c r="K1938" s="36"/>
      <c r="L1938" s="79"/>
      <c r="M1938" s="79"/>
      <c r="N1938" s="74"/>
      <c r="O1938" s="81" t="s">
        <v>695</v>
      </c>
      <c r="P1938" s="83">
        <v>44468.358946759261</v>
      </c>
      <c r="Q1938" s="81" t="s">
        <v>12756</v>
      </c>
      <c r="R1938" s="81"/>
      <c r="S1938" s="81"/>
      <c r="T1938" s="81"/>
      <c r="U1938" s="81"/>
      <c r="V1938" s="84" t="str">
        <f>HYPERLINK("https://pbs.twimg.com/profile_images/1439168540079124485/wYiZfC_y_normal.jpg")</f>
        <v>https://pbs.twimg.com/profile_images/1439168540079124485/wYiZfC_y_normal.jpg</v>
      </c>
      <c r="W1938" s="83">
        <v>44468.358946759261</v>
      </c>
      <c r="X1938" s="89">
        <v>44468</v>
      </c>
      <c r="Y1938" s="86" t="s">
        <v>12901</v>
      </c>
      <c r="Z1938" s="84" t="str">
        <f>HYPERLINK("https://twitter.com/yeonjjunineun/status/1443132663376744449")</f>
        <v>https://twitter.com/yeonjjunineun/status/1443132663376744449</v>
      </c>
      <c r="AA1938" s="81"/>
      <c r="AB1938" s="81"/>
      <c r="AC1938" s="86" t="s">
        <v>13138</v>
      </c>
      <c r="AD1938" s="86" t="s">
        <v>13365</v>
      </c>
      <c r="AE1938" s="81" t="b">
        <v>0</v>
      </c>
      <c r="AF1938" s="81">
        <v>0</v>
      </c>
      <c r="AG1938" s="86" t="s">
        <v>13407</v>
      </c>
      <c r="AH1938" s="81" t="b">
        <v>0</v>
      </c>
      <c r="AI1938" s="81" t="s">
        <v>2167</v>
      </c>
      <c r="AJ1938" s="81"/>
      <c r="AK1938" s="86" t="s">
        <v>2084</v>
      </c>
      <c r="AL1938" s="81" t="b">
        <v>0</v>
      </c>
      <c r="AM1938" s="81">
        <v>0</v>
      </c>
      <c r="AN1938" s="86" t="s">
        <v>2084</v>
      </c>
      <c r="AO1938" s="86" t="s">
        <v>2178</v>
      </c>
      <c r="AP1938" s="81" t="b">
        <v>0</v>
      </c>
      <c r="AQ1938" s="86" t="s">
        <v>13365</v>
      </c>
      <c r="AR1938" s="81" t="s">
        <v>179</v>
      </c>
      <c r="AS1938" s="81">
        <v>0</v>
      </c>
      <c r="AT1938" s="81">
        <v>0</v>
      </c>
      <c r="AU1938" s="81"/>
      <c r="AV1938" s="81"/>
      <c r="AW1938" s="81"/>
      <c r="AX1938" s="81"/>
      <c r="AY1938" s="81"/>
      <c r="AZ1938" s="81"/>
      <c r="BA1938" s="81"/>
      <c r="BB1938" s="81"/>
    </row>
    <row r="1939" spans="1:54" x14ac:dyDescent="0.35">
      <c r="A1939" s="66" t="s">
        <v>12521</v>
      </c>
      <c r="B1939" s="66" t="s">
        <v>12521</v>
      </c>
      <c r="C1939" s="67"/>
      <c r="D1939" s="68"/>
      <c r="E1939" s="69"/>
      <c r="F1939" s="70"/>
      <c r="G1939" s="67"/>
      <c r="H1939" s="71"/>
      <c r="I1939" s="72"/>
      <c r="J1939" s="72"/>
      <c r="K1939" s="36"/>
      <c r="L1939" s="79"/>
      <c r="M1939" s="79"/>
      <c r="N1939" s="74"/>
      <c r="O1939" s="81" t="s">
        <v>179</v>
      </c>
      <c r="P1939" s="83">
        <v>44468.376215277778</v>
      </c>
      <c r="Q1939" s="81" t="s">
        <v>12757</v>
      </c>
      <c r="R1939" s="84" t="str">
        <f>HYPERLINK("https://swa.co.id/swa/trends/technology/gandeng-mnc-pt-pos-indonesia-kembangkan-layanan-setor-tunai")</f>
        <v>https://swa.co.id/swa/trends/technology/gandeng-mnc-pt-pos-indonesia-kembangkan-layanan-setor-tunai</v>
      </c>
      <c r="S1939" s="81" t="s">
        <v>937</v>
      </c>
      <c r="T1939" s="81"/>
      <c r="U1939" s="81"/>
      <c r="V1939" s="84" t="str">
        <f>HYPERLINK("https://pbs.twimg.com/profile_images/803082021408935936/s_bQ-QYp_normal.jpg")</f>
        <v>https://pbs.twimg.com/profile_images/803082021408935936/s_bQ-QYp_normal.jpg</v>
      </c>
      <c r="W1939" s="83">
        <v>44468.376215277778</v>
      </c>
      <c r="X1939" s="89">
        <v>44468</v>
      </c>
      <c r="Y1939" s="86" t="s">
        <v>12902</v>
      </c>
      <c r="Z1939" s="84" t="str">
        <f>HYPERLINK("https://twitter.com/swamediainc/status/1443138921869709316")</f>
        <v>https://twitter.com/swamediainc/status/1443138921869709316</v>
      </c>
      <c r="AA1939" s="81"/>
      <c r="AB1939" s="81"/>
      <c r="AC1939" s="86" t="s">
        <v>13139</v>
      </c>
      <c r="AD1939" s="81"/>
      <c r="AE1939" s="81" t="b">
        <v>0</v>
      </c>
      <c r="AF1939" s="81">
        <v>0</v>
      </c>
      <c r="AG1939" s="86" t="s">
        <v>2084</v>
      </c>
      <c r="AH1939" s="81" t="b">
        <v>0</v>
      </c>
      <c r="AI1939" s="81" t="s">
        <v>2167</v>
      </c>
      <c r="AJ1939" s="81"/>
      <c r="AK1939" s="86" t="s">
        <v>2084</v>
      </c>
      <c r="AL1939" s="81" t="b">
        <v>0</v>
      </c>
      <c r="AM1939" s="81">
        <v>0</v>
      </c>
      <c r="AN1939" s="86" t="s">
        <v>2084</v>
      </c>
      <c r="AO1939" s="86" t="s">
        <v>2195</v>
      </c>
      <c r="AP1939" s="81" t="b">
        <v>0</v>
      </c>
      <c r="AQ1939" s="86" t="s">
        <v>13139</v>
      </c>
      <c r="AR1939" s="81" t="s">
        <v>179</v>
      </c>
      <c r="AS1939" s="81">
        <v>0</v>
      </c>
      <c r="AT1939" s="81">
        <v>0</v>
      </c>
      <c r="AU1939" s="81"/>
      <c r="AV1939" s="81"/>
      <c r="AW1939" s="81"/>
      <c r="AX1939" s="81"/>
      <c r="AY1939" s="81"/>
      <c r="AZ1939" s="81"/>
      <c r="BA1939" s="81"/>
      <c r="BB1939" s="81"/>
    </row>
    <row r="1940" spans="1:54" x14ac:dyDescent="0.35">
      <c r="A1940" s="66" t="s">
        <v>12522</v>
      </c>
      <c r="B1940" s="66" t="s">
        <v>12522</v>
      </c>
      <c r="C1940" s="67"/>
      <c r="D1940" s="68"/>
      <c r="E1940" s="69"/>
      <c r="F1940" s="70"/>
      <c r="G1940" s="67"/>
      <c r="H1940" s="71"/>
      <c r="I1940" s="72"/>
      <c r="J1940" s="72"/>
      <c r="K1940" s="36"/>
      <c r="L1940" s="79"/>
      <c r="M1940" s="79"/>
      <c r="N1940" s="74"/>
      <c r="O1940" s="81" t="s">
        <v>179</v>
      </c>
      <c r="P1940" s="83">
        <v>44468.385277777779</v>
      </c>
      <c r="Q1940" s="81" t="s">
        <v>12758</v>
      </c>
      <c r="R1940" s="81"/>
      <c r="S1940" s="81"/>
      <c r="T1940" s="81"/>
      <c r="U1940" s="81"/>
      <c r="V1940" s="84" t="str">
        <f>HYPERLINK("https://pbs.twimg.com/profile_images/1440246146312519681/_RA3eKRr_normal.jpg")</f>
        <v>https://pbs.twimg.com/profile_images/1440246146312519681/_RA3eKRr_normal.jpg</v>
      </c>
      <c r="W1940" s="83">
        <v>44468.385277777779</v>
      </c>
      <c r="X1940" s="89">
        <v>44468</v>
      </c>
      <c r="Y1940" s="86" t="s">
        <v>12903</v>
      </c>
      <c r="Z1940" s="84" t="str">
        <f>HYPERLINK("https://twitter.com/madugibran123/status/1443142205237956611")</f>
        <v>https://twitter.com/madugibran123/status/1443142205237956611</v>
      </c>
      <c r="AA1940" s="81"/>
      <c r="AB1940" s="81"/>
      <c r="AC1940" s="86" t="s">
        <v>13140</v>
      </c>
      <c r="AD1940" s="86" t="s">
        <v>13366</v>
      </c>
      <c r="AE1940" s="81" t="b">
        <v>0</v>
      </c>
      <c r="AF1940" s="81">
        <v>0</v>
      </c>
      <c r="AG1940" s="86" t="s">
        <v>13408</v>
      </c>
      <c r="AH1940" s="81" t="b">
        <v>0</v>
      </c>
      <c r="AI1940" s="81" t="s">
        <v>2167</v>
      </c>
      <c r="AJ1940" s="81"/>
      <c r="AK1940" s="86" t="s">
        <v>2084</v>
      </c>
      <c r="AL1940" s="81" t="b">
        <v>0</v>
      </c>
      <c r="AM1940" s="81">
        <v>0</v>
      </c>
      <c r="AN1940" s="86" t="s">
        <v>2084</v>
      </c>
      <c r="AO1940" s="86" t="s">
        <v>2181</v>
      </c>
      <c r="AP1940" s="81" t="b">
        <v>0</v>
      </c>
      <c r="AQ1940" s="86" t="s">
        <v>13366</v>
      </c>
      <c r="AR1940" s="81" t="s">
        <v>179</v>
      </c>
      <c r="AS1940" s="81">
        <v>0</v>
      </c>
      <c r="AT1940" s="81">
        <v>0</v>
      </c>
      <c r="AU1940" s="81"/>
      <c r="AV1940" s="81"/>
      <c r="AW1940" s="81"/>
      <c r="AX1940" s="81"/>
      <c r="AY1940" s="81"/>
      <c r="AZ1940" s="81"/>
      <c r="BA1940" s="81"/>
      <c r="BB1940" s="81"/>
    </row>
    <row r="1941" spans="1:54" x14ac:dyDescent="0.35">
      <c r="A1941" s="66" t="s">
        <v>4495</v>
      </c>
      <c r="B1941" s="66" t="s">
        <v>4495</v>
      </c>
      <c r="C1941" s="67"/>
      <c r="D1941" s="68"/>
      <c r="E1941" s="69"/>
      <c r="F1941" s="70"/>
      <c r="G1941" s="67"/>
      <c r="H1941" s="71"/>
      <c r="I1941" s="72"/>
      <c r="J1941" s="72"/>
      <c r="K1941" s="36"/>
      <c r="L1941" s="79"/>
      <c r="M1941" s="79"/>
      <c r="N1941" s="74"/>
      <c r="O1941" s="81" t="s">
        <v>179</v>
      </c>
      <c r="P1941" s="83">
        <v>44456.467349537037</v>
      </c>
      <c r="Q1941" s="81" t="s">
        <v>5272</v>
      </c>
      <c r="R1941" s="84" t="str">
        <f>HYPERLINK("https://www.gov.br/anvisa/pt-br/assuntos/fiscalizacao-e-monitoramento/notificacoes/vigimed/")</f>
        <v>https://www.gov.br/anvisa/pt-br/assuntos/fiscalizacao-e-monitoramento/notificacoes/vigimed/</v>
      </c>
      <c r="S1941" s="81" t="s">
        <v>5686</v>
      </c>
      <c r="T1941" s="81"/>
      <c r="U1941" s="81"/>
      <c r="V1941" s="84" t="str">
        <f>HYPERLINK("https://pbs.twimg.com/profile_images/1441883576497287172/tXDjV1W__normal.jpg")</f>
        <v>https://pbs.twimg.com/profile_images/1441883576497287172/tXDjV1W__normal.jpg</v>
      </c>
      <c r="W1941" s="83">
        <v>44456.467349537037</v>
      </c>
      <c r="X1941" s="89">
        <v>44456</v>
      </c>
      <c r="Y1941" s="86" t="s">
        <v>6140</v>
      </c>
      <c r="Z1941" s="84" t="str">
        <f>HYPERLINK("https://twitter.com/valeriascher/status/1438823289858764802")</f>
        <v>https://twitter.com/valeriascher/status/1438823289858764802</v>
      </c>
      <c r="AA1941" s="81"/>
      <c r="AB1941" s="81"/>
      <c r="AC1941" s="86" t="s">
        <v>7047</v>
      </c>
      <c r="AD1941" s="81"/>
      <c r="AE1941" s="81" t="b">
        <v>0</v>
      </c>
      <c r="AF1941" s="81">
        <v>3373</v>
      </c>
      <c r="AG1941" s="86" t="s">
        <v>2084</v>
      </c>
      <c r="AH1941" s="81" t="b">
        <v>0</v>
      </c>
      <c r="AI1941" s="81" t="s">
        <v>2171</v>
      </c>
      <c r="AJ1941" s="81"/>
      <c r="AK1941" s="86" t="s">
        <v>2084</v>
      </c>
      <c r="AL1941" s="81" t="b">
        <v>0</v>
      </c>
      <c r="AM1941" s="81">
        <v>1497</v>
      </c>
      <c r="AN1941" s="86" t="s">
        <v>2084</v>
      </c>
      <c r="AO1941" s="86" t="s">
        <v>2179</v>
      </c>
      <c r="AP1941" s="81" t="b">
        <v>0</v>
      </c>
      <c r="AQ1941" s="86" t="s">
        <v>7047</v>
      </c>
      <c r="AR1941" s="81" t="s">
        <v>693</v>
      </c>
      <c r="AS1941" s="81">
        <v>0</v>
      </c>
      <c r="AT1941" s="81">
        <v>0</v>
      </c>
      <c r="AU1941" s="81"/>
      <c r="AV1941" s="81"/>
      <c r="AW1941" s="81"/>
      <c r="AX1941" s="81"/>
      <c r="AY1941" s="81"/>
      <c r="AZ1941" s="81"/>
      <c r="BA1941" s="81"/>
      <c r="BB1941" s="81"/>
    </row>
    <row r="1942" spans="1:54" x14ac:dyDescent="0.35">
      <c r="A1942" s="66" t="s">
        <v>12523</v>
      </c>
      <c r="B1942" s="66" t="s">
        <v>4495</v>
      </c>
      <c r="C1942" s="67"/>
      <c r="D1942" s="68"/>
      <c r="E1942" s="69"/>
      <c r="F1942" s="70"/>
      <c r="G1942" s="67"/>
      <c r="H1942" s="71"/>
      <c r="I1942" s="72"/>
      <c r="J1942" s="72"/>
      <c r="K1942" s="36"/>
      <c r="L1942" s="79"/>
      <c r="M1942" s="79"/>
      <c r="N1942" s="74"/>
      <c r="O1942" s="81" t="s">
        <v>693</v>
      </c>
      <c r="P1942" s="83">
        <v>44468.39162037037</v>
      </c>
      <c r="Q1942" s="81" t="s">
        <v>5272</v>
      </c>
      <c r="R1942" s="84" t="str">
        <f>HYPERLINK("https://www.gov.br/anvisa/pt-br/assuntos/fiscalizacao-e-monitoramento/notificacoes/vigimed/")</f>
        <v>https://www.gov.br/anvisa/pt-br/assuntos/fiscalizacao-e-monitoramento/notificacoes/vigimed/</v>
      </c>
      <c r="S1942" s="81" t="s">
        <v>5686</v>
      </c>
      <c r="T1942" s="81"/>
      <c r="U1942" s="81"/>
      <c r="V1942" s="84" t="str">
        <f>HYPERLINK("https://pbs.twimg.com/profile_images/1440522737202581517/TTFvJ4Zb_normal.jpg")</f>
        <v>https://pbs.twimg.com/profile_images/1440522737202581517/TTFvJ4Zb_normal.jpg</v>
      </c>
      <c r="W1942" s="83">
        <v>44468.39162037037</v>
      </c>
      <c r="X1942" s="89">
        <v>44468</v>
      </c>
      <c r="Y1942" s="86" t="s">
        <v>12904</v>
      </c>
      <c r="Z1942" s="84" t="str">
        <f>HYPERLINK("https://twitter.com/julyannewy/status/1443144501686571009")</f>
        <v>https://twitter.com/julyannewy/status/1443144501686571009</v>
      </c>
      <c r="AA1942" s="81"/>
      <c r="AB1942" s="81"/>
      <c r="AC1942" s="86" t="s">
        <v>13141</v>
      </c>
      <c r="AD1942" s="81"/>
      <c r="AE1942" s="81" t="b">
        <v>0</v>
      </c>
      <c r="AF1942" s="81">
        <v>0</v>
      </c>
      <c r="AG1942" s="86" t="s">
        <v>2084</v>
      </c>
      <c r="AH1942" s="81" t="b">
        <v>0</v>
      </c>
      <c r="AI1942" s="81" t="s">
        <v>2171</v>
      </c>
      <c r="AJ1942" s="81"/>
      <c r="AK1942" s="86" t="s">
        <v>2084</v>
      </c>
      <c r="AL1942" s="81" t="b">
        <v>0</v>
      </c>
      <c r="AM1942" s="81">
        <v>1497</v>
      </c>
      <c r="AN1942" s="86" t="s">
        <v>7047</v>
      </c>
      <c r="AO1942" s="86" t="s">
        <v>2178</v>
      </c>
      <c r="AP1942" s="81" t="b">
        <v>0</v>
      </c>
      <c r="AQ1942" s="86" t="s">
        <v>7047</v>
      </c>
      <c r="AR1942" s="81" t="s">
        <v>179</v>
      </c>
      <c r="AS1942" s="81">
        <v>0</v>
      </c>
      <c r="AT1942" s="81">
        <v>0</v>
      </c>
      <c r="AU1942" s="81"/>
      <c r="AV1942" s="81"/>
      <c r="AW1942" s="81"/>
      <c r="AX1942" s="81"/>
      <c r="AY1942" s="81"/>
      <c r="AZ1942" s="81"/>
      <c r="BA1942" s="81"/>
      <c r="BB1942" s="81"/>
    </row>
    <row r="1943" spans="1:54" x14ac:dyDescent="0.35">
      <c r="A1943" s="66" t="s">
        <v>595</v>
      </c>
      <c r="B1943" s="66" t="s">
        <v>595</v>
      </c>
      <c r="C1943" s="67"/>
      <c r="D1943" s="68"/>
      <c r="E1943" s="69"/>
      <c r="F1943" s="70"/>
      <c r="G1943" s="67"/>
      <c r="H1943" s="71"/>
      <c r="I1943" s="72"/>
      <c r="J1943" s="72"/>
      <c r="K1943" s="36"/>
      <c r="L1943" s="79"/>
      <c r="M1943" s="79"/>
      <c r="N1943" s="74"/>
      <c r="O1943" s="81" t="s">
        <v>179</v>
      </c>
      <c r="P1943" s="83">
        <v>44467.1799537037</v>
      </c>
      <c r="Q1943" s="81" t="s">
        <v>927</v>
      </c>
      <c r="R1943" s="81"/>
      <c r="S1943" s="81"/>
      <c r="T1943" s="86" t="s">
        <v>1009</v>
      </c>
      <c r="U1943" s="84" t="str">
        <f>HYPERLINK("https://pbs.twimg.com/media/FAWE6X1UUAMJYqy.jpg")</f>
        <v>https://pbs.twimg.com/media/FAWE6X1UUAMJYqy.jpg</v>
      </c>
      <c r="V1943" s="84" t="str">
        <f>HYPERLINK("https://pbs.twimg.com/media/FAWE6X1UUAMJYqy.jpg")</f>
        <v>https://pbs.twimg.com/media/FAWE6X1UUAMJYqy.jpg</v>
      </c>
      <c r="W1943" s="83">
        <v>44467.1799537037</v>
      </c>
      <c r="X1943" s="89">
        <v>44467</v>
      </c>
      <c r="Y1943" s="86" t="s">
        <v>1506</v>
      </c>
      <c r="Z1943" s="84" t="str">
        <f>HYPERLINK("https://twitter.com/asabri_official/status/1442705409127575560")</f>
        <v>https://twitter.com/asabri_official/status/1442705409127575560</v>
      </c>
      <c r="AA1943" s="81"/>
      <c r="AB1943" s="81"/>
      <c r="AC1943" s="86" t="s">
        <v>2004</v>
      </c>
      <c r="AD1943" s="86" t="s">
        <v>2083</v>
      </c>
      <c r="AE1943" s="81" t="b">
        <v>0</v>
      </c>
      <c r="AF1943" s="81">
        <v>0</v>
      </c>
      <c r="AG1943" s="86" t="s">
        <v>2166</v>
      </c>
      <c r="AH1943" s="81" t="b">
        <v>0</v>
      </c>
      <c r="AI1943" s="81" t="s">
        <v>2167</v>
      </c>
      <c r="AJ1943" s="81"/>
      <c r="AK1943" s="86" t="s">
        <v>2084</v>
      </c>
      <c r="AL1943" s="81" t="b">
        <v>0</v>
      </c>
      <c r="AM1943" s="81">
        <v>0</v>
      </c>
      <c r="AN1943" s="86" t="s">
        <v>2084</v>
      </c>
      <c r="AO1943" s="86" t="s">
        <v>2179</v>
      </c>
      <c r="AP1943" s="81" t="b">
        <v>0</v>
      </c>
      <c r="AQ1943" s="86" t="s">
        <v>2083</v>
      </c>
      <c r="AR1943" s="81" t="s">
        <v>179</v>
      </c>
      <c r="AS1943" s="81">
        <v>0</v>
      </c>
      <c r="AT1943" s="81">
        <v>0</v>
      </c>
      <c r="AU1943" s="81"/>
      <c r="AV1943" s="81"/>
      <c r="AW1943" s="81"/>
      <c r="AX1943" s="81"/>
      <c r="AY1943" s="81"/>
      <c r="AZ1943" s="81"/>
      <c r="BA1943" s="81"/>
      <c r="BB1943" s="81"/>
    </row>
    <row r="1944" spans="1:54" x14ac:dyDescent="0.35">
      <c r="A1944" s="66" t="s">
        <v>595</v>
      </c>
      <c r="B1944" s="66" t="s">
        <v>595</v>
      </c>
      <c r="C1944" s="67"/>
      <c r="D1944" s="68"/>
      <c r="E1944" s="69"/>
      <c r="F1944" s="70"/>
      <c r="G1944" s="67"/>
      <c r="H1944" s="71"/>
      <c r="I1944" s="72"/>
      <c r="J1944" s="72"/>
      <c r="K1944" s="36"/>
      <c r="L1944" s="79"/>
      <c r="M1944" s="79"/>
      <c r="N1944" s="74"/>
      <c r="O1944" s="81" t="s">
        <v>179</v>
      </c>
      <c r="P1944" s="83">
        <v>44468.079016203701</v>
      </c>
      <c r="Q1944" s="81" t="s">
        <v>5641</v>
      </c>
      <c r="R1944" s="81"/>
      <c r="S1944" s="81"/>
      <c r="T1944" s="86" t="s">
        <v>1009</v>
      </c>
      <c r="U1944" s="84" t="str">
        <f>HYPERLINK("https://pbs.twimg.com/media/FAatPiQVQAAP2ER.jpg")</f>
        <v>https://pbs.twimg.com/media/FAatPiQVQAAP2ER.jpg</v>
      </c>
      <c r="V1944" s="84" t="str">
        <f>HYPERLINK("https://pbs.twimg.com/media/FAatPiQVQAAP2ER.jpg")</f>
        <v>https://pbs.twimg.com/media/FAatPiQVQAAP2ER.jpg</v>
      </c>
      <c r="W1944" s="83">
        <v>44468.079016203701</v>
      </c>
      <c r="X1944" s="89">
        <v>44468</v>
      </c>
      <c r="Y1944" s="86" t="s">
        <v>6635</v>
      </c>
      <c r="Z1944" s="84" t="str">
        <f>HYPERLINK("https://twitter.com/asabri_official/status/1443031218295959553")</f>
        <v>https://twitter.com/asabri_official/status/1443031218295959553</v>
      </c>
      <c r="AA1944" s="81"/>
      <c r="AB1944" s="81"/>
      <c r="AC1944" s="86" t="s">
        <v>7559</v>
      </c>
      <c r="AD1944" s="86" t="s">
        <v>7773</v>
      </c>
      <c r="AE1944" s="81" t="b">
        <v>0</v>
      </c>
      <c r="AF1944" s="81">
        <v>0</v>
      </c>
      <c r="AG1944" s="86" t="s">
        <v>2166</v>
      </c>
      <c r="AH1944" s="81" t="b">
        <v>0</v>
      </c>
      <c r="AI1944" s="81" t="s">
        <v>2167</v>
      </c>
      <c r="AJ1944" s="81"/>
      <c r="AK1944" s="86" t="s">
        <v>2084</v>
      </c>
      <c r="AL1944" s="81" t="b">
        <v>0</v>
      </c>
      <c r="AM1944" s="81">
        <v>0</v>
      </c>
      <c r="AN1944" s="86" t="s">
        <v>2084</v>
      </c>
      <c r="AO1944" s="86" t="s">
        <v>2179</v>
      </c>
      <c r="AP1944" s="81" t="b">
        <v>0</v>
      </c>
      <c r="AQ1944" s="86" t="s">
        <v>7773</v>
      </c>
      <c r="AR1944" s="81" t="s">
        <v>179</v>
      </c>
      <c r="AS1944" s="81">
        <v>0</v>
      </c>
      <c r="AT1944" s="81">
        <v>0</v>
      </c>
      <c r="AU1944" s="81"/>
      <c r="AV1944" s="81"/>
      <c r="AW1944" s="81"/>
      <c r="AX1944" s="81"/>
      <c r="AY1944" s="81"/>
      <c r="AZ1944" s="81"/>
      <c r="BA1944" s="81"/>
      <c r="BB1944" s="81"/>
    </row>
    <row r="1945" spans="1:54" x14ac:dyDescent="0.35">
      <c r="A1945" s="66" t="s">
        <v>595</v>
      </c>
      <c r="B1945" s="66" t="s">
        <v>595</v>
      </c>
      <c r="C1945" s="67"/>
      <c r="D1945" s="68"/>
      <c r="E1945" s="69"/>
      <c r="F1945" s="70"/>
      <c r="G1945" s="67"/>
      <c r="H1945" s="71"/>
      <c r="I1945" s="72"/>
      <c r="J1945" s="72"/>
      <c r="K1945" s="36"/>
      <c r="L1945" s="79"/>
      <c r="M1945" s="79"/>
      <c r="N1945" s="74"/>
      <c r="O1945" s="81" t="s">
        <v>179</v>
      </c>
      <c r="P1945" s="83">
        <v>44468.394999999997</v>
      </c>
      <c r="Q1945" s="81" t="s">
        <v>12759</v>
      </c>
      <c r="R1945" s="81"/>
      <c r="S1945" s="81"/>
      <c r="T1945" s="86" t="s">
        <v>1009</v>
      </c>
      <c r="U1945" s="84" t="str">
        <f>HYPERLINK("https://pbs.twimg.com/media/FAcVYlEVIAAebEC.jpg")</f>
        <v>https://pbs.twimg.com/media/FAcVYlEVIAAebEC.jpg</v>
      </c>
      <c r="V1945" s="84" t="str">
        <f>HYPERLINK("https://pbs.twimg.com/media/FAcVYlEVIAAebEC.jpg")</f>
        <v>https://pbs.twimg.com/media/FAcVYlEVIAAebEC.jpg</v>
      </c>
      <c r="W1945" s="83">
        <v>44468.394999999997</v>
      </c>
      <c r="X1945" s="89">
        <v>44468</v>
      </c>
      <c r="Y1945" s="86" t="s">
        <v>12905</v>
      </c>
      <c r="Z1945" s="84" t="str">
        <f>HYPERLINK("https://twitter.com/asabri_official/status/1443145728977604614")</f>
        <v>https://twitter.com/asabri_official/status/1443145728977604614</v>
      </c>
      <c r="AA1945" s="81"/>
      <c r="AB1945" s="81"/>
      <c r="AC1945" s="86" t="s">
        <v>13142</v>
      </c>
      <c r="AD1945" s="86" t="s">
        <v>13367</v>
      </c>
      <c r="AE1945" s="81" t="b">
        <v>0</v>
      </c>
      <c r="AF1945" s="81">
        <v>0</v>
      </c>
      <c r="AG1945" s="86" t="s">
        <v>2166</v>
      </c>
      <c r="AH1945" s="81" t="b">
        <v>0</v>
      </c>
      <c r="AI1945" s="81" t="s">
        <v>2167</v>
      </c>
      <c r="AJ1945" s="81"/>
      <c r="AK1945" s="86" t="s">
        <v>2084</v>
      </c>
      <c r="AL1945" s="81" t="b">
        <v>0</v>
      </c>
      <c r="AM1945" s="81">
        <v>0</v>
      </c>
      <c r="AN1945" s="86" t="s">
        <v>2084</v>
      </c>
      <c r="AO1945" s="86" t="s">
        <v>2179</v>
      </c>
      <c r="AP1945" s="81" t="b">
        <v>0</v>
      </c>
      <c r="AQ1945" s="86" t="s">
        <v>13367</v>
      </c>
      <c r="AR1945" s="81" t="s">
        <v>179</v>
      </c>
      <c r="AS1945" s="81">
        <v>0</v>
      </c>
      <c r="AT1945" s="81">
        <v>0</v>
      </c>
      <c r="AU1945" s="81"/>
      <c r="AV1945" s="81"/>
      <c r="AW1945" s="81"/>
      <c r="AX1945" s="81"/>
      <c r="AY1945" s="81"/>
      <c r="AZ1945" s="81"/>
      <c r="BA1945" s="81"/>
      <c r="BB1945" s="81"/>
    </row>
    <row r="1946" spans="1:54" x14ac:dyDescent="0.35">
      <c r="A1946" s="66" t="s">
        <v>12524</v>
      </c>
      <c r="B1946" s="66" t="s">
        <v>12524</v>
      </c>
      <c r="C1946" s="67"/>
      <c r="D1946" s="68"/>
      <c r="E1946" s="69"/>
      <c r="F1946" s="70"/>
      <c r="G1946" s="67"/>
      <c r="H1946" s="71"/>
      <c r="I1946" s="72"/>
      <c r="J1946" s="72"/>
      <c r="K1946" s="36"/>
      <c r="L1946" s="79"/>
      <c r="M1946" s="79"/>
      <c r="N1946" s="74"/>
      <c r="O1946" s="81" t="s">
        <v>179</v>
      </c>
      <c r="P1946" s="83">
        <v>44468.399108796293</v>
      </c>
      <c r="Q1946" s="81" t="s">
        <v>12760</v>
      </c>
      <c r="R1946" s="84" t="str">
        <f>HYPERLINK("https://www.beritasatu.com/ekonomi/834209/motionbanking-gandeng-pt-pos-sediakan-layanan-setor-tarik-tunai-tanpa-kartu")</f>
        <v>https://www.beritasatu.com/ekonomi/834209/motionbanking-gandeng-pt-pos-sediakan-layanan-setor-tarik-tunai-tanpa-kartu</v>
      </c>
      <c r="S1946" s="81" t="s">
        <v>12848</v>
      </c>
      <c r="T1946" s="86" t="s">
        <v>12864</v>
      </c>
      <c r="U1946" s="81"/>
      <c r="V1946" s="84" t="str">
        <f>HYPERLINK("https://pbs.twimg.com/profile_images/1101078918545600512/RkJnUwdY_normal.png")</f>
        <v>https://pbs.twimg.com/profile_images/1101078918545600512/RkJnUwdY_normal.png</v>
      </c>
      <c r="W1946" s="83">
        <v>44468.399108796293</v>
      </c>
      <c r="X1946" s="89">
        <v>44468</v>
      </c>
      <c r="Y1946" s="86" t="s">
        <v>12906</v>
      </c>
      <c r="Z1946" s="84" t="str">
        <f>HYPERLINK("https://twitter.com/beritasatu/status/1443147216290340865")</f>
        <v>https://twitter.com/beritasatu/status/1443147216290340865</v>
      </c>
      <c r="AA1946" s="81"/>
      <c r="AB1946" s="81"/>
      <c r="AC1946" s="86" t="s">
        <v>13143</v>
      </c>
      <c r="AD1946" s="81"/>
      <c r="AE1946" s="81" t="b">
        <v>0</v>
      </c>
      <c r="AF1946" s="81">
        <v>0</v>
      </c>
      <c r="AG1946" s="86" t="s">
        <v>2084</v>
      </c>
      <c r="AH1946" s="81" t="b">
        <v>0</v>
      </c>
      <c r="AI1946" s="81" t="s">
        <v>2167</v>
      </c>
      <c r="AJ1946" s="81"/>
      <c r="AK1946" s="86" t="s">
        <v>2084</v>
      </c>
      <c r="AL1946" s="81" t="b">
        <v>0</v>
      </c>
      <c r="AM1946" s="81">
        <v>0</v>
      </c>
      <c r="AN1946" s="86" t="s">
        <v>2084</v>
      </c>
      <c r="AO1946" s="86" t="s">
        <v>2181</v>
      </c>
      <c r="AP1946" s="81" t="b">
        <v>0</v>
      </c>
      <c r="AQ1946" s="86" t="s">
        <v>13143</v>
      </c>
      <c r="AR1946" s="81" t="s">
        <v>179</v>
      </c>
      <c r="AS1946" s="81">
        <v>0</v>
      </c>
      <c r="AT1946" s="81">
        <v>0</v>
      </c>
      <c r="AU1946" s="81"/>
      <c r="AV1946" s="81"/>
      <c r="AW1946" s="81"/>
      <c r="AX1946" s="81"/>
      <c r="AY1946" s="81"/>
      <c r="AZ1946" s="81"/>
      <c r="BA1946" s="81"/>
      <c r="BB1946" s="81"/>
    </row>
    <row r="1947" spans="1:54" x14ac:dyDescent="0.35">
      <c r="A1947" s="66" t="s">
        <v>12525</v>
      </c>
      <c r="B1947" s="66" t="s">
        <v>12525</v>
      </c>
      <c r="C1947" s="67"/>
      <c r="D1947" s="68"/>
      <c r="E1947" s="69"/>
      <c r="F1947" s="70"/>
      <c r="G1947" s="67"/>
      <c r="H1947" s="71"/>
      <c r="I1947" s="72"/>
      <c r="J1947" s="72"/>
      <c r="K1947" s="36"/>
      <c r="L1947" s="79"/>
      <c r="M1947" s="79"/>
      <c r="N1947" s="74"/>
      <c r="O1947" s="81" t="s">
        <v>179</v>
      </c>
      <c r="P1947" s="83">
        <v>44468.399895833332</v>
      </c>
      <c r="Q1947" s="81" t="s">
        <v>12761</v>
      </c>
      <c r="R1947" s="84" t="str">
        <f>HYPERLINK("https://shifter.pt/2021/09/a-aceleracao-do-tempo-pos-modernidade/")</f>
        <v>https://shifter.pt/2021/09/a-aceleracao-do-tempo-pos-modernidade/</v>
      </c>
      <c r="S1947" s="81" t="s">
        <v>5753</v>
      </c>
      <c r="T1947" s="81"/>
      <c r="U1947" s="81"/>
      <c r="V1947" s="84" t="str">
        <f>HYPERLINK("https://pbs.twimg.com/profile_images/1240285042678681610/OdbE1Ebo_normal.jpg")</f>
        <v>https://pbs.twimg.com/profile_images/1240285042678681610/OdbE1Ebo_normal.jpg</v>
      </c>
      <c r="W1947" s="83">
        <v>44468.399895833332</v>
      </c>
      <c r="X1947" s="89">
        <v>44468</v>
      </c>
      <c r="Y1947" s="86" t="s">
        <v>12907</v>
      </c>
      <c r="Z1947" s="84" t="str">
        <f>HYPERLINK("https://twitter.com/jopintopt/status/1443147502203641859")</f>
        <v>https://twitter.com/jopintopt/status/1443147502203641859</v>
      </c>
      <c r="AA1947" s="81"/>
      <c r="AB1947" s="81"/>
      <c r="AC1947" s="86" t="s">
        <v>13144</v>
      </c>
      <c r="AD1947" s="81"/>
      <c r="AE1947" s="81" t="b">
        <v>0</v>
      </c>
      <c r="AF1947" s="81">
        <v>0</v>
      </c>
      <c r="AG1947" s="86" t="s">
        <v>2084</v>
      </c>
      <c r="AH1947" s="81" t="b">
        <v>0</v>
      </c>
      <c r="AI1947" s="81" t="s">
        <v>2171</v>
      </c>
      <c r="AJ1947" s="81"/>
      <c r="AK1947" s="86" t="s">
        <v>2084</v>
      </c>
      <c r="AL1947" s="81" t="b">
        <v>0</v>
      </c>
      <c r="AM1947" s="81">
        <v>0</v>
      </c>
      <c r="AN1947" s="86" t="s">
        <v>2084</v>
      </c>
      <c r="AO1947" s="86" t="s">
        <v>2181</v>
      </c>
      <c r="AP1947" s="81" t="b">
        <v>0</v>
      </c>
      <c r="AQ1947" s="86" t="s">
        <v>13144</v>
      </c>
      <c r="AR1947" s="81" t="s">
        <v>179</v>
      </c>
      <c r="AS1947" s="81">
        <v>0</v>
      </c>
      <c r="AT1947" s="81">
        <v>0</v>
      </c>
      <c r="AU1947" s="81"/>
      <c r="AV1947" s="81"/>
      <c r="AW1947" s="81"/>
      <c r="AX1947" s="81"/>
      <c r="AY1947" s="81"/>
      <c r="AZ1947" s="81"/>
      <c r="BA1947" s="81"/>
      <c r="BB1947" s="81"/>
    </row>
    <row r="1948" spans="1:54" x14ac:dyDescent="0.35">
      <c r="A1948" s="66" t="s">
        <v>12526</v>
      </c>
      <c r="B1948" s="66" t="s">
        <v>12677</v>
      </c>
      <c r="C1948" s="67"/>
      <c r="D1948" s="68"/>
      <c r="E1948" s="69"/>
      <c r="F1948" s="70"/>
      <c r="G1948" s="67"/>
      <c r="H1948" s="71"/>
      <c r="I1948" s="72"/>
      <c r="J1948" s="72"/>
      <c r="K1948" s="36"/>
      <c r="L1948" s="79"/>
      <c r="M1948" s="79"/>
      <c r="N1948" s="74"/>
      <c r="O1948" s="81" t="s">
        <v>695</v>
      </c>
      <c r="P1948" s="83">
        <v>44468.40185185185</v>
      </c>
      <c r="Q1948" s="81" t="s">
        <v>12762</v>
      </c>
      <c r="R1948" s="81"/>
      <c r="S1948" s="81"/>
      <c r="T1948" s="81"/>
      <c r="U1948" s="81"/>
      <c r="V1948" s="84" t="str">
        <f>HYPERLINK("https://pbs.twimg.com/profile_images/1371794831786213380/dy0eKO3I_normal.jpg")</f>
        <v>https://pbs.twimg.com/profile_images/1371794831786213380/dy0eKO3I_normal.jpg</v>
      </c>
      <c r="W1948" s="83">
        <v>44468.40185185185</v>
      </c>
      <c r="X1948" s="89">
        <v>44468</v>
      </c>
      <c r="Y1948" s="86" t="s">
        <v>12908</v>
      </c>
      <c r="Z1948" s="84" t="str">
        <f>HYPERLINK("https://twitter.com/lamalif24/status/1443148211103830020")</f>
        <v>https://twitter.com/lamalif24/status/1443148211103830020</v>
      </c>
      <c r="AA1948" s="81"/>
      <c r="AB1948" s="81"/>
      <c r="AC1948" s="86" t="s">
        <v>13145</v>
      </c>
      <c r="AD1948" s="86" t="s">
        <v>13368</v>
      </c>
      <c r="AE1948" s="81" t="b">
        <v>0</v>
      </c>
      <c r="AF1948" s="81">
        <v>0</v>
      </c>
      <c r="AG1948" s="86" t="s">
        <v>13409</v>
      </c>
      <c r="AH1948" s="81" t="b">
        <v>0</v>
      </c>
      <c r="AI1948" s="81" t="s">
        <v>2167</v>
      </c>
      <c r="AJ1948" s="81"/>
      <c r="AK1948" s="86" t="s">
        <v>2084</v>
      </c>
      <c r="AL1948" s="81" t="b">
        <v>0</v>
      </c>
      <c r="AM1948" s="81">
        <v>0</v>
      </c>
      <c r="AN1948" s="86" t="s">
        <v>2084</v>
      </c>
      <c r="AO1948" s="86" t="s">
        <v>2178</v>
      </c>
      <c r="AP1948" s="81" t="b">
        <v>0</v>
      </c>
      <c r="AQ1948" s="86" t="s">
        <v>13368</v>
      </c>
      <c r="AR1948" s="81" t="s">
        <v>179</v>
      </c>
      <c r="AS1948" s="81">
        <v>0</v>
      </c>
      <c r="AT1948" s="81">
        <v>0</v>
      </c>
      <c r="AU1948" s="81"/>
      <c r="AV1948" s="81"/>
      <c r="AW1948" s="81"/>
      <c r="AX1948" s="81"/>
      <c r="AY1948" s="81"/>
      <c r="AZ1948" s="81"/>
      <c r="BA1948" s="81"/>
      <c r="BB1948" s="81"/>
    </row>
    <row r="1949" spans="1:54" x14ac:dyDescent="0.35">
      <c r="A1949" s="66" t="s">
        <v>12527</v>
      </c>
      <c r="B1949" s="66" t="s">
        <v>12678</v>
      </c>
      <c r="C1949" s="67"/>
      <c r="D1949" s="68"/>
      <c r="E1949" s="69"/>
      <c r="F1949" s="70"/>
      <c r="G1949" s="67"/>
      <c r="H1949" s="71"/>
      <c r="I1949" s="72"/>
      <c r="J1949" s="72"/>
      <c r="K1949" s="36"/>
      <c r="L1949" s="79"/>
      <c r="M1949" s="79"/>
      <c r="N1949" s="74"/>
      <c r="O1949" s="81" t="s">
        <v>696</v>
      </c>
      <c r="P1949" s="83">
        <v>44468.404097222221</v>
      </c>
      <c r="Q1949" s="81" t="s">
        <v>12763</v>
      </c>
      <c r="R1949" s="81"/>
      <c r="S1949" s="81"/>
      <c r="T1949" s="81"/>
      <c r="U1949" s="81"/>
      <c r="V1949" s="84" t="str">
        <f>HYPERLINK("https://pbs.twimg.com/profile_images/1357099911532208129/JIVYSsxt_normal.jpg")</f>
        <v>https://pbs.twimg.com/profile_images/1357099911532208129/JIVYSsxt_normal.jpg</v>
      </c>
      <c r="W1949" s="83">
        <v>44468.404097222221</v>
      </c>
      <c r="X1949" s="89">
        <v>44468</v>
      </c>
      <c r="Y1949" s="86" t="s">
        <v>12909</v>
      </c>
      <c r="Z1949" s="84" t="str">
        <f>HYPERLINK("https://twitter.com/cezarkr/status/1443149026334056451")</f>
        <v>https://twitter.com/cezarkr/status/1443149026334056451</v>
      </c>
      <c r="AA1949" s="81"/>
      <c r="AB1949" s="81"/>
      <c r="AC1949" s="86" t="s">
        <v>13146</v>
      </c>
      <c r="AD1949" s="86" t="s">
        <v>13369</v>
      </c>
      <c r="AE1949" s="81" t="b">
        <v>0</v>
      </c>
      <c r="AF1949" s="81">
        <v>0</v>
      </c>
      <c r="AG1949" s="86" t="s">
        <v>13410</v>
      </c>
      <c r="AH1949" s="81" t="b">
        <v>0</v>
      </c>
      <c r="AI1949" s="81" t="s">
        <v>2171</v>
      </c>
      <c r="AJ1949" s="81"/>
      <c r="AK1949" s="86" t="s">
        <v>2084</v>
      </c>
      <c r="AL1949" s="81" t="b">
        <v>0</v>
      </c>
      <c r="AM1949" s="81">
        <v>0</v>
      </c>
      <c r="AN1949" s="86" t="s">
        <v>2084</v>
      </c>
      <c r="AO1949" s="86" t="s">
        <v>2178</v>
      </c>
      <c r="AP1949" s="81" t="b">
        <v>0</v>
      </c>
      <c r="AQ1949" s="86" t="s">
        <v>13369</v>
      </c>
      <c r="AR1949" s="81" t="s">
        <v>179</v>
      </c>
      <c r="AS1949" s="81">
        <v>0</v>
      </c>
      <c r="AT1949" s="81">
        <v>0</v>
      </c>
      <c r="AU1949" s="81"/>
      <c r="AV1949" s="81"/>
      <c r="AW1949" s="81"/>
      <c r="AX1949" s="81"/>
      <c r="AY1949" s="81"/>
      <c r="AZ1949" s="81"/>
      <c r="BA1949" s="81"/>
      <c r="BB1949" s="81"/>
    </row>
    <row r="1950" spans="1:54" x14ac:dyDescent="0.35">
      <c r="A1950" s="66" t="s">
        <v>12527</v>
      </c>
      <c r="B1950" s="66" t="s">
        <v>12679</v>
      </c>
      <c r="C1950" s="67"/>
      <c r="D1950" s="68"/>
      <c r="E1950" s="69"/>
      <c r="F1950" s="70"/>
      <c r="G1950" s="67"/>
      <c r="H1950" s="71"/>
      <c r="I1950" s="72"/>
      <c r="J1950" s="72"/>
      <c r="K1950" s="36"/>
      <c r="L1950" s="79"/>
      <c r="M1950" s="79"/>
      <c r="N1950" s="74"/>
      <c r="O1950" s="81" t="s">
        <v>696</v>
      </c>
      <c r="P1950" s="83">
        <v>44468.404097222221</v>
      </c>
      <c r="Q1950" s="81" t="s">
        <v>12763</v>
      </c>
      <c r="R1950" s="81"/>
      <c r="S1950" s="81"/>
      <c r="T1950" s="81"/>
      <c r="U1950" s="81"/>
      <c r="V1950" s="84" t="str">
        <f>HYPERLINK("https://pbs.twimg.com/profile_images/1357099911532208129/JIVYSsxt_normal.jpg")</f>
        <v>https://pbs.twimg.com/profile_images/1357099911532208129/JIVYSsxt_normal.jpg</v>
      </c>
      <c r="W1950" s="83">
        <v>44468.404097222221</v>
      </c>
      <c r="X1950" s="89">
        <v>44468</v>
      </c>
      <c r="Y1950" s="86" t="s">
        <v>12909</v>
      </c>
      <c r="Z1950" s="84" t="str">
        <f>HYPERLINK("https://twitter.com/cezarkr/status/1443149026334056451")</f>
        <v>https://twitter.com/cezarkr/status/1443149026334056451</v>
      </c>
      <c r="AA1950" s="81"/>
      <c r="AB1950" s="81"/>
      <c r="AC1950" s="86" t="s">
        <v>13146</v>
      </c>
      <c r="AD1950" s="86" t="s">
        <v>13369</v>
      </c>
      <c r="AE1950" s="81" t="b">
        <v>0</v>
      </c>
      <c r="AF1950" s="81">
        <v>0</v>
      </c>
      <c r="AG1950" s="86" t="s">
        <v>13410</v>
      </c>
      <c r="AH1950" s="81" t="b">
        <v>0</v>
      </c>
      <c r="AI1950" s="81" t="s">
        <v>2171</v>
      </c>
      <c r="AJ1950" s="81"/>
      <c r="AK1950" s="86" t="s">
        <v>2084</v>
      </c>
      <c r="AL1950" s="81" t="b">
        <v>0</v>
      </c>
      <c r="AM1950" s="81">
        <v>0</v>
      </c>
      <c r="AN1950" s="86" t="s">
        <v>2084</v>
      </c>
      <c r="AO1950" s="86" t="s">
        <v>2178</v>
      </c>
      <c r="AP1950" s="81" t="b">
        <v>0</v>
      </c>
      <c r="AQ1950" s="86" t="s">
        <v>13369</v>
      </c>
      <c r="AR1950" s="81" t="s">
        <v>179</v>
      </c>
      <c r="AS1950" s="81">
        <v>0</v>
      </c>
      <c r="AT1950" s="81">
        <v>0</v>
      </c>
      <c r="AU1950" s="81"/>
      <c r="AV1950" s="81"/>
      <c r="AW1950" s="81"/>
      <c r="AX1950" s="81"/>
      <c r="AY1950" s="81"/>
      <c r="AZ1950" s="81"/>
      <c r="BA1950" s="81"/>
      <c r="BB1950" s="81"/>
    </row>
    <row r="1951" spans="1:54" x14ac:dyDescent="0.35">
      <c r="A1951" s="66" t="s">
        <v>12527</v>
      </c>
      <c r="B1951" s="66" t="s">
        <v>12680</v>
      </c>
      <c r="C1951" s="67"/>
      <c r="D1951" s="68"/>
      <c r="E1951" s="69"/>
      <c r="F1951" s="70"/>
      <c r="G1951" s="67"/>
      <c r="H1951" s="71"/>
      <c r="I1951" s="72"/>
      <c r="J1951" s="72"/>
      <c r="K1951" s="36"/>
      <c r="L1951" s="79"/>
      <c r="M1951" s="79"/>
      <c r="N1951" s="74"/>
      <c r="O1951" s="81" t="s">
        <v>696</v>
      </c>
      <c r="P1951" s="83">
        <v>44468.404097222221</v>
      </c>
      <c r="Q1951" s="81" t="s">
        <v>12763</v>
      </c>
      <c r="R1951" s="81"/>
      <c r="S1951" s="81"/>
      <c r="T1951" s="81"/>
      <c r="U1951" s="81"/>
      <c r="V1951" s="84" t="str">
        <f>HYPERLINK("https://pbs.twimg.com/profile_images/1357099911532208129/JIVYSsxt_normal.jpg")</f>
        <v>https://pbs.twimg.com/profile_images/1357099911532208129/JIVYSsxt_normal.jpg</v>
      </c>
      <c r="W1951" s="83">
        <v>44468.404097222221</v>
      </c>
      <c r="X1951" s="89">
        <v>44468</v>
      </c>
      <c r="Y1951" s="86" t="s">
        <v>12909</v>
      </c>
      <c r="Z1951" s="84" t="str">
        <f>HYPERLINK("https://twitter.com/cezarkr/status/1443149026334056451")</f>
        <v>https://twitter.com/cezarkr/status/1443149026334056451</v>
      </c>
      <c r="AA1951" s="81"/>
      <c r="AB1951" s="81"/>
      <c r="AC1951" s="86" t="s">
        <v>13146</v>
      </c>
      <c r="AD1951" s="86" t="s">
        <v>13369</v>
      </c>
      <c r="AE1951" s="81" t="b">
        <v>0</v>
      </c>
      <c r="AF1951" s="81">
        <v>0</v>
      </c>
      <c r="AG1951" s="86" t="s">
        <v>13410</v>
      </c>
      <c r="AH1951" s="81" t="b">
        <v>0</v>
      </c>
      <c r="AI1951" s="81" t="s">
        <v>2171</v>
      </c>
      <c r="AJ1951" s="81"/>
      <c r="AK1951" s="86" t="s">
        <v>2084</v>
      </c>
      <c r="AL1951" s="81" t="b">
        <v>0</v>
      </c>
      <c r="AM1951" s="81">
        <v>0</v>
      </c>
      <c r="AN1951" s="86" t="s">
        <v>2084</v>
      </c>
      <c r="AO1951" s="86" t="s">
        <v>2178</v>
      </c>
      <c r="AP1951" s="81" t="b">
        <v>0</v>
      </c>
      <c r="AQ1951" s="86" t="s">
        <v>13369</v>
      </c>
      <c r="AR1951" s="81" t="s">
        <v>179</v>
      </c>
      <c r="AS1951" s="81">
        <v>0</v>
      </c>
      <c r="AT1951" s="81">
        <v>0</v>
      </c>
      <c r="AU1951" s="81"/>
      <c r="AV1951" s="81"/>
      <c r="AW1951" s="81"/>
      <c r="AX1951" s="81"/>
      <c r="AY1951" s="81"/>
      <c r="AZ1951" s="81"/>
      <c r="BA1951" s="81"/>
      <c r="BB1951" s="81"/>
    </row>
    <row r="1952" spans="1:54" x14ac:dyDescent="0.35">
      <c r="A1952" s="66" t="s">
        <v>12527</v>
      </c>
      <c r="B1952" s="66" t="s">
        <v>12681</v>
      </c>
      <c r="C1952" s="67"/>
      <c r="D1952" s="68"/>
      <c r="E1952" s="69"/>
      <c r="F1952" s="70"/>
      <c r="G1952" s="67"/>
      <c r="H1952" s="71"/>
      <c r="I1952" s="72"/>
      <c r="J1952" s="72"/>
      <c r="K1952" s="36"/>
      <c r="L1952" s="79"/>
      <c r="M1952" s="79"/>
      <c r="N1952" s="74"/>
      <c r="O1952" s="81" t="s">
        <v>695</v>
      </c>
      <c r="P1952" s="83">
        <v>44468.404097222221</v>
      </c>
      <c r="Q1952" s="81" t="s">
        <v>12763</v>
      </c>
      <c r="R1952" s="81"/>
      <c r="S1952" s="81"/>
      <c r="T1952" s="81"/>
      <c r="U1952" s="81"/>
      <c r="V1952" s="84" t="str">
        <f>HYPERLINK("https://pbs.twimg.com/profile_images/1357099911532208129/JIVYSsxt_normal.jpg")</f>
        <v>https://pbs.twimg.com/profile_images/1357099911532208129/JIVYSsxt_normal.jpg</v>
      </c>
      <c r="W1952" s="83">
        <v>44468.404097222221</v>
      </c>
      <c r="X1952" s="89">
        <v>44468</v>
      </c>
      <c r="Y1952" s="86" t="s">
        <v>12909</v>
      </c>
      <c r="Z1952" s="84" t="str">
        <f>HYPERLINK("https://twitter.com/cezarkr/status/1443149026334056451")</f>
        <v>https://twitter.com/cezarkr/status/1443149026334056451</v>
      </c>
      <c r="AA1952" s="81"/>
      <c r="AB1952" s="81"/>
      <c r="AC1952" s="86" t="s">
        <v>13146</v>
      </c>
      <c r="AD1952" s="86" t="s">
        <v>13369</v>
      </c>
      <c r="AE1952" s="81" t="b">
        <v>0</v>
      </c>
      <c r="AF1952" s="81">
        <v>0</v>
      </c>
      <c r="AG1952" s="86" t="s">
        <v>13410</v>
      </c>
      <c r="AH1952" s="81" t="b">
        <v>0</v>
      </c>
      <c r="AI1952" s="81" t="s">
        <v>2171</v>
      </c>
      <c r="AJ1952" s="81"/>
      <c r="AK1952" s="86" t="s">
        <v>2084</v>
      </c>
      <c r="AL1952" s="81" t="b">
        <v>0</v>
      </c>
      <c r="AM1952" s="81">
        <v>0</v>
      </c>
      <c r="AN1952" s="86" t="s">
        <v>2084</v>
      </c>
      <c r="AO1952" s="86" t="s">
        <v>2178</v>
      </c>
      <c r="AP1952" s="81" t="b">
        <v>0</v>
      </c>
      <c r="AQ1952" s="86" t="s">
        <v>13369</v>
      </c>
      <c r="AR1952" s="81" t="s">
        <v>179</v>
      </c>
      <c r="AS1952" s="81">
        <v>0</v>
      </c>
      <c r="AT1952" s="81">
        <v>0</v>
      </c>
      <c r="AU1952" s="81"/>
      <c r="AV1952" s="81"/>
      <c r="AW1952" s="81"/>
      <c r="AX1952" s="81"/>
      <c r="AY1952" s="81"/>
      <c r="AZ1952" s="81"/>
      <c r="BA1952" s="81"/>
      <c r="BB1952" s="81"/>
    </row>
    <row r="1953" spans="1:54" x14ac:dyDescent="0.35">
      <c r="A1953" s="66" t="s">
        <v>12528</v>
      </c>
      <c r="B1953" s="66" t="s">
        <v>12682</v>
      </c>
      <c r="C1953" s="67"/>
      <c r="D1953" s="68"/>
      <c r="E1953" s="69"/>
      <c r="F1953" s="70"/>
      <c r="G1953" s="67"/>
      <c r="H1953" s="71"/>
      <c r="I1953" s="72"/>
      <c r="J1953" s="72"/>
      <c r="K1953" s="36"/>
      <c r="L1953" s="79"/>
      <c r="M1953" s="79"/>
      <c r="N1953" s="74"/>
      <c r="O1953" s="81" t="s">
        <v>695</v>
      </c>
      <c r="P1953" s="83">
        <v>44468.412280092591</v>
      </c>
      <c r="Q1953" s="81" t="s">
        <v>12764</v>
      </c>
      <c r="R1953" s="81"/>
      <c r="S1953" s="81"/>
      <c r="T1953" s="81"/>
      <c r="U1953" s="81"/>
      <c r="V1953" s="84" t="str">
        <f>HYPERLINK("https://pbs.twimg.com/profile_images/1067752624043114498/wCNF8vYi_normal.jpg")</f>
        <v>https://pbs.twimg.com/profile_images/1067752624043114498/wCNF8vYi_normal.jpg</v>
      </c>
      <c r="W1953" s="83">
        <v>44468.412280092591</v>
      </c>
      <c r="X1953" s="89">
        <v>44468</v>
      </c>
      <c r="Y1953" s="86" t="s">
        <v>12910</v>
      </c>
      <c r="Z1953" s="84" t="str">
        <f>HYPERLINK("https://twitter.com/sheikhkhan3/status/1443151988254855170")</f>
        <v>https://twitter.com/sheikhkhan3/status/1443151988254855170</v>
      </c>
      <c r="AA1953" s="81"/>
      <c r="AB1953" s="81"/>
      <c r="AC1953" s="86" t="s">
        <v>13147</v>
      </c>
      <c r="AD1953" s="86" t="s">
        <v>13370</v>
      </c>
      <c r="AE1953" s="81" t="b">
        <v>0</v>
      </c>
      <c r="AF1953" s="81">
        <v>0</v>
      </c>
      <c r="AG1953" s="86" t="s">
        <v>13411</v>
      </c>
      <c r="AH1953" s="81" t="b">
        <v>0</v>
      </c>
      <c r="AI1953" s="81" t="s">
        <v>13436</v>
      </c>
      <c r="AJ1953" s="81"/>
      <c r="AK1953" s="86" t="s">
        <v>2084</v>
      </c>
      <c r="AL1953" s="81" t="b">
        <v>0</v>
      </c>
      <c r="AM1953" s="81">
        <v>0</v>
      </c>
      <c r="AN1953" s="86" t="s">
        <v>2084</v>
      </c>
      <c r="AO1953" s="86" t="s">
        <v>2178</v>
      </c>
      <c r="AP1953" s="81" t="b">
        <v>0</v>
      </c>
      <c r="AQ1953" s="86" t="s">
        <v>13370</v>
      </c>
      <c r="AR1953" s="81" t="s">
        <v>179</v>
      </c>
      <c r="AS1953" s="81">
        <v>0</v>
      </c>
      <c r="AT1953" s="81">
        <v>0</v>
      </c>
      <c r="AU1953" s="81"/>
      <c r="AV1953" s="81"/>
      <c r="AW1953" s="81"/>
      <c r="AX1953" s="81"/>
      <c r="AY1953" s="81"/>
      <c r="AZ1953" s="81"/>
      <c r="BA1953" s="81"/>
      <c r="BB1953" s="81"/>
    </row>
    <row r="1954" spans="1:54" x14ac:dyDescent="0.35">
      <c r="A1954" s="66" t="s">
        <v>218</v>
      </c>
      <c r="B1954" s="66" t="s">
        <v>218</v>
      </c>
      <c r="C1954" s="67"/>
      <c r="D1954" s="68"/>
      <c r="E1954" s="69"/>
      <c r="F1954" s="70"/>
      <c r="G1954" s="67"/>
      <c r="H1954" s="71"/>
      <c r="I1954" s="72"/>
      <c r="J1954" s="72"/>
      <c r="K1954" s="36"/>
      <c r="L1954" s="79"/>
      <c r="M1954" s="79"/>
      <c r="N1954" s="74"/>
      <c r="O1954" s="81" t="s">
        <v>179</v>
      </c>
      <c r="P1954" s="83">
        <v>44468.425023148149</v>
      </c>
      <c r="Q1954" s="81" t="s">
        <v>12765</v>
      </c>
      <c r="R1954" s="84" t="str">
        <f>HYPERLINK("https://voi.id/ekonomi/89642/mnc-bank-milik-konglomerat-hary-tanoesoedibjo-bekerja-sama-dengan-pos-indonesia-sediakan-layanan-setor-tarik-tunai-tanpa-kartu")</f>
        <v>https://voi.id/ekonomi/89642/mnc-bank-milik-konglomerat-hary-tanoesoedibjo-bekerja-sama-dengan-pos-indonesia-sediakan-layanan-setor-tarik-tunai-tanpa-kartu</v>
      </c>
      <c r="S1954" s="81" t="s">
        <v>939</v>
      </c>
      <c r="T1954" s="81"/>
      <c r="U1954" s="81"/>
      <c r="V1954" s="84" t="str">
        <f>HYPERLINK("https://pbs.twimg.com/profile_images/1394919866776264704/ZeNbpu-D_normal.jpg")</f>
        <v>https://pbs.twimg.com/profile_images/1394919866776264704/ZeNbpu-D_normal.jpg</v>
      </c>
      <c r="W1954" s="83">
        <v>44468.425023148149</v>
      </c>
      <c r="X1954" s="89">
        <v>44468</v>
      </c>
      <c r="Y1954" s="86" t="s">
        <v>12911</v>
      </c>
      <c r="Z1954" s="84" t="str">
        <f>HYPERLINK("https://twitter.com/voidotid/status/1443156609497112579")</f>
        <v>https://twitter.com/voidotid/status/1443156609497112579</v>
      </c>
      <c r="AA1954" s="81"/>
      <c r="AB1954" s="81"/>
      <c r="AC1954" s="86" t="s">
        <v>13148</v>
      </c>
      <c r="AD1954" s="81"/>
      <c r="AE1954" s="81" t="b">
        <v>0</v>
      </c>
      <c r="AF1954" s="81">
        <v>0</v>
      </c>
      <c r="AG1954" s="86" t="s">
        <v>2084</v>
      </c>
      <c r="AH1954" s="81" t="b">
        <v>0</v>
      </c>
      <c r="AI1954" s="81" t="s">
        <v>2167</v>
      </c>
      <c r="AJ1954" s="81"/>
      <c r="AK1954" s="86" t="s">
        <v>2084</v>
      </c>
      <c r="AL1954" s="81" t="b">
        <v>0</v>
      </c>
      <c r="AM1954" s="81">
        <v>0</v>
      </c>
      <c r="AN1954" s="86" t="s">
        <v>2084</v>
      </c>
      <c r="AO1954" s="86" t="s">
        <v>2184</v>
      </c>
      <c r="AP1954" s="81" t="b">
        <v>0</v>
      </c>
      <c r="AQ1954" s="86" t="s">
        <v>13148</v>
      </c>
      <c r="AR1954" s="81" t="s">
        <v>179</v>
      </c>
      <c r="AS1954" s="81">
        <v>0</v>
      </c>
      <c r="AT1954" s="81">
        <v>0</v>
      </c>
      <c r="AU1954" s="81"/>
      <c r="AV1954" s="81"/>
      <c r="AW1954" s="81"/>
      <c r="AX1954" s="81"/>
      <c r="AY1954" s="81"/>
      <c r="AZ1954" s="81"/>
      <c r="BA1954" s="81"/>
      <c r="BB1954" s="81"/>
    </row>
    <row r="1955" spans="1:54" x14ac:dyDescent="0.35">
      <c r="A1955" s="66" t="s">
        <v>4909</v>
      </c>
      <c r="B1955" s="66" t="s">
        <v>4909</v>
      </c>
      <c r="C1955" s="67"/>
      <c r="D1955" s="68"/>
      <c r="E1955" s="69"/>
      <c r="F1955" s="70"/>
      <c r="G1955" s="67"/>
      <c r="H1955" s="71"/>
      <c r="I1955" s="72"/>
      <c r="J1955" s="72"/>
      <c r="K1955" s="36"/>
      <c r="L1955" s="79"/>
      <c r="M1955" s="79"/>
      <c r="N1955" s="74"/>
      <c r="O1955" s="81" t="s">
        <v>179</v>
      </c>
      <c r="P1955" s="83">
        <v>44466.626458333332</v>
      </c>
      <c r="Q1955" s="81" t="s">
        <v>5615</v>
      </c>
      <c r="R1955" s="84" t="str">
        <f>HYPERLINK("https://shifter.pt/2021/09/a-aceleracao-do-tempo-pos-modernidade/")</f>
        <v>https://shifter.pt/2021/09/a-aceleracao-do-tempo-pos-modernidade/</v>
      </c>
      <c r="S1955" s="81" t="s">
        <v>5753</v>
      </c>
      <c r="T1955" s="81"/>
      <c r="U1955" s="81"/>
      <c r="V1955" s="84" t="str">
        <f>HYPERLINK("https://pbs.twimg.com/profile_images/1414724573325574146/W8dcJYo__normal.jpg")</f>
        <v>https://pbs.twimg.com/profile_images/1414724573325574146/W8dcJYo__normal.jpg</v>
      </c>
      <c r="W1955" s="83">
        <v>44466.626458333332</v>
      </c>
      <c r="X1955" s="89">
        <v>44466</v>
      </c>
      <c r="Y1955" s="86" t="s">
        <v>6575</v>
      </c>
      <c r="Z1955" s="84" t="str">
        <f>HYPERLINK("https://twitter.com/shifterpt/status/1442504829578874886")</f>
        <v>https://twitter.com/shifterpt/status/1442504829578874886</v>
      </c>
      <c r="AA1955" s="81"/>
      <c r="AB1955" s="81"/>
      <c r="AC1955" s="86" t="s">
        <v>7496</v>
      </c>
      <c r="AD1955" s="81"/>
      <c r="AE1955" s="81" t="b">
        <v>0</v>
      </c>
      <c r="AF1955" s="81">
        <v>3</v>
      </c>
      <c r="AG1955" s="86" t="s">
        <v>2084</v>
      </c>
      <c r="AH1955" s="81" t="b">
        <v>0</v>
      </c>
      <c r="AI1955" s="81" t="s">
        <v>2171</v>
      </c>
      <c r="AJ1955" s="81"/>
      <c r="AK1955" s="86" t="s">
        <v>2084</v>
      </c>
      <c r="AL1955" s="81" t="b">
        <v>0</v>
      </c>
      <c r="AM1955" s="81">
        <v>2</v>
      </c>
      <c r="AN1955" s="86" t="s">
        <v>2084</v>
      </c>
      <c r="AO1955" s="86" t="s">
        <v>2181</v>
      </c>
      <c r="AP1955" s="81" t="b">
        <v>0</v>
      </c>
      <c r="AQ1955" s="86" t="s">
        <v>7496</v>
      </c>
      <c r="AR1955" s="81" t="s">
        <v>179</v>
      </c>
      <c r="AS1955" s="81">
        <v>0</v>
      </c>
      <c r="AT1955" s="81">
        <v>0</v>
      </c>
      <c r="AU1955" s="81"/>
      <c r="AV1955" s="81"/>
      <c r="AW1955" s="81"/>
      <c r="AX1955" s="81"/>
      <c r="AY1955" s="81"/>
      <c r="AZ1955" s="81"/>
      <c r="BA1955" s="81"/>
      <c r="BB1955" s="81"/>
    </row>
    <row r="1956" spans="1:54" x14ac:dyDescent="0.35">
      <c r="A1956" s="66" t="s">
        <v>4909</v>
      </c>
      <c r="B1956" s="66" t="s">
        <v>4909</v>
      </c>
      <c r="C1956" s="67"/>
      <c r="D1956" s="68"/>
      <c r="E1956" s="69"/>
      <c r="F1956" s="70"/>
      <c r="G1956" s="67"/>
      <c r="H1956" s="71"/>
      <c r="I1956" s="72"/>
      <c r="J1956" s="72"/>
      <c r="K1956" s="36"/>
      <c r="L1956" s="79"/>
      <c r="M1956" s="79"/>
      <c r="N1956" s="74"/>
      <c r="O1956" s="81" t="s">
        <v>179</v>
      </c>
      <c r="P1956" s="83">
        <v>44467.541666666664</v>
      </c>
      <c r="Q1956" s="81" t="s">
        <v>5616</v>
      </c>
      <c r="R1956" s="84" t="str">
        <f>HYPERLINK("https://shifter.pt/2020/09/dilema-redes-sociais-pos-realidade/")</f>
        <v>https://shifter.pt/2020/09/dilema-redes-sociais-pos-realidade/</v>
      </c>
      <c r="S1956" s="81" t="s">
        <v>5753</v>
      </c>
      <c r="T1956" s="81"/>
      <c r="U1956" s="84" t="str">
        <f>HYPERLINK("https://pbs.twimg.com/tweet_video_thumb/FAXptGPXoAI4Hd2.jpg")</f>
        <v>https://pbs.twimg.com/tweet_video_thumb/FAXptGPXoAI4Hd2.jpg</v>
      </c>
      <c r="V1956" s="84" t="str">
        <f>HYPERLINK("https://pbs.twimg.com/tweet_video_thumb/FAXptGPXoAI4Hd2.jpg")</f>
        <v>https://pbs.twimg.com/tweet_video_thumb/FAXptGPXoAI4Hd2.jpg</v>
      </c>
      <c r="W1956" s="83">
        <v>44467.541666666664</v>
      </c>
      <c r="X1956" s="89">
        <v>44467</v>
      </c>
      <c r="Y1956" s="86" t="s">
        <v>6576</v>
      </c>
      <c r="Z1956" s="84" t="str">
        <f>HYPERLINK("https://twitter.com/shifterpt/status/1442836489877041152")</f>
        <v>https://twitter.com/shifterpt/status/1442836489877041152</v>
      </c>
      <c r="AA1956" s="81"/>
      <c r="AB1956" s="81"/>
      <c r="AC1956" s="86" t="s">
        <v>7497</v>
      </c>
      <c r="AD1956" s="81"/>
      <c r="AE1956" s="81" t="b">
        <v>0</v>
      </c>
      <c r="AF1956" s="81">
        <v>3</v>
      </c>
      <c r="AG1956" s="86" t="s">
        <v>2084</v>
      </c>
      <c r="AH1956" s="81" t="b">
        <v>0</v>
      </c>
      <c r="AI1956" s="81" t="s">
        <v>2171</v>
      </c>
      <c r="AJ1956" s="81"/>
      <c r="AK1956" s="86" t="s">
        <v>2084</v>
      </c>
      <c r="AL1956" s="81" t="b">
        <v>0</v>
      </c>
      <c r="AM1956" s="81">
        <v>0</v>
      </c>
      <c r="AN1956" s="86" t="s">
        <v>2084</v>
      </c>
      <c r="AO1956" s="86" t="s">
        <v>2185</v>
      </c>
      <c r="AP1956" s="81" t="b">
        <v>0</v>
      </c>
      <c r="AQ1956" s="86" t="s">
        <v>7497</v>
      </c>
      <c r="AR1956" s="81" t="s">
        <v>179</v>
      </c>
      <c r="AS1956" s="81">
        <v>0</v>
      </c>
      <c r="AT1956" s="81">
        <v>0</v>
      </c>
      <c r="AU1956" s="81"/>
      <c r="AV1956" s="81"/>
      <c r="AW1956" s="81"/>
      <c r="AX1956" s="81"/>
      <c r="AY1956" s="81"/>
      <c r="AZ1956" s="81"/>
      <c r="BA1956" s="81"/>
      <c r="BB1956" s="81"/>
    </row>
    <row r="1957" spans="1:54" x14ac:dyDescent="0.35">
      <c r="A1957" s="66" t="s">
        <v>4909</v>
      </c>
      <c r="B1957" s="66" t="s">
        <v>4909</v>
      </c>
      <c r="C1957" s="67"/>
      <c r="D1957" s="68"/>
      <c r="E1957" s="69"/>
      <c r="F1957" s="70"/>
      <c r="G1957" s="67"/>
      <c r="H1957" s="71"/>
      <c r="I1957" s="72"/>
      <c r="J1957" s="72"/>
      <c r="K1957" s="36"/>
      <c r="L1957" s="79"/>
      <c r="M1957" s="79"/>
      <c r="N1957" s="74"/>
      <c r="O1957" s="81" t="s">
        <v>693</v>
      </c>
      <c r="P1957" s="83">
        <v>44468.425694444442</v>
      </c>
      <c r="Q1957" s="81" t="s">
        <v>5615</v>
      </c>
      <c r="R1957" s="84" t="str">
        <f>HYPERLINK("https://shifter.pt/2021/09/a-aceleracao-do-tempo-pos-modernidade/")</f>
        <v>https://shifter.pt/2021/09/a-aceleracao-do-tempo-pos-modernidade/</v>
      </c>
      <c r="S1957" s="81" t="s">
        <v>5753</v>
      </c>
      <c r="T1957" s="81"/>
      <c r="U1957" s="81"/>
      <c r="V1957" s="84" t="str">
        <f>HYPERLINK("https://pbs.twimg.com/profile_images/1414724573325574146/W8dcJYo__normal.jpg")</f>
        <v>https://pbs.twimg.com/profile_images/1414724573325574146/W8dcJYo__normal.jpg</v>
      </c>
      <c r="W1957" s="83">
        <v>44468.425694444442</v>
      </c>
      <c r="X1957" s="89">
        <v>44468</v>
      </c>
      <c r="Y1957" s="86" t="s">
        <v>12912</v>
      </c>
      <c r="Z1957" s="84" t="str">
        <f>HYPERLINK("https://twitter.com/shifterpt/status/1443156850640363525")</f>
        <v>https://twitter.com/shifterpt/status/1443156850640363525</v>
      </c>
      <c r="AA1957" s="81"/>
      <c r="AB1957" s="81"/>
      <c r="AC1957" s="86" t="s">
        <v>13149</v>
      </c>
      <c r="AD1957" s="81"/>
      <c r="AE1957" s="81" t="b">
        <v>0</v>
      </c>
      <c r="AF1957" s="81">
        <v>0</v>
      </c>
      <c r="AG1957" s="86" t="s">
        <v>2084</v>
      </c>
      <c r="AH1957" s="81" t="b">
        <v>0</v>
      </c>
      <c r="AI1957" s="81" t="s">
        <v>2171</v>
      </c>
      <c r="AJ1957" s="81"/>
      <c r="AK1957" s="86" t="s">
        <v>2084</v>
      </c>
      <c r="AL1957" s="81" t="b">
        <v>0</v>
      </c>
      <c r="AM1957" s="81">
        <v>2</v>
      </c>
      <c r="AN1957" s="86" t="s">
        <v>7496</v>
      </c>
      <c r="AO1957" s="86" t="s">
        <v>2185</v>
      </c>
      <c r="AP1957" s="81" t="b">
        <v>0</v>
      </c>
      <c r="AQ1957" s="86" t="s">
        <v>7496</v>
      </c>
      <c r="AR1957" s="81" t="s">
        <v>179</v>
      </c>
      <c r="AS1957" s="81">
        <v>0</v>
      </c>
      <c r="AT1957" s="81">
        <v>0</v>
      </c>
      <c r="AU1957" s="81"/>
      <c r="AV1957" s="81"/>
      <c r="AW1957" s="81"/>
      <c r="AX1957" s="81"/>
      <c r="AY1957" s="81"/>
      <c r="AZ1957" s="81"/>
      <c r="BA1957" s="81"/>
      <c r="BB1957" s="81"/>
    </row>
    <row r="1958" spans="1:54" x14ac:dyDescent="0.35">
      <c r="A1958" s="66" t="s">
        <v>12529</v>
      </c>
      <c r="B1958" s="66" t="s">
        <v>12529</v>
      </c>
      <c r="C1958" s="67"/>
      <c r="D1958" s="68"/>
      <c r="E1958" s="69"/>
      <c r="F1958" s="70"/>
      <c r="G1958" s="67"/>
      <c r="H1958" s="71"/>
      <c r="I1958" s="72"/>
      <c r="J1958" s="72"/>
      <c r="K1958" s="36"/>
      <c r="L1958" s="79"/>
      <c r="M1958" s="79"/>
      <c r="N1958" s="74"/>
      <c r="O1958" s="81" t="s">
        <v>179</v>
      </c>
      <c r="P1958" s="83">
        <v>44468.433344907404</v>
      </c>
      <c r="Q1958" s="81" t="s">
        <v>12766</v>
      </c>
      <c r="R1958" s="84" t="str">
        <f>HYPERLINK("https://www.youtube.com/watch?v=t7aktt5cDqs&amp;feature=youtu.be")</f>
        <v>https://www.youtube.com/watch?v=t7aktt5cDqs&amp;feature=youtu.be</v>
      </c>
      <c r="S1958" s="81" t="s">
        <v>12849</v>
      </c>
      <c r="T1958" s="81"/>
      <c r="U1958" s="81"/>
      <c r="V1958" s="84" t="str">
        <f>HYPERLINK("https://pbs.twimg.com/profile_images/1384537870778748929/duVozpFr_normal.jpg")</f>
        <v>https://pbs.twimg.com/profile_images/1384537870778748929/duVozpFr_normal.jpg</v>
      </c>
      <c r="W1958" s="83">
        <v>44468.433344907404</v>
      </c>
      <c r="X1958" s="89">
        <v>44468</v>
      </c>
      <c r="Y1958" s="86" t="s">
        <v>12913</v>
      </c>
      <c r="Z1958" s="84" t="str">
        <f>HYPERLINK("https://twitter.com/pos_tolmas/status/1443159622198730755")</f>
        <v>https://twitter.com/pos_tolmas/status/1443159622198730755</v>
      </c>
      <c r="AA1958" s="81"/>
      <c r="AB1958" s="81"/>
      <c r="AC1958" s="86" t="s">
        <v>13150</v>
      </c>
      <c r="AD1958" s="81"/>
      <c r="AE1958" s="81" t="b">
        <v>0</v>
      </c>
      <c r="AF1958" s="81">
        <v>4</v>
      </c>
      <c r="AG1958" s="86" t="s">
        <v>2084</v>
      </c>
      <c r="AH1958" s="81" t="b">
        <v>0</v>
      </c>
      <c r="AI1958" s="81" t="s">
        <v>2168</v>
      </c>
      <c r="AJ1958" s="81"/>
      <c r="AK1958" s="86" t="s">
        <v>2084</v>
      </c>
      <c r="AL1958" s="81" t="b">
        <v>0</v>
      </c>
      <c r="AM1958" s="81">
        <v>0</v>
      </c>
      <c r="AN1958" s="86" t="s">
        <v>2084</v>
      </c>
      <c r="AO1958" s="86" t="s">
        <v>2181</v>
      </c>
      <c r="AP1958" s="81" t="b">
        <v>0</v>
      </c>
      <c r="AQ1958" s="86" t="s">
        <v>13150</v>
      </c>
      <c r="AR1958" s="81" t="s">
        <v>179</v>
      </c>
      <c r="AS1958" s="81">
        <v>0</v>
      </c>
      <c r="AT1958" s="81">
        <v>0</v>
      </c>
      <c r="AU1958" s="81"/>
      <c r="AV1958" s="81"/>
      <c r="AW1958" s="81"/>
      <c r="AX1958" s="81"/>
      <c r="AY1958" s="81"/>
      <c r="AZ1958" s="81"/>
      <c r="BA1958" s="81"/>
      <c r="BB1958" s="81"/>
    </row>
    <row r="1959" spans="1:54" x14ac:dyDescent="0.35">
      <c r="A1959" s="66" t="s">
        <v>12530</v>
      </c>
      <c r="B1959" s="66" t="s">
        <v>583</v>
      </c>
      <c r="C1959" s="67"/>
      <c r="D1959" s="68"/>
      <c r="E1959" s="69"/>
      <c r="F1959" s="70"/>
      <c r="G1959" s="67"/>
      <c r="H1959" s="71"/>
      <c r="I1959" s="72"/>
      <c r="J1959" s="72"/>
      <c r="K1959" s="36"/>
      <c r="L1959" s="79"/>
      <c r="M1959" s="79"/>
      <c r="N1959" s="74"/>
      <c r="O1959" s="81" t="s">
        <v>693</v>
      </c>
      <c r="P1959" s="83">
        <v>44468.442719907405</v>
      </c>
      <c r="Q1959" s="81" t="s">
        <v>12767</v>
      </c>
      <c r="R1959" s="81"/>
      <c r="S1959" s="81"/>
      <c r="T1959" s="86" t="s">
        <v>12865</v>
      </c>
      <c r="U1959" s="84" t="str">
        <f>HYPERLINK("https://pbs.twimg.com/media/FAck6HdUUAENzWD.jpg")</f>
        <v>https://pbs.twimg.com/media/FAck6HdUUAENzWD.jpg</v>
      </c>
      <c r="V1959" s="84" t="str">
        <f>HYPERLINK("https://pbs.twimg.com/media/FAck6HdUUAENzWD.jpg")</f>
        <v>https://pbs.twimg.com/media/FAck6HdUUAENzWD.jpg</v>
      </c>
      <c r="W1959" s="83">
        <v>44468.442719907405</v>
      </c>
      <c r="X1959" s="89">
        <v>44468</v>
      </c>
      <c r="Y1959" s="86" t="s">
        <v>12914</v>
      </c>
      <c r="Z1959" s="84" t="str">
        <f>HYPERLINK("https://twitter.com/covercouch/status/1443163021791141889")</f>
        <v>https://twitter.com/covercouch/status/1443163021791141889</v>
      </c>
      <c r="AA1959" s="81"/>
      <c r="AB1959" s="81"/>
      <c r="AC1959" s="86" t="s">
        <v>13151</v>
      </c>
      <c r="AD1959" s="81"/>
      <c r="AE1959" s="81" t="b">
        <v>0</v>
      </c>
      <c r="AF1959" s="81">
        <v>0</v>
      </c>
      <c r="AG1959" s="86" t="s">
        <v>2084</v>
      </c>
      <c r="AH1959" s="81" t="b">
        <v>0</v>
      </c>
      <c r="AI1959" s="81" t="s">
        <v>2167</v>
      </c>
      <c r="AJ1959" s="81"/>
      <c r="AK1959" s="86" t="s">
        <v>2084</v>
      </c>
      <c r="AL1959" s="81" t="b">
        <v>0</v>
      </c>
      <c r="AM1959" s="81">
        <v>1</v>
      </c>
      <c r="AN1959" s="86" t="s">
        <v>13301</v>
      </c>
      <c r="AO1959" s="86" t="s">
        <v>13442</v>
      </c>
      <c r="AP1959" s="81" t="b">
        <v>0</v>
      </c>
      <c r="AQ1959" s="86" t="s">
        <v>13301</v>
      </c>
      <c r="AR1959" s="81" t="s">
        <v>179</v>
      </c>
      <c r="AS1959" s="81">
        <v>0</v>
      </c>
      <c r="AT1959" s="81">
        <v>0</v>
      </c>
      <c r="AU1959" s="81"/>
      <c r="AV1959" s="81"/>
      <c r="AW1959" s="81"/>
      <c r="AX1959" s="81"/>
      <c r="AY1959" s="81"/>
      <c r="AZ1959" s="81"/>
      <c r="BA1959" s="81"/>
      <c r="BB1959" s="81"/>
    </row>
    <row r="1960" spans="1:54" x14ac:dyDescent="0.35">
      <c r="A1960" s="66" t="s">
        <v>12531</v>
      </c>
      <c r="B1960" s="66" t="s">
        <v>5146</v>
      </c>
      <c r="C1960" s="67"/>
      <c r="D1960" s="68"/>
      <c r="E1960" s="69"/>
      <c r="F1960" s="70"/>
      <c r="G1960" s="67"/>
      <c r="H1960" s="71"/>
      <c r="I1960" s="72"/>
      <c r="J1960" s="72"/>
      <c r="K1960" s="36"/>
      <c r="L1960" s="79"/>
      <c r="M1960" s="79"/>
      <c r="N1960" s="74"/>
      <c r="O1960" s="81" t="s">
        <v>696</v>
      </c>
      <c r="P1960" s="83">
        <v>44468.465856481482</v>
      </c>
      <c r="Q1960" s="81" t="s">
        <v>12768</v>
      </c>
      <c r="R1960" s="81"/>
      <c r="S1960" s="81"/>
      <c r="T1960" s="81"/>
      <c r="U1960" s="81"/>
      <c r="V1960" s="84" t="str">
        <f>HYPERLINK("https://pbs.twimg.com/profile_images/1381821499779211266/nQ7kjpKa_normal.jpg")</f>
        <v>https://pbs.twimg.com/profile_images/1381821499779211266/nQ7kjpKa_normal.jpg</v>
      </c>
      <c r="W1960" s="83">
        <v>44468.465856481482</v>
      </c>
      <c r="X1960" s="89">
        <v>44468</v>
      </c>
      <c r="Y1960" s="86" t="s">
        <v>12915</v>
      </c>
      <c r="Z1960" s="84" t="str">
        <f>HYPERLINK("https://twitter.com/leandro78671009/status/1443171405747703815")</f>
        <v>https://twitter.com/leandro78671009/status/1443171405747703815</v>
      </c>
      <c r="AA1960" s="81"/>
      <c r="AB1960" s="81"/>
      <c r="AC1960" s="86" t="s">
        <v>13152</v>
      </c>
      <c r="AD1960" s="86" t="s">
        <v>13371</v>
      </c>
      <c r="AE1960" s="81" t="b">
        <v>0</v>
      </c>
      <c r="AF1960" s="81">
        <v>0</v>
      </c>
      <c r="AG1960" s="86" t="s">
        <v>13412</v>
      </c>
      <c r="AH1960" s="81" t="b">
        <v>0</v>
      </c>
      <c r="AI1960" s="81" t="s">
        <v>2171</v>
      </c>
      <c r="AJ1960" s="81"/>
      <c r="AK1960" s="86" t="s">
        <v>2084</v>
      </c>
      <c r="AL1960" s="81" t="b">
        <v>0</v>
      </c>
      <c r="AM1960" s="81">
        <v>0</v>
      </c>
      <c r="AN1960" s="86" t="s">
        <v>2084</v>
      </c>
      <c r="AO1960" s="86" t="s">
        <v>2178</v>
      </c>
      <c r="AP1960" s="81" t="b">
        <v>0</v>
      </c>
      <c r="AQ1960" s="86" t="s">
        <v>13371</v>
      </c>
      <c r="AR1960" s="81" t="s">
        <v>179</v>
      </c>
      <c r="AS1960" s="81">
        <v>0</v>
      </c>
      <c r="AT1960" s="81">
        <v>0</v>
      </c>
      <c r="AU1960" s="81"/>
      <c r="AV1960" s="81"/>
      <c r="AW1960" s="81"/>
      <c r="AX1960" s="81"/>
      <c r="AY1960" s="81"/>
      <c r="AZ1960" s="81"/>
      <c r="BA1960" s="81"/>
      <c r="BB1960" s="81"/>
    </row>
    <row r="1961" spans="1:54" x14ac:dyDescent="0.35">
      <c r="A1961" s="66" t="s">
        <v>12531</v>
      </c>
      <c r="B1961" s="66" t="s">
        <v>12683</v>
      </c>
      <c r="C1961" s="67"/>
      <c r="D1961" s="68"/>
      <c r="E1961" s="69"/>
      <c r="F1961" s="70"/>
      <c r="G1961" s="67"/>
      <c r="H1961" s="71"/>
      <c r="I1961" s="72"/>
      <c r="J1961" s="72"/>
      <c r="K1961" s="36"/>
      <c r="L1961" s="79"/>
      <c r="M1961" s="79"/>
      <c r="N1961" s="74"/>
      <c r="O1961" s="81" t="s">
        <v>695</v>
      </c>
      <c r="P1961" s="83">
        <v>44468.465856481482</v>
      </c>
      <c r="Q1961" s="81" t="s">
        <v>12768</v>
      </c>
      <c r="R1961" s="81"/>
      <c r="S1961" s="81"/>
      <c r="T1961" s="81"/>
      <c r="U1961" s="81"/>
      <c r="V1961" s="84" t="str">
        <f>HYPERLINK("https://pbs.twimg.com/profile_images/1381821499779211266/nQ7kjpKa_normal.jpg")</f>
        <v>https://pbs.twimg.com/profile_images/1381821499779211266/nQ7kjpKa_normal.jpg</v>
      </c>
      <c r="W1961" s="83">
        <v>44468.465856481482</v>
      </c>
      <c r="X1961" s="89">
        <v>44468</v>
      </c>
      <c r="Y1961" s="86" t="s">
        <v>12915</v>
      </c>
      <c r="Z1961" s="84" t="str">
        <f>HYPERLINK("https://twitter.com/leandro78671009/status/1443171405747703815")</f>
        <v>https://twitter.com/leandro78671009/status/1443171405747703815</v>
      </c>
      <c r="AA1961" s="81"/>
      <c r="AB1961" s="81"/>
      <c r="AC1961" s="86" t="s">
        <v>13152</v>
      </c>
      <c r="AD1961" s="86" t="s">
        <v>13371</v>
      </c>
      <c r="AE1961" s="81" t="b">
        <v>0</v>
      </c>
      <c r="AF1961" s="81">
        <v>0</v>
      </c>
      <c r="AG1961" s="86" t="s">
        <v>13412</v>
      </c>
      <c r="AH1961" s="81" t="b">
        <v>0</v>
      </c>
      <c r="AI1961" s="81" t="s">
        <v>2171</v>
      </c>
      <c r="AJ1961" s="81"/>
      <c r="AK1961" s="86" t="s">
        <v>2084</v>
      </c>
      <c r="AL1961" s="81" t="b">
        <v>0</v>
      </c>
      <c r="AM1961" s="81">
        <v>0</v>
      </c>
      <c r="AN1961" s="86" t="s">
        <v>2084</v>
      </c>
      <c r="AO1961" s="86" t="s">
        <v>2178</v>
      </c>
      <c r="AP1961" s="81" t="b">
        <v>0</v>
      </c>
      <c r="AQ1961" s="86" t="s">
        <v>13371</v>
      </c>
      <c r="AR1961" s="81" t="s">
        <v>179</v>
      </c>
      <c r="AS1961" s="81">
        <v>0</v>
      </c>
      <c r="AT1961" s="81">
        <v>0</v>
      </c>
      <c r="AU1961" s="81"/>
      <c r="AV1961" s="81"/>
      <c r="AW1961" s="81"/>
      <c r="AX1961" s="81"/>
      <c r="AY1961" s="81"/>
      <c r="AZ1961" s="81"/>
      <c r="BA1961" s="81"/>
      <c r="BB1961" s="81"/>
    </row>
    <row r="1962" spans="1:54" x14ac:dyDescent="0.35">
      <c r="A1962" s="66" t="s">
        <v>12532</v>
      </c>
      <c r="B1962" s="66" t="s">
        <v>12532</v>
      </c>
      <c r="C1962" s="67"/>
      <c r="D1962" s="68"/>
      <c r="E1962" s="69"/>
      <c r="F1962" s="70"/>
      <c r="G1962" s="67"/>
      <c r="H1962" s="71"/>
      <c r="I1962" s="72"/>
      <c r="J1962" s="72"/>
      <c r="K1962" s="36"/>
      <c r="L1962" s="79"/>
      <c r="M1962" s="79"/>
      <c r="N1962" s="74"/>
      <c r="O1962" s="81" t="s">
        <v>179</v>
      </c>
      <c r="P1962" s="83">
        <v>44468.497673611113</v>
      </c>
      <c r="Q1962" s="81" t="s">
        <v>12769</v>
      </c>
      <c r="R1962" s="84" t="str">
        <f>HYPERLINK("https://pt.unesco.org/news/agencias-da-onu-lancam-relatorio-recuperacao-pos-pandemia-covid-19")</f>
        <v>https://pt.unesco.org/news/agencias-da-onu-lancam-relatorio-recuperacao-pos-pandemia-covid-19</v>
      </c>
      <c r="S1962" s="81" t="s">
        <v>12850</v>
      </c>
      <c r="T1962" s="81"/>
      <c r="U1962" s="81"/>
      <c r="V1962" s="84" t="str">
        <f>HYPERLINK("https://pbs.twimg.com/profile_images/3637532007/e47bac661a303badfb2b2b7848b710ff_normal.jpeg")</f>
        <v>https://pbs.twimg.com/profile_images/3637532007/e47bac661a303badfb2b2b7848b710ff_normal.jpeg</v>
      </c>
      <c r="W1962" s="83">
        <v>44468.497673611113</v>
      </c>
      <c r="X1962" s="89">
        <v>44468</v>
      </c>
      <c r="Y1962" s="86" t="s">
        <v>12916</v>
      </c>
      <c r="Z1962" s="84" t="str">
        <f>HYPERLINK("https://twitter.com/fabianomendonca/status/1443182933913784321")</f>
        <v>https://twitter.com/fabianomendonca/status/1443182933913784321</v>
      </c>
      <c r="AA1962" s="81"/>
      <c r="AB1962" s="81"/>
      <c r="AC1962" s="86" t="s">
        <v>13153</v>
      </c>
      <c r="AD1962" s="81"/>
      <c r="AE1962" s="81" t="b">
        <v>0</v>
      </c>
      <c r="AF1962" s="81">
        <v>0</v>
      </c>
      <c r="AG1962" s="86" t="s">
        <v>2084</v>
      </c>
      <c r="AH1962" s="81" t="b">
        <v>0</v>
      </c>
      <c r="AI1962" s="81" t="s">
        <v>2171</v>
      </c>
      <c r="AJ1962" s="81"/>
      <c r="AK1962" s="86" t="s">
        <v>2084</v>
      </c>
      <c r="AL1962" s="81" t="b">
        <v>0</v>
      </c>
      <c r="AM1962" s="81">
        <v>0</v>
      </c>
      <c r="AN1962" s="86" t="s">
        <v>2084</v>
      </c>
      <c r="AO1962" s="86" t="s">
        <v>2181</v>
      </c>
      <c r="AP1962" s="81" t="b">
        <v>0</v>
      </c>
      <c r="AQ1962" s="86" t="s">
        <v>13153</v>
      </c>
      <c r="AR1962" s="81" t="s">
        <v>179</v>
      </c>
      <c r="AS1962" s="81">
        <v>0</v>
      </c>
      <c r="AT1962" s="81">
        <v>0</v>
      </c>
      <c r="AU1962" s="81"/>
      <c r="AV1962" s="81"/>
      <c r="AW1962" s="81"/>
      <c r="AX1962" s="81"/>
      <c r="AY1962" s="81"/>
      <c r="AZ1962" s="81"/>
      <c r="BA1962" s="81"/>
      <c r="BB1962" s="81"/>
    </row>
    <row r="1963" spans="1:54" x14ac:dyDescent="0.35">
      <c r="A1963" s="66" t="s">
        <v>12533</v>
      </c>
      <c r="B1963" s="66" t="s">
        <v>12684</v>
      </c>
      <c r="C1963" s="67"/>
      <c r="D1963" s="68"/>
      <c r="E1963" s="69"/>
      <c r="F1963" s="70"/>
      <c r="G1963" s="67"/>
      <c r="H1963" s="71"/>
      <c r="I1963" s="72"/>
      <c r="J1963" s="72"/>
      <c r="K1963" s="36"/>
      <c r="L1963" s="79"/>
      <c r="M1963" s="79"/>
      <c r="N1963" s="74"/>
      <c r="O1963" s="81" t="s">
        <v>695</v>
      </c>
      <c r="P1963" s="83">
        <v>44468.49796296296</v>
      </c>
      <c r="Q1963" s="81" t="s">
        <v>12770</v>
      </c>
      <c r="R1963" s="81"/>
      <c r="S1963" s="81"/>
      <c r="T1963" s="81"/>
      <c r="U1963" s="81"/>
      <c r="V1963" s="84" t="str">
        <f>HYPERLINK("https://pbs.twimg.com/profile_images/1267197179174797312/P5pwyz6W_normal.jpg")</f>
        <v>https://pbs.twimg.com/profile_images/1267197179174797312/P5pwyz6W_normal.jpg</v>
      </c>
      <c r="W1963" s="83">
        <v>44468.49796296296</v>
      </c>
      <c r="X1963" s="89">
        <v>44468</v>
      </c>
      <c r="Y1963" s="86" t="s">
        <v>12917</v>
      </c>
      <c r="Z1963" s="84" t="str">
        <f>HYPERLINK("https://twitter.com/nwaissmann/status/1443183039497089025")</f>
        <v>https://twitter.com/nwaissmann/status/1443183039497089025</v>
      </c>
      <c r="AA1963" s="81"/>
      <c r="AB1963" s="81"/>
      <c r="AC1963" s="86" t="s">
        <v>13154</v>
      </c>
      <c r="AD1963" s="86" t="s">
        <v>13372</v>
      </c>
      <c r="AE1963" s="81" t="b">
        <v>0</v>
      </c>
      <c r="AF1963" s="81">
        <v>0</v>
      </c>
      <c r="AG1963" s="86" t="s">
        <v>13413</v>
      </c>
      <c r="AH1963" s="81" t="b">
        <v>0</v>
      </c>
      <c r="AI1963" s="81" t="s">
        <v>2171</v>
      </c>
      <c r="AJ1963" s="81"/>
      <c r="AK1963" s="86" t="s">
        <v>2084</v>
      </c>
      <c r="AL1963" s="81" t="b">
        <v>0</v>
      </c>
      <c r="AM1963" s="81">
        <v>0</v>
      </c>
      <c r="AN1963" s="86" t="s">
        <v>2084</v>
      </c>
      <c r="AO1963" s="86" t="s">
        <v>2178</v>
      </c>
      <c r="AP1963" s="81" t="b">
        <v>0</v>
      </c>
      <c r="AQ1963" s="86" t="s">
        <v>13372</v>
      </c>
      <c r="AR1963" s="81" t="s">
        <v>179</v>
      </c>
      <c r="AS1963" s="81">
        <v>0</v>
      </c>
      <c r="AT1963" s="81">
        <v>0</v>
      </c>
      <c r="AU1963" s="81"/>
      <c r="AV1963" s="81"/>
      <c r="AW1963" s="81"/>
      <c r="AX1963" s="81"/>
      <c r="AY1963" s="81"/>
      <c r="AZ1963" s="81"/>
      <c r="BA1963" s="81"/>
      <c r="BB1963" s="81"/>
    </row>
    <row r="1964" spans="1:54" x14ac:dyDescent="0.35">
      <c r="A1964" s="66" t="s">
        <v>12534</v>
      </c>
      <c r="B1964" s="66" t="s">
        <v>12685</v>
      </c>
      <c r="C1964" s="67"/>
      <c r="D1964" s="68"/>
      <c r="E1964" s="69"/>
      <c r="F1964" s="70"/>
      <c r="G1964" s="67"/>
      <c r="H1964" s="71"/>
      <c r="I1964" s="72"/>
      <c r="J1964" s="72"/>
      <c r="K1964" s="36"/>
      <c r="L1964" s="79"/>
      <c r="M1964" s="79"/>
      <c r="N1964" s="74"/>
      <c r="O1964" s="81" t="s">
        <v>695</v>
      </c>
      <c r="P1964" s="83">
        <v>44468.506574074076</v>
      </c>
      <c r="Q1964" s="81" t="s">
        <v>12771</v>
      </c>
      <c r="R1964" s="81"/>
      <c r="S1964" s="81"/>
      <c r="T1964" s="81"/>
      <c r="U1964" s="81"/>
      <c r="V1964" s="84" t="str">
        <f>HYPERLINK("https://pbs.twimg.com/profile_images/1429120684999856134/0_W8fSLG_normal.jpg")</f>
        <v>https://pbs.twimg.com/profile_images/1429120684999856134/0_W8fSLG_normal.jpg</v>
      </c>
      <c r="W1964" s="83">
        <v>44468.506574074076</v>
      </c>
      <c r="X1964" s="89">
        <v>44468</v>
      </c>
      <c r="Y1964" s="86" t="s">
        <v>12918</v>
      </c>
      <c r="Z1964" s="84" t="str">
        <f>HYPERLINK("https://twitter.com/jay_woojae/status/1443186162877693954")</f>
        <v>https://twitter.com/jay_woojae/status/1443186162877693954</v>
      </c>
      <c r="AA1964" s="81"/>
      <c r="AB1964" s="81"/>
      <c r="AC1964" s="86" t="s">
        <v>13155</v>
      </c>
      <c r="AD1964" s="86" t="s">
        <v>13373</v>
      </c>
      <c r="AE1964" s="81" t="b">
        <v>0</v>
      </c>
      <c r="AF1964" s="81">
        <v>0</v>
      </c>
      <c r="AG1964" s="86" t="s">
        <v>13414</v>
      </c>
      <c r="AH1964" s="81" t="b">
        <v>0</v>
      </c>
      <c r="AI1964" s="81" t="s">
        <v>2167</v>
      </c>
      <c r="AJ1964" s="81"/>
      <c r="AK1964" s="86" t="s">
        <v>2084</v>
      </c>
      <c r="AL1964" s="81" t="b">
        <v>0</v>
      </c>
      <c r="AM1964" s="81">
        <v>0</v>
      </c>
      <c r="AN1964" s="86" t="s">
        <v>2084</v>
      </c>
      <c r="AO1964" s="86" t="s">
        <v>2179</v>
      </c>
      <c r="AP1964" s="81" t="b">
        <v>0</v>
      </c>
      <c r="AQ1964" s="86" t="s">
        <v>13373</v>
      </c>
      <c r="AR1964" s="81" t="s">
        <v>179</v>
      </c>
      <c r="AS1964" s="81">
        <v>0</v>
      </c>
      <c r="AT1964" s="81">
        <v>0</v>
      </c>
      <c r="AU1964" s="81"/>
      <c r="AV1964" s="81"/>
      <c r="AW1964" s="81"/>
      <c r="AX1964" s="81"/>
      <c r="AY1964" s="81"/>
      <c r="AZ1964" s="81"/>
      <c r="BA1964" s="81"/>
      <c r="BB1964" s="81"/>
    </row>
    <row r="1965" spans="1:54" x14ac:dyDescent="0.35">
      <c r="A1965" s="66" t="s">
        <v>496</v>
      </c>
      <c r="B1965" s="66" t="s">
        <v>646</v>
      </c>
      <c r="C1965" s="67"/>
      <c r="D1965" s="68"/>
      <c r="E1965" s="69"/>
      <c r="F1965" s="70"/>
      <c r="G1965" s="67"/>
      <c r="H1965" s="71"/>
      <c r="I1965" s="72"/>
      <c r="J1965" s="72"/>
      <c r="K1965" s="36"/>
      <c r="L1965" s="79"/>
      <c r="M1965" s="79"/>
      <c r="N1965" s="74"/>
      <c r="O1965" s="81" t="s">
        <v>696</v>
      </c>
      <c r="P1965" s="83">
        <v>44463.748692129629</v>
      </c>
      <c r="Q1965" s="81" t="s">
        <v>804</v>
      </c>
      <c r="R1965" s="81"/>
      <c r="S1965" s="81"/>
      <c r="T1965" s="86" t="s">
        <v>649</v>
      </c>
      <c r="U1965" s="84" t="str">
        <f>HYPERLINK("https://pbs.twimg.com/media/FAEaAdPVgAgaH2z.jpg")</f>
        <v>https://pbs.twimg.com/media/FAEaAdPVgAgaH2z.jpg</v>
      </c>
      <c r="V1965" s="84" t="str">
        <f>HYPERLINK("https://pbs.twimg.com/media/FAEaAdPVgAgaH2z.jpg")</f>
        <v>https://pbs.twimg.com/media/FAEaAdPVgAgaH2z.jpg</v>
      </c>
      <c r="W1965" s="83">
        <v>44463.748692129629</v>
      </c>
      <c r="X1965" s="89">
        <v>44463</v>
      </c>
      <c r="Y1965" s="86" t="s">
        <v>1350</v>
      </c>
      <c r="Z1965" s="84" t="str">
        <f>HYPERLINK("https://twitter.com/vointeuir/status/1441461960147488768")</f>
        <v>https://twitter.com/vointeuir/status/1441461960147488768</v>
      </c>
      <c r="AA1965" s="81"/>
      <c r="AB1965" s="81"/>
      <c r="AC1965" s="86" t="s">
        <v>1846</v>
      </c>
      <c r="AD1965" s="81"/>
      <c r="AE1965" s="81" t="b">
        <v>0</v>
      </c>
      <c r="AF1965" s="81">
        <v>10</v>
      </c>
      <c r="AG1965" s="86" t="s">
        <v>2084</v>
      </c>
      <c r="AH1965" s="81" t="b">
        <v>0</v>
      </c>
      <c r="AI1965" s="81" t="s">
        <v>2168</v>
      </c>
      <c r="AJ1965" s="81"/>
      <c r="AK1965" s="86" t="s">
        <v>2084</v>
      </c>
      <c r="AL1965" s="81" t="b">
        <v>0</v>
      </c>
      <c r="AM1965" s="81">
        <v>22</v>
      </c>
      <c r="AN1965" s="86" t="s">
        <v>2084</v>
      </c>
      <c r="AO1965" s="86" t="s">
        <v>2179</v>
      </c>
      <c r="AP1965" s="81" t="b">
        <v>0</v>
      </c>
      <c r="AQ1965" s="86" t="s">
        <v>1846</v>
      </c>
      <c r="AR1965" s="81" t="s">
        <v>179</v>
      </c>
      <c r="AS1965" s="81">
        <v>0</v>
      </c>
      <c r="AT1965" s="81">
        <v>0</v>
      </c>
      <c r="AU1965" s="81"/>
      <c r="AV1965" s="81"/>
      <c r="AW1965" s="81"/>
      <c r="AX1965" s="81"/>
      <c r="AY1965" s="81"/>
      <c r="AZ1965" s="81"/>
      <c r="BA1965" s="81"/>
      <c r="BB1965" s="81"/>
    </row>
    <row r="1966" spans="1:54" x14ac:dyDescent="0.35">
      <c r="A1966" s="66" t="s">
        <v>496</v>
      </c>
      <c r="B1966" s="66" t="s">
        <v>646</v>
      </c>
      <c r="C1966" s="67"/>
      <c r="D1966" s="68"/>
      <c r="E1966" s="69"/>
      <c r="F1966" s="70"/>
      <c r="G1966" s="67"/>
      <c r="H1966" s="71"/>
      <c r="I1966" s="72"/>
      <c r="J1966" s="72"/>
      <c r="K1966" s="36"/>
      <c r="L1966" s="79"/>
      <c r="M1966" s="79"/>
      <c r="N1966" s="74"/>
      <c r="O1966" s="81" t="s">
        <v>696</v>
      </c>
      <c r="P1966" s="83">
        <v>44463.751481481479</v>
      </c>
      <c r="Q1966" s="81" t="s">
        <v>803</v>
      </c>
      <c r="R1966" s="81"/>
      <c r="S1966" s="81"/>
      <c r="T1966" s="86" t="s">
        <v>649</v>
      </c>
      <c r="U1966" s="84" t="str">
        <f>HYPERLINK("https://pbs.twimg.com/media/FAEa7dXVkAcjbKg.jpg")</f>
        <v>https://pbs.twimg.com/media/FAEa7dXVkAcjbKg.jpg</v>
      </c>
      <c r="V1966" s="84" t="str">
        <f>HYPERLINK("https://pbs.twimg.com/media/FAEa7dXVkAcjbKg.jpg")</f>
        <v>https://pbs.twimg.com/media/FAEa7dXVkAcjbKg.jpg</v>
      </c>
      <c r="W1966" s="83">
        <v>44463.751481481479</v>
      </c>
      <c r="X1966" s="89">
        <v>44463</v>
      </c>
      <c r="Y1966" s="86" t="s">
        <v>1351</v>
      </c>
      <c r="Z1966" s="84" t="str">
        <f>HYPERLINK("https://twitter.com/vointeuir/status/1441462974925852681")</f>
        <v>https://twitter.com/vointeuir/status/1441462974925852681</v>
      </c>
      <c r="AA1966" s="81"/>
      <c r="AB1966" s="81"/>
      <c r="AC1966" s="86" t="s">
        <v>1847</v>
      </c>
      <c r="AD1966" s="81"/>
      <c r="AE1966" s="81" t="b">
        <v>0</v>
      </c>
      <c r="AF1966" s="81">
        <v>20</v>
      </c>
      <c r="AG1966" s="86" t="s">
        <v>2084</v>
      </c>
      <c r="AH1966" s="81" t="b">
        <v>0</v>
      </c>
      <c r="AI1966" s="81" t="s">
        <v>2168</v>
      </c>
      <c r="AJ1966" s="81"/>
      <c r="AK1966" s="86" t="s">
        <v>2084</v>
      </c>
      <c r="AL1966" s="81" t="b">
        <v>0</v>
      </c>
      <c r="AM1966" s="81">
        <v>21</v>
      </c>
      <c r="AN1966" s="86" t="s">
        <v>2084</v>
      </c>
      <c r="AO1966" s="86" t="s">
        <v>2179</v>
      </c>
      <c r="AP1966" s="81" t="b">
        <v>0</v>
      </c>
      <c r="AQ1966" s="86" t="s">
        <v>1847</v>
      </c>
      <c r="AR1966" s="81" t="s">
        <v>179</v>
      </c>
      <c r="AS1966" s="81">
        <v>0</v>
      </c>
      <c r="AT1966" s="81">
        <v>0</v>
      </c>
      <c r="AU1966" s="81"/>
      <c r="AV1966" s="81"/>
      <c r="AW1966" s="81"/>
      <c r="AX1966" s="81"/>
      <c r="AY1966" s="81"/>
      <c r="AZ1966" s="81"/>
      <c r="BA1966" s="81"/>
      <c r="BB1966" s="81"/>
    </row>
    <row r="1967" spans="1:54" x14ac:dyDescent="0.35">
      <c r="A1967" s="66" t="s">
        <v>496</v>
      </c>
      <c r="B1967" s="66" t="s">
        <v>646</v>
      </c>
      <c r="C1967" s="67"/>
      <c r="D1967" s="68"/>
      <c r="E1967" s="69"/>
      <c r="F1967" s="70"/>
      <c r="G1967" s="67"/>
      <c r="H1967" s="71"/>
      <c r="I1967" s="72"/>
      <c r="J1967" s="72"/>
      <c r="K1967" s="36"/>
      <c r="L1967" s="79"/>
      <c r="M1967" s="79"/>
      <c r="N1967" s="74"/>
      <c r="O1967" s="81" t="s">
        <v>696</v>
      </c>
      <c r="P1967" s="83">
        <v>44463.751666666663</v>
      </c>
      <c r="Q1967" s="81" t="s">
        <v>802</v>
      </c>
      <c r="R1967" s="81"/>
      <c r="S1967" s="81"/>
      <c r="T1967" s="86" t="s">
        <v>649</v>
      </c>
      <c r="U1967" s="84" t="str">
        <f>HYPERLINK("https://pbs.twimg.com/media/FAEa_mFUYAcoKUu.jpg")</f>
        <v>https://pbs.twimg.com/media/FAEa_mFUYAcoKUu.jpg</v>
      </c>
      <c r="V1967" s="84" t="str">
        <f>HYPERLINK("https://pbs.twimg.com/media/FAEa_mFUYAcoKUu.jpg")</f>
        <v>https://pbs.twimg.com/media/FAEa_mFUYAcoKUu.jpg</v>
      </c>
      <c r="W1967" s="83">
        <v>44463.751666666663</v>
      </c>
      <c r="X1967" s="89">
        <v>44463</v>
      </c>
      <c r="Y1967" s="86" t="s">
        <v>1352</v>
      </c>
      <c r="Z1967" s="84" t="str">
        <f>HYPERLINK("https://twitter.com/vointeuir/status/1441463042038910980")</f>
        <v>https://twitter.com/vointeuir/status/1441463042038910980</v>
      </c>
      <c r="AA1967" s="81"/>
      <c r="AB1967" s="81"/>
      <c r="AC1967" s="86" t="s">
        <v>1848</v>
      </c>
      <c r="AD1967" s="81"/>
      <c r="AE1967" s="81" t="b">
        <v>0</v>
      </c>
      <c r="AF1967" s="81">
        <v>14</v>
      </c>
      <c r="AG1967" s="86" t="s">
        <v>2084</v>
      </c>
      <c r="AH1967" s="81" t="b">
        <v>0</v>
      </c>
      <c r="AI1967" s="81" t="s">
        <v>2168</v>
      </c>
      <c r="AJ1967" s="81"/>
      <c r="AK1967" s="86" t="s">
        <v>2084</v>
      </c>
      <c r="AL1967" s="81" t="b">
        <v>0</v>
      </c>
      <c r="AM1967" s="81">
        <v>24</v>
      </c>
      <c r="AN1967" s="86" t="s">
        <v>2084</v>
      </c>
      <c r="AO1967" s="86" t="s">
        <v>2179</v>
      </c>
      <c r="AP1967" s="81" t="b">
        <v>0</v>
      </c>
      <c r="AQ1967" s="86" t="s">
        <v>1848</v>
      </c>
      <c r="AR1967" s="81" t="s">
        <v>179</v>
      </c>
      <c r="AS1967" s="81">
        <v>0</v>
      </c>
      <c r="AT1967" s="81">
        <v>0</v>
      </c>
      <c r="AU1967" s="81"/>
      <c r="AV1967" s="81"/>
      <c r="AW1967" s="81"/>
      <c r="AX1967" s="81"/>
      <c r="AY1967" s="81"/>
      <c r="AZ1967" s="81"/>
      <c r="BA1967" s="81"/>
      <c r="BB1967" s="81"/>
    </row>
    <row r="1968" spans="1:54" x14ac:dyDescent="0.35">
      <c r="A1968" s="66" t="s">
        <v>496</v>
      </c>
      <c r="B1968" s="66" t="s">
        <v>646</v>
      </c>
      <c r="C1968" s="67"/>
      <c r="D1968" s="68"/>
      <c r="E1968" s="69"/>
      <c r="F1968" s="70"/>
      <c r="G1968" s="67"/>
      <c r="H1968" s="71"/>
      <c r="I1968" s="72"/>
      <c r="J1968" s="72"/>
      <c r="K1968" s="36"/>
      <c r="L1968" s="79"/>
      <c r="M1968" s="79"/>
      <c r="N1968" s="74"/>
      <c r="O1968" s="81" t="s">
        <v>696</v>
      </c>
      <c r="P1968" s="83">
        <v>44463.751840277779</v>
      </c>
      <c r="Q1968" s="81" t="s">
        <v>801</v>
      </c>
      <c r="R1968" s="81"/>
      <c r="S1968" s="81"/>
      <c r="T1968" s="86" t="s">
        <v>649</v>
      </c>
      <c r="U1968" s="84" t="str">
        <f>HYPERLINK("https://pbs.twimg.com/media/FAEbDOhVUAIE92y.jpg")</f>
        <v>https://pbs.twimg.com/media/FAEbDOhVUAIE92y.jpg</v>
      </c>
      <c r="V1968" s="84" t="str">
        <f>HYPERLINK("https://pbs.twimg.com/media/FAEbDOhVUAIE92y.jpg")</f>
        <v>https://pbs.twimg.com/media/FAEbDOhVUAIE92y.jpg</v>
      </c>
      <c r="W1968" s="83">
        <v>44463.751840277779</v>
      </c>
      <c r="X1968" s="89">
        <v>44463</v>
      </c>
      <c r="Y1968" s="86" t="s">
        <v>1353</v>
      </c>
      <c r="Z1968" s="84" t="str">
        <f>HYPERLINK("https://twitter.com/vointeuir/status/1441463104949215232")</f>
        <v>https://twitter.com/vointeuir/status/1441463104949215232</v>
      </c>
      <c r="AA1968" s="81"/>
      <c r="AB1968" s="81"/>
      <c r="AC1968" s="86" t="s">
        <v>1849</v>
      </c>
      <c r="AD1968" s="81"/>
      <c r="AE1968" s="81" t="b">
        <v>0</v>
      </c>
      <c r="AF1968" s="81">
        <v>1</v>
      </c>
      <c r="AG1968" s="86" t="s">
        <v>2084</v>
      </c>
      <c r="AH1968" s="81" t="b">
        <v>0</v>
      </c>
      <c r="AI1968" s="81" t="s">
        <v>2168</v>
      </c>
      <c r="AJ1968" s="81"/>
      <c r="AK1968" s="86" t="s">
        <v>2084</v>
      </c>
      <c r="AL1968" s="81" t="b">
        <v>0</v>
      </c>
      <c r="AM1968" s="81">
        <v>6</v>
      </c>
      <c r="AN1968" s="86" t="s">
        <v>2084</v>
      </c>
      <c r="AO1968" s="86" t="s">
        <v>2179</v>
      </c>
      <c r="AP1968" s="81" t="b">
        <v>0</v>
      </c>
      <c r="AQ1968" s="86" t="s">
        <v>1849</v>
      </c>
      <c r="AR1968" s="81" t="s">
        <v>179</v>
      </c>
      <c r="AS1968" s="81">
        <v>0</v>
      </c>
      <c r="AT1968" s="81">
        <v>0</v>
      </c>
      <c r="AU1968" s="81"/>
      <c r="AV1968" s="81"/>
      <c r="AW1968" s="81"/>
      <c r="AX1968" s="81"/>
      <c r="AY1968" s="81"/>
      <c r="AZ1968" s="81"/>
      <c r="BA1968" s="81"/>
      <c r="BB1968" s="81"/>
    </row>
    <row r="1969" spans="1:54" x14ac:dyDescent="0.35">
      <c r="A1969" s="66" t="s">
        <v>496</v>
      </c>
      <c r="B1969" s="66" t="s">
        <v>646</v>
      </c>
      <c r="C1969" s="67"/>
      <c r="D1969" s="68"/>
      <c r="E1969" s="69"/>
      <c r="F1969" s="70"/>
      <c r="G1969" s="67"/>
      <c r="H1969" s="71"/>
      <c r="I1969" s="72"/>
      <c r="J1969" s="72"/>
      <c r="K1969" s="36"/>
      <c r="L1969" s="79"/>
      <c r="M1969" s="79"/>
      <c r="N1969" s="74"/>
      <c r="O1969" s="81" t="s">
        <v>696</v>
      </c>
      <c r="P1969" s="83">
        <v>44463.752025462964</v>
      </c>
      <c r="Q1969" s="81" t="s">
        <v>800</v>
      </c>
      <c r="R1969" s="81"/>
      <c r="S1969" s="81"/>
      <c r="T1969" s="86" t="s">
        <v>649</v>
      </c>
      <c r="U1969" s="84" t="str">
        <f>HYPERLINK("https://pbs.twimg.com/media/FAEbG8nUcA0oIOp.jpg")</f>
        <v>https://pbs.twimg.com/media/FAEbG8nUcA0oIOp.jpg</v>
      </c>
      <c r="V1969" s="84" t="str">
        <f>HYPERLINK("https://pbs.twimg.com/media/FAEbG8nUcA0oIOp.jpg")</f>
        <v>https://pbs.twimg.com/media/FAEbG8nUcA0oIOp.jpg</v>
      </c>
      <c r="W1969" s="83">
        <v>44463.752025462964</v>
      </c>
      <c r="X1969" s="89">
        <v>44463</v>
      </c>
      <c r="Y1969" s="86" t="s">
        <v>1354</v>
      </c>
      <c r="Z1969" s="84" t="str">
        <f>HYPERLINK("https://twitter.com/vointeuir/status/1441463169487028228")</f>
        <v>https://twitter.com/vointeuir/status/1441463169487028228</v>
      </c>
      <c r="AA1969" s="81"/>
      <c r="AB1969" s="81"/>
      <c r="AC1969" s="86" t="s">
        <v>1850</v>
      </c>
      <c r="AD1969" s="81"/>
      <c r="AE1969" s="81" t="b">
        <v>0</v>
      </c>
      <c r="AF1969" s="81">
        <v>1</v>
      </c>
      <c r="AG1969" s="86" t="s">
        <v>2084</v>
      </c>
      <c r="AH1969" s="81" t="b">
        <v>0</v>
      </c>
      <c r="AI1969" s="81" t="s">
        <v>2168</v>
      </c>
      <c r="AJ1969" s="81"/>
      <c r="AK1969" s="86" t="s">
        <v>2084</v>
      </c>
      <c r="AL1969" s="81" t="b">
        <v>0</v>
      </c>
      <c r="AM1969" s="81">
        <v>6</v>
      </c>
      <c r="AN1969" s="86" t="s">
        <v>2084</v>
      </c>
      <c r="AO1969" s="86" t="s">
        <v>2179</v>
      </c>
      <c r="AP1969" s="81" t="b">
        <v>0</v>
      </c>
      <c r="AQ1969" s="86" t="s">
        <v>1850</v>
      </c>
      <c r="AR1969" s="81" t="s">
        <v>179</v>
      </c>
      <c r="AS1969" s="81">
        <v>0</v>
      </c>
      <c r="AT1969" s="81">
        <v>0</v>
      </c>
      <c r="AU1969" s="81"/>
      <c r="AV1969" s="81"/>
      <c r="AW1969" s="81"/>
      <c r="AX1969" s="81"/>
      <c r="AY1969" s="81"/>
      <c r="AZ1969" s="81"/>
      <c r="BA1969" s="81"/>
      <c r="BB1969" s="81"/>
    </row>
    <row r="1970" spans="1:54" x14ac:dyDescent="0.35">
      <c r="A1970" s="66" t="s">
        <v>648</v>
      </c>
      <c r="B1970" s="66" t="s">
        <v>646</v>
      </c>
      <c r="C1970" s="67"/>
      <c r="D1970" s="68"/>
      <c r="E1970" s="69"/>
      <c r="F1970" s="70"/>
      <c r="G1970" s="67"/>
      <c r="H1970" s="71"/>
      <c r="I1970" s="72"/>
      <c r="J1970" s="72"/>
      <c r="K1970" s="36"/>
      <c r="L1970" s="79"/>
      <c r="M1970" s="79"/>
      <c r="N1970" s="74"/>
      <c r="O1970" s="81" t="s">
        <v>694</v>
      </c>
      <c r="P1970" s="83">
        <v>44467.372650462959</v>
      </c>
      <c r="Q1970" s="81" t="s">
        <v>800</v>
      </c>
      <c r="R1970" s="81"/>
      <c r="S1970" s="81"/>
      <c r="T1970" s="86" t="s">
        <v>649</v>
      </c>
      <c r="U1970" s="84" t="str">
        <f>HYPERLINK("https://pbs.twimg.com/media/FAEbG8nUcA0oIOp.jpg")</f>
        <v>https://pbs.twimg.com/media/FAEbG8nUcA0oIOp.jpg</v>
      </c>
      <c r="V1970" s="84" t="str">
        <f>HYPERLINK("https://pbs.twimg.com/media/FAEbG8nUcA0oIOp.jpg")</f>
        <v>https://pbs.twimg.com/media/FAEbG8nUcA0oIOp.jpg</v>
      </c>
      <c r="W1970" s="83">
        <v>44467.372650462959</v>
      </c>
      <c r="X1970" s="89">
        <v>44467</v>
      </c>
      <c r="Y1970" s="86" t="s">
        <v>6535</v>
      </c>
      <c r="Z1970" s="84" t="str">
        <f>HYPERLINK("https://twitter.com/malaysia_trade/status/1442775241344704519")</f>
        <v>https://twitter.com/malaysia_trade/status/1442775241344704519</v>
      </c>
      <c r="AA1970" s="81"/>
      <c r="AB1970" s="81"/>
      <c r="AC1970" s="86" t="s">
        <v>7455</v>
      </c>
      <c r="AD1970" s="81"/>
      <c r="AE1970" s="81" t="b">
        <v>0</v>
      </c>
      <c r="AF1970" s="81">
        <v>0</v>
      </c>
      <c r="AG1970" s="86" t="s">
        <v>2084</v>
      </c>
      <c r="AH1970" s="81" t="b">
        <v>0</v>
      </c>
      <c r="AI1970" s="81" t="s">
        <v>2168</v>
      </c>
      <c r="AJ1970" s="81"/>
      <c r="AK1970" s="86" t="s">
        <v>2084</v>
      </c>
      <c r="AL1970" s="81" t="b">
        <v>0</v>
      </c>
      <c r="AM1970" s="81">
        <v>6</v>
      </c>
      <c r="AN1970" s="86" t="s">
        <v>1850</v>
      </c>
      <c r="AO1970" s="86" t="s">
        <v>2179</v>
      </c>
      <c r="AP1970" s="81" t="b">
        <v>0</v>
      </c>
      <c r="AQ1970" s="86" t="s">
        <v>1850</v>
      </c>
      <c r="AR1970" s="81" t="s">
        <v>179</v>
      </c>
      <c r="AS1970" s="81">
        <v>0</v>
      </c>
      <c r="AT1970" s="81">
        <v>0</v>
      </c>
      <c r="AU1970" s="81"/>
      <c r="AV1970" s="81"/>
      <c r="AW1970" s="81"/>
      <c r="AX1970" s="81"/>
      <c r="AY1970" s="81"/>
      <c r="AZ1970" s="81"/>
      <c r="BA1970" s="81"/>
      <c r="BB1970" s="81"/>
    </row>
    <row r="1971" spans="1:54" x14ac:dyDescent="0.35">
      <c r="A1971" s="66" t="s">
        <v>648</v>
      </c>
      <c r="B1971" s="66" t="s">
        <v>646</v>
      </c>
      <c r="C1971" s="67"/>
      <c r="D1971" s="68"/>
      <c r="E1971" s="69"/>
      <c r="F1971" s="70"/>
      <c r="G1971" s="67"/>
      <c r="H1971" s="71"/>
      <c r="I1971" s="72"/>
      <c r="J1971" s="72"/>
      <c r="K1971" s="36"/>
      <c r="L1971" s="79"/>
      <c r="M1971" s="79"/>
      <c r="N1971" s="74"/>
      <c r="O1971" s="81" t="s">
        <v>694</v>
      </c>
      <c r="P1971" s="83">
        <v>44467.372685185182</v>
      </c>
      <c r="Q1971" s="81" t="s">
        <v>801</v>
      </c>
      <c r="R1971" s="81"/>
      <c r="S1971" s="81"/>
      <c r="T1971" s="86" t="s">
        <v>649</v>
      </c>
      <c r="U1971" s="84" t="str">
        <f>HYPERLINK("https://pbs.twimg.com/media/FAEbDOhVUAIE92y.jpg")</f>
        <v>https://pbs.twimg.com/media/FAEbDOhVUAIE92y.jpg</v>
      </c>
      <c r="V1971" s="84" t="str">
        <f>HYPERLINK("https://pbs.twimg.com/media/FAEbDOhVUAIE92y.jpg")</f>
        <v>https://pbs.twimg.com/media/FAEbDOhVUAIE92y.jpg</v>
      </c>
      <c r="W1971" s="83">
        <v>44467.372685185182</v>
      </c>
      <c r="X1971" s="89">
        <v>44467</v>
      </c>
      <c r="Y1971" s="86" t="s">
        <v>6536</v>
      </c>
      <c r="Z1971" s="84" t="str">
        <f>HYPERLINK("https://twitter.com/malaysia_trade/status/1442775255068467202")</f>
        <v>https://twitter.com/malaysia_trade/status/1442775255068467202</v>
      </c>
      <c r="AA1971" s="81"/>
      <c r="AB1971" s="81"/>
      <c r="AC1971" s="86" t="s">
        <v>7456</v>
      </c>
      <c r="AD1971" s="81"/>
      <c r="AE1971" s="81" t="b">
        <v>0</v>
      </c>
      <c r="AF1971" s="81">
        <v>0</v>
      </c>
      <c r="AG1971" s="86" t="s">
        <v>2084</v>
      </c>
      <c r="AH1971" s="81" t="b">
        <v>0</v>
      </c>
      <c r="AI1971" s="81" t="s">
        <v>2168</v>
      </c>
      <c r="AJ1971" s="81"/>
      <c r="AK1971" s="86" t="s">
        <v>2084</v>
      </c>
      <c r="AL1971" s="81" t="b">
        <v>0</v>
      </c>
      <c r="AM1971" s="81">
        <v>6</v>
      </c>
      <c r="AN1971" s="86" t="s">
        <v>1849</v>
      </c>
      <c r="AO1971" s="86" t="s">
        <v>2179</v>
      </c>
      <c r="AP1971" s="81" t="b">
        <v>0</v>
      </c>
      <c r="AQ1971" s="86" t="s">
        <v>1849</v>
      </c>
      <c r="AR1971" s="81" t="s">
        <v>179</v>
      </c>
      <c r="AS1971" s="81">
        <v>0</v>
      </c>
      <c r="AT1971" s="81">
        <v>0</v>
      </c>
      <c r="AU1971" s="81"/>
      <c r="AV1971" s="81"/>
      <c r="AW1971" s="81"/>
      <c r="AX1971" s="81"/>
      <c r="AY1971" s="81"/>
      <c r="AZ1971" s="81"/>
      <c r="BA1971" s="81"/>
      <c r="BB1971" s="81"/>
    </row>
    <row r="1972" spans="1:54" x14ac:dyDescent="0.35">
      <c r="A1972" s="66" t="s">
        <v>648</v>
      </c>
      <c r="B1972" s="66" t="s">
        <v>646</v>
      </c>
      <c r="C1972" s="67"/>
      <c r="D1972" s="68"/>
      <c r="E1972" s="69"/>
      <c r="F1972" s="70"/>
      <c r="G1972" s="67"/>
      <c r="H1972" s="71"/>
      <c r="I1972" s="72"/>
      <c r="J1972" s="72"/>
      <c r="K1972" s="36"/>
      <c r="L1972" s="79"/>
      <c r="M1972" s="79"/>
      <c r="N1972" s="74"/>
      <c r="O1972" s="81" t="s">
        <v>694</v>
      </c>
      <c r="P1972" s="83">
        <v>44467.372731481482</v>
      </c>
      <c r="Q1972" s="81" t="s">
        <v>802</v>
      </c>
      <c r="R1972" s="81"/>
      <c r="S1972" s="81"/>
      <c r="T1972" s="86" t="s">
        <v>649</v>
      </c>
      <c r="U1972" s="84" t="str">
        <f>HYPERLINK("https://pbs.twimg.com/media/FAEa_mFUYAcoKUu.jpg")</f>
        <v>https://pbs.twimg.com/media/FAEa_mFUYAcoKUu.jpg</v>
      </c>
      <c r="V1972" s="84" t="str">
        <f>HYPERLINK("https://pbs.twimg.com/media/FAEa_mFUYAcoKUu.jpg")</f>
        <v>https://pbs.twimg.com/media/FAEa_mFUYAcoKUu.jpg</v>
      </c>
      <c r="W1972" s="83">
        <v>44467.372731481482</v>
      </c>
      <c r="X1972" s="89">
        <v>44467</v>
      </c>
      <c r="Y1972" s="86" t="s">
        <v>6537</v>
      </c>
      <c r="Z1972" s="84" t="str">
        <f>HYPERLINK("https://twitter.com/malaysia_trade/status/1442775269840863232")</f>
        <v>https://twitter.com/malaysia_trade/status/1442775269840863232</v>
      </c>
      <c r="AA1972" s="81"/>
      <c r="AB1972" s="81"/>
      <c r="AC1972" s="86" t="s">
        <v>7457</v>
      </c>
      <c r="AD1972" s="81"/>
      <c r="AE1972" s="81" t="b">
        <v>0</v>
      </c>
      <c r="AF1972" s="81">
        <v>0</v>
      </c>
      <c r="AG1972" s="86" t="s">
        <v>2084</v>
      </c>
      <c r="AH1972" s="81" t="b">
        <v>0</v>
      </c>
      <c r="AI1972" s="81" t="s">
        <v>2168</v>
      </c>
      <c r="AJ1972" s="81"/>
      <c r="AK1972" s="86" t="s">
        <v>2084</v>
      </c>
      <c r="AL1972" s="81" t="b">
        <v>0</v>
      </c>
      <c r="AM1972" s="81">
        <v>24</v>
      </c>
      <c r="AN1972" s="86" t="s">
        <v>1848</v>
      </c>
      <c r="AO1972" s="86" t="s">
        <v>2179</v>
      </c>
      <c r="AP1972" s="81" t="b">
        <v>0</v>
      </c>
      <c r="AQ1972" s="86" t="s">
        <v>1848</v>
      </c>
      <c r="AR1972" s="81" t="s">
        <v>179</v>
      </c>
      <c r="AS1972" s="81">
        <v>0</v>
      </c>
      <c r="AT1972" s="81">
        <v>0</v>
      </c>
      <c r="AU1972" s="81"/>
      <c r="AV1972" s="81"/>
      <c r="AW1972" s="81"/>
      <c r="AX1972" s="81"/>
      <c r="AY1972" s="81"/>
      <c r="AZ1972" s="81"/>
      <c r="BA1972" s="81"/>
      <c r="BB1972" s="81"/>
    </row>
    <row r="1973" spans="1:54" x14ac:dyDescent="0.35">
      <c r="A1973" s="66" t="s">
        <v>648</v>
      </c>
      <c r="B1973" s="66" t="s">
        <v>646</v>
      </c>
      <c r="C1973" s="67"/>
      <c r="D1973" s="68"/>
      <c r="E1973" s="69"/>
      <c r="F1973" s="70"/>
      <c r="G1973" s="67"/>
      <c r="H1973" s="71"/>
      <c r="I1973" s="72"/>
      <c r="J1973" s="72"/>
      <c r="K1973" s="36"/>
      <c r="L1973" s="79"/>
      <c r="M1973" s="79"/>
      <c r="N1973" s="74"/>
      <c r="O1973" s="81" t="s">
        <v>694</v>
      </c>
      <c r="P1973" s="83">
        <v>44467.372766203705</v>
      </c>
      <c r="Q1973" s="81" t="s">
        <v>803</v>
      </c>
      <c r="R1973" s="81"/>
      <c r="S1973" s="81"/>
      <c r="T1973" s="86" t="s">
        <v>649</v>
      </c>
      <c r="U1973" s="84" t="str">
        <f>HYPERLINK("https://pbs.twimg.com/media/FAEa7dXVkAcjbKg.jpg")</f>
        <v>https://pbs.twimg.com/media/FAEa7dXVkAcjbKg.jpg</v>
      </c>
      <c r="V1973" s="84" t="str">
        <f>HYPERLINK("https://pbs.twimg.com/media/FAEa7dXVkAcjbKg.jpg")</f>
        <v>https://pbs.twimg.com/media/FAEa7dXVkAcjbKg.jpg</v>
      </c>
      <c r="W1973" s="83">
        <v>44467.372766203705</v>
      </c>
      <c r="X1973" s="89">
        <v>44467</v>
      </c>
      <c r="Y1973" s="86" t="s">
        <v>6538</v>
      </c>
      <c r="Z1973" s="84" t="str">
        <f>HYPERLINK("https://twitter.com/malaysia_trade/status/1442775281496846338")</f>
        <v>https://twitter.com/malaysia_trade/status/1442775281496846338</v>
      </c>
      <c r="AA1973" s="81"/>
      <c r="AB1973" s="81"/>
      <c r="AC1973" s="86" t="s">
        <v>7458</v>
      </c>
      <c r="AD1973" s="81"/>
      <c r="AE1973" s="81" t="b">
        <v>0</v>
      </c>
      <c r="AF1973" s="81">
        <v>0</v>
      </c>
      <c r="AG1973" s="86" t="s">
        <v>2084</v>
      </c>
      <c r="AH1973" s="81" t="b">
        <v>0</v>
      </c>
      <c r="AI1973" s="81" t="s">
        <v>2168</v>
      </c>
      <c r="AJ1973" s="81"/>
      <c r="AK1973" s="86" t="s">
        <v>2084</v>
      </c>
      <c r="AL1973" s="81" t="b">
        <v>0</v>
      </c>
      <c r="AM1973" s="81">
        <v>21</v>
      </c>
      <c r="AN1973" s="86" t="s">
        <v>1847</v>
      </c>
      <c r="AO1973" s="86" t="s">
        <v>2179</v>
      </c>
      <c r="AP1973" s="81" t="b">
        <v>0</v>
      </c>
      <c r="AQ1973" s="86" t="s">
        <v>1847</v>
      </c>
      <c r="AR1973" s="81" t="s">
        <v>179</v>
      </c>
      <c r="AS1973" s="81">
        <v>0</v>
      </c>
      <c r="AT1973" s="81">
        <v>0</v>
      </c>
      <c r="AU1973" s="81"/>
      <c r="AV1973" s="81"/>
      <c r="AW1973" s="81"/>
      <c r="AX1973" s="81"/>
      <c r="AY1973" s="81"/>
      <c r="AZ1973" s="81"/>
      <c r="BA1973" s="81"/>
      <c r="BB1973" s="81"/>
    </row>
    <row r="1974" spans="1:54" x14ac:dyDescent="0.35">
      <c r="A1974" s="66" t="s">
        <v>648</v>
      </c>
      <c r="B1974" s="66" t="s">
        <v>646</v>
      </c>
      <c r="C1974" s="67"/>
      <c r="D1974" s="68"/>
      <c r="E1974" s="69"/>
      <c r="F1974" s="70"/>
      <c r="G1974" s="67"/>
      <c r="H1974" s="71"/>
      <c r="I1974" s="72"/>
      <c r="J1974" s="72"/>
      <c r="K1974" s="36"/>
      <c r="L1974" s="79"/>
      <c r="M1974" s="79"/>
      <c r="N1974" s="74"/>
      <c r="O1974" s="81" t="s">
        <v>694</v>
      </c>
      <c r="P1974" s="83">
        <v>44467.372800925928</v>
      </c>
      <c r="Q1974" s="81" t="s">
        <v>804</v>
      </c>
      <c r="R1974" s="81"/>
      <c r="S1974" s="81"/>
      <c r="T1974" s="86" t="s">
        <v>649</v>
      </c>
      <c r="U1974" s="84" t="str">
        <f>HYPERLINK("https://pbs.twimg.com/media/FAEaAdPVgAgaH2z.jpg")</f>
        <v>https://pbs.twimg.com/media/FAEaAdPVgAgaH2z.jpg</v>
      </c>
      <c r="V1974" s="84" t="str">
        <f>HYPERLINK("https://pbs.twimg.com/media/FAEaAdPVgAgaH2z.jpg")</f>
        <v>https://pbs.twimg.com/media/FAEaAdPVgAgaH2z.jpg</v>
      </c>
      <c r="W1974" s="83">
        <v>44467.372800925928</v>
      </c>
      <c r="X1974" s="89">
        <v>44467</v>
      </c>
      <c r="Y1974" s="86" t="s">
        <v>6539</v>
      </c>
      <c r="Z1974" s="84" t="str">
        <f>HYPERLINK("https://twitter.com/malaysia_trade/status/1442775294650159106")</f>
        <v>https://twitter.com/malaysia_trade/status/1442775294650159106</v>
      </c>
      <c r="AA1974" s="81"/>
      <c r="AB1974" s="81"/>
      <c r="AC1974" s="86" t="s">
        <v>7459</v>
      </c>
      <c r="AD1974" s="81"/>
      <c r="AE1974" s="81" t="b">
        <v>0</v>
      </c>
      <c r="AF1974" s="81">
        <v>0</v>
      </c>
      <c r="AG1974" s="86" t="s">
        <v>2084</v>
      </c>
      <c r="AH1974" s="81" t="b">
        <v>0</v>
      </c>
      <c r="AI1974" s="81" t="s">
        <v>2168</v>
      </c>
      <c r="AJ1974" s="81"/>
      <c r="AK1974" s="86" t="s">
        <v>2084</v>
      </c>
      <c r="AL1974" s="81" t="b">
        <v>0</v>
      </c>
      <c r="AM1974" s="81">
        <v>22</v>
      </c>
      <c r="AN1974" s="86" t="s">
        <v>1846</v>
      </c>
      <c r="AO1974" s="86" t="s">
        <v>2179</v>
      </c>
      <c r="AP1974" s="81" t="b">
        <v>0</v>
      </c>
      <c r="AQ1974" s="86" t="s">
        <v>1846</v>
      </c>
      <c r="AR1974" s="81" t="s">
        <v>179</v>
      </c>
      <c r="AS1974" s="81">
        <v>0</v>
      </c>
      <c r="AT1974" s="81">
        <v>0</v>
      </c>
      <c r="AU1974" s="81"/>
      <c r="AV1974" s="81"/>
      <c r="AW1974" s="81"/>
      <c r="AX1974" s="81"/>
      <c r="AY1974" s="81"/>
      <c r="AZ1974" s="81"/>
      <c r="BA1974" s="81"/>
      <c r="BB1974" s="81"/>
    </row>
    <row r="1975" spans="1:54" x14ac:dyDescent="0.35">
      <c r="A1975" s="66" t="s">
        <v>440</v>
      </c>
      <c r="B1975" s="66" t="s">
        <v>646</v>
      </c>
      <c r="C1975" s="67"/>
      <c r="D1975" s="68"/>
      <c r="E1975" s="69"/>
      <c r="F1975" s="70"/>
      <c r="G1975" s="67"/>
      <c r="H1975" s="71"/>
      <c r="I1975" s="72"/>
      <c r="J1975" s="72"/>
      <c r="K1975" s="36"/>
      <c r="L1975" s="79"/>
      <c r="M1975" s="79"/>
      <c r="N1975" s="74"/>
      <c r="O1975" s="81" t="s">
        <v>694</v>
      </c>
      <c r="P1975" s="83">
        <v>44464.150347222225</v>
      </c>
      <c r="Q1975" s="81" t="s">
        <v>804</v>
      </c>
      <c r="R1975" s="81"/>
      <c r="S1975" s="81"/>
      <c r="T1975" s="86" t="s">
        <v>649</v>
      </c>
      <c r="U1975" s="84" t="str">
        <f>HYPERLINK("https://pbs.twimg.com/media/FAEaAdPVgAgaH2z.jpg")</f>
        <v>https://pbs.twimg.com/media/FAEaAdPVgAgaH2z.jpg</v>
      </c>
      <c r="V1975" s="84" t="str">
        <f>HYPERLINK("https://pbs.twimg.com/media/FAEaAdPVgAgaH2z.jpg")</f>
        <v>https://pbs.twimg.com/media/FAEaAdPVgAgaH2z.jpg</v>
      </c>
      <c r="W1975" s="83">
        <v>44464.150347222225</v>
      </c>
      <c r="X1975" s="89">
        <v>44464</v>
      </c>
      <c r="Y1975" s="86" t="s">
        <v>1283</v>
      </c>
      <c r="Z1975" s="84" t="str">
        <f>HYPERLINK("https://twitter.com/glitterzkoo/status/1441607516903727105")</f>
        <v>https://twitter.com/glitterzkoo/status/1441607516903727105</v>
      </c>
      <c r="AA1975" s="81"/>
      <c r="AB1975" s="81"/>
      <c r="AC1975" s="86" t="s">
        <v>1779</v>
      </c>
      <c r="AD1975" s="81"/>
      <c r="AE1975" s="81" t="b">
        <v>0</v>
      </c>
      <c r="AF1975" s="81">
        <v>0</v>
      </c>
      <c r="AG1975" s="86" t="s">
        <v>2084</v>
      </c>
      <c r="AH1975" s="81" t="b">
        <v>0</v>
      </c>
      <c r="AI1975" s="81" t="s">
        <v>2168</v>
      </c>
      <c r="AJ1975" s="81"/>
      <c r="AK1975" s="86" t="s">
        <v>2084</v>
      </c>
      <c r="AL1975" s="81" t="b">
        <v>0</v>
      </c>
      <c r="AM1975" s="81">
        <v>22</v>
      </c>
      <c r="AN1975" s="86" t="s">
        <v>1846</v>
      </c>
      <c r="AO1975" s="86" t="s">
        <v>2179</v>
      </c>
      <c r="AP1975" s="81" t="b">
        <v>0</v>
      </c>
      <c r="AQ1975" s="86" t="s">
        <v>1846</v>
      </c>
      <c r="AR1975" s="81" t="s">
        <v>179</v>
      </c>
      <c r="AS1975" s="81">
        <v>0</v>
      </c>
      <c r="AT1975" s="81">
        <v>0</v>
      </c>
      <c r="AU1975" s="81"/>
      <c r="AV1975" s="81"/>
      <c r="AW1975" s="81"/>
      <c r="AX1975" s="81"/>
      <c r="AY1975" s="81"/>
      <c r="AZ1975" s="81"/>
      <c r="BA1975" s="81"/>
      <c r="BB1975" s="81"/>
    </row>
    <row r="1976" spans="1:54" x14ac:dyDescent="0.35">
      <c r="A1976" s="66" t="s">
        <v>496</v>
      </c>
      <c r="B1976" s="66" t="s">
        <v>647</v>
      </c>
      <c r="C1976" s="67"/>
      <c r="D1976" s="68"/>
      <c r="E1976" s="69"/>
      <c r="F1976" s="70"/>
      <c r="G1976" s="67"/>
      <c r="H1976" s="71"/>
      <c r="I1976" s="72"/>
      <c r="J1976" s="72"/>
      <c r="K1976" s="36"/>
      <c r="L1976" s="79"/>
      <c r="M1976" s="79"/>
      <c r="N1976" s="74"/>
      <c r="O1976" s="81" t="s">
        <v>696</v>
      </c>
      <c r="P1976" s="83">
        <v>44463.748692129629</v>
      </c>
      <c r="Q1976" s="81" t="s">
        <v>804</v>
      </c>
      <c r="R1976" s="81"/>
      <c r="S1976" s="81"/>
      <c r="T1976" s="86" t="s">
        <v>649</v>
      </c>
      <c r="U1976" s="84" t="str">
        <f>HYPERLINK("https://pbs.twimg.com/media/FAEaAdPVgAgaH2z.jpg")</f>
        <v>https://pbs.twimg.com/media/FAEaAdPVgAgaH2z.jpg</v>
      </c>
      <c r="V1976" s="84" t="str">
        <f>HYPERLINK("https://pbs.twimg.com/media/FAEaAdPVgAgaH2z.jpg")</f>
        <v>https://pbs.twimg.com/media/FAEaAdPVgAgaH2z.jpg</v>
      </c>
      <c r="W1976" s="83">
        <v>44463.748692129629</v>
      </c>
      <c r="X1976" s="89">
        <v>44463</v>
      </c>
      <c r="Y1976" s="86" t="s">
        <v>1350</v>
      </c>
      <c r="Z1976" s="84" t="str">
        <f>HYPERLINK("https://twitter.com/vointeuir/status/1441461960147488768")</f>
        <v>https://twitter.com/vointeuir/status/1441461960147488768</v>
      </c>
      <c r="AA1976" s="81"/>
      <c r="AB1976" s="81"/>
      <c r="AC1976" s="86" t="s">
        <v>1846</v>
      </c>
      <c r="AD1976" s="81"/>
      <c r="AE1976" s="81" t="b">
        <v>0</v>
      </c>
      <c r="AF1976" s="81">
        <v>10</v>
      </c>
      <c r="AG1976" s="86" t="s">
        <v>2084</v>
      </c>
      <c r="AH1976" s="81" t="b">
        <v>0</v>
      </c>
      <c r="AI1976" s="81" t="s">
        <v>2168</v>
      </c>
      <c r="AJ1976" s="81"/>
      <c r="AK1976" s="86" t="s">
        <v>2084</v>
      </c>
      <c r="AL1976" s="81" t="b">
        <v>0</v>
      </c>
      <c r="AM1976" s="81">
        <v>22</v>
      </c>
      <c r="AN1976" s="86" t="s">
        <v>2084</v>
      </c>
      <c r="AO1976" s="86" t="s">
        <v>2179</v>
      </c>
      <c r="AP1976" s="81" t="b">
        <v>0</v>
      </c>
      <c r="AQ1976" s="86" t="s">
        <v>1846</v>
      </c>
      <c r="AR1976" s="81" t="s">
        <v>179</v>
      </c>
      <c r="AS1976" s="81">
        <v>0</v>
      </c>
      <c r="AT1976" s="81">
        <v>0</v>
      </c>
      <c r="AU1976" s="81"/>
      <c r="AV1976" s="81"/>
      <c r="AW1976" s="81"/>
      <c r="AX1976" s="81"/>
      <c r="AY1976" s="81"/>
      <c r="AZ1976" s="81"/>
      <c r="BA1976" s="81"/>
      <c r="BB1976" s="81"/>
    </row>
    <row r="1977" spans="1:54" x14ac:dyDescent="0.35">
      <c r="A1977" s="66" t="s">
        <v>496</v>
      </c>
      <c r="B1977" s="66" t="s">
        <v>647</v>
      </c>
      <c r="C1977" s="67"/>
      <c r="D1977" s="68"/>
      <c r="E1977" s="69"/>
      <c r="F1977" s="70"/>
      <c r="G1977" s="67"/>
      <c r="H1977" s="71"/>
      <c r="I1977" s="72"/>
      <c r="J1977" s="72"/>
      <c r="K1977" s="36"/>
      <c r="L1977" s="79"/>
      <c r="M1977" s="79"/>
      <c r="N1977" s="74"/>
      <c r="O1977" s="81" t="s">
        <v>696</v>
      </c>
      <c r="P1977" s="83">
        <v>44463.751481481479</v>
      </c>
      <c r="Q1977" s="81" t="s">
        <v>803</v>
      </c>
      <c r="R1977" s="81"/>
      <c r="S1977" s="81"/>
      <c r="T1977" s="86" t="s">
        <v>649</v>
      </c>
      <c r="U1977" s="84" t="str">
        <f>HYPERLINK("https://pbs.twimg.com/media/FAEa7dXVkAcjbKg.jpg")</f>
        <v>https://pbs.twimg.com/media/FAEa7dXVkAcjbKg.jpg</v>
      </c>
      <c r="V1977" s="84" t="str">
        <f>HYPERLINK("https://pbs.twimg.com/media/FAEa7dXVkAcjbKg.jpg")</f>
        <v>https://pbs.twimg.com/media/FAEa7dXVkAcjbKg.jpg</v>
      </c>
      <c r="W1977" s="83">
        <v>44463.751481481479</v>
      </c>
      <c r="X1977" s="89">
        <v>44463</v>
      </c>
      <c r="Y1977" s="86" t="s">
        <v>1351</v>
      </c>
      <c r="Z1977" s="84" t="str">
        <f>HYPERLINK("https://twitter.com/vointeuir/status/1441462974925852681")</f>
        <v>https://twitter.com/vointeuir/status/1441462974925852681</v>
      </c>
      <c r="AA1977" s="81"/>
      <c r="AB1977" s="81"/>
      <c r="AC1977" s="86" t="s">
        <v>1847</v>
      </c>
      <c r="AD1977" s="81"/>
      <c r="AE1977" s="81" t="b">
        <v>0</v>
      </c>
      <c r="AF1977" s="81">
        <v>20</v>
      </c>
      <c r="AG1977" s="86" t="s">
        <v>2084</v>
      </c>
      <c r="AH1977" s="81" t="b">
        <v>0</v>
      </c>
      <c r="AI1977" s="81" t="s">
        <v>2168</v>
      </c>
      <c r="AJ1977" s="81"/>
      <c r="AK1977" s="86" t="s">
        <v>2084</v>
      </c>
      <c r="AL1977" s="81" t="b">
        <v>0</v>
      </c>
      <c r="AM1977" s="81">
        <v>21</v>
      </c>
      <c r="AN1977" s="86" t="s">
        <v>2084</v>
      </c>
      <c r="AO1977" s="86" t="s">
        <v>2179</v>
      </c>
      <c r="AP1977" s="81" t="b">
        <v>0</v>
      </c>
      <c r="AQ1977" s="86" t="s">
        <v>1847</v>
      </c>
      <c r="AR1977" s="81" t="s">
        <v>179</v>
      </c>
      <c r="AS1977" s="81">
        <v>0</v>
      </c>
      <c r="AT1977" s="81">
        <v>0</v>
      </c>
      <c r="AU1977" s="81"/>
      <c r="AV1977" s="81"/>
      <c r="AW1977" s="81"/>
      <c r="AX1977" s="81"/>
      <c r="AY1977" s="81"/>
      <c r="AZ1977" s="81"/>
      <c r="BA1977" s="81"/>
      <c r="BB1977" s="81"/>
    </row>
    <row r="1978" spans="1:54" x14ac:dyDescent="0.35">
      <c r="A1978" s="66" t="s">
        <v>496</v>
      </c>
      <c r="B1978" s="66" t="s">
        <v>647</v>
      </c>
      <c r="C1978" s="67"/>
      <c r="D1978" s="68"/>
      <c r="E1978" s="69"/>
      <c r="F1978" s="70"/>
      <c r="G1978" s="67"/>
      <c r="H1978" s="71"/>
      <c r="I1978" s="72"/>
      <c r="J1978" s="72"/>
      <c r="K1978" s="36"/>
      <c r="L1978" s="79"/>
      <c r="M1978" s="79"/>
      <c r="N1978" s="74"/>
      <c r="O1978" s="81" t="s">
        <v>696</v>
      </c>
      <c r="P1978" s="83">
        <v>44463.751666666663</v>
      </c>
      <c r="Q1978" s="81" t="s">
        <v>802</v>
      </c>
      <c r="R1978" s="81"/>
      <c r="S1978" s="81"/>
      <c r="T1978" s="86" t="s">
        <v>649</v>
      </c>
      <c r="U1978" s="84" t="str">
        <f>HYPERLINK("https://pbs.twimg.com/media/FAEa_mFUYAcoKUu.jpg")</f>
        <v>https://pbs.twimg.com/media/FAEa_mFUYAcoKUu.jpg</v>
      </c>
      <c r="V1978" s="84" t="str">
        <f>HYPERLINK("https://pbs.twimg.com/media/FAEa_mFUYAcoKUu.jpg")</f>
        <v>https://pbs.twimg.com/media/FAEa_mFUYAcoKUu.jpg</v>
      </c>
      <c r="W1978" s="83">
        <v>44463.751666666663</v>
      </c>
      <c r="X1978" s="89">
        <v>44463</v>
      </c>
      <c r="Y1978" s="86" t="s">
        <v>1352</v>
      </c>
      <c r="Z1978" s="84" t="str">
        <f>HYPERLINK("https://twitter.com/vointeuir/status/1441463042038910980")</f>
        <v>https://twitter.com/vointeuir/status/1441463042038910980</v>
      </c>
      <c r="AA1978" s="81"/>
      <c r="AB1978" s="81"/>
      <c r="AC1978" s="86" t="s">
        <v>1848</v>
      </c>
      <c r="AD1978" s="81"/>
      <c r="AE1978" s="81" t="b">
        <v>0</v>
      </c>
      <c r="AF1978" s="81">
        <v>14</v>
      </c>
      <c r="AG1978" s="86" t="s">
        <v>2084</v>
      </c>
      <c r="AH1978" s="81" t="b">
        <v>0</v>
      </c>
      <c r="AI1978" s="81" t="s">
        <v>2168</v>
      </c>
      <c r="AJ1978" s="81"/>
      <c r="AK1978" s="86" t="s">
        <v>2084</v>
      </c>
      <c r="AL1978" s="81" t="b">
        <v>0</v>
      </c>
      <c r="AM1978" s="81">
        <v>24</v>
      </c>
      <c r="AN1978" s="86" t="s">
        <v>2084</v>
      </c>
      <c r="AO1978" s="86" t="s">
        <v>2179</v>
      </c>
      <c r="AP1978" s="81" t="b">
        <v>0</v>
      </c>
      <c r="AQ1978" s="86" t="s">
        <v>1848</v>
      </c>
      <c r="AR1978" s="81" t="s">
        <v>179</v>
      </c>
      <c r="AS1978" s="81">
        <v>0</v>
      </c>
      <c r="AT1978" s="81">
        <v>0</v>
      </c>
      <c r="AU1978" s="81"/>
      <c r="AV1978" s="81"/>
      <c r="AW1978" s="81"/>
      <c r="AX1978" s="81"/>
      <c r="AY1978" s="81"/>
      <c r="AZ1978" s="81"/>
      <c r="BA1978" s="81"/>
      <c r="BB1978" s="81"/>
    </row>
    <row r="1979" spans="1:54" x14ac:dyDescent="0.35">
      <c r="A1979" s="66" t="s">
        <v>496</v>
      </c>
      <c r="B1979" s="66" t="s">
        <v>647</v>
      </c>
      <c r="C1979" s="67"/>
      <c r="D1979" s="68"/>
      <c r="E1979" s="69"/>
      <c r="F1979" s="70"/>
      <c r="G1979" s="67"/>
      <c r="H1979" s="71"/>
      <c r="I1979" s="72"/>
      <c r="J1979" s="72"/>
      <c r="K1979" s="36"/>
      <c r="L1979" s="79"/>
      <c r="M1979" s="79"/>
      <c r="N1979" s="74"/>
      <c r="O1979" s="81" t="s">
        <v>696</v>
      </c>
      <c r="P1979" s="83">
        <v>44463.751840277779</v>
      </c>
      <c r="Q1979" s="81" t="s">
        <v>801</v>
      </c>
      <c r="R1979" s="81"/>
      <c r="S1979" s="81"/>
      <c r="T1979" s="86" t="s">
        <v>649</v>
      </c>
      <c r="U1979" s="84" t="str">
        <f>HYPERLINK("https://pbs.twimg.com/media/FAEbDOhVUAIE92y.jpg")</f>
        <v>https://pbs.twimg.com/media/FAEbDOhVUAIE92y.jpg</v>
      </c>
      <c r="V1979" s="84" t="str">
        <f>HYPERLINK("https://pbs.twimg.com/media/FAEbDOhVUAIE92y.jpg")</f>
        <v>https://pbs.twimg.com/media/FAEbDOhVUAIE92y.jpg</v>
      </c>
      <c r="W1979" s="83">
        <v>44463.751840277779</v>
      </c>
      <c r="X1979" s="89">
        <v>44463</v>
      </c>
      <c r="Y1979" s="86" t="s">
        <v>1353</v>
      </c>
      <c r="Z1979" s="84" t="str">
        <f>HYPERLINK("https://twitter.com/vointeuir/status/1441463104949215232")</f>
        <v>https://twitter.com/vointeuir/status/1441463104949215232</v>
      </c>
      <c r="AA1979" s="81"/>
      <c r="AB1979" s="81"/>
      <c r="AC1979" s="86" t="s">
        <v>1849</v>
      </c>
      <c r="AD1979" s="81"/>
      <c r="AE1979" s="81" t="b">
        <v>0</v>
      </c>
      <c r="AF1979" s="81">
        <v>1</v>
      </c>
      <c r="AG1979" s="86" t="s">
        <v>2084</v>
      </c>
      <c r="AH1979" s="81" t="b">
        <v>0</v>
      </c>
      <c r="AI1979" s="81" t="s">
        <v>2168</v>
      </c>
      <c r="AJ1979" s="81"/>
      <c r="AK1979" s="86" t="s">
        <v>2084</v>
      </c>
      <c r="AL1979" s="81" t="b">
        <v>0</v>
      </c>
      <c r="AM1979" s="81">
        <v>6</v>
      </c>
      <c r="AN1979" s="86" t="s">
        <v>2084</v>
      </c>
      <c r="AO1979" s="86" t="s">
        <v>2179</v>
      </c>
      <c r="AP1979" s="81" t="b">
        <v>0</v>
      </c>
      <c r="AQ1979" s="86" t="s">
        <v>1849</v>
      </c>
      <c r="AR1979" s="81" t="s">
        <v>179</v>
      </c>
      <c r="AS1979" s="81">
        <v>0</v>
      </c>
      <c r="AT1979" s="81">
        <v>0</v>
      </c>
      <c r="AU1979" s="81"/>
      <c r="AV1979" s="81"/>
      <c r="AW1979" s="81"/>
      <c r="AX1979" s="81"/>
      <c r="AY1979" s="81"/>
      <c r="AZ1979" s="81"/>
      <c r="BA1979" s="81"/>
      <c r="BB1979" s="81"/>
    </row>
    <row r="1980" spans="1:54" x14ac:dyDescent="0.35">
      <c r="A1980" s="66" t="s">
        <v>496</v>
      </c>
      <c r="B1980" s="66" t="s">
        <v>647</v>
      </c>
      <c r="C1980" s="67"/>
      <c r="D1980" s="68"/>
      <c r="E1980" s="69"/>
      <c r="F1980" s="70"/>
      <c r="G1980" s="67"/>
      <c r="H1980" s="71"/>
      <c r="I1980" s="72"/>
      <c r="J1980" s="72"/>
      <c r="K1980" s="36"/>
      <c r="L1980" s="79"/>
      <c r="M1980" s="79"/>
      <c r="N1980" s="74"/>
      <c r="O1980" s="81" t="s">
        <v>696</v>
      </c>
      <c r="P1980" s="83">
        <v>44463.752025462964</v>
      </c>
      <c r="Q1980" s="81" t="s">
        <v>800</v>
      </c>
      <c r="R1980" s="81"/>
      <c r="S1980" s="81"/>
      <c r="T1980" s="86" t="s">
        <v>649</v>
      </c>
      <c r="U1980" s="84" t="str">
        <f>HYPERLINK("https://pbs.twimg.com/media/FAEbG8nUcA0oIOp.jpg")</f>
        <v>https://pbs.twimg.com/media/FAEbG8nUcA0oIOp.jpg</v>
      </c>
      <c r="V1980" s="84" t="str">
        <f>HYPERLINK("https://pbs.twimg.com/media/FAEbG8nUcA0oIOp.jpg")</f>
        <v>https://pbs.twimg.com/media/FAEbG8nUcA0oIOp.jpg</v>
      </c>
      <c r="W1980" s="83">
        <v>44463.752025462964</v>
      </c>
      <c r="X1980" s="89">
        <v>44463</v>
      </c>
      <c r="Y1980" s="86" t="s">
        <v>1354</v>
      </c>
      <c r="Z1980" s="84" t="str">
        <f>HYPERLINK("https://twitter.com/vointeuir/status/1441463169487028228")</f>
        <v>https://twitter.com/vointeuir/status/1441463169487028228</v>
      </c>
      <c r="AA1980" s="81"/>
      <c r="AB1980" s="81"/>
      <c r="AC1980" s="86" t="s">
        <v>1850</v>
      </c>
      <c r="AD1980" s="81"/>
      <c r="AE1980" s="81" t="b">
        <v>0</v>
      </c>
      <c r="AF1980" s="81">
        <v>1</v>
      </c>
      <c r="AG1980" s="86" t="s">
        <v>2084</v>
      </c>
      <c r="AH1980" s="81" t="b">
        <v>0</v>
      </c>
      <c r="AI1980" s="81" t="s">
        <v>2168</v>
      </c>
      <c r="AJ1980" s="81"/>
      <c r="AK1980" s="86" t="s">
        <v>2084</v>
      </c>
      <c r="AL1980" s="81" t="b">
        <v>0</v>
      </c>
      <c r="AM1980" s="81">
        <v>6</v>
      </c>
      <c r="AN1980" s="86" t="s">
        <v>2084</v>
      </c>
      <c r="AO1980" s="86" t="s">
        <v>2179</v>
      </c>
      <c r="AP1980" s="81" t="b">
        <v>0</v>
      </c>
      <c r="AQ1980" s="86" t="s">
        <v>1850</v>
      </c>
      <c r="AR1980" s="81" t="s">
        <v>179</v>
      </c>
      <c r="AS1980" s="81">
        <v>0</v>
      </c>
      <c r="AT1980" s="81">
        <v>0</v>
      </c>
      <c r="AU1980" s="81"/>
      <c r="AV1980" s="81"/>
      <c r="AW1980" s="81"/>
      <c r="AX1980" s="81"/>
      <c r="AY1980" s="81"/>
      <c r="AZ1980" s="81"/>
      <c r="BA1980" s="81"/>
      <c r="BB1980" s="81"/>
    </row>
    <row r="1981" spans="1:54" x14ac:dyDescent="0.35">
      <c r="A1981" s="66" t="s">
        <v>648</v>
      </c>
      <c r="B1981" s="66" t="s">
        <v>647</v>
      </c>
      <c r="C1981" s="67"/>
      <c r="D1981" s="68"/>
      <c r="E1981" s="69"/>
      <c r="F1981" s="70"/>
      <c r="G1981" s="67"/>
      <c r="H1981" s="71"/>
      <c r="I1981" s="72"/>
      <c r="J1981" s="72"/>
      <c r="K1981" s="36"/>
      <c r="L1981" s="79"/>
      <c r="M1981" s="79"/>
      <c r="N1981" s="74"/>
      <c r="O1981" s="81" t="s">
        <v>694</v>
      </c>
      <c r="P1981" s="83">
        <v>44467.372650462959</v>
      </c>
      <c r="Q1981" s="81" t="s">
        <v>800</v>
      </c>
      <c r="R1981" s="81"/>
      <c r="S1981" s="81"/>
      <c r="T1981" s="86" t="s">
        <v>649</v>
      </c>
      <c r="U1981" s="84" t="str">
        <f>HYPERLINK("https://pbs.twimg.com/media/FAEbG8nUcA0oIOp.jpg")</f>
        <v>https://pbs.twimg.com/media/FAEbG8nUcA0oIOp.jpg</v>
      </c>
      <c r="V1981" s="84" t="str">
        <f>HYPERLINK("https://pbs.twimg.com/media/FAEbG8nUcA0oIOp.jpg")</f>
        <v>https://pbs.twimg.com/media/FAEbG8nUcA0oIOp.jpg</v>
      </c>
      <c r="W1981" s="83">
        <v>44467.372650462959</v>
      </c>
      <c r="X1981" s="89">
        <v>44467</v>
      </c>
      <c r="Y1981" s="86" t="s">
        <v>6535</v>
      </c>
      <c r="Z1981" s="84" t="str">
        <f>HYPERLINK("https://twitter.com/malaysia_trade/status/1442775241344704519")</f>
        <v>https://twitter.com/malaysia_trade/status/1442775241344704519</v>
      </c>
      <c r="AA1981" s="81"/>
      <c r="AB1981" s="81"/>
      <c r="AC1981" s="86" t="s">
        <v>7455</v>
      </c>
      <c r="AD1981" s="81"/>
      <c r="AE1981" s="81" t="b">
        <v>0</v>
      </c>
      <c r="AF1981" s="81">
        <v>0</v>
      </c>
      <c r="AG1981" s="86" t="s">
        <v>2084</v>
      </c>
      <c r="AH1981" s="81" t="b">
        <v>0</v>
      </c>
      <c r="AI1981" s="81" t="s">
        <v>2168</v>
      </c>
      <c r="AJ1981" s="81"/>
      <c r="AK1981" s="86" t="s">
        <v>2084</v>
      </c>
      <c r="AL1981" s="81" t="b">
        <v>0</v>
      </c>
      <c r="AM1981" s="81">
        <v>6</v>
      </c>
      <c r="AN1981" s="86" t="s">
        <v>1850</v>
      </c>
      <c r="AO1981" s="86" t="s">
        <v>2179</v>
      </c>
      <c r="AP1981" s="81" t="b">
        <v>0</v>
      </c>
      <c r="AQ1981" s="86" t="s">
        <v>1850</v>
      </c>
      <c r="AR1981" s="81" t="s">
        <v>179</v>
      </c>
      <c r="AS1981" s="81">
        <v>0</v>
      </c>
      <c r="AT1981" s="81">
        <v>0</v>
      </c>
      <c r="AU1981" s="81"/>
      <c r="AV1981" s="81"/>
      <c r="AW1981" s="81"/>
      <c r="AX1981" s="81"/>
      <c r="AY1981" s="81"/>
      <c r="AZ1981" s="81"/>
      <c r="BA1981" s="81"/>
      <c r="BB1981" s="81"/>
    </row>
    <row r="1982" spans="1:54" x14ac:dyDescent="0.35">
      <c r="A1982" s="66" t="s">
        <v>648</v>
      </c>
      <c r="B1982" s="66" t="s">
        <v>647</v>
      </c>
      <c r="C1982" s="67"/>
      <c r="D1982" s="68"/>
      <c r="E1982" s="69"/>
      <c r="F1982" s="70"/>
      <c r="G1982" s="67"/>
      <c r="H1982" s="71"/>
      <c r="I1982" s="72"/>
      <c r="J1982" s="72"/>
      <c r="K1982" s="36"/>
      <c r="L1982" s="79"/>
      <c r="M1982" s="79"/>
      <c r="N1982" s="74"/>
      <c r="O1982" s="81" t="s">
        <v>694</v>
      </c>
      <c r="P1982" s="83">
        <v>44467.372685185182</v>
      </c>
      <c r="Q1982" s="81" t="s">
        <v>801</v>
      </c>
      <c r="R1982" s="81"/>
      <c r="S1982" s="81"/>
      <c r="T1982" s="86" t="s">
        <v>649</v>
      </c>
      <c r="U1982" s="84" t="str">
        <f>HYPERLINK("https://pbs.twimg.com/media/FAEbDOhVUAIE92y.jpg")</f>
        <v>https://pbs.twimg.com/media/FAEbDOhVUAIE92y.jpg</v>
      </c>
      <c r="V1982" s="84" t="str">
        <f>HYPERLINK("https://pbs.twimg.com/media/FAEbDOhVUAIE92y.jpg")</f>
        <v>https://pbs.twimg.com/media/FAEbDOhVUAIE92y.jpg</v>
      </c>
      <c r="W1982" s="83">
        <v>44467.372685185182</v>
      </c>
      <c r="X1982" s="89">
        <v>44467</v>
      </c>
      <c r="Y1982" s="86" t="s">
        <v>6536</v>
      </c>
      <c r="Z1982" s="84" t="str">
        <f>HYPERLINK("https://twitter.com/malaysia_trade/status/1442775255068467202")</f>
        <v>https://twitter.com/malaysia_trade/status/1442775255068467202</v>
      </c>
      <c r="AA1982" s="81"/>
      <c r="AB1982" s="81"/>
      <c r="AC1982" s="86" t="s">
        <v>7456</v>
      </c>
      <c r="AD1982" s="81"/>
      <c r="AE1982" s="81" t="b">
        <v>0</v>
      </c>
      <c r="AF1982" s="81">
        <v>0</v>
      </c>
      <c r="AG1982" s="86" t="s">
        <v>2084</v>
      </c>
      <c r="AH1982" s="81" t="b">
        <v>0</v>
      </c>
      <c r="AI1982" s="81" t="s">
        <v>2168</v>
      </c>
      <c r="AJ1982" s="81"/>
      <c r="AK1982" s="86" t="s">
        <v>2084</v>
      </c>
      <c r="AL1982" s="81" t="b">
        <v>0</v>
      </c>
      <c r="AM1982" s="81">
        <v>6</v>
      </c>
      <c r="AN1982" s="86" t="s">
        <v>1849</v>
      </c>
      <c r="AO1982" s="86" t="s">
        <v>2179</v>
      </c>
      <c r="AP1982" s="81" t="b">
        <v>0</v>
      </c>
      <c r="AQ1982" s="86" t="s">
        <v>1849</v>
      </c>
      <c r="AR1982" s="81" t="s">
        <v>179</v>
      </c>
      <c r="AS1982" s="81">
        <v>0</v>
      </c>
      <c r="AT1982" s="81">
        <v>0</v>
      </c>
      <c r="AU1982" s="81"/>
      <c r="AV1982" s="81"/>
      <c r="AW1982" s="81"/>
      <c r="AX1982" s="81"/>
      <c r="AY1982" s="81"/>
      <c r="AZ1982" s="81"/>
      <c r="BA1982" s="81"/>
      <c r="BB1982" s="81"/>
    </row>
    <row r="1983" spans="1:54" x14ac:dyDescent="0.35">
      <c r="A1983" s="66" t="s">
        <v>648</v>
      </c>
      <c r="B1983" s="66" t="s">
        <v>647</v>
      </c>
      <c r="C1983" s="67"/>
      <c r="D1983" s="68"/>
      <c r="E1983" s="69"/>
      <c r="F1983" s="70"/>
      <c r="G1983" s="67"/>
      <c r="H1983" s="71"/>
      <c r="I1983" s="72"/>
      <c r="J1983" s="72"/>
      <c r="K1983" s="36"/>
      <c r="L1983" s="79"/>
      <c r="M1983" s="79"/>
      <c r="N1983" s="74"/>
      <c r="O1983" s="81" t="s">
        <v>694</v>
      </c>
      <c r="P1983" s="83">
        <v>44467.372731481482</v>
      </c>
      <c r="Q1983" s="81" t="s">
        <v>802</v>
      </c>
      <c r="R1983" s="81"/>
      <c r="S1983" s="81"/>
      <c r="T1983" s="86" t="s">
        <v>649</v>
      </c>
      <c r="U1983" s="84" t="str">
        <f>HYPERLINK("https://pbs.twimg.com/media/FAEa_mFUYAcoKUu.jpg")</f>
        <v>https://pbs.twimg.com/media/FAEa_mFUYAcoKUu.jpg</v>
      </c>
      <c r="V1983" s="84" t="str">
        <f>HYPERLINK("https://pbs.twimg.com/media/FAEa_mFUYAcoKUu.jpg")</f>
        <v>https://pbs.twimg.com/media/FAEa_mFUYAcoKUu.jpg</v>
      </c>
      <c r="W1983" s="83">
        <v>44467.372731481482</v>
      </c>
      <c r="X1983" s="89">
        <v>44467</v>
      </c>
      <c r="Y1983" s="86" t="s">
        <v>6537</v>
      </c>
      <c r="Z1983" s="84" t="str">
        <f>HYPERLINK("https://twitter.com/malaysia_trade/status/1442775269840863232")</f>
        <v>https://twitter.com/malaysia_trade/status/1442775269840863232</v>
      </c>
      <c r="AA1983" s="81"/>
      <c r="AB1983" s="81"/>
      <c r="AC1983" s="86" t="s">
        <v>7457</v>
      </c>
      <c r="AD1983" s="81"/>
      <c r="AE1983" s="81" t="b">
        <v>0</v>
      </c>
      <c r="AF1983" s="81">
        <v>0</v>
      </c>
      <c r="AG1983" s="86" t="s">
        <v>2084</v>
      </c>
      <c r="AH1983" s="81" t="b">
        <v>0</v>
      </c>
      <c r="AI1983" s="81" t="s">
        <v>2168</v>
      </c>
      <c r="AJ1983" s="81"/>
      <c r="AK1983" s="86" t="s">
        <v>2084</v>
      </c>
      <c r="AL1983" s="81" t="b">
        <v>0</v>
      </c>
      <c r="AM1983" s="81">
        <v>24</v>
      </c>
      <c r="AN1983" s="86" t="s">
        <v>1848</v>
      </c>
      <c r="AO1983" s="86" t="s">
        <v>2179</v>
      </c>
      <c r="AP1983" s="81" t="b">
        <v>0</v>
      </c>
      <c r="AQ1983" s="86" t="s">
        <v>1848</v>
      </c>
      <c r="AR1983" s="81" t="s">
        <v>179</v>
      </c>
      <c r="AS1983" s="81">
        <v>0</v>
      </c>
      <c r="AT1983" s="81">
        <v>0</v>
      </c>
      <c r="AU1983" s="81"/>
      <c r="AV1983" s="81"/>
      <c r="AW1983" s="81"/>
      <c r="AX1983" s="81"/>
      <c r="AY1983" s="81"/>
      <c r="AZ1983" s="81"/>
      <c r="BA1983" s="81"/>
      <c r="BB1983" s="81"/>
    </row>
    <row r="1984" spans="1:54" x14ac:dyDescent="0.35">
      <c r="A1984" s="66" t="s">
        <v>648</v>
      </c>
      <c r="B1984" s="66" t="s">
        <v>647</v>
      </c>
      <c r="C1984" s="67"/>
      <c r="D1984" s="68"/>
      <c r="E1984" s="69"/>
      <c r="F1984" s="70"/>
      <c r="G1984" s="67"/>
      <c r="H1984" s="71"/>
      <c r="I1984" s="72"/>
      <c r="J1984" s="72"/>
      <c r="K1984" s="36"/>
      <c r="L1984" s="79"/>
      <c r="M1984" s="79"/>
      <c r="N1984" s="74"/>
      <c r="O1984" s="81" t="s">
        <v>694</v>
      </c>
      <c r="P1984" s="83">
        <v>44467.372766203705</v>
      </c>
      <c r="Q1984" s="81" t="s">
        <v>803</v>
      </c>
      <c r="R1984" s="81"/>
      <c r="S1984" s="81"/>
      <c r="T1984" s="86" t="s">
        <v>649</v>
      </c>
      <c r="U1984" s="84" t="str">
        <f>HYPERLINK("https://pbs.twimg.com/media/FAEa7dXVkAcjbKg.jpg")</f>
        <v>https://pbs.twimg.com/media/FAEa7dXVkAcjbKg.jpg</v>
      </c>
      <c r="V1984" s="84" t="str">
        <f>HYPERLINK("https://pbs.twimg.com/media/FAEa7dXVkAcjbKg.jpg")</f>
        <v>https://pbs.twimg.com/media/FAEa7dXVkAcjbKg.jpg</v>
      </c>
      <c r="W1984" s="83">
        <v>44467.372766203705</v>
      </c>
      <c r="X1984" s="89">
        <v>44467</v>
      </c>
      <c r="Y1984" s="86" t="s">
        <v>6538</v>
      </c>
      <c r="Z1984" s="84" t="str">
        <f>HYPERLINK("https://twitter.com/malaysia_trade/status/1442775281496846338")</f>
        <v>https://twitter.com/malaysia_trade/status/1442775281496846338</v>
      </c>
      <c r="AA1984" s="81"/>
      <c r="AB1984" s="81"/>
      <c r="AC1984" s="86" t="s">
        <v>7458</v>
      </c>
      <c r="AD1984" s="81"/>
      <c r="AE1984" s="81" t="b">
        <v>0</v>
      </c>
      <c r="AF1984" s="81">
        <v>0</v>
      </c>
      <c r="AG1984" s="86" t="s">
        <v>2084</v>
      </c>
      <c r="AH1984" s="81" t="b">
        <v>0</v>
      </c>
      <c r="AI1984" s="81" t="s">
        <v>2168</v>
      </c>
      <c r="AJ1984" s="81"/>
      <c r="AK1984" s="86" t="s">
        <v>2084</v>
      </c>
      <c r="AL1984" s="81" t="b">
        <v>0</v>
      </c>
      <c r="AM1984" s="81">
        <v>21</v>
      </c>
      <c r="AN1984" s="86" t="s">
        <v>1847</v>
      </c>
      <c r="AO1984" s="86" t="s">
        <v>2179</v>
      </c>
      <c r="AP1984" s="81" t="b">
        <v>0</v>
      </c>
      <c r="AQ1984" s="86" t="s">
        <v>1847</v>
      </c>
      <c r="AR1984" s="81" t="s">
        <v>179</v>
      </c>
      <c r="AS1984" s="81">
        <v>0</v>
      </c>
      <c r="AT1984" s="81">
        <v>0</v>
      </c>
      <c r="AU1984" s="81"/>
      <c r="AV1984" s="81"/>
      <c r="AW1984" s="81"/>
      <c r="AX1984" s="81"/>
      <c r="AY1984" s="81"/>
      <c r="AZ1984" s="81"/>
      <c r="BA1984" s="81"/>
      <c r="BB1984" s="81"/>
    </row>
    <row r="1985" spans="1:54" x14ac:dyDescent="0.35">
      <c r="A1985" s="66" t="s">
        <v>648</v>
      </c>
      <c r="B1985" s="66" t="s">
        <v>647</v>
      </c>
      <c r="C1985" s="67"/>
      <c r="D1985" s="68"/>
      <c r="E1985" s="69"/>
      <c r="F1985" s="70"/>
      <c r="G1985" s="67"/>
      <c r="H1985" s="71"/>
      <c r="I1985" s="72"/>
      <c r="J1985" s="72"/>
      <c r="K1985" s="36"/>
      <c r="L1985" s="79"/>
      <c r="M1985" s="79"/>
      <c r="N1985" s="74"/>
      <c r="O1985" s="81" t="s">
        <v>694</v>
      </c>
      <c r="P1985" s="83">
        <v>44467.372800925928</v>
      </c>
      <c r="Q1985" s="81" t="s">
        <v>804</v>
      </c>
      <c r="R1985" s="81"/>
      <c r="S1985" s="81"/>
      <c r="T1985" s="86" t="s">
        <v>649</v>
      </c>
      <c r="U1985" s="84" t="str">
        <f>HYPERLINK("https://pbs.twimg.com/media/FAEaAdPVgAgaH2z.jpg")</f>
        <v>https://pbs.twimg.com/media/FAEaAdPVgAgaH2z.jpg</v>
      </c>
      <c r="V1985" s="84" t="str">
        <f>HYPERLINK("https://pbs.twimg.com/media/FAEaAdPVgAgaH2z.jpg")</f>
        <v>https://pbs.twimg.com/media/FAEaAdPVgAgaH2z.jpg</v>
      </c>
      <c r="W1985" s="83">
        <v>44467.372800925928</v>
      </c>
      <c r="X1985" s="89">
        <v>44467</v>
      </c>
      <c r="Y1985" s="86" t="s">
        <v>6539</v>
      </c>
      <c r="Z1985" s="84" t="str">
        <f>HYPERLINK("https://twitter.com/malaysia_trade/status/1442775294650159106")</f>
        <v>https://twitter.com/malaysia_trade/status/1442775294650159106</v>
      </c>
      <c r="AA1985" s="81"/>
      <c r="AB1985" s="81"/>
      <c r="AC1985" s="86" t="s">
        <v>7459</v>
      </c>
      <c r="AD1985" s="81"/>
      <c r="AE1985" s="81" t="b">
        <v>0</v>
      </c>
      <c r="AF1985" s="81">
        <v>0</v>
      </c>
      <c r="AG1985" s="86" t="s">
        <v>2084</v>
      </c>
      <c r="AH1985" s="81" t="b">
        <v>0</v>
      </c>
      <c r="AI1985" s="81" t="s">
        <v>2168</v>
      </c>
      <c r="AJ1985" s="81"/>
      <c r="AK1985" s="86" t="s">
        <v>2084</v>
      </c>
      <c r="AL1985" s="81" t="b">
        <v>0</v>
      </c>
      <c r="AM1985" s="81">
        <v>22</v>
      </c>
      <c r="AN1985" s="86" t="s">
        <v>1846</v>
      </c>
      <c r="AO1985" s="86" t="s">
        <v>2179</v>
      </c>
      <c r="AP1985" s="81" t="b">
        <v>0</v>
      </c>
      <c r="AQ1985" s="86" t="s">
        <v>1846</v>
      </c>
      <c r="AR1985" s="81" t="s">
        <v>179</v>
      </c>
      <c r="AS1985" s="81">
        <v>0</v>
      </c>
      <c r="AT1985" s="81">
        <v>0</v>
      </c>
      <c r="AU1985" s="81"/>
      <c r="AV1985" s="81"/>
      <c r="AW1985" s="81"/>
      <c r="AX1985" s="81"/>
      <c r="AY1985" s="81"/>
      <c r="AZ1985" s="81"/>
      <c r="BA1985" s="81"/>
      <c r="BB1985" s="81"/>
    </row>
    <row r="1986" spans="1:54" x14ac:dyDescent="0.35">
      <c r="A1986" s="66" t="s">
        <v>440</v>
      </c>
      <c r="B1986" s="66" t="s">
        <v>647</v>
      </c>
      <c r="C1986" s="67"/>
      <c r="D1986" s="68"/>
      <c r="E1986" s="69"/>
      <c r="F1986" s="70"/>
      <c r="G1986" s="67"/>
      <c r="H1986" s="71"/>
      <c r="I1986" s="72"/>
      <c r="J1986" s="72"/>
      <c r="K1986" s="36"/>
      <c r="L1986" s="79"/>
      <c r="M1986" s="79"/>
      <c r="N1986" s="74"/>
      <c r="O1986" s="81" t="s">
        <v>694</v>
      </c>
      <c r="P1986" s="83">
        <v>44464.150347222225</v>
      </c>
      <c r="Q1986" s="81" t="s">
        <v>804</v>
      </c>
      <c r="R1986" s="81"/>
      <c r="S1986" s="81"/>
      <c r="T1986" s="86" t="s">
        <v>649</v>
      </c>
      <c r="U1986" s="84" t="str">
        <f>HYPERLINK("https://pbs.twimg.com/media/FAEaAdPVgAgaH2z.jpg")</f>
        <v>https://pbs.twimg.com/media/FAEaAdPVgAgaH2z.jpg</v>
      </c>
      <c r="V1986" s="84" t="str">
        <f>HYPERLINK("https://pbs.twimg.com/media/FAEaAdPVgAgaH2z.jpg")</f>
        <v>https://pbs.twimg.com/media/FAEaAdPVgAgaH2z.jpg</v>
      </c>
      <c r="W1986" s="83">
        <v>44464.150347222225</v>
      </c>
      <c r="X1986" s="89">
        <v>44464</v>
      </c>
      <c r="Y1986" s="86" t="s">
        <v>1283</v>
      </c>
      <c r="Z1986" s="84" t="str">
        <f>HYPERLINK("https://twitter.com/glitterzkoo/status/1441607516903727105")</f>
        <v>https://twitter.com/glitterzkoo/status/1441607516903727105</v>
      </c>
      <c r="AA1986" s="81"/>
      <c r="AB1986" s="81"/>
      <c r="AC1986" s="86" t="s">
        <v>1779</v>
      </c>
      <c r="AD1986" s="81"/>
      <c r="AE1986" s="81" t="b">
        <v>0</v>
      </c>
      <c r="AF1986" s="81">
        <v>0</v>
      </c>
      <c r="AG1986" s="86" t="s">
        <v>2084</v>
      </c>
      <c r="AH1986" s="81" t="b">
        <v>0</v>
      </c>
      <c r="AI1986" s="81" t="s">
        <v>2168</v>
      </c>
      <c r="AJ1986" s="81"/>
      <c r="AK1986" s="86" t="s">
        <v>2084</v>
      </c>
      <c r="AL1986" s="81" t="b">
        <v>0</v>
      </c>
      <c r="AM1986" s="81">
        <v>22</v>
      </c>
      <c r="AN1986" s="86" t="s">
        <v>1846</v>
      </c>
      <c r="AO1986" s="86" t="s">
        <v>2179</v>
      </c>
      <c r="AP1986" s="81" t="b">
        <v>0</v>
      </c>
      <c r="AQ1986" s="86" t="s">
        <v>1846</v>
      </c>
      <c r="AR1986" s="81" t="s">
        <v>179</v>
      </c>
      <c r="AS1986" s="81">
        <v>0</v>
      </c>
      <c r="AT1986" s="81">
        <v>0</v>
      </c>
      <c r="AU1986" s="81"/>
      <c r="AV1986" s="81"/>
      <c r="AW1986" s="81"/>
      <c r="AX1986" s="81"/>
      <c r="AY1986" s="81"/>
      <c r="AZ1986" s="81"/>
      <c r="BA1986" s="81"/>
      <c r="BB1986" s="81"/>
    </row>
    <row r="1987" spans="1:54" x14ac:dyDescent="0.35">
      <c r="A1987" s="66" t="s">
        <v>496</v>
      </c>
      <c r="B1987" s="66" t="s">
        <v>648</v>
      </c>
      <c r="C1987" s="67"/>
      <c r="D1987" s="68"/>
      <c r="E1987" s="69"/>
      <c r="F1987" s="70"/>
      <c r="G1987" s="67"/>
      <c r="H1987" s="71"/>
      <c r="I1987" s="72"/>
      <c r="J1987" s="72"/>
      <c r="K1987" s="36"/>
      <c r="L1987" s="79"/>
      <c r="M1987" s="79"/>
      <c r="N1987" s="74"/>
      <c r="O1987" s="81" t="s">
        <v>696</v>
      </c>
      <c r="P1987" s="83">
        <v>44463.748692129629</v>
      </c>
      <c r="Q1987" s="81" t="s">
        <v>804</v>
      </c>
      <c r="R1987" s="81"/>
      <c r="S1987" s="81"/>
      <c r="T1987" s="86" t="s">
        <v>649</v>
      </c>
      <c r="U1987" s="84" t="str">
        <f>HYPERLINK("https://pbs.twimg.com/media/FAEaAdPVgAgaH2z.jpg")</f>
        <v>https://pbs.twimg.com/media/FAEaAdPVgAgaH2z.jpg</v>
      </c>
      <c r="V1987" s="84" t="str">
        <f>HYPERLINK("https://pbs.twimg.com/media/FAEaAdPVgAgaH2z.jpg")</f>
        <v>https://pbs.twimg.com/media/FAEaAdPVgAgaH2z.jpg</v>
      </c>
      <c r="W1987" s="83">
        <v>44463.748692129629</v>
      </c>
      <c r="X1987" s="89">
        <v>44463</v>
      </c>
      <c r="Y1987" s="86" t="s">
        <v>1350</v>
      </c>
      <c r="Z1987" s="84" t="str">
        <f>HYPERLINK("https://twitter.com/vointeuir/status/1441461960147488768")</f>
        <v>https://twitter.com/vointeuir/status/1441461960147488768</v>
      </c>
      <c r="AA1987" s="81"/>
      <c r="AB1987" s="81"/>
      <c r="AC1987" s="86" t="s">
        <v>1846</v>
      </c>
      <c r="AD1987" s="81"/>
      <c r="AE1987" s="81" t="b">
        <v>0</v>
      </c>
      <c r="AF1987" s="81">
        <v>10</v>
      </c>
      <c r="AG1987" s="86" t="s">
        <v>2084</v>
      </c>
      <c r="AH1987" s="81" t="b">
        <v>0</v>
      </c>
      <c r="AI1987" s="81" t="s">
        <v>2168</v>
      </c>
      <c r="AJ1987" s="81"/>
      <c r="AK1987" s="86" t="s">
        <v>2084</v>
      </c>
      <c r="AL1987" s="81" t="b">
        <v>0</v>
      </c>
      <c r="AM1987" s="81">
        <v>22</v>
      </c>
      <c r="AN1987" s="86" t="s">
        <v>2084</v>
      </c>
      <c r="AO1987" s="86" t="s">
        <v>2179</v>
      </c>
      <c r="AP1987" s="81" t="b">
        <v>0</v>
      </c>
      <c r="AQ1987" s="86" t="s">
        <v>1846</v>
      </c>
      <c r="AR1987" s="81" t="s">
        <v>179</v>
      </c>
      <c r="AS1987" s="81">
        <v>0</v>
      </c>
      <c r="AT1987" s="81">
        <v>0</v>
      </c>
      <c r="AU1987" s="81"/>
      <c r="AV1987" s="81"/>
      <c r="AW1987" s="81"/>
      <c r="AX1987" s="81"/>
      <c r="AY1987" s="81"/>
      <c r="AZ1987" s="81"/>
      <c r="BA1987" s="81"/>
      <c r="BB1987" s="81"/>
    </row>
    <row r="1988" spans="1:54" x14ac:dyDescent="0.35">
      <c r="A1988" s="66" t="s">
        <v>496</v>
      </c>
      <c r="B1988" s="66" t="s">
        <v>648</v>
      </c>
      <c r="C1988" s="67"/>
      <c r="D1988" s="68"/>
      <c r="E1988" s="69"/>
      <c r="F1988" s="70"/>
      <c r="G1988" s="67"/>
      <c r="H1988" s="71"/>
      <c r="I1988" s="72"/>
      <c r="J1988" s="72"/>
      <c r="K1988" s="36"/>
      <c r="L1988" s="79"/>
      <c r="M1988" s="79"/>
      <c r="N1988" s="74"/>
      <c r="O1988" s="81" t="s">
        <v>696</v>
      </c>
      <c r="P1988" s="83">
        <v>44463.751481481479</v>
      </c>
      <c r="Q1988" s="81" t="s">
        <v>803</v>
      </c>
      <c r="R1988" s="81"/>
      <c r="S1988" s="81"/>
      <c r="T1988" s="86" t="s">
        <v>649</v>
      </c>
      <c r="U1988" s="84" t="str">
        <f>HYPERLINK("https://pbs.twimg.com/media/FAEa7dXVkAcjbKg.jpg")</f>
        <v>https://pbs.twimg.com/media/FAEa7dXVkAcjbKg.jpg</v>
      </c>
      <c r="V1988" s="84" t="str">
        <f>HYPERLINK("https://pbs.twimg.com/media/FAEa7dXVkAcjbKg.jpg")</f>
        <v>https://pbs.twimg.com/media/FAEa7dXVkAcjbKg.jpg</v>
      </c>
      <c r="W1988" s="83">
        <v>44463.751481481479</v>
      </c>
      <c r="X1988" s="89">
        <v>44463</v>
      </c>
      <c r="Y1988" s="86" t="s">
        <v>1351</v>
      </c>
      <c r="Z1988" s="84" t="str">
        <f>HYPERLINK("https://twitter.com/vointeuir/status/1441462974925852681")</f>
        <v>https://twitter.com/vointeuir/status/1441462974925852681</v>
      </c>
      <c r="AA1988" s="81"/>
      <c r="AB1988" s="81"/>
      <c r="AC1988" s="86" t="s">
        <v>1847</v>
      </c>
      <c r="AD1988" s="81"/>
      <c r="AE1988" s="81" t="b">
        <v>0</v>
      </c>
      <c r="AF1988" s="81">
        <v>20</v>
      </c>
      <c r="AG1988" s="86" t="s">
        <v>2084</v>
      </c>
      <c r="AH1988" s="81" t="b">
        <v>0</v>
      </c>
      <c r="AI1988" s="81" t="s">
        <v>2168</v>
      </c>
      <c r="AJ1988" s="81"/>
      <c r="AK1988" s="86" t="s">
        <v>2084</v>
      </c>
      <c r="AL1988" s="81" t="b">
        <v>0</v>
      </c>
      <c r="AM1988" s="81">
        <v>21</v>
      </c>
      <c r="AN1988" s="86" t="s">
        <v>2084</v>
      </c>
      <c r="AO1988" s="86" t="s">
        <v>2179</v>
      </c>
      <c r="AP1988" s="81" t="b">
        <v>0</v>
      </c>
      <c r="AQ1988" s="86" t="s">
        <v>1847</v>
      </c>
      <c r="AR1988" s="81" t="s">
        <v>179</v>
      </c>
      <c r="AS1988" s="81">
        <v>0</v>
      </c>
      <c r="AT1988" s="81">
        <v>0</v>
      </c>
      <c r="AU1988" s="81"/>
      <c r="AV1988" s="81"/>
      <c r="AW1988" s="81"/>
      <c r="AX1988" s="81"/>
      <c r="AY1988" s="81"/>
      <c r="AZ1988" s="81"/>
      <c r="BA1988" s="81"/>
      <c r="BB1988" s="81"/>
    </row>
    <row r="1989" spans="1:54" x14ac:dyDescent="0.35">
      <c r="A1989" s="66" t="s">
        <v>496</v>
      </c>
      <c r="B1989" s="66" t="s">
        <v>648</v>
      </c>
      <c r="C1989" s="67"/>
      <c r="D1989" s="68"/>
      <c r="E1989" s="69"/>
      <c r="F1989" s="70"/>
      <c r="G1989" s="67"/>
      <c r="H1989" s="71"/>
      <c r="I1989" s="72"/>
      <c r="J1989" s="72"/>
      <c r="K1989" s="36"/>
      <c r="L1989" s="79"/>
      <c r="M1989" s="79"/>
      <c r="N1989" s="74"/>
      <c r="O1989" s="81" t="s">
        <v>696</v>
      </c>
      <c r="P1989" s="83">
        <v>44463.751666666663</v>
      </c>
      <c r="Q1989" s="81" t="s">
        <v>802</v>
      </c>
      <c r="R1989" s="81"/>
      <c r="S1989" s="81"/>
      <c r="T1989" s="86" t="s">
        <v>649</v>
      </c>
      <c r="U1989" s="84" t="str">
        <f>HYPERLINK("https://pbs.twimg.com/media/FAEa_mFUYAcoKUu.jpg")</f>
        <v>https://pbs.twimg.com/media/FAEa_mFUYAcoKUu.jpg</v>
      </c>
      <c r="V1989" s="84" t="str">
        <f>HYPERLINK("https://pbs.twimg.com/media/FAEa_mFUYAcoKUu.jpg")</f>
        <v>https://pbs.twimg.com/media/FAEa_mFUYAcoKUu.jpg</v>
      </c>
      <c r="W1989" s="83">
        <v>44463.751666666663</v>
      </c>
      <c r="X1989" s="89">
        <v>44463</v>
      </c>
      <c r="Y1989" s="86" t="s">
        <v>1352</v>
      </c>
      <c r="Z1989" s="84" t="str">
        <f>HYPERLINK("https://twitter.com/vointeuir/status/1441463042038910980")</f>
        <v>https://twitter.com/vointeuir/status/1441463042038910980</v>
      </c>
      <c r="AA1989" s="81"/>
      <c r="AB1989" s="81"/>
      <c r="AC1989" s="86" t="s">
        <v>1848</v>
      </c>
      <c r="AD1989" s="81"/>
      <c r="AE1989" s="81" t="b">
        <v>0</v>
      </c>
      <c r="AF1989" s="81">
        <v>14</v>
      </c>
      <c r="AG1989" s="86" t="s">
        <v>2084</v>
      </c>
      <c r="AH1989" s="81" t="b">
        <v>0</v>
      </c>
      <c r="AI1989" s="81" t="s">
        <v>2168</v>
      </c>
      <c r="AJ1989" s="81"/>
      <c r="AK1989" s="86" t="s">
        <v>2084</v>
      </c>
      <c r="AL1989" s="81" t="b">
        <v>0</v>
      </c>
      <c r="AM1989" s="81">
        <v>24</v>
      </c>
      <c r="AN1989" s="86" t="s">
        <v>2084</v>
      </c>
      <c r="AO1989" s="86" t="s">
        <v>2179</v>
      </c>
      <c r="AP1989" s="81" t="b">
        <v>0</v>
      </c>
      <c r="AQ1989" s="86" t="s">
        <v>1848</v>
      </c>
      <c r="AR1989" s="81" t="s">
        <v>179</v>
      </c>
      <c r="AS1989" s="81">
        <v>0</v>
      </c>
      <c r="AT1989" s="81">
        <v>0</v>
      </c>
      <c r="AU1989" s="81"/>
      <c r="AV1989" s="81"/>
      <c r="AW1989" s="81"/>
      <c r="AX1989" s="81"/>
      <c r="AY1989" s="81"/>
      <c r="AZ1989" s="81"/>
      <c r="BA1989" s="81"/>
      <c r="BB1989" s="81"/>
    </row>
    <row r="1990" spans="1:54" x14ac:dyDescent="0.35">
      <c r="A1990" s="66" t="s">
        <v>496</v>
      </c>
      <c r="B1990" s="66" t="s">
        <v>648</v>
      </c>
      <c r="C1990" s="67"/>
      <c r="D1990" s="68"/>
      <c r="E1990" s="69"/>
      <c r="F1990" s="70"/>
      <c r="G1990" s="67"/>
      <c r="H1990" s="71"/>
      <c r="I1990" s="72"/>
      <c r="J1990" s="72"/>
      <c r="K1990" s="36"/>
      <c r="L1990" s="79"/>
      <c r="M1990" s="79"/>
      <c r="N1990" s="74"/>
      <c r="O1990" s="81" t="s">
        <v>696</v>
      </c>
      <c r="P1990" s="83">
        <v>44463.751840277779</v>
      </c>
      <c r="Q1990" s="81" t="s">
        <v>801</v>
      </c>
      <c r="R1990" s="81"/>
      <c r="S1990" s="81"/>
      <c r="T1990" s="86" t="s">
        <v>649</v>
      </c>
      <c r="U1990" s="84" t="str">
        <f>HYPERLINK("https://pbs.twimg.com/media/FAEbDOhVUAIE92y.jpg")</f>
        <v>https://pbs.twimg.com/media/FAEbDOhVUAIE92y.jpg</v>
      </c>
      <c r="V1990" s="84" t="str">
        <f>HYPERLINK("https://pbs.twimg.com/media/FAEbDOhVUAIE92y.jpg")</f>
        <v>https://pbs.twimg.com/media/FAEbDOhVUAIE92y.jpg</v>
      </c>
      <c r="W1990" s="83">
        <v>44463.751840277779</v>
      </c>
      <c r="X1990" s="89">
        <v>44463</v>
      </c>
      <c r="Y1990" s="86" t="s">
        <v>1353</v>
      </c>
      <c r="Z1990" s="84" t="str">
        <f>HYPERLINK("https://twitter.com/vointeuir/status/1441463104949215232")</f>
        <v>https://twitter.com/vointeuir/status/1441463104949215232</v>
      </c>
      <c r="AA1990" s="81"/>
      <c r="AB1990" s="81"/>
      <c r="AC1990" s="86" t="s">
        <v>1849</v>
      </c>
      <c r="AD1990" s="81"/>
      <c r="AE1990" s="81" t="b">
        <v>0</v>
      </c>
      <c r="AF1990" s="81">
        <v>1</v>
      </c>
      <c r="AG1990" s="86" t="s">
        <v>2084</v>
      </c>
      <c r="AH1990" s="81" t="b">
        <v>0</v>
      </c>
      <c r="AI1990" s="81" t="s">
        <v>2168</v>
      </c>
      <c r="AJ1990" s="81"/>
      <c r="AK1990" s="86" t="s">
        <v>2084</v>
      </c>
      <c r="AL1990" s="81" t="b">
        <v>0</v>
      </c>
      <c r="AM1990" s="81">
        <v>6</v>
      </c>
      <c r="AN1990" s="86" t="s">
        <v>2084</v>
      </c>
      <c r="AO1990" s="86" t="s">
        <v>2179</v>
      </c>
      <c r="AP1990" s="81" t="b">
        <v>0</v>
      </c>
      <c r="AQ1990" s="86" t="s">
        <v>1849</v>
      </c>
      <c r="AR1990" s="81" t="s">
        <v>179</v>
      </c>
      <c r="AS1990" s="81">
        <v>0</v>
      </c>
      <c r="AT1990" s="81">
        <v>0</v>
      </c>
      <c r="AU1990" s="81"/>
      <c r="AV1990" s="81"/>
      <c r="AW1990" s="81"/>
      <c r="AX1990" s="81"/>
      <c r="AY1990" s="81"/>
      <c r="AZ1990" s="81"/>
      <c r="BA1990" s="81"/>
      <c r="BB1990" s="81"/>
    </row>
    <row r="1991" spans="1:54" x14ac:dyDescent="0.35">
      <c r="A1991" s="66" t="s">
        <v>496</v>
      </c>
      <c r="B1991" s="66" t="s">
        <v>648</v>
      </c>
      <c r="C1991" s="67"/>
      <c r="D1991" s="68"/>
      <c r="E1991" s="69"/>
      <c r="F1991" s="70"/>
      <c r="G1991" s="67"/>
      <c r="H1991" s="71"/>
      <c r="I1991" s="72"/>
      <c r="J1991" s="72"/>
      <c r="K1991" s="36"/>
      <c r="L1991" s="79"/>
      <c r="M1991" s="79"/>
      <c r="N1991" s="74"/>
      <c r="O1991" s="81" t="s">
        <v>696</v>
      </c>
      <c r="P1991" s="83">
        <v>44463.752025462964</v>
      </c>
      <c r="Q1991" s="81" t="s">
        <v>800</v>
      </c>
      <c r="R1991" s="81"/>
      <c r="S1991" s="81"/>
      <c r="T1991" s="86" t="s">
        <v>649</v>
      </c>
      <c r="U1991" s="84" t="str">
        <f>HYPERLINK("https://pbs.twimg.com/media/FAEbG8nUcA0oIOp.jpg")</f>
        <v>https://pbs.twimg.com/media/FAEbG8nUcA0oIOp.jpg</v>
      </c>
      <c r="V1991" s="84" t="str">
        <f>HYPERLINK("https://pbs.twimg.com/media/FAEbG8nUcA0oIOp.jpg")</f>
        <v>https://pbs.twimg.com/media/FAEbG8nUcA0oIOp.jpg</v>
      </c>
      <c r="W1991" s="83">
        <v>44463.752025462964</v>
      </c>
      <c r="X1991" s="89">
        <v>44463</v>
      </c>
      <c r="Y1991" s="86" t="s">
        <v>1354</v>
      </c>
      <c r="Z1991" s="84" t="str">
        <f>HYPERLINK("https://twitter.com/vointeuir/status/1441463169487028228")</f>
        <v>https://twitter.com/vointeuir/status/1441463169487028228</v>
      </c>
      <c r="AA1991" s="81"/>
      <c r="AB1991" s="81"/>
      <c r="AC1991" s="86" t="s">
        <v>1850</v>
      </c>
      <c r="AD1991" s="81"/>
      <c r="AE1991" s="81" t="b">
        <v>0</v>
      </c>
      <c r="AF1991" s="81">
        <v>1</v>
      </c>
      <c r="AG1991" s="86" t="s">
        <v>2084</v>
      </c>
      <c r="AH1991" s="81" t="b">
        <v>0</v>
      </c>
      <c r="AI1991" s="81" t="s">
        <v>2168</v>
      </c>
      <c r="AJ1991" s="81"/>
      <c r="AK1991" s="86" t="s">
        <v>2084</v>
      </c>
      <c r="AL1991" s="81" t="b">
        <v>0</v>
      </c>
      <c r="AM1991" s="81">
        <v>6</v>
      </c>
      <c r="AN1991" s="86" t="s">
        <v>2084</v>
      </c>
      <c r="AO1991" s="86" t="s">
        <v>2179</v>
      </c>
      <c r="AP1991" s="81" t="b">
        <v>0</v>
      </c>
      <c r="AQ1991" s="86" t="s">
        <v>1850</v>
      </c>
      <c r="AR1991" s="81" t="s">
        <v>179</v>
      </c>
      <c r="AS1991" s="81">
        <v>0</v>
      </c>
      <c r="AT1991" s="81">
        <v>0</v>
      </c>
      <c r="AU1991" s="81"/>
      <c r="AV1991" s="81"/>
      <c r="AW1991" s="81"/>
      <c r="AX1991" s="81"/>
      <c r="AY1991" s="81"/>
      <c r="AZ1991" s="81"/>
      <c r="BA1991" s="81"/>
      <c r="BB1991" s="81"/>
    </row>
    <row r="1992" spans="1:54" x14ac:dyDescent="0.35">
      <c r="A1992" s="66" t="s">
        <v>648</v>
      </c>
      <c r="B1992" s="66" t="s">
        <v>649</v>
      </c>
      <c r="C1992" s="67"/>
      <c r="D1992" s="68"/>
      <c r="E1992" s="69"/>
      <c r="F1992" s="70"/>
      <c r="G1992" s="67"/>
      <c r="H1992" s="71"/>
      <c r="I1992" s="72"/>
      <c r="J1992" s="72"/>
      <c r="K1992" s="36"/>
      <c r="L1992" s="79"/>
      <c r="M1992" s="79"/>
      <c r="N1992" s="74"/>
      <c r="O1992" s="81" t="s">
        <v>694</v>
      </c>
      <c r="P1992" s="83">
        <v>44467.372650462959</v>
      </c>
      <c r="Q1992" s="81" t="s">
        <v>800</v>
      </c>
      <c r="R1992" s="81"/>
      <c r="S1992" s="81"/>
      <c r="T1992" s="86" t="s">
        <v>649</v>
      </c>
      <c r="U1992" s="84" t="str">
        <f>HYPERLINK("https://pbs.twimg.com/media/FAEbG8nUcA0oIOp.jpg")</f>
        <v>https://pbs.twimg.com/media/FAEbG8nUcA0oIOp.jpg</v>
      </c>
      <c r="V1992" s="84" t="str">
        <f>HYPERLINK("https://pbs.twimg.com/media/FAEbG8nUcA0oIOp.jpg")</f>
        <v>https://pbs.twimg.com/media/FAEbG8nUcA0oIOp.jpg</v>
      </c>
      <c r="W1992" s="83">
        <v>44467.372650462959</v>
      </c>
      <c r="X1992" s="89">
        <v>44467</v>
      </c>
      <c r="Y1992" s="86" t="s">
        <v>6535</v>
      </c>
      <c r="Z1992" s="84" t="str">
        <f>HYPERLINK("https://twitter.com/malaysia_trade/status/1442775241344704519")</f>
        <v>https://twitter.com/malaysia_trade/status/1442775241344704519</v>
      </c>
      <c r="AA1992" s="81"/>
      <c r="AB1992" s="81"/>
      <c r="AC1992" s="86" t="s">
        <v>7455</v>
      </c>
      <c r="AD1992" s="81"/>
      <c r="AE1992" s="81" t="b">
        <v>0</v>
      </c>
      <c r="AF1992" s="81">
        <v>0</v>
      </c>
      <c r="AG1992" s="86" t="s">
        <v>2084</v>
      </c>
      <c r="AH1992" s="81" t="b">
        <v>0</v>
      </c>
      <c r="AI1992" s="81" t="s">
        <v>2168</v>
      </c>
      <c r="AJ1992" s="81"/>
      <c r="AK1992" s="86" t="s">
        <v>2084</v>
      </c>
      <c r="AL1992" s="81" t="b">
        <v>0</v>
      </c>
      <c r="AM1992" s="81">
        <v>6</v>
      </c>
      <c r="AN1992" s="86" t="s">
        <v>1850</v>
      </c>
      <c r="AO1992" s="86" t="s">
        <v>2179</v>
      </c>
      <c r="AP1992" s="81" t="b">
        <v>0</v>
      </c>
      <c r="AQ1992" s="86" t="s">
        <v>1850</v>
      </c>
      <c r="AR1992" s="81" t="s">
        <v>179</v>
      </c>
      <c r="AS1992" s="81">
        <v>0</v>
      </c>
      <c r="AT1992" s="81">
        <v>0</v>
      </c>
      <c r="AU1992" s="81"/>
      <c r="AV1992" s="81"/>
      <c r="AW1992" s="81"/>
      <c r="AX1992" s="81"/>
      <c r="AY1992" s="81"/>
      <c r="AZ1992" s="81"/>
      <c r="BA1992" s="81"/>
      <c r="BB1992" s="81"/>
    </row>
    <row r="1993" spans="1:54" x14ac:dyDescent="0.35">
      <c r="A1993" s="66" t="s">
        <v>648</v>
      </c>
      <c r="B1993" s="66" t="s">
        <v>496</v>
      </c>
      <c r="C1993" s="67"/>
      <c r="D1993" s="68"/>
      <c r="E1993" s="69"/>
      <c r="F1993" s="70"/>
      <c r="G1993" s="67"/>
      <c r="H1993" s="71"/>
      <c r="I1993" s="72"/>
      <c r="J1993" s="72"/>
      <c r="K1993" s="36"/>
      <c r="L1993" s="79"/>
      <c r="M1993" s="79"/>
      <c r="N1993" s="74"/>
      <c r="O1993" s="81" t="s">
        <v>693</v>
      </c>
      <c r="P1993" s="83">
        <v>44467.372650462959</v>
      </c>
      <c r="Q1993" s="81" t="s">
        <v>800</v>
      </c>
      <c r="R1993" s="81"/>
      <c r="S1993" s="81"/>
      <c r="T1993" s="86" t="s">
        <v>649</v>
      </c>
      <c r="U1993" s="84" t="str">
        <f>HYPERLINK("https://pbs.twimg.com/media/FAEbG8nUcA0oIOp.jpg")</f>
        <v>https://pbs.twimg.com/media/FAEbG8nUcA0oIOp.jpg</v>
      </c>
      <c r="V1993" s="84" t="str">
        <f>HYPERLINK("https://pbs.twimg.com/media/FAEbG8nUcA0oIOp.jpg")</f>
        <v>https://pbs.twimg.com/media/FAEbG8nUcA0oIOp.jpg</v>
      </c>
      <c r="W1993" s="83">
        <v>44467.372650462959</v>
      </c>
      <c r="X1993" s="89">
        <v>44467</v>
      </c>
      <c r="Y1993" s="86" t="s">
        <v>6535</v>
      </c>
      <c r="Z1993" s="84" t="str">
        <f>HYPERLINK("https://twitter.com/malaysia_trade/status/1442775241344704519")</f>
        <v>https://twitter.com/malaysia_trade/status/1442775241344704519</v>
      </c>
      <c r="AA1993" s="81"/>
      <c r="AB1993" s="81"/>
      <c r="AC1993" s="86" t="s">
        <v>7455</v>
      </c>
      <c r="AD1993" s="81"/>
      <c r="AE1993" s="81" t="b">
        <v>0</v>
      </c>
      <c r="AF1993" s="81">
        <v>0</v>
      </c>
      <c r="AG1993" s="86" t="s">
        <v>2084</v>
      </c>
      <c r="AH1993" s="81" t="b">
        <v>0</v>
      </c>
      <c r="AI1993" s="81" t="s">
        <v>2168</v>
      </c>
      <c r="AJ1993" s="81"/>
      <c r="AK1993" s="86" t="s">
        <v>2084</v>
      </c>
      <c r="AL1993" s="81" t="b">
        <v>0</v>
      </c>
      <c r="AM1993" s="81">
        <v>6</v>
      </c>
      <c r="AN1993" s="86" t="s">
        <v>1850</v>
      </c>
      <c r="AO1993" s="86" t="s">
        <v>2179</v>
      </c>
      <c r="AP1993" s="81" t="b">
        <v>0</v>
      </c>
      <c r="AQ1993" s="86" t="s">
        <v>1850</v>
      </c>
      <c r="AR1993" s="81" t="s">
        <v>179</v>
      </c>
      <c r="AS1993" s="81">
        <v>0</v>
      </c>
      <c r="AT1993" s="81">
        <v>0</v>
      </c>
      <c r="AU1993" s="81"/>
      <c r="AV1993" s="81"/>
      <c r="AW1993" s="81"/>
      <c r="AX1993" s="81"/>
      <c r="AY1993" s="81"/>
      <c r="AZ1993" s="81"/>
      <c r="BA1993" s="81"/>
      <c r="BB1993" s="81"/>
    </row>
    <row r="1994" spans="1:54" x14ac:dyDescent="0.35">
      <c r="A1994" s="66" t="s">
        <v>648</v>
      </c>
      <c r="B1994" s="66" t="s">
        <v>649</v>
      </c>
      <c r="C1994" s="67"/>
      <c r="D1994" s="68"/>
      <c r="E1994" s="69"/>
      <c r="F1994" s="70"/>
      <c r="G1994" s="67"/>
      <c r="H1994" s="71"/>
      <c r="I1994" s="72"/>
      <c r="J1994" s="72"/>
      <c r="K1994" s="36"/>
      <c r="L1994" s="79"/>
      <c r="M1994" s="79"/>
      <c r="N1994" s="74"/>
      <c r="O1994" s="81" t="s">
        <v>694</v>
      </c>
      <c r="P1994" s="83">
        <v>44467.372685185182</v>
      </c>
      <c r="Q1994" s="81" t="s">
        <v>801</v>
      </c>
      <c r="R1994" s="81"/>
      <c r="S1994" s="81"/>
      <c r="T1994" s="86" t="s">
        <v>649</v>
      </c>
      <c r="U1994" s="84" t="str">
        <f>HYPERLINK("https://pbs.twimg.com/media/FAEbDOhVUAIE92y.jpg")</f>
        <v>https://pbs.twimg.com/media/FAEbDOhVUAIE92y.jpg</v>
      </c>
      <c r="V1994" s="84" t="str">
        <f>HYPERLINK("https://pbs.twimg.com/media/FAEbDOhVUAIE92y.jpg")</f>
        <v>https://pbs.twimg.com/media/FAEbDOhVUAIE92y.jpg</v>
      </c>
      <c r="W1994" s="83">
        <v>44467.372685185182</v>
      </c>
      <c r="X1994" s="89">
        <v>44467</v>
      </c>
      <c r="Y1994" s="86" t="s">
        <v>6536</v>
      </c>
      <c r="Z1994" s="84" t="str">
        <f>HYPERLINK("https://twitter.com/malaysia_trade/status/1442775255068467202")</f>
        <v>https://twitter.com/malaysia_trade/status/1442775255068467202</v>
      </c>
      <c r="AA1994" s="81"/>
      <c r="AB1994" s="81"/>
      <c r="AC1994" s="86" t="s">
        <v>7456</v>
      </c>
      <c r="AD1994" s="81"/>
      <c r="AE1994" s="81" t="b">
        <v>0</v>
      </c>
      <c r="AF1994" s="81">
        <v>0</v>
      </c>
      <c r="AG1994" s="86" t="s">
        <v>2084</v>
      </c>
      <c r="AH1994" s="81" t="b">
        <v>0</v>
      </c>
      <c r="AI1994" s="81" t="s">
        <v>2168</v>
      </c>
      <c r="AJ1994" s="81"/>
      <c r="AK1994" s="86" t="s">
        <v>2084</v>
      </c>
      <c r="AL1994" s="81" t="b">
        <v>0</v>
      </c>
      <c r="AM1994" s="81">
        <v>6</v>
      </c>
      <c r="AN1994" s="86" t="s">
        <v>1849</v>
      </c>
      <c r="AO1994" s="86" t="s">
        <v>2179</v>
      </c>
      <c r="AP1994" s="81" t="b">
        <v>0</v>
      </c>
      <c r="AQ1994" s="86" t="s">
        <v>1849</v>
      </c>
      <c r="AR1994" s="81" t="s">
        <v>179</v>
      </c>
      <c r="AS1994" s="81">
        <v>0</v>
      </c>
      <c r="AT1994" s="81">
        <v>0</v>
      </c>
      <c r="AU1994" s="81"/>
      <c r="AV1994" s="81"/>
      <c r="AW1994" s="81"/>
      <c r="AX1994" s="81"/>
      <c r="AY1994" s="81"/>
      <c r="AZ1994" s="81"/>
      <c r="BA1994" s="81"/>
      <c r="BB1994" s="81"/>
    </row>
    <row r="1995" spans="1:54" x14ac:dyDescent="0.35">
      <c r="A1995" s="66" t="s">
        <v>648</v>
      </c>
      <c r="B1995" s="66" t="s">
        <v>496</v>
      </c>
      <c r="C1995" s="67"/>
      <c r="D1995" s="68"/>
      <c r="E1995" s="69"/>
      <c r="F1995" s="70"/>
      <c r="G1995" s="67"/>
      <c r="H1995" s="71"/>
      <c r="I1995" s="72"/>
      <c r="J1995" s="72"/>
      <c r="K1995" s="36"/>
      <c r="L1995" s="79"/>
      <c r="M1995" s="79"/>
      <c r="N1995" s="74"/>
      <c r="O1995" s="81" t="s">
        <v>693</v>
      </c>
      <c r="P1995" s="83">
        <v>44467.372685185182</v>
      </c>
      <c r="Q1995" s="81" t="s">
        <v>801</v>
      </c>
      <c r="R1995" s="81"/>
      <c r="S1995" s="81"/>
      <c r="T1995" s="86" t="s">
        <v>649</v>
      </c>
      <c r="U1995" s="84" t="str">
        <f>HYPERLINK("https://pbs.twimg.com/media/FAEbDOhVUAIE92y.jpg")</f>
        <v>https://pbs.twimg.com/media/FAEbDOhVUAIE92y.jpg</v>
      </c>
      <c r="V1995" s="84" t="str">
        <f>HYPERLINK("https://pbs.twimg.com/media/FAEbDOhVUAIE92y.jpg")</f>
        <v>https://pbs.twimg.com/media/FAEbDOhVUAIE92y.jpg</v>
      </c>
      <c r="W1995" s="83">
        <v>44467.372685185182</v>
      </c>
      <c r="X1995" s="89">
        <v>44467</v>
      </c>
      <c r="Y1995" s="86" t="s">
        <v>6536</v>
      </c>
      <c r="Z1995" s="84" t="str">
        <f>HYPERLINK("https://twitter.com/malaysia_trade/status/1442775255068467202")</f>
        <v>https://twitter.com/malaysia_trade/status/1442775255068467202</v>
      </c>
      <c r="AA1995" s="81"/>
      <c r="AB1995" s="81"/>
      <c r="AC1995" s="86" t="s">
        <v>7456</v>
      </c>
      <c r="AD1995" s="81"/>
      <c r="AE1995" s="81" t="b">
        <v>0</v>
      </c>
      <c r="AF1995" s="81">
        <v>0</v>
      </c>
      <c r="AG1995" s="86" t="s">
        <v>2084</v>
      </c>
      <c r="AH1995" s="81" t="b">
        <v>0</v>
      </c>
      <c r="AI1995" s="81" t="s">
        <v>2168</v>
      </c>
      <c r="AJ1995" s="81"/>
      <c r="AK1995" s="86" t="s">
        <v>2084</v>
      </c>
      <c r="AL1995" s="81" t="b">
        <v>0</v>
      </c>
      <c r="AM1995" s="81">
        <v>6</v>
      </c>
      <c r="AN1995" s="86" t="s">
        <v>1849</v>
      </c>
      <c r="AO1995" s="86" t="s">
        <v>2179</v>
      </c>
      <c r="AP1995" s="81" t="b">
        <v>0</v>
      </c>
      <c r="AQ1995" s="86" t="s">
        <v>1849</v>
      </c>
      <c r="AR1995" s="81" t="s">
        <v>179</v>
      </c>
      <c r="AS1995" s="81">
        <v>0</v>
      </c>
      <c r="AT1995" s="81">
        <v>0</v>
      </c>
      <c r="AU1995" s="81"/>
      <c r="AV1995" s="81"/>
      <c r="AW1995" s="81"/>
      <c r="AX1995" s="81"/>
      <c r="AY1995" s="81"/>
      <c r="AZ1995" s="81"/>
      <c r="BA1995" s="81"/>
      <c r="BB1995" s="81"/>
    </row>
    <row r="1996" spans="1:54" x14ac:dyDescent="0.35">
      <c r="A1996" s="66" t="s">
        <v>648</v>
      </c>
      <c r="B1996" s="66" t="s">
        <v>649</v>
      </c>
      <c r="C1996" s="67"/>
      <c r="D1996" s="68"/>
      <c r="E1996" s="69"/>
      <c r="F1996" s="70"/>
      <c r="G1996" s="67"/>
      <c r="H1996" s="71"/>
      <c r="I1996" s="72"/>
      <c r="J1996" s="72"/>
      <c r="K1996" s="36"/>
      <c r="L1996" s="79"/>
      <c r="M1996" s="79"/>
      <c r="N1996" s="74"/>
      <c r="O1996" s="81" t="s">
        <v>694</v>
      </c>
      <c r="P1996" s="83">
        <v>44467.372731481482</v>
      </c>
      <c r="Q1996" s="81" t="s">
        <v>802</v>
      </c>
      <c r="R1996" s="81"/>
      <c r="S1996" s="81"/>
      <c r="T1996" s="86" t="s">
        <v>649</v>
      </c>
      <c r="U1996" s="84" t="str">
        <f>HYPERLINK("https://pbs.twimg.com/media/FAEa_mFUYAcoKUu.jpg")</f>
        <v>https://pbs.twimg.com/media/FAEa_mFUYAcoKUu.jpg</v>
      </c>
      <c r="V1996" s="84" t="str">
        <f>HYPERLINK("https://pbs.twimg.com/media/FAEa_mFUYAcoKUu.jpg")</f>
        <v>https://pbs.twimg.com/media/FAEa_mFUYAcoKUu.jpg</v>
      </c>
      <c r="W1996" s="83">
        <v>44467.372731481482</v>
      </c>
      <c r="X1996" s="89">
        <v>44467</v>
      </c>
      <c r="Y1996" s="86" t="s">
        <v>6537</v>
      </c>
      <c r="Z1996" s="84" t="str">
        <f>HYPERLINK("https://twitter.com/malaysia_trade/status/1442775269840863232")</f>
        <v>https://twitter.com/malaysia_trade/status/1442775269840863232</v>
      </c>
      <c r="AA1996" s="81"/>
      <c r="AB1996" s="81"/>
      <c r="AC1996" s="86" t="s">
        <v>7457</v>
      </c>
      <c r="AD1996" s="81"/>
      <c r="AE1996" s="81" t="b">
        <v>0</v>
      </c>
      <c r="AF1996" s="81">
        <v>0</v>
      </c>
      <c r="AG1996" s="86" t="s">
        <v>2084</v>
      </c>
      <c r="AH1996" s="81" t="b">
        <v>0</v>
      </c>
      <c r="AI1996" s="81" t="s">
        <v>2168</v>
      </c>
      <c r="AJ1996" s="81"/>
      <c r="AK1996" s="86" t="s">
        <v>2084</v>
      </c>
      <c r="AL1996" s="81" t="b">
        <v>0</v>
      </c>
      <c r="AM1996" s="81">
        <v>24</v>
      </c>
      <c r="AN1996" s="86" t="s">
        <v>1848</v>
      </c>
      <c r="AO1996" s="86" t="s">
        <v>2179</v>
      </c>
      <c r="AP1996" s="81" t="b">
        <v>0</v>
      </c>
      <c r="AQ1996" s="86" t="s">
        <v>1848</v>
      </c>
      <c r="AR1996" s="81" t="s">
        <v>179</v>
      </c>
      <c r="AS1996" s="81">
        <v>0</v>
      </c>
      <c r="AT1996" s="81">
        <v>0</v>
      </c>
      <c r="AU1996" s="81"/>
      <c r="AV1996" s="81"/>
      <c r="AW1996" s="81"/>
      <c r="AX1996" s="81"/>
      <c r="AY1996" s="81"/>
      <c r="AZ1996" s="81"/>
      <c r="BA1996" s="81"/>
      <c r="BB1996" s="81"/>
    </row>
    <row r="1997" spans="1:54" x14ac:dyDescent="0.35">
      <c r="A1997" s="66" t="s">
        <v>648</v>
      </c>
      <c r="B1997" s="66" t="s">
        <v>496</v>
      </c>
      <c r="C1997" s="67"/>
      <c r="D1997" s="68"/>
      <c r="E1997" s="69"/>
      <c r="F1997" s="70"/>
      <c r="G1997" s="67"/>
      <c r="H1997" s="71"/>
      <c r="I1997" s="72"/>
      <c r="J1997" s="72"/>
      <c r="K1997" s="36"/>
      <c r="L1997" s="79"/>
      <c r="M1997" s="79"/>
      <c r="N1997" s="74"/>
      <c r="O1997" s="81" t="s">
        <v>693</v>
      </c>
      <c r="P1997" s="83">
        <v>44467.372731481482</v>
      </c>
      <c r="Q1997" s="81" t="s">
        <v>802</v>
      </c>
      <c r="R1997" s="81"/>
      <c r="S1997" s="81"/>
      <c r="T1997" s="86" t="s">
        <v>649</v>
      </c>
      <c r="U1997" s="84" t="str">
        <f>HYPERLINK("https://pbs.twimg.com/media/FAEa_mFUYAcoKUu.jpg")</f>
        <v>https://pbs.twimg.com/media/FAEa_mFUYAcoKUu.jpg</v>
      </c>
      <c r="V1997" s="84" t="str">
        <f>HYPERLINK("https://pbs.twimg.com/media/FAEa_mFUYAcoKUu.jpg")</f>
        <v>https://pbs.twimg.com/media/FAEa_mFUYAcoKUu.jpg</v>
      </c>
      <c r="W1997" s="83">
        <v>44467.372731481482</v>
      </c>
      <c r="X1997" s="89">
        <v>44467</v>
      </c>
      <c r="Y1997" s="86" t="s">
        <v>6537</v>
      </c>
      <c r="Z1997" s="84" t="str">
        <f>HYPERLINK("https://twitter.com/malaysia_trade/status/1442775269840863232")</f>
        <v>https://twitter.com/malaysia_trade/status/1442775269840863232</v>
      </c>
      <c r="AA1997" s="81"/>
      <c r="AB1997" s="81"/>
      <c r="AC1997" s="86" t="s">
        <v>7457</v>
      </c>
      <c r="AD1997" s="81"/>
      <c r="AE1997" s="81" t="b">
        <v>0</v>
      </c>
      <c r="AF1997" s="81">
        <v>0</v>
      </c>
      <c r="AG1997" s="86" t="s">
        <v>2084</v>
      </c>
      <c r="AH1997" s="81" t="b">
        <v>0</v>
      </c>
      <c r="AI1997" s="81" t="s">
        <v>2168</v>
      </c>
      <c r="AJ1997" s="81"/>
      <c r="AK1997" s="86" t="s">
        <v>2084</v>
      </c>
      <c r="AL1997" s="81" t="b">
        <v>0</v>
      </c>
      <c r="AM1997" s="81">
        <v>24</v>
      </c>
      <c r="AN1997" s="86" t="s">
        <v>1848</v>
      </c>
      <c r="AO1997" s="86" t="s">
        <v>2179</v>
      </c>
      <c r="AP1997" s="81" t="b">
        <v>0</v>
      </c>
      <c r="AQ1997" s="86" t="s">
        <v>1848</v>
      </c>
      <c r="AR1997" s="81" t="s">
        <v>179</v>
      </c>
      <c r="AS1997" s="81">
        <v>0</v>
      </c>
      <c r="AT1997" s="81">
        <v>0</v>
      </c>
      <c r="AU1997" s="81"/>
      <c r="AV1997" s="81"/>
      <c r="AW1997" s="81"/>
      <c r="AX1997" s="81"/>
      <c r="AY1997" s="81"/>
      <c r="AZ1997" s="81"/>
      <c r="BA1997" s="81"/>
      <c r="BB1997" s="81"/>
    </row>
    <row r="1998" spans="1:54" x14ac:dyDescent="0.35">
      <c r="A1998" s="66" t="s">
        <v>648</v>
      </c>
      <c r="B1998" s="66" t="s">
        <v>649</v>
      </c>
      <c r="C1998" s="67"/>
      <c r="D1998" s="68"/>
      <c r="E1998" s="69"/>
      <c r="F1998" s="70"/>
      <c r="G1998" s="67"/>
      <c r="H1998" s="71"/>
      <c r="I1998" s="72"/>
      <c r="J1998" s="72"/>
      <c r="K1998" s="36"/>
      <c r="L1998" s="79"/>
      <c r="M1998" s="79"/>
      <c r="N1998" s="74"/>
      <c r="O1998" s="81" t="s">
        <v>694</v>
      </c>
      <c r="P1998" s="83">
        <v>44467.372766203705</v>
      </c>
      <c r="Q1998" s="81" t="s">
        <v>803</v>
      </c>
      <c r="R1998" s="81"/>
      <c r="S1998" s="81"/>
      <c r="T1998" s="86" t="s">
        <v>649</v>
      </c>
      <c r="U1998" s="84" t="str">
        <f>HYPERLINK("https://pbs.twimg.com/media/FAEa7dXVkAcjbKg.jpg")</f>
        <v>https://pbs.twimg.com/media/FAEa7dXVkAcjbKg.jpg</v>
      </c>
      <c r="V1998" s="84" t="str">
        <f>HYPERLINK("https://pbs.twimg.com/media/FAEa7dXVkAcjbKg.jpg")</f>
        <v>https://pbs.twimg.com/media/FAEa7dXVkAcjbKg.jpg</v>
      </c>
      <c r="W1998" s="83">
        <v>44467.372766203705</v>
      </c>
      <c r="X1998" s="89">
        <v>44467</v>
      </c>
      <c r="Y1998" s="86" t="s">
        <v>6538</v>
      </c>
      <c r="Z1998" s="84" t="str">
        <f>HYPERLINK("https://twitter.com/malaysia_trade/status/1442775281496846338")</f>
        <v>https://twitter.com/malaysia_trade/status/1442775281496846338</v>
      </c>
      <c r="AA1998" s="81"/>
      <c r="AB1998" s="81"/>
      <c r="AC1998" s="86" t="s">
        <v>7458</v>
      </c>
      <c r="AD1998" s="81"/>
      <c r="AE1998" s="81" t="b">
        <v>0</v>
      </c>
      <c r="AF1998" s="81">
        <v>0</v>
      </c>
      <c r="AG1998" s="86" t="s">
        <v>2084</v>
      </c>
      <c r="AH1998" s="81" t="b">
        <v>0</v>
      </c>
      <c r="AI1998" s="81" t="s">
        <v>2168</v>
      </c>
      <c r="AJ1998" s="81"/>
      <c r="AK1998" s="86" t="s">
        <v>2084</v>
      </c>
      <c r="AL1998" s="81" t="b">
        <v>0</v>
      </c>
      <c r="AM1998" s="81">
        <v>21</v>
      </c>
      <c r="AN1998" s="86" t="s">
        <v>1847</v>
      </c>
      <c r="AO1998" s="86" t="s">
        <v>2179</v>
      </c>
      <c r="AP1998" s="81" t="b">
        <v>0</v>
      </c>
      <c r="AQ1998" s="86" t="s">
        <v>1847</v>
      </c>
      <c r="AR1998" s="81" t="s">
        <v>179</v>
      </c>
      <c r="AS1998" s="81">
        <v>0</v>
      </c>
      <c r="AT1998" s="81">
        <v>0</v>
      </c>
      <c r="AU1998" s="81"/>
      <c r="AV1998" s="81"/>
      <c r="AW1998" s="81"/>
      <c r="AX1998" s="81"/>
      <c r="AY1998" s="81"/>
      <c r="AZ1998" s="81"/>
      <c r="BA1998" s="81"/>
      <c r="BB1998" s="81"/>
    </row>
    <row r="1999" spans="1:54" x14ac:dyDescent="0.35">
      <c r="A1999" s="66" t="s">
        <v>648</v>
      </c>
      <c r="B1999" s="66" t="s">
        <v>496</v>
      </c>
      <c r="C1999" s="67"/>
      <c r="D1999" s="68"/>
      <c r="E1999" s="69"/>
      <c r="F1999" s="70"/>
      <c r="G1999" s="67"/>
      <c r="H1999" s="71"/>
      <c r="I1999" s="72"/>
      <c r="J1999" s="72"/>
      <c r="K1999" s="36"/>
      <c r="L1999" s="79"/>
      <c r="M1999" s="79"/>
      <c r="N1999" s="74"/>
      <c r="O1999" s="81" t="s">
        <v>693</v>
      </c>
      <c r="P1999" s="83">
        <v>44467.372766203705</v>
      </c>
      <c r="Q1999" s="81" t="s">
        <v>803</v>
      </c>
      <c r="R1999" s="81"/>
      <c r="S1999" s="81"/>
      <c r="T1999" s="86" t="s">
        <v>649</v>
      </c>
      <c r="U1999" s="84" t="str">
        <f>HYPERLINK("https://pbs.twimg.com/media/FAEa7dXVkAcjbKg.jpg")</f>
        <v>https://pbs.twimg.com/media/FAEa7dXVkAcjbKg.jpg</v>
      </c>
      <c r="V1999" s="84" t="str">
        <f>HYPERLINK("https://pbs.twimg.com/media/FAEa7dXVkAcjbKg.jpg")</f>
        <v>https://pbs.twimg.com/media/FAEa7dXVkAcjbKg.jpg</v>
      </c>
      <c r="W1999" s="83">
        <v>44467.372766203705</v>
      </c>
      <c r="X1999" s="89">
        <v>44467</v>
      </c>
      <c r="Y1999" s="86" t="s">
        <v>6538</v>
      </c>
      <c r="Z1999" s="84" t="str">
        <f>HYPERLINK("https://twitter.com/malaysia_trade/status/1442775281496846338")</f>
        <v>https://twitter.com/malaysia_trade/status/1442775281496846338</v>
      </c>
      <c r="AA1999" s="81"/>
      <c r="AB1999" s="81"/>
      <c r="AC1999" s="86" t="s">
        <v>7458</v>
      </c>
      <c r="AD1999" s="81"/>
      <c r="AE1999" s="81" t="b">
        <v>0</v>
      </c>
      <c r="AF1999" s="81">
        <v>0</v>
      </c>
      <c r="AG1999" s="86" t="s">
        <v>2084</v>
      </c>
      <c r="AH1999" s="81" t="b">
        <v>0</v>
      </c>
      <c r="AI1999" s="81" t="s">
        <v>2168</v>
      </c>
      <c r="AJ1999" s="81"/>
      <c r="AK1999" s="86" t="s">
        <v>2084</v>
      </c>
      <c r="AL1999" s="81" t="b">
        <v>0</v>
      </c>
      <c r="AM1999" s="81">
        <v>21</v>
      </c>
      <c r="AN1999" s="86" t="s">
        <v>1847</v>
      </c>
      <c r="AO1999" s="86" t="s">
        <v>2179</v>
      </c>
      <c r="AP1999" s="81" t="b">
        <v>0</v>
      </c>
      <c r="AQ1999" s="86" t="s">
        <v>1847</v>
      </c>
      <c r="AR1999" s="81" t="s">
        <v>179</v>
      </c>
      <c r="AS1999" s="81">
        <v>0</v>
      </c>
      <c r="AT1999" s="81">
        <v>0</v>
      </c>
      <c r="AU1999" s="81"/>
      <c r="AV1999" s="81"/>
      <c r="AW1999" s="81"/>
      <c r="AX1999" s="81"/>
      <c r="AY1999" s="81"/>
      <c r="AZ1999" s="81"/>
      <c r="BA1999" s="81"/>
      <c r="BB1999" s="81"/>
    </row>
    <row r="2000" spans="1:54" x14ac:dyDescent="0.35">
      <c r="A2000" s="66" t="s">
        <v>648</v>
      </c>
      <c r="B2000" s="66" t="s">
        <v>649</v>
      </c>
      <c r="C2000" s="67"/>
      <c r="D2000" s="68"/>
      <c r="E2000" s="69"/>
      <c r="F2000" s="70"/>
      <c r="G2000" s="67"/>
      <c r="H2000" s="71"/>
      <c r="I2000" s="72"/>
      <c r="J2000" s="72"/>
      <c r="K2000" s="36"/>
      <c r="L2000" s="79"/>
      <c r="M2000" s="79"/>
      <c r="N2000" s="74"/>
      <c r="O2000" s="81" t="s">
        <v>694</v>
      </c>
      <c r="P2000" s="83">
        <v>44467.372800925928</v>
      </c>
      <c r="Q2000" s="81" t="s">
        <v>804</v>
      </c>
      <c r="R2000" s="81"/>
      <c r="S2000" s="81"/>
      <c r="T2000" s="86" t="s">
        <v>649</v>
      </c>
      <c r="U2000" s="84" t="str">
        <f>HYPERLINK("https://pbs.twimg.com/media/FAEaAdPVgAgaH2z.jpg")</f>
        <v>https://pbs.twimg.com/media/FAEaAdPVgAgaH2z.jpg</v>
      </c>
      <c r="V2000" s="84" t="str">
        <f>HYPERLINK("https://pbs.twimg.com/media/FAEaAdPVgAgaH2z.jpg")</f>
        <v>https://pbs.twimg.com/media/FAEaAdPVgAgaH2z.jpg</v>
      </c>
      <c r="W2000" s="83">
        <v>44467.372800925928</v>
      </c>
      <c r="X2000" s="89">
        <v>44467</v>
      </c>
      <c r="Y2000" s="86" t="s">
        <v>6539</v>
      </c>
      <c r="Z2000" s="84" t="str">
        <f>HYPERLINK("https://twitter.com/malaysia_trade/status/1442775294650159106")</f>
        <v>https://twitter.com/malaysia_trade/status/1442775294650159106</v>
      </c>
      <c r="AA2000" s="81"/>
      <c r="AB2000" s="81"/>
      <c r="AC2000" s="86" t="s">
        <v>7459</v>
      </c>
      <c r="AD2000" s="81"/>
      <c r="AE2000" s="81" t="b">
        <v>0</v>
      </c>
      <c r="AF2000" s="81">
        <v>0</v>
      </c>
      <c r="AG2000" s="86" t="s">
        <v>2084</v>
      </c>
      <c r="AH2000" s="81" t="b">
        <v>0</v>
      </c>
      <c r="AI2000" s="81" t="s">
        <v>2168</v>
      </c>
      <c r="AJ2000" s="81"/>
      <c r="AK2000" s="86" t="s">
        <v>2084</v>
      </c>
      <c r="AL2000" s="81" t="b">
        <v>0</v>
      </c>
      <c r="AM2000" s="81">
        <v>22</v>
      </c>
      <c r="AN2000" s="86" t="s">
        <v>1846</v>
      </c>
      <c r="AO2000" s="86" t="s">
        <v>2179</v>
      </c>
      <c r="AP2000" s="81" t="b">
        <v>0</v>
      </c>
      <c r="AQ2000" s="86" t="s">
        <v>1846</v>
      </c>
      <c r="AR2000" s="81" t="s">
        <v>179</v>
      </c>
      <c r="AS2000" s="81">
        <v>0</v>
      </c>
      <c r="AT2000" s="81">
        <v>0</v>
      </c>
      <c r="AU2000" s="81"/>
      <c r="AV2000" s="81"/>
      <c r="AW2000" s="81"/>
      <c r="AX2000" s="81"/>
      <c r="AY2000" s="81"/>
      <c r="AZ2000" s="81"/>
      <c r="BA2000" s="81"/>
      <c r="BB2000" s="81"/>
    </row>
    <row r="2001" spans="1:54" x14ac:dyDescent="0.35">
      <c r="A2001" s="66" t="s">
        <v>648</v>
      </c>
      <c r="B2001" s="66" t="s">
        <v>496</v>
      </c>
      <c r="C2001" s="67"/>
      <c r="D2001" s="68"/>
      <c r="E2001" s="69"/>
      <c r="F2001" s="70"/>
      <c r="G2001" s="67"/>
      <c r="H2001" s="71"/>
      <c r="I2001" s="72"/>
      <c r="J2001" s="72"/>
      <c r="K2001" s="36"/>
      <c r="L2001" s="79"/>
      <c r="M2001" s="79"/>
      <c r="N2001" s="74"/>
      <c r="O2001" s="81" t="s">
        <v>693</v>
      </c>
      <c r="P2001" s="83">
        <v>44467.372800925928</v>
      </c>
      <c r="Q2001" s="81" t="s">
        <v>804</v>
      </c>
      <c r="R2001" s="81"/>
      <c r="S2001" s="81"/>
      <c r="T2001" s="86" t="s">
        <v>649</v>
      </c>
      <c r="U2001" s="84" t="str">
        <f>HYPERLINK("https://pbs.twimg.com/media/FAEaAdPVgAgaH2z.jpg")</f>
        <v>https://pbs.twimg.com/media/FAEaAdPVgAgaH2z.jpg</v>
      </c>
      <c r="V2001" s="84" t="str">
        <f>HYPERLINK("https://pbs.twimg.com/media/FAEaAdPVgAgaH2z.jpg")</f>
        <v>https://pbs.twimg.com/media/FAEaAdPVgAgaH2z.jpg</v>
      </c>
      <c r="W2001" s="83">
        <v>44467.372800925928</v>
      </c>
      <c r="X2001" s="89">
        <v>44467</v>
      </c>
      <c r="Y2001" s="86" t="s">
        <v>6539</v>
      </c>
      <c r="Z2001" s="84" t="str">
        <f>HYPERLINK("https://twitter.com/malaysia_trade/status/1442775294650159106")</f>
        <v>https://twitter.com/malaysia_trade/status/1442775294650159106</v>
      </c>
      <c r="AA2001" s="81"/>
      <c r="AB2001" s="81"/>
      <c r="AC2001" s="86" t="s">
        <v>7459</v>
      </c>
      <c r="AD2001" s="81"/>
      <c r="AE2001" s="81" t="b">
        <v>0</v>
      </c>
      <c r="AF2001" s="81">
        <v>0</v>
      </c>
      <c r="AG2001" s="86" t="s">
        <v>2084</v>
      </c>
      <c r="AH2001" s="81" t="b">
        <v>0</v>
      </c>
      <c r="AI2001" s="81" t="s">
        <v>2168</v>
      </c>
      <c r="AJ2001" s="81"/>
      <c r="AK2001" s="86" t="s">
        <v>2084</v>
      </c>
      <c r="AL2001" s="81" t="b">
        <v>0</v>
      </c>
      <c r="AM2001" s="81">
        <v>22</v>
      </c>
      <c r="AN2001" s="86" t="s">
        <v>1846</v>
      </c>
      <c r="AO2001" s="86" t="s">
        <v>2179</v>
      </c>
      <c r="AP2001" s="81" t="b">
        <v>0</v>
      </c>
      <c r="AQ2001" s="86" t="s">
        <v>1846</v>
      </c>
      <c r="AR2001" s="81" t="s">
        <v>179</v>
      </c>
      <c r="AS2001" s="81">
        <v>0</v>
      </c>
      <c r="AT2001" s="81">
        <v>0</v>
      </c>
      <c r="AU2001" s="81"/>
      <c r="AV2001" s="81"/>
      <c r="AW2001" s="81"/>
      <c r="AX2001" s="81"/>
      <c r="AY2001" s="81"/>
      <c r="AZ2001" s="81"/>
      <c r="BA2001" s="81"/>
      <c r="BB2001" s="81"/>
    </row>
    <row r="2002" spans="1:54" x14ac:dyDescent="0.35">
      <c r="A2002" s="66" t="s">
        <v>440</v>
      </c>
      <c r="B2002" s="66" t="s">
        <v>648</v>
      </c>
      <c r="C2002" s="67"/>
      <c r="D2002" s="68"/>
      <c r="E2002" s="69"/>
      <c r="F2002" s="70"/>
      <c r="G2002" s="67"/>
      <c r="H2002" s="71"/>
      <c r="I2002" s="72"/>
      <c r="J2002" s="72"/>
      <c r="K2002" s="36"/>
      <c r="L2002" s="79"/>
      <c r="M2002" s="79"/>
      <c r="N2002" s="74"/>
      <c r="O2002" s="81" t="s">
        <v>694</v>
      </c>
      <c r="P2002" s="83">
        <v>44464.150347222225</v>
      </c>
      <c r="Q2002" s="81" t="s">
        <v>804</v>
      </c>
      <c r="R2002" s="81"/>
      <c r="S2002" s="81"/>
      <c r="T2002" s="86" t="s">
        <v>649</v>
      </c>
      <c r="U2002" s="84" t="str">
        <f>HYPERLINK("https://pbs.twimg.com/media/FAEaAdPVgAgaH2z.jpg")</f>
        <v>https://pbs.twimg.com/media/FAEaAdPVgAgaH2z.jpg</v>
      </c>
      <c r="V2002" s="84" t="str">
        <f>HYPERLINK("https://pbs.twimg.com/media/FAEaAdPVgAgaH2z.jpg")</f>
        <v>https://pbs.twimg.com/media/FAEaAdPVgAgaH2z.jpg</v>
      </c>
      <c r="W2002" s="83">
        <v>44464.150347222225</v>
      </c>
      <c r="X2002" s="89">
        <v>44464</v>
      </c>
      <c r="Y2002" s="86" t="s">
        <v>1283</v>
      </c>
      <c r="Z2002" s="84" t="str">
        <f>HYPERLINK("https://twitter.com/glitterzkoo/status/1441607516903727105")</f>
        <v>https://twitter.com/glitterzkoo/status/1441607516903727105</v>
      </c>
      <c r="AA2002" s="81"/>
      <c r="AB2002" s="81"/>
      <c r="AC2002" s="86" t="s">
        <v>1779</v>
      </c>
      <c r="AD2002" s="81"/>
      <c r="AE2002" s="81" t="b">
        <v>0</v>
      </c>
      <c r="AF2002" s="81">
        <v>0</v>
      </c>
      <c r="AG2002" s="86" t="s">
        <v>2084</v>
      </c>
      <c r="AH2002" s="81" t="b">
        <v>0</v>
      </c>
      <c r="AI2002" s="81" t="s">
        <v>2168</v>
      </c>
      <c r="AJ2002" s="81"/>
      <c r="AK2002" s="86" t="s">
        <v>2084</v>
      </c>
      <c r="AL2002" s="81" t="b">
        <v>0</v>
      </c>
      <c r="AM2002" s="81">
        <v>22</v>
      </c>
      <c r="AN2002" s="86" t="s">
        <v>1846</v>
      </c>
      <c r="AO2002" s="86" t="s">
        <v>2179</v>
      </c>
      <c r="AP2002" s="81" t="b">
        <v>0</v>
      </c>
      <c r="AQ2002" s="86" t="s">
        <v>1846</v>
      </c>
      <c r="AR2002" s="81" t="s">
        <v>179</v>
      </c>
      <c r="AS2002" s="81">
        <v>0</v>
      </c>
      <c r="AT2002" s="81">
        <v>0</v>
      </c>
      <c r="AU2002" s="81"/>
      <c r="AV2002" s="81"/>
      <c r="AW2002" s="81"/>
      <c r="AX2002" s="81"/>
      <c r="AY2002" s="81"/>
      <c r="AZ2002" s="81"/>
      <c r="BA2002" s="81"/>
      <c r="BB2002" s="81"/>
    </row>
    <row r="2003" spans="1:54" x14ac:dyDescent="0.35">
      <c r="A2003" s="66" t="s">
        <v>496</v>
      </c>
      <c r="B2003" s="66" t="s">
        <v>649</v>
      </c>
      <c r="C2003" s="67"/>
      <c r="D2003" s="68"/>
      <c r="E2003" s="69"/>
      <c r="F2003" s="70"/>
      <c r="G2003" s="67"/>
      <c r="H2003" s="71"/>
      <c r="I2003" s="72"/>
      <c r="J2003" s="72"/>
      <c r="K2003" s="36"/>
      <c r="L2003" s="79"/>
      <c r="M2003" s="79"/>
      <c r="N2003" s="74"/>
      <c r="O2003" s="81" t="s">
        <v>696</v>
      </c>
      <c r="P2003" s="83">
        <v>44463.748692129629</v>
      </c>
      <c r="Q2003" s="81" t="s">
        <v>804</v>
      </c>
      <c r="R2003" s="81"/>
      <c r="S2003" s="81"/>
      <c r="T2003" s="86" t="s">
        <v>649</v>
      </c>
      <c r="U2003" s="84" t="str">
        <f>HYPERLINK("https://pbs.twimg.com/media/FAEaAdPVgAgaH2z.jpg")</f>
        <v>https://pbs.twimg.com/media/FAEaAdPVgAgaH2z.jpg</v>
      </c>
      <c r="V2003" s="84" t="str">
        <f>HYPERLINK("https://pbs.twimg.com/media/FAEaAdPVgAgaH2z.jpg")</f>
        <v>https://pbs.twimg.com/media/FAEaAdPVgAgaH2z.jpg</v>
      </c>
      <c r="W2003" s="83">
        <v>44463.748692129629</v>
      </c>
      <c r="X2003" s="89">
        <v>44463</v>
      </c>
      <c r="Y2003" s="86" t="s">
        <v>1350</v>
      </c>
      <c r="Z2003" s="84" t="str">
        <f>HYPERLINK("https://twitter.com/vointeuir/status/1441461960147488768")</f>
        <v>https://twitter.com/vointeuir/status/1441461960147488768</v>
      </c>
      <c r="AA2003" s="81"/>
      <c r="AB2003" s="81"/>
      <c r="AC2003" s="86" t="s">
        <v>1846</v>
      </c>
      <c r="AD2003" s="81"/>
      <c r="AE2003" s="81" t="b">
        <v>0</v>
      </c>
      <c r="AF2003" s="81">
        <v>10</v>
      </c>
      <c r="AG2003" s="86" t="s">
        <v>2084</v>
      </c>
      <c r="AH2003" s="81" t="b">
        <v>0</v>
      </c>
      <c r="AI2003" s="81" t="s">
        <v>2168</v>
      </c>
      <c r="AJ2003" s="81"/>
      <c r="AK2003" s="86" t="s">
        <v>2084</v>
      </c>
      <c r="AL2003" s="81" t="b">
        <v>0</v>
      </c>
      <c r="AM2003" s="81">
        <v>22</v>
      </c>
      <c r="AN2003" s="86" t="s">
        <v>2084</v>
      </c>
      <c r="AO2003" s="86" t="s">
        <v>2179</v>
      </c>
      <c r="AP2003" s="81" t="b">
        <v>0</v>
      </c>
      <c r="AQ2003" s="86" t="s">
        <v>1846</v>
      </c>
      <c r="AR2003" s="81" t="s">
        <v>179</v>
      </c>
      <c r="AS2003" s="81">
        <v>0</v>
      </c>
      <c r="AT2003" s="81">
        <v>0</v>
      </c>
      <c r="AU2003" s="81"/>
      <c r="AV2003" s="81"/>
      <c r="AW2003" s="81"/>
      <c r="AX2003" s="81"/>
      <c r="AY2003" s="81"/>
      <c r="AZ2003" s="81"/>
      <c r="BA2003" s="81"/>
      <c r="BB2003" s="81"/>
    </row>
    <row r="2004" spans="1:54" x14ac:dyDescent="0.35">
      <c r="A2004" s="66" t="s">
        <v>496</v>
      </c>
      <c r="B2004" s="66" t="s">
        <v>649</v>
      </c>
      <c r="C2004" s="67"/>
      <c r="D2004" s="68"/>
      <c r="E2004" s="69"/>
      <c r="F2004" s="70"/>
      <c r="G2004" s="67"/>
      <c r="H2004" s="71"/>
      <c r="I2004" s="72"/>
      <c r="J2004" s="72"/>
      <c r="K2004" s="36"/>
      <c r="L2004" s="79"/>
      <c r="M2004" s="79"/>
      <c r="N2004" s="74"/>
      <c r="O2004" s="81" t="s">
        <v>696</v>
      </c>
      <c r="P2004" s="83">
        <v>44463.751481481479</v>
      </c>
      <c r="Q2004" s="81" t="s">
        <v>803</v>
      </c>
      <c r="R2004" s="81"/>
      <c r="S2004" s="81"/>
      <c r="T2004" s="86" t="s">
        <v>649</v>
      </c>
      <c r="U2004" s="84" t="str">
        <f>HYPERLINK("https://pbs.twimg.com/media/FAEa7dXVkAcjbKg.jpg")</f>
        <v>https://pbs.twimg.com/media/FAEa7dXVkAcjbKg.jpg</v>
      </c>
      <c r="V2004" s="84" t="str">
        <f>HYPERLINK("https://pbs.twimg.com/media/FAEa7dXVkAcjbKg.jpg")</f>
        <v>https://pbs.twimg.com/media/FAEa7dXVkAcjbKg.jpg</v>
      </c>
      <c r="W2004" s="83">
        <v>44463.751481481479</v>
      </c>
      <c r="X2004" s="89">
        <v>44463</v>
      </c>
      <c r="Y2004" s="86" t="s">
        <v>1351</v>
      </c>
      <c r="Z2004" s="84" t="str">
        <f>HYPERLINK("https://twitter.com/vointeuir/status/1441462974925852681")</f>
        <v>https://twitter.com/vointeuir/status/1441462974925852681</v>
      </c>
      <c r="AA2004" s="81"/>
      <c r="AB2004" s="81"/>
      <c r="AC2004" s="86" t="s">
        <v>1847</v>
      </c>
      <c r="AD2004" s="81"/>
      <c r="AE2004" s="81" t="b">
        <v>0</v>
      </c>
      <c r="AF2004" s="81">
        <v>20</v>
      </c>
      <c r="AG2004" s="86" t="s">
        <v>2084</v>
      </c>
      <c r="AH2004" s="81" t="b">
        <v>0</v>
      </c>
      <c r="AI2004" s="81" t="s">
        <v>2168</v>
      </c>
      <c r="AJ2004" s="81"/>
      <c r="AK2004" s="86" t="s">
        <v>2084</v>
      </c>
      <c r="AL2004" s="81" t="b">
        <v>0</v>
      </c>
      <c r="AM2004" s="81">
        <v>21</v>
      </c>
      <c r="AN2004" s="86" t="s">
        <v>2084</v>
      </c>
      <c r="AO2004" s="86" t="s">
        <v>2179</v>
      </c>
      <c r="AP2004" s="81" t="b">
        <v>0</v>
      </c>
      <c r="AQ2004" s="86" t="s">
        <v>1847</v>
      </c>
      <c r="AR2004" s="81" t="s">
        <v>179</v>
      </c>
      <c r="AS2004" s="81">
        <v>0</v>
      </c>
      <c r="AT2004" s="81">
        <v>0</v>
      </c>
      <c r="AU2004" s="81"/>
      <c r="AV2004" s="81"/>
      <c r="AW2004" s="81"/>
      <c r="AX2004" s="81"/>
      <c r="AY2004" s="81"/>
      <c r="AZ2004" s="81"/>
      <c r="BA2004" s="81"/>
      <c r="BB2004" s="81"/>
    </row>
    <row r="2005" spans="1:54" x14ac:dyDescent="0.35">
      <c r="A2005" s="66" t="s">
        <v>496</v>
      </c>
      <c r="B2005" s="66" t="s">
        <v>649</v>
      </c>
      <c r="C2005" s="67"/>
      <c r="D2005" s="68"/>
      <c r="E2005" s="69"/>
      <c r="F2005" s="70"/>
      <c r="G2005" s="67"/>
      <c r="H2005" s="71"/>
      <c r="I2005" s="72"/>
      <c r="J2005" s="72"/>
      <c r="K2005" s="36"/>
      <c r="L2005" s="79"/>
      <c r="M2005" s="79"/>
      <c r="N2005" s="74"/>
      <c r="O2005" s="81" t="s">
        <v>696</v>
      </c>
      <c r="P2005" s="83">
        <v>44463.751666666663</v>
      </c>
      <c r="Q2005" s="81" t="s">
        <v>802</v>
      </c>
      <c r="R2005" s="81"/>
      <c r="S2005" s="81"/>
      <c r="T2005" s="86" t="s">
        <v>649</v>
      </c>
      <c r="U2005" s="84" t="str">
        <f>HYPERLINK("https://pbs.twimg.com/media/FAEa_mFUYAcoKUu.jpg")</f>
        <v>https://pbs.twimg.com/media/FAEa_mFUYAcoKUu.jpg</v>
      </c>
      <c r="V2005" s="84" t="str">
        <f>HYPERLINK("https://pbs.twimg.com/media/FAEa_mFUYAcoKUu.jpg")</f>
        <v>https://pbs.twimg.com/media/FAEa_mFUYAcoKUu.jpg</v>
      </c>
      <c r="W2005" s="83">
        <v>44463.751666666663</v>
      </c>
      <c r="X2005" s="89">
        <v>44463</v>
      </c>
      <c r="Y2005" s="86" t="s">
        <v>1352</v>
      </c>
      <c r="Z2005" s="84" t="str">
        <f>HYPERLINK("https://twitter.com/vointeuir/status/1441463042038910980")</f>
        <v>https://twitter.com/vointeuir/status/1441463042038910980</v>
      </c>
      <c r="AA2005" s="81"/>
      <c r="AB2005" s="81"/>
      <c r="AC2005" s="86" t="s">
        <v>1848</v>
      </c>
      <c r="AD2005" s="81"/>
      <c r="AE2005" s="81" t="b">
        <v>0</v>
      </c>
      <c r="AF2005" s="81">
        <v>14</v>
      </c>
      <c r="AG2005" s="86" t="s">
        <v>2084</v>
      </c>
      <c r="AH2005" s="81" t="b">
        <v>0</v>
      </c>
      <c r="AI2005" s="81" t="s">
        <v>2168</v>
      </c>
      <c r="AJ2005" s="81"/>
      <c r="AK2005" s="86" t="s">
        <v>2084</v>
      </c>
      <c r="AL2005" s="81" t="b">
        <v>0</v>
      </c>
      <c r="AM2005" s="81">
        <v>24</v>
      </c>
      <c r="AN2005" s="86" t="s">
        <v>2084</v>
      </c>
      <c r="AO2005" s="86" t="s">
        <v>2179</v>
      </c>
      <c r="AP2005" s="81" t="b">
        <v>0</v>
      </c>
      <c r="AQ2005" s="86" t="s">
        <v>1848</v>
      </c>
      <c r="AR2005" s="81" t="s">
        <v>179</v>
      </c>
      <c r="AS2005" s="81">
        <v>0</v>
      </c>
      <c r="AT2005" s="81">
        <v>0</v>
      </c>
      <c r="AU2005" s="81"/>
      <c r="AV2005" s="81"/>
      <c r="AW2005" s="81"/>
      <c r="AX2005" s="81"/>
      <c r="AY2005" s="81"/>
      <c r="AZ2005" s="81"/>
      <c r="BA2005" s="81"/>
      <c r="BB2005" s="81"/>
    </row>
    <row r="2006" spans="1:54" x14ac:dyDescent="0.35">
      <c r="A2006" s="66" t="s">
        <v>496</v>
      </c>
      <c r="B2006" s="66" t="s">
        <v>649</v>
      </c>
      <c r="C2006" s="67"/>
      <c r="D2006" s="68"/>
      <c r="E2006" s="69"/>
      <c r="F2006" s="70"/>
      <c r="G2006" s="67"/>
      <c r="H2006" s="71"/>
      <c r="I2006" s="72"/>
      <c r="J2006" s="72"/>
      <c r="K2006" s="36"/>
      <c r="L2006" s="79"/>
      <c r="M2006" s="79"/>
      <c r="N2006" s="74"/>
      <c r="O2006" s="81" t="s">
        <v>696</v>
      </c>
      <c r="P2006" s="83">
        <v>44463.751840277779</v>
      </c>
      <c r="Q2006" s="81" t="s">
        <v>801</v>
      </c>
      <c r="R2006" s="81"/>
      <c r="S2006" s="81"/>
      <c r="T2006" s="86" t="s">
        <v>649</v>
      </c>
      <c r="U2006" s="84" t="str">
        <f>HYPERLINK("https://pbs.twimg.com/media/FAEbDOhVUAIE92y.jpg")</f>
        <v>https://pbs.twimg.com/media/FAEbDOhVUAIE92y.jpg</v>
      </c>
      <c r="V2006" s="84" t="str">
        <f>HYPERLINK("https://pbs.twimg.com/media/FAEbDOhVUAIE92y.jpg")</f>
        <v>https://pbs.twimg.com/media/FAEbDOhVUAIE92y.jpg</v>
      </c>
      <c r="W2006" s="83">
        <v>44463.751840277779</v>
      </c>
      <c r="X2006" s="89">
        <v>44463</v>
      </c>
      <c r="Y2006" s="86" t="s">
        <v>1353</v>
      </c>
      <c r="Z2006" s="84" t="str">
        <f>HYPERLINK("https://twitter.com/vointeuir/status/1441463104949215232")</f>
        <v>https://twitter.com/vointeuir/status/1441463104949215232</v>
      </c>
      <c r="AA2006" s="81"/>
      <c r="AB2006" s="81"/>
      <c r="AC2006" s="86" t="s">
        <v>1849</v>
      </c>
      <c r="AD2006" s="81"/>
      <c r="AE2006" s="81" t="b">
        <v>0</v>
      </c>
      <c r="AF2006" s="81">
        <v>1</v>
      </c>
      <c r="AG2006" s="86" t="s">
        <v>2084</v>
      </c>
      <c r="AH2006" s="81" t="b">
        <v>0</v>
      </c>
      <c r="AI2006" s="81" t="s">
        <v>2168</v>
      </c>
      <c r="AJ2006" s="81"/>
      <c r="AK2006" s="86" t="s">
        <v>2084</v>
      </c>
      <c r="AL2006" s="81" t="b">
        <v>0</v>
      </c>
      <c r="AM2006" s="81">
        <v>6</v>
      </c>
      <c r="AN2006" s="86" t="s">
        <v>2084</v>
      </c>
      <c r="AO2006" s="86" t="s">
        <v>2179</v>
      </c>
      <c r="AP2006" s="81" t="b">
        <v>0</v>
      </c>
      <c r="AQ2006" s="86" t="s">
        <v>1849</v>
      </c>
      <c r="AR2006" s="81" t="s">
        <v>179</v>
      </c>
      <c r="AS2006" s="81">
        <v>0</v>
      </c>
      <c r="AT2006" s="81">
        <v>0</v>
      </c>
      <c r="AU2006" s="81"/>
      <c r="AV2006" s="81"/>
      <c r="AW2006" s="81"/>
      <c r="AX2006" s="81"/>
      <c r="AY2006" s="81"/>
      <c r="AZ2006" s="81"/>
      <c r="BA2006" s="81"/>
      <c r="BB2006" s="81"/>
    </row>
    <row r="2007" spans="1:54" x14ac:dyDescent="0.35">
      <c r="A2007" s="66" t="s">
        <v>496</v>
      </c>
      <c r="B2007" s="66" t="s">
        <v>649</v>
      </c>
      <c r="C2007" s="67"/>
      <c r="D2007" s="68"/>
      <c r="E2007" s="69"/>
      <c r="F2007" s="70"/>
      <c r="G2007" s="67"/>
      <c r="H2007" s="71"/>
      <c r="I2007" s="72"/>
      <c r="J2007" s="72"/>
      <c r="K2007" s="36"/>
      <c r="L2007" s="79"/>
      <c r="M2007" s="79"/>
      <c r="N2007" s="74"/>
      <c r="O2007" s="81" t="s">
        <v>696</v>
      </c>
      <c r="P2007" s="83">
        <v>44463.752025462964</v>
      </c>
      <c r="Q2007" s="81" t="s">
        <v>800</v>
      </c>
      <c r="R2007" s="81"/>
      <c r="S2007" s="81"/>
      <c r="T2007" s="86" t="s">
        <v>649</v>
      </c>
      <c r="U2007" s="84" t="str">
        <f>HYPERLINK("https://pbs.twimg.com/media/FAEbG8nUcA0oIOp.jpg")</f>
        <v>https://pbs.twimg.com/media/FAEbG8nUcA0oIOp.jpg</v>
      </c>
      <c r="V2007" s="84" t="str">
        <f>HYPERLINK("https://pbs.twimg.com/media/FAEbG8nUcA0oIOp.jpg")</f>
        <v>https://pbs.twimg.com/media/FAEbG8nUcA0oIOp.jpg</v>
      </c>
      <c r="W2007" s="83">
        <v>44463.752025462964</v>
      </c>
      <c r="X2007" s="89">
        <v>44463</v>
      </c>
      <c r="Y2007" s="86" t="s">
        <v>1354</v>
      </c>
      <c r="Z2007" s="84" t="str">
        <f>HYPERLINK("https://twitter.com/vointeuir/status/1441463169487028228")</f>
        <v>https://twitter.com/vointeuir/status/1441463169487028228</v>
      </c>
      <c r="AA2007" s="81"/>
      <c r="AB2007" s="81"/>
      <c r="AC2007" s="86" t="s">
        <v>1850</v>
      </c>
      <c r="AD2007" s="81"/>
      <c r="AE2007" s="81" t="b">
        <v>0</v>
      </c>
      <c r="AF2007" s="81">
        <v>1</v>
      </c>
      <c r="AG2007" s="86" t="s">
        <v>2084</v>
      </c>
      <c r="AH2007" s="81" t="b">
        <v>0</v>
      </c>
      <c r="AI2007" s="81" t="s">
        <v>2168</v>
      </c>
      <c r="AJ2007" s="81"/>
      <c r="AK2007" s="86" t="s">
        <v>2084</v>
      </c>
      <c r="AL2007" s="81" t="b">
        <v>0</v>
      </c>
      <c r="AM2007" s="81">
        <v>6</v>
      </c>
      <c r="AN2007" s="86" t="s">
        <v>2084</v>
      </c>
      <c r="AO2007" s="86" t="s">
        <v>2179</v>
      </c>
      <c r="AP2007" s="81" t="b">
        <v>0</v>
      </c>
      <c r="AQ2007" s="86" t="s">
        <v>1850</v>
      </c>
      <c r="AR2007" s="81" t="s">
        <v>179</v>
      </c>
      <c r="AS2007" s="81">
        <v>0</v>
      </c>
      <c r="AT2007" s="81">
        <v>0</v>
      </c>
      <c r="AU2007" s="81"/>
      <c r="AV2007" s="81"/>
      <c r="AW2007" s="81"/>
      <c r="AX2007" s="81"/>
      <c r="AY2007" s="81"/>
      <c r="AZ2007" s="81"/>
      <c r="BA2007" s="81"/>
      <c r="BB2007" s="81"/>
    </row>
    <row r="2008" spans="1:54" x14ac:dyDescent="0.35">
      <c r="A2008" s="66" t="s">
        <v>440</v>
      </c>
      <c r="B2008" s="66" t="s">
        <v>649</v>
      </c>
      <c r="C2008" s="67"/>
      <c r="D2008" s="68"/>
      <c r="E2008" s="69"/>
      <c r="F2008" s="70"/>
      <c r="G2008" s="67"/>
      <c r="H2008" s="71"/>
      <c r="I2008" s="72"/>
      <c r="J2008" s="72"/>
      <c r="K2008" s="36"/>
      <c r="L2008" s="79"/>
      <c r="M2008" s="79"/>
      <c r="N2008" s="74"/>
      <c r="O2008" s="81" t="s">
        <v>694</v>
      </c>
      <c r="P2008" s="83">
        <v>44464.150347222225</v>
      </c>
      <c r="Q2008" s="81" t="s">
        <v>804</v>
      </c>
      <c r="R2008" s="81"/>
      <c r="S2008" s="81"/>
      <c r="T2008" s="86" t="s">
        <v>649</v>
      </c>
      <c r="U2008" s="84" t="str">
        <f>HYPERLINK("https://pbs.twimg.com/media/FAEaAdPVgAgaH2z.jpg")</f>
        <v>https://pbs.twimg.com/media/FAEaAdPVgAgaH2z.jpg</v>
      </c>
      <c r="V2008" s="84" t="str">
        <f>HYPERLINK("https://pbs.twimg.com/media/FAEaAdPVgAgaH2z.jpg")</f>
        <v>https://pbs.twimg.com/media/FAEaAdPVgAgaH2z.jpg</v>
      </c>
      <c r="W2008" s="83">
        <v>44464.150347222225</v>
      </c>
      <c r="X2008" s="89">
        <v>44464</v>
      </c>
      <c r="Y2008" s="86" t="s">
        <v>1283</v>
      </c>
      <c r="Z2008" s="84" t="str">
        <f>HYPERLINK("https://twitter.com/glitterzkoo/status/1441607516903727105")</f>
        <v>https://twitter.com/glitterzkoo/status/1441607516903727105</v>
      </c>
      <c r="AA2008" s="81"/>
      <c r="AB2008" s="81"/>
      <c r="AC2008" s="86" t="s">
        <v>1779</v>
      </c>
      <c r="AD2008" s="81"/>
      <c r="AE2008" s="81" t="b">
        <v>0</v>
      </c>
      <c r="AF2008" s="81">
        <v>0</v>
      </c>
      <c r="AG2008" s="86" t="s">
        <v>2084</v>
      </c>
      <c r="AH2008" s="81" t="b">
        <v>0</v>
      </c>
      <c r="AI2008" s="81" t="s">
        <v>2168</v>
      </c>
      <c r="AJ2008" s="81"/>
      <c r="AK2008" s="86" t="s">
        <v>2084</v>
      </c>
      <c r="AL2008" s="81" t="b">
        <v>0</v>
      </c>
      <c r="AM2008" s="81">
        <v>22</v>
      </c>
      <c r="AN2008" s="86" t="s">
        <v>1846</v>
      </c>
      <c r="AO2008" s="86" t="s">
        <v>2179</v>
      </c>
      <c r="AP2008" s="81" t="b">
        <v>0</v>
      </c>
      <c r="AQ2008" s="86" t="s">
        <v>1846</v>
      </c>
      <c r="AR2008" s="81" t="s">
        <v>179</v>
      </c>
      <c r="AS2008" s="81">
        <v>0</v>
      </c>
      <c r="AT2008" s="81">
        <v>0</v>
      </c>
      <c r="AU2008" s="81"/>
      <c r="AV2008" s="81"/>
      <c r="AW2008" s="81"/>
      <c r="AX2008" s="81"/>
      <c r="AY2008" s="81"/>
      <c r="AZ2008" s="81"/>
      <c r="BA2008" s="81"/>
      <c r="BB2008" s="81"/>
    </row>
    <row r="2009" spans="1:54" x14ac:dyDescent="0.35">
      <c r="A2009" s="66" t="s">
        <v>440</v>
      </c>
      <c r="B2009" s="66" t="s">
        <v>496</v>
      </c>
      <c r="C2009" s="67"/>
      <c r="D2009" s="68"/>
      <c r="E2009" s="69"/>
      <c r="F2009" s="70"/>
      <c r="G2009" s="67"/>
      <c r="H2009" s="71"/>
      <c r="I2009" s="72"/>
      <c r="J2009" s="72"/>
      <c r="K2009" s="36"/>
      <c r="L2009" s="79"/>
      <c r="M2009" s="79"/>
      <c r="N2009" s="74"/>
      <c r="O2009" s="81" t="s">
        <v>693</v>
      </c>
      <c r="P2009" s="83">
        <v>44464.150347222225</v>
      </c>
      <c r="Q2009" s="81" t="s">
        <v>804</v>
      </c>
      <c r="R2009" s="81"/>
      <c r="S2009" s="81"/>
      <c r="T2009" s="86" t="s">
        <v>649</v>
      </c>
      <c r="U2009" s="84" t="str">
        <f>HYPERLINK("https://pbs.twimg.com/media/FAEaAdPVgAgaH2z.jpg")</f>
        <v>https://pbs.twimg.com/media/FAEaAdPVgAgaH2z.jpg</v>
      </c>
      <c r="V2009" s="84" t="str">
        <f>HYPERLINK("https://pbs.twimg.com/media/FAEaAdPVgAgaH2z.jpg")</f>
        <v>https://pbs.twimg.com/media/FAEaAdPVgAgaH2z.jpg</v>
      </c>
      <c r="W2009" s="83">
        <v>44464.150347222225</v>
      </c>
      <c r="X2009" s="89">
        <v>44464</v>
      </c>
      <c r="Y2009" s="86" t="s">
        <v>1283</v>
      </c>
      <c r="Z2009" s="84" t="str">
        <f>HYPERLINK("https://twitter.com/glitterzkoo/status/1441607516903727105")</f>
        <v>https://twitter.com/glitterzkoo/status/1441607516903727105</v>
      </c>
      <c r="AA2009" s="81"/>
      <c r="AB2009" s="81"/>
      <c r="AC2009" s="86" t="s">
        <v>1779</v>
      </c>
      <c r="AD2009" s="81"/>
      <c r="AE2009" s="81" t="b">
        <v>0</v>
      </c>
      <c r="AF2009" s="81">
        <v>0</v>
      </c>
      <c r="AG2009" s="86" t="s">
        <v>2084</v>
      </c>
      <c r="AH2009" s="81" t="b">
        <v>0</v>
      </c>
      <c r="AI2009" s="81" t="s">
        <v>2168</v>
      </c>
      <c r="AJ2009" s="81"/>
      <c r="AK2009" s="86" t="s">
        <v>2084</v>
      </c>
      <c r="AL2009" s="81" t="b">
        <v>0</v>
      </c>
      <c r="AM2009" s="81">
        <v>22</v>
      </c>
      <c r="AN2009" s="86" t="s">
        <v>1846</v>
      </c>
      <c r="AO2009" s="86" t="s">
        <v>2179</v>
      </c>
      <c r="AP2009" s="81" t="b">
        <v>0</v>
      </c>
      <c r="AQ2009" s="86" t="s">
        <v>1846</v>
      </c>
      <c r="AR2009" s="81" t="s">
        <v>179</v>
      </c>
      <c r="AS2009" s="81">
        <v>0</v>
      </c>
      <c r="AT2009" s="81">
        <v>0</v>
      </c>
      <c r="AU2009" s="81"/>
      <c r="AV2009" s="81"/>
      <c r="AW2009" s="81"/>
      <c r="AX2009" s="81"/>
      <c r="AY2009" s="81"/>
      <c r="AZ2009" s="81"/>
      <c r="BA2009" s="81"/>
      <c r="BB2009" s="81"/>
    </row>
    <row r="2010" spans="1:54" x14ac:dyDescent="0.35">
      <c r="A2010" s="66" t="s">
        <v>440</v>
      </c>
      <c r="B2010" s="66" t="s">
        <v>12686</v>
      </c>
      <c r="C2010" s="67"/>
      <c r="D2010" s="68"/>
      <c r="E2010" s="69"/>
      <c r="F2010" s="70"/>
      <c r="G2010" s="67"/>
      <c r="H2010" s="71"/>
      <c r="I2010" s="72"/>
      <c r="J2010" s="72"/>
      <c r="K2010" s="36"/>
      <c r="L2010" s="79"/>
      <c r="M2010" s="79"/>
      <c r="N2010" s="74"/>
      <c r="O2010" s="81" t="s">
        <v>695</v>
      </c>
      <c r="P2010" s="83">
        <v>44468.514687499999</v>
      </c>
      <c r="Q2010" s="81" t="s">
        <v>12772</v>
      </c>
      <c r="R2010" s="81"/>
      <c r="S2010" s="81"/>
      <c r="T2010" s="81"/>
      <c r="U2010" s="81"/>
      <c r="V2010" s="84" t="str">
        <f>HYPERLINK("https://pbs.twimg.com/profile_images/1437782038384455692/8qSOeZSe_normal.jpg")</f>
        <v>https://pbs.twimg.com/profile_images/1437782038384455692/8qSOeZSe_normal.jpg</v>
      </c>
      <c r="W2010" s="83">
        <v>44468.514687499999</v>
      </c>
      <c r="X2010" s="89">
        <v>44468</v>
      </c>
      <c r="Y2010" s="86" t="s">
        <v>12919</v>
      </c>
      <c r="Z2010" s="84" t="str">
        <f>HYPERLINK("https://twitter.com/glitterzkoo/status/1443189101801267202")</f>
        <v>https://twitter.com/glitterzkoo/status/1443189101801267202</v>
      </c>
      <c r="AA2010" s="81"/>
      <c r="AB2010" s="81"/>
      <c r="AC2010" s="86" t="s">
        <v>13156</v>
      </c>
      <c r="AD2010" s="86" t="s">
        <v>13374</v>
      </c>
      <c r="AE2010" s="81" t="b">
        <v>0</v>
      </c>
      <c r="AF2010" s="81">
        <v>1</v>
      </c>
      <c r="AG2010" s="86" t="s">
        <v>13415</v>
      </c>
      <c r="AH2010" s="81" t="b">
        <v>0</v>
      </c>
      <c r="AI2010" s="81" t="s">
        <v>2167</v>
      </c>
      <c r="AJ2010" s="81"/>
      <c r="AK2010" s="86" t="s">
        <v>2084</v>
      </c>
      <c r="AL2010" s="81" t="b">
        <v>0</v>
      </c>
      <c r="AM2010" s="81">
        <v>0</v>
      </c>
      <c r="AN2010" s="86" t="s">
        <v>2084</v>
      </c>
      <c r="AO2010" s="86" t="s">
        <v>2179</v>
      </c>
      <c r="AP2010" s="81" t="b">
        <v>0</v>
      </c>
      <c r="AQ2010" s="86" t="s">
        <v>13374</v>
      </c>
      <c r="AR2010" s="81" t="s">
        <v>179</v>
      </c>
      <c r="AS2010" s="81">
        <v>0</v>
      </c>
      <c r="AT2010" s="81">
        <v>0</v>
      </c>
      <c r="AU2010" s="81"/>
      <c r="AV2010" s="81"/>
      <c r="AW2010" s="81"/>
      <c r="AX2010" s="81"/>
      <c r="AY2010" s="81"/>
      <c r="AZ2010" s="81"/>
      <c r="BA2010" s="81"/>
      <c r="BB2010" s="81"/>
    </row>
    <row r="2011" spans="1:54" x14ac:dyDescent="0.35">
      <c r="A2011" s="66" t="s">
        <v>12535</v>
      </c>
      <c r="B2011" s="66" t="s">
        <v>12535</v>
      </c>
      <c r="C2011" s="67"/>
      <c r="D2011" s="68"/>
      <c r="E2011" s="69"/>
      <c r="F2011" s="70"/>
      <c r="G2011" s="67"/>
      <c r="H2011" s="71"/>
      <c r="I2011" s="72"/>
      <c r="J2011" s="72"/>
      <c r="K2011" s="36"/>
      <c r="L2011" s="79"/>
      <c r="M2011" s="79"/>
      <c r="N2011" s="74"/>
      <c r="O2011" s="81" t="s">
        <v>179</v>
      </c>
      <c r="P2011" s="83">
        <v>44468.526666666665</v>
      </c>
      <c r="Q2011" s="81" t="s">
        <v>12773</v>
      </c>
      <c r="R2011" s="81"/>
      <c r="S2011" s="81"/>
      <c r="T2011" s="81"/>
      <c r="U2011" s="81"/>
      <c r="V2011" s="84" t="str">
        <f>HYPERLINK("https://pbs.twimg.com/profile_images/1438866800754581515/BeV4lAzs_normal.jpg")</f>
        <v>https://pbs.twimg.com/profile_images/1438866800754581515/BeV4lAzs_normal.jpg</v>
      </c>
      <c r="W2011" s="83">
        <v>44468.526666666665</v>
      </c>
      <c r="X2011" s="89">
        <v>44468</v>
      </c>
      <c r="Y2011" s="86" t="s">
        <v>12920</v>
      </c>
      <c r="Z2011" s="84" t="str">
        <f>HYPERLINK("https://twitter.com/fitrijanuzaj/status/1443193440691310602")</f>
        <v>https://twitter.com/fitrijanuzaj/status/1443193440691310602</v>
      </c>
      <c r="AA2011" s="81"/>
      <c r="AB2011" s="81"/>
      <c r="AC2011" s="86" t="s">
        <v>13157</v>
      </c>
      <c r="AD2011" s="81"/>
      <c r="AE2011" s="81" t="b">
        <v>0</v>
      </c>
      <c r="AF2011" s="81">
        <v>0</v>
      </c>
      <c r="AG2011" s="86" t="s">
        <v>2084</v>
      </c>
      <c r="AH2011" s="81" t="b">
        <v>0</v>
      </c>
      <c r="AI2011" s="81" t="s">
        <v>2167</v>
      </c>
      <c r="AJ2011" s="81"/>
      <c r="AK2011" s="86" t="s">
        <v>2084</v>
      </c>
      <c r="AL2011" s="81" t="b">
        <v>0</v>
      </c>
      <c r="AM2011" s="81">
        <v>0</v>
      </c>
      <c r="AN2011" s="86" t="s">
        <v>2084</v>
      </c>
      <c r="AO2011" s="86" t="s">
        <v>2178</v>
      </c>
      <c r="AP2011" s="81" t="b">
        <v>0</v>
      </c>
      <c r="AQ2011" s="86" t="s">
        <v>13157</v>
      </c>
      <c r="AR2011" s="81" t="s">
        <v>179</v>
      </c>
      <c r="AS2011" s="81">
        <v>0</v>
      </c>
      <c r="AT2011" s="81">
        <v>0</v>
      </c>
      <c r="AU2011" s="81"/>
      <c r="AV2011" s="81"/>
      <c r="AW2011" s="81"/>
      <c r="AX2011" s="81"/>
      <c r="AY2011" s="81"/>
      <c r="AZ2011" s="81"/>
      <c r="BA2011" s="81"/>
      <c r="BB2011" s="81"/>
    </row>
    <row r="2012" spans="1:54" x14ac:dyDescent="0.35">
      <c r="A2012" s="66" t="s">
        <v>12536</v>
      </c>
      <c r="B2012" s="66" t="s">
        <v>12536</v>
      </c>
      <c r="C2012" s="67"/>
      <c r="D2012" s="68"/>
      <c r="E2012" s="69"/>
      <c r="F2012" s="70"/>
      <c r="G2012" s="67"/>
      <c r="H2012" s="71"/>
      <c r="I2012" s="72"/>
      <c r="J2012" s="72"/>
      <c r="K2012" s="36"/>
      <c r="L2012" s="79"/>
      <c r="M2012" s="79"/>
      <c r="N2012" s="74"/>
      <c r="O2012" s="81" t="s">
        <v>179</v>
      </c>
      <c r="P2012" s="83">
        <v>44468.528136574074</v>
      </c>
      <c r="Q2012" s="81" t="s">
        <v>12774</v>
      </c>
      <c r="R2012" s="84" t="str">
        <f>HYPERLINK("https://www.republika.co.id/berita/r074je457/bersinergi-pt-pos-indonesia-gandeng-mnc-e-commerce")</f>
        <v>https://www.republika.co.id/berita/r074je457/bersinergi-pt-pos-indonesia-gandeng-mnc-e-commerce</v>
      </c>
      <c r="S2012" s="81" t="s">
        <v>937</v>
      </c>
      <c r="T2012" s="81"/>
      <c r="U2012" s="81"/>
      <c r="V2012" s="84" t="str">
        <f>HYPERLINK("https://pbs.twimg.com/profile_images/1230469523842707456/1nqEZvCp_normal.jpg")</f>
        <v>https://pbs.twimg.com/profile_images/1230469523842707456/1nqEZvCp_normal.jpg</v>
      </c>
      <c r="W2012" s="83">
        <v>44468.528136574074</v>
      </c>
      <c r="X2012" s="89">
        <v>44468</v>
      </c>
      <c r="Y2012" s="86" t="s">
        <v>12921</v>
      </c>
      <c r="Z2012" s="84" t="str">
        <f>HYPERLINK("https://twitter.com/republikaonline/status/1443193972948566019")</f>
        <v>https://twitter.com/republikaonline/status/1443193972948566019</v>
      </c>
      <c r="AA2012" s="81"/>
      <c r="AB2012" s="81"/>
      <c r="AC2012" s="86" t="s">
        <v>13158</v>
      </c>
      <c r="AD2012" s="81"/>
      <c r="AE2012" s="81" t="b">
        <v>0</v>
      </c>
      <c r="AF2012" s="81">
        <v>1</v>
      </c>
      <c r="AG2012" s="86" t="s">
        <v>2084</v>
      </c>
      <c r="AH2012" s="81" t="b">
        <v>0</v>
      </c>
      <c r="AI2012" s="81" t="s">
        <v>2167</v>
      </c>
      <c r="AJ2012" s="81"/>
      <c r="AK2012" s="86" t="s">
        <v>2084</v>
      </c>
      <c r="AL2012" s="81" t="b">
        <v>0</v>
      </c>
      <c r="AM2012" s="81">
        <v>0</v>
      </c>
      <c r="AN2012" s="86" t="s">
        <v>2084</v>
      </c>
      <c r="AO2012" s="86" t="s">
        <v>13443</v>
      </c>
      <c r="AP2012" s="81" t="b">
        <v>0</v>
      </c>
      <c r="AQ2012" s="86" t="s">
        <v>13158</v>
      </c>
      <c r="AR2012" s="81" t="s">
        <v>179</v>
      </c>
      <c r="AS2012" s="81">
        <v>0</v>
      </c>
      <c r="AT2012" s="81">
        <v>0</v>
      </c>
      <c r="AU2012" s="81"/>
      <c r="AV2012" s="81"/>
      <c r="AW2012" s="81"/>
      <c r="AX2012" s="81"/>
      <c r="AY2012" s="81"/>
      <c r="AZ2012" s="81"/>
      <c r="BA2012" s="81"/>
      <c r="BB2012" s="81"/>
    </row>
    <row r="2013" spans="1:54" x14ac:dyDescent="0.35">
      <c r="A2013" s="66" t="s">
        <v>12537</v>
      </c>
      <c r="B2013" s="66" t="s">
        <v>12537</v>
      </c>
      <c r="C2013" s="67"/>
      <c r="D2013" s="68"/>
      <c r="E2013" s="69"/>
      <c r="F2013" s="70"/>
      <c r="G2013" s="67"/>
      <c r="H2013" s="71"/>
      <c r="I2013" s="72"/>
      <c r="J2013" s="72"/>
      <c r="K2013" s="36"/>
      <c r="L2013" s="79"/>
      <c r="M2013" s="79"/>
      <c r="N2013" s="74"/>
      <c r="O2013" s="81" t="s">
        <v>179</v>
      </c>
      <c r="P2013" s="83">
        <v>44468.529895833337</v>
      </c>
      <c r="Q2013" s="81" t="s">
        <v>12775</v>
      </c>
      <c r="R2013" s="84" t="str">
        <f>HYPERLINK("https://www.jn.pt/nacional/pcp-rejeita-acordos-pos-eleicoes-14172766.html?utm_source=dlvr.it&amp;utm_medium=twitter")</f>
        <v>https://www.jn.pt/nacional/pcp-rejeita-acordos-pos-eleicoes-14172766.html?utm_source=dlvr.it&amp;utm_medium=twitter</v>
      </c>
      <c r="S2013" s="81" t="s">
        <v>12851</v>
      </c>
      <c r="T2013" s="81"/>
      <c r="U2013" s="84" t="str">
        <f>HYPERLINK("https://pbs.twimg.com/media/FAdB2kwUcAA60_r.jpg")</f>
        <v>https://pbs.twimg.com/media/FAdB2kwUcAA60_r.jpg</v>
      </c>
      <c r="V2013" s="84" t="str">
        <f>HYPERLINK("https://pbs.twimg.com/media/FAdB2kwUcAA60_r.jpg")</f>
        <v>https://pbs.twimg.com/media/FAdB2kwUcAA60_r.jpg</v>
      </c>
      <c r="W2013" s="83">
        <v>44468.529895833337</v>
      </c>
      <c r="X2013" s="89">
        <v>44468</v>
      </c>
      <c r="Y2013" s="86" t="s">
        <v>12922</v>
      </c>
      <c r="Z2013" s="84" t="str">
        <f>HYPERLINK("https://twitter.com/jornalnoticias/status/1443194613045481473")</f>
        <v>https://twitter.com/jornalnoticias/status/1443194613045481473</v>
      </c>
      <c r="AA2013" s="81"/>
      <c r="AB2013" s="81"/>
      <c r="AC2013" s="86" t="s">
        <v>13159</v>
      </c>
      <c r="AD2013" s="81"/>
      <c r="AE2013" s="81" t="b">
        <v>0</v>
      </c>
      <c r="AF2013" s="81">
        <v>1</v>
      </c>
      <c r="AG2013" s="86" t="s">
        <v>2084</v>
      </c>
      <c r="AH2013" s="81" t="b">
        <v>0</v>
      </c>
      <c r="AI2013" s="81" t="s">
        <v>2171</v>
      </c>
      <c r="AJ2013" s="81"/>
      <c r="AK2013" s="86" t="s">
        <v>2084</v>
      </c>
      <c r="AL2013" s="81" t="b">
        <v>0</v>
      </c>
      <c r="AM2013" s="81">
        <v>0</v>
      </c>
      <c r="AN2013" s="86" t="s">
        <v>2084</v>
      </c>
      <c r="AO2013" s="86" t="s">
        <v>2188</v>
      </c>
      <c r="AP2013" s="81" t="b">
        <v>0</v>
      </c>
      <c r="AQ2013" s="86" t="s">
        <v>13159</v>
      </c>
      <c r="AR2013" s="81" t="s">
        <v>179</v>
      </c>
      <c r="AS2013" s="81">
        <v>0</v>
      </c>
      <c r="AT2013" s="81">
        <v>0</v>
      </c>
      <c r="AU2013" s="81"/>
      <c r="AV2013" s="81"/>
      <c r="AW2013" s="81"/>
      <c r="AX2013" s="81"/>
      <c r="AY2013" s="81"/>
      <c r="AZ2013" s="81"/>
      <c r="BA2013" s="81"/>
      <c r="BB2013" s="81"/>
    </row>
    <row r="2014" spans="1:54" x14ac:dyDescent="0.35">
      <c r="A2014" s="66" t="s">
        <v>12538</v>
      </c>
      <c r="B2014" s="66" t="s">
        <v>12538</v>
      </c>
      <c r="C2014" s="67"/>
      <c r="D2014" s="68"/>
      <c r="E2014" s="69"/>
      <c r="F2014" s="70"/>
      <c r="G2014" s="67"/>
      <c r="H2014" s="71"/>
      <c r="I2014" s="72"/>
      <c r="J2014" s="72"/>
      <c r="K2014" s="36"/>
      <c r="L2014" s="79"/>
      <c r="M2014" s="79"/>
      <c r="N2014" s="74"/>
      <c r="O2014" s="81" t="s">
        <v>179</v>
      </c>
      <c r="P2014" s="83">
        <v>44468.535821759258</v>
      </c>
      <c r="Q2014" s="81" t="s">
        <v>12776</v>
      </c>
      <c r="R2014" s="84" t="str">
        <f>HYPERLINK("http://fundacaodesporto.pt/noticias/pos-graduacao-em-direito-do-desporto/")</f>
        <v>http://fundacaodesporto.pt/noticias/pos-graduacao-em-direito-do-desporto/</v>
      </c>
      <c r="S2014" s="81" t="s">
        <v>12852</v>
      </c>
      <c r="T2014" s="81"/>
      <c r="U2014" s="84" t="str">
        <f>HYPERLINK("https://pbs.twimg.com/media/FAdDzRvWYAUOhba.jpg")</f>
        <v>https://pbs.twimg.com/media/FAdDzRvWYAUOhba.jpg</v>
      </c>
      <c r="V2014" s="84" t="str">
        <f>HYPERLINK("https://pbs.twimg.com/media/FAdDzRvWYAUOhba.jpg")</f>
        <v>https://pbs.twimg.com/media/FAdDzRvWYAUOhba.jpg</v>
      </c>
      <c r="W2014" s="83">
        <v>44468.535821759258</v>
      </c>
      <c r="X2014" s="89">
        <v>44468</v>
      </c>
      <c r="Y2014" s="86" t="s">
        <v>12923</v>
      </c>
      <c r="Z2014" s="84" t="str">
        <f>HYPERLINK("https://twitter.com/fdesporto/status/1443196758792806401")</f>
        <v>https://twitter.com/fdesporto/status/1443196758792806401</v>
      </c>
      <c r="AA2014" s="81"/>
      <c r="AB2014" s="81"/>
      <c r="AC2014" s="86" t="s">
        <v>13160</v>
      </c>
      <c r="AD2014" s="81"/>
      <c r="AE2014" s="81" t="b">
        <v>0</v>
      </c>
      <c r="AF2014" s="81">
        <v>1</v>
      </c>
      <c r="AG2014" s="86" t="s">
        <v>2084</v>
      </c>
      <c r="AH2014" s="81" t="b">
        <v>0</v>
      </c>
      <c r="AI2014" s="81" t="s">
        <v>2171</v>
      </c>
      <c r="AJ2014" s="81"/>
      <c r="AK2014" s="86" t="s">
        <v>2084</v>
      </c>
      <c r="AL2014" s="81" t="b">
        <v>0</v>
      </c>
      <c r="AM2014" s="81">
        <v>0</v>
      </c>
      <c r="AN2014" s="86" t="s">
        <v>2084</v>
      </c>
      <c r="AO2014" s="86" t="s">
        <v>2179</v>
      </c>
      <c r="AP2014" s="81" t="b">
        <v>0</v>
      </c>
      <c r="AQ2014" s="86" t="s">
        <v>13160</v>
      </c>
      <c r="AR2014" s="81" t="s">
        <v>179</v>
      </c>
      <c r="AS2014" s="81">
        <v>0</v>
      </c>
      <c r="AT2014" s="81">
        <v>0</v>
      </c>
      <c r="AU2014" s="81"/>
      <c r="AV2014" s="81"/>
      <c r="AW2014" s="81"/>
      <c r="AX2014" s="81"/>
      <c r="AY2014" s="81"/>
      <c r="AZ2014" s="81"/>
      <c r="BA2014" s="81"/>
      <c r="BB2014" s="81"/>
    </row>
    <row r="2015" spans="1:54" x14ac:dyDescent="0.35">
      <c r="A2015" s="66" t="s">
        <v>354</v>
      </c>
      <c r="B2015" s="66" t="s">
        <v>12687</v>
      </c>
      <c r="C2015" s="67"/>
      <c r="D2015" s="68"/>
      <c r="E2015" s="69"/>
      <c r="F2015" s="70"/>
      <c r="G2015" s="67"/>
      <c r="H2015" s="71"/>
      <c r="I2015" s="72"/>
      <c r="J2015" s="72"/>
      <c r="K2015" s="36"/>
      <c r="L2015" s="79"/>
      <c r="M2015" s="79"/>
      <c r="N2015" s="74"/>
      <c r="O2015" s="81" t="s">
        <v>696</v>
      </c>
      <c r="P2015" s="83">
        <v>44421.143819444442</v>
      </c>
      <c r="Q2015" s="81" t="s">
        <v>12777</v>
      </c>
      <c r="R2015" s="81"/>
      <c r="S2015" s="81"/>
      <c r="T2015" s="86" t="s">
        <v>12687</v>
      </c>
      <c r="U2015" s="84" t="str">
        <f>HYPERLINK("https://pbs.twimg.com/media/E8o_4WDVIAEb0_h.jpg")</f>
        <v>https://pbs.twimg.com/media/E8o_4WDVIAEb0_h.jpg</v>
      </c>
      <c r="V2015" s="84" t="str">
        <f>HYPERLINK("https://pbs.twimg.com/media/E8o_4WDVIAEb0_h.jpg")</f>
        <v>https://pbs.twimg.com/media/E8o_4WDVIAEb0_h.jpg</v>
      </c>
      <c r="W2015" s="83">
        <v>44421.143819444442</v>
      </c>
      <c r="X2015" s="89">
        <v>44421</v>
      </c>
      <c r="Y2015" s="86" t="s">
        <v>12924</v>
      </c>
      <c r="Z2015" s="84" t="str">
        <f>HYPERLINK("https://twitter.com/3kimandimdead/status/1426022474538311682")</f>
        <v>https://twitter.com/3kimandimdead/status/1426022474538311682</v>
      </c>
      <c r="AA2015" s="81"/>
      <c r="AB2015" s="81"/>
      <c r="AC2015" s="86" t="s">
        <v>13161</v>
      </c>
      <c r="AD2015" s="81"/>
      <c r="AE2015" s="81" t="b">
        <v>0</v>
      </c>
      <c r="AF2015" s="81">
        <v>10</v>
      </c>
      <c r="AG2015" s="86" t="s">
        <v>2084</v>
      </c>
      <c r="AH2015" s="81" t="b">
        <v>0</v>
      </c>
      <c r="AI2015" s="81" t="s">
        <v>2168</v>
      </c>
      <c r="AJ2015" s="81"/>
      <c r="AK2015" s="86" t="s">
        <v>2084</v>
      </c>
      <c r="AL2015" s="81" t="b">
        <v>0</v>
      </c>
      <c r="AM2015" s="81">
        <v>17</v>
      </c>
      <c r="AN2015" s="86" t="s">
        <v>2084</v>
      </c>
      <c r="AO2015" s="86" t="s">
        <v>2178</v>
      </c>
      <c r="AP2015" s="81" t="b">
        <v>0</v>
      </c>
      <c r="AQ2015" s="86" t="s">
        <v>13161</v>
      </c>
      <c r="AR2015" s="81" t="s">
        <v>693</v>
      </c>
      <c r="AS2015" s="81">
        <v>0</v>
      </c>
      <c r="AT2015" s="81">
        <v>0</v>
      </c>
      <c r="AU2015" s="81"/>
      <c r="AV2015" s="81"/>
      <c r="AW2015" s="81"/>
      <c r="AX2015" s="81"/>
      <c r="AY2015" s="81"/>
      <c r="AZ2015" s="81"/>
      <c r="BA2015" s="81"/>
      <c r="BB2015" s="81"/>
    </row>
    <row r="2016" spans="1:54" x14ac:dyDescent="0.35">
      <c r="A2016" s="66" t="s">
        <v>12539</v>
      </c>
      <c r="B2016" s="66" t="s">
        <v>12687</v>
      </c>
      <c r="C2016" s="67"/>
      <c r="D2016" s="68"/>
      <c r="E2016" s="69"/>
      <c r="F2016" s="70"/>
      <c r="G2016" s="67"/>
      <c r="H2016" s="71"/>
      <c r="I2016" s="72"/>
      <c r="J2016" s="72"/>
      <c r="K2016" s="36"/>
      <c r="L2016" s="79"/>
      <c r="M2016" s="79"/>
      <c r="N2016" s="74"/>
      <c r="O2016" s="81" t="s">
        <v>694</v>
      </c>
      <c r="P2016" s="83">
        <v>44468.536354166667</v>
      </c>
      <c r="Q2016" s="81" t="s">
        <v>12777</v>
      </c>
      <c r="R2016" s="81"/>
      <c r="S2016" s="81"/>
      <c r="T2016" s="86" t="s">
        <v>12687</v>
      </c>
      <c r="U2016" s="84" t="str">
        <f>HYPERLINK("https://pbs.twimg.com/media/E8o_4WDVIAEb0_h.jpg")</f>
        <v>https://pbs.twimg.com/media/E8o_4WDVIAEb0_h.jpg</v>
      </c>
      <c r="V2016" s="84" t="str">
        <f>HYPERLINK("https://pbs.twimg.com/media/E8o_4WDVIAEb0_h.jpg")</f>
        <v>https://pbs.twimg.com/media/E8o_4WDVIAEb0_h.jpg</v>
      </c>
      <c r="W2016" s="83">
        <v>44468.536354166667</v>
      </c>
      <c r="X2016" s="89">
        <v>44468</v>
      </c>
      <c r="Y2016" s="86" t="s">
        <v>12925</v>
      </c>
      <c r="Z2016" s="84" t="str">
        <f>HYPERLINK("https://twitter.com/sweetsjhwanie/status/1443196952502407177")</f>
        <v>https://twitter.com/sweetsjhwanie/status/1443196952502407177</v>
      </c>
      <c r="AA2016" s="81"/>
      <c r="AB2016" s="81"/>
      <c r="AC2016" s="86" t="s">
        <v>13162</v>
      </c>
      <c r="AD2016" s="81"/>
      <c r="AE2016" s="81" t="b">
        <v>0</v>
      </c>
      <c r="AF2016" s="81">
        <v>0</v>
      </c>
      <c r="AG2016" s="86" t="s">
        <v>2084</v>
      </c>
      <c r="AH2016" s="81" t="b">
        <v>0</v>
      </c>
      <c r="AI2016" s="81" t="s">
        <v>2168</v>
      </c>
      <c r="AJ2016" s="81"/>
      <c r="AK2016" s="86" t="s">
        <v>2084</v>
      </c>
      <c r="AL2016" s="81" t="b">
        <v>0</v>
      </c>
      <c r="AM2016" s="81">
        <v>17</v>
      </c>
      <c r="AN2016" s="86" t="s">
        <v>13161</v>
      </c>
      <c r="AO2016" s="86" t="s">
        <v>2179</v>
      </c>
      <c r="AP2016" s="81" t="b">
        <v>0</v>
      </c>
      <c r="AQ2016" s="86" t="s">
        <v>13161</v>
      </c>
      <c r="AR2016" s="81" t="s">
        <v>179</v>
      </c>
      <c r="AS2016" s="81">
        <v>0</v>
      </c>
      <c r="AT2016" s="81">
        <v>0</v>
      </c>
      <c r="AU2016" s="81"/>
      <c r="AV2016" s="81"/>
      <c r="AW2016" s="81"/>
      <c r="AX2016" s="81"/>
      <c r="AY2016" s="81"/>
      <c r="AZ2016" s="81"/>
      <c r="BA2016" s="81"/>
      <c r="BB2016" s="81"/>
    </row>
    <row r="2017" spans="1:54" x14ac:dyDescent="0.35">
      <c r="A2017" s="66" t="s">
        <v>12539</v>
      </c>
      <c r="B2017" s="66" t="s">
        <v>354</v>
      </c>
      <c r="C2017" s="67"/>
      <c r="D2017" s="68"/>
      <c r="E2017" s="69"/>
      <c r="F2017" s="70"/>
      <c r="G2017" s="67"/>
      <c r="H2017" s="71"/>
      <c r="I2017" s="72"/>
      <c r="J2017" s="72"/>
      <c r="K2017" s="36"/>
      <c r="L2017" s="79"/>
      <c r="M2017" s="79"/>
      <c r="N2017" s="74"/>
      <c r="O2017" s="81" t="s">
        <v>693</v>
      </c>
      <c r="P2017" s="83">
        <v>44468.536354166667</v>
      </c>
      <c r="Q2017" s="81" t="s">
        <v>12777</v>
      </c>
      <c r="R2017" s="81"/>
      <c r="S2017" s="81"/>
      <c r="T2017" s="86" t="s">
        <v>12687</v>
      </c>
      <c r="U2017" s="84" t="str">
        <f>HYPERLINK("https://pbs.twimg.com/media/E8o_4WDVIAEb0_h.jpg")</f>
        <v>https://pbs.twimg.com/media/E8o_4WDVIAEb0_h.jpg</v>
      </c>
      <c r="V2017" s="84" t="str">
        <f>HYPERLINK("https://pbs.twimg.com/media/E8o_4WDVIAEb0_h.jpg")</f>
        <v>https://pbs.twimg.com/media/E8o_4WDVIAEb0_h.jpg</v>
      </c>
      <c r="W2017" s="83">
        <v>44468.536354166667</v>
      </c>
      <c r="X2017" s="89">
        <v>44468</v>
      </c>
      <c r="Y2017" s="86" t="s">
        <v>12925</v>
      </c>
      <c r="Z2017" s="84" t="str">
        <f>HYPERLINK("https://twitter.com/sweetsjhwanie/status/1443196952502407177")</f>
        <v>https://twitter.com/sweetsjhwanie/status/1443196952502407177</v>
      </c>
      <c r="AA2017" s="81"/>
      <c r="AB2017" s="81"/>
      <c r="AC2017" s="86" t="s">
        <v>13162</v>
      </c>
      <c r="AD2017" s="81"/>
      <c r="AE2017" s="81" t="b">
        <v>0</v>
      </c>
      <c r="AF2017" s="81">
        <v>0</v>
      </c>
      <c r="AG2017" s="86" t="s">
        <v>2084</v>
      </c>
      <c r="AH2017" s="81" t="b">
        <v>0</v>
      </c>
      <c r="AI2017" s="81" t="s">
        <v>2168</v>
      </c>
      <c r="AJ2017" s="81"/>
      <c r="AK2017" s="86" t="s">
        <v>2084</v>
      </c>
      <c r="AL2017" s="81" t="b">
        <v>0</v>
      </c>
      <c r="AM2017" s="81">
        <v>17</v>
      </c>
      <c r="AN2017" s="86" t="s">
        <v>13161</v>
      </c>
      <c r="AO2017" s="86" t="s">
        <v>2179</v>
      </c>
      <c r="AP2017" s="81" t="b">
        <v>0</v>
      </c>
      <c r="AQ2017" s="86" t="s">
        <v>13161</v>
      </c>
      <c r="AR2017" s="81" t="s">
        <v>179</v>
      </c>
      <c r="AS2017" s="81">
        <v>0</v>
      </c>
      <c r="AT2017" s="81">
        <v>0</v>
      </c>
      <c r="AU2017" s="81"/>
      <c r="AV2017" s="81"/>
      <c r="AW2017" s="81"/>
      <c r="AX2017" s="81"/>
      <c r="AY2017" s="81"/>
      <c r="AZ2017" s="81"/>
      <c r="BA2017" s="81"/>
      <c r="BB2017" s="81"/>
    </row>
    <row r="2018" spans="1:54" x14ac:dyDescent="0.35">
      <c r="A2018" s="66" t="s">
        <v>392</v>
      </c>
      <c r="B2018" s="66" t="s">
        <v>415</v>
      </c>
      <c r="C2018" s="67"/>
      <c r="D2018" s="68"/>
      <c r="E2018" s="69"/>
      <c r="F2018" s="70"/>
      <c r="G2018" s="67"/>
      <c r="H2018" s="71"/>
      <c r="I2018" s="72"/>
      <c r="J2018" s="72"/>
      <c r="K2018" s="36"/>
      <c r="L2018" s="79"/>
      <c r="M2018" s="79"/>
      <c r="N2018" s="74"/>
      <c r="O2018" s="81" t="s">
        <v>693</v>
      </c>
      <c r="P2018" s="83">
        <v>44462.387928240743</v>
      </c>
      <c r="Q2018" s="81" t="s">
        <v>759</v>
      </c>
      <c r="R2018" s="81"/>
      <c r="S2018" s="81"/>
      <c r="T2018" s="86" t="s">
        <v>979</v>
      </c>
      <c r="U2018" s="84" t="str">
        <f>HYPERLINK("https://pbs.twimg.com/media/E_9V_ibVEAYc8c_.jpg")</f>
        <v>https://pbs.twimg.com/media/E_9V_ibVEAYc8c_.jpg</v>
      </c>
      <c r="V2018" s="84" t="str">
        <f>HYPERLINK("https://pbs.twimg.com/media/E_9V_ibVEAYc8c_.jpg")</f>
        <v>https://pbs.twimg.com/media/E_9V_ibVEAYc8c_.jpg</v>
      </c>
      <c r="W2018" s="83">
        <v>44462.387928240743</v>
      </c>
      <c r="X2018" s="89">
        <v>44462</v>
      </c>
      <c r="Y2018" s="86" t="s">
        <v>1217</v>
      </c>
      <c r="Z2018" s="84" t="str">
        <f>HYPERLINK("https://twitter.com/deobimarket/status/1440968837017440265")</f>
        <v>https://twitter.com/deobimarket/status/1440968837017440265</v>
      </c>
      <c r="AA2018" s="81"/>
      <c r="AB2018" s="81"/>
      <c r="AC2018" s="86" t="s">
        <v>1713</v>
      </c>
      <c r="AD2018" s="81"/>
      <c r="AE2018" s="81" t="b">
        <v>0</v>
      </c>
      <c r="AF2018" s="81">
        <v>0</v>
      </c>
      <c r="AG2018" s="86" t="s">
        <v>2084</v>
      </c>
      <c r="AH2018" s="81" t="b">
        <v>0</v>
      </c>
      <c r="AI2018" s="81" t="s">
        <v>2168</v>
      </c>
      <c r="AJ2018" s="81"/>
      <c r="AK2018" s="86" t="s">
        <v>2084</v>
      </c>
      <c r="AL2018" s="81" t="b">
        <v>0</v>
      </c>
      <c r="AM2018" s="81">
        <v>12</v>
      </c>
      <c r="AN2018" s="86" t="s">
        <v>1740</v>
      </c>
      <c r="AO2018" s="86" t="s">
        <v>2179</v>
      </c>
      <c r="AP2018" s="81" t="b">
        <v>0</v>
      </c>
      <c r="AQ2018" s="86" t="s">
        <v>1740</v>
      </c>
      <c r="AR2018" s="81" t="s">
        <v>179</v>
      </c>
      <c r="AS2018" s="81">
        <v>0</v>
      </c>
      <c r="AT2018" s="81">
        <v>0</v>
      </c>
      <c r="AU2018" s="81"/>
      <c r="AV2018" s="81"/>
      <c r="AW2018" s="81"/>
      <c r="AX2018" s="81"/>
      <c r="AY2018" s="81"/>
      <c r="AZ2018" s="81"/>
      <c r="BA2018" s="81"/>
      <c r="BB2018" s="81"/>
    </row>
    <row r="2019" spans="1:54" x14ac:dyDescent="0.35">
      <c r="A2019" s="66" t="s">
        <v>392</v>
      </c>
      <c r="B2019" s="66" t="s">
        <v>415</v>
      </c>
      <c r="C2019" s="67"/>
      <c r="D2019" s="68"/>
      <c r="E2019" s="69"/>
      <c r="F2019" s="70"/>
      <c r="G2019" s="67"/>
      <c r="H2019" s="71"/>
      <c r="I2019" s="72"/>
      <c r="J2019" s="72"/>
      <c r="K2019" s="36"/>
      <c r="L2019" s="79"/>
      <c r="M2019" s="79"/>
      <c r="N2019" s="74"/>
      <c r="O2019" s="81" t="s">
        <v>693</v>
      </c>
      <c r="P2019" s="83">
        <v>44463.302256944444</v>
      </c>
      <c r="Q2019" s="81" t="s">
        <v>784</v>
      </c>
      <c r="R2019" s="81"/>
      <c r="S2019" s="81"/>
      <c r="T2019" s="86" t="s">
        <v>979</v>
      </c>
      <c r="U2019" s="84" t="str">
        <f>HYPERLINK("https://pbs.twimg.com/media/FACFXSrVUAEcVQU.jpg")</f>
        <v>https://pbs.twimg.com/media/FACFXSrVUAEcVQU.jpg</v>
      </c>
      <c r="V2019" s="84" t="str">
        <f>HYPERLINK("https://pbs.twimg.com/media/FACFXSrVUAEcVQU.jpg")</f>
        <v>https://pbs.twimg.com/media/FACFXSrVUAEcVQU.jpg</v>
      </c>
      <c r="W2019" s="83">
        <v>44463.302256944444</v>
      </c>
      <c r="X2019" s="89">
        <v>44463</v>
      </c>
      <c r="Y2019" s="86" t="s">
        <v>1218</v>
      </c>
      <c r="Z2019" s="84" t="str">
        <f>HYPERLINK("https://twitter.com/deobimarket/status/1441300177906663426")</f>
        <v>https://twitter.com/deobimarket/status/1441300177906663426</v>
      </c>
      <c r="AA2019" s="81"/>
      <c r="AB2019" s="81"/>
      <c r="AC2019" s="86" t="s">
        <v>1714</v>
      </c>
      <c r="AD2019" s="81"/>
      <c r="AE2019" s="81" t="b">
        <v>0</v>
      </c>
      <c r="AF2019" s="81">
        <v>0</v>
      </c>
      <c r="AG2019" s="86" t="s">
        <v>2084</v>
      </c>
      <c r="AH2019" s="81" t="b">
        <v>0</v>
      </c>
      <c r="AI2019" s="81" t="s">
        <v>2168</v>
      </c>
      <c r="AJ2019" s="81"/>
      <c r="AK2019" s="86" t="s">
        <v>2084</v>
      </c>
      <c r="AL2019" s="81" t="b">
        <v>0</v>
      </c>
      <c r="AM2019" s="81">
        <v>8</v>
      </c>
      <c r="AN2019" s="86" t="s">
        <v>1741</v>
      </c>
      <c r="AO2019" s="86" t="s">
        <v>2179</v>
      </c>
      <c r="AP2019" s="81" t="b">
        <v>0</v>
      </c>
      <c r="AQ2019" s="86" t="s">
        <v>1741</v>
      </c>
      <c r="AR2019" s="81" t="s">
        <v>179</v>
      </c>
      <c r="AS2019" s="81">
        <v>0</v>
      </c>
      <c r="AT2019" s="81">
        <v>0</v>
      </c>
      <c r="AU2019" s="81"/>
      <c r="AV2019" s="81"/>
      <c r="AW2019" s="81"/>
      <c r="AX2019" s="81"/>
      <c r="AY2019" s="81"/>
      <c r="AZ2019" s="81"/>
      <c r="BA2019" s="81"/>
      <c r="BB2019" s="81"/>
    </row>
    <row r="2020" spans="1:54" x14ac:dyDescent="0.35">
      <c r="A2020" s="66" t="s">
        <v>392</v>
      </c>
      <c r="B2020" s="66" t="s">
        <v>4941</v>
      </c>
      <c r="C2020" s="67"/>
      <c r="D2020" s="68"/>
      <c r="E2020" s="69"/>
      <c r="F2020" s="70"/>
      <c r="G2020" s="67"/>
      <c r="H2020" s="71"/>
      <c r="I2020" s="72"/>
      <c r="J2020" s="72"/>
      <c r="K2020" s="36"/>
      <c r="L2020" s="79"/>
      <c r="M2020" s="79"/>
      <c r="N2020" s="74"/>
      <c r="O2020" s="81" t="s">
        <v>693</v>
      </c>
      <c r="P2020" s="83">
        <v>44467.41369212963</v>
      </c>
      <c r="Q2020" s="81" t="s">
        <v>5604</v>
      </c>
      <c r="R2020" s="81"/>
      <c r="S2020" s="81"/>
      <c r="T2020" s="86" t="s">
        <v>979</v>
      </c>
      <c r="U2020" s="84" t="str">
        <f>HYPERLINK("https://pbs.twimg.com/media/FAXNegPUYAAkjOP.jpg")</f>
        <v>https://pbs.twimg.com/media/FAXNegPUYAAkjOP.jpg</v>
      </c>
      <c r="V2020" s="84" t="str">
        <f>HYPERLINK("https://pbs.twimg.com/media/FAXNegPUYAAkjOP.jpg")</f>
        <v>https://pbs.twimg.com/media/FAXNegPUYAAkjOP.jpg</v>
      </c>
      <c r="W2020" s="83">
        <v>44467.41369212963</v>
      </c>
      <c r="X2020" s="89">
        <v>44467</v>
      </c>
      <c r="Y2020" s="86" t="s">
        <v>6546</v>
      </c>
      <c r="Z2020" s="84" t="str">
        <f>HYPERLINK("https://twitter.com/deobimarket/status/1442790111691751427")</f>
        <v>https://twitter.com/deobimarket/status/1442790111691751427</v>
      </c>
      <c r="AA2020" s="81"/>
      <c r="AB2020" s="81"/>
      <c r="AC2020" s="86" t="s">
        <v>7466</v>
      </c>
      <c r="AD2020" s="81"/>
      <c r="AE2020" s="81" t="b">
        <v>0</v>
      </c>
      <c r="AF2020" s="81">
        <v>0</v>
      </c>
      <c r="AG2020" s="86" t="s">
        <v>2084</v>
      </c>
      <c r="AH2020" s="81" t="b">
        <v>0</v>
      </c>
      <c r="AI2020" s="81" t="s">
        <v>2168</v>
      </c>
      <c r="AJ2020" s="81"/>
      <c r="AK2020" s="86" t="s">
        <v>2084</v>
      </c>
      <c r="AL2020" s="81" t="b">
        <v>0</v>
      </c>
      <c r="AM2020" s="81">
        <v>29</v>
      </c>
      <c r="AN2020" s="86" t="s">
        <v>7539</v>
      </c>
      <c r="AO2020" s="86" t="s">
        <v>2179</v>
      </c>
      <c r="AP2020" s="81" t="b">
        <v>0</v>
      </c>
      <c r="AQ2020" s="86" t="s">
        <v>7539</v>
      </c>
      <c r="AR2020" s="81" t="s">
        <v>179</v>
      </c>
      <c r="AS2020" s="81">
        <v>0</v>
      </c>
      <c r="AT2020" s="81">
        <v>0</v>
      </c>
      <c r="AU2020" s="81"/>
      <c r="AV2020" s="81"/>
      <c r="AW2020" s="81"/>
      <c r="AX2020" s="81"/>
      <c r="AY2020" s="81"/>
      <c r="AZ2020" s="81"/>
      <c r="BA2020" s="81"/>
      <c r="BB2020" s="81"/>
    </row>
    <row r="2021" spans="1:54" x14ac:dyDescent="0.35">
      <c r="A2021" s="66" t="s">
        <v>392</v>
      </c>
      <c r="B2021" s="66" t="s">
        <v>4941</v>
      </c>
      <c r="C2021" s="67"/>
      <c r="D2021" s="68"/>
      <c r="E2021" s="69"/>
      <c r="F2021" s="70"/>
      <c r="G2021" s="67"/>
      <c r="H2021" s="71"/>
      <c r="I2021" s="72"/>
      <c r="J2021" s="72"/>
      <c r="K2021" s="36"/>
      <c r="L2021" s="79"/>
      <c r="M2021" s="79"/>
      <c r="N2021" s="74"/>
      <c r="O2021" s="81" t="s">
        <v>693</v>
      </c>
      <c r="P2021" s="83">
        <v>44468.544270833336</v>
      </c>
      <c r="Q2021" s="81" t="s">
        <v>12778</v>
      </c>
      <c r="R2021" s="81"/>
      <c r="S2021" s="81"/>
      <c r="T2021" s="86" t="s">
        <v>979</v>
      </c>
      <c r="U2021" s="84" t="str">
        <f>HYPERLINK("https://pbs.twimg.com/media/FAdFkP4VgAEQ2TI.jpg")</f>
        <v>https://pbs.twimg.com/media/FAdFkP4VgAEQ2TI.jpg</v>
      </c>
      <c r="V2021" s="84" t="str">
        <f>HYPERLINK("https://pbs.twimg.com/media/FAdFkP4VgAEQ2TI.jpg")</f>
        <v>https://pbs.twimg.com/media/FAdFkP4VgAEQ2TI.jpg</v>
      </c>
      <c r="W2021" s="83">
        <v>44468.544270833336</v>
      </c>
      <c r="X2021" s="89">
        <v>44468</v>
      </c>
      <c r="Y2021" s="86" t="s">
        <v>12926</v>
      </c>
      <c r="Z2021" s="84" t="str">
        <f>HYPERLINK("https://twitter.com/deobimarket/status/1443199819724451844")</f>
        <v>https://twitter.com/deobimarket/status/1443199819724451844</v>
      </c>
      <c r="AA2021" s="81"/>
      <c r="AB2021" s="81"/>
      <c r="AC2021" s="86" t="s">
        <v>13163</v>
      </c>
      <c r="AD2021" s="81"/>
      <c r="AE2021" s="81" t="b">
        <v>0</v>
      </c>
      <c r="AF2021" s="81">
        <v>0</v>
      </c>
      <c r="AG2021" s="86" t="s">
        <v>2084</v>
      </c>
      <c r="AH2021" s="81" t="b">
        <v>0</v>
      </c>
      <c r="AI2021" s="81" t="s">
        <v>2167</v>
      </c>
      <c r="AJ2021" s="81"/>
      <c r="AK2021" s="86" t="s">
        <v>2084</v>
      </c>
      <c r="AL2021" s="81" t="b">
        <v>0</v>
      </c>
      <c r="AM2021" s="81">
        <v>7</v>
      </c>
      <c r="AN2021" s="86" t="s">
        <v>13172</v>
      </c>
      <c r="AO2021" s="86" t="s">
        <v>2179</v>
      </c>
      <c r="AP2021" s="81" t="b">
        <v>0</v>
      </c>
      <c r="AQ2021" s="86" t="s">
        <v>13172</v>
      </c>
      <c r="AR2021" s="81" t="s">
        <v>179</v>
      </c>
      <c r="AS2021" s="81">
        <v>0</v>
      </c>
      <c r="AT2021" s="81">
        <v>0</v>
      </c>
      <c r="AU2021" s="81"/>
      <c r="AV2021" s="81"/>
      <c r="AW2021" s="81"/>
      <c r="AX2021" s="81"/>
      <c r="AY2021" s="81"/>
      <c r="AZ2021" s="81"/>
      <c r="BA2021" s="81"/>
      <c r="BB2021" s="81"/>
    </row>
    <row r="2022" spans="1:54" x14ac:dyDescent="0.35">
      <c r="A2022" s="66" t="s">
        <v>12540</v>
      </c>
      <c r="B2022" s="66" t="s">
        <v>12688</v>
      </c>
      <c r="C2022" s="67"/>
      <c r="D2022" s="68"/>
      <c r="E2022" s="69"/>
      <c r="F2022" s="70"/>
      <c r="G2022" s="67"/>
      <c r="H2022" s="71"/>
      <c r="I2022" s="72"/>
      <c r="J2022" s="72"/>
      <c r="K2022" s="36"/>
      <c r="L2022" s="79"/>
      <c r="M2022" s="79"/>
      <c r="N2022" s="74"/>
      <c r="O2022" s="81" t="s">
        <v>695</v>
      </c>
      <c r="P2022" s="83">
        <v>44468.545868055553</v>
      </c>
      <c r="Q2022" s="81" t="s">
        <v>12779</v>
      </c>
      <c r="R2022" s="81"/>
      <c r="S2022" s="81"/>
      <c r="T2022" s="81"/>
      <c r="U2022" s="81"/>
      <c r="V2022" s="84" t="str">
        <f>HYPERLINK("https://pbs.twimg.com/profile_images/1442799947649224711/Zkpl99tF_normal.jpg")</f>
        <v>https://pbs.twimg.com/profile_images/1442799947649224711/Zkpl99tF_normal.jpg</v>
      </c>
      <c r="W2022" s="83">
        <v>44468.545868055553</v>
      </c>
      <c r="X2022" s="89">
        <v>44468</v>
      </c>
      <c r="Y2022" s="86" t="s">
        <v>12927</v>
      </c>
      <c r="Z2022" s="84" t="str">
        <f>HYPERLINK("https://twitter.com/chittawildinn/status/1443200401801576451")</f>
        <v>https://twitter.com/chittawildinn/status/1443200401801576451</v>
      </c>
      <c r="AA2022" s="81"/>
      <c r="AB2022" s="81"/>
      <c r="AC2022" s="86" t="s">
        <v>13164</v>
      </c>
      <c r="AD2022" s="86" t="s">
        <v>13375</v>
      </c>
      <c r="AE2022" s="81" t="b">
        <v>0</v>
      </c>
      <c r="AF2022" s="81">
        <v>0</v>
      </c>
      <c r="AG2022" s="86" t="s">
        <v>13416</v>
      </c>
      <c r="AH2022" s="81" t="b">
        <v>0</v>
      </c>
      <c r="AI2022" s="81" t="s">
        <v>2167</v>
      </c>
      <c r="AJ2022" s="81"/>
      <c r="AK2022" s="86" t="s">
        <v>2084</v>
      </c>
      <c r="AL2022" s="81" t="b">
        <v>0</v>
      </c>
      <c r="AM2022" s="81">
        <v>0</v>
      </c>
      <c r="AN2022" s="86" t="s">
        <v>2084</v>
      </c>
      <c r="AO2022" s="86" t="s">
        <v>2178</v>
      </c>
      <c r="AP2022" s="81" t="b">
        <v>0</v>
      </c>
      <c r="AQ2022" s="86" t="s">
        <v>13375</v>
      </c>
      <c r="AR2022" s="81" t="s">
        <v>179</v>
      </c>
      <c r="AS2022" s="81">
        <v>0</v>
      </c>
      <c r="AT2022" s="81">
        <v>0</v>
      </c>
      <c r="AU2022" s="81"/>
      <c r="AV2022" s="81"/>
      <c r="AW2022" s="81"/>
      <c r="AX2022" s="81"/>
      <c r="AY2022" s="81"/>
      <c r="AZ2022" s="81"/>
      <c r="BA2022" s="81"/>
      <c r="BB2022" s="81"/>
    </row>
    <row r="2023" spans="1:54" x14ac:dyDescent="0.35">
      <c r="A2023" s="66" t="s">
        <v>4882</v>
      </c>
      <c r="B2023" s="66" t="s">
        <v>4941</v>
      </c>
      <c r="C2023" s="67"/>
      <c r="D2023" s="68"/>
      <c r="E2023" s="69"/>
      <c r="F2023" s="70"/>
      <c r="G2023" s="67"/>
      <c r="H2023" s="71"/>
      <c r="I2023" s="72"/>
      <c r="J2023" s="72"/>
      <c r="K2023" s="36"/>
      <c r="L2023" s="79"/>
      <c r="M2023" s="79"/>
      <c r="N2023" s="74"/>
      <c r="O2023" s="81" t="s">
        <v>693</v>
      </c>
      <c r="P2023" s="83">
        <v>44467.405740740738</v>
      </c>
      <c r="Q2023" s="81" t="s">
        <v>5604</v>
      </c>
      <c r="R2023" s="81"/>
      <c r="S2023" s="81"/>
      <c r="T2023" s="86" t="s">
        <v>979</v>
      </c>
      <c r="U2023" s="84" t="str">
        <f>HYPERLINK("https://pbs.twimg.com/media/FAXNegPUYAAkjOP.jpg")</f>
        <v>https://pbs.twimg.com/media/FAXNegPUYAAkjOP.jpg</v>
      </c>
      <c r="V2023" s="84" t="str">
        <f>HYPERLINK("https://pbs.twimg.com/media/FAXNegPUYAAkjOP.jpg")</f>
        <v>https://pbs.twimg.com/media/FAXNegPUYAAkjOP.jpg</v>
      </c>
      <c r="W2023" s="83">
        <v>44467.405740740738</v>
      </c>
      <c r="X2023" s="89">
        <v>44467</v>
      </c>
      <c r="Y2023" s="86" t="s">
        <v>6544</v>
      </c>
      <c r="Z2023" s="84" t="str">
        <f>HYPERLINK("https://twitter.com/minihyunjae/status/1442787231563845632")</f>
        <v>https://twitter.com/minihyunjae/status/1442787231563845632</v>
      </c>
      <c r="AA2023" s="81"/>
      <c r="AB2023" s="81"/>
      <c r="AC2023" s="86" t="s">
        <v>7464</v>
      </c>
      <c r="AD2023" s="81"/>
      <c r="AE2023" s="81" t="b">
        <v>0</v>
      </c>
      <c r="AF2023" s="81">
        <v>0</v>
      </c>
      <c r="AG2023" s="86" t="s">
        <v>2084</v>
      </c>
      <c r="AH2023" s="81" t="b">
        <v>0</v>
      </c>
      <c r="AI2023" s="81" t="s">
        <v>2168</v>
      </c>
      <c r="AJ2023" s="81"/>
      <c r="AK2023" s="86" t="s">
        <v>2084</v>
      </c>
      <c r="AL2023" s="81" t="b">
        <v>0</v>
      </c>
      <c r="AM2023" s="81">
        <v>29</v>
      </c>
      <c r="AN2023" s="86" t="s">
        <v>7539</v>
      </c>
      <c r="AO2023" s="86" t="s">
        <v>2178</v>
      </c>
      <c r="AP2023" s="81" t="b">
        <v>0</v>
      </c>
      <c r="AQ2023" s="86" t="s">
        <v>7539</v>
      </c>
      <c r="AR2023" s="81" t="s">
        <v>179</v>
      </c>
      <c r="AS2023" s="81">
        <v>0</v>
      </c>
      <c r="AT2023" s="81">
        <v>0</v>
      </c>
      <c r="AU2023" s="81"/>
      <c r="AV2023" s="81"/>
      <c r="AW2023" s="81"/>
      <c r="AX2023" s="81"/>
      <c r="AY2023" s="81"/>
      <c r="AZ2023" s="81"/>
      <c r="BA2023" s="81"/>
      <c r="BB2023" s="81"/>
    </row>
    <row r="2024" spans="1:54" x14ac:dyDescent="0.35">
      <c r="A2024" s="66" t="s">
        <v>4882</v>
      </c>
      <c r="B2024" s="66" t="s">
        <v>4941</v>
      </c>
      <c r="C2024" s="67"/>
      <c r="D2024" s="68"/>
      <c r="E2024" s="69"/>
      <c r="F2024" s="70"/>
      <c r="G2024" s="67"/>
      <c r="H2024" s="71"/>
      <c r="I2024" s="72"/>
      <c r="J2024" s="72"/>
      <c r="K2024" s="36"/>
      <c r="L2024" s="79"/>
      <c r="M2024" s="79"/>
      <c r="N2024" s="74"/>
      <c r="O2024" s="81" t="s">
        <v>693</v>
      </c>
      <c r="P2024" s="83">
        <v>44468.54792824074</v>
      </c>
      <c r="Q2024" s="81" t="s">
        <v>12778</v>
      </c>
      <c r="R2024" s="81"/>
      <c r="S2024" s="81"/>
      <c r="T2024" s="86" t="s">
        <v>979</v>
      </c>
      <c r="U2024" s="84" t="str">
        <f>HYPERLINK("https://pbs.twimg.com/media/FAdFkP4VgAEQ2TI.jpg")</f>
        <v>https://pbs.twimg.com/media/FAdFkP4VgAEQ2TI.jpg</v>
      </c>
      <c r="V2024" s="84" t="str">
        <f>HYPERLINK("https://pbs.twimg.com/media/FAdFkP4VgAEQ2TI.jpg")</f>
        <v>https://pbs.twimg.com/media/FAdFkP4VgAEQ2TI.jpg</v>
      </c>
      <c r="W2024" s="83">
        <v>44468.54792824074</v>
      </c>
      <c r="X2024" s="89">
        <v>44468</v>
      </c>
      <c r="Y2024" s="86" t="s">
        <v>12928</v>
      </c>
      <c r="Z2024" s="84" t="str">
        <f>HYPERLINK("https://twitter.com/minihyunjae/status/1443201148169588739")</f>
        <v>https://twitter.com/minihyunjae/status/1443201148169588739</v>
      </c>
      <c r="AA2024" s="81"/>
      <c r="AB2024" s="81"/>
      <c r="AC2024" s="86" t="s">
        <v>13165</v>
      </c>
      <c r="AD2024" s="81"/>
      <c r="AE2024" s="81" t="b">
        <v>0</v>
      </c>
      <c r="AF2024" s="81">
        <v>0</v>
      </c>
      <c r="AG2024" s="86" t="s">
        <v>2084</v>
      </c>
      <c r="AH2024" s="81" t="b">
        <v>0</v>
      </c>
      <c r="AI2024" s="81" t="s">
        <v>2167</v>
      </c>
      <c r="AJ2024" s="81"/>
      <c r="AK2024" s="86" t="s">
        <v>2084</v>
      </c>
      <c r="AL2024" s="81" t="b">
        <v>0</v>
      </c>
      <c r="AM2024" s="81">
        <v>7</v>
      </c>
      <c r="AN2024" s="86" t="s">
        <v>13172</v>
      </c>
      <c r="AO2024" s="86" t="s">
        <v>2178</v>
      </c>
      <c r="AP2024" s="81" t="b">
        <v>0</v>
      </c>
      <c r="AQ2024" s="86" t="s">
        <v>13172</v>
      </c>
      <c r="AR2024" s="81" t="s">
        <v>179</v>
      </c>
      <c r="AS2024" s="81">
        <v>0</v>
      </c>
      <c r="AT2024" s="81">
        <v>0</v>
      </c>
      <c r="AU2024" s="81"/>
      <c r="AV2024" s="81"/>
      <c r="AW2024" s="81"/>
      <c r="AX2024" s="81"/>
      <c r="AY2024" s="81"/>
      <c r="AZ2024" s="81"/>
      <c r="BA2024" s="81"/>
      <c r="BB2024" s="81"/>
    </row>
    <row r="2025" spans="1:54" x14ac:dyDescent="0.35">
      <c r="A2025" s="66" t="s">
        <v>12541</v>
      </c>
      <c r="B2025" s="66" t="s">
        <v>4941</v>
      </c>
      <c r="C2025" s="67"/>
      <c r="D2025" s="68"/>
      <c r="E2025" s="69"/>
      <c r="F2025" s="70"/>
      <c r="G2025" s="67"/>
      <c r="H2025" s="71"/>
      <c r="I2025" s="72"/>
      <c r="J2025" s="72"/>
      <c r="K2025" s="36"/>
      <c r="L2025" s="79"/>
      <c r="M2025" s="79"/>
      <c r="N2025" s="74"/>
      <c r="O2025" s="81" t="s">
        <v>693</v>
      </c>
      <c r="P2025" s="83">
        <v>44468.548414351855</v>
      </c>
      <c r="Q2025" s="81" t="s">
        <v>12778</v>
      </c>
      <c r="R2025" s="81"/>
      <c r="S2025" s="81"/>
      <c r="T2025" s="86" t="s">
        <v>979</v>
      </c>
      <c r="U2025" s="84" t="str">
        <f>HYPERLINK("https://pbs.twimg.com/media/FAdFkP4VgAEQ2TI.jpg")</f>
        <v>https://pbs.twimg.com/media/FAdFkP4VgAEQ2TI.jpg</v>
      </c>
      <c r="V2025" s="84" t="str">
        <f>HYPERLINK("https://pbs.twimg.com/media/FAdFkP4VgAEQ2TI.jpg")</f>
        <v>https://pbs.twimg.com/media/FAdFkP4VgAEQ2TI.jpg</v>
      </c>
      <c r="W2025" s="83">
        <v>44468.548414351855</v>
      </c>
      <c r="X2025" s="89">
        <v>44468</v>
      </c>
      <c r="Y2025" s="86" t="s">
        <v>12929</v>
      </c>
      <c r="Z2025" s="84" t="str">
        <f>HYPERLINK("https://twitter.com/mirahan0612/status/1443201324888117251")</f>
        <v>https://twitter.com/mirahan0612/status/1443201324888117251</v>
      </c>
      <c r="AA2025" s="81"/>
      <c r="AB2025" s="81"/>
      <c r="AC2025" s="86" t="s">
        <v>13166</v>
      </c>
      <c r="AD2025" s="81"/>
      <c r="AE2025" s="81" t="b">
        <v>0</v>
      </c>
      <c r="AF2025" s="81">
        <v>0</v>
      </c>
      <c r="AG2025" s="86" t="s">
        <v>2084</v>
      </c>
      <c r="AH2025" s="81" t="b">
        <v>0</v>
      </c>
      <c r="AI2025" s="81" t="s">
        <v>2167</v>
      </c>
      <c r="AJ2025" s="81"/>
      <c r="AK2025" s="86" t="s">
        <v>2084</v>
      </c>
      <c r="AL2025" s="81" t="b">
        <v>0</v>
      </c>
      <c r="AM2025" s="81">
        <v>7</v>
      </c>
      <c r="AN2025" s="86" t="s">
        <v>13172</v>
      </c>
      <c r="AO2025" s="86" t="s">
        <v>2178</v>
      </c>
      <c r="AP2025" s="81" t="b">
        <v>0</v>
      </c>
      <c r="AQ2025" s="86" t="s">
        <v>13172</v>
      </c>
      <c r="AR2025" s="81" t="s">
        <v>179</v>
      </c>
      <c r="AS2025" s="81">
        <v>0</v>
      </c>
      <c r="AT2025" s="81">
        <v>0</v>
      </c>
      <c r="AU2025" s="81"/>
      <c r="AV2025" s="81"/>
      <c r="AW2025" s="81"/>
      <c r="AX2025" s="81"/>
      <c r="AY2025" s="81"/>
      <c r="AZ2025" s="81"/>
      <c r="BA2025" s="81"/>
      <c r="BB2025" s="81"/>
    </row>
    <row r="2026" spans="1:54" x14ac:dyDescent="0.35">
      <c r="A2026" s="66" t="s">
        <v>4888</v>
      </c>
      <c r="B2026" s="66" t="s">
        <v>4941</v>
      </c>
      <c r="C2026" s="67"/>
      <c r="D2026" s="68"/>
      <c r="E2026" s="69"/>
      <c r="F2026" s="70"/>
      <c r="G2026" s="67"/>
      <c r="H2026" s="71"/>
      <c r="I2026" s="72"/>
      <c r="J2026" s="72"/>
      <c r="K2026" s="36"/>
      <c r="L2026" s="79"/>
      <c r="M2026" s="79"/>
      <c r="N2026" s="74"/>
      <c r="O2026" s="81" t="s">
        <v>693</v>
      </c>
      <c r="P2026" s="83">
        <v>44467.418206018519</v>
      </c>
      <c r="Q2026" s="81" t="s">
        <v>5604</v>
      </c>
      <c r="R2026" s="81"/>
      <c r="S2026" s="81"/>
      <c r="T2026" s="86" t="s">
        <v>979</v>
      </c>
      <c r="U2026" s="84" t="str">
        <f>HYPERLINK("https://pbs.twimg.com/media/FAXNegPUYAAkjOP.jpg")</f>
        <v>https://pbs.twimg.com/media/FAXNegPUYAAkjOP.jpg</v>
      </c>
      <c r="V2026" s="84" t="str">
        <f>HYPERLINK("https://pbs.twimg.com/media/FAXNegPUYAAkjOP.jpg")</f>
        <v>https://pbs.twimg.com/media/FAXNegPUYAAkjOP.jpg</v>
      </c>
      <c r="W2026" s="83">
        <v>44467.418206018519</v>
      </c>
      <c r="X2026" s="89">
        <v>44467</v>
      </c>
      <c r="Y2026" s="86" t="s">
        <v>6551</v>
      </c>
      <c r="Z2026" s="84" t="str">
        <f>HYPERLINK("https://twitter.com/luvbbangjukyu/status/1442791749353553927")</f>
        <v>https://twitter.com/luvbbangjukyu/status/1442791749353553927</v>
      </c>
      <c r="AA2026" s="81"/>
      <c r="AB2026" s="81"/>
      <c r="AC2026" s="86" t="s">
        <v>7471</v>
      </c>
      <c r="AD2026" s="81"/>
      <c r="AE2026" s="81" t="b">
        <v>0</v>
      </c>
      <c r="AF2026" s="81">
        <v>0</v>
      </c>
      <c r="AG2026" s="86" t="s">
        <v>2084</v>
      </c>
      <c r="AH2026" s="81" t="b">
        <v>0</v>
      </c>
      <c r="AI2026" s="81" t="s">
        <v>2168</v>
      </c>
      <c r="AJ2026" s="81"/>
      <c r="AK2026" s="86" t="s">
        <v>2084</v>
      </c>
      <c r="AL2026" s="81" t="b">
        <v>0</v>
      </c>
      <c r="AM2026" s="81">
        <v>29</v>
      </c>
      <c r="AN2026" s="86" t="s">
        <v>7539</v>
      </c>
      <c r="AO2026" s="86" t="s">
        <v>2179</v>
      </c>
      <c r="AP2026" s="81" t="b">
        <v>0</v>
      </c>
      <c r="AQ2026" s="86" t="s">
        <v>7539</v>
      </c>
      <c r="AR2026" s="81" t="s">
        <v>179</v>
      </c>
      <c r="AS2026" s="81">
        <v>0</v>
      </c>
      <c r="AT2026" s="81">
        <v>0</v>
      </c>
      <c r="AU2026" s="81"/>
      <c r="AV2026" s="81"/>
      <c r="AW2026" s="81"/>
      <c r="AX2026" s="81"/>
      <c r="AY2026" s="81"/>
      <c r="AZ2026" s="81"/>
      <c r="BA2026" s="81"/>
      <c r="BB2026" s="81"/>
    </row>
    <row r="2027" spans="1:54" x14ac:dyDescent="0.35">
      <c r="A2027" s="66" t="s">
        <v>4888</v>
      </c>
      <c r="B2027" s="66" t="s">
        <v>4941</v>
      </c>
      <c r="C2027" s="67"/>
      <c r="D2027" s="68"/>
      <c r="E2027" s="69"/>
      <c r="F2027" s="70"/>
      <c r="G2027" s="67"/>
      <c r="H2027" s="71"/>
      <c r="I2027" s="72"/>
      <c r="J2027" s="72"/>
      <c r="K2027" s="36"/>
      <c r="L2027" s="79"/>
      <c r="M2027" s="79"/>
      <c r="N2027" s="74"/>
      <c r="O2027" s="81" t="s">
        <v>693</v>
      </c>
      <c r="P2027" s="83">
        <v>44468.549270833333</v>
      </c>
      <c r="Q2027" s="81" t="s">
        <v>12778</v>
      </c>
      <c r="R2027" s="81"/>
      <c r="S2027" s="81"/>
      <c r="T2027" s="86" t="s">
        <v>979</v>
      </c>
      <c r="U2027" s="84" t="str">
        <f>HYPERLINK("https://pbs.twimg.com/media/FAdFkP4VgAEQ2TI.jpg")</f>
        <v>https://pbs.twimg.com/media/FAdFkP4VgAEQ2TI.jpg</v>
      </c>
      <c r="V2027" s="84" t="str">
        <f>HYPERLINK("https://pbs.twimg.com/media/FAdFkP4VgAEQ2TI.jpg")</f>
        <v>https://pbs.twimg.com/media/FAdFkP4VgAEQ2TI.jpg</v>
      </c>
      <c r="W2027" s="83">
        <v>44468.549270833333</v>
      </c>
      <c r="X2027" s="89">
        <v>44468</v>
      </c>
      <c r="Y2027" s="86" t="s">
        <v>12930</v>
      </c>
      <c r="Z2027" s="84" t="str">
        <f>HYPERLINK("https://twitter.com/luvbbangjukyu/status/1443201631844069389")</f>
        <v>https://twitter.com/luvbbangjukyu/status/1443201631844069389</v>
      </c>
      <c r="AA2027" s="81"/>
      <c r="AB2027" s="81"/>
      <c r="AC2027" s="86" t="s">
        <v>13167</v>
      </c>
      <c r="AD2027" s="81"/>
      <c r="AE2027" s="81" t="b">
        <v>0</v>
      </c>
      <c r="AF2027" s="81">
        <v>0</v>
      </c>
      <c r="AG2027" s="86" t="s">
        <v>2084</v>
      </c>
      <c r="AH2027" s="81" t="b">
        <v>0</v>
      </c>
      <c r="AI2027" s="81" t="s">
        <v>2167</v>
      </c>
      <c r="AJ2027" s="81"/>
      <c r="AK2027" s="86" t="s">
        <v>2084</v>
      </c>
      <c r="AL2027" s="81" t="b">
        <v>0</v>
      </c>
      <c r="AM2027" s="81">
        <v>7</v>
      </c>
      <c r="AN2027" s="86" t="s">
        <v>13172</v>
      </c>
      <c r="AO2027" s="86" t="s">
        <v>2179</v>
      </c>
      <c r="AP2027" s="81" t="b">
        <v>0</v>
      </c>
      <c r="AQ2027" s="86" t="s">
        <v>13172</v>
      </c>
      <c r="AR2027" s="81" t="s">
        <v>179</v>
      </c>
      <c r="AS2027" s="81">
        <v>0</v>
      </c>
      <c r="AT2027" s="81">
        <v>0</v>
      </c>
      <c r="AU2027" s="81"/>
      <c r="AV2027" s="81"/>
      <c r="AW2027" s="81"/>
      <c r="AX2027" s="81"/>
      <c r="AY2027" s="81"/>
      <c r="AZ2027" s="81"/>
      <c r="BA2027" s="81"/>
      <c r="BB2027" s="81"/>
    </row>
    <row r="2028" spans="1:54" x14ac:dyDescent="0.35">
      <c r="A2028" s="66" t="s">
        <v>12542</v>
      </c>
      <c r="B2028" s="66" t="s">
        <v>12689</v>
      </c>
      <c r="C2028" s="67"/>
      <c r="D2028" s="68"/>
      <c r="E2028" s="69"/>
      <c r="F2028" s="70"/>
      <c r="G2028" s="67"/>
      <c r="H2028" s="71"/>
      <c r="I2028" s="72"/>
      <c r="J2028" s="72"/>
      <c r="K2028" s="36"/>
      <c r="L2028" s="79"/>
      <c r="M2028" s="79"/>
      <c r="N2028" s="74"/>
      <c r="O2028" s="81" t="s">
        <v>696</v>
      </c>
      <c r="P2028" s="83">
        <v>44468.555949074071</v>
      </c>
      <c r="Q2028" s="81" t="s">
        <v>12780</v>
      </c>
      <c r="R2028" s="81"/>
      <c r="S2028" s="81"/>
      <c r="T2028" s="81"/>
      <c r="U2028" s="81"/>
      <c r="V2028" s="84" t="str">
        <f>HYPERLINK("https://abs.twimg.com/sticky/default_profile_images/default_profile_normal.png")</f>
        <v>https://abs.twimg.com/sticky/default_profile_images/default_profile_normal.png</v>
      </c>
      <c r="W2028" s="83">
        <v>44468.555949074071</v>
      </c>
      <c r="X2028" s="89">
        <v>44468</v>
      </c>
      <c r="Y2028" s="86" t="s">
        <v>12931</v>
      </c>
      <c r="Z2028" s="84" t="str">
        <f>HYPERLINK("https://twitter.com/joscunh1965/status/1443204054713311232")</f>
        <v>https://twitter.com/joscunh1965/status/1443204054713311232</v>
      </c>
      <c r="AA2028" s="81"/>
      <c r="AB2028" s="81"/>
      <c r="AC2028" s="86" t="s">
        <v>13168</v>
      </c>
      <c r="AD2028" s="86" t="s">
        <v>13376</v>
      </c>
      <c r="AE2028" s="81" t="b">
        <v>0</v>
      </c>
      <c r="AF2028" s="81">
        <v>2</v>
      </c>
      <c r="AG2028" s="86" t="s">
        <v>13417</v>
      </c>
      <c r="AH2028" s="81" t="b">
        <v>0</v>
      </c>
      <c r="AI2028" s="81" t="s">
        <v>2171</v>
      </c>
      <c r="AJ2028" s="81"/>
      <c r="AK2028" s="86" t="s">
        <v>2084</v>
      </c>
      <c r="AL2028" s="81" t="b">
        <v>0</v>
      </c>
      <c r="AM2028" s="81">
        <v>0</v>
      </c>
      <c r="AN2028" s="86" t="s">
        <v>2084</v>
      </c>
      <c r="AO2028" s="86" t="s">
        <v>2181</v>
      </c>
      <c r="AP2028" s="81" t="b">
        <v>0</v>
      </c>
      <c r="AQ2028" s="86" t="s">
        <v>13376</v>
      </c>
      <c r="AR2028" s="81" t="s">
        <v>179</v>
      </c>
      <c r="AS2028" s="81">
        <v>0</v>
      </c>
      <c r="AT2028" s="81">
        <v>0</v>
      </c>
      <c r="AU2028" s="81"/>
      <c r="AV2028" s="81"/>
      <c r="AW2028" s="81"/>
      <c r="AX2028" s="81"/>
      <c r="AY2028" s="81"/>
      <c r="AZ2028" s="81"/>
      <c r="BA2028" s="81"/>
      <c r="BB2028" s="81"/>
    </row>
    <row r="2029" spans="1:54" x14ac:dyDescent="0.35">
      <c r="A2029" s="66" t="s">
        <v>12542</v>
      </c>
      <c r="B2029" s="66" t="s">
        <v>12690</v>
      </c>
      <c r="C2029" s="67"/>
      <c r="D2029" s="68"/>
      <c r="E2029" s="69"/>
      <c r="F2029" s="70"/>
      <c r="G2029" s="67"/>
      <c r="H2029" s="71"/>
      <c r="I2029" s="72"/>
      <c r="J2029" s="72"/>
      <c r="K2029" s="36"/>
      <c r="L2029" s="79"/>
      <c r="M2029" s="79"/>
      <c r="N2029" s="74"/>
      <c r="O2029" s="81" t="s">
        <v>696</v>
      </c>
      <c r="P2029" s="83">
        <v>44468.555949074071</v>
      </c>
      <c r="Q2029" s="81" t="s">
        <v>12780</v>
      </c>
      <c r="R2029" s="81"/>
      <c r="S2029" s="81"/>
      <c r="T2029" s="81"/>
      <c r="U2029" s="81"/>
      <c r="V2029" s="84" t="str">
        <f>HYPERLINK("https://abs.twimg.com/sticky/default_profile_images/default_profile_normal.png")</f>
        <v>https://abs.twimg.com/sticky/default_profile_images/default_profile_normal.png</v>
      </c>
      <c r="W2029" s="83">
        <v>44468.555949074071</v>
      </c>
      <c r="X2029" s="89">
        <v>44468</v>
      </c>
      <c r="Y2029" s="86" t="s">
        <v>12931</v>
      </c>
      <c r="Z2029" s="84" t="str">
        <f>HYPERLINK("https://twitter.com/joscunh1965/status/1443204054713311232")</f>
        <v>https://twitter.com/joscunh1965/status/1443204054713311232</v>
      </c>
      <c r="AA2029" s="81"/>
      <c r="AB2029" s="81"/>
      <c r="AC2029" s="86" t="s">
        <v>13168</v>
      </c>
      <c r="AD2029" s="86" t="s">
        <v>13376</v>
      </c>
      <c r="AE2029" s="81" t="b">
        <v>0</v>
      </c>
      <c r="AF2029" s="81">
        <v>2</v>
      </c>
      <c r="AG2029" s="86" t="s">
        <v>13417</v>
      </c>
      <c r="AH2029" s="81" t="b">
        <v>0</v>
      </c>
      <c r="AI2029" s="81" t="s">
        <v>2171</v>
      </c>
      <c r="AJ2029" s="81"/>
      <c r="AK2029" s="86" t="s">
        <v>2084</v>
      </c>
      <c r="AL2029" s="81" t="b">
        <v>0</v>
      </c>
      <c r="AM2029" s="81">
        <v>0</v>
      </c>
      <c r="AN2029" s="86" t="s">
        <v>2084</v>
      </c>
      <c r="AO2029" s="86" t="s">
        <v>2181</v>
      </c>
      <c r="AP2029" s="81" t="b">
        <v>0</v>
      </c>
      <c r="AQ2029" s="86" t="s">
        <v>13376</v>
      </c>
      <c r="AR2029" s="81" t="s">
        <v>179</v>
      </c>
      <c r="AS2029" s="81">
        <v>0</v>
      </c>
      <c r="AT2029" s="81">
        <v>0</v>
      </c>
      <c r="AU2029" s="81"/>
      <c r="AV2029" s="81"/>
      <c r="AW2029" s="81"/>
      <c r="AX2029" s="81"/>
      <c r="AY2029" s="81"/>
      <c r="AZ2029" s="81"/>
      <c r="BA2029" s="81"/>
      <c r="BB2029" s="81"/>
    </row>
    <row r="2030" spans="1:54" x14ac:dyDescent="0.35">
      <c r="A2030" s="66" t="s">
        <v>12542</v>
      </c>
      <c r="B2030" s="66" t="s">
        <v>12691</v>
      </c>
      <c r="C2030" s="67"/>
      <c r="D2030" s="68"/>
      <c r="E2030" s="69"/>
      <c r="F2030" s="70"/>
      <c r="G2030" s="67"/>
      <c r="H2030" s="71"/>
      <c r="I2030" s="72"/>
      <c r="J2030" s="72"/>
      <c r="K2030" s="36"/>
      <c r="L2030" s="79"/>
      <c r="M2030" s="79"/>
      <c r="N2030" s="74"/>
      <c r="O2030" s="81" t="s">
        <v>696</v>
      </c>
      <c r="P2030" s="83">
        <v>44468.555949074071</v>
      </c>
      <c r="Q2030" s="81" t="s">
        <v>12780</v>
      </c>
      <c r="R2030" s="81"/>
      <c r="S2030" s="81"/>
      <c r="T2030" s="81"/>
      <c r="U2030" s="81"/>
      <c r="V2030" s="84" t="str">
        <f>HYPERLINK("https://abs.twimg.com/sticky/default_profile_images/default_profile_normal.png")</f>
        <v>https://abs.twimg.com/sticky/default_profile_images/default_profile_normal.png</v>
      </c>
      <c r="W2030" s="83">
        <v>44468.555949074071</v>
      </c>
      <c r="X2030" s="89">
        <v>44468</v>
      </c>
      <c r="Y2030" s="86" t="s">
        <v>12931</v>
      </c>
      <c r="Z2030" s="84" t="str">
        <f>HYPERLINK("https://twitter.com/joscunh1965/status/1443204054713311232")</f>
        <v>https://twitter.com/joscunh1965/status/1443204054713311232</v>
      </c>
      <c r="AA2030" s="81"/>
      <c r="AB2030" s="81"/>
      <c r="AC2030" s="86" t="s">
        <v>13168</v>
      </c>
      <c r="AD2030" s="86" t="s">
        <v>13376</v>
      </c>
      <c r="AE2030" s="81" t="b">
        <v>0</v>
      </c>
      <c r="AF2030" s="81">
        <v>2</v>
      </c>
      <c r="AG2030" s="86" t="s">
        <v>13417</v>
      </c>
      <c r="AH2030" s="81" t="b">
        <v>0</v>
      </c>
      <c r="AI2030" s="81" t="s">
        <v>2171</v>
      </c>
      <c r="AJ2030" s="81"/>
      <c r="AK2030" s="86" t="s">
        <v>2084</v>
      </c>
      <c r="AL2030" s="81" t="b">
        <v>0</v>
      </c>
      <c r="AM2030" s="81">
        <v>0</v>
      </c>
      <c r="AN2030" s="86" t="s">
        <v>2084</v>
      </c>
      <c r="AO2030" s="86" t="s">
        <v>2181</v>
      </c>
      <c r="AP2030" s="81" t="b">
        <v>0</v>
      </c>
      <c r="AQ2030" s="86" t="s">
        <v>13376</v>
      </c>
      <c r="AR2030" s="81" t="s">
        <v>179</v>
      </c>
      <c r="AS2030" s="81">
        <v>0</v>
      </c>
      <c r="AT2030" s="81">
        <v>0</v>
      </c>
      <c r="AU2030" s="81"/>
      <c r="AV2030" s="81"/>
      <c r="AW2030" s="81"/>
      <c r="AX2030" s="81"/>
      <c r="AY2030" s="81"/>
      <c r="AZ2030" s="81"/>
      <c r="BA2030" s="81"/>
      <c r="BB2030" s="81"/>
    </row>
    <row r="2031" spans="1:54" x14ac:dyDescent="0.35">
      <c r="A2031" s="66" t="s">
        <v>12542</v>
      </c>
      <c r="B2031" s="66" t="s">
        <v>12692</v>
      </c>
      <c r="C2031" s="67"/>
      <c r="D2031" s="68"/>
      <c r="E2031" s="69"/>
      <c r="F2031" s="70"/>
      <c r="G2031" s="67"/>
      <c r="H2031" s="71"/>
      <c r="I2031" s="72"/>
      <c r="J2031" s="72"/>
      <c r="K2031" s="36"/>
      <c r="L2031" s="79"/>
      <c r="M2031" s="79"/>
      <c r="N2031" s="74"/>
      <c r="O2031" s="81" t="s">
        <v>696</v>
      </c>
      <c r="P2031" s="83">
        <v>44468.555949074071</v>
      </c>
      <c r="Q2031" s="81" t="s">
        <v>12780</v>
      </c>
      <c r="R2031" s="81"/>
      <c r="S2031" s="81"/>
      <c r="T2031" s="81"/>
      <c r="U2031" s="81"/>
      <c r="V2031" s="84" t="str">
        <f>HYPERLINK("https://abs.twimg.com/sticky/default_profile_images/default_profile_normal.png")</f>
        <v>https://abs.twimg.com/sticky/default_profile_images/default_profile_normal.png</v>
      </c>
      <c r="W2031" s="83">
        <v>44468.555949074071</v>
      </c>
      <c r="X2031" s="89">
        <v>44468</v>
      </c>
      <c r="Y2031" s="86" t="s">
        <v>12931</v>
      </c>
      <c r="Z2031" s="84" t="str">
        <f>HYPERLINK("https://twitter.com/joscunh1965/status/1443204054713311232")</f>
        <v>https://twitter.com/joscunh1965/status/1443204054713311232</v>
      </c>
      <c r="AA2031" s="81"/>
      <c r="AB2031" s="81"/>
      <c r="AC2031" s="86" t="s">
        <v>13168</v>
      </c>
      <c r="AD2031" s="86" t="s">
        <v>13376</v>
      </c>
      <c r="AE2031" s="81" t="b">
        <v>0</v>
      </c>
      <c r="AF2031" s="81">
        <v>2</v>
      </c>
      <c r="AG2031" s="86" t="s">
        <v>13417</v>
      </c>
      <c r="AH2031" s="81" t="b">
        <v>0</v>
      </c>
      <c r="AI2031" s="81" t="s">
        <v>2171</v>
      </c>
      <c r="AJ2031" s="81"/>
      <c r="AK2031" s="86" t="s">
        <v>2084</v>
      </c>
      <c r="AL2031" s="81" t="b">
        <v>0</v>
      </c>
      <c r="AM2031" s="81">
        <v>0</v>
      </c>
      <c r="AN2031" s="86" t="s">
        <v>2084</v>
      </c>
      <c r="AO2031" s="86" t="s">
        <v>2181</v>
      </c>
      <c r="AP2031" s="81" t="b">
        <v>0</v>
      </c>
      <c r="AQ2031" s="86" t="s">
        <v>13376</v>
      </c>
      <c r="AR2031" s="81" t="s">
        <v>179</v>
      </c>
      <c r="AS2031" s="81">
        <v>0</v>
      </c>
      <c r="AT2031" s="81">
        <v>0</v>
      </c>
      <c r="AU2031" s="81"/>
      <c r="AV2031" s="81"/>
      <c r="AW2031" s="81"/>
      <c r="AX2031" s="81"/>
      <c r="AY2031" s="81"/>
      <c r="AZ2031" s="81"/>
      <c r="BA2031" s="81"/>
      <c r="BB2031" s="81"/>
    </row>
    <row r="2032" spans="1:54" x14ac:dyDescent="0.35">
      <c r="A2032" s="66" t="s">
        <v>12542</v>
      </c>
      <c r="B2032" s="66" t="s">
        <v>12693</v>
      </c>
      <c r="C2032" s="67"/>
      <c r="D2032" s="68"/>
      <c r="E2032" s="69"/>
      <c r="F2032" s="70"/>
      <c r="G2032" s="67"/>
      <c r="H2032" s="71"/>
      <c r="I2032" s="72"/>
      <c r="J2032" s="72"/>
      <c r="K2032" s="36"/>
      <c r="L2032" s="79"/>
      <c r="M2032" s="79"/>
      <c r="N2032" s="74"/>
      <c r="O2032" s="81" t="s">
        <v>695</v>
      </c>
      <c r="P2032" s="83">
        <v>44468.555949074071</v>
      </c>
      <c r="Q2032" s="81" t="s">
        <v>12780</v>
      </c>
      <c r="R2032" s="81"/>
      <c r="S2032" s="81"/>
      <c r="T2032" s="81"/>
      <c r="U2032" s="81"/>
      <c r="V2032" s="84" t="str">
        <f>HYPERLINK("https://abs.twimg.com/sticky/default_profile_images/default_profile_normal.png")</f>
        <v>https://abs.twimg.com/sticky/default_profile_images/default_profile_normal.png</v>
      </c>
      <c r="W2032" s="83">
        <v>44468.555949074071</v>
      </c>
      <c r="X2032" s="89">
        <v>44468</v>
      </c>
      <c r="Y2032" s="86" t="s">
        <v>12931</v>
      </c>
      <c r="Z2032" s="84" t="str">
        <f>HYPERLINK("https://twitter.com/joscunh1965/status/1443204054713311232")</f>
        <v>https://twitter.com/joscunh1965/status/1443204054713311232</v>
      </c>
      <c r="AA2032" s="81"/>
      <c r="AB2032" s="81"/>
      <c r="AC2032" s="86" t="s">
        <v>13168</v>
      </c>
      <c r="AD2032" s="86" t="s">
        <v>13376</v>
      </c>
      <c r="AE2032" s="81" t="b">
        <v>0</v>
      </c>
      <c r="AF2032" s="81">
        <v>2</v>
      </c>
      <c r="AG2032" s="86" t="s">
        <v>13417</v>
      </c>
      <c r="AH2032" s="81" t="b">
        <v>0</v>
      </c>
      <c r="AI2032" s="81" t="s">
        <v>2171</v>
      </c>
      <c r="AJ2032" s="81"/>
      <c r="AK2032" s="86" t="s">
        <v>2084</v>
      </c>
      <c r="AL2032" s="81" t="b">
        <v>0</v>
      </c>
      <c r="AM2032" s="81">
        <v>0</v>
      </c>
      <c r="AN2032" s="86" t="s">
        <v>2084</v>
      </c>
      <c r="AO2032" s="86" t="s">
        <v>2181</v>
      </c>
      <c r="AP2032" s="81" t="b">
        <v>0</v>
      </c>
      <c r="AQ2032" s="86" t="s">
        <v>13376</v>
      </c>
      <c r="AR2032" s="81" t="s">
        <v>179</v>
      </c>
      <c r="AS2032" s="81">
        <v>0</v>
      </c>
      <c r="AT2032" s="81">
        <v>0</v>
      </c>
      <c r="AU2032" s="81"/>
      <c r="AV2032" s="81"/>
      <c r="AW2032" s="81"/>
      <c r="AX2032" s="81"/>
      <c r="AY2032" s="81"/>
      <c r="AZ2032" s="81"/>
      <c r="BA2032" s="81"/>
      <c r="BB2032" s="81"/>
    </row>
    <row r="2033" spans="1:54" x14ac:dyDescent="0.35">
      <c r="A2033" s="66" t="s">
        <v>393</v>
      </c>
      <c r="B2033" s="66" t="s">
        <v>415</v>
      </c>
      <c r="C2033" s="67"/>
      <c r="D2033" s="68"/>
      <c r="E2033" s="69"/>
      <c r="F2033" s="70"/>
      <c r="G2033" s="67"/>
      <c r="H2033" s="71"/>
      <c r="I2033" s="72"/>
      <c r="J2033" s="72"/>
      <c r="K2033" s="36"/>
      <c r="L2033" s="79"/>
      <c r="M2033" s="79"/>
      <c r="N2033" s="74"/>
      <c r="O2033" s="81" t="s">
        <v>693</v>
      </c>
      <c r="P2033" s="83">
        <v>44462.531006944446</v>
      </c>
      <c r="Q2033" s="81" t="s">
        <v>759</v>
      </c>
      <c r="R2033" s="81"/>
      <c r="S2033" s="81"/>
      <c r="T2033" s="86" t="s">
        <v>979</v>
      </c>
      <c r="U2033" s="84" t="str">
        <f>HYPERLINK("https://pbs.twimg.com/media/E_9V_ibVEAYc8c_.jpg")</f>
        <v>https://pbs.twimg.com/media/E_9V_ibVEAYc8c_.jpg</v>
      </c>
      <c r="V2033" s="84" t="str">
        <f>HYPERLINK("https://pbs.twimg.com/media/E_9V_ibVEAYc8c_.jpg")</f>
        <v>https://pbs.twimg.com/media/E_9V_ibVEAYc8c_.jpg</v>
      </c>
      <c r="W2033" s="83">
        <v>44462.531006944446</v>
      </c>
      <c r="X2033" s="89">
        <v>44462</v>
      </c>
      <c r="Y2033" s="86" t="s">
        <v>1219</v>
      </c>
      <c r="Z2033" s="84" t="str">
        <f>HYPERLINK("https://twitter.com/pasartheboyzmy/status/1441020686688866305")</f>
        <v>https://twitter.com/pasartheboyzmy/status/1441020686688866305</v>
      </c>
      <c r="AA2033" s="81"/>
      <c r="AB2033" s="81"/>
      <c r="AC2033" s="86" t="s">
        <v>1715</v>
      </c>
      <c r="AD2033" s="81"/>
      <c r="AE2033" s="81" t="b">
        <v>0</v>
      </c>
      <c r="AF2033" s="81">
        <v>0</v>
      </c>
      <c r="AG2033" s="86" t="s">
        <v>2084</v>
      </c>
      <c r="AH2033" s="81" t="b">
        <v>0</v>
      </c>
      <c r="AI2033" s="81" t="s">
        <v>2168</v>
      </c>
      <c r="AJ2033" s="81"/>
      <c r="AK2033" s="86" t="s">
        <v>2084</v>
      </c>
      <c r="AL2033" s="81" t="b">
        <v>0</v>
      </c>
      <c r="AM2033" s="81">
        <v>12</v>
      </c>
      <c r="AN2033" s="86" t="s">
        <v>1740</v>
      </c>
      <c r="AO2033" s="86" t="s">
        <v>2179</v>
      </c>
      <c r="AP2033" s="81" t="b">
        <v>0</v>
      </c>
      <c r="AQ2033" s="86" t="s">
        <v>1740</v>
      </c>
      <c r="AR2033" s="81" t="s">
        <v>179</v>
      </c>
      <c r="AS2033" s="81">
        <v>0</v>
      </c>
      <c r="AT2033" s="81">
        <v>0</v>
      </c>
      <c r="AU2033" s="81"/>
      <c r="AV2033" s="81"/>
      <c r="AW2033" s="81"/>
      <c r="AX2033" s="81"/>
      <c r="AY2033" s="81"/>
      <c r="AZ2033" s="81"/>
      <c r="BA2033" s="81"/>
      <c r="BB2033" s="81"/>
    </row>
    <row r="2034" spans="1:54" x14ac:dyDescent="0.35">
      <c r="A2034" s="66" t="s">
        <v>393</v>
      </c>
      <c r="B2034" s="66" t="s">
        <v>415</v>
      </c>
      <c r="C2034" s="67"/>
      <c r="D2034" s="68"/>
      <c r="E2034" s="69"/>
      <c r="F2034" s="70"/>
      <c r="G2034" s="67"/>
      <c r="H2034" s="71"/>
      <c r="I2034" s="72"/>
      <c r="J2034" s="72"/>
      <c r="K2034" s="36"/>
      <c r="L2034" s="79"/>
      <c r="M2034" s="79"/>
      <c r="N2034" s="74"/>
      <c r="O2034" s="81" t="s">
        <v>693</v>
      </c>
      <c r="P2034" s="83">
        <v>44463.30259259259</v>
      </c>
      <c r="Q2034" s="81" t="s">
        <v>784</v>
      </c>
      <c r="R2034" s="81"/>
      <c r="S2034" s="81"/>
      <c r="T2034" s="86" t="s">
        <v>979</v>
      </c>
      <c r="U2034" s="84" t="str">
        <f>HYPERLINK("https://pbs.twimg.com/media/FACFXSrVUAEcVQU.jpg")</f>
        <v>https://pbs.twimg.com/media/FACFXSrVUAEcVQU.jpg</v>
      </c>
      <c r="V2034" s="84" t="str">
        <f>HYPERLINK("https://pbs.twimg.com/media/FACFXSrVUAEcVQU.jpg")</f>
        <v>https://pbs.twimg.com/media/FACFXSrVUAEcVQU.jpg</v>
      </c>
      <c r="W2034" s="83">
        <v>44463.30259259259</v>
      </c>
      <c r="X2034" s="89">
        <v>44463</v>
      </c>
      <c r="Y2034" s="86" t="s">
        <v>1220</v>
      </c>
      <c r="Z2034" s="84" t="str">
        <f>HYPERLINK("https://twitter.com/pasartheboyzmy/status/1441300299314970624")</f>
        <v>https://twitter.com/pasartheboyzmy/status/1441300299314970624</v>
      </c>
      <c r="AA2034" s="81"/>
      <c r="AB2034" s="81"/>
      <c r="AC2034" s="86" t="s">
        <v>1716</v>
      </c>
      <c r="AD2034" s="81"/>
      <c r="AE2034" s="81" t="b">
        <v>0</v>
      </c>
      <c r="AF2034" s="81">
        <v>0</v>
      </c>
      <c r="AG2034" s="86" t="s">
        <v>2084</v>
      </c>
      <c r="AH2034" s="81" t="b">
        <v>0</v>
      </c>
      <c r="AI2034" s="81" t="s">
        <v>2168</v>
      </c>
      <c r="AJ2034" s="81"/>
      <c r="AK2034" s="86" t="s">
        <v>2084</v>
      </c>
      <c r="AL2034" s="81" t="b">
        <v>0</v>
      </c>
      <c r="AM2034" s="81">
        <v>8</v>
      </c>
      <c r="AN2034" s="86" t="s">
        <v>1741</v>
      </c>
      <c r="AO2034" s="86" t="s">
        <v>2179</v>
      </c>
      <c r="AP2034" s="81" t="b">
        <v>0</v>
      </c>
      <c r="AQ2034" s="86" t="s">
        <v>1741</v>
      </c>
      <c r="AR2034" s="81" t="s">
        <v>179</v>
      </c>
      <c r="AS2034" s="81">
        <v>0</v>
      </c>
      <c r="AT2034" s="81">
        <v>0</v>
      </c>
      <c r="AU2034" s="81"/>
      <c r="AV2034" s="81"/>
      <c r="AW2034" s="81"/>
      <c r="AX2034" s="81"/>
      <c r="AY2034" s="81"/>
      <c r="AZ2034" s="81"/>
      <c r="BA2034" s="81"/>
      <c r="BB2034" s="81"/>
    </row>
    <row r="2035" spans="1:54" x14ac:dyDescent="0.35">
      <c r="A2035" s="66" t="s">
        <v>393</v>
      </c>
      <c r="B2035" s="66" t="s">
        <v>4941</v>
      </c>
      <c r="C2035" s="67"/>
      <c r="D2035" s="68"/>
      <c r="E2035" s="69"/>
      <c r="F2035" s="70"/>
      <c r="G2035" s="67"/>
      <c r="H2035" s="71"/>
      <c r="I2035" s="72"/>
      <c r="J2035" s="72"/>
      <c r="K2035" s="36"/>
      <c r="L2035" s="79"/>
      <c r="M2035" s="79"/>
      <c r="N2035" s="74"/>
      <c r="O2035" s="81" t="s">
        <v>693</v>
      </c>
      <c r="P2035" s="83">
        <v>44467.465636574074</v>
      </c>
      <c r="Q2035" s="81" t="s">
        <v>5604</v>
      </c>
      <c r="R2035" s="81"/>
      <c r="S2035" s="81"/>
      <c r="T2035" s="86" t="s">
        <v>979</v>
      </c>
      <c r="U2035" s="84" t="str">
        <f>HYPERLINK("https://pbs.twimg.com/media/FAXNegPUYAAkjOP.jpg")</f>
        <v>https://pbs.twimg.com/media/FAXNegPUYAAkjOP.jpg</v>
      </c>
      <c r="V2035" s="84" t="str">
        <f>HYPERLINK("https://pbs.twimg.com/media/FAXNegPUYAAkjOP.jpg")</f>
        <v>https://pbs.twimg.com/media/FAXNegPUYAAkjOP.jpg</v>
      </c>
      <c r="W2035" s="83">
        <v>44467.465636574074</v>
      </c>
      <c r="X2035" s="89">
        <v>44467</v>
      </c>
      <c r="Y2035" s="86" t="s">
        <v>6559</v>
      </c>
      <c r="Z2035" s="84" t="str">
        <f>HYPERLINK("https://twitter.com/pasartheboyzmy/status/1442808937539989505")</f>
        <v>https://twitter.com/pasartheboyzmy/status/1442808937539989505</v>
      </c>
      <c r="AA2035" s="81"/>
      <c r="AB2035" s="81"/>
      <c r="AC2035" s="86" t="s">
        <v>7480</v>
      </c>
      <c r="AD2035" s="81"/>
      <c r="AE2035" s="81" t="b">
        <v>0</v>
      </c>
      <c r="AF2035" s="81">
        <v>0</v>
      </c>
      <c r="AG2035" s="86" t="s">
        <v>2084</v>
      </c>
      <c r="AH2035" s="81" t="b">
        <v>0</v>
      </c>
      <c r="AI2035" s="81" t="s">
        <v>2168</v>
      </c>
      <c r="AJ2035" s="81"/>
      <c r="AK2035" s="86" t="s">
        <v>2084</v>
      </c>
      <c r="AL2035" s="81" t="b">
        <v>0</v>
      </c>
      <c r="AM2035" s="81">
        <v>29</v>
      </c>
      <c r="AN2035" s="86" t="s">
        <v>7539</v>
      </c>
      <c r="AO2035" s="86" t="s">
        <v>2179</v>
      </c>
      <c r="AP2035" s="81" t="b">
        <v>0</v>
      </c>
      <c r="AQ2035" s="86" t="s">
        <v>7539</v>
      </c>
      <c r="AR2035" s="81" t="s">
        <v>179</v>
      </c>
      <c r="AS2035" s="81">
        <v>0</v>
      </c>
      <c r="AT2035" s="81">
        <v>0</v>
      </c>
      <c r="AU2035" s="81"/>
      <c r="AV2035" s="81"/>
      <c r="AW2035" s="81"/>
      <c r="AX2035" s="81"/>
      <c r="AY2035" s="81"/>
      <c r="AZ2035" s="81"/>
      <c r="BA2035" s="81"/>
      <c r="BB2035" s="81"/>
    </row>
    <row r="2036" spans="1:54" x14ac:dyDescent="0.35">
      <c r="A2036" s="66" t="s">
        <v>393</v>
      </c>
      <c r="B2036" s="66" t="s">
        <v>4941</v>
      </c>
      <c r="C2036" s="67"/>
      <c r="D2036" s="68"/>
      <c r="E2036" s="69"/>
      <c r="F2036" s="70"/>
      <c r="G2036" s="67"/>
      <c r="H2036" s="71"/>
      <c r="I2036" s="72"/>
      <c r="J2036" s="72"/>
      <c r="K2036" s="36"/>
      <c r="L2036" s="79"/>
      <c r="M2036" s="79"/>
      <c r="N2036" s="74"/>
      <c r="O2036" s="81" t="s">
        <v>693</v>
      </c>
      <c r="P2036" s="83">
        <v>44468.557766203703</v>
      </c>
      <c r="Q2036" s="81" t="s">
        <v>12778</v>
      </c>
      <c r="R2036" s="81"/>
      <c r="S2036" s="81"/>
      <c r="T2036" s="86" t="s">
        <v>979</v>
      </c>
      <c r="U2036" s="84" t="str">
        <f>HYPERLINK("https://pbs.twimg.com/media/FAdFkP4VgAEQ2TI.jpg")</f>
        <v>https://pbs.twimg.com/media/FAdFkP4VgAEQ2TI.jpg</v>
      </c>
      <c r="V2036" s="84" t="str">
        <f>HYPERLINK("https://pbs.twimg.com/media/FAdFkP4VgAEQ2TI.jpg")</f>
        <v>https://pbs.twimg.com/media/FAdFkP4VgAEQ2TI.jpg</v>
      </c>
      <c r="W2036" s="83">
        <v>44468.557766203703</v>
      </c>
      <c r="X2036" s="89">
        <v>44468</v>
      </c>
      <c r="Y2036" s="86" t="s">
        <v>12932</v>
      </c>
      <c r="Z2036" s="84" t="str">
        <f>HYPERLINK("https://twitter.com/pasartheboyzmy/status/1443204712094863360")</f>
        <v>https://twitter.com/pasartheboyzmy/status/1443204712094863360</v>
      </c>
      <c r="AA2036" s="81"/>
      <c r="AB2036" s="81"/>
      <c r="AC2036" s="86" t="s">
        <v>13169</v>
      </c>
      <c r="AD2036" s="81"/>
      <c r="AE2036" s="81" t="b">
        <v>0</v>
      </c>
      <c r="AF2036" s="81">
        <v>0</v>
      </c>
      <c r="AG2036" s="86" t="s">
        <v>2084</v>
      </c>
      <c r="AH2036" s="81" t="b">
        <v>0</v>
      </c>
      <c r="AI2036" s="81" t="s">
        <v>2167</v>
      </c>
      <c r="AJ2036" s="81"/>
      <c r="AK2036" s="86" t="s">
        <v>2084</v>
      </c>
      <c r="AL2036" s="81" t="b">
        <v>0</v>
      </c>
      <c r="AM2036" s="81">
        <v>7</v>
      </c>
      <c r="AN2036" s="86" t="s">
        <v>13172</v>
      </c>
      <c r="AO2036" s="86" t="s">
        <v>2179</v>
      </c>
      <c r="AP2036" s="81" t="b">
        <v>0</v>
      </c>
      <c r="AQ2036" s="86" t="s">
        <v>13172</v>
      </c>
      <c r="AR2036" s="81" t="s">
        <v>179</v>
      </c>
      <c r="AS2036" s="81">
        <v>0</v>
      </c>
      <c r="AT2036" s="81">
        <v>0</v>
      </c>
      <c r="AU2036" s="81"/>
      <c r="AV2036" s="81"/>
      <c r="AW2036" s="81"/>
      <c r="AX2036" s="81"/>
      <c r="AY2036" s="81"/>
      <c r="AZ2036" s="81"/>
      <c r="BA2036" s="81"/>
      <c r="BB2036" s="81"/>
    </row>
    <row r="2037" spans="1:54" x14ac:dyDescent="0.35">
      <c r="A2037" s="66" t="s">
        <v>12543</v>
      </c>
      <c r="B2037" s="66" t="s">
        <v>4941</v>
      </c>
      <c r="C2037" s="67"/>
      <c r="D2037" s="68"/>
      <c r="E2037" s="69"/>
      <c r="F2037" s="70"/>
      <c r="G2037" s="67"/>
      <c r="H2037" s="71"/>
      <c r="I2037" s="72"/>
      <c r="J2037" s="72"/>
      <c r="K2037" s="36"/>
      <c r="L2037" s="79"/>
      <c r="M2037" s="79"/>
      <c r="N2037" s="74"/>
      <c r="O2037" s="81" t="s">
        <v>693</v>
      </c>
      <c r="P2037" s="83">
        <v>44468.561828703707</v>
      </c>
      <c r="Q2037" s="81" t="s">
        <v>12778</v>
      </c>
      <c r="R2037" s="81"/>
      <c r="S2037" s="81"/>
      <c r="T2037" s="86" t="s">
        <v>979</v>
      </c>
      <c r="U2037" s="84" t="str">
        <f>HYPERLINK("https://pbs.twimg.com/media/FAdFkP4VgAEQ2TI.jpg")</f>
        <v>https://pbs.twimg.com/media/FAdFkP4VgAEQ2TI.jpg</v>
      </c>
      <c r="V2037" s="84" t="str">
        <f>HYPERLINK("https://pbs.twimg.com/media/FAdFkP4VgAEQ2TI.jpg")</f>
        <v>https://pbs.twimg.com/media/FAdFkP4VgAEQ2TI.jpg</v>
      </c>
      <c r="W2037" s="83">
        <v>44468.561828703707</v>
      </c>
      <c r="X2037" s="89">
        <v>44468</v>
      </c>
      <c r="Y2037" s="86" t="s">
        <v>12933</v>
      </c>
      <c r="Z2037" s="84" t="str">
        <f>HYPERLINK("https://twitter.com/soleil_mil/status/1443206183708348419")</f>
        <v>https://twitter.com/soleil_mil/status/1443206183708348419</v>
      </c>
      <c r="AA2037" s="81"/>
      <c r="AB2037" s="81"/>
      <c r="AC2037" s="86" t="s">
        <v>13170</v>
      </c>
      <c r="AD2037" s="81"/>
      <c r="AE2037" s="81" t="b">
        <v>0</v>
      </c>
      <c r="AF2037" s="81">
        <v>0</v>
      </c>
      <c r="AG2037" s="86" t="s">
        <v>2084</v>
      </c>
      <c r="AH2037" s="81" t="b">
        <v>0</v>
      </c>
      <c r="AI2037" s="81" t="s">
        <v>2167</v>
      </c>
      <c r="AJ2037" s="81"/>
      <c r="AK2037" s="86" t="s">
        <v>2084</v>
      </c>
      <c r="AL2037" s="81" t="b">
        <v>0</v>
      </c>
      <c r="AM2037" s="81">
        <v>7</v>
      </c>
      <c r="AN2037" s="86" t="s">
        <v>13172</v>
      </c>
      <c r="AO2037" s="86" t="s">
        <v>2179</v>
      </c>
      <c r="AP2037" s="81" t="b">
        <v>0</v>
      </c>
      <c r="AQ2037" s="86" t="s">
        <v>13172</v>
      </c>
      <c r="AR2037" s="81" t="s">
        <v>179</v>
      </c>
      <c r="AS2037" s="81">
        <v>0</v>
      </c>
      <c r="AT2037" s="81">
        <v>0</v>
      </c>
      <c r="AU2037" s="81"/>
      <c r="AV2037" s="81"/>
      <c r="AW2037" s="81"/>
      <c r="AX2037" s="81"/>
      <c r="AY2037" s="81"/>
      <c r="AZ2037" s="81"/>
      <c r="BA2037" s="81"/>
      <c r="BB2037" s="81"/>
    </row>
    <row r="2038" spans="1:54" x14ac:dyDescent="0.35">
      <c r="A2038" s="66" t="s">
        <v>12544</v>
      </c>
      <c r="B2038" s="66" t="s">
        <v>12544</v>
      </c>
      <c r="C2038" s="67"/>
      <c r="D2038" s="68"/>
      <c r="E2038" s="69"/>
      <c r="F2038" s="70"/>
      <c r="G2038" s="67"/>
      <c r="H2038" s="71"/>
      <c r="I2038" s="72"/>
      <c r="J2038" s="72"/>
      <c r="K2038" s="36"/>
      <c r="L2038" s="79"/>
      <c r="M2038" s="79"/>
      <c r="N2038" s="74"/>
      <c r="O2038" s="81" t="s">
        <v>179</v>
      </c>
      <c r="P2038" s="83">
        <v>44468.5625</v>
      </c>
      <c r="Q2038" s="81" t="s">
        <v>12781</v>
      </c>
      <c r="R2038" s="84" t="str">
        <f>HYPERLINK("https://www.infoans.org/pt/secoes/fotocronicas/item/13744-togo-iniciado-o-novo-ano-pastoral-do-pos-noviciado-salesiano-de-lome")</f>
        <v>https://www.infoans.org/pt/secoes/fotocronicas/item/13744-togo-iniciado-o-novo-ano-pastoral-do-pos-noviciado-salesiano-de-lome</v>
      </c>
      <c r="S2038" s="81" t="s">
        <v>12853</v>
      </c>
      <c r="T2038" s="86" t="s">
        <v>12866</v>
      </c>
      <c r="U2038" s="84" t="str">
        <f>HYPERLINK("https://pbs.twimg.com/media/FAc8XMpWQAgap4S.jpg")</f>
        <v>https://pbs.twimg.com/media/FAc8XMpWQAgap4S.jpg</v>
      </c>
      <c r="V2038" s="84" t="str">
        <f>HYPERLINK("https://pbs.twimg.com/media/FAc8XMpWQAgap4S.jpg")</f>
        <v>https://pbs.twimg.com/media/FAc8XMpWQAgap4S.jpg</v>
      </c>
      <c r="W2038" s="83">
        <v>44468.5625</v>
      </c>
      <c r="X2038" s="89">
        <v>44468</v>
      </c>
      <c r="Y2038" s="86" t="s">
        <v>12934</v>
      </c>
      <c r="Z2038" s="84" t="str">
        <f>HYPERLINK("https://twitter.com/infoans_pt/status/1443206429565882372")</f>
        <v>https://twitter.com/infoans_pt/status/1443206429565882372</v>
      </c>
      <c r="AA2038" s="81"/>
      <c r="AB2038" s="81"/>
      <c r="AC2038" s="86" t="s">
        <v>13171</v>
      </c>
      <c r="AD2038" s="81"/>
      <c r="AE2038" s="81" t="b">
        <v>0</v>
      </c>
      <c r="AF2038" s="81">
        <v>0</v>
      </c>
      <c r="AG2038" s="86" t="s">
        <v>2084</v>
      </c>
      <c r="AH2038" s="81" t="b">
        <v>0</v>
      </c>
      <c r="AI2038" s="81" t="s">
        <v>2172</v>
      </c>
      <c r="AJ2038" s="81"/>
      <c r="AK2038" s="86" t="s">
        <v>2084</v>
      </c>
      <c r="AL2038" s="81" t="b">
        <v>0</v>
      </c>
      <c r="AM2038" s="81">
        <v>0</v>
      </c>
      <c r="AN2038" s="86" t="s">
        <v>2084</v>
      </c>
      <c r="AO2038" s="86" t="s">
        <v>2185</v>
      </c>
      <c r="AP2038" s="81" t="b">
        <v>0</v>
      </c>
      <c r="AQ2038" s="86" t="s">
        <v>13171</v>
      </c>
      <c r="AR2038" s="81" t="s">
        <v>179</v>
      </c>
      <c r="AS2038" s="81">
        <v>0</v>
      </c>
      <c r="AT2038" s="81">
        <v>0</v>
      </c>
      <c r="AU2038" s="81"/>
      <c r="AV2038" s="81"/>
      <c r="AW2038" s="81"/>
      <c r="AX2038" s="81"/>
      <c r="AY2038" s="81"/>
      <c r="AZ2038" s="81"/>
      <c r="BA2038" s="81"/>
      <c r="BB2038" s="81"/>
    </row>
    <row r="2039" spans="1:54" x14ac:dyDescent="0.35">
      <c r="A2039" s="66" t="s">
        <v>4941</v>
      </c>
      <c r="B2039" s="66" t="s">
        <v>4941</v>
      </c>
      <c r="C2039" s="67"/>
      <c r="D2039" s="68"/>
      <c r="E2039" s="69"/>
      <c r="F2039" s="70"/>
      <c r="G2039" s="67"/>
      <c r="H2039" s="71"/>
      <c r="I2039" s="72"/>
      <c r="J2039" s="72"/>
      <c r="K2039" s="36"/>
      <c r="L2039" s="79"/>
      <c r="M2039" s="79"/>
      <c r="N2039" s="74"/>
      <c r="O2039" s="81" t="s">
        <v>179</v>
      </c>
      <c r="P2039" s="83">
        <v>44467.400173611109</v>
      </c>
      <c r="Q2039" s="81" t="s">
        <v>5604</v>
      </c>
      <c r="R2039" s="81"/>
      <c r="S2039" s="81"/>
      <c r="T2039" s="86" t="s">
        <v>979</v>
      </c>
      <c r="U2039" s="84" t="str">
        <f>HYPERLINK("https://pbs.twimg.com/media/FAXNegPUYAAkjOP.jpg")</f>
        <v>https://pbs.twimg.com/media/FAXNegPUYAAkjOP.jpg</v>
      </c>
      <c r="V2039" s="84" t="str">
        <f>HYPERLINK("https://pbs.twimg.com/media/FAXNegPUYAAkjOP.jpg")</f>
        <v>https://pbs.twimg.com/media/FAXNegPUYAAkjOP.jpg</v>
      </c>
      <c r="W2039" s="83">
        <v>44467.400173611109</v>
      </c>
      <c r="X2039" s="89">
        <v>44467</v>
      </c>
      <c r="Y2039" s="86" t="s">
        <v>6615</v>
      </c>
      <c r="Z2039" s="84" t="str">
        <f>HYPERLINK("https://twitter.com/chanheeamor/status/1442785213663248384")</f>
        <v>https://twitter.com/chanheeamor/status/1442785213663248384</v>
      </c>
      <c r="AA2039" s="81"/>
      <c r="AB2039" s="81"/>
      <c r="AC2039" s="86" t="s">
        <v>7539</v>
      </c>
      <c r="AD2039" s="81"/>
      <c r="AE2039" s="81" t="b">
        <v>0</v>
      </c>
      <c r="AF2039" s="81">
        <v>13</v>
      </c>
      <c r="AG2039" s="86" t="s">
        <v>2084</v>
      </c>
      <c r="AH2039" s="81" t="b">
        <v>0</v>
      </c>
      <c r="AI2039" s="81" t="s">
        <v>2168</v>
      </c>
      <c r="AJ2039" s="81"/>
      <c r="AK2039" s="86" t="s">
        <v>2084</v>
      </c>
      <c r="AL2039" s="81" t="b">
        <v>0</v>
      </c>
      <c r="AM2039" s="81">
        <v>29</v>
      </c>
      <c r="AN2039" s="86" t="s">
        <v>2084</v>
      </c>
      <c r="AO2039" s="86" t="s">
        <v>2179</v>
      </c>
      <c r="AP2039" s="81" t="b">
        <v>0</v>
      </c>
      <c r="AQ2039" s="86" t="s">
        <v>7539</v>
      </c>
      <c r="AR2039" s="81" t="s">
        <v>179</v>
      </c>
      <c r="AS2039" s="81">
        <v>0</v>
      </c>
      <c r="AT2039" s="81">
        <v>0</v>
      </c>
      <c r="AU2039" s="81"/>
      <c r="AV2039" s="81"/>
      <c r="AW2039" s="81"/>
      <c r="AX2039" s="81"/>
      <c r="AY2039" s="81"/>
      <c r="AZ2039" s="81"/>
      <c r="BA2039" s="81"/>
      <c r="BB2039" s="81"/>
    </row>
    <row r="2040" spans="1:54" x14ac:dyDescent="0.35">
      <c r="A2040" s="66" t="s">
        <v>4941</v>
      </c>
      <c r="B2040" s="66" t="s">
        <v>4941</v>
      </c>
      <c r="C2040" s="67"/>
      <c r="D2040" s="68"/>
      <c r="E2040" s="69"/>
      <c r="F2040" s="70"/>
      <c r="G2040" s="67"/>
      <c r="H2040" s="71"/>
      <c r="I2040" s="72"/>
      <c r="J2040" s="72"/>
      <c r="K2040" s="36"/>
      <c r="L2040" s="79"/>
      <c r="M2040" s="79"/>
      <c r="N2040" s="74"/>
      <c r="O2040" s="81" t="s">
        <v>179</v>
      </c>
      <c r="P2040" s="83">
        <v>44468.541180555556</v>
      </c>
      <c r="Q2040" s="81" t="s">
        <v>12778</v>
      </c>
      <c r="R2040" s="81"/>
      <c r="S2040" s="81"/>
      <c r="T2040" s="86" t="s">
        <v>979</v>
      </c>
      <c r="U2040" s="84" t="str">
        <f>HYPERLINK("https://pbs.twimg.com/media/FAdFkP4VgAEQ2TI.jpg")</f>
        <v>https://pbs.twimg.com/media/FAdFkP4VgAEQ2TI.jpg</v>
      </c>
      <c r="V2040" s="84" t="str">
        <f>HYPERLINK("https://pbs.twimg.com/media/FAdFkP4VgAEQ2TI.jpg")</f>
        <v>https://pbs.twimg.com/media/FAdFkP4VgAEQ2TI.jpg</v>
      </c>
      <c r="W2040" s="83">
        <v>44468.541180555556</v>
      </c>
      <c r="X2040" s="89">
        <v>44468</v>
      </c>
      <c r="Y2040" s="86" t="s">
        <v>12935</v>
      </c>
      <c r="Z2040" s="84" t="str">
        <f>HYPERLINK("https://twitter.com/chanheeamor/status/1443198701665538054")</f>
        <v>https://twitter.com/chanheeamor/status/1443198701665538054</v>
      </c>
      <c r="AA2040" s="81"/>
      <c r="AB2040" s="81"/>
      <c r="AC2040" s="86" t="s">
        <v>13172</v>
      </c>
      <c r="AD2040" s="81"/>
      <c r="AE2040" s="81" t="b">
        <v>0</v>
      </c>
      <c r="AF2040" s="81">
        <v>5</v>
      </c>
      <c r="AG2040" s="86" t="s">
        <v>2084</v>
      </c>
      <c r="AH2040" s="81" t="b">
        <v>0</v>
      </c>
      <c r="AI2040" s="81" t="s">
        <v>2167</v>
      </c>
      <c r="AJ2040" s="81"/>
      <c r="AK2040" s="86" t="s">
        <v>2084</v>
      </c>
      <c r="AL2040" s="81" t="b">
        <v>0</v>
      </c>
      <c r="AM2040" s="81">
        <v>7</v>
      </c>
      <c r="AN2040" s="86" t="s">
        <v>2084</v>
      </c>
      <c r="AO2040" s="86" t="s">
        <v>2179</v>
      </c>
      <c r="AP2040" s="81" t="b">
        <v>0</v>
      </c>
      <c r="AQ2040" s="86" t="s">
        <v>13172</v>
      </c>
      <c r="AR2040" s="81" t="s">
        <v>179</v>
      </c>
      <c r="AS2040" s="81">
        <v>0</v>
      </c>
      <c r="AT2040" s="81">
        <v>0</v>
      </c>
      <c r="AU2040" s="81"/>
      <c r="AV2040" s="81"/>
      <c r="AW2040" s="81"/>
      <c r="AX2040" s="81"/>
      <c r="AY2040" s="81"/>
      <c r="AZ2040" s="81"/>
      <c r="BA2040" s="81"/>
      <c r="BB2040" s="81"/>
    </row>
    <row r="2041" spans="1:54" x14ac:dyDescent="0.35">
      <c r="A2041" s="66" t="s">
        <v>399</v>
      </c>
      <c r="B2041" s="66" t="s">
        <v>4941</v>
      </c>
      <c r="C2041" s="67"/>
      <c r="D2041" s="68"/>
      <c r="E2041" s="69"/>
      <c r="F2041" s="70"/>
      <c r="G2041" s="67"/>
      <c r="H2041" s="71"/>
      <c r="I2041" s="72"/>
      <c r="J2041" s="72"/>
      <c r="K2041" s="36"/>
      <c r="L2041" s="79"/>
      <c r="M2041" s="79"/>
      <c r="N2041" s="74"/>
      <c r="O2041" s="81" t="s">
        <v>693</v>
      </c>
      <c r="P2041" s="83">
        <v>44468.569131944445</v>
      </c>
      <c r="Q2041" s="81" t="s">
        <v>12778</v>
      </c>
      <c r="R2041" s="81"/>
      <c r="S2041" s="81"/>
      <c r="T2041" s="86" t="s">
        <v>979</v>
      </c>
      <c r="U2041" s="84" t="str">
        <f>HYPERLINK("https://pbs.twimg.com/media/FAdFkP4VgAEQ2TI.jpg")</f>
        <v>https://pbs.twimg.com/media/FAdFkP4VgAEQ2TI.jpg</v>
      </c>
      <c r="V2041" s="84" t="str">
        <f>HYPERLINK("https://pbs.twimg.com/media/FAdFkP4VgAEQ2TI.jpg")</f>
        <v>https://pbs.twimg.com/media/FAdFkP4VgAEQ2TI.jpg</v>
      </c>
      <c r="W2041" s="83">
        <v>44468.569131944445</v>
      </c>
      <c r="X2041" s="89">
        <v>44468</v>
      </c>
      <c r="Y2041" s="86" t="s">
        <v>12936</v>
      </c>
      <c r="Z2041" s="84" t="str">
        <f>HYPERLINK("https://twitter.com/bazaardeobi/status/1443208831152967684")</f>
        <v>https://twitter.com/bazaardeobi/status/1443208831152967684</v>
      </c>
      <c r="AA2041" s="81"/>
      <c r="AB2041" s="81"/>
      <c r="AC2041" s="86" t="s">
        <v>13173</v>
      </c>
      <c r="AD2041" s="81"/>
      <c r="AE2041" s="81" t="b">
        <v>0</v>
      </c>
      <c r="AF2041" s="81">
        <v>0</v>
      </c>
      <c r="AG2041" s="86" t="s">
        <v>2084</v>
      </c>
      <c r="AH2041" s="81" t="b">
        <v>0</v>
      </c>
      <c r="AI2041" s="81" t="s">
        <v>2167</v>
      </c>
      <c r="AJ2041" s="81"/>
      <c r="AK2041" s="86" t="s">
        <v>2084</v>
      </c>
      <c r="AL2041" s="81" t="b">
        <v>0</v>
      </c>
      <c r="AM2041" s="81">
        <v>7</v>
      </c>
      <c r="AN2041" s="86" t="s">
        <v>13172</v>
      </c>
      <c r="AO2041" s="86" t="s">
        <v>2182</v>
      </c>
      <c r="AP2041" s="81" t="b">
        <v>0</v>
      </c>
      <c r="AQ2041" s="86" t="s">
        <v>13172</v>
      </c>
      <c r="AR2041" s="81" t="s">
        <v>179</v>
      </c>
      <c r="AS2041" s="81">
        <v>0</v>
      </c>
      <c r="AT2041" s="81">
        <v>0</v>
      </c>
      <c r="AU2041" s="81"/>
      <c r="AV2041" s="81"/>
      <c r="AW2041" s="81"/>
      <c r="AX2041" s="81"/>
      <c r="AY2041" s="81"/>
      <c r="AZ2041" s="81"/>
      <c r="BA2041" s="81"/>
      <c r="BB2041" s="81"/>
    </row>
    <row r="2042" spans="1:54" x14ac:dyDescent="0.35">
      <c r="A2042" s="66" t="s">
        <v>399</v>
      </c>
      <c r="B2042" s="66" t="s">
        <v>415</v>
      </c>
      <c r="C2042" s="67"/>
      <c r="D2042" s="68"/>
      <c r="E2042" s="69"/>
      <c r="F2042" s="70"/>
      <c r="G2042" s="67"/>
      <c r="H2042" s="71"/>
      <c r="I2042" s="72"/>
      <c r="J2042" s="72"/>
      <c r="K2042" s="36"/>
      <c r="L2042" s="79"/>
      <c r="M2042" s="79"/>
      <c r="N2042" s="74"/>
      <c r="O2042" s="81" t="s">
        <v>693</v>
      </c>
      <c r="P2042" s="83">
        <v>44463.405543981484</v>
      </c>
      <c r="Q2042" s="81" t="s">
        <v>784</v>
      </c>
      <c r="R2042" s="81"/>
      <c r="S2042" s="81"/>
      <c r="T2042" s="86" t="s">
        <v>979</v>
      </c>
      <c r="U2042" s="84" t="str">
        <f>HYPERLINK("https://pbs.twimg.com/media/FACFXSrVUAEcVQU.jpg")</f>
        <v>https://pbs.twimg.com/media/FACFXSrVUAEcVQU.jpg</v>
      </c>
      <c r="V2042" s="84" t="str">
        <f>HYPERLINK("https://pbs.twimg.com/media/FACFXSrVUAEcVQU.jpg")</f>
        <v>https://pbs.twimg.com/media/FACFXSrVUAEcVQU.jpg</v>
      </c>
      <c r="W2042" s="83">
        <v>44463.405543981484</v>
      </c>
      <c r="X2042" s="89">
        <v>44463</v>
      </c>
      <c r="Y2042" s="86" t="s">
        <v>1228</v>
      </c>
      <c r="Z2042" s="84" t="str">
        <f>HYPERLINK("https://twitter.com/bazaardeobi/status/1441337607372214272")</f>
        <v>https://twitter.com/bazaardeobi/status/1441337607372214272</v>
      </c>
      <c r="AA2042" s="81"/>
      <c r="AB2042" s="81"/>
      <c r="AC2042" s="86" t="s">
        <v>1724</v>
      </c>
      <c r="AD2042" s="81"/>
      <c r="AE2042" s="81" t="b">
        <v>0</v>
      </c>
      <c r="AF2042" s="81">
        <v>0</v>
      </c>
      <c r="AG2042" s="86" t="s">
        <v>2084</v>
      </c>
      <c r="AH2042" s="81" t="b">
        <v>0</v>
      </c>
      <c r="AI2042" s="81" t="s">
        <v>2168</v>
      </c>
      <c r="AJ2042" s="81"/>
      <c r="AK2042" s="86" t="s">
        <v>2084</v>
      </c>
      <c r="AL2042" s="81" t="b">
        <v>0</v>
      </c>
      <c r="AM2042" s="81">
        <v>8</v>
      </c>
      <c r="AN2042" s="86" t="s">
        <v>1741</v>
      </c>
      <c r="AO2042" s="86" t="s">
        <v>2182</v>
      </c>
      <c r="AP2042" s="81" t="b">
        <v>0</v>
      </c>
      <c r="AQ2042" s="86" t="s">
        <v>1741</v>
      </c>
      <c r="AR2042" s="81" t="s">
        <v>179</v>
      </c>
      <c r="AS2042" s="81">
        <v>0</v>
      </c>
      <c r="AT2042" s="81">
        <v>0</v>
      </c>
      <c r="AU2042" s="81"/>
      <c r="AV2042" s="81"/>
      <c r="AW2042" s="81"/>
      <c r="AX2042" s="81"/>
      <c r="AY2042" s="81"/>
      <c r="AZ2042" s="81"/>
      <c r="BA2042" s="81"/>
      <c r="BB2042" s="81"/>
    </row>
    <row r="2043" spans="1:54" x14ac:dyDescent="0.35">
      <c r="A2043" s="66" t="s">
        <v>4943</v>
      </c>
      <c r="B2043" s="66" t="s">
        <v>4943</v>
      </c>
      <c r="C2043" s="67"/>
      <c r="D2043" s="68"/>
      <c r="E2043" s="69"/>
      <c r="F2043" s="70"/>
      <c r="G2043" s="67"/>
      <c r="H2043" s="71"/>
      <c r="I2043" s="72"/>
      <c r="J2043" s="72"/>
      <c r="K2043" s="36"/>
      <c r="L2043" s="79"/>
      <c r="M2043" s="79"/>
      <c r="N2043" s="74"/>
      <c r="O2043" s="81" t="s">
        <v>179</v>
      </c>
      <c r="P2043" s="83">
        <v>44467.746921296297</v>
      </c>
      <c r="Q2043" s="81" t="s">
        <v>5633</v>
      </c>
      <c r="R2043" s="81" t="s">
        <v>5685</v>
      </c>
      <c r="S2043" s="81" t="s">
        <v>5761</v>
      </c>
      <c r="T2043" s="81"/>
      <c r="U2043" s="84" t="str">
        <f>HYPERLINK("https://pbs.twimg.com/media/FAY_o78UYAEJN5S.jpg")</f>
        <v>https://pbs.twimg.com/media/FAY_o78UYAEJN5S.jpg</v>
      </c>
      <c r="V2043" s="84" t="str">
        <f>HYPERLINK("https://pbs.twimg.com/media/FAY_o78UYAEJN5S.jpg")</f>
        <v>https://pbs.twimg.com/media/FAY_o78UYAEJN5S.jpg</v>
      </c>
      <c r="W2043" s="83">
        <v>44467.746921296297</v>
      </c>
      <c r="X2043" s="89">
        <v>44467</v>
      </c>
      <c r="Y2043" s="86" t="s">
        <v>6617</v>
      </c>
      <c r="Z2043" s="84" t="str">
        <f>HYPERLINK("https://twitter.com/esceipvc/status/1442910870275702785")</f>
        <v>https://twitter.com/esceipvc/status/1442910870275702785</v>
      </c>
      <c r="AA2043" s="81"/>
      <c r="AB2043" s="81"/>
      <c r="AC2043" s="86" t="s">
        <v>7541</v>
      </c>
      <c r="AD2043" s="81"/>
      <c r="AE2043" s="81" t="b">
        <v>0</v>
      </c>
      <c r="AF2043" s="81">
        <v>4</v>
      </c>
      <c r="AG2043" s="86" t="s">
        <v>2084</v>
      </c>
      <c r="AH2043" s="81" t="b">
        <v>0</v>
      </c>
      <c r="AI2043" s="81" t="s">
        <v>2171</v>
      </c>
      <c r="AJ2043" s="81"/>
      <c r="AK2043" s="86" t="s">
        <v>2084</v>
      </c>
      <c r="AL2043" s="81" t="b">
        <v>0</v>
      </c>
      <c r="AM2043" s="81">
        <v>1</v>
      </c>
      <c r="AN2043" s="86" t="s">
        <v>2084</v>
      </c>
      <c r="AO2043" s="86" t="s">
        <v>2181</v>
      </c>
      <c r="AP2043" s="81" t="b">
        <v>0</v>
      </c>
      <c r="AQ2043" s="86" t="s">
        <v>7541</v>
      </c>
      <c r="AR2043" s="81" t="s">
        <v>179</v>
      </c>
      <c r="AS2043" s="81">
        <v>0</v>
      </c>
      <c r="AT2043" s="81">
        <v>0</v>
      </c>
      <c r="AU2043" s="81"/>
      <c r="AV2043" s="81"/>
      <c r="AW2043" s="81"/>
      <c r="AX2043" s="81"/>
      <c r="AY2043" s="81"/>
      <c r="AZ2043" s="81"/>
      <c r="BA2043" s="81"/>
      <c r="BB2043" s="81"/>
    </row>
    <row r="2044" spans="1:54" x14ac:dyDescent="0.35">
      <c r="A2044" s="66" t="s">
        <v>12545</v>
      </c>
      <c r="B2044" s="66" t="s">
        <v>4943</v>
      </c>
      <c r="C2044" s="67"/>
      <c r="D2044" s="68"/>
      <c r="E2044" s="69"/>
      <c r="F2044" s="70"/>
      <c r="G2044" s="67"/>
      <c r="H2044" s="71"/>
      <c r="I2044" s="72"/>
      <c r="J2044" s="72"/>
      <c r="K2044" s="36"/>
      <c r="L2044" s="79"/>
      <c r="M2044" s="79"/>
      <c r="N2044" s="74"/>
      <c r="O2044" s="81" t="s">
        <v>693</v>
      </c>
      <c r="P2044" s="83">
        <v>44468.571412037039</v>
      </c>
      <c r="Q2044" s="81" t="s">
        <v>5633</v>
      </c>
      <c r="R2044" s="81" t="s">
        <v>5685</v>
      </c>
      <c r="S2044" s="81" t="s">
        <v>5761</v>
      </c>
      <c r="T2044" s="81"/>
      <c r="U2044" s="84" t="str">
        <f>HYPERLINK("https://pbs.twimg.com/media/FAY_o78UYAEJN5S.jpg")</f>
        <v>https://pbs.twimg.com/media/FAY_o78UYAEJN5S.jpg</v>
      </c>
      <c r="V2044" s="84" t="str">
        <f>HYPERLINK("https://pbs.twimg.com/media/FAY_o78UYAEJN5S.jpg")</f>
        <v>https://pbs.twimg.com/media/FAY_o78UYAEJN5S.jpg</v>
      </c>
      <c r="W2044" s="83">
        <v>44468.571412037039</v>
      </c>
      <c r="X2044" s="89">
        <v>44468</v>
      </c>
      <c r="Y2044" s="86" t="s">
        <v>12937</v>
      </c>
      <c r="Z2044" s="84" t="str">
        <f>HYPERLINK("https://twitter.com/mun_valenca/status/1443209658563497992")</f>
        <v>https://twitter.com/mun_valenca/status/1443209658563497992</v>
      </c>
      <c r="AA2044" s="81"/>
      <c r="AB2044" s="81"/>
      <c r="AC2044" s="86" t="s">
        <v>13174</v>
      </c>
      <c r="AD2044" s="81"/>
      <c r="AE2044" s="81" t="b">
        <v>0</v>
      </c>
      <c r="AF2044" s="81">
        <v>0</v>
      </c>
      <c r="AG2044" s="86" t="s">
        <v>2084</v>
      </c>
      <c r="AH2044" s="81" t="b">
        <v>0</v>
      </c>
      <c r="AI2044" s="81" t="s">
        <v>2171</v>
      </c>
      <c r="AJ2044" s="81"/>
      <c r="AK2044" s="86" t="s">
        <v>2084</v>
      </c>
      <c r="AL2044" s="81" t="b">
        <v>0</v>
      </c>
      <c r="AM2044" s="81">
        <v>1</v>
      </c>
      <c r="AN2044" s="86" t="s">
        <v>7541</v>
      </c>
      <c r="AO2044" s="86" t="s">
        <v>2181</v>
      </c>
      <c r="AP2044" s="81" t="b">
        <v>0</v>
      </c>
      <c r="AQ2044" s="86" t="s">
        <v>7541</v>
      </c>
      <c r="AR2044" s="81" t="s">
        <v>179</v>
      </c>
      <c r="AS2044" s="81">
        <v>0</v>
      </c>
      <c r="AT2044" s="81">
        <v>0</v>
      </c>
      <c r="AU2044" s="81"/>
      <c r="AV2044" s="81"/>
      <c r="AW2044" s="81"/>
      <c r="AX2044" s="81"/>
      <c r="AY2044" s="81"/>
      <c r="AZ2044" s="81"/>
      <c r="BA2044" s="81"/>
      <c r="BB2044" s="81"/>
    </row>
    <row r="2045" spans="1:54" x14ac:dyDescent="0.35">
      <c r="A2045" s="66" t="s">
        <v>4567</v>
      </c>
      <c r="B2045" s="66" t="s">
        <v>5091</v>
      </c>
      <c r="C2045" s="67"/>
      <c r="D2045" s="68"/>
      <c r="E2045" s="69"/>
      <c r="F2045" s="70"/>
      <c r="G2045" s="67"/>
      <c r="H2045" s="71"/>
      <c r="I2045" s="72"/>
      <c r="J2045" s="72"/>
      <c r="K2045" s="36"/>
      <c r="L2045" s="79"/>
      <c r="M2045" s="79"/>
      <c r="N2045" s="74"/>
      <c r="O2045" s="81" t="s">
        <v>695</v>
      </c>
      <c r="P2045" s="83">
        <v>44464.140914351854</v>
      </c>
      <c r="Q2045" s="81" t="s">
        <v>5449</v>
      </c>
      <c r="R2045" s="81"/>
      <c r="S2045" s="81"/>
      <c r="T2045" s="81"/>
      <c r="U2045" s="81"/>
      <c r="V2045" s="84" t="str">
        <f>HYPERLINK("https://pbs.twimg.com/profile_images/1435792605359525890/YCGHzX2z_normal.jpg")</f>
        <v>https://pbs.twimg.com/profile_images/1435792605359525890/YCGHzX2z_normal.jpg</v>
      </c>
      <c r="W2045" s="83">
        <v>44464.140914351854</v>
      </c>
      <c r="X2045" s="89">
        <v>44464</v>
      </c>
      <c r="Y2045" s="86" t="s">
        <v>6215</v>
      </c>
      <c r="Z2045" s="84" t="str">
        <f>HYPERLINK("https://twitter.com/monicaaraujorj/status/1441604099330527232")</f>
        <v>https://twitter.com/monicaaraujorj/status/1441604099330527232</v>
      </c>
      <c r="AA2045" s="81"/>
      <c r="AB2045" s="81"/>
      <c r="AC2045" s="86" t="s">
        <v>7126</v>
      </c>
      <c r="AD2045" s="86" t="s">
        <v>7707</v>
      </c>
      <c r="AE2045" s="81" t="b">
        <v>0</v>
      </c>
      <c r="AF2045" s="81">
        <v>45</v>
      </c>
      <c r="AG2045" s="86" t="s">
        <v>7884</v>
      </c>
      <c r="AH2045" s="81" t="b">
        <v>0</v>
      </c>
      <c r="AI2045" s="81" t="s">
        <v>2171</v>
      </c>
      <c r="AJ2045" s="81"/>
      <c r="AK2045" s="86" t="s">
        <v>2084</v>
      </c>
      <c r="AL2045" s="81" t="b">
        <v>0</v>
      </c>
      <c r="AM2045" s="81">
        <v>5</v>
      </c>
      <c r="AN2045" s="86" t="s">
        <v>2084</v>
      </c>
      <c r="AO2045" s="86" t="s">
        <v>2181</v>
      </c>
      <c r="AP2045" s="81" t="b">
        <v>0</v>
      </c>
      <c r="AQ2045" s="86" t="s">
        <v>7707</v>
      </c>
      <c r="AR2045" s="81" t="s">
        <v>179</v>
      </c>
      <c r="AS2045" s="81">
        <v>0</v>
      </c>
      <c r="AT2045" s="81">
        <v>0</v>
      </c>
      <c r="AU2045" s="81"/>
      <c r="AV2045" s="81"/>
      <c r="AW2045" s="81"/>
      <c r="AX2045" s="81"/>
      <c r="AY2045" s="81"/>
      <c r="AZ2045" s="81"/>
      <c r="BA2045" s="81"/>
      <c r="BB2045" s="81"/>
    </row>
    <row r="2046" spans="1:54" x14ac:dyDescent="0.35">
      <c r="A2046" s="66" t="s">
        <v>4497</v>
      </c>
      <c r="B2046" s="66" t="s">
        <v>4567</v>
      </c>
      <c r="C2046" s="67"/>
      <c r="D2046" s="68"/>
      <c r="E2046" s="69"/>
      <c r="F2046" s="70"/>
      <c r="G2046" s="67"/>
      <c r="H2046" s="71"/>
      <c r="I2046" s="72"/>
      <c r="J2046" s="72"/>
      <c r="K2046" s="36"/>
      <c r="L2046" s="79"/>
      <c r="M2046" s="79"/>
      <c r="N2046" s="74"/>
      <c r="O2046" s="81" t="s">
        <v>693</v>
      </c>
      <c r="P2046" s="83">
        <v>44464.594467592593</v>
      </c>
      <c r="Q2046" s="81" t="s">
        <v>5449</v>
      </c>
      <c r="R2046" s="81"/>
      <c r="S2046" s="81"/>
      <c r="T2046" s="81"/>
      <c r="U2046" s="81"/>
      <c r="V2046" s="84" t="str">
        <f>HYPERLINK("https://pbs.twimg.com/profile_images/1102746224808132615/PfoqaW_N_normal.png")</f>
        <v>https://pbs.twimg.com/profile_images/1102746224808132615/PfoqaW_N_normal.png</v>
      </c>
      <c r="W2046" s="83">
        <v>44464.594467592593</v>
      </c>
      <c r="X2046" s="89">
        <v>44464</v>
      </c>
      <c r="Y2046" s="86" t="s">
        <v>6142</v>
      </c>
      <c r="Z2046" s="84" t="str">
        <f>HYPERLINK("https://twitter.com/bubuzinha/status/1441768459780587522")</f>
        <v>https://twitter.com/bubuzinha/status/1441768459780587522</v>
      </c>
      <c r="AA2046" s="81"/>
      <c r="AB2046" s="81"/>
      <c r="AC2046" s="86" t="s">
        <v>7049</v>
      </c>
      <c r="AD2046" s="81"/>
      <c r="AE2046" s="81" t="b">
        <v>0</v>
      </c>
      <c r="AF2046" s="81">
        <v>0</v>
      </c>
      <c r="AG2046" s="86" t="s">
        <v>2084</v>
      </c>
      <c r="AH2046" s="81" t="b">
        <v>0</v>
      </c>
      <c r="AI2046" s="81" t="s">
        <v>2171</v>
      </c>
      <c r="AJ2046" s="81"/>
      <c r="AK2046" s="86" t="s">
        <v>2084</v>
      </c>
      <c r="AL2046" s="81" t="b">
        <v>0</v>
      </c>
      <c r="AM2046" s="81">
        <v>5</v>
      </c>
      <c r="AN2046" s="86" t="s">
        <v>7126</v>
      </c>
      <c r="AO2046" s="86" t="s">
        <v>2178</v>
      </c>
      <c r="AP2046" s="81" t="b">
        <v>0</v>
      </c>
      <c r="AQ2046" s="86" t="s">
        <v>7126</v>
      </c>
      <c r="AR2046" s="81" t="s">
        <v>179</v>
      </c>
      <c r="AS2046" s="81">
        <v>0</v>
      </c>
      <c r="AT2046" s="81">
        <v>0</v>
      </c>
      <c r="AU2046" s="81"/>
      <c r="AV2046" s="81"/>
      <c r="AW2046" s="81"/>
      <c r="AX2046" s="81"/>
      <c r="AY2046" s="81"/>
      <c r="AZ2046" s="81"/>
      <c r="BA2046" s="81"/>
      <c r="BB2046" s="81"/>
    </row>
    <row r="2047" spans="1:54" x14ac:dyDescent="0.35">
      <c r="A2047" s="66" t="s">
        <v>4497</v>
      </c>
      <c r="B2047" s="66" t="s">
        <v>5091</v>
      </c>
      <c r="C2047" s="67"/>
      <c r="D2047" s="68"/>
      <c r="E2047" s="69"/>
      <c r="F2047" s="70"/>
      <c r="G2047" s="67"/>
      <c r="H2047" s="71"/>
      <c r="I2047" s="72"/>
      <c r="J2047" s="72"/>
      <c r="K2047" s="36"/>
      <c r="L2047" s="79"/>
      <c r="M2047" s="79"/>
      <c r="N2047" s="74"/>
      <c r="O2047" s="81" t="s">
        <v>695</v>
      </c>
      <c r="P2047" s="83">
        <v>44464.594467592593</v>
      </c>
      <c r="Q2047" s="81" t="s">
        <v>5449</v>
      </c>
      <c r="R2047" s="81"/>
      <c r="S2047" s="81"/>
      <c r="T2047" s="81"/>
      <c r="U2047" s="81"/>
      <c r="V2047" s="84" t="str">
        <f>HYPERLINK("https://pbs.twimg.com/profile_images/1102746224808132615/PfoqaW_N_normal.png")</f>
        <v>https://pbs.twimg.com/profile_images/1102746224808132615/PfoqaW_N_normal.png</v>
      </c>
      <c r="W2047" s="83">
        <v>44464.594467592593</v>
      </c>
      <c r="X2047" s="89">
        <v>44464</v>
      </c>
      <c r="Y2047" s="86" t="s">
        <v>6142</v>
      </c>
      <c r="Z2047" s="84" t="str">
        <f>HYPERLINK("https://twitter.com/bubuzinha/status/1441768459780587522")</f>
        <v>https://twitter.com/bubuzinha/status/1441768459780587522</v>
      </c>
      <c r="AA2047" s="81"/>
      <c r="AB2047" s="81"/>
      <c r="AC2047" s="86" t="s">
        <v>7049</v>
      </c>
      <c r="AD2047" s="81"/>
      <c r="AE2047" s="81" t="b">
        <v>0</v>
      </c>
      <c r="AF2047" s="81">
        <v>0</v>
      </c>
      <c r="AG2047" s="86" t="s">
        <v>2084</v>
      </c>
      <c r="AH2047" s="81" t="b">
        <v>0</v>
      </c>
      <c r="AI2047" s="81" t="s">
        <v>2171</v>
      </c>
      <c r="AJ2047" s="81"/>
      <c r="AK2047" s="86" t="s">
        <v>2084</v>
      </c>
      <c r="AL2047" s="81" t="b">
        <v>0</v>
      </c>
      <c r="AM2047" s="81">
        <v>5</v>
      </c>
      <c r="AN2047" s="86" t="s">
        <v>7126</v>
      </c>
      <c r="AO2047" s="86" t="s">
        <v>2178</v>
      </c>
      <c r="AP2047" s="81" t="b">
        <v>0</v>
      </c>
      <c r="AQ2047" s="86" t="s">
        <v>7126</v>
      </c>
      <c r="AR2047" s="81" t="s">
        <v>179</v>
      </c>
      <c r="AS2047" s="81">
        <v>0</v>
      </c>
      <c r="AT2047" s="81">
        <v>0</v>
      </c>
      <c r="AU2047" s="81"/>
      <c r="AV2047" s="81"/>
      <c r="AW2047" s="81"/>
      <c r="AX2047" s="81"/>
      <c r="AY2047" s="81"/>
      <c r="AZ2047" s="81"/>
      <c r="BA2047" s="81"/>
      <c r="BB2047" s="81"/>
    </row>
    <row r="2048" spans="1:54" x14ac:dyDescent="0.35">
      <c r="A2048" s="66" t="s">
        <v>4497</v>
      </c>
      <c r="B2048" s="66" t="s">
        <v>4963</v>
      </c>
      <c r="C2048" s="67"/>
      <c r="D2048" s="68"/>
      <c r="E2048" s="69"/>
      <c r="F2048" s="70"/>
      <c r="G2048" s="67"/>
      <c r="H2048" s="71"/>
      <c r="I2048" s="72"/>
      <c r="J2048" s="72"/>
      <c r="K2048" s="36"/>
      <c r="L2048" s="79"/>
      <c r="M2048" s="79"/>
      <c r="N2048" s="74"/>
      <c r="O2048" s="81" t="s">
        <v>693</v>
      </c>
      <c r="P2048" s="83">
        <v>44468.579259259262</v>
      </c>
      <c r="Q2048" s="81" t="s">
        <v>12782</v>
      </c>
      <c r="R2048" s="84" t="str">
        <f>HYPERLINK("https://twitter.com/emanuel_xiii/status/1443072880359653382")</f>
        <v>https://twitter.com/emanuel_xiii/status/1443072880359653382</v>
      </c>
      <c r="S2048" s="81" t="s">
        <v>936</v>
      </c>
      <c r="T2048" s="81"/>
      <c r="U2048" s="81"/>
      <c r="V2048" s="84" t="str">
        <f>HYPERLINK("https://pbs.twimg.com/profile_images/1102746224808132615/PfoqaW_N_normal.png")</f>
        <v>https://pbs.twimg.com/profile_images/1102746224808132615/PfoqaW_N_normal.png</v>
      </c>
      <c r="W2048" s="83">
        <v>44468.579259259262</v>
      </c>
      <c r="X2048" s="89">
        <v>44468</v>
      </c>
      <c r="Y2048" s="86" t="s">
        <v>12938</v>
      </c>
      <c r="Z2048" s="84" t="str">
        <f>HYPERLINK("https://twitter.com/bubuzinha/status/1443212503060828163")</f>
        <v>https://twitter.com/bubuzinha/status/1443212503060828163</v>
      </c>
      <c r="AA2048" s="81"/>
      <c r="AB2048" s="81"/>
      <c r="AC2048" s="86" t="s">
        <v>13175</v>
      </c>
      <c r="AD2048" s="81"/>
      <c r="AE2048" s="81" t="b">
        <v>0</v>
      </c>
      <c r="AF2048" s="81">
        <v>0</v>
      </c>
      <c r="AG2048" s="86" t="s">
        <v>2084</v>
      </c>
      <c r="AH2048" s="81" t="b">
        <v>1</v>
      </c>
      <c r="AI2048" s="81" t="s">
        <v>2171</v>
      </c>
      <c r="AJ2048" s="81"/>
      <c r="AK2048" s="86" t="s">
        <v>13438</v>
      </c>
      <c r="AL2048" s="81" t="b">
        <v>0</v>
      </c>
      <c r="AM2048" s="81">
        <v>1</v>
      </c>
      <c r="AN2048" s="86" t="s">
        <v>13231</v>
      </c>
      <c r="AO2048" s="86" t="s">
        <v>2178</v>
      </c>
      <c r="AP2048" s="81" t="b">
        <v>0</v>
      </c>
      <c r="AQ2048" s="86" t="s">
        <v>13231</v>
      </c>
      <c r="AR2048" s="81" t="s">
        <v>179</v>
      </c>
      <c r="AS2048" s="81">
        <v>0</v>
      </c>
      <c r="AT2048" s="81">
        <v>0</v>
      </c>
      <c r="AU2048" s="81"/>
      <c r="AV2048" s="81"/>
      <c r="AW2048" s="81"/>
      <c r="AX2048" s="81"/>
      <c r="AY2048" s="81"/>
      <c r="AZ2048" s="81"/>
      <c r="BA2048" s="81"/>
      <c r="BB2048" s="81"/>
    </row>
    <row r="2049" spans="1:54" x14ac:dyDescent="0.35">
      <c r="A2049" s="66" t="s">
        <v>4578</v>
      </c>
      <c r="B2049" s="66" t="s">
        <v>4578</v>
      </c>
      <c r="C2049" s="67"/>
      <c r="D2049" s="68"/>
      <c r="E2049" s="69"/>
      <c r="F2049" s="70"/>
      <c r="G2049" s="67"/>
      <c r="H2049" s="71"/>
      <c r="I2049" s="72"/>
      <c r="J2049" s="72"/>
      <c r="K2049" s="36"/>
      <c r="L2049" s="79"/>
      <c r="M2049" s="79"/>
      <c r="N2049" s="74"/>
      <c r="O2049" s="81" t="s">
        <v>179</v>
      </c>
      <c r="P2049" s="83">
        <v>44465.067766203705</v>
      </c>
      <c r="Q2049" s="81" t="s">
        <v>5495</v>
      </c>
      <c r="R2049" s="84" t="str">
        <f>HYPERLINK("https://www.adventistas.org/pt/jesus-restaurador-vida")</f>
        <v>https://www.adventistas.org/pt/jesus-restaurador-vida</v>
      </c>
      <c r="S2049" s="81" t="s">
        <v>5733</v>
      </c>
      <c r="T2049" s="81"/>
      <c r="U2049" s="84" t="str">
        <f>HYPERLINK("https://pbs.twimg.com/media/FALMw11X0AQCVcA.jpg")</f>
        <v>https://pbs.twimg.com/media/FALMw11X0AQCVcA.jpg</v>
      </c>
      <c r="V2049" s="84" t="str">
        <f>HYPERLINK("https://pbs.twimg.com/media/FALMw11X0AQCVcA.jpg")</f>
        <v>https://pbs.twimg.com/media/FALMw11X0AQCVcA.jpg</v>
      </c>
      <c r="W2049" s="83">
        <v>44465.067766203705</v>
      </c>
      <c r="X2049" s="89">
        <v>44465</v>
      </c>
      <c r="Y2049" s="86" t="s">
        <v>6226</v>
      </c>
      <c r="Z2049" s="84" t="str">
        <f>HYPERLINK("https://twitter.com/bogerjr/status/1441939979924430850")</f>
        <v>https://twitter.com/bogerjr/status/1441939979924430850</v>
      </c>
      <c r="AA2049" s="81"/>
      <c r="AB2049" s="81"/>
      <c r="AC2049" s="86" t="s">
        <v>7138</v>
      </c>
      <c r="AD2049" s="81"/>
      <c r="AE2049" s="81" t="b">
        <v>0</v>
      </c>
      <c r="AF2049" s="81">
        <v>14</v>
      </c>
      <c r="AG2049" s="86" t="s">
        <v>2084</v>
      </c>
      <c r="AH2049" s="81" t="b">
        <v>0</v>
      </c>
      <c r="AI2049" s="81" t="s">
        <v>2171</v>
      </c>
      <c r="AJ2049" s="81"/>
      <c r="AK2049" s="86" t="s">
        <v>2084</v>
      </c>
      <c r="AL2049" s="81" t="b">
        <v>0</v>
      </c>
      <c r="AM2049" s="81">
        <v>6</v>
      </c>
      <c r="AN2049" s="86" t="s">
        <v>2084</v>
      </c>
      <c r="AO2049" s="86" t="s">
        <v>2179</v>
      </c>
      <c r="AP2049" s="81" t="b">
        <v>0</v>
      </c>
      <c r="AQ2049" s="86" t="s">
        <v>7138</v>
      </c>
      <c r="AR2049" s="81" t="s">
        <v>693</v>
      </c>
      <c r="AS2049" s="81">
        <v>0</v>
      </c>
      <c r="AT2049" s="81">
        <v>0</v>
      </c>
      <c r="AU2049" s="81"/>
      <c r="AV2049" s="81"/>
      <c r="AW2049" s="81"/>
      <c r="AX2049" s="81"/>
      <c r="AY2049" s="81"/>
      <c r="AZ2049" s="81"/>
      <c r="BA2049" s="81"/>
      <c r="BB2049" s="81"/>
    </row>
    <row r="2050" spans="1:54" x14ac:dyDescent="0.35">
      <c r="A2050" s="66" t="s">
        <v>4530</v>
      </c>
      <c r="B2050" s="66" t="s">
        <v>4578</v>
      </c>
      <c r="C2050" s="67"/>
      <c r="D2050" s="68"/>
      <c r="E2050" s="69"/>
      <c r="F2050" s="70"/>
      <c r="G2050" s="67"/>
      <c r="H2050" s="71"/>
      <c r="I2050" s="72"/>
      <c r="J2050" s="72"/>
      <c r="K2050" s="36"/>
      <c r="L2050" s="79"/>
      <c r="M2050" s="79"/>
      <c r="N2050" s="74"/>
      <c r="O2050" s="81" t="s">
        <v>693</v>
      </c>
      <c r="P2050" s="83">
        <v>44465.105011574073</v>
      </c>
      <c r="Q2050" s="81" t="s">
        <v>5495</v>
      </c>
      <c r="R2050" s="84" t="str">
        <f>HYPERLINK("https://www.adventistas.org/pt/jesus-restaurador-vida")</f>
        <v>https://www.adventistas.org/pt/jesus-restaurador-vida</v>
      </c>
      <c r="S2050" s="81" t="s">
        <v>5733</v>
      </c>
      <c r="T2050" s="81"/>
      <c r="U2050" s="84" t="str">
        <f>HYPERLINK("https://pbs.twimg.com/media/FALMw11X0AQCVcA.jpg")</f>
        <v>https://pbs.twimg.com/media/FALMw11X0AQCVcA.jpg</v>
      </c>
      <c r="V2050" s="84" t="str">
        <f>HYPERLINK("https://pbs.twimg.com/media/FALMw11X0AQCVcA.jpg")</f>
        <v>https://pbs.twimg.com/media/FALMw11X0AQCVcA.jpg</v>
      </c>
      <c r="W2050" s="83">
        <v>44465.105011574073</v>
      </c>
      <c r="X2050" s="89">
        <v>44465</v>
      </c>
      <c r="Y2050" s="86" t="s">
        <v>6178</v>
      </c>
      <c r="Z2050" s="84" t="str">
        <f>HYPERLINK("https://twitter.com/gfonsecaadv/status/1441953476637044736")</f>
        <v>https://twitter.com/gfonsecaadv/status/1441953476637044736</v>
      </c>
      <c r="AA2050" s="81"/>
      <c r="AB2050" s="81"/>
      <c r="AC2050" s="86" t="s">
        <v>7087</v>
      </c>
      <c r="AD2050" s="81"/>
      <c r="AE2050" s="81" t="b">
        <v>0</v>
      </c>
      <c r="AF2050" s="81">
        <v>0</v>
      </c>
      <c r="AG2050" s="86" t="s">
        <v>2084</v>
      </c>
      <c r="AH2050" s="81" t="b">
        <v>0</v>
      </c>
      <c r="AI2050" s="81" t="s">
        <v>2171</v>
      </c>
      <c r="AJ2050" s="81"/>
      <c r="AK2050" s="86" t="s">
        <v>2084</v>
      </c>
      <c r="AL2050" s="81" t="b">
        <v>0</v>
      </c>
      <c r="AM2050" s="81">
        <v>6</v>
      </c>
      <c r="AN2050" s="86" t="s">
        <v>7138</v>
      </c>
      <c r="AO2050" s="86" t="s">
        <v>2178</v>
      </c>
      <c r="AP2050" s="81" t="b">
        <v>0</v>
      </c>
      <c r="AQ2050" s="86" t="s">
        <v>7138</v>
      </c>
      <c r="AR2050" s="81" t="s">
        <v>179</v>
      </c>
      <c r="AS2050" s="81">
        <v>0</v>
      </c>
      <c r="AT2050" s="81">
        <v>0</v>
      </c>
      <c r="AU2050" s="81"/>
      <c r="AV2050" s="81"/>
      <c r="AW2050" s="81"/>
      <c r="AX2050" s="81"/>
      <c r="AY2050" s="81"/>
      <c r="AZ2050" s="81"/>
      <c r="BA2050" s="81"/>
      <c r="BB2050" s="81"/>
    </row>
    <row r="2051" spans="1:54" x14ac:dyDescent="0.35">
      <c r="A2051" s="66" t="s">
        <v>4530</v>
      </c>
      <c r="B2051" s="66" t="s">
        <v>12590</v>
      </c>
      <c r="C2051" s="67"/>
      <c r="D2051" s="68"/>
      <c r="E2051" s="69"/>
      <c r="F2051" s="70"/>
      <c r="G2051" s="67"/>
      <c r="H2051" s="71"/>
      <c r="I2051" s="72"/>
      <c r="J2051" s="72"/>
      <c r="K2051" s="36"/>
      <c r="L2051" s="79"/>
      <c r="M2051" s="79"/>
      <c r="N2051" s="74"/>
      <c r="O2051" s="81" t="s">
        <v>693</v>
      </c>
      <c r="P2051" s="83">
        <v>44468.588599537034</v>
      </c>
      <c r="Q2051" s="81" t="s">
        <v>12783</v>
      </c>
      <c r="R2051" s="84" t="str">
        <f>HYPERLINK("https://noticias.adventistas.org/pt/coluna/heron-santana/jesus-cristo-na-pos-modernidade/")</f>
        <v>https://noticias.adventistas.org/pt/coluna/heron-santana/jesus-cristo-na-pos-modernidade/</v>
      </c>
      <c r="S2051" s="81" t="s">
        <v>5733</v>
      </c>
      <c r="T2051" s="81"/>
      <c r="U2051" s="84" t="str">
        <f>HYPERLINK("https://pbs.twimg.com/media/FAdU-vXXEAwhmcS.jpg")</f>
        <v>https://pbs.twimg.com/media/FAdU-vXXEAwhmcS.jpg</v>
      </c>
      <c r="V2051" s="84" t="str">
        <f>HYPERLINK("https://pbs.twimg.com/media/FAdU-vXXEAwhmcS.jpg")</f>
        <v>https://pbs.twimg.com/media/FAdU-vXXEAwhmcS.jpg</v>
      </c>
      <c r="W2051" s="83">
        <v>44468.588599537034</v>
      </c>
      <c r="X2051" s="89">
        <v>44468</v>
      </c>
      <c r="Y2051" s="86" t="s">
        <v>12939</v>
      </c>
      <c r="Z2051" s="84" t="str">
        <f>HYPERLINK("https://twitter.com/gfonsecaadv/status/1443215887146835975")</f>
        <v>https://twitter.com/gfonsecaadv/status/1443215887146835975</v>
      </c>
      <c r="AA2051" s="81"/>
      <c r="AB2051" s="81"/>
      <c r="AC2051" s="86" t="s">
        <v>13176</v>
      </c>
      <c r="AD2051" s="81"/>
      <c r="AE2051" s="81" t="b">
        <v>0</v>
      </c>
      <c r="AF2051" s="81">
        <v>0</v>
      </c>
      <c r="AG2051" s="86" t="s">
        <v>2084</v>
      </c>
      <c r="AH2051" s="81" t="b">
        <v>0</v>
      </c>
      <c r="AI2051" s="81" t="s">
        <v>2171</v>
      </c>
      <c r="AJ2051" s="81"/>
      <c r="AK2051" s="86" t="s">
        <v>2084</v>
      </c>
      <c r="AL2051" s="81" t="b">
        <v>0</v>
      </c>
      <c r="AM2051" s="81">
        <v>6</v>
      </c>
      <c r="AN2051" s="86" t="s">
        <v>13250</v>
      </c>
      <c r="AO2051" s="86" t="s">
        <v>2178</v>
      </c>
      <c r="AP2051" s="81" t="b">
        <v>0</v>
      </c>
      <c r="AQ2051" s="86" t="s">
        <v>13250</v>
      </c>
      <c r="AR2051" s="81" t="s">
        <v>179</v>
      </c>
      <c r="AS2051" s="81">
        <v>0</v>
      </c>
      <c r="AT2051" s="81">
        <v>0</v>
      </c>
      <c r="AU2051" s="81"/>
      <c r="AV2051" s="81"/>
      <c r="AW2051" s="81"/>
      <c r="AX2051" s="81"/>
      <c r="AY2051" s="81"/>
      <c r="AZ2051" s="81"/>
      <c r="BA2051" s="81"/>
      <c r="BB2051" s="81"/>
    </row>
    <row r="2052" spans="1:54" x14ac:dyDescent="0.35">
      <c r="A2052" s="66" t="s">
        <v>12546</v>
      </c>
      <c r="B2052" s="66" t="s">
        <v>12546</v>
      </c>
      <c r="C2052" s="67"/>
      <c r="D2052" s="68"/>
      <c r="E2052" s="69"/>
      <c r="F2052" s="70"/>
      <c r="G2052" s="67"/>
      <c r="H2052" s="71"/>
      <c r="I2052" s="72"/>
      <c r="J2052" s="72"/>
      <c r="K2052" s="36"/>
      <c r="L2052" s="79"/>
      <c r="M2052" s="79"/>
      <c r="N2052" s="74"/>
      <c r="O2052" s="81" t="s">
        <v>179</v>
      </c>
      <c r="P2052" s="83">
        <v>44468.595706018517</v>
      </c>
      <c r="Q2052" s="81" t="s">
        <v>12784</v>
      </c>
      <c r="R2052" s="84" t="str">
        <f>HYPERLINK("https://radaraktual.com/77926/dugaan-korupsi-rp-52-miliar-di-pt-pos-finance-kejati-jabar-kembali-tetapkan-tersangka.html")</f>
        <v>https://radaraktual.com/77926/dugaan-korupsi-rp-52-miliar-di-pt-pos-finance-kejati-jabar-kembali-tetapkan-tersangka.html</v>
      </c>
      <c r="S2052" s="81" t="s">
        <v>12854</v>
      </c>
      <c r="T2052" s="81"/>
      <c r="U2052" s="81"/>
      <c r="V2052" s="84" t="str">
        <f>HYPERLINK("https://pbs.twimg.com/profile_images/853783755290431488/lWwW8aKa_normal.jpg")</f>
        <v>https://pbs.twimg.com/profile_images/853783755290431488/lWwW8aKa_normal.jpg</v>
      </c>
      <c r="W2052" s="83">
        <v>44468.595706018517</v>
      </c>
      <c r="X2052" s="89">
        <v>44468</v>
      </c>
      <c r="Y2052" s="86" t="s">
        <v>12940</v>
      </c>
      <c r="Z2052" s="84" t="str">
        <f>HYPERLINK("https://twitter.com/radaraktual/status/1443218459781959691")</f>
        <v>https://twitter.com/radaraktual/status/1443218459781959691</v>
      </c>
      <c r="AA2052" s="81"/>
      <c r="AB2052" s="81"/>
      <c r="AC2052" s="86" t="s">
        <v>13177</v>
      </c>
      <c r="AD2052" s="81"/>
      <c r="AE2052" s="81" t="b">
        <v>0</v>
      </c>
      <c r="AF2052" s="81">
        <v>0</v>
      </c>
      <c r="AG2052" s="86" t="s">
        <v>2084</v>
      </c>
      <c r="AH2052" s="81" t="b">
        <v>0</v>
      </c>
      <c r="AI2052" s="81" t="s">
        <v>2167</v>
      </c>
      <c r="AJ2052" s="81"/>
      <c r="AK2052" s="86" t="s">
        <v>2084</v>
      </c>
      <c r="AL2052" s="81" t="b">
        <v>0</v>
      </c>
      <c r="AM2052" s="81">
        <v>0</v>
      </c>
      <c r="AN2052" s="86" t="s">
        <v>2084</v>
      </c>
      <c r="AO2052" s="86" t="s">
        <v>2195</v>
      </c>
      <c r="AP2052" s="81" t="b">
        <v>0</v>
      </c>
      <c r="AQ2052" s="86" t="s">
        <v>13177</v>
      </c>
      <c r="AR2052" s="81" t="s">
        <v>179</v>
      </c>
      <c r="AS2052" s="81">
        <v>0</v>
      </c>
      <c r="AT2052" s="81">
        <v>0</v>
      </c>
      <c r="AU2052" s="81"/>
      <c r="AV2052" s="81"/>
      <c r="AW2052" s="81"/>
      <c r="AX2052" s="81"/>
      <c r="AY2052" s="81"/>
      <c r="AZ2052" s="81"/>
      <c r="BA2052" s="81"/>
      <c r="BB2052" s="81"/>
    </row>
    <row r="2053" spans="1:54" x14ac:dyDescent="0.35">
      <c r="A2053" s="66" t="s">
        <v>12547</v>
      </c>
      <c r="B2053" s="66" t="s">
        <v>12590</v>
      </c>
      <c r="C2053" s="67"/>
      <c r="D2053" s="68"/>
      <c r="E2053" s="69"/>
      <c r="F2053" s="70"/>
      <c r="G2053" s="67"/>
      <c r="H2053" s="71"/>
      <c r="I2053" s="72"/>
      <c r="J2053" s="72"/>
      <c r="K2053" s="36"/>
      <c r="L2053" s="79"/>
      <c r="M2053" s="79"/>
      <c r="N2053" s="74"/>
      <c r="O2053" s="81" t="s">
        <v>693</v>
      </c>
      <c r="P2053" s="83">
        <v>44468.600671296299</v>
      </c>
      <c r="Q2053" s="81" t="s">
        <v>12783</v>
      </c>
      <c r="R2053" s="84" t="str">
        <f>HYPERLINK("https://noticias.adventistas.org/pt/coluna/heron-santana/jesus-cristo-na-pos-modernidade/")</f>
        <v>https://noticias.adventistas.org/pt/coluna/heron-santana/jesus-cristo-na-pos-modernidade/</v>
      </c>
      <c r="S2053" s="81" t="s">
        <v>5733</v>
      </c>
      <c r="T2053" s="81"/>
      <c r="U2053" s="84" t="str">
        <f>HYPERLINK("https://pbs.twimg.com/media/FAdU-vXXEAwhmcS.jpg")</f>
        <v>https://pbs.twimg.com/media/FAdU-vXXEAwhmcS.jpg</v>
      </c>
      <c r="V2053" s="84" t="str">
        <f>HYPERLINK("https://pbs.twimg.com/media/FAdU-vXXEAwhmcS.jpg")</f>
        <v>https://pbs.twimg.com/media/FAdU-vXXEAwhmcS.jpg</v>
      </c>
      <c r="W2053" s="83">
        <v>44468.600671296299</v>
      </c>
      <c r="X2053" s="89">
        <v>44468</v>
      </c>
      <c r="Y2053" s="86" t="s">
        <v>12941</v>
      </c>
      <c r="Z2053" s="84" t="str">
        <f>HYPERLINK("https://twitter.com/cyllenon/status/1443220262367924227")</f>
        <v>https://twitter.com/cyllenon/status/1443220262367924227</v>
      </c>
      <c r="AA2053" s="81"/>
      <c r="AB2053" s="81"/>
      <c r="AC2053" s="86" t="s">
        <v>13178</v>
      </c>
      <c r="AD2053" s="81"/>
      <c r="AE2053" s="81" t="b">
        <v>0</v>
      </c>
      <c r="AF2053" s="81">
        <v>0</v>
      </c>
      <c r="AG2053" s="86" t="s">
        <v>2084</v>
      </c>
      <c r="AH2053" s="81" t="b">
        <v>0</v>
      </c>
      <c r="AI2053" s="81" t="s">
        <v>2171</v>
      </c>
      <c r="AJ2053" s="81"/>
      <c r="AK2053" s="86" t="s">
        <v>2084</v>
      </c>
      <c r="AL2053" s="81" t="b">
        <v>0</v>
      </c>
      <c r="AM2053" s="81">
        <v>6</v>
      </c>
      <c r="AN2053" s="86" t="s">
        <v>13250</v>
      </c>
      <c r="AO2053" s="86" t="s">
        <v>2178</v>
      </c>
      <c r="AP2053" s="81" t="b">
        <v>0</v>
      </c>
      <c r="AQ2053" s="86" t="s">
        <v>13250</v>
      </c>
      <c r="AR2053" s="81" t="s">
        <v>179</v>
      </c>
      <c r="AS2053" s="81">
        <v>0</v>
      </c>
      <c r="AT2053" s="81">
        <v>0</v>
      </c>
      <c r="AU2053" s="81"/>
      <c r="AV2053" s="81"/>
      <c r="AW2053" s="81"/>
      <c r="AX2053" s="81"/>
      <c r="AY2053" s="81"/>
      <c r="AZ2053" s="81"/>
      <c r="BA2053" s="81"/>
      <c r="BB2053" s="81"/>
    </row>
    <row r="2054" spans="1:54" x14ac:dyDescent="0.35">
      <c r="A2054" s="66" t="s">
        <v>12548</v>
      </c>
      <c r="B2054" s="66" t="s">
        <v>12694</v>
      </c>
      <c r="C2054" s="67"/>
      <c r="D2054" s="68"/>
      <c r="E2054" s="69"/>
      <c r="F2054" s="70"/>
      <c r="G2054" s="67"/>
      <c r="H2054" s="71"/>
      <c r="I2054" s="72"/>
      <c r="J2054" s="72"/>
      <c r="K2054" s="36"/>
      <c r="L2054" s="79"/>
      <c r="M2054" s="79"/>
      <c r="N2054" s="74"/>
      <c r="O2054" s="81" t="s">
        <v>696</v>
      </c>
      <c r="P2054" s="83">
        <v>44468.6012962963</v>
      </c>
      <c r="Q2054" s="81" t="s">
        <v>12785</v>
      </c>
      <c r="R2054" s="81"/>
      <c r="S2054" s="81"/>
      <c r="T2054" s="81"/>
      <c r="U2054" s="81"/>
      <c r="V2054" s="84" t="str">
        <f>HYPERLINK("https://pbs.twimg.com/profile_images/1388215159169110018/SB41PULM_normal.jpg")</f>
        <v>https://pbs.twimg.com/profile_images/1388215159169110018/SB41PULM_normal.jpg</v>
      </c>
      <c r="W2054" s="83">
        <v>44468.6012962963</v>
      </c>
      <c r="X2054" s="89">
        <v>44468</v>
      </c>
      <c r="Y2054" s="86" t="s">
        <v>12942</v>
      </c>
      <c r="Z2054" s="84" t="str">
        <f>HYPERLINK("https://twitter.com/adilson28173410/status/1443220487820255234")</f>
        <v>https://twitter.com/adilson28173410/status/1443220487820255234</v>
      </c>
      <c r="AA2054" s="81"/>
      <c r="AB2054" s="81"/>
      <c r="AC2054" s="86" t="s">
        <v>13179</v>
      </c>
      <c r="AD2054" s="86" t="s">
        <v>13377</v>
      </c>
      <c r="AE2054" s="81" t="b">
        <v>0</v>
      </c>
      <c r="AF2054" s="81">
        <v>1</v>
      </c>
      <c r="AG2054" s="86" t="s">
        <v>13418</v>
      </c>
      <c r="AH2054" s="81" t="b">
        <v>0</v>
      </c>
      <c r="AI2054" s="81" t="s">
        <v>2171</v>
      </c>
      <c r="AJ2054" s="81"/>
      <c r="AK2054" s="86" t="s">
        <v>2084</v>
      </c>
      <c r="AL2054" s="81" t="b">
        <v>0</v>
      </c>
      <c r="AM2054" s="81">
        <v>0</v>
      </c>
      <c r="AN2054" s="86" t="s">
        <v>2084</v>
      </c>
      <c r="AO2054" s="86" t="s">
        <v>2178</v>
      </c>
      <c r="AP2054" s="81" t="b">
        <v>0</v>
      </c>
      <c r="AQ2054" s="86" t="s">
        <v>13377</v>
      </c>
      <c r="AR2054" s="81" t="s">
        <v>179</v>
      </c>
      <c r="AS2054" s="81">
        <v>0</v>
      </c>
      <c r="AT2054" s="81">
        <v>0</v>
      </c>
      <c r="AU2054" s="81"/>
      <c r="AV2054" s="81"/>
      <c r="AW2054" s="81"/>
      <c r="AX2054" s="81"/>
      <c r="AY2054" s="81"/>
      <c r="AZ2054" s="81"/>
      <c r="BA2054" s="81"/>
      <c r="BB2054" s="81"/>
    </row>
    <row r="2055" spans="1:54" x14ac:dyDescent="0.35">
      <c r="A2055" s="66" t="s">
        <v>12548</v>
      </c>
      <c r="B2055" s="66" t="s">
        <v>12695</v>
      </c>
      <c r="C2055" s="67"/>
      <c r="D2055" s="68"/>
      <c r="E2055" s="69"/>
      <c r="F2055" s="70"/>
      <c r="G2055" s="67"/>
      <c r="H2055" s="71"/>
      <c r="I2055" s="72"/>
      <c r="J2055" s="72"/>
      <c r="K2055" s="36"/>
      <c r="L2055" s="79"/>
      <c r="M2055" s="79"/>
      <c r="N2055" s="74"/>
      <c r="O2055" s="81" t="s">
        <v>696</v>
      </c>
      <c r="P2055" s="83">
        <v>44468.6012962963</v>
      </c>
      <c r="Q2055" s="81" t="s">
        <v>12785</v>
      </c>
      <c r="R2055" s="81"/>
      <c r="S2055" s="81"/>
      <c r="T2055" s="81"/>
      <c r="U2055" s="81"/>
      <c r="V2055" s="84" t="str">
        <f>HYPERLINK("https://pbs.twimg.com/profile_images/1388215159169110018/SB41PULM_normal.jpg")</f>
        <v>https://pbs.twimg.com/profile_images/1388215159169110018/SB41PULM_normal.jpg</v>
      </c>
      <c r="W2055" s="83">
        <v>44468.6012962963</v>
      </c>
      <c r="X2055" s="89">
        <v>44468</v>
      </c>
      <c r="Y2055" s="86" t="s">
        <v>12942</v>
      </c>
      <c r="Z2055" s="84" t="str">
        <f>HYPERLINK("https://twitter.com/adilson28173410/status/1443220487820255234")</f>
        <v>https://twitter.com/adilson28173410/status/1443220487820255234</v>
      </c>
      <c r="AA2055" s="81"/>
      <c r="AB2055" s="81"/>
      <c r="AC2055" s="86" t="s">
        <v>13179</v>
      </c>
      <c r="AD2055" s="86" t="s">
        <v>13377</v>
      </c>
      <c r="AE2055" s="81" t="b">
        <v>0</v>
      </c>
      <c r="AF2055" s="81">
        <v>1</v>
      </c>
      <c r="AG2055" s="86" t="s">
        <v>13418</v>
      </c>
      <c r="AH2055" s="81" t="b">
        <v>0</v>
      </c>
      <c r="AI2055" s="81" t="s">
        <v>2171</v>
      </c>
      <c r="AJ2055" s="81"/>
      <c r="AK2055" s="86" t="s">
        <v>2084</v>
      </c>
      <c r="AL2055" s="81" t="b">
        <v>0</v>
      </c>
      <c r="AM2055" s="81">
        <v>0</v>
      </c>
      <c r="AN2055" s="86" t="s">
        <v>2084</v>
      </c>
      <c r="AO2055" s="86" t="s">
        <v>2178</v>
      </c>
      <c r="AP2055" s="81" t="b">
        <v>0</v>
      </c>
      <c r="AQ2055" s="86" t="s">
        <v>13377</v>
      </c>
      <c r="AR2055" s="81" t="s">
        <v>179</v>
      </c>
      <c r="AS2055" s="81">
        <v>0</v>
      </c>
      <c r="AT2055" s="81">
        <v>0</v>
      </c>
      <c r="AU2055" s="81"/>
      <c r="AV2055" s="81"/>
      <c r="AW2055" s="81"/>
      <c r="AX2055" s="81"/>
      <c r="AY2055" s="81"/>
      <c r="AZ2055" s="81"/>
      <c r="BA2055" s="81"/>
      <c r="BB2055" s="81"/>
    </row>
    <row r="2056" spans="1:54" x14ac:dyDescent="0.35">
      <c r="A2056" s="66" t="s">
        <v>12548</v>
      </c>
      <c r="B2056" s="66" t="s">
        <v>12696</v>
      </c>
      <c r="C2056" s="67"/>
      <c r="D2056" s="68"/>
      <c r="E2056" s="69"/>
      <c r="F2056" s="70"/>
      <c r="G2056" s="67"/>
      <c r="H2056" s="71"/>
      <c r="I2056" s="72"/>
      <c r="J2056" s="72"/>
      <c r="K2056" s="36"/>
      <c r="L2056" s="79"/>
      <c r="M2056" s="79"/>
      <c r="N2056" s="74"/>
      <c r="O2056" s="81" t="s">
        <v>695</v>
      </c>
      <c r="P2056" s="83">
        <v>44468.6012962963</v>
      </c>
      <c r="Q2056" s="81" t="s">
        <v>12785</v>
      </c>
      <c r="R2056" s="81"/>
      <c r="S2056" s="81"/>
      <c r="T2056" s="81"/>
      <c r="U2056" s="81"/>
      <c r="V2056" s="84" t="str">
        <f>HYPERLINK("https://pbs.twimg.com/profile_images/1388215159169110018/SB41PULM_normal.jpg")</f>
        <v>https://pbs.twimg.com/profile_images/1388215159169110018/SB41PULM_normal.jpg</v>
      </c>
      <c r="W2056" s="83">
        <v>44468.6012962963</v>
      </c>
      <c r="X2056" s="89">
        <v>44468</v>
      </c>
      <c r="Y2056" s="86" t="s">
        <v>12942</v>
      </c>
      <c r="Z2056" s="84" t="str">
        <f>HYPERLINK("https://twitter.com/adilson28173410/status/1443220487820255234")</f>
        <v>https://twitter.com/adilson28173410/status/1443220487820255234</v>
      </c>
      <c r="AA2056" s="81"/>
      <c r="AB2056" s="81"/>
      <c r="AC2056" s="86" t="s">
        <v>13179</v>
      </c>
      <c r="AD2056" s="86" t="s">
        <v>13377</v>
      </c>
      <c r="AE2056" s="81" t="b">
        <v>0</v>
      </c>
      <c r="AF2056" s="81">
        <v>1</v>
      </c>
      <c r="AG2056" s="86" t="s">
        <v>13418</v>
      </c>
      <c r="AH2056" s="81" t="b">
        <v>0</v>
      </c>
      <c r="AI2056" s="81" t="s">
        <v>2171</v>
      </c>
      <c r="AJ2056" s="81"/>
      <c r="AK2056" s="86" t="s">
        <v>2084</v>
      </c>
      <c r="AL2056" s="81" t="b">
        <v>0</v>
      </c>
      <c r="AM2056" s="81">
        <v>0</v>
      </c>
      <c r="AN2056" s="86" t="s">
        <v>2084</v>
      </c>
      <c r="AO2056" s="86" t="s">
        <v>2178</v>
      </c>
      <c r="AP2056" s="81" t="b">
        <v>0</v>
      </c>
      <c r="AQ2056" s="86" t="s">
        <v>13377</v>
      </c>
      <c r="AR2056" s="81" t="s">
        <v>179</v>
      </c>
      <c r="AS2056" s="81">
        <v>0</v>
      </c>
      <c r="AT2056" s="81">
        <v>0</v>
      </c>
      <c r="AU2056" s="81"/>
      <c r="AV2056" s="81"/>
      <c r="AW2056" s="81"/>
      <c r="AX2056" s="81"/>
      <c r="AY2056" s="81"/>
      <c r="AZ2056" s="81"/>
      <c r="BA2056" s="81"/>
      <c r="BB2056" s="81"/>
    </row>
    <row r="2057" spans="1:54" x14ac:dyDescent="0.35">
      <c r="A2057" s="66" t="s">
        <v>12548</v>
      </c>
      <c r="B2057" s="66" t="s">
        <v>5130</v>
      </c>
      <c r="C2057" s="67"/>
      <c r="D2057" s="68"/>
      <c r="E2057" s="69"/>
      <c r="F2057" s="70"/>
      <c r="G2057" s="67"/>
      <c r="H2057" s="71"/>
      <c r="I2057" s="72"/>
      <c r="J2057" s="72"/>
      <c r="K2057" s="36"/>
      <c r="L2057" s="79"/>
      <c r="M2057" s="79"/>
      <c r="N2057" s="74"/>
      <c r="O2057" s="81" t="s">
        <v>696</v>
      </c>
      <c r="P2057" s="83">
        <v>44468.6012962963</v>
      </c>
      <c r="Q2057" s="81" t="s">
        <v>12785</v>
      </c>
      <c r="R2057" s="81"/>
      <c r="S2057" s="81"/>
      <c r="T2057" s="81"/>
      <c r="U2057" s="81"/>
      <c r="V2057" s="84" t="str">
        <f>HYPERLINK("https://pbs.twimg.com/profile_images/1388215159169110018/SB41PULM_normal.jpg")</f>
        <v>https://pbs.twimg.com/profile_images/1388215159169110018/SB41PULM_normal.jpg</v>
      </c>
      <c r="W2057" s="83">
        <v>44468.6012962963</v>
      </c>
      <c r="X2057" s="89">
        <v>44468</v>
      </c>
      <c r="Y2057" s="86" t="s">
        <v>12942</v>
      </c>
      <c r="Z2057" s="84" t="str">
        <f>HYPERLINK("https://twitter.com/adilson28173410/status/1443220487820255234")</f>
        <v>https://twitter.com/adilson28173410/status/1443220487820255234</v>
      </c>
      <c r="AA2057" s="81"/>
      <c r="AB2057" s="81"/>
      <c r="AC2057" s="86" t="s">
        <v>13179</v>
      </c>
      <c r="AD2057" s="86" t="s">
        <v>13377</v>
      </c>
      <c r="AE2057" s="81" t="b">
        <v>0</v>
      </c>
      <c r="AF2057" s="81">
        <v>1</v>
      </c>
      <c r="AG2057" s="86" t="s">
        <v>13418</v>
      </c>
      <c r="AH2057" s="81" t="b">
        <v>0</v>
      </c>
      <c r="AI2057" s="81" t="s">
        <v>2171</v>
      </c>
      <c r="AJ2057" s="81"/>
      <c r="AK2057" s="86" t="s">
        <v>2084</v>
      </c>
      <c r="AL2057" s="81" t="b">
        <v>0</v>
      </c>
      <c r="AM2057" s="81">
        <v>0</v>
      </c>
      <c r="AN2057" s="86" t="s">
        <v>2084</v>
      </c>
      <c r="AO2057" s="86" t="s">
        <v>2178</v>
      </c>
      <c r="AP2057" s="81" t="b">
        <v>0</v>
      </c>
      <c r="AQ2057" s="86" t="s">
        <v>13377</v>
      </c>
      <c r="AR2057" s="81" t="s">
        <v>179</v>
      </c>
      <c r="AS2057" s="81">
        <v>0</v>
      </c>
      <c r="AT2057" s="81">
        <v>0</v>
      </c>
      <c r="AU2057" s="81"/>
      <c r="AV2057" s="81"/>
      <c r="AW2057" s="81"/>
      <c r="AX2057" s="81"/>
      <c r="AY2057" s="81"/>
      <c r="AZ2057" s="81"/>
      <c r="BA2057" s="81"/>
      <c r="BB2057" s="81"/>
    </row>
    <row r="2058" spans="1:54" x14ac:dyDescent="0.35">
      <c r="A2058" s="66" t="s">
        <v>4539</v>
      </c>
      <c r="B2058" s="66" t="s">
        <v>4539</v>
      </c>
      <c r="C2058" s="67"/>
      <c r="D2058" s="68"/>
      <c r="E2058" s="69"/>
      <c r="F2058" s="70"/>
      <c r="G2058" s="67"/>
      <c r="H2058" s="71"/>
      <c r="I2058" s="72"/>
      <c r="J2058" s="72"/>
      <c r="K2058" s="36"/>
      <c r="L2058" s="79"/>
      <c r="M2058" s="79"/>
      <c r="N2058" s="74"/>
      <c r="O2058" s="81" t="s">
        <v>179</v>
      </c>
      <c r="P2058" s="83">
        <v>44465.441643518519</v>
      </c>
      <c r="Q2058" s="81" t="s">
        <v>5503</v>
      </c>
      <c r="R2058" s="81"/>
      <c r="S2058" s="81"/>
      <c r="T2058" s="81"/>
      <c r="U2058" s="84" t="str">
        <f>HYPERLINK("https://pbs.twimg.com/media/FANH_rOUcBAzhSQ.jpg")</f>
        <v>https://pbs.twimg.com/media/FANH_rOUcBAzhSQ.jpg</v>
      </c>
      <c r="V2058" s="84" t="str">
        <f>HYPERLINK("https://pbs.twimg.com/media/FANH_rOUcBAzhSQ.jpg")</f>
        <v>https://pbs.twimg.com/media/FANH_rOUcBAzhSQ.jpg</v>
      </c>
      <c r="W2058" s="83">
        <v>44465.441643518519</v>
      </c>
      <c r="X2058" s="89">
        <v>44465</v>
      </c>
      <c r="Y2058" s="86" t="s">
        <v>6188</v>
      </c>
      <c r="Z2058" s="84" t="str">
        <f>HYPERLINK("https://twitter.com/iilyknight/status/1442075469151490050")</f>
        <v>https://twitter.com/iilyknight/status/1442075469151490050</v>
      </c>
      <c r="AA2058" s="81"/>
      <c r="AB2058" s="81"/>
      <c r="AC2058" s="86" t="s">
        <v>7097</v>
      </c>
      <c r="AD2058" s="81"/>
      <c r="AE2058" s="81" t="b">
        <v>0</v>
      </c>
      <c r="AF2058" s="81">
        <v>117</v>
      </c>
      <c r="AG2058" s="86" t="s">
        <v>2084</v>
      </c>
      <c r="AH2058" s="81" t="b">
        <v>0</v>
      </c>
      <c r="AI2058" s="81" t="s">
        <v>2169</v>
      </c>
      <c r="AJ2058" s="81"/>
      <c r="AK2058" s="86" t="s">
        <v>2084</v>
      </c>
      <c r="AL2058" s="81" t="b">
        <v>0</v>
      </c>
      <c r="AM2058" s="81">
        <v>35</v>
      </c>
      <c r="AN2058" s="86" t="s">
        <v>2084</v>
      </c>
      <c r="AO2058" s="86" t="s">
        <v>2179</v>
      </c>
      <c r="AP2058" s="81" t="b">
        <v>0</v>
      </c>
      <c r="AQ2058" s="86" t="s">
        <v>7097</v>
      </c>
      <c r="AR2058" s="81" t="s">
        <v>693</v>
      </c>
      <c r="AS2058" s="81">
        <v>0</v>
      </c>
      <c r="AT2058" s="81">
        <v>0</v>
      </c>
      <c r="AU2058" s="81"/>
      <c r="AV2058" s="81"/>
      <c r="AW2058" s="81"/>
      <c r="AX2058" s="81"/>
      <c r="AY2058" s="81"/>
      <c r="AZ2058" s="81"/>
      <c r="BA2058" s="81"/>
      <c r="BB2058" s="81"/>
    </row>
    <row r="2059" spans="1:54" x14ac:dyDescent="0.35">
      <c r="A2059" s="66" t="s">
        <v>4540</v>
      </c>
      <c r="B2059" s="66" t="s">
        <v>4539</v>
      </c>
      <c r="C2059" s="67"/>
      <c r="D2059" s="68"/>
      <c r="E2059" s="69"/>
      <c r="F2059" s="70"/>
      <c r="G2059" s="67"/>
      <c r="H2059" s="71"/>
      <c r="I2059" s="72"/>
      <c r="J2059" s="72"/>
      <c r="K2059" s="36"/>
      <c r="L2059" s="79"/>
      <c r="M2059" s="79"/>
      <c r="N2059" s="74"/>
      <c r="O2059" s="81" t="s">
        <v>693</v>
      </c>
      <c r="P2059" s="83">
        <v>44465.494803240741</v>
      </c>
      <c r="Q2059" s="81" t="s">
        <v>5503</v>
      </c>
      <c r="R2059" s="81"/>
      <c r="S2059" s="81"/>
      <c r="T2059" s="81"/>
      <c r="U2059" s="84" t="str">
        <f>HYPERLINK("https://pbs.twimg.com/media/FANH_rOUcBAzhSQ.jpg")</f>
        <v>https://pbs.twimg.com/media/FANH_rOUcBAzhSQ.jpg</v>
      </c>
      <c r="V2059" s="84" t="str">
        <f>HYPERLINK("https://pbs.twimg.com/media/FANH_rOUcBAzhSQ.jpg")</f>
        <v>https://pbs.twimg.com/media/FANH_rOUcBAzhSQ.jpg</v>
      </c>
      <c r="W2059" s="83">
        <v>44465.494803240741</v>
      </c>
      <c r="X2059" s="89">
        <v>44465</v>
      </c>
      <c r="Y2059" s="86" t="s">
        <v>6189</v>
      </c>
      <c r="Z2059" s="84" t="str">
        <f>HYPERLINK("https://twitter.com/pos__san/status/1442094733568839687")</f>
        <v>https://twitter.com/pos__san/status/1442094733568839687</v>
      </c>
      <c r="AA2059" s="81"/>
      <c r="AB2059" s="81"/>
      <c r="AC2059" s="86" t="s">
        <v>7098</v>
      </c>
      <c r="AD2059" s="81"/>
      <c r="AE2059" s="81" t="b">
        <v>0</v>
      </c>
      <c r="AF2059" s="81">
        <v>0</v>
      </c>
      <c r="AG2059" s="86" t="s">
        <v>2084</v>
      </c>
      <c r="AH2059" s="81" t="b">
        <v>0</v>
      </c>
      <c r="AI2059" s="81" t="s">
        <v>2169</v>
      </c>
      <c r="AJ2059" s="81"/>
      <c r="AK2059" s="86" t="s">
        <v>2084</v>
      </c>
      <c r="AL2059" s="81" t="b">
        <v>0</v>
      </c>
      <c r="AM2059" s="81">
        <v>35</v>
      </c>
      <c r="AN2059" s="86" t="s">
        <v>7097</v>
      </c>
      <c r="AO2059" s="86" t="s">
        <v>2179</v>
      </c>
      <c r="AP2059" s="81" t="b">
        <v>0</v>
      </c>
      <c r="AQ2059" s="86" t="s">
        <v>7097</v>
      </c>
      <c r="AR2059" s="81" t="s">
        <v>179</v>
      </c>
      <c r="AS2059" s="81">
        <v>0</v>
      </c>
      <c r="AT2059" s="81">
        <v>0</v>
      </c>
      <c r="AU2059" s="81"/>
      <c r="AV2059" s="81"/>
      <c r="AW2059" s="81"/>
      <c r="AX2059" s="81"/>
      <c r="AY2059" s="81"/>
      <c r="AZ2059" s="81"/>
      <c r="BA2059" s="81"/>
      <c r="BB2059" s="81"/>
    </row>
    <row r="2060" spans="1:54" x14ac:dyDescent="0.35">
      <c r="A2060" s="66" t="s">
        <v>12549</v>
      </c>
      <c r="B2060" s="66" t="s">
        <v>12549</v>
      </c>
      <c r="C2060" s="67"/>
      <c r="D2060" s="68"/>
      <c r="E2060" s="69"/>
      <c r="F2060" s="70"/>
      <c r="G2060" s="67"/>
      <c r="H2060" s="71"/>
      <c r="I2060" s="72"/>
      <c r="J2060" s="72"/>
      <c r="K2060" s="36"/>
      <c r="L2060" s="79"/>
      <c r="M2060" s="79"/>
      <c r="N2060" s="74"/>
      <c r="O2060" s="81" t="s">
        <v>179</v>
      </c>
      <c r="P2060" s="83">
        <v>44468.128518518519</v>
      </c>
      <c r="Q2060" s="81" t="s">
        <v>12786</v>
      </c>
      <c r="R2060" s="84" t="str">
        <f>HYPERLINK("https://umamusume.jp/news/detail.php?id=428")</f>
        <v>https://umamusume.jp/news/detail.php?id=428</v>
      </c>
      <c r="S2060" s="81" t="s">
        <v>12855</v>
      </c>
      <c r="T2060" s="86" t="s">
        <v>12867</v>
      </c>
      <c r="U2060" s="84" t="str">
        <f>HYPERLINK("https://pbs.twimg.com/media/FAa9j_pVcAAa_vg.jpg")</f>
        <v>https://pbs.twimg.com/media/FAa9j_pVcAAa_vg.jpg</v>
      </c>
      <c r="V2060" s="84" t="str">
        <f>HYPERLINK("https://pbs.twimg.com/media/FAa9j_pVcAAa_vg.jpg")</f>
        <v>https://pbs.twimg.com/media/FAa9j_pVcAAa_vg.jpg</v>
      </c>
      <c r="W2060" s="83">
        <v>44468.128518518519</v>
      </c>
      <c r="X2060" s="89">
        <v>44468</v>
      </c>
      <c r="Y2060" s="86" t="s">
        <v>12943</v>
      </c>
      <c r="Z2060" s="84" t="str">
        <f>HYPERLINK("https://twitter.com/uma_musu/status/1443049158831534082")</f>
        <v>https://twitter.com/uma_musu/status/1443049158831534082</v>
      </c>
      <c r="AA2060" s="81"/>
      <c r="AB2060" s="81"/>
      <c r="AC2060" s="86" t="s">
        <v>13180</v>
      </c>
      <c r="AD2060" s="81"/>
      <c r="AE2060" s="81" t="b">
        <v>0</v>
      </c>
      <c r="AF2060" s="81">
        <v>16844</v>
      </c>
      <c r="AG2060" s="86" t="s">
        <v>2084</v>
      </c>
      <c r="AH2060" s="81" t="b">
        <v>0</v>
      </c>
      <c r="AI2060" s="81" t="s">
        <v>2169</v>
      </c>
      <c r="AJ2060" s="81"/>
      <c r="AK2060" s="86" t="s">
        <v>2084</v>
      </c>
      <c r="AL2060" s="81" t="b">
        <v>0</v>
      </c>
      <c r="AM2060" s="81">
        <v>5405</v>
      </c>
      <c r="AN2060" s="86" t="s">
        <v>2084</v>
      </c>
      <c r="AO2060" s="86" t="s">
        <v>13444</v>
      </c>
      <c r="AP2060" s="81" t="b">
        <v>0</v>
      </c>
      <c r="AQ2060" s="86" t="s">
        <v>13180</v>
      </c>
      <c r="AR2060" s="81" t="s">
        <v>693</v>
      </c>
      <c r="AS2060" s="81">
        <v>0</v>
      </c>
      <c r="AT2060" s="81">
        <v>0</v>
      </c>
      <c r="AU2060" s="81"/>
      <c r="AV2060" s="81"/>
      <c r="AW2060" s="81"/>
      <c r="AX2060" s="81"/>
      <c r="AY2060" s="81"/>
      <c r="AZ2060" s="81"/>
      <c r="BA2060" s="81"/>
      <c r="BB2060" s="81"/>
    </row>
    <row r="2061" spans="1:54" x14ac:dyDescent="0.35">
      <c r="A2061" s="66" t="s">
        <v>4540</v>
      </c>
      <c r="B2061" s="66" t="s">
        <v>12549</v>
      </c>
      <c r="C2061" s="67"/>
      <c r="D2061" s="68"/>
      <c r="E2061" s="69"/>
      <c r="F2061" s="70"/>
      <c r="G2061" s="67"/>
      <c r="H2061" s="71"/>
      <c r="I2061" s="72"/>
      <c r="J2061" s="72"/>
      <c r="K2061" s="36"/>
      <c r="L2061" s="79"/>
      <c r="M2061" s="79"/>
      <c r="N2061" s="74"/>
      <c r="O2061" s="81" t="s">
        <v>693</v>
      </c>
      <c r="P2061" s="83">
        <v>44468.603865740741</v>
      </c>
      <c r="Q2061" s="81" t="s">
        <v>12786</v>
      </c>
      <c r="R2061" s="84" t="str">
        <f>HYPERLINK("https://umamusume.jp/news/detail.php?id=428")</f>
        <v>https://umamusume.jp/news/detail.php?id=428</v>
      </c>
      <c r="S2061" s="81" t="s">
        <v>12855</v>
      </c>
      <c r="T2061" s="86" t="s">
        <v>12867</v>
      </c>
      <c r="U2061" s="84" t="str">
        <f>HYPERLINK("https://pbs.twimg.com/media/FAa9j_pVcAAa_vg.jpg")</f>
        <v>https://pbs.twimg.com/media/FAa9j_pVcAAa_vg.jpg</v>
      </c>
      <c r="V2061" s="84" t="str">
        <f>HYPERLINK("https://pbs.twimg.com/media/FAa9j_pVcAAa_vg.jpg")</f>
        <v>https://pbs.twimg.com/media/FAa9j_pVcAAa_vg.jpg</v>
      </c>
      <c r="W2061" s="83">
        <v>44468.603865740741</v>
      </c>
      <c r="X2061" s="89">
        <v>44468</v>
      </c>
      <c r="Y2061" s="86" t="s">
        <v>12944</v>
      </c>
      <c r="Z2061" s="84" t="str">
        <f>HYPERLINK("https://twitter.com/pos__san/status/1443221419144343554")</f>
        <v>https://twitter.com/pos__san/status/1443221419144343554</v>
      </c>
      <c r="AA2061" s="81"/>
      <c r="AB2061" s="81"/>
      <c r="AC2061" s="86" t="s">
        <v>13181</v>
      </c>
      <c r="AD2061" s="81"/>
      <c r="AE2061" s="81" t="b">
        <v>0</v>
      </c>
      <c r="AF2061" s="81">
        <v>0</v>
      </c>
      <c r="AG2061" s="86" t="s">
        <v>2084</v>
      </c>
      <c r="AH2061" s="81" t="b">
        <v>0</v>
      </c>
      <c r="AI2061" s="81" t="s">
        <v>2169</v>
      </c>
      <c r="AJ2061" s="81"/>
      <c r="AK2061" s="86" t="s">
        <v>2084</v>
      </c>
      <c r="AL2061" s="81" t="b">
        <v>0</v>
      </c>
      <c r="AM2061" s="81">
        <v>5405</v>
      </c>
      <c r="AN2061" s="86" t="s">
        <v>13180</v>
      </c>
      <c r="AO2061" s="86" t="s">
        <v>2179</v>
      </c>
      <c r="AP2061" s="81" t="b">
        <v>0</v>
      </c>
      <c r="AQ2061" s="86" t="s">
        <v>13180</v>
      </c>
      <c r="AR2061" s="81" t="s">
        <v>179</v>
      </c>
      <c r="AS2061" s="81">
        <v>0</v>
      </c>
      <c r="AT2061" s="81">
        <v>0</v>
      </c>
      <c r="AU2061" s="81"/>
      <c r="AV2061" s="81"/>
      <c r="AW2061" s="81"/>
      <c r="AX2061" s="81"/>
      <c r="AY2061" s="81"/>
      <c r="AZ2061" s="81"/>
      <c r="BA2061" s="81"/>
      <c r="BB2061" s="81"/>
    </row>
    <row r="2062" spans="1:54" x14ac:dyDescent="0.35">
      <c r="A2062" s="66" t="s">
        <v>12550</v>
      </c>
      <c r="B2062" s="66" t="s">
        <v>589</v>
      </c>
      <c r="C2062" s="67"/>
      <c r="D2062" s="68"/>
      <c r="E2062" s="69"/>
      <c r="F2062" s="70"/>
      <c r="G2062" s="67"/>
      <c r="H2062" s="71"/>
      <c r="I2062" s="72"/>
      <c r="J2062" s="72"/>
      <c r="K2062" s="36"/>
      <c r="L2062" s="79"/>
      <c r="M2062" s="79"/>
      <c r="N2062" s="74"/>
      <c r="O2062" s="81" t="s">
        <v>693</v>
      </c>
      <c r="P2062" s="83">
        <v>44468.609722222223</v>
      </c>
      <c r="Q2062" s="81" t="s">
        <v>5664</v>
      </c>
      <c r="R2062" s="81"/>
      <c r="S2062" s="81"/>
      <c r="T2062" s="86" t="s">
        <v>1008</v>
      </c>
      <c r="U2062" s="84" t="str">
        <f>HYPERLINK("https://pbs.twimg.com/media/FAYOUjOUYAQ_JP2.jpg")</f>
        <v>https://pbs.twimg.com/media/FAYOUjOUYAQ_JP2.jpg</v>
      </c>
      <c r="V2062" s="84" t="str">
        <f>HYPERLINK("https://pbs.twimg.com/media/FAYOUjOUYAQ_JP2.jpg")</f>
        <v>https://pbs.twimg.com/media/FAYOUjOUYAQ_JP2.jpg</v>
      </c>
      <c r="W2062" s="83">
        <v>44468.609722222223</v>
      </c>
      <c r="X2062" s="89">
        <v>44468</v>
      </c>
      <c r="Y2062" s="86" t="s">
        <v>12945</v>
      </c>
      <c r="Z2062" s="84" t="str">
        <f>HYPERLINK("https://twitter.com/lxl_747/status/1443223541810302976")</f>
        <v>https://twitter.com/lxl_747/status/1443223541810302976</v>
      </c>
      <c r="AA2062" s="81"/>
      <c r="AB2062" s="81"/>
      <c r="AC2062" s="86" t="s">
        <v>13182</v>
      </c>
      <c r="AD2062" s="81"/>
      <c r="AE2062" s="81" t="b">
        <v>0</v>
      </c>
      <c r="AF2062" s="81">
        <v>0</v>
      </c>
      <c r="AG2062" s="86" t="s">
        <v>2084</v>
      </c>
      <c r="AH2062" s="81" t="b">
        <v>0</v>
      </c>
      <c r="AI2062" s="81" t="s">
        <v>2168</v>
      </c>
      <c r="AJ2062" s="81"/>
      <c r="AK2062" s="86" t="s">
        <v>2084</v>
      </c>
      <c r="AL2062" s="81" t="b">
        <v>0</v>
      </c>
      <c r="AM2062" s="81">
        <v>6</v>
      </c>
      <c r="AN2062" s="86" t="s">
        <v>7612</v>
      </c>
      <c r="AO2062" s="86" t="s">
        <v>2179</v>
      </c>
      <c r="AP2062" s="81" t="b">
        <v>0</v>
      </c>
      <c r="AQ2062" s="86" t="s">
        <v>7612</v>
      </c>
      <c r="AR2062" s="81" t="s">
        <v>179</v>
      </c>
      <c r="AS2062" s="81">
        <v>0</v>
      </c>
      <c r="AT2062" s="81">
        <v>0</v>
      </c>
      <c r="AU2062" s="81"/>
      <c r="AV2062" s="81"/>
      <c r="AW2062" s="81"/>
      <c r="AX2062" s="81"/>
      <c r="AY2062" s="81"/>
      <c r="AZ2062" s="81"/>
      <c r="BA2062" s="81"/>
      <c r="BB2062" s="81"/>
    </row>
    <row r="2063" spans="1:54" x14ac:dyDescent="0.35">
      <c r="A2063" s="66" t="s">
        <v>4874</v>
      </c>
      <c r="B2063" s="66" t="s">
        <v>4874</v>
      </c>
      <c r="C2063" s="67"/>
      <c r="D2063" s="68"/>
      <c r="E2063" s="69"/>
      <c r="F2063" s="70"/>
      <c r="G2063" s="67"/>
      <c r="H2063" s="71"/>
      <c r="I2063" s="72"/>
      <c r="J2063" s="72"/>
      <c r="K2063" s="36"/>
      <c r="L2063" s="79"/>
      <c r="M2063" s="79"/>
      <c r="N2063" s="74"/>
      <c r="O2063" s="81" t="s">
        <v>179</v>
      </c>
      <c r="P2063" s="83">
        <v>44460.344490740739</v>
      </c>
      <c r="Q2063" s="81" t="s">
        <v>5597</v>
      </c>
      <c r="R2063" s="81" t="s">
        <v>5681</v>
      </c>
      <c r="S2063" s="81" t="s">
        <v>5750</v>
      </c>
      <c r="T2063" s="81"/>
      <c r="U2063" s="84" t="str">
        <f>HYPERLINK("https://pbs.twimg.com/media/E_y4BkbVEAsv-_M.jpg")</f>
        <v>https://pbs.twimg.com/media/E_y4BkbVEAsv-_M.jpg</v>
      </c>
      <c r="V2063" s="84" t="str">
        <f>HYPERLINK("https://pbs.twimg.com/media/E_y4BkbVEAsv-_M.jpg")</f>
        <v>https://pbs.twimg.com/media/E_y4BkbVEAsv-_M.jpg</v>
      </c>
      <c r="W2063" s="83">
        <v>44460.344490740739</v>
      </c>
      <c r="X2063" s="89">
        <v>44460</v>
      </c>
      <c r="Y2063" s="86" t="s">
        <v>6530</v>
      </c>
      <c r="Z2063" s="84" t="str">
        <f>HYPERLINK("https://twitter.com/tsfradio/status/1440228319811694598")</f>
        <v>https://twitter.com/tsfradio/status/1440228319811694598</v>
      </c>
      <c r="AA2063" s="81"/>
      <c r="AB2063" s="81"/>
      <c r="AC2063" s="86" t="s">
        <v>7450</v>
      </c>
      <c r="AD2063" s="81"/>
      <c r="AE2063" s="81" t="b">
        <v>0</v>
      </c>
      <c r="AF2063" s="81">
        <v>1</v>
      </c>
      <c r="AG2063" s="86" t="s">
        <v>2084</v>
      </c>
      <c r="AH2063" s="81" t="b">
        <v>0</v>
      </c>
      <c r="AI2063" s="81" t="s">
        <v>2171</v>
      </c>
      <c r="AJ2063" s="81"/>
      <c r="AK2063" s="86" t="s">
        <v>2084</v>
      </c>
      <c r="AL2063" s="81" t="b">
        <v>0</v>
      </c>
      <c r="AM2063" s="81">
        <v>0</v>
      </c>
      <c r="AN2063" s="86" t="s">
        <v>2084</v>
      </c>
      <c r="AO2063" s="86" t="s">
        <v>2188</v>
      </c>
      <c r="AP2063" s="81" t="b">
        <v>0</v>
      </c>
      <c r="AQ2063" s="86" t="s">
        <v>7450</v>
      </c>
      <c r="AR2063" s="81" t="s">
        <v>179</v>
      </c>
      <c r="AS2063" s="81">
        <v>0</v>
      </c>
      <c r="AT2063" s="81">
        <v>0</v>
      </c>
      <c r="AU2063" s="81"/>
      <c r="AV2063" s="81"/>
      <c r="AW2063" s="81"/>
      <c r="AX2063" s="81"/>
      <c r="AY2063" s="81"/>
      <c r="AZ2063" s="81"/>
      <c r="BA2063" s="81"/>
      <c r="BB2063" s="81"/>
    </row>
    <row r="2064" spans="1:54" x14ac:dyDescent="0.35">
      <c r="A2064" s="66" t="s">
        <v>4874</v>
      </c>
      <c r="B2064" s="66" t="s">
        <v>4874</v>
      </c>
      <c r="C2064" s="67"/>
      <c r="D2064" s="68"/>
      <c r="E2064" s="69"/>
      <c r="F2064" s="70"/>
      <c r="G2064" s="67"/>
      <c r="H2064" s="71"/>
      <c r="I2064" s="72"/>
      <c r="J2064" s="72"/>
      <c r="K2064" s="36"/>
      <c r="L2064" s="79"/>
      <c r="M2064" s="79"/>
      <c r="N2064" s="74"/>
      <c r="O2064" s="81" t="s">
        <v>179</v>
      </c>
      <c r="P2064" s="83">
        <v>44467.298645833333</v>
      </c>
      <c r="Q2064" s="81" t="s">
        <v>5598</v>
      </c>
      <c r="R2064" s="81" t="s">
        <v>5682</v>
      </c>
      <c r="S2064" s="81" t="s">
        <v>5750</v>
      </c>
      <c r="T2064" s="81"/>
      <c r="U2064" s="84" t="str">
        <f>HYPERLINK("https://pbs.twimg.com/media/FAWsCzGVcAUHdHT.jpg")</f>
        <v>https://pbs.twimg.com/media/FAWsCzGVcAUHdHT.jpg</v>
      </c>
      <c r="V2064" s="84" t="str">
        <f>HYPERLINK("https://pbs.twimg.com/media/FAWsCzGVcAUHdHT.jpg")</f>
        <v>https://pbs.twimg.com/media/FAWsCzGVcAUHdHT.jpg</v>
      </c>
      <c r="W2064" s="83">
        <v>44467.298645833333</v>
      </c>
      <c r="X2064" s="89">
        <v>44467</v>
      </c>
      <c r="Y2064" s="86" t="s">
        <v>6531</v>
      </c>
      <c r="Z2064" s="84" t="str">
        <f>HYPERLINK("https://twitter.com/tsfradio/status/1442748421148794880")</f>
        <v>https://twitter.com/tsfradio/status/1442748421148794880</v>
      </c>
      <c r="AA2064" s="81"/>
      <c r="AB2064" s="81"/>
      <c r="AC2064" s="86" t="s">
        <v>7451</v>
      </c>
      <c r="AD2064" s="81"/>
      <c r="AE2064" s="81" t="b">
        <v>0</v>
      </c>
      <c r="AF2064" s="81">
        <v>0</v>
      </c>
      <c r="AG2064" s="86" t="s">
        <v>2084</v>
      </c>
      <c r="AH2064" s="81" t="b">
        <v>0</v>
      </c>
      <c r="AI2064" s="81" t="s">
        <v>2171</v>
      </c>
      <c r="AJ2064" s="81"/>
      <c r="AK2064" s="86" t="s">
        <v>2084</v>
      </c>
      <c r="AL2064" s="81" t="b">
        <v>0</v>
      </c>
      <c r="AM2064" s="81">
        <v>0</v>
      </c>
      <c r="AN2064" s="86" t="s">
        <v>2084</v>
      </c>
      <c r="AO2064" s="86" t="s">
        <v>2188</v>
      </c>
      <c r="AP2064" s="81" t="b">
        <v>0</v>
      </c>
      <c r="AQ2064" s="86" t="s">
        <v>7451</v>
      </c>
      <c r="AR2064" s="81" t="s">
        <v>179</v>
      </c>
      <c r="AS2064" s="81">
        <v>0</v>
      </c>
      <c r="AT2064" s="81">
        <v>0</v>
      </c>
      <c r="AU2064" s="81"/>
      <c r="AV2064" s="81"/>
      <c r="AW2064" s="81"/>
      <c r="AX2064" s="81"/>
      <c r="AY2064" s="81"/>
      <c r="AZ2064" s="81"/>
      <c r="BA2064" s="81"/>
      <c r="BB2064" s="81"/>
    </row>
    <row r="2065" spans="1:54" x14ac:dyDescent="0.35">
      <c r="A2065" s="66" t="s">
        <v>4874</v>
      </c>
      <c r="B2065" s="66" t="s">
        <v>4874</v>
      </c>
      <c r="C2065" s="67"/>
      <c r="D2065" s="68"/>
      <c r="E2065" s="69"/>
      <c r="F2065" s="70"/>
      <c r="G2065" s="67"/>
      <c r="H2065" s="71"/>
      <c r="I2065" s="72"/>
      <c r="J2065" s="72"/>
      <c r="K2065" s="36"/>
      <c r="L2065" s="79"/>
      <c r="M2065" s="79"/>
      <c r="N2065" s="74"/>
      <c r="O2065" s="81" t="s">
        <v>179</v>
      </c>
      <c r="P2065" s="83">
        <v>44468.610451388886</v>
      </c>
      <c r="Q2065" s="81" t="s">
        <v>12787</v>
      </c>
      <c r="R2065" s="81" t="s">
        <v>12844</v>
      </c>
      <c r="S2065" s="81" t="s">
        <v>5750</v>
      </c>
      <c r="T2065" s="81"/>
      <c r="U2065" s="84" t="str">
        <f>HYPERLINK("https://pbs.twimg.com/media/FAdcZzgVcAQjCUF.jpg")</f>
        <v>https://pbs.twimg.com/media/FAdcZzgVcAQjCUF.jpg</v>
      </c>
      <c r="V2065" s="84" t="str">
        <f>HYPERLINK("https://pbs.twimg.com/media/FAdcZzgVcAQjCUF.jpg")</f>
        <v>https://pbs.twimg.com/media/FAdcZzgVcAQjCUF.jpg</v>
      </c>
      <c r="W2065" s="83">
        <v>44468.610451388886</v>
      </c>
      <c r="X2065" s="89">
        <v>44468</v>
      </c>
      <c r="Y2065" s="86" t="s">
        <v>12946</v>
      </c>
      <c r="Z2065" s="84" t="str">
        <f>HYPERLINK("https://twitter.com/tsfradio/status/1443223806152097794")</f>
        <v>https://twitter.com/tsfradio/status/1443223806152097794</v>
      </c>
      <c r="AA2065" s="81"/>
      <c r="AB2065" s="81"/>
      <c r="AC2065" s="86" t="s">
        <v>13183</v>
      </c>
      <c r="AD2065" s="81"/>
      <c r="AE2065" s="81" t="b">
        <v>0</v>
      </c>
      <c r="AF2065" s="81">
        <v>0</v>
      </c>
      <c r="AG2065" s="86" t="s">
        <v>2084</v>
      </c>
      <c r="AH2065" s="81" t="b">
        <v>0</v>
      </c>
      <c r="AI2065" s="81" t="s">
        <v>2171</v>
      </c>
      <c r="AJ2065" s="81"/>
      <c r="AK2065" s="86" t="s">
        <v>2084</v>
      </c>
      <c r="AL2065" s="81" t="b">
        <v>0</v>
      </c>
      <c r="AM2065" s="81">
        <v>0</v>
      </c>
      <c r="AN2065" s="86" t="s">
        <v>2084</v>
      </c>
      <c r="AO2065" s="86" t="s">
        <v>2188</v>
      </c>
      <c r="AP2065" s="81" t="b">
        <v>0</v>
      </c>
      <c r="AQ2065" s="86" t="s">
        <v>13183</v>
      </c>
      <c r="AR2065" s="81" t="s">
        <v>179</v>
      </c>
      <c r="AS2065" s="81">
        <v>0</v>
      </c>
      <c r="AT2065" s="81">
        <v>0</v>
      </c>
      <c r="AU2065" s="81"/>
      <c r="AV2065" s="81"/>
      <c r="AW2065" s="81"/>
      <c r="AX2065" s="81"/>
      <c r="AY2065" s="81"/>
      <c r="AZ2065" s="81"/>
      <c r="BA2065" s="81"/>
      <c r="BB2065" s="81"/>
    </row>
    <row r="2066" spans="1:54" x14ac:dyDescent="0.35">
      <c r="A2066" s="66" t="s">
        <v>12551</v>
      </c>
      <c r="B2066" s="66" t="s">
        <v>12567</v>
      </c>
      <c r="C2066" s="67"/>
      <c r="D2066" s="68"/>
      <c r="E2066" s="69"/>
      <c r="F2066" s="70"/>
      <c r="G2066" s="67"/>
      <c r="H2066" s="71"/>
      <c r="I2066" s="72"/>
      <c r="J2066" s="72"/>
      <c r="K2066" s="36"/>
      <c r="L2066" s="79"/>
      <c r="M2066" s="79"/>
      <c r="N2066" s="74"/>
      <c r="O2066" s="81" t="s">
        <v>694</v>
      </c>
      <c r="P2066" s="83">
        <v>44468.641840277778</v>
      </c>
      <c r="Q2066" s="81" t="s">
        <v>12788</v>
      </c>
      <c r="R2066" s="84" t="str">
        <f>HYPERLINK("https://noticias.uc.pt/artigos/uc-promove-conferencia-internacional-acesso-a-justica-e-digitalizacao-desafios-pos-pandemia/")</f>
        <v>https://noticias.uc.pt/artigos/uc-promove-conferencia-internacional-acesso-a-justica-e-digitalizacao-desafios-pos-pandemia/</v>
      </c>
      <c r="S2066" s="81" t="s">
        <v>12856</v>
      </c>
      <c r="T2066" s="86" t="s">
        <v>12868</v>
      </c>
      <c r="U2066" s="81"/>
      <c r="V2066" s="84" t="str">
        <f>HYPERLINK("https://pbs.twimg.com/profile_images/1190674118347280385/8kkf4mPv_normal.jpg")</f>
        <v>https://pbs.twimg.com/profile_images/1190674118347280385/8kkf4mPv_normal.jpg</v>
      </c>
      <c r="W2066" s="83">
        <v>44468.641840277778</v>
      </c>
      <c r="X2066" s="89">
        <v>44468</v>
      </c>
      <c r="Y2066" s="86" t="s">
        <v>12947</v>
      </c>
      <c r="Z2066" s="84" t="str">
        <f>HYPERLINK("https://twitter.com/trilubiusgrow/status/1443235179431186434")</f>
        <v>https://twitter.com/trilubiusgrow/status/1443235179431186434</v>
      </c>
      <c r="AA2066" s="81"/>
      <c r="AB2066" s="81"/>
      <c r="AC2066" s="86" t="s">
        <v>13184</v>
      </c>
      <c r="AD2066" s="81"/>
      <c r="AE2066" s="81" t="b">
        <v>0</v>
      </c>
      <c r="AF2066" s="81">
        <v>0</v>
      </c>
      <c r="AG2066" s="86" t="s">
        <v>2084</v>
      </c>
      <c r="AH2066" s="81" t="b">
        <v>0</v>
      </c>
      <c r="AI2066" s="81" t="s">
        <v>2171</v>
      </c>
      <c r="AJ2066" s="81"/>
      <c r="AK2066" s="86" t="s">
        <v>2084</v>
      </c>
      <c r="AL2066" s="81" t="b">
        <v>0</v>
      </c>
      <c r="AM2066" s="81">
        <v>2</v>
      </c>
      <c r="AN2066" s="86" t="s">
        <v>13201</v>
      </c>
      <c r="AO2066" s="86" t="s">
        <v>2181</v>
      </c>
      <c r="AP2066" s="81" t="b">
        <v>0</v>
      </c>
      <c r="AQ2066" s="86" t="s">
        <v>13201</v>
      </c>
      <c r="AR2066" s="81" t="s">
        <v>179</v>
      </c>
      <c r="AS2066" s="81">
        <v>0</v>
      </c>
      <c r="AT2066" s="81">
        <v>0</v>
      </c>
      <c r="AU2066" s="81"/>
      <c r="AV2066" s="81"/>
      <c r="AW2066" s="81"/>
      <c r="AX2066" s="81"/>
      <c r="AY2066" s="81"/>
      <c r="AZ2066" s="81"/>
      <c r="BA2066" s="81"/>
      <c r="BB2066" s="81"/>
    </row>
    <row r="2067" spans="1:54" x14ac:dyDescent="0.35">
      <c r="A2067" s="66" t="s">
        <v>12551</v>
      </c>
      <c r="B2067" s="66" t="s">
        <v>12567</v>
      </c>
      <c r="C2067" s="67"/>
      <c r="D2067" s="68"/>
      <c r="E2067" s="69"/>
      <c r="F2067" s="70"/>
      <c r="G2067" s="67"/>
      <c r="H2067" s="71"/>
      <c r="I2067" s="72"/>
      <c r="J2067" s="72"/>
      <c r="K2067" s="36"/>
      <c r="L2067" s="79"/>
      <c r="M2067" s="79"/>
      <c r="N2067" s="74"/>
      <c r="O2067" s="81" t="s">
        <v>693</v>
      </c>
      <c r="P2067" s="83">
        <v>44468.641840277778</v>
      </c>
      <c r="Q2067" s="81" t="s">
        <v>12788</v>
      </c>
      <c r="R2067" s="84" t="str">
        <f>HYPERLINK("https://noticias.uc.pt/artigos/uc-promove-conferencia-internacional-acesso-a-justica-e-digitalizacao-desafios-pos-pandemia/")</f>
        <v>https://noticias.uc.pt/artigos/uc-promove-conferencia-internacional-acesso-a-justica-e-digitalizacao-desafios-pos-pandemia/</v>
      </c>
      <c r="S2067" s="81" t="s">
        <v>12856</v>
      </c>
      <c r="T2067" s="86" t="s">
        <v>12868</v>
      </c>
      <c r="U2067" s="81"/>
      <c r="V2067" s="84" t="str">
        <f>HYPERLINK("https://pbs.twimg.com/profile_images/1190674118347280385/8kkf4mPv_normal.jpg")</f>
        <v>https://pbs.twimg.com/profile_images/1190674118347280385/8kkf4mPv_normal.jpg</v>
      </c>
      <c r="W2067" s="83">
        <v>44468.641840277778</v>
      </c>
      <c r="X2067" s="89">
        <v>44468</v>
      </c>
      <c r="Y2067" s="86" t="s">
        <v>12947</v>
      </c>
      <c r="Z2067" s="84" t="str">
        <f>HYPERLINK("https://twitter.com/trilubiusgrow/status/1443235179431186434")</f>
        <v>https://twitter.com/trilubiusgrow/status/1443235179431186434</v>
      </c>
      <c r="AA2067" s="81"/>
      <c r="AB2067" s="81"/>
      <c r="AC2067" s="86" t="s">
        <v>13184</v>
      </c>
      <c r="AD2067" s="81"/>
      <c r="AE2067" s="81" t="b">
        <v>0</v>
      </c>
      <c r="AF2067" s="81">
        <v>0</v>
      </c>
      <c r="AG2067" s="86" t="s">
        <v>2084</v>
      </c>
      <c r="AH2067" s="81" t="b">
        <v>0</v>
      </c>
      <c r="AI2067" s="81" t="s">
        <v>2171</v>
      </c>
      <c r="AJ2067" s="81"/>
      <c r="AK2067" s="86" t="s">
        <v>2084</v>
      </c>
      <c r="AL2067" s="81" t="b">
        <v>0</v>
      </c>
      <c r="AM2067" s="81">
        <v>2</v>
      </c>
      <c r="AN2067" s="86" t="s">
        <v>13201</v>
      </c>
      <c r="AO2067" s="86" t="s">
        <v>2181</v>
      </c>
      <c r="AP2067" s="81" t="b">
        <v>0</v>
      </c>
      <c r="AQ2067" s="86" t="s">
        <v>13201</v>
      </c>
      <c r="AR2067" s="81" t="s">
        <v>179</v>
      </c>
      <c r="AS2067" s="81">
        <v>0</v>
      </c>
      <c r="AT2067" s="81">
        <v>0</v>
      </c>
      <c r="AU2067" s="81"/>
      <c r="AV2067" s="81"/>
      <c r="AW2067" s="81"/>
      <c r="AX2067" s="81"/>
      <c r="AY2067" s="81"/>
      <c r="AZ2067" s="81"/>
      <c r="BA2067" s="81"/>
      <c r="BB2067" s="81"/>
    </row>
    <row r="2068" spans="1:54" x14ac:dyDescent="0.35">
      <c r="A2068" s="66" t="s">
        <v>12552</v>
      </c>
      <c r="B2068" s="66" t="s">
        <v>12552</v>
      </c>
      <c r="C2068" s="67"/>
      <c r="D2068" s="68"/>
      <c r="E2068" s="69"/>
      <c r="F2068" s="70"/>
      <c r="G2068" s="67"/>
      <c r="H2068" s="71"/>
      <c r="I2068" s="72"/>
      <c r="J2068" s="72"/>
      <c r="K2068" s="36"/>
      <c r="L2068" s="79"/>
      <c r="M2068" s="79"/>
      <c r="N2068" s="74"/>
      <c r="O2068" s="81" t="s">
        <v>179</v>
      </c>
      <c r="P2068" s="83">
        <v>44468.642534722225</v>
      </c>
      <c r="Q2068" s="81" t="s">
        <v>12789</v>
      </c>
      <c r="R2068" s="84" t="str">
        <f>HYPERLINK("https://posvenda.pt/pos-venda-lanca-guia-do-aftermarket-2021-2022/")</f>
        <v>https://posvenda.pt/pos-venda-lanca-guia-do-aftermarket-2021-2022/</v>
      </c>
      <c r="S2068" s="81" t="s">
        <v>12857</v>
      </c>
      <c r="T2068" s="86" t="s">
        <v>12869</v>
      </c>
      <c r="U2068" s="81"/>
      <c r="V2068" s="84" t="str">
        <f>HYPERLINK("https://pbs.twimg.com/profile_images/643174267207725056/D3jFbdZW_normal.jpg")</f>
        <v>https://pbs.twimg.com/profile_images/643174267207725056/D3jFbdZW_normal.jpg</v>
      </c>
      <c r="W2068" s="83">
        <v>44468.642534722225</v>
      </c>
      <c r="X2068" s="89">
        <v>44468</v>
      </c>
      <c r="Y2068" s="86" t="s">
        <v>12948</v>
      </c>
      <c r="Z2068" s="84" t="str">
        <f>HYPERLINK("https://twitter.com/revistaposvenda/status/1443235430896386053")</f>
        <v>https://twitter.com/revistaposvenda/status/1443235430896386053</v>
      </c>
      <c r="AA2068" s="81"/>
      <c r="AB2068" s="81"/>
      <c r="AC2068" s="86" t="s">
        <v>13185</v>
      </c>
      <c r="AD2068" s="81"/>
      <c r="AE2068" s="81" t="b">
        <v>0</v>
      </c>
      <c r="AF2068" s="81">
        <v>0</v>
      </c>
      <c r="AG2068" s="86" t="s">
        <v>2084</v>
      </c>
      <c r="AH2068" s="81" t="b">
        <v>0</v>
      </c>
      <c r="AI2068" s="81" t="s">
        <v>2171</v>
      </c>
      <c r="AJ2068" s="81"/>
      <c r="AK2068" s="86" t="s">
        <v>2084</v>
      </c>
      <c r="AL2068" s="81" t="b">
        <v>0</v>
      </c>
      <c r="AM2068" s="81">
        <v>0</v>
      </c>
      <c r="AN2068" s="86" t="s">
        <v>2084</v>
      </c>
      <c r="AO2068" s="86" t="s">
        <v>2181</v>
      </c>
      <c r="AP2068" s="81" t="b">
        <v>0</v>
      </c>
      <c r="AQ2068" s="86" t="s">
        <v>13185</v>
      </c>
      <c r="AR2068" s="81" t="s">
        <v>179</v>
      </c>
      <c r="AS2068" s="81">
        <v>0</v>
      </c>
      <c r="AT2068" s="81">
        <v>0</v>
      </c>
      <c r="AU2068" s="81"/>
      <c r="AV2068" s="81"/>
      <c r="AW2068" s="81"/>
      <c r="AX2068" s="81"/>
      <c r="AY2068" s="81"/>
      <c r="AZ2068" s="81"/>
      <c r="BA2068" s="81"/>
      <c r="BB2068" s="81"/>
    </row>
    <row r="2069" spans="1:54" x14ac:dyDescent="0.35">
      <c r="A2069" s="66" t="s">
        <v>12553</v>
      </c>
      <c r="B2069" s="66" t="s">
        <v>12697</v>
      </c>
      <c r="C2069" s="67"/>
      <c r="D2069" s="68"/>
      <c r="E2069" s="69"/>
      <c r="F2069" s="70"/>
      <c r="G2069" s="67"/>
      <c r="H2069" s="71"/>
      <c r="I2069" s="72"/>
      <c r="J2069" s="72"/>
      <c r="K2069" s="36"/>
      <c r="L2069" s="79"/>
      <c r="M2069" s="79"/>
      <c r="N2069" s="74"/>
      <c r="O2069" s="81" t="s">
        <v>696</v>
      </c>
      <c r="P2069" s="83">
        <v>44468.211157407408</v>
      </c>
      <c r="Q2069" s="81" t="s">
        <v>12790</v>
      </c>
      <c r="R2069" s="81"/>
      <c r="S2069" s="81"/>
      <c r="T2069" s="86" t="s">
        <v>12870</v>
      </c>
      <c r="U2069" s="84" t="str">
        <f>HYPERLINK("https://pbs.twimg.com/ext_tw_video_thumb/1443078988407066632/pu/img/UH-3GRSrlepoiBNm.jpg")</f>
        <v>https://pbs.twimg.com/ext_tw_video_thumb/1443078988407066632/pu/img/UH-3GRSrlepoiBNm.jpg</v>
      </c>
      <c r="V2069" s="84" t="str">
        <f>HYPERLINK("https://pbs.twimg.com/ext_tw_video_thumb/1443078988407066632/pu/img/UH-3GRSrlepoiBNm.jpg")</f>
        <v>https://pbs.twimg.com/ext_tw_video_thumb/1443078988407066632/pu/img/UH-3GRSrlepoiBNm.jpg</v>
      </c>
      <c r="W2069" s="83">
        <v>44468.211157407408</v>
      </c>
      <c r="X2069" s="89">
        <v>44468</v>
      </c>
      <c r="Y2069" s="86" t="s">
        <v>12949</v>
      </c>
      <c r="Z2069" s="84" t="str">
        <f>HYPERLINK("https://twitter.com/kreatifsultanid/status/1443079106464083971")</f>
        <v>https://twitter.com/kreatifsultanid/status/1443079106464083971</v>
      </c>
      <c r="AA2069" s="81"/>
      <c r="AB2069" s="81"/>
      <c r="AC2069" s="86" t="s">
        <v>13186</v>
      </c>
      <c r="AD2069" s="81"/>
      <c r="AE2069" s="81" t="b">
        <v>0</v>
      </c>
      <c r="AF2069" s="81">
        <v>3</v>
      </c>
      <c r="AG2069" s="86" t="s">
        <v>2084</v>
      </c>
      <c r="AH2069" s="81" t="b">
        <v>0</v>
      </c>
      <c r="AI2069" s="81" t="s">
        <v>2167</v>
      </c>
      <c r="AJ2069" s="81"/>
      <c r="AK2069" s="86" t="s">
        <v>2084</v>
      </c>
      <c r="AL2069" s="81" t="b">
        <v>0</v>
      </c>
      <c r="AM2069" s="81">
        <v>1</v>
      </c>
      <c r="AN2069" s="86" t="s">
        <v>2084</v>
      </c>
      <c r="AO2069" s="86" t="s">
        <v>2178</v>
      </c>
      <c r="AP2069" s="81" t="b">
        <v>0</v>
      </c>
      <c r="AQ2069" s="86" t="s">
        <v>13186</v>
      </c>
      <c r="AR2069" s="81" t="s">
        <v>179</v>
      </c>
      <c r="AS2069" s="81">
        <v>0</v>
      </c>
      <c r="AT2069" s="81">
        <v>0</v>
      </c>
      <c r="AU2069" s="81" t="s">
        <v>13447</v>
      </c>
      <c r="AV2069" s="81" t="s">
        <v>2202</v>
      </c>
      <c r="AW2069" s="81" t="s">
        <v>12</v>
      </c>
      <c r="AX2069" s="81" t="s">
        <v>13451</v>
      </c>
      <c r="AY2069" s="81" t="s">
        <v>13454</v>
      </c>
      <c r="AZ2069" s="81" t="s">
        <v>13457</v>
      </c>
      <c r="BA2069" s="81" t="s">
        <v>2212</v>
      </c>
      <c r="BB2069" s="84" t="str">
        <f>HYPERLINK("https://api.twitter.com/1.1/geo/id/ac27dd716bc6aad5.json")</f>
        <v>https://api.twitter.com/1.1/geo/id/ac27dd716bc6aad5.json</v>
      </c>
    </row>
    <row r="2070" spans="1:54" x14ac:dyDescent="0.35">
      <c r="A2070" s="66" t="s">
        <v>12554</v>
      </c>
      <c r="B2070" s="66" t="s">
        <v>12697</v>
      </c>
      <c r="C2070" s="67"/>
      <c r="D2070" s="68"/>
      <c r="E2070" s="69"/>
      <c r="F2070" s="70"/>
      <c r="G2070" s="67"/>
      <c r="H2070" s="71"/>
      <c r="I2070" s="72"/>
      <c r="J2070" s="72"/>
      <c r="K2070" s="36"/>
      <c r="L2070" s="79"/>
      <c r="M2070" s="79"/>
      <c r="N2070" s="74"/>
      <c r="O2070" s="81" t="s">
        <v>694</v>
      </c>
      <c r="P2070" s="83">
        <v>44468.64607638889</v>
      </c>
      <c r="Q2070" s="81" t="s">
        <v>12790</v>
      </c>
      <c r="R2070" s="81"/>
      <c r="S2070" s="81"/>
      <c r="T2070" s="86" t="s">
        <v>12870</v>
      </c>
      <c r="U2070" s="84" t="str">
        <f>HYPERLINK("https://pbs.twimg.com/ext_tw_video_thumb/1443078988407066632/pu/img/UH-3GRSrlepoiBNm.jpg")</f>
        <v>https://pbs.twimg.com/ext_tw_video_thumb/1443078988407066632/pu/img/UH-3GRSrlepoiBNm.jpg</v>
      </c>
      <c r="V2070" s="84" t="str">
        <f>HYPERLINK("https://pbs.twimg.com/ext_tw_video_thumb/1443078988407066632/pu/img/UH-3GRSrlepoiBNm.jpg")</f>
        <v>https://pbs.twimg.com/ext_tw_video_thumb/1443078988407066632/pu/img/UH-3GRSrlepoiBNm.jpg</v>
      </c>
      <c r="W2070" s="83">
        <v>44468.64607638889</v>
      </c>
      <c r="X2070" s="89">
        <v>44468</v>
      </c>
      <c r="Y2070" s="86" t="s">
        <v>12950</v>
      </c>
      <c r="Z2070" s="84" t="str">
        <f>HYPERLINK("https://twitter.com/aep62247434/status/1443236712784695297")</f>
        <v>https://twitter.com/aep62247434/status/1443236712784695297</v>
      </c>
      <c r="AA2070" s="81"/>
      <c r="AB2070" s="81"/>
      <c r="AC2070" s="86" t="s">
        <v>13187</v>
      </c>
      <c r="AD2070" s="81"/>
      <c r="AE2070" s="81" t="b">
        <v>0</v>
      </c>
      <c r="AF2070" s="81">
        <v>0</v>
      </c>
      <c r="AG2070" s="86" t="s">
        <v>2084</v>
      </c>
      <c r="AH2070" s="81" t="b">
        <v>0</v>
      </c>
      <c r="AI2070" s="81" t="s">
        <v>2167</v>
      </c>
      <c r="AJ2070" s="81"/>
      <c r="AK2070" s="86" t="s">
        <v>2084</v>
      </c>
      <c r="AL2070" s="81" t="b">
        <v>0</v>
      </c>
      <c r="AM2070" s="81">
        <v>1</v>
      </c>
      <c r="AN2070" s="86" t="s">
        <v>13186</v>
      </c>
      <c r="AO2070" s="86" t="s">
        <v>2178</v>
      </c>
      <c r="AP2070" s="81" t="b">
        <v>0</v>
      </c>
      <c r="AQ2070" s="86" t="s">
        <v>13186</v>
      </c>
      <c r="AR2070" s="81" t="s">
        <v>179</v>
      </c>
      <c r="AS2070" s="81">
        <v>0</v>
      </c>
      <c r="AT2070" s="81">
        <v>0</v>
      </c>
      <c r="AU2070" s="81"/>
      <c r="AV2070" s="81"/>
      <c r="AW2070" s="81"/>
      <c r="AX2070" s="81"/>
      <c r="AY2070" s="81"/>
      <c r="AZ2070" s="81"/>
      <c r="BA2070" s="81"/>
      <c r="BB2070" s="81"/>
    </row>
    <row r="2071" spans="1:54" x14ac:dyDescent="0.35">
      <c r="A2071" s="66" t="s">
        <v>12553</v>
      </c>
      <c r="B2071" s="66" t="s">
        <v>12698</v>
      </c>
      <c r="C2071" s="67"/>
      <c r="D2071" s="68"/>
      <c r="E2071" s="69"/>
      <c r="F2071" s="70"/>
      <c r="G2071" s="67"/>
      <c r="H2071" s="71"/>
      <c r="I2071" s="72"/>
      <c r="J2071" s="72"/>
      <c r="K2071" s="36"/>
      <c r="L2071" s="79"/>
      <c r="M2071" s="79"/>
      <c r="N2071" s="74"/>
      <c r="O2071" s="81" t="s">
        <v>696</v>
      </c>
      <c r="P2071" s="83">
        <v>44468.211157407408</v>
      </c>
      <c r="Q2071" s="81" t="s">
        <v>12790</v>
      </c>
      <c r="R2071" s="81"/>
      <c r="S2071" s="81"/>
      <c r="T2071" s="86" t="s">
        <v>12870</v>
      </c>
      <c r="U2071" s="84" t="str">
        <f>HYPERLINK("https://pbs.twimg.com/ext_tw_video_thumb/1443078988407066632/pu/img/UH-3GRSrlepoiBNm.jpg")</f>
        <v>https://pbs.twimg.com/ext_tw_video_thumb/1443078988407066632/pu/img/UH-3GRSrlepoiBNm.jpg</v>
      </c>
      <c r="V2071" s="84" t="str">
        <f>HYPERLINK("https://pbs.twimg.com/ext_tw_video_thumb/1443078988407066632/pu/img/UH-3GRSrlepoiBNm.jpg")</f>
        <v>https://pbs.twimg.com/ext_tw_video_thumb/1443078988407066632/pu/img/UH-3GRSrlepoiBNm.jpg</v>
      </c>
      <c r="W2071" s="83">
        <v>44468.211157407408</v>
      </c>
      <c r="X2071" s="89">
        <v>44468</v>
      </c>
      <c r="Y2071" s="86" t="s">
        <v>12949</v>
      </c>
      <c r="Z2071" s="84" t="str">
        <f>HYPERLINK("https://twitter.com/kreatifsultanid/status/1443079106464083971")</f>
        <v>https://twitter.com/kreatifsultanid/status/1443079106464083971</v>
      </c>
      <c r="AA2071" s="81"/>
      <c r="AB2071" s="81"/>
      <c r="AC2071" s="86" t="s">
        <v>13186</v>
      </c>
      <c r="AD2071" s="81"/>
      <c r="AE2071" s="81" t="b">
        <v>0</v>
      </c>
      <c r="AF2071" s="81">
        <v>3</v>
      </c>
      <c r="AG2071" s="86" t="s">
        <v>2084</v>
      </c>
      <c r="AH2071" s="81" t="b">
        <v>0</v>
      </c>
      <c r="AI2071" s="81" t="s">
        <v>2167</v>
      </c>
      <c r="AJ2071" s="81"/>
      <c r="AK2071" s="86" t="s">
        <v>2084</v>
      </c>
      <c r="AL2071" s="81" t="b">
        <v>0</v>
      </c>
      <c r="AM2071" s="81">
        <v>1</v>
      </c>
      <c r="AN2071" s="86" t="s">
        <v>2084</v>
      </c>
      <c r="AO2071" s="86" t="s">
        <v>2178</v>
      </c>
      <c r="AP2071" s="81" t="b">
        <v>0</v>
      </c>
      <c r="AQ2071" s="86" t="s">
        <v>13186</v>
      </c>
      <c r="AR2071" s="81" t="s">
        <v>179</v>
      </c>
      <c r="AS2071" s="81">
        <v>0</v>
      </c>
      <c r="AT2071" s="81">
        <v>0</v>
      </c>
      <c r="AU2071" s="81" t="s">
        <v>13447</v>
      </c>
      <c r="AV2071" s="81" t="s">
        <v>2202</v>
      </c>
      <c r="AW2071" s="81" t="s">
        <v>12</v>
      </c>
      <c r="AX2071" s="81" t="s">
        <v>13451</v>
      </c>
      <c r="AY2071" s="81" t="s">
        <v>13454</v>
      </c>
      <c r="AZ2071" s="81" t="s">
        <v>13457</v>
      </c>
      <c r="BA2071" s="81" t="s">
        <v>2212</v>
      </c>
      <c r="BB2071" s="84" t="str">
        <f>HYPERLINK("https://api.twitter.com/1.1/geo/id/ac27dd716bc6aad5.json")</f>
        <v>https://api.twitter.com/1.1/geo/id/ac27dd716bc6aad5.json</v>
      </c>
    </row>
    <row r="2072" spans="1:54" x14ac:dyDescent="0.35">
      <c r="A2072" s="66" t="s">
        <v>12554</v>
      </c>
      <c r="B2072" s="66" t="s">
        <v>12698</v>
      </c>
      <c r="C2072" s="67"/>
      <c r="D2072" s="68"/>
      <c r="E2072" s="69"/>
      <c r="F2072" s="70"/>
      <c r="G2072" s="67"/>
      <c r="H2072" s="71"/>
      <c r="I2072" s="72"/>
      <c r="J2072" s="72"/>
      <c r="K2072" s="36"/>
      <c r="L2072" s="79"/>
      <c r="M2072" s="79"/>
      <c r="N2072" s="74"/>
      <c r="O2072" s="81" t="s">
        <v>694</v>
      </c>
      <c r="P2072" s="83">
        <v>44468.64607638889</v>
      </c>
      <c r="Q2072" s="81" t="s">
        <v>12790</v>
      </c>
      <c r="R2072" s="81"/>
      <c r="S2072" s="81"/>
      <c r="T2072" s="86" t="s">
        <v>12870</v>
      </c>
      <c r="U2072" s="84" t="str">
        <f>HYPERLINK("https://pbs.twimg.com/ext_tw_video_thumb/1443078988407066632/pu/img/UH-3GRSrlepoiBNm.jpg")</f>
        <v>https://pbs.twimg.com/ext_tw_video_thumb/1443078988407066632/pu/img/UH-3GRSrlepoiBNm.jpg</v>
      </c>
      <c r="V2072" s="84" t="str">
        <f>HYPERLINK("https://pbs.twimg.com/ext_tw_video_thumb/1443078988407066632/pu/img/UH-3GRSrlepoiBNm.jpg")</f>
        <v>https://pbs.twimg.com/ext_tw_video_thumb/1443078988407066632/pu/img/UH-3GRSrlepoiBNm.jpg</v>
      </c>
      <c r="W2072" s="83">
        <v>44468.64607638889</v>
      </c>
      <c r="X2072" s="89">
        <v>44468</v>
      </c>
      <c r="Y2072" s="86" t="s">
        <v>12950</v>
      </c>
      <c r="Z2072" s="84" t="str">
        <f>HYPERLINK("https://twitter.com/aep62247434/status/1443236712784695297")</f>
        <v>https://twitter.com/aep62247434/status/1443236712784695297</v>
      </c>
      <c r="AA2072" s="81"/>
      <c r="AB2072" s="81"/>
      <c r="AC2072" s="86" t="s">
        <v>13187</v>
      </c>
      <c r="AD2072" s="81"/>
      <c r="AE2072" s="81" t="b">
        <v>0</v>
      </c>
      <c r="AF2072" s="81">
        <v>0</v>
      </c>
      <c r="AG2072" s="86" t="s">
        <v>2084</v>
      </c>
      <c r="AH2072" s="81" t="b">
        <v>0</v>
      </c>
      <c r="AI2072" s="81" t="s">
        <v>2167</v>
      </c>
      <c r="AJ2072" s="81"/>
      <c r="AK2072" s="86" t="s">
        <v>2084</v>
      </c>
      <c r="AL2072" s="81" t="b">
        <v>0</v>
      </c>
      <c r="AM2072" s="81">
        <v>1</v>
      </c>
      <c r="AN2072" s="86" t="s">
        <v>13186</v>
      </c>
      <c r="AO2072" s="86" t="s">
        <v>2178</v>
      </c>
      <c r="AP2072" s="81" t="b">
        <v>0</v>
      </c>
      <c r="AQ2072" s="86" t="s">
        <v>13186</v>
      </c>
      <c r="AR2072" s="81" t="s">
        <v>179</v>
      </c>
      <c r="AS2072" s="81">
        <v>0</v>
      </c>
      <c r="AT2072" s="81">
        <v>0</v>
      </c>
      <c r="AU2072" s="81"/>
      <c r="AV2072" s="81"/>
      <c r="AW2072" s="81"/>
      <c r="AX2072" s="81"/>
      <c r="AY2072" s="81"/>
      <c r="AZ2072" s="81"/>
      <c r="BA2072" s="81"/>
      <c r="BB2072" s="81"/>
    </row>
    <row r="2073" spans="1:54" x14ac:dyDescent="0.35">
      <c r="A2073" s="66" t="s">
        <v>12553</v>
      </c>
      <c r="B2073" s="66" t="s">
        <v>12699</v>
      </c>
      <c r="C2073" s="67"/>
      <c r="D2073" s="68"/>
      <c r="E2073" s="69"/>
      <c r="F2073" s="70"/>
      <c r="G2073" s="67"/>
      <c r="H2073" s="71"/>
      <c r="I2073" s="72"/>
      <c r="J2073" s="72"/>
      <c r="K2073" s="36"/>
      <c r="L2073" s="79"/>
      <c r="M2073" s="79"/>
      <c r="N2073" s="74"/>
      <c r="O2073" s="81" t="s">
        <v>696</v>
      </c>
      <c r="P2073" s="83">
        <v>44468.211157407408</v>
      </c>
      <c r="Q2073" s="81" t="s">
        <v>12790</v>
      </c>
      <c r="R2073" s="81"/>
      <c r="S2073" s="81"/>
      <c r="T2073" s="86" t="s">
        <v>12870</v>
      </c>
      <c r="U2073" s="84" t="str">
        <f>HYPERLINK("https://pbs.twimg.com/ext_tw_video_thumb/1443078988407066632/pu/img/UH-3GRSrlepoiBNm.jpg")</f>
        <v>https://pbs.twimg.com/ext_tw_video_thumb/1443078988407066632/pu/img/UH-3GRSrlepoiBNm.jpg</v>
      </c>
      <c r="V2073" s="84" t="str">
        <f>HYPERLINK("https://pbs.twimg.com/ext_tw_video_thumb/1443078988407066632/pu/img/UH-3GRSrlepoiBNm.jpg")</f>
        <v>https://pbs.twimg.com/ext_tw_video_thumb/1443078988407066632/pu/img/UH-3GRSrlepoiBNm.jpg</v>
      </c>
      <c r="W2073" s="83">
        <v>44468.211157407408</v>
      </c>
      <c r="X2073" s="89">
        <v>44468</v>
      </c>
      <c r="Y2073" s="86" t="s">
        <v>12949</v>
      </c>
      <c r="Z2073" s="84" t="str">
        <f>HYPERLINK("https://twitter.com/kreatifsultanid/status/1443079106464083971")</f>
        <v>https://twitter.com/kreatifsultanid/status/1443079106464083971</v>
      </c>
      <c r="AA2073" s="81"/>
      <c r="AB2073" s="81"/>
      <c r="AC2073" s="86" t="s">
        <v>13186</v>
      </c>
      <c r="AD2073" s="81"/>
      <c r="AE2073" s="81" t="b">
        <v>0</v>
      </c>
      <c r="AF2073" s="81">
        <v>3</v>
      </c>
      <c r="AG2073" s="86" t="s">
        <v>2084</v>
      </c>
      <c r="AH2073" s="81" t="b">
        <v>0</v>
      </c>
      <c r="AI2073" s="81" t="s">
        <v>2167</v>
      </c>
      <c r="AJ2073" s="81"/>
      <c r="AK2073" s="86" t="s">
        <v>2084</v>
      </c>
      <c r="AL2073" s="81" t="b">
        <v>0</v>
      </c>
      <c r="AM2073" s="81">
        <v>1</v>
      </c>
      <c r="AN2073" s="86" t="s">
        <v>2084</v>
      </c>
      <c r="AO2073" s="86" t="s">
        <v>2178</v>
      </c>
      <c r="AP2073" s="81" t="b">
        <v>0</v>
      </c>
      <c r="AQ2073" s="86" t="s">
        <v>13186</v>
      </c>
      <c r="AR2073" s="81" t="s">
        <v>179</v>
      </c>
      <c r="AS2073" s="81">
        <v>0</v>
      </c>
      <c r="AT2073" s="81">
        <v>0</v>
      </c>
      <c r="AU2073" s="81" t="s">
        <v>13447</v>
      </c>
      <c r="AV2073" s="81" t="s">
        <v>2202</v>
      </c>
      <c r="AW2073" s="81" t="s">
        <v>12</v>
      </c>
      <c r="AX2073" s="81" t="s">
        <v>13451</v>
      </c>
      <c r="AY2073" s="81" t="s">
        <v>13454</v>
      </c>
      <c r="AZ2073" s="81" t="s">
        <v>13457</v>
      </c>
      <c r="BA2073" s="81" t="s">
        <v>2212</v>
      </c>
      <c r="BB2073" s="84" t="str">
        <f>HYPERLINK("https://api.twitter.com/1.1/geo/id/ac27dd716bc6aad5.json")</f>
        <v>https://api.twitter.com/1.1/geo/id/ac27dd716bc6aad5.json</v>
      </c>
    </row>
    <row r="2074" spans="1:54" x14ac:dyDescent="0.35">
      <c r="A2074" s="66" t="s">
        <v>12554</v>
      </c>
      <c r="B2074" s="66" t="s">
        <v>12699</v>
      </c>
      <c r="C2074" s="67"/>
      <c r="D2074" s="68"/>
      <c r="E2074" s="69"/>
      <c r="F2074" s="70"/>
      <c r="G2074" s="67"/>
      <c r="H2074" s="71"/>
      <c r="I2074" s="72"/>
      <c r="J2074" s="72"/>
      <c r="K2074" s="36"/>
      <c r="L2074" s="79"/>
      <c r="M2074" s="79"/>
      <c r="N2074" s="74"/>
      <c r="O2074" s="81" t="s">
        <v>694</v>
      </c>
      <c r="P2074" s="83">
        <v>44468.64607638889</v>
      </c>
      <c r="Q2074" s="81" t="s">
        <v>12790</v>
      </c>
      <c r="R2074" s="81"/>
      <c r="S2074" s="81"/>
      <c r="T2074" s="86" t="s">
        <v>12870</v>
      </c>
      <c r="U2074" s="84" t="str">
        <f>HYPERLINK("https://pbs.twimg.com/ext_tw_video_thumb/1443078988407066632/pu/img/UH-3GRSrlepoiBNm.jpg")</f>
        <v>https://pbs.twimg.com/ext_tw_video_thumb/1443078988407066632/pu/img/UH-3GRSrlepoiBNm.jpg</v>
      </c>
      <c r="V2074" s="84" t="str">
        <f>HYPERLINK("https://pbs.twimg.com/ext_tw_video_thumb/1443078988407066632/pu/img/UH-3GRSrlepoiBNm.jpg")</f>
        <v>https://pbs.twimg.com/ext_tw_video_thumb/1443078988407066632/pu/img/UH-3GRSrlepoiBNm.jpg</v>
      </c>
      <c r="W2074" s="83">
        <v>44468.64607638889</v>
      </c>
      <c r="X2074" s="89">
        <v>44468</v>
      </c>
      <c r="Y2074" s="86" t="s">
        <v>12950</v>
      </c>
      <c r="Z2074" s="84" t="str">
        <f>HYPERLINK("https://twitter.com/aep62247434/status/1443236712784695297")</f>
        <v>https://twitter.com/aep62247434/status/1443236712784695297</v>
      </c>
      <c r="AA2074" s="81"/>
      <c r="AB2074" s="81"/>
      <c r="AC2074" s="86" t="s">
        <v>13187</v>
      </c>
      <c r="AD2074" s="81"/>
      <c r="AE2074" s="81" t="b">
        <v>0</v>
      </c>
      <c r="AF2074" s="81">
        <v>0</v>
      </c>
      <c r="AG2074" s="86" t="s">
        <v>2084</v>
      </c>
      <c r="AH2074" s="81" t="b">
        <v>0</v>
      </c>
      <c r="AI2074" s="81" t="s">
        <v>2167</v>
      </c>
      <c r="AJ2074" s="81"/>
      <c r="AK2074" s="86" t="s">
        <v>2084</v>
      </c>
      <c r="AL2074" s="81" t="b">
        <v>0</v>
      </c>
      <c r="AM2074" s="81">
        <v>1</v>
      </c>
      <c r="AN2074" s="86" t="s">
        <v>13186</v>
      </c>
      <c r="AO2074" s="86" t="s">
        <v>2178</v>
      </c>
      <c r="AP2074" s="81" t="b">
        <v>0</v>
      </c>
      <c r="AQ2074" s="86" t="s">
        <v>13186</v>
      </c>
      <c r="AR2074" s="81" t="s">
        <v>179</v>
      </c>
      <c r="AS2074" s="81">
        <v>0</v>
      </c>
      <c r="AT2074" s="81">
        <v>0</v>
      </c>
      <c r="AU2074" s="81"/>
      <c r="AV2074" s="81"/>
      <c r="AW2074" s="81"/>
      <c r="AX2074" s="81"/>
      <c r="AY2074" s="81"/>
      <c r="AZ2074" s="81"/>
      <c r="BA2074" s="81"/>
      <c r="BB2074" s="81"/>
    </row>
    <row r="2075" spans="1:54" x14ac:dyDescent="0.35">
      <c r="A2075" s="66" t="s">
        <v>12554</v>
      </c>
      <c r="B2075" s="66" t="s">
        <v>12553</v>
      </c>
      <c r="C2075" s="67"/>
      <c r="D2075" s="68"/>
      <c r="E2075" s="69"/>
      <c r="F2075" s="70"/>
      <c r="G2075" s="67"/>
      <c r="H2075" s="71"/>
      <c r="I2075" s="72"/>
      <c r="J2075" s="72"/>
      <c r="K2075" s="36"/>
      <c r="L2075" s="79"/>
      <c r="M2075" s="79"/>
      <c r="N2075" s="74"/>
      <c r="O2075" s="81" t="s">
        <v>693</v>
      </c>
      <c r="P2075" s="83">
        <v>44468.64607638889</v>
      </c>
      <c r="Q2075" s="81" t="s">
        <v>12790</v>
      </c>
      <c r="R2075" s="81"/>
      <c r="S2075" s="81"/>
      <c r="T2075" s="86" t="s">
        <v>12870</v>
      </c>
      <c r="U2075" s="84" t="str">
        <f>HYPERLINK("https://pbs.twimg.com/ext_tw_video_thumb/1443078988407066632/pu/img/UH-3GRSrlepoiBNm.jpg")</f>
        <v>https://pbs.twimg.com/ext_tw_video_thumb/1443078988407066632/pu/img/UH-3GRSrlepoiBNm.jpg</v>
      </c>
      <c r="V2075" s="84" t="str">
        <f>HYPERLINK("https://pbs.twimg.com/ext_tw_video_thumb/1443078988407066632/pu/img/UH-3GRSrlepoiBNm.jpg")</f>
        <v>https://pbs.twimg.com/ext_tw_video_thumb/1443078988407066632/pu/img/UH-3GRSrlepoiBNm.jpg</v>
      </c>
      <c r="W2075" s="83">
        <v>44468.64607638889</v>
      </c>
      <c r="X2075" s="89">
        <v>44468</v>
      </c>
      <c r="Y2075" s="86" t="s">
        <v>12950</v>
      </c>
      <c r="Z2075" s="84" t="str">
        <f>HYPERLINK("https://twitter.com/aep62247434/status/1443236712784695297")</f>
        <v>https://twitter.com/aep62247434/status/1443236712784695297</v>
      </c>
      <c r="AA2075" s="81"/>
      <c r="AB2075" s="81"/>
      <c r="AC2075" s="86" t="s">
        <v>13187</v>
      </c>
      <c r="AD2075" s="81"/>
      <c r="AE2075" s="81" t="b">
        <v>0</v>
      </c>
      <c r="AF2075" s="81">
        <v>0</v>
      </c>
      <c r="AG2075" s="86" t="s">
        <v>2084</v>
      </c>
      <c r="AH2075" s="81" t="b">
        <v>0</v>
      </c>
      <c r="AI2075" s="81" t="s">
        <v>2167</v>
      </c>
      <c r="AJ2075" s="81"/>
      <c r="AK2075" s="86" t="s">
        <v>2084</v>
      </c>
      <c r="AL2075" s="81" t="b">
        <v>0</v>
      </c>
      <c r="AM2075" s="81">
        <v>1</v>
      </c>
      <c r="AN2075" s="86" t="s">
        <v>13186</v>
      </c>
      <c r="AO2075" s="86" t="s">
        <v>2178</v>
      </c>
      <c r="AP2075" s="81" t="b">
        <v>0</v>
      </c>
      <c r="AQ2075" s="86" t="s">
        <v>13186</v>
      </c>
      <c r="AR2075" s="81" t="s">
        <v>179</v>
      </c>
      <c r="AS2075" s="81">
        <v>0</v>
      </c>
      <c r="AT2075" s="81">
        <v>0</v>
      </c>
      <c r="AU2075" s="81"/>
      <c r="AV2075" s="81"/>
      <c r="AW2075" s="81"/>
      <c r="AX2075" s="81"/>
      <c r="AY2075" s="81"/>
      <c r="AZ2075" s="81"/>
      <c r="BA2075" s="81"/>
      <c r="BB2075" s="81"/>
    </row>
    <row r="2076" spans="1:54" x14ac:dyDescent="0.35">
      <c r="A2076" s="66" t="s">
        <v>12555</v>
      </c>
      <c r="B2076" s="66" t="s">
        <v>12555</v>
      </c>
      <c r="C2076" s="67"/>
      <c r="D2076" s="68"/>
      <c r="E2076" s="69"/>
      <c r="F2076" s="70"/>
      <c r="G2076" s="67"/>
      <c r="H2076" s="71"/>
      <c r="I2076" s="72"/>
      <c r="J2076" s="72"/>
      <c r="K2076" s="36"/>
      <c r="L2076" s="79"/>
      <c r="M2076" s="79"/>
      <c r="N2076" s="74"/>
      <c r="O2076" s="81" t="s">
        <v>179</v>
      </c>
      <c r="P2076" s="83">
        <v>44468.646643518521</v>
      </c>
      <c r="Q2076" s="81" t="s">
        <v>12791</v>
      </c>
      <c r="R2076" s="84" t="str">
        <f>HYPERLINK("https://eco.sapo.pt/opiniao/fim-das-moratorias-financiamento-sustentavel-e-transformacao-digital-alguns-temas-da-banca-no-pos-pandemia/")</f>
        <v>https://eco.sapo.pt/opiniao/fim-das-moratorias-financiamento-sustentavel-e-transformacao-digital-alguns-temas-da-banca-no-pos-pandemia/</v>
      </c>
      <c r="S2076" s="81" t="s">
        <v>5689</v>
      </c>
      <c r="T2076" s="81"/>
      <c r="U2076" s="81"/>
      <c r="V2076" s="84" t="str">
        <f>HYPERLINK("https://pbs.twimg.com/profile_images/1016328877692637184/tgG9qSER_normal.jpg")</f>
        <v>https://pbs.twimg.com/profile_images/1016328877692637184/tgG9qSER_normal.jpg</v>
      </c>
      <c r="W2076" s="83">
        <v>44468.646643518521</v>
      </c>
      <c r="X2076" s="89">
        <v>44468</v>
      </c>
      <c r="Y2076" s="86" t="s">
        <v>12951</v>
      </c>
      <c r="Z2076" s="84" t="str">
        <f>HYPERLINK("https://twitter.com/eco_pt/status/1443236921744973831")</f>
        <v>https://twitter.com/eco_pt/status/1443236921744973831</v>
      </c>
      <c r="AA2076" s="81"/>
      <c r="AB2076" s="81"/>
      <c r="AC2076" s="86" t="s">
        <v>13188</v>
      </c>
      <c r="AD2076" s="81"/>
      <c r="AE2076" s="81" t="b">
        <v>0</v>
      </c>
      <c r="AF2076" s="81">
        <v>0</v>
      </c>
      <c r="AG2076" s="86" t="s">
        <v>2084</v>
      </c>
      <c r="AH2076" s="81" t="b">
        <v>0</v>
      </c>
      <c r="AI2076" s="81" t="s">
        <v>2171</v>
      </c>
      <c r="AJ2076" s="81"/>
      <c r="AK2076" s="86" t="s">
        <v>2084</v>
      </c>
      <c r="AL2076" s="81" t="b">
        <v>0</v>
      </c>
      <c r="AM2076" s="81">
        <v>0</v>
      </c>
      <c r="AN2076" s="86" t="s">
        <v>2084</v>
      </c>
      <c r="AO2076" s="86" t="s">
        <v>7976</v>
      </c>
      <c r="AP2076" s="81" t="b">
        <v>0</v>
      </c>
      <c r="AQ2076" s="86" t="s">
        <v>13188</v>
      </c>
      <c r="AR2076" s="81" t="s">
        <v>179</v>
      </c>
      <c r="AS2076" s="81">
        <v>0</v>
      </c>
      <c r="AT2076" s="81">
        <v>0</v>
      </c>
      <c r="AU2076" s="81"/>
      <c r="AV2076" s="81"/>
      <c r="AW2076" s="81"/>
      <c r="AX2076" s="81"/>
      <c r="AY2076" s="81"/>
      <c r="AZ2076" s="81"/>
      <c r="BA2076" s="81"/>
      <c r="BB2076" s="81"/>
    </row>
    <row r="2077" spans="1:54" x14ac:dyDescent="0.35">
      <c r="A2077" s="66" t="s">
        <v>12556</v>
      </c>
      <c r="B2077" s="66" t="s">
        <v>5130</v>
      </c>
      <c r="C2077" s="67"/>
      <c r="D2077" s="68"/>
      <c r="E2077" s="69"/>
      <c r="F2077" s="70"/>
      <c r="G2077" s="67"/>
      <c r="H2077" s="71"/>
      <c r="I2077" s="72"/>
      <c r="J2077" s="72"/>
      <c r="K2077" s="36"/>
      <c r="L2077" s="79"/>
      <c r="M2077" s="79"/>
      <c r="N2077" s="74"/>
      <c r="O2077" s="81" t="s">
        <v>696</v>
      </c>
      <c r="P2077" s="83">
        <v>44468.6487037037</v>
      </c>
      <c r="Q2077" s="81" t="s">
        <v>12792</v>
      </c>
      <c r="R2077" s="81"/>
      <c r="S2077" s="81"/>
      <c r="T2077" s="81"/>
      <c r="U2077" s="81"/>
      <c r="V2077" s="84" t="str">
        <f>HYPERLINK("https://pbs.twimg.com/profile_images/1440966115220393985/9hy6ywrj_normal.jpg")</f>
        <v>https://pbs.twimg.com/profile_images/1440966115220393985/9hy6ywrj_normal.jpg</v>
      </c>
      <c r="W2077" s="83">
        <v>44468.6487037037</v>
      </c>
      <c r="X2077" s="89">
        <v>44468</v>
      </c>
      <c r="Y2077" s="86" t="s">
        <v>12952</v>
      </c>
      <c r="Z2077" s="84" t="str">
        <f>HYPERLINK("https://twitter.com/luveiga13/status/1443237667437699078")</f>
        <v>https://twitter.com/luveiga13/status/1443237667437699078</v>
      </c>
      <c r="AA2077" s="81"/>
      <c r="AB2077" s="81"/>
      <c r="AC2077" s="86" t="s">
        <v>13189</v>
      </c>
      <c r="AD2077" s="86" t="s">
        <v>13378</v>
      </c>
      <c r="AE2077" s="81" t="b">
        <v>0</v>
      </c>
      <c r="AF2077" s="81">
        <v>2</v>
      </c>
      <c r="AG2077" s="86" t="s">
        <v>13419</v>
      </c>
      <c r="AH2077" s="81" t="b">
        <v>0</v>
      </c>
      <c r="AI2077" s="81" t="s">
        <v>2171</v>
      </c>
      <c r="AJ2077" s="81"/>
      <c r="AK2077" s="86" t="s">
        <v>2084</v>
      </c>
      <c r="AL2077" s="81" t="b">
        <v>0</v>
      </c>
      <c r="AM2077" s="81">
        <v>0</v>
      </c>
      <c r="AN2077" s="86" t="s">
        <v>2084</v>
      </c>
      <c r="AO2077" s="86" t="s">
        <v>2178</v>
      </c>
      <c r="AP2077" s="81" t="b">
        <v>0</v>
      </c>
      <c r="AQ2077" s="86" t="s">
        <v>13378</v>
      </c>
      <c r="AR2077" s="81" t="s">
        <v>179</v>
      </c>
      <c r="AS2077" s="81">
        <v>0</v>
      </c>
      <c r="AT2077" s="81">
        <v>0</v>
      </c>
      <c r="AU2077" s="81"/>
      <c r="AV2077" s="81"/>
      <c r="AW2077" s="81"/>
      <c r="AX2077" s="81"/>
      <c r="AY2077" s="81"/>
      <c r="AZ2077" s="81"/>
      <c r="BA2077" s="81"/>
      <c r="BB2077" s="81"/>
    </row>
    <row r="2078" spans="1:54" x14ac:dyDescent="0.35">
      <c r="A2078" s="66" t="s">
        <v>12556</v>
      </c>
      <c r="B2078" s="66" t="s">
        <v>12700</v>
      </c>
      <c r="C2078" s="67"/>
      <c r="D2078" s="68"/>
      <c r="E2078" s="69"/>
      <c r="F2078" s="70"/>
      <c r="G2078" s="67"/>
      <c r="H2078" s="71"/>
      <c r="I2078" s="72"/>
      <c r="J2078" s="72"/>
      <c r="K2078" s="36"/>
      <c r="L2078" s="79"/>
      <c r="M2078" s="79"/>
      <c r="N2078" s="74"/>
      <c r="O2078" s="81" t="s">
        <v>695</v>
      </c>
      <c r="P2078" s="83">
        <v>44468.6487037037</v>
      </c>
      <c r="Q2078" s="81" t="s">
        <v>12792</v>
      </c>
      <c r="R2078" s="81"/>
      <c r="S2078" s="81"/>
      <c r="T2078" s="81"/>
      <c r="U2078" s="81"/>
      <c r="V2078" s="84" t="str">
        <f>HYPERLINK("https://pbs.twimg.com/profile_images/1440966115220393985/9hy6ywrj_normal.jpg")</f>
        <v>https://pbs.twimg.com/profile_images/1440966115220393985/9hy6ywrj_normal.jpg</v>
      </c>
      <c r="W2078" s="83">
        <v>44468.6487037037</v>
      </c>
      <c r="X2078" s="89">
        <v>44468</v>
      </c>
      <c r="Y2078" s="86" t="s">
        <v>12952</v>
      </c>
      <c r="Z2078" s="84" t="str">
        <f>HYPERLINK("https://twitter.com/luveiga13/status/1443237667437699078")</f>
        <v>https://twitter.com/luveiga13/status/1443237667437699078</v>
      </c>
      <c r="AA2078" s="81"/>
      <c r="AB2078" s="81"/>
      <c r="AC2078" s="86" t="s">
        <v>13189</v>
      </c>
      <c r="AD2078" s="86" t="s">
        <v>13378</v>
      </c>
      <c r="AE2078" s="81" t="b">
        <v>0</v>
      </c>
      <c r="AF2078" s="81">
        <v>2</v>
      </c>
      <c r="AG2078" s="86" t="s">
        <v>13419</v>
      </c>
      <c r="AH2078" s="81" t="b">
        <v>0</v>
      </c>
      <c r="AI2078" s="81" t="s">
        <v>2171</v>
      </c>
      <c r="AJ2078" s="81"/>
      <c r="AK2078" s="86" t="s">
        <v>2084</v>
      </c>
      <c r="AL2078" s="81" t="b">
        <v>0</v>
      </c>
      <c r="AM2078" s="81">
        <v>0</v>
      </c>
      <c r="AN2078" s="86" t="s">
        <v>2084</v>
      </c>
      <c r="AO2078" s="86" t="s">
        <v>2178</v>
      </c>
      <c r="AP2078" s="81" t="b">
        <v>0</v>
      </c>
      <c r="AQ2078" s="86" t="s">
        <v>13378</v>
      </c>
      <c r="AR2078" s="81" t="s">
        <v>179</v>
      </c>
      <c r="AS2078" s="81">
        <v>0</v>
      </c>
      <c r="AT2078" s="81">
        <v>0</v>
      </c>
      <c r="AU2078" s="81"/>
      <c r="AV2078" s="81"/>
      <c r="AW2078" s="81"/>
      <c r="AX2078" s="81"/>
      <c r="AY2078" s="81"/>
      <c r="AZ2078" s="81"/>
      <c r="BA2078" s="81"/>
      <c r="BB2078" s="81"/>
    </row>
    <row r="2079" spans="1:54" x14ac:dyDescent="0.35">
      <c r="A2079" s="66" t="s">
        <v>12557</v>
      </c>
      <c r="B2079" s="66" t="s">
        <v>12701</v>
      </c>
      <c r="C2079" s="67"/>
      <c r="D2079" s="68"/>
      <c r="E2079" s="69"/>
      <c r="F2079" s="70"/>
      <c r="G2079" s="67"/>
      <c r="H2079" s="71"/>
      <c r="I2079" s="72"/>
      <c r="J2079" s="72"/>
      <c r="K2079" s="36"/>
      <c r="L2079" s="79"/>
      <c r="M2079" s="79"/>
      <c r="N2079" s="74"/>
      <c r="O2079" s="81" t="s">
        <v>696</v>
      </c>
      <c r="P2079" s="83">
        <v>44468.657280092593</v>
      </c>
      <c r="Q2079" s="81" t="s">
        <v>12793</v>
      </c>
      <c r="R2079" s="81"/>
      <c r="S2079" s="81"/>
      <c r="T2079" s="81"/>
      <c r="U2079" s="81"/>
      <c r="V2079" s="84" t="str">
        <f>HYPERLINK("https://abs.twimg.com/sticky/default_profile_images/default_profile_normal.png")</f>
        <v>https://abs.twimg.com/sticky/default_profile_images/default_profile_normal.png</v>
      </c>
      <c r="W2079" s="83">
        <v>44468.657280092593</v>
      </c>
      <c r="X2079" s="89">
        <v>44468</v>
      </c>
      <c r="Y2079" s="86" t="s">
        <v>12953</v>
      </c>
      <c r="Z2079" s="84" t="str">
        <f>HYPERLINK("https://twitter.com/pedro13091398/status/1443240773391163401")</f>
        <v>https://twitter.com/pedro13091398/status/1443240773391163401</v>
      </c>
      <c r="AA2079" s="81"/>
      <c r="AB2079" s="81"/>
      <c r="AC2079" s="86" t="s">
        <v>13190</v>
      </c>
      <c r="AD2079" s="86" t="s">
        <v>13379</v>
      </c>
      <c r="AE2079" s="81" t="b">
        <v>0</v>
      </c>
      <c r="AF2079" s="81">
        <v>0</v>
      </c>
      <c r="AG2079" s="86" t="s">
        <v>13420</v>
      </c>
      <c r="AH2079" s="81" t="b">
        <v>0</v>
      </c>
      <c r="AI2079" s="81" t="s">
        <v>2171</v>
      </c>
      <c r="AJ2079" s="81"/>
      <c r="AK2079" s="86" t="s">
        <v>2084</v>
      </c>
      <c r="AL2079" s="81" t="b">
        <v>0</v>
      </c>
      <c r="AM2079" s="81">
        <v>0</v>
      </c>
      <c r="AN2079" s="86" t="s">
        <v>2084</v>
      </c>
      <c r="AO2079" s="86" t="s">
        <v>2178</v>
      </c>
      <c r="AP2079" s="81" t="b">
        <v>0</v>
      </c>
      <c r="AQ2079" s="86" t="s">
        <v>13379</v>
      </c>
      <c r="AR2079" s="81" t="s">
        <v>179</v>
      </c>
      <c r="AS2079" s="81">
        <v>0</v>
      </c>
      <c r="AT2079" s="81">
        <v>0</v>
      </c>
      <c r="AU2079" s="81"/>
      <c r="AV2079" s="81"/>
      <c r="AW2079" s="81"/>
      <c r="AX2079" s="81"/>
      <c r="AY2079" s="81"/>
      <c r="AZ2079" s="81"/>
      <c r="BA2079" s="81"/>
      <c r="BB2079" s="81"/>
    </row>
    <row r="2080" spans="1:54" x14ac:dyDescent="0.35">
      <c r="A2080" s="66" t="s">
        <v>12557</v>
      </c>
      <c r="B2080" s="66" t="s">
        <v>12702</v>
      </c>
      <c r="C2080" s="67"/>
      <c r="D2080" s="68"/>
      <c r="E2080" s="69"/>
      <c r="F2080" s="70"/>
      <c r="G2080" s="67"/>
      <c r="H2080" s="71"/>
      <c r="I2080" s="72"/>
      <c r="J2080" s="72"/>
      <c r="K2080" s="36"/>
      <c r="L2080" s="79"/>
      <c r="M2080" s="79"/>
      <c r="N2080" s="74"/>
      <c r="O2080" s="81" t="s">
        <v>695</v>
      </c>
      <c r="P2080" s="83">
        <v>44468.657280092593</v>
      </c>
      <c r="Q2080" s="81" t="s">
        <v>12793</v>
      </c>
      <c r="R2080" s="81"/>
      <c r="S2080" s="81"/>
      <c r="T2080" s="81"/>
      <c r="U2080" s="81"/>
      <c r="V2080" s="84" t="str">
        <f>HYPERLINK("https://abs.twimg.com/sticky/default_profile_images/default_profile_normal.png")</f>
        <v>https://abs.twimg.com/sticky/default_profile_images/default_profile_normal.png</v>
      </c>
      <c r="W2080" s="83">
        <v>44468.657280092593</v>
      </c>
      <c r="X2080" s="89">
        <v>44468</v>
      </c>
      <c r="Y2080" s="86" t="s">
        <v>12953</v>
      </c>
      <c r="Z2080" s="84" t="str">
        <f>HYPERLINK("https://twitter.com/pedro13091398/status/1443240773391163401")</f>
        <v>https://twitter.com/pedro13091398/status/1443240773391163401</v>
      </c>
      <c r="AA2080" s="81"/>
      <c r="AB2080" s="81"/>
      <c r="AC2080" s="86" t="s">
        <v>13190</v>
      </c>
      <c r="AD2080" s="86" t="s">
        <v>13379</v>
      </c>
      <c r="AE2080" s="81" t="b">
        <v>0</v>
      </c>
      <c r="AF2080" s="81">
        <v>0</v>
      </c>
      <c r="AG2080" s="86" t="s">
        <v>13420</v>
      </c>
      <c r="AH2080" s="81" t="b">
        <v>0</v>
      </c>
      <c r="AI2080" s="81" t="s">
        <v>2171</v>
      </c>
      <c r="AJ2080" s="81"/>
      <c r="AK2080" s="86" t="s">
        <v>2084</v>
      </c>
      <c r="AL2080" s="81" t="b">
        <v>0</v>
      </c>
      <c r="AM2080" s="81">
        <v>0</v>
      </c>
      <c r="AN2080" s="86" t="s">
        <v>2084</v>
      </c>
      <c r="AO2080" s="86" t="s">
        <v>2178</v>
      </c>
      <c r="AP2080" s="81" t="b">
        <v>0</v>
      </c>
      <c r="AQ2080" s="86" t="s">
        <v>13379</v>
      </c>
      <c r="AR2080" s="81" t="s">
        <v>179</v>
      </c>
      <c r="AS2080" s="81">
        <v>0</v>
      </c>
      <c r="AT2080" s="81">
        <v>0</v>
      </c>
      <c r="AU2080" s="81"/>
      <c r="AV2080" s="81"/>
      <c r="AW2080" s="81"/>
      <c r="AX2080" s="81"/>
      <c r="AY2080" s="81"/>
      <c r="AZ2080" s="81"/>
      <c r="BA2080" s="81"/>
      <c r="BB2080" s="81"/>
    </row>
    <row r="2081" spans="1:54" x14ac:dyDescent="0.35">
      <c r="A2081" s="66" t="s">
        <v>12558</v>
      </c>
      <c r="B2081" s="66" t="s">
        <v>12564</v>
      </c>
      <c r="C2081" s="67"/>
      <c r="D2081" s="68"/>
      <c r="E2081" s="69"/>
      <c r="F2081" s="70"/>
      <c r="G2081" s="67"/>
      <c r="H2081" s="71"/>
      <c r="I2081" s="72"/>
      <c r="J2081" s="72"/>
      <c r="K2081" s="36"/>
      <c r="L2081" s="79"/>
      <c r="M2081" s="79"/>
      <c r="N2081" s="74"/>
      <c r="O2081" s="81" t="s">
        <v>693</v>
      </c>
      <c r="P2081" s="83">
        <v>44468.678032407406</v>
      </c>
      <c r="Q2081" s="81" t="s">
        <v>12794</v>
      </c>
      <c r="R2081" s="81"/>
      <c r="S2081" s="81"/>
      <c r="T2081" s="86" t="s">
        <v>4412</v>
      </c>
      <c r="U2081" s="84" t="str">
        <f>HYPERLINK("https://pbs.twimg.com/media/FAdyeveVIAEl4Y0.jpg")</f>
        <v>https://pbs.twimg.com/media/FAdyeveVIAEl4Y0.jpg</v>
      </c>
      <c r="V2081" s="84" t="str">
        <f>HYPERLINK("https://pbs.twimg.com/media/FAdyeveVIAEl4Y0.jpg")</f>
        <v>https://pbs.twimg.com/media/FAdyeveVIAEl4Y0.jpg</v>
      </c>
      <c r="W2081" s="83">
        <v>44468.678032407406</v>
      </c>
      <c r="X2081" s="89">
        <v>44468</v>
      </c>
      <c r="Y2081" s="86" t="s">
        <v>12954</v>
      </c>
      <c r="Z2081" s="84" t="str">
        <f>HYPERLINK("https://twitter.com/iusedtobed/status/1443248294277234691")</f>
        <v>https://twitter.com/iusedtobed/status/1443248294277234691</v>
      </c>
      <c r="AA2081" s="81"/>
      <c r="AB2081" s="81"/>
      <c r="AC2081" s="86" t="s">
        <v>13191</v>
      </c>
      <c r="AD2081" s="81"/>
      <c r="AE2081" s="81" t="b">
        <v>0</v>
      </c>
      <c r="AF2081" s="81">
        <v>0</v>
      </c>
      <c r="AG2081" s="86" t="s">
        <v>2084</v>
      </c>
      <c r="AH2081" s="81" t="b">
        <v>0</v>
      </c>
      <c r="AI2081" s="81" t="s">
        <v>2168</v>
      </c>
      <c r="AJ2081" s="81"/>
      <c r="AK2081" s="86" t="s">
        <v>2084</v>
      </c>
      <c r="AL2081" s="81" t="b">
        <v>0</v>
      </c>
      <c r="AM2081" s="81">
        <v>7</v>
      </c>
      <c r="AN2081" s="86" t="s">
        <v>13198</v>
      </c>
      <c r="AO2081" s="86" t="s">
        <v>2179</v>
      </c>
      <c r="AP2081" s="81" t="b">
        <v>0</v>
      </c>
      <c r="AQ2081" s="86" t="s">
        <v>13198</v>
      </c>
      <c r="AR2081" s="81" t="s">
        <v>179</v>
      </c>
      <c r="AS2081" s="81">
        <v>0</v>
      </c>
      <c r="AT2081" s="81">
        <v>0</v>
      </c>
      <c r="AU2081" s="81"/>
      <c r="AV2081" s="81"/>
      <c r="AW2081" s="81"/>
      <c r="AX2081" s="81"/>
      <c r="AY2081" s="81"/>
      <c r="AZ2081" s="81"/>
      <c r="BA2081" s="81"/>
      <c r="BB2081" s="81"/>
    </row>
    <row r="2082" spans="1:54" x14ac:dyDescent="0.35">
      <c r="A2082" s="66" t="s">
        <v>12559</v>
      </c>
      <c r="B2082" s="66" t="s">
        <v>12564</v>
      </c>
      <c r="C2082" s="67"/>
      <c r="D2082" s="68"/>
      <c r="E2082" s="69"/>
      <c r="F2082" s="70"/>
      <c r="G2082" s="67"/>
      <c r="H2082" s="71"/>
      <c r="I2082" s="72"/>
      <c r="J2082" s="72"/>
      <c r="K2082" s="36"/>
      <c r="L2082" s="79"/>
      <c r="M2082" s="79"/>
      <c r="N2082" s="74"/>
      <c r="O2082" s="81" t="s">
        <v>693</v>
      </c>
      <c r="P2082" s="83">
        <v>44468.678240740737</v>
      </c>
      <c r="Q2082" s="81" t="s">
        <v>12794</v>
      </c>
      <c r="R2082" s="81"/>
      <c r="S2082" s="81"/>
      <c r="T2082" s="86" t="s">
        <v>4412</v>
      </c>
      <c r="U2082" s="84" t="str">
        <f>HYPERLINK("https://pbs.twimg.com/media/FAdyeveVIAEl4Y0.jpg")</f>
        <v>https://pbs.twimg.com/media/FAdyeveVIAEl4Y0.jpg</v>
      </c>
      <c r="V2082" s="84" t="str">
        <f>HYPERLINK("https://pbs.twimg.com/media/FAdyeveVIAEl4Y0.jpg")</f>
        <v>https://pbs.twimg.com/media/FAdyeveVIAEl4Y0.jpg</v>
      </c>
      <c r="W2082" s="83">
        <v>44468.678240740737</v>
      </c>
      <c r="X2082" s="89">
        <v>44468</v>
      </c>
      <c r="Y2082" s="86" t="s">
        <v>12955</v>
      </c>
      <c r="Z2082" s="84" t="str">
        <f>HYPERLINK("https://twitter.com/xchsan99/status/1443248371930525696")</f>
        <v>https://twitter.com/xchsan99/status/1443248371930525696</v>
      </c>
      <c r="AA2082" s="81"/>
      <c r="AB2082" s="81"/>
      <c r="AC2082" s="86" t="s">
        <v>13192</v>
      </c>
      <c r="AD2082" s="81"/>
      <c r="AE2082" s="81" t="b">
        <v>0</v>
      </c>
      <c r="AF2082" s="81">
        <v>0</v>
      </c>
      <c r="AG2082" s="86" t="s">
        <v>2084</v>
      </c>
      <c r="AH2082" s="81" t="b">
        <v>0</v>
      </c>
      <c r="AI2082" s="81" t="s">
        <v>2168</v>
      </c>
      <c r="AJ2082" s="81"/>
      <c r="AK2082" s="86" t="s">
        <v>2084</v>
      </c>
      <c r="AL2082" s="81" t="b">
        <v>0</v>
      </c>
      <c r="AM2082" s="81">
        <v>7</v>
      </c>
      <c r="AN2082" s="86" t="s">
        <v>13198</v>
      </c>
      <c r="AO2082" s="86" t="s">
        <v>2179</v>
      </c>
      <c r="AP2082" s="81" t="b">
        <v>0</v>
      </c>
      <c r="AQ2082" s="86" t="s">
        <v>13198</v>
      </c>
      <c r="AR2082" s="81" t="s">
        <v>179</v>
      </c>
      <c r="AS2082" s="81">
        <v>0</v>
      </c>
      <c r="AT2082" s="81">
        <v>0</v>
      </c>
      <c r="AU2082" s="81"/>
      <c r="AV2082" s="81"/>
      <c r="AW2082" s="81"/>
      <c r="AX2082" s="81"/>
      <c r="AY2082" s="81"/>
      <c r="AZ2082" s="81"/>
      <c r="BA2082" s="81"/>
      <c r="BB2082" s="81"/>
    </row>
    <row r="2083" spans="1:54" x14ac:dyDescent="0.35">
      <c r="A2083" s="66" t="s">
        <v>12560</v>
      </c>
      <c r="B2083" s="66" t="s">
        <v>12564</v>
      </c>
      <c r="C2083" s="67"/>
      <c r="D2083" s="68"/>
      <c r="E2083" s="69"/>
      <c r="F2083" s="70"/>
      <c r="G2083" s="67"/>
      <c r="H2083" s="71"/>
      <c r="I2083" s="72"/>
      <c r="J2083" s="72"/>
      <c r="K2083" s="36"/>
      <c r="L2083" s="79"/>
      <c r="M2083" s="79"/>
      <c r="N2083" s="74"/>
      <c r="O2083" s="81" t="s">
        <v>693</v>
      </c>
      <c r="P2083" s="83">
        <v>44468.678344907406</v>
      </c>
      <c r="Q2083" s="81" t="s">
        <v>12794</v>
      </c>
      <c r="R2083" s="81"/>
      <c r="S2083" s="81"/>
      <c r="T2083" s="86" t="s">
        <v>4412</v>
      </c>
      <c r="U2083" s="84" t="str">
        <f>HYPERLINK("https://pbs.twimg.com/media/FAdyeveVIAEl4Y0.jpg")</f>
        <v>https://pbs.twimg.com/media/FAdyeveVIAEl4Y0.jpg</v>
      </c>
      <c r="V2083" s="84" t="str">
        <f>HYPERLINK("https://pbs.twimg.com/media/FAdyeveVIAEl4Y0.jpg")</f>
        <v>https://pbs.twimg.com/media/FAdyeveVIAEl4Y0.jpg</v>
      </c>
      <c r="W2083" s="83">
        <v>44468.678344907406</v>
      </c>
      <c r="X2083" s="89">
        <v>44468</v>
      </c>
      <c r="Y2083" s="86" t="s">
        <v>12956</v>
      </c>
      <c r="Z2083" s="84" t="str">
        <f>HYPERLINK("https://twitter.com/kimnana1987/status/1443248408404189185")</f>
        <v>https://twitter.com/kimnana1987/status/1443248408404189185</v>
      </c>
      <c r="AA2083" s="81"/>
      <c r="AB2083" s="81"/>
      <c r="AC2083" s="86" t="s">
        <v>13193</v>
      </c>
      <c r="AD2083" s="81"/>
      <c r="AE2083" s="81" t="b">
        <v>0</v>
      </c>
      <c r="AF2083" s="81">
        <v>0</v>
      </c>
      <c r="AG2083" s="86" t="s">
        <v>2084</v>
      </c>
      <c r="AH2083" s="81" t="b">
        <v>0</v>
      </c>
      <c r="AI2083" s="81" t="s">
        <v>2168</v>
      </c>
      <c r="AJ2083" s="81"/>
      <c r="AK2083" s="86" t="s">
        <v>2084</v>
      </c>
      <c r="AL2083" s="81" t="b">
        <v>0</v>
      </c>
      <c r="AM2083" s="81">
        <v>7</v>
      </c>
      <c r="AN2083" s="86" t="s">
        <v>13198</v>
      </c>
      <c r="AO2083" s="86" t="s">
        <v>2181</v>
      </c>
      <c r="AP2083" s="81" t="b">
        <v>0</v>
      </c>
      <c r="AQ2083" s="86" t="s">
        <v>13198</v>
      </c>
      <c r="AR2083" s="81" t="s">
        <v>179</v>
      </c>
      <c r="AS2083" s="81">
        <v>0</v>
      </c>
      <c r="AT2083" s="81">
        <v>0</v>
      </c>
      <c r="AU2083" s="81"/>
      <c r="AV2083" s="81"/>
      <c r="AW2083" s="81"/>
      <c r="AX2083" s="81"/>
      <c r="AY2083" s="81"/>
      <c r="AZ2083" s="81"/>
      <c r="BA2083" s="81"/>
      <c r="BB2083" s="81"/>
    </row>
    <row r="2084" spans="1:54" x14ac:dyDescent="0.35">
      <c r="A2084" s="66" t="s">
        <v>12561</v>
      </c>
      <c r="B2084" s="66" t="s">
        <v>12564</v>
      </c>
      <c r="C2084" s="67"/>
      <c r="D2084" s="68"/>
      <c r="E2084" s="69"/>
      <c r="F2084" s="70"/>
      <c r="G2084" s="67"/>
      <c r="H2084" s="71"/>
      <c r="I2084" s="72"/>
      <c r="J2084" s="72"/>
      <c r="K2084" s="36"/>
      <c r="L2084" s="79"/>
      <c r="M2084" s="79"/>
      <c r="N2084" s="74"/>
      <c r="O2084" s="81" t="s">
        <v>693</v>
      </c>
      <c r="P2084" s="83">
        <v>44468.678564814814</v>
      </c>
      <c r="Q2084" s="81" t="s">
        <v>12794</v>
      </c>
      <c r="R2084" s="81"/>
      <c r="S2084" s="81"/>
      <c r="T2084" s="86" t="s">
        <v>4412</v>
      </c>
      <c r="U2084" s="84" t="str">
        <f>HYPERLINK("https://pbs.twimg.com/media/FAdyeveVIAEl4Y0.jpg")</f>
        <v>https://pbs.twimg.com/media/FAdyeveVIAEl4Y0.jpg</v>
      </c>
      <c r="V2084" s="84" t="str">
        <f>HYPERLINK("https://pbs.twimg.com/media/FAdyeveVIAEl4Y0.jpg")</f>
        <v>https://pbs.twimg.com/media/FAdyeveVIAEl4Y0.jpg</v>
      </c>
      <c r="W2084" s="83">
        <v>44468.678564814814</v>
      </c>
      <c r="X2084" s="89">
        <v>44468</v>
      </c>
      <c r="Y2084" s="86" t="s">
        <v>12957</v>
      </c>
      <c r="Z2084" s="84" t="str">
        <f>HYPERLINK("https://twitter.com/yehetddeonghwa/status/1443248488465133570")</f>
        <v>https://twitter.com/yehetddeonghwa/status/1443248488465133570</v>
      </c>
      <c r="AA2084" s="81"/>
      <c r="AB2084" s="81"/>
      <c r="AC2084" s="86" t="s">
        <v>13194</v>
      </c>
      <c r="AD2084" s="81"/>
      <c r="AE2084" s="81" t="b">
        <v>0</v>
      </c>
      <c r="AF2084" s="81">
        <v>0</v>
      </c>
      <c r="AG2084" s="86" t="s">
        <v>2084</v>
      </c>
      <c r="AH2084" s="81" t="b">
        <v>0</v>
      </c>
      <c r="AI2084" s="81" t="s">
        <v>2168</v>
      </c>
      <c r="AJ2084" s="81"/>
      <c r="AK2084" s="86" t="s">
        <v>2084</v>
      </c>
      <c r="AL2084" s="81" t="b">
        <v>0</v>
      </c>
      <c r="AM2084" s="81">
        <v>7</v>
      </c>
      <c r="AN2084" s="86" t="s">
        <v>13198</v>
      </c>
      <c r="AO2084" s="86" t="s">
        <v>2178</v>
      </c>
      <c r="AP2084" s="81" t="b">
        <v>0</v>
      </c>
      <c r="AQ2084" s="86" t="s">
        <v>13198</v>
      </c>
      <c r="AR2084" s="81" t="s">
        <v>179</v>
      </c>
      <c r="AS2084" s="81">
        <v>0</v>
      </c>
      <c r="AT2084" s="81">
        <v>0</v>
      </c>
      <c r="AU2084" s="81"/>
      <c r="AV2084" s="81"/>
      <c r="AW2084" s="81"/>
      <c r="AX2084" s="81"/>
      <c r="AY2084" s="81"/>
      <c r="AZ2084" s="81"/>
      <c r="BA2084" s="81"/>
      <c r="BB2084" s="81"/>
    </row>
    <row r="2085" spans="1:54" x14ac:dyDescent="0.35">
      <c r="A2085" s="66" t="s">
        <v>12562</v>
      </c>
      <c r="B2085" s="66" t="s">
        <v>12564</v>
      </c>
      <c r="C2085" s="67"/>
      <c r="D2085" s="68"/>
      <c r="E2085" s="69"/>
      <c r="F2085" s="70"/>
      <c r="G2085" s="67"/>
      <c r="H2085" s="71"/>
      <c r="I2085" s="72"/>
      <c r="J2085" s="72"/>
      <c r="K2085" s="36"/>
      <c r="L2085" s="79"/>
      <c r="M2085" s="79"/>
      <c r="N2085" s="74"/>
      <c r="O2085" s="81" t="s">
        <v>693</v>
      </c>
      <c r="P2085" s="83">
        <v>44468.681180555555</v>
      </c>
      <c r="Q2085" s="81" t="s">
        <v>12794</v>
      </c>
      <c r="R2085" s="81"/>
      <c r="S2085" s="81"/>
      <c r="T2085" s="86" t="s">
        <v>4412</v>
      </c>
      <c r="U2085" s="84" t="str">
        <f>HYPERLINK("https://pbs.twimg.com/media/FAdyeveVIAEl4Y0.jpg")</f>
        <v>https://pbs.twimg.com/media/FAdyeveVIAEl4Y0.jpg</v>
      </c>
      <c r="V2085" s="84" t="str">
        <f>HYPERLINK("https://pbs.twimg.com/media/FAdyeveVIAEl4Y0.jpg")</f>
        <v>https://pbs.twimg.com/media/FAdyeveVIAEl4Y0.jpg</v>
      </c>
      <c r="W2085" s="83">
        <v>44468.681180555555</v>
      </c>
      <c r="X2085" s="89">
        <v>44468</v>
      </c>
      <c r="Y2085" s="86" t="s">
        <v>12958</v>
      </c>
      <c r="Z2085" s="84" t="str">
        <f>HYPERLINK("https://twitter.com/qtshwajy/status/1443249434284867584")</f>
        <v>https://twitter.com/qtshwajy/status/1443249434284867584</v>
      </c>
      <c r="AA2085" s="81"/>
      <c r="AB2085" s="81"/>
      <c r="AC2085" s="86" t="s">
        <v>13195</v>
      </c>
      <c r="AD2085" s="81"/>
      <c r="AE2085" s="81" t="b">
        <v>0</v>
      </c>
      <c r="AF2085" s="81">
        <v>0</v>
      </c>
      <c r="AG2085" s="86" t="s">
        <v>2084</v>
      </c>
      <c r="AH2085" s="81" t="b">
        <v>0</v>
      </c>
      <c r="AI2085" s="81" t="s">
        <v>2168</v>
      </c>
      <c r="AJ2085" s="81"/>
      <c r="AK2085" s="86" t="s">
        <v>2084</v>
      </c>
      <c r="AL2085" s="81" t="b">
        <v>0</v>
      </c>
      <c r="AM2085" s="81">
        <v>7</v>
      </c>
      <c r="AN2085" s="86" t="s">
        <v>13198</v>
      </c>
      <c r="AO2085" s="86" t="s">
        <v>2179</v>
      </c>
      <c r="AP2085" s="81" t="b">
        <v>0</v>
      </c>
      <c r="AQ2085" s="86" t="s">
        <v>13198</v>
      </c>
      <c r="AR2085" s="81" t="s">
        <v>179</v>
      </c>
      <c r="AS2085" s="81">
        <v>0</v>
      </c>
      <c r="AT2085" s="81">
        <v>0</v>
      </c>
      <c r="AU2085" s="81"/>
      <c r="AV2085" s="81"/>
      <c r="AW2085" s="81"/>
      <c r="AX2085" s="81"/>
      <c r="AY2085" s="81"/>
      <c r="AZ2085" s="81"/>
      <c r="BA2085" s="81"/>
      <c r="BB2085" s="81"/>
    </row>
    <row r="2086" spans="1:54" x14ac:dyDescent="0.35">
      <c r="A2086" s="66" t="s">
        <v>297</v>
      </c>
      <c r="B2086" s="66" t="s">
        <v>297</v>
      </c>
      <c r="C2086" s="67"/>
      <c r="D2086" s="68"/>
      <c r="E2086" s="69"/>
      <c r="F2086" s="70"/>
      <c r="G2086" s="67"/>
      <c r="H2086" s="71"/>
      <c r="I2086" s="72"/>
      <c r="J2086" s="72"/>
      <c r="K2086" s="36"/>
      <c r="L2086" s="79"/>
      <c r="M2086" s="79"/>
      <c r="N2086" s="74"/>
      <c r="O2086" s="81" t="s">
        <v>179</v>
      </c>
      <c r="P2086" s="83">
        <v>44459.604270833333</v>
      </c>
      <c r="Q2086" s="81" t="s">
        <v>702</v>
      </c>
      <c r="R2086" s="81"/>
      <c r="S2086" s="81"/>
      <c r="T2086" s="86" t="s">
        <v>972</v>
      </c>
      <c r="U2086" s="84" t="str">
        <f>HYPERLINK("https://pbs.twimg.com/media/E_vEDNvVIAkAnBd.jpg")</f>
        <v>https://pbs.twimg.com/media/E_vEDNvVIAkAnBd.jpg</v>
      </c>
      <c r="V2086" s="84" t="str">
        <f>HYPERLINK("https://pbs.twimg.com/media/E_vEDNvVIAkAnBd.jpg")</f>
        <v>https://pbs.twimg.com/media/E_vEDNvVIAkAnBd.jpg</v>
      </c>
      <c r="W2086" s="83">
        <v>44459.604270833333</v>
      </c>
      <c r="X2086" s="89">
        <v>44459</v>
      </c>
      <c r="Y2086" s="86" t="s">
        <v>1099</v>
      </c>
      <c r="Z2086" s="84" t="str">
        <f>HYPERLINK("https://twitter.com/jiniretselling/status/1439960073187442691")</f>
        <v>https://twitter.com/jiniretselling/status/1439960073187442691</v>
      </c>
      <c r="AA2086" s="81"/>
      <c r="AB2086" s="81"/>
      <c r="AC2086" s="86" t="s">
        <v>1597</v>
      </c>
      <c r="AD2086" s="81"/>
      <c r="AE2086" s="81" t="b">
        <v>0</v>
      </c>
      <c r="AF2086" s="81">
        <v>6</v>
      </c>
      <c r="AG2086" s="86" t="s">
        <v>2084</v>
      </c>
      <c r="AH2086" s="81" t="b">
        <v>0</v>
      </c>
      <c r="AI2086" s="81" t="s">
        <v>2168</v>
      </c>
      <c r="AJ2086" s="81"/>
      <c r="AK2086" s="86" t="s">
        <v>2084</v>
      </c>
      <c r="AL2086" s="81" t="b">
        <v>0</v>
      </c>
      <c r="AM2086" s="81">
        <v>10</v>
      </c>
      <c r="AN2086" s="86" t="s">
        <v>2084</v>
      </c>
      <c r="AO2086" s="86" t="s">
        <v>2179</v>
      </c>
      <c r="AP2086" s="81" t="b">
        <v>0</v>
      </c>
      <c r="AQ2086" s="86" t="s">
        <v>1597</v>
      </c>
      <c r="AR2086" s="81" t="s">
        <v>179</v>
      </c>
      <c r="AS2086" s="81">
        <v>0</v>
      </c>
      <c r="AT2086" s="81">
        <v>0</v>
      </c>
      <c r="AU2086" s="81"/>
      <c r="AV2086" s="81"/>
      <c r="AW2086" s="81"/>
      <c r="AX2086" s="81"/>
      <c r="AY2086" s="81"/>
      <c r="AZ2086" s="81"/>
      <c r="BA2086" s="81"/>
      <c r="BB2086" s="81"/>
    </row>
    <row r="2087" spans="1:54" x14ac:dyDescent="0.35">
      <c r="A2087" s="66" t="s">
        <v>237</v>
      </c>
      <c r="B2087" s="66" t="s">
        <v>297</v>
      </c>
      <c r="C2087" s="67"/>
      <c r="D2087" s="68"/>
      <c r="E2087" s="69"/>
      <c r="F2087" s="70"/>
      <c r="G2087" s="67"/>
      <c r="H2087" s="71"/>
      <c r="I2087" s="72"/>
      <c r="J2087" s="72"/>
      <c r="K2087" s="36"/>
      <c r="L2087" s="79"/>
      <c r="M2087" s="79"/>
      <c r="N2087" s="74"/>
      <c r="O2087" s="81" t="s">
        <v>693</v>
      </c>
      <c r="P2087" s="83">
        <v>44459.625787037039</v>
      </c>
      <c r="Q2087" s="81" t="s">
        <v>702</v>
      </c>
      <c r="R2087" s="81"/>
      <c r="S2087" s="81"/>
      <c r="T2087" s="86" t="s">
        <v>972</v>
      </c>
      <c r="U2087" s="84" t="str">
        <f>HYPERLINK("https://pbs.twimg.com/media/E_vEDNvVIAkAnBd.jpg")</f>
        <v>https://pbs.twimg.com/media/E_vEDNvVIAkAnBd.jpg</v>
      </c>
      <c r="V2087" s="84" t="str">
        <f>HYPERLINK("https://pbs.twimg.com/media/E_vEDNvVIAkAnBd.jpg")</f>
        <v>https://pbs.twimg.com/media/E_vEDNvVIAkAnBd.jpg</v>
      </c>
      <c r="W2087" s="83">
        <v>44459.625787037039</v>
      </c>
      <c r="X2087" s="89">
        <v>44459</v>
      </c>
      <c r="Y2087" s="86" t="s">
        <v>1032</v>
      </c>
      <c r="Z2087" s="84" t="str">
        <f>HYPERLINK("https://twitter.com/stayeri1/status/1439967872265064451")</f>
        <v>https://twitter.com/stayeri1/status/1439967872265064451</v>
      </c>
      <c r="AA2087" s="81"/>
      <c r="AB2087" s="81"/>
      <c r="AC2087" s="86" t="s">
        <v>1533</v>
      </c>
      <c r="AD2087" s="81"/>
      <c r="AE2087" s="81" t="b">
        <v>0</v>
      </c>
      <c r="AF2087" s="81">
        <v>0</v>
      </c>
      <c r="AG2087" s="86" t="s">
        <v>2084</v>
      </c>
      <c r="AH2087" s="81" t="b">
        <v>0</v>
      </c>
      <c r="AI2087" s="81" t="s">
        <v>2168</v>
      </c>
      <c r="AJ2087" s="81"/>
      <c r="AK2087" s="86" t="s">
        <v>2084</v>
      </c>
      <c r="AL2087" s="81" t="b">
        <v>0</v>
      </c>
      <c r="AM2087" s="81">
        <v>10</v>
      </c>
      <c r="AN2087" s="86" t="s">
        <v>1597</v>
      </c>
      <c r="AO2087" s="86" t="s">
        <v>2178</v>
      </c>
      <c r="AP2087" s="81" t="b">
        <v>0</v>
      </c>
      <c r="AQ2087" s="86" t="s">
        <v>1597</v>
      </c>
      <c r="AR2087" s="81" t="s">
        <v>179</v>
      </c>
      <c r="AS2087" s="81">
        <v>0</v>
      </c>
      <c r="AT2087" s="81">
        <v>0</v>
      </c>
      <c r="AU2087" s="81"/>
      <c r="AV2087" s="81"/>
      <c r="AW2087" s="81"/>
      <c r="AX2087" s="81"/>
      <c r="AY2087" s="81"/>
      <c r="AZ2087" s="81"/>
      <c r="BA2087" s="81"/>
      <c r="BB2087" s="81"/>
    </row>
    <row r="2088" spans="1:54" x14ac:dyDescent="0.35">
      <c r="A2088" s="66" t="s">
        <v>237</v>
      </c>
      <c r="B2088" s="66" t="s">
        <v>12564</v>
      </c>
      <c r="C2088" s="67"/>
      <c r="D2088" s="68"/>
      <c r="E2088" s="69"/>
      <c r="F2088" s="70"/>
      <c r="G2088" s="67"/>
      <c r="H2088" s="71"/>
      <c r="I2088" s="72"/>
      <c r="J2088" s="72"/>
      <c r="K2088" s="36"/>
      <c r="L2088" s="79"/>
      <c r="M2088" s="79"/>
      <c r="N2088" s="74"/>
      <c r="O2088" s="81" t="s">
        <v>693</v>
      </c>
      <c r="P2088" s="83">
        <v>44468.681932870371</v>
      </c>
      <c r="Q2088" s="81" t="s">
        <v>12794</v>
      </c>
      <c r="R2088" s="81"/>
      <c r="S2088" s="81"/>
      <c r="T2088" s="86" t="s">
        <v>4412</v>
      </c>
      <c r="U2088" s="84" t="str">
        <f>HYPERLINK("https://pbs.twimg.com/media/FAdyeveVIAEl4Y0.jpg")</f>
        <v>https://pbs.twimg.com/media/FAdyeveVIAEl4Y0.jpg</v>
      </c>
      <c r="V2088" s="84" t="str">
        <f>HYPERLINK("https://pbs.twimg.com/media/FAdyeveVIAEl4Y0.jpg")</f>
        <v>https://pbs.twimg.com/media/FAdyeveVIAEl4Y0.jpg</v>
      </c>
      <c r="W2088" s="83">
        <v>44468.681932870371</v>
      </c>
      <c r="X2088" s="89">
        <v>44468</v>
      </c>
      <c r="Y2088" s="86" t="s">
        <v>12959</v>
      </c>
      <c r="Z2088" s="84" t="str">
        <f>HYPERLINK("https://twitter.com/stayeri1/status/1443249708311343104")</f>
        <v>https://twitter.com/stayeri1/status/1443249708311343104</v>
      </c>
      <c r="AA2088" s="81"/>
      <c r="AB2088" s="81"/>
      <c r="AC2088" s="86" t="s">
        <v>13196</v>
      </c>
      <c r="AD2088" s="81"/>
      <c r="AE2088" s="81" t="b">
        <v>0</v>
      </c>
      <c r="AF2088" s="81">
        <v>0</v>
      </c>
      <c r="AG2088" s="86" t="s">
        <v>2084</v>
      </c>
      <c r="AH2088" s="81" t="b">
        <v>0</v>
      </c>
      <c r="AI2088" s="81" t="s">
        <v>2168</v>
      </c>
      <c r="AJ2088" s="81"/>
      <c r="AK2088" s="86" t="s">
        <v>2084</v>
      </c>
      <c r="AL2088" s="81" t="b">
        <v>0</v>
      </c>
      <c r="AM2088" s="81">
        <v>7</v>
      </c>
      <c r="AN2088" s="86" t="s">
        <v>13198</v>
      </c>
      <c r="AO2088" s="86" t="s">
        <v>2178</v>
      </c>
      <c r="AP2088" s="81" t="b">
        <v>0</v>
      </c>
      <c r="AQ2088" s="86" t="s">
        <v>13198</v>
      </c>
      <c r="AR2088" s="81" t="s">
        <v>179</v>
      </c>
      <c r="AS2088" s="81">
        <v>0</v>
      </c>
      <c r="AT2088" s="81">
        <v>0</v>
      </c>
      <c r="AU2088" s="81"/>
      <c r="AV2088" s="81"/>
      <c r="AW2088" s="81"/>
      <c r="AX2088" s="81"/>
      <c r="AY2088" s="81"/>
      <c r="AZ2088" s="81"/>
      <c r="BA2088" s="81"/>
      <c r="BB2088" s="81"/>
    </row>
    <row r="2089" spans="1:54" x14ac:dyDescent="0.35">
      <c r="A2089" s="66" t="s">
        <v>12563</v>
      </c>
      <c r="B2089" s="66" t="s">
        <v>12563</v>
      </c>
      <c r="C2089" s="67"/>
      <c r="D2089" s="68"/>
      <c r="E2089" s="69"/>
      <c r="F2089" s="70"/>
      <c r="G2089" s="67"/>
      <c r="H2089" s="71"/>
      <c r="I2089" s="72"/>
      <c r="J2089" s="72"/>
      <c r="K2089" s="36"/>
      <c r="L2089" s="79"/>
      <c r="M2089" s="79"/>
      <c r="N2089" s="74"/>
      <c r="O2089" s="81" t="s">
        <v>179</v>
      </c>
      <c r="P2089" s="83">
        <v>44468.682488425926</v>
      </c>
      <c r="Q2089" s="81" t="s">
        <v>12795</v>
      </c>
      <c r="R2089" s="84" t="str">
        <f>HYPERLINK("https://www.cascais24.pt/p/o-regresso-ao-escritorio-pos-covid.html?spref=tw")</f>
        <v>https://www.cascais24.pt/p/o-regresso-ao-escritorio-pos-covid.html?spref=tw</v>
      </c>
      <c r="S2089" s="81" t="s">
        <v>12858</v>
      </c>
      <c r="T2089" s="81"/>
      <c r="U2089" s="84" t="str">
        <f>HYPERLINK("https://pbs.twimg.com/media/FAd0JGDXoAQhZJ5.png")</f>
        <v>https://pbs.twimg.com/media/FAd0JGDXoAQhZJ5.png</v>
      </c>
      <c r="V2089" s="84" t="str">
        <f>HYPERLINK("https://pbs.twimg.com/media/FAd0JGDXoAQhZJ5.png")</f>
        <v>https://pbs.twimg.com/media/FAd0JGDXoAQhZJ5.png</v>
      </c>
      <c r="W2089" s="83">
        <v>44468.682488425926</v>
      </c>
      <c r="X2089" s="89">
        <v>44468</v>
      </c>
      <c r="Y2089" s="86" t="s">
        <v>12960</v>
      </c>
      <c r="Z2089" s="84" t="str">
        <f>HYPERLINK("https://twitter.com/cascais24_/status/1443249911911391236")</f>
        <v>https://twitter.com/cascais24_/status/1443249911911391236</v>
      </c>
      <c r="AA2089" s="81"/>
      <c r="AB2089" s="81"/>
      <c r="AC2089" s="86" t="s">
        <v>13197</v>
      </c>
      <c r="AD2089" s="81"/>
      <c r="AE2089" s="81" t="b">
        <v>0</v>
      </c>
      <c r="AF2089" s="81">
        <v>1</v>
      </c>
      <c r="AG2089" s="86" t="s">
        <v>2084</v>
      </c>
      <c r="AH2089" s="81" t="b">
        <v>0</v>
      </c>
      <c r="AI2089" s="81" t="s">
        <v>2171</v>
      </c>
      <c r="AJ2089" s="81"/>
      <c r="AK2089" s="86" t="s">
        <v>2084</v>
      </c>
      <c r="AL2089" s="81" t="b">
        <v>0</v>
      </c>
      <c r="AM2089" s="81">
        <v>0</v>
      </c>
      <c r="AN2089" s="86" t="s">
        <v>2084</v>
      </c>
      <c r="AO2089" s="86" t="s">
        <v>2181</v>
      </c>
      <c r="AP2089" s="81" t="b">
        <v>0</v>
      </c>
      <c r="AQ2089" s="86" t="s">
        <v>13197</v>
      </c>
      <c r="AR2089" s="81" t="s">
        <v>179</v>
      </c>
      <c r="AS2089" s="81">
        <v>0</v>
      </c>
      <c r="AT2089" s="81">
        <v>0</v>
      </c>
      <c r="AU2089" s="81"/>
      <c r="AV2089" s="81"/>
      <c r="AW2089" s="81"/>
      <c r="AX2089" s="81"/>
      <c r="AY2089" s="81"/>
      <c r="AZ2089" s="81"/>
      <c r="BA2089" s="81"/>
      <c r="BB2089" s="81"/>
    </row>
    <row r="2090" spans="1:54" x14ac:dyDescent="0.35">
      <c r="A2090" s="66" t="s">
        <v>12564</v>
      </c>
      <c r="B2090" s="66" t="s">
        <v>12564</v>
      </c>
      <c r="C2090" s="67"/>
      <c r="D2090" s="68"/>
      <c r="E2090" s="69"/>
      <c r="F2090" s="70"/>
      <c r="G2090" s="67"/>
      <c r="H2090" s="71"/>
      <c r="I2090" s="72"/>
      <c r="J2090" s="72"/>
      <c r="K2090" s="36"/>
      <c r="L2090" s="79"/>
      <c r="M2090" s="79"/>
      <c r="N2090" s="74"/>
      <c r="O2090" s="81" t="s">
        <v>179</v>
      </c>
      <c r="P2090" s="83">
        <v>44468.677453703705</v>
      </c>
      <c r="Q2090" s="81" t="s">
        <v>12794</v>
      </c>
      <c r="R2090" s="81"/>
      <c r="S2090" s="81"/>
      <c r="T2090" s="86" t="s">
        <v>4412</v>
      </c>
      <c r="U2090" s="84" t="str">
        <f>HYPERLINK("https://pbs.twimg.com/media/FAdyeveVIAEl4Y0.jpg")</f>
        <v>https://pbs.twimg.com/media/FAdyeveVIAEl4Y0.jpg</v>
      </c>
      <c r="V2090" s="84" t="str">
        <f>HYPERLINK("https://pbs.twimg.com/media/FAdyeveVIAEl4Y0.jpg")</f>
        <v>https://pbs.twimg.com/media/FAdyeveVIAEl4Y0.jpg</v>
      </c>
      <c r="W2090" s="83">
        <v>44468.677453703705</v>
      </c>
      <c r="X2090" s="89">
        <v>44468</v>
      </c>
      <c r="Y2090" s="86" t="s">
        <v>12961</v>
      </c>
      <c r="Z2090" s="84" t="str">
        <f>HYPERLINK("https://twitter.com/heartfullofhwaa/status/1443248083937103873")</f>
        <v>https://twitter.com/heartfullofhwaa/status/1443248083937103873</v>
      </c>
      <c r="AA2090" s="81"/>
      <c r="AB2090" s="81"/>
      <c r="AC2090" s="86" t="s">
        <v>13198</v>
      </c>
      <c r="AD2090" s="81"/>
      <c r="AE2090" s="81" t="b">
        <v>0</v>
      </c>
      <c r="AF2090" s="81">
        <v>4</v>
      </c>
      <c r="AG2090" s="86" t="s">
        <v>2084</v>
      </c>
      <c r="AH2090" s="81" t="b">
        <v>0</v>
      </c>
      <c r="AI2090" s="81" t="s">
        <v>2168</v>
      </c>
      <c r="AJ2090" s="81"/>
      <c r="AK2090" s="86" t="s">
        <v>2084</v>
      </c>
      <c r="AL2090" s="81" t="b">
        <v>0</v>
      </c>
      <c r="AM2090" s="81">
        <v>7</v>
      </c>
      <c r="AN2090" s="86" t="s">
        <v>2084</v>
      </c>
      <c r="AO2090" s="86" t="s">
        <v>2179</v>
      </c>
      <c r="AP2090" s="81" t="b">
        <v>0</v>
      </c>
      <c r="AQ2090" s="86" t="s">
        <v>13198</v>
      </c>
      <c r="AR2090" s="81" t="s">
        <v>179</v>
      </c>
      <c r="AS2090" s="81">
        <v>0</v>
      </c>
      <c r="AT2090" s="81">
        <v>0</v>
      </c>
      <c r="AU2090" s="81"/>
      <c r="AV2090" s="81"/>
      <c r="AW2090" s="81"/>
      <c r="AX2090" s="81"/>
      <c r="AY2090" s="81"/>
      <c r="AZ2090" s="81"/>
      <c r="BA2090" s="81"/>
      <c r="BB2090" s="81"/>
    </row>
    <row r="2091" spans="1:54" x14ac:dyDescent="0.35">
      <c r="A2091" s="66" t="s">
        <v>12565</v>
      </c>
      <c r="B2091" s="66" t="s">
        <v>12564</v>
      </c>
      <c r="C2091" s="67"/>
      <c r="D2091" s="68"/>
      <c r="E2091" s="69"/>
      <c r="F2091" s="70"/>
      <c r="G2091" s="67"/>
      <c r="H2091" s="71"/>
      <c r="I2091" s="72"/>
      <c r="J2091" s="72"/>
      <c r="K2091" s="36"/>
      <c r="L2091" s="79"/>
      <c r="M2091" s="79"/>
      <c r="N2091" s="74"/>
      <c r="O2091" s="81" t="s">
        <v>693</v>
      </c>
      <c r="P2091" s="83">
        <v>44468.683472222219</v>
      </c>
      <c r="Q2091" s="81" t="s">
        <v>12794</v>
      </c>
      <c r="R2091" s="81"/>
      <c r="S2091" s="81"/>
      <c r="T2091" s="86" t="s">
        <v>4412</v>
      </c>
      <c r="U2091" s="84" t="str">
        <f>HYPERLINK("https://pbs.twimg.com/media/FAdyeveVIAEl4Y0.jpg")</f>
        <v>https://pbs.twimg.com/media/FAdyeveVIAEl4Y0.jpg</v>
      </c>
      <c r="V2091" s="84" t="str">
        <f>HYPERLINK("https://pbs.twimg.com/media/FAdyeveVIAEl4Y0.jpg")</f>
        <v>https://pbs.twimg.com/media/FAdyeveVIAEl4Y0.jpg</v>
      </c>
      <c r="W2091" s="83">
        <v>44468.683472222219</v>
      </c>
      <c r="X2091" s="89">
        <v>44468</v>
      </c>
      <c r="Y2091" s="86" t="s">
        <v>12962</v>
      </c>
      <c r="Z2091" s="84" t="str">
        <f>HYPERLINK("https://twitter.com/velvhong/status/1443250264664797190")</f>
        <v>https://twitter.com/velvhong/status/1443250264664797190</v>
      </c>
      <c r="AA2091" s="81"/>
      <c r="AB2091" s="81"/>
      <c r="AC2091" s="86" t="s">
        <v>13199</v>
      </c>
      <c r="AD2091" s="81"/>
      <c r="AE2091" s="81" t="b">
        <v>0</v>
      </c>
      <c r="AF2091" s="81">
        <v>0</v>
      </c>
      <c r="AG2091" s="86" t="s">
        <v>2084</v>
      </c>
      <c r="AH2091" s="81" t="b">
        <v>0</v>
      </c>
      <c r="AI2091" s="81" t="s">
        <v>2168</v>
      </c>
      <c r="AJ2091" s="81"/>
      <c r="AK2091" s="86" t="s">
        <v>2084</v>
      </c>
      <c r="AL2091" s="81" t="b">
        <v>0</v>
      </c>
      <c r="AM2091" s="81">
        <v>7</v>
      </c>
      <c r="AN2091" s="86" t="s">
        <v>13198</v>
      </c>
      <c r="AO2091" s="86" t="s">
        <v>2178</v>
      </c>
      <c r="AP2091" s="81" t="b">
        <v>0</v>
      </c>
      <c r="AQ2091" s="86" t="s">
        <v>13198</v>
      </c>
      <c r="AR2091" s="81" t="s">
        <v>179</v>
      </c>
      <c r="AS2091" s="81">
        <v>0</v>
      </c>
      <c r="AT2091" s="81">
        <v>0</v>
      </c>
      <c r="AU2091" s="81"/>
      <c r="AV2091" s="81"/>
      <c r="AW2091" s="81"/>
      <c r="AX2091" s="81"/>
      <c r="AY2091" s="81"/>
      <c r="AZ2091" s="81"/>
      <c r="BA2091" s="81"/>
      <c r="BB2091" s="81"/>
    </row>
    <row r="2092" spans="1:54" x14ac:dyDescent="0.35">
      <c r="A2092" s="66" t="s">
        <v>12566</v>
      </c>
      <c r="B2092" s="66" t="s">
        <v>12590</v>
      </c>
      <c r="C2092" s="67"/>
      <c r="D2092" s="68"/>
      <c r="E2092" s="69"/>
      <c r="F2092" s="70"/>
      <c r="G2092" s="67"/>
      <c r="H2092" s="71"/>
      <c r="I2092" s="72"/>
      <c r="J2092" s="72"/>
      <c r="K2092" s="36"/>
      <c r="L2092" s="79"/>
      <c r="M2092" s="79"/>
      <c r="N2092" s="74"/>
      <c r="O2092" s="81" t="s">
        <v>693</v>
      </c>
      <c r="P2092" s="83">
        <v>44468.69804398148</v>
      </c>
      <c r="Q2092" s="81" t="s">
        <v>12783</v>
      </c>
      <c r="R2092" s="84" t="str">
        <f>HYPERLINK("https://noticias.adventistas.org/pt/coluna/heron-santana/jesus-cristo-na-pos-modernidade/")</f>
        <v>https://noticias.adventistas.org/pt/coluna/heron-santana/jesus-cristo-na-pos-modernidade/</v>
      </c>
      <c r="S2092" s="81" t="s">
        <v>5733</v>
      </c>
      <c r="T2092" s="81"/>
      <c r="U2092" s="84" t="str">
        <f>HYPERLINK("https://pbs.twimg.com/media/FAdU-vXXEAwhmcS.jpg")</f>
        <v>https://pbs.twimg.com/media/FAdU-vXXEAwhmcS.jpg</v>
      </c>
      <c r="V2092" s="84" t="str">
        <f>HYPERLINK("https://pbs.twimg.com/media/FAdU-vXXEAwhmcS.jpg")</f>
        <v>https://pbs.twimg.com/media/FAdU-vXXEAwhmcS.jpg</v>
      </c>
      <c r="W2092" s="83">
        <v>44468.69804398148</v>
      </c>
      <c r="X2092" s="89">
        <v>44468</v>
      </c>
      <c r="Y2092" s="86" t="s">
        <v>12963</v>
      </c>
      <c r="Z2092" s="84" t="str">
        <f>HYPERLINK("https://twitter.com/andarom/status/1443255545172041733")</f>
        <v>https://twitter.com/andarom/status/1443255545172041733</v>
      </c>
      <c r="AA2092" s="81"/>
      <c r="AB2092" s="81"/>
      <c r="AC2092" s="86" t="s">
        <v>13200</v>
      </c>
      <c r="AD2092" s="81"/>
      <c r="AE2092" s="81" t="b">
        <v>0</v>
      </c>
      <c r="AF2092" s="81">
        <v>0</v>
      </c>
      <c r="AG2092" s="86" t="s">
        <v>2084</v>
      </c>
      <c r="AH2092" s="81" t="b">
        <v>0</v>
      </c>
      <c r="AI2092" s="81" t="s">
        <v>2171</v>
      </c>
      <c r="AJ2092" s="81"/>
      <c r="AK2092" s="86" t="s">
        <v>2084</v>
      </c>
      <c r="AL2092" s="81" t="b">
        <v>0</v>
      </c>
      <c r="AM2092" s="81">
        <v>6</v>
      </c>
      <c r="AN2092" s="86" t="s">
        <v>13250</v>
      </c>
      <c r="AO2092" s="86" t="s">
        <v>2181</v>
      </c>
      <c r="AP2092" s="81" t="b">
        <v>0</v>
      </c>
      <c r="AQ2092" s="86" t="s">
        <v>13250</v>
      </c>
      <c r="AR2092" s="81" t="s">
        <v>179</v>
      </c>
      <c r="AS2092" s="81">
        <v>0</v>
      </c>
      <c r="AT2092" s="81">
        <v>0</v>
      </c>
      <c r="AU2092" s="81"/>
      <c r="AV2092" s="81"/>
      <c r="AW2092" s="81"/>
      <c r="AX2092" s="81"/>
      <c r="AY2092" s="81"/>
      <c r="AZ2092" s="81"/>
      <c r="BA2092" s="81"/>
      <c r="BB2092" s="81"/>
    </row>
    <row r="2093" spans="1:54" x14ac:dyDescent="0.35">
      <c r="A2093" s="66" t="s">
        <v>12567</v>
      </c>
      <c r="B2093" s="66" t="s">
        <v>12567</v>
      </c>
      <c r="C2093" s="67"/>
      <c r="D2093" s="68"/>
      <c r="E2093" s="69"/>
      <c r="F2093" s="70"/>
      <c r="G2093" s="67"/>
      <c r="H2093" s="71"/>
      <c r="I2093" s="72"/>
      <c r="J2093" s="72"/>
      <c r="K2093" s="36"/>
      <c r="L2093" s="79"/>
      <c r="M2093" s="79"/>
      <c r="N2093" s="74"/>
      <c r="O2093" s="81" t="s">
        <v>179</v>
      </c>
      <c r="P2093" s="83">
        <v>44468.635601851849</v>
      </c>
      <c r="Q2093" s="81" t="s">
        <v>12788</v>
      </c>
      <c r="R2093" s="84" t="str">
        <f>HYPERLINK("https://noticias.uc.pt/artigos/uc-promove-conferencia-internacional-acesso-a-justica-e-digitalizacao-desafios-pos-pandemia/")</f>
        <v>https://noticias.uc.pt/artigos/uc-promove-conferencia-internacional-acesso-a-justica-e-digitalizacao-desafios-pos-pandemia/</v>
      </c>
      <c r="S2093" s="81" t="s">
        <v>12856</v>
      </c>
      <c r="T2093" s="86" t="s">
        <v>12868</v>
      </c>
      <c r="U2093" s="81"/>
      <c r="V2093" s="84" t="str">
        <f>HYPERLINK("https://pbs.twimg.com/profile_images/1143441418058420224/JuY2FOx9_normal.png")</f>
        <v>https://pbs.twimg.com/profile_images/1143441418058420224/JuY2FOx9_normal.png</v>
      </c>
      <c r="W2093" s="83">
        <v>44468.635601851849</v>
      </c>
      <c r="X2093" s="89">
        <v>44468</v>
      </c>
      <c r="Y2093" s="86" t="s">
        <v>12964</v>
      </c>
      <c r="Z2093" s="84" t="str">
        <f>HYPERLINK("https://twitter.com/univdecoimbra/status/1443232918529314825")</f>
        <v>https://twitter.com/univdecoimbra/status/1443232918529314825</v>
      </c>
      <c r="AA2093" s="81"/>
      <c r="AB2093" s="81"/>
      <c r="AC2093" s="86" t="s">
        <v>13201</v>
      </c>
      <c r="AD2093" s="81"/>
      <c r="AE2093" s="81" t="b">
        <v>0</v>
      </c>
      <c r="AF2093" s="81">
        <v>4</v>
      </c>
      <c r="AG2093" s="86" t="s">
        <v>2084</v>
      </c>
      <c r="AH2093" s="81" t="b">
        <v>0</v>
      </c>
      <c r="AI2093" s="81" t="s">
        <v>2171</v>
      </c>
      <c r="AJ2093" s="81"/>
      <c r="AK2093" s="86" t="s">
        <v>2084</v>
      </c>
      <c r="AL2093" s="81" t="b">
        <v>0</v>
      </c>
      <c r="AM2093" s="81">
        <v>2</v>
      </c>
      <c r="AN2093" s="86" t="s">
        <v>2084</v>
      </c>
      <c r="AO2093" s="86" t="s">
        <v>2181</v>
      </c>
      <c r="AP2093" s="81" t="b">
        <v>0</v>
      </c>
      <c r="AQ2093" s="86" t="s">
        <v>13201</v>
      </c>
      <c r="AR2093" s="81" t="s">
        <v>179</v>
      </c>
      <c r="AS2093" s="81">
        <v>0</v>
      </c>
      <c r="AT2093" s="81">
        <v>0</v>
      </c>
      <c r="AU2093" s="81"/>
      <c r="AV2093" s="81"/>
      <c r="AW2093" s="81"/>
      <c r="AX2093" s="81"/>
      <c r="AY2093" s="81"/>
      <c r="AZ2093" s="81"/>
      <c r="BA2093" s="81"/>
      <c r="BB2093" s="81"/>
    </row>
    <row r="2094" spans="1:54" x14ac:dyDescent="0.35">
      <c r="A2094" s="66" t="s">
        <v>12568</v>
      </c>
      <c r="B2094" s="66" t="s">
        <v>12567</v>
      </c>
      <c r="C2094" s="67"/>
      <c r="D2094" s="68"/>
      <c r="E2094" s="69"/>
      <c r="F2094" s="70"/>
      <c r="G2094" s="67"/>
      <c r="H2094" s="71"/>
      <c r="I2094" s="72"/>
      <c r="J2094" s="72"/>
      <c r="K2094" s="36"/>
      <c r="L2094" s="79"/>
      <c r="M2094" s="79"/>
      <c r="N2094" s="74"/>
      <c r="O2094" s="81" t="s">
        <v>694</v>
      </c>
      <c r="P2094" s="83">
        <v>44468.710694444446</v>
      </c>
      <c r="Q2094" s="81" t="s">
        <v>12788</v>
      </c>
      <c r="R2094" s="84" t="str">
        <f>HYPERLINK("https://noticias.uc.pt/artigos/uc-promove-conferencia-internacional-acesso-a-justica-e-digitalizacao-desafios-pos-pandemia/")</f>
        <v>https://noticias.uc.pt/artigos/uc-promove-conferencia-internacional-acesso-a-justica-e-digitalizacao-desafios-pos-pandemia/</v>
      </c>
      <c r="S2094" s="81" t="s">
        <v>12856</v>
      </c>
      <c r="T2094" s="86" t="s">
        <v>12868</v>
      </c>
      <c r="U2094" s="81"/>
      <c r="V2094" s="84" t="str">
        <f>HYPERLINK("https://pbs.twimg.com/profile_images/1174737899939610624/GSdi6Y7E_normal.jpg")</f>
        <v>https://pbs.twimg.com/profile_images/1174737899939610624/GSdi6Y7E_normal.jpg</v>
      </c>
      <c r="W2094" s="83">
        <v>44468.710694444446</v>
      </c>
      <c r="X2094" s="89">
        <v>44468</v>
      </c>
      <c r="Y2094" s="86" t="s">
        <v>12965</v>
      </c>
      <c r="Z2094" s="84" t="str">
        <f>HYPERLINK("https://twitter.com/luisb/status/1443260132536750080")</f>
        <v>https://twitter.com/luisb/status/1443260132536750080</v>
      </c>
      <c r="AA2094" s="81"/>
      <c r="AB2094" s="81"/>
      <c r="AC2094" s="86" t="s">
        <v>13202</v>
      </c>
      <c r="AD2094" s="81"/>
      <c r="AE2094" s="81" t="b">
        <v>0</v>
      </c>
      <c r="AF2094" s="81">
        <v>0</v>
      </c>
      <c r="AG2094" s="86" t="s">
        <v>2084</v>
      </c>
      <c r="AH2094" s="81" t="b">
        <v>0</v>
      </c>
      <c r="AI2094" s="81" t="s">
        <v>2171</v>
      </c>
      <c r="AJ2094" s="81"/>
      <c r="AK2094" s="86" t="s">
        <v>2084</v>
      </c>
      <c r="AL2094" s="81" t="b">
        <v>0</v>
      </c>
      <c r="AM2094" s="81">
        <v>2</v>
      </c>
      <c r="AN2094" s="86" t="s">
        <v>13201</v>
      </c>
      <c r="AO2094" s="86" t="s">
        <v>2181</v>
      </c>
      <c r="AP2094" s="81" t="b">
        <v>0</v>
      </c>
      <c r="AQ2094" s="86" t="s">
        <v>13201</v>
      </c>
      <c r="AR2094" s="81" t="s">
        <v>179</v>
      </c>
      <c r="AS2094" s="81">
        <v>0</v>
      </c>
      <c r="AT2094" s="81">
        <v>0</v>
      </c>
      <c r="AU2094" s="81"/>
      <c r="AV2094" s="81"/>
      <c r="AW2094" s="81"/>
      <c r="AX2094" s="81"/>
      <c r="AY2094" s="81"/>
      <c r="AZ2094" s="81"/>
      <c r="BA2094" s="81"/>
      <c r="BB2094" s="81"/>
    </row>
    <row r="2095" spans="1:54" x14ac:dyDescent="0.35">
      <c r="A2095" s="66" t="s">
        <v>12568</v>
      </c>
      <c r="B2095" s="66" t="s">
        <v>12567</v>
      </c>
      <c r="C2095" s="67"/>
      <c r="D2095" s="68"/>
      <c r="E2095" s="69"/>
      <c r="F2095" s="70"/>
      <c r="G2095" s="67"/>
      <c r="H2095" s="71"/>
      <c r="I2095" s="72"/>
      <c r="J2095" s="72"/>
      <c r="K2095" s="36"/>
      <c r="L2095" s="79"/>
      <c r="M2095" s="79"/>
      <c r="N2095" s="74"/>
      <c r="O2095" s="81" t="s">
        <v>693</v>
      </c>
      <c r="P2095" s="83">
        <v>44468.710694444446</v>
      </c>
      <c r="Q2095" s="81" t="s">
        <v>12788</v>
      </c>
      <c r="R2095" s="84" t="str">
        <f>HYPERLINK("https://noticias.uc.pt/artigos/uc-promove-conferencia-internacional-acesso-a-justica-e-digitalizacao-desafios-pos-pandemia/")</f>
        <v>https://noticias.uc.pt/artigos/uc-promove-conferencia-internacional-acesso-a-justica-e-digitalizacao-desafios-pos-pandemia/</v>
      </c>
      <c r="S2095" s="81" t="s">
        <v>12856</v>
      </c>
      <c r="T2095" s="86" t="s">
        <v>12868</v>
      </c>
      <c r="U2095" s="81"/>
      <c r="V2095" s="84" t="str">
        <f>HYPERLINK("https://pbs.twimg.com/profile_images/1174737899939610624/GSdi6Y7E_normal.jpg")</f>
        <v>https://pbs.twimg.com/profile_images/1174737899939610624/GSdi6Y7E_normal.jpg</v>
      </c>
      <c r="W2095" s="83">
        <v>44468.710694444446</v>
      </c>
      <c r="X2095" s="89">
        <v>44468</v>
      </c>
      <c r="Y2095" s="86" t="s">
        <v>12965</v>
      </c>
      <c r="Z2095" s="84" t="str">
        <f>HYPERLINK("https://twitter.com/luisb/status/1443260132536750080")</f>
        <v>https://twitter.com/luisb/status/1443260132536750080</v>
      </c>
      <c r="AA2095" s="81"/>
      <c r="AB2095" s="81"/>
      <c r="AC2095" s="86" t="s">
        <v>13202</v>
      </c>
      <c r="AD2095" s="81"/>
      <c r="AE2095" s="81" t="b">
        <v>0</v>
      </c>
      <c r="AF2095" s="81">
        <v>0</v>
      </c>
      <c r="AG2095" s="86" t="s">
        <v>2084</v>
      </c>
      <c r="AH2095" s="81" t="b">
        <v>0</v>
      </c>
      <c r="AI2095" s="81" t="s">
        <v>2171</v>
      </c>
      <c r="AJ2095" s="81"/>
      <c r="AK2095" s="86" t="s">
        <v>2084</v>
      </c>
      <c r="AL2095" s="81" t="b">
        <v>0</v>
      </c>
      <c r="AM2095" s="81">
        <v>2</v>
      </c>
      <c r="AN2095" s="86" t="s">
        <v>13201</v>
      </c>
      <c r="AO2095" s="86" t="s">
        <v>2181</v>
      </c>
      <c r="AP2095" s="81" t="b">
        <v>0</v>
      </c>
      <c r="AQ2095" s="86" t="s">
        <v>13201</v>
      </c>
      <c r="AR2095" s="81" t="s">
        <v>179</v>
      </c>
      <c r="AS2095" s="81">
        <v>0</v>
      </c>
      <c r="AT2095" s="81">
        <v>0</v>
      </c>
      <c r="AU2095" s="81"/>
      <c r="AV2095" s="81"/>
      <c r="AW2095" s="81"/>
      <c r="AX2095" s="81"/>
      <c r="AY2095" s="81"/>
      <c r="AZ2095" s="81"/>
      <c r="BA2095" s="81"/>
      <c r="BB2095" s="81"/>
    </row>
    <row r="2096" spans="1:54" x14ac:dyDescent="0.35">
      <c r="A2096" s="66" t="s">
        <v>12569</v>
      </c>
      <c r="B2096" s="66" t="s">
        <v>12569</v>
      </c>
      <c r="C2096" s="67"/>
      <c r="D2096" s="68"/>
      <c r="E2096" s="69"/>
      <c r="F2096" s="70"/>
      <c r="G2096" s="67"/>
      <c r="H2096" s="71"/>
      <c r="I2096" s="72"/>
      <c r="J2096" s="72"/>
      <c r="K2096" s="36"/>
      <c r="L2096" s="79"/>
      <c r="M2096" s="79"/>
      <c r="N2096" s="74"/>
      <c r="O2096" s="81" t="s">
        <v>179</v>
      </c>
      <c r="P2096" s="83">
        <v>44468.725243055553</v>
      </c>
      <c r="Q2096" s="81" t="s">
        <v>12796</v>
      </c>
      <c r="R2096" s="81"/>
      <c r="S2096" s="81"/>
      <c r="T2096" s="81"/>
      <c r="U2096" s="81"/>
      <c r="V2096" s="84" t="str">
        <f>HYPERLINK("https://pbs.twimg.com/profile_images/1431371075019960324/QLQMKIPk_normal.jpg")</f>
        <v>https://pbs.twimg.com/profile_images/1431371075019960324/QLQMKIPk_normal.jpg</v>
      </c>
      <c r="W2096" s="83">
        <v>44468.725243055553</v>
      </c>
      <c r="X2096" s="89">
        <v>44468</v>
      </c>
      <c r="Y2096" s="86" t="s">
        <v>12966</v>
      </c>
      <c r="Z2096" s="84" t="str">
        <f>HYPERLINK("https://twitter.com/alephwang/status/1443265402826465284")</f>
        <v>https://twitter.com/alephwang/status/1443265402826465284</v>
      </c>
      <c r="AA2096" s="81"/>
      <c r="AB2096" s="81"/>
      <c r="AC2096" s="86" t="s">
        <v>13203</v>
      </c>
      <c r="AD2096" s="81"/>
      <c r="AE2096" s="81" t="b">
        <v>0</v>
      </c>
      <c r="AF2096" s="81">
        <v>0</v>
      </c>
      <c r="AG2096" s="86" t="s">
        <v>2084</v>
      </c>
      <c r="AH2096" s="81" t="b">
        <v>0</v>
      </c>
      <c r="AI2096" s="81" t="s">
        <v>2167</v>
      </c>
      <c r="AJ2096" s="81"/>
      <c r="AK2096" s="86" t="s">
        <v>2084</v>
      </c>
      <c r="AL2096" s="81" t="b">
        <v>0</v>
      </c>
      <c r="AM2096" s="81">
        <v>0</v>
      </c>
      <c r="AN2096" s="86" t="s">
        <v>2084</v>
      </c>
      <c r="AO2096" s="86" t="s">
        <v>2178</v>
      </c>
      <c r="AP2096" s="81" t="b">
        <v>0</v>
      </c>
      <c r="AQ2096" s="86" t="s">
        <v>13203</v>
      </c>
      <c r="AR2096" s="81" t="s">
        <v>179</v>
      </c>
      <c r="AS2096" s="81">
        <v>0</v>
      </c>
      <c r="AT2096" s="81">
        <v>0</v>
      </c>
      <c r="AU2096" s="81"/>
      <c r="AV2096" s="81"/>
      <c r="AW2096" s="81"/>
      <c r="AX2096" s="81"/>
      <c r="AY2096" s="81"/>
      <c r="AZ2096" s="81"/>
      <c r="BA2096" s="81"/>
      <c r="BB2096" s="81"/>
    </row>
    <row r="2097" spans="1:54" x14ac:dyDescent="0.35">
      <c r="A2097" s="66" t="s">
        <v>12570</v>
      </c>
      <c r="B2097" s="66" t="s">
        <v>12570</v>
      </c>
      <c r="C2097" s="67"/>
      <c r="D2097" s="68"/>
      <c r="E2097" s="69"/>
      <c r="F2097" s="70"/>
      <c r="G2097" s="67"/>
      <c r="H2097" s="71"/>
      <c r="I2097" s="72"/>
      <c r="J2097" s="72"/>
      <c r="K2097" s="36"/>
      <c r="L2097" s="79"/>
      <c r="M2097" s="79"/>
      <c r="N2097" s="74"/>
      <c r="O2097" s="81" t="s">
        <v>179</v>
      </c>
      <c r="P2097" s="83">
        <v>44468.729444444441</v>
      </c>
      <c r="Q2097" s="81" t="s">
        <v>12797</v>
      </c>
      <c r="R2097" s="84" t="str">
        <f>HYPERLINK("https://cirsf.eu/site/uploads/noticias/documentos/91C1EEBE-FB240_1.pdf")</f>
        <v>https://cirsf.eu/site/uploads/noticias/documentos/91C1EEBE-FB240_1.pdf</v>
      </c>
      <c r="S2097" s="81" t="s">
        <v>12859</v>
      </c>
      <c r="T2097" s="86" t="s">
        <v>12871</v>
      </c>
      <c r="U2097" s="84" t="str">
        <f>HYPERLINK("https://pbs.twimg.com/media/FAeDKL7WUAI1SFN.jpg")</f>
        <v>https://pbs.twimg.com/media/FAeDKL7WUAI1SFN.jpg</v>
      </c>
      <c r="V2097" s="84" t="str">
        <f>HYPERLINK("https://pbs.twimg.com/media/FAeDKL7WUAI1SFN.jpg")</f>
        <v>https://pbs.twimg.com/media/FAeDKL7WUAI1SFN.jpg</v>
      </c>
      <c r="W2097" s="83">
        <v>44468.729444444441</v>
      </c>
      <c r="X2097" s="89">
        <v>44468</v>
      </c>
      <c r="Y2097" s="86" t="s">
        <v>12967</v>
      </c>
      <c r="Z2097" s="84" t="str">
        <f>HYPERLINK("https://twitter.com/cmvm_pt/status/1443266924885024768")</f>
        <v>https://twitter.com/cmvm_pt/status/1443266924885024768</v>
      </c>
      <c r="AA2097" s="81"/>
      <c r="AB2097" s="81"/>
      <c r="AC2097" s="86" t="s">
        <v>13204</v>
      </c>
      <c r="AD2097" s="81"/>
      <c r="AE2097" s="81" t="b">
        <v>0</v>
      </c>
      <c r="AF2097" s="81">
        <v>0</v>
      </c>
      <c r="AG2097" s="86" t="s">
        <v>2084</v>
      </c>
      <c r="AH2097" s="81" t="b">
        <v>0</v>
      </c>
      <c r="AI2097" s="81" t="s">
        <v>2171</v>
      </c>
      <c r="AJ2097" s="81"/>
      <c r="AK2097" s="86" t="s">
        <v>2084</v>
      </c>
      <c r="AL2097" s="81" t="b">
        <v>0</v>
      </c>
      <c r="AM2097" s="81">
        <v>0</v>
      </c>
      <c r="AN2097" s="86" t="s">
        <v>2084</v>
      </c>
      <c r="AO2097" s="86" t="s">
        <v>2181</v>
      </c>
      <c r="AP2097" s="81" t="b">
        <v>0</v>
      </c>
      <c r="AQ2097" s="86" t="s">
        <v>13204</v>
      </c>
      <c r="AR2097" s="81" t="s">
        <v>179</v>
      </c>
      <c r="AS2097" s="81">
        <v>0</v>
      </c>
      <c r="AT2097" s="81">
        <v>0</v>
      </c>
      <c r="AU2097" s="81"/>
      <c r="AV2097" s="81"/>
      <c r="AW2097" s="81"/>
      <c r="AX2097" s="81"/>
      <c r="AY2097" s="81"/>
      <c r="AZ2097" s="81"/>
      <c r="BA2097" s="81"/>
      <c r="BB2097" s="81"/>
    </row>
    <row r="2098" spans="1:54" x14ac:dyDescent="0.35">
      <c r="A2098" s="66" t="s">
        <v>12571</v>
      </c>
      <c r="B2098" s="66" t="s">
        <v>4982</v>
      </c>
      <c r="C2098" s="67"/>
      <c r="D2098" s="68"/>
      <c r="E2098" s="69"/>
      <c r="F2098" s="70"/>
      <c r="G2098" s="67"/>
      <c r="H2098" s="71"/>
      <c r="I2098" s="72"/>
      <c r="J2098" s="72"/>
      <c r="K2098" s="36"/>
      <c r="L2098" s="79"/>
      <c r="M2098" s="79"/>
      <c r="N2098" s="74"/>
      <c r="O2098" s="81" t="s">
        <v>696</v>
      </c>
      <c r="P2098" s="83">
        <v>44468.731041666666</v>
      </c>
      <c r="Q2098" s="81" t="s">
        <v>12798</v>
      </c>
      <c r="R2098" s="84" t="str">
        <f>HYPERLINK("https://www.gov.br/anvisa/pt-br/assuntos/noticias-anvisa/2021/anvisa-alerta-sobre-risco-de-miocardite-e-pericardite-pos-vacinacao#:~:text=A%20Anvisa%20informa%20que,a%20Pfizer%20e%20da%20Moderna")</f>
        <v>https://www.gov.br/anvisa/pt-br/assuntos/noticias-anvisa/2021/anvisa-alerta-sobre-risco-de-miocardite-e-pericardite-pos-vacinacao#:~:text=A%20Anvisa%20informa%20que,a%20Pfizer%20e%20da%20Moderna</v>
      </c>
      <c r="S2098" s="81" t="s">
        <v>5686</v>
      </c>
      <c r="T2098" s="81"/>
      <c r="U2098" s="81"/>
      <c r="V2098" s="84" t="str">
        <f>HYPERLINK("https://pbs.twimg.com/profile_images/1327316086098956289/NgEQu6pi_normal.jpg")</f>
        <v>https://pbs.twimg.com/profile_images/1327316086098956289/NgEQu6pi_normal.jpg</v>
      </c>
      <c r="W2098" s="83">
        <v>44468.731041666666</v>
      </c>
      <c r="X2098" s="89">
        <v>44468</v>
      </c>
      <c r="Y2098" s="86" t="s">
        <v>12968</v>
      </c>
      <c r="Z2098" s="84" t="str">
        <f>HYPERLINK("https://twitter.com/marcio_clay/status/1443267504730685443")</f>
        <v>https://twitter.com/marcio_clay/status/1443267504730685443</v>
      </c>
      <c r="AA2098" s="81"/>
      <c r="AB2098" s="81"/>
      <c r="AC2098" s="86" t="s">
        <v>13205</v>
      </c>
      <c r="AD2098" s="86" t="s">
        <v>13380</v>
      </c>
      <c r="AE2098" s="81" t="b">
        <v>0</v>
      </c>
      <c r="AF2098" s="81">
        <v>3</v>
      </c>
      <c r="AG2098" s="86" t="s">
        <v>13421</v>
      </c>
      <c r="AH2098" s="81" t="b">
        <v>0</v>
      </c>
      <c r="AI2098" s="81" t="s">
        <v>2171</v>
      </c>
      <c r="AJ2098" s="81"/>
      <c r="AK2098" s="86" t="s">
        <v>2084</v>
      </c>
      <c r="AL2098" s="81" t="b">
        <v>0</v>
      </c>
      <c r="AM2098" s="81">
        <v>0</v>
      </c>
      <c r="AN2098" s="86" t="s">
        <v>2084</v>
      </c>
      <c r="AO2098" s="86" t="s">
        <v>2178</v>
      </c>
      <c r="AP2098" s="81" t="b">
        <v>0</v>
      </c>
      <c r="AQ2098" s="86" t="s">
        <v>13380</v>
      </c>
      <c r="AR2098" s="81" t="s">
        <v>179</v>
      </c>
      <c r="AS2098" s="81">
        <v>0</v>
      </c>
      <c r="AT2098" s="81">
        <v>0</v>
      </c>
      <c r="AU2098" s="81"/>
      <c r="AV2098" s="81"/>
      <c r="AW2098" s="81"/>
      <c r="AX2098" s="81"/>
      <c r="AY2098" s="81"/>
      <c r="AZ2098" s="81"/>
      <c r="BA2098" s="81"/>
      <c r="BB2098" s="81"/>
    </row>
    <row r="2099" spans="1:54" x14ac:dyDescent="0.35">
      <c r="A2099" s="66" t="s">
        <v>12571</v>
      </c>
      <c r="B2099" s="66" t="s">
        <v>12703</v>
      </c>
      <c r="C2099" s="67"/>
      <c r="D2099" s="68"/>
      <c r="E2099" s="69"/>
      <c r="F2099" s="70"/>
      <c r="G2099" s="67"/>
      <c r="H2099" s="71"/>
      <c r="I2099" s="72"/>
      <c r="J2099" s="72"/>
      <c r="K2099" s="36"/>
      <c r="L2099" s="79"/>
      <c r="M2099" s="79"/>
      <c r="N2099" s="74"/>
      <c r="O2099" s="81" t="s">
        <v>696</v>
      </c>
      <c r="P2099" s="83">
        <v>44468.731041666666</v>
      </c>
      <c r="Q2099" s="81" t="s">
        <v>12798</v>
      </c>
      <c r="R2099" s="84" t="str">
        <f>HYPERLINK("https://www.gov.br/anvisa/pt-br/assuntos/noticias-anvisa/2021/anvisa-alerta-sobre-risco-de-miocardite-e-pericardite-pos-vacinacao#:~:text=A%20Anvisa%20informa%20que,a%20Pfizer%20e%20da%20Moderna")</f>
        <v>https://www.gov.br/anvisa/pt-br/assuntos/noticias-anvisa/2021/anvisa-alerta-sobre-risco-de-miocardite-e-pericardite-pos-vacinacao#:~:text=A%20Anvisa%20informa%20que,a%20Pfizer%20e%20da%20Moderna</v>
      </c>
      <c r="S2099" s="81" t="s">
        <v>5686</v>
      </c>
      <c r="T2099" s="81"/>
      <c r="U2099" s="81"/>
      <c r="V2099" s="84" t="str">
        <f>HYPERLINK("https://pbs.twimg.com/profile_images/1327316086098956289/NgEQu6pi_normal.jpg")</f>
        <v>https://pbs.twimg.com/profile_images/1327316086098956289/NgEQu6pi_normal.jpg</v>
      </c>
      <c r="W2099" s="83">
        <v>44468.731041666666</v>
      </c>
      <c r="X2099" s="89">
        <v>44468</v>
      </c>
      <c r="Y2099" s="86" t="s">
        <v>12968</v>
      </c>
      <c r="Z2099" s="84" t="str">
        <f>HYPERLINK("https://twitter.com/marcio_clay/status/1443267504730685443")</f>
        <v>https://twitter.com/marcio_clay/status/1443267504730685443</v>
      </c>
      <c r="AA2099" s="81"/>
      <c r="AB2099" s="81"/>
      <c r="AC2099" s="86" t="s">
        <v>13205</v>
      </c>
      <c r="AD2099" s="86" t="s">
        <v>13380</v>
      </c>
      <c r="AE2099" s="81" t="b">
        <v>0</v>
      </c>
      <c r="AF2099" s="81">
        <v>3</v>
      </c>
      <c r="AG2099" s="86" t="s">
        <v>13421</v>
      </c>
      <c r="AH2099" s="81" t="b">
        <v>0</v>
      </c>
      <c r="AI2099" s="81" t="s">
        <v>2171</v>
      </c>
      <c r="AJ2099" s="81"/>
      <c r="AK2099" s="86" t="s">
        <v>2084</v>
      </c>
      <c r="AL2099" s="81" t="b">
        <v>0</v>
      </c>
      <c r="AM2099" s="81">
        <v>0</v>
      </c>
      <c r="AN2099" s="86" t="s">
        <v>2084</v>
      </c>
      <c r="AO2099" s="86" t="s">
        <v>2178</v>
      </c>
      <c r="AP2099" s="81" t="b">
        <v>0</v>
      </c>
      <c r="AQ2099" s="86" t="s">
        <v>13380</v>
      </c>
      <c r="AR2099" s="81" t="s">
        <v>179</v>
      </c>
      <c r="AS2099" s="81">
        <v>0</v>
      </c>
      <c r="AT2099" s="81">
        <v>0</v>
      </c>
      <c r="AU2099" s="81"/>
      <c r="AV2099" s="81"/>
      <c r="AW2099" s="81"/>
      <c r="AX2099" s="81"/>
      <c r="AY2099" s="81"/>
      <c r="AZ2099" s="81"/>
      <c r="BA2099" s="81"/>
      <c r="BB2099" s="81"/>
    </row>
    <row r="2100" spans="1:54" x14ac:dyDescent="0.35">
      <c r="A2100" s="66" t="s">
        <v>12571</v>
      </c>
      <c r="B2100" s="66" t="s">
        <v>12704</v>
      </c>
      <c r="C2100" s="67"/>
      <c r="D2100" s="68"/>
      <c r="E2100" s="69"/>
      <c r="F2100" s="70"/>
      <c r="G2100" s="67"/>
      <c r="H2100" s="71"/>
      <c r="I2100" s="72"/>
      <c r="J2100" s="72"/>
      <c r="K2100" s="36"/>
      <c r="L2100" s="79"/>
      <c r="M2100" s="79"/>
      <c r="N2100" s="74"/>
      <c r="O2100" s="81" t="s">
        <v>695</v>
      </c>
      <c r="P2100" s="83">
        <v>44468.731041666666</v>
      </c>
      <c r="Q2100" s="81" t="s">
        <v>12798</v>
      </c>
      <c r="R2100" s="84" t="str">
        <f>HYPERLINK("https://www.gov.br/anvisa/pt-br/assuntos/noticias-anvisa/2021/anvisa-alerta-sobre-risco-de-miocardite-e-pericardite-pos-vacinacao#:~:text=A%20Anvisa%20informa%20que,a%20Pfizer%20e%20da%20Moderna")</f>
        <v>https://www.gov.br/anvisa/pt-br/assuntos/noticias-anvisa/2021/anvisa-alerta-sobre-risco-de-miocardite-e-pericardite-pos-vacinacao#:~:text=A%20Anvisa%20informa%20que,a%20Pfizer%20e%20da%20Moderna</v>
      </c>
      <c r="S2100" s="81" t="s">
        <v>5686</v>
      </c>
      <c r="T2100" s="81"/>
      <c r="U2100" s="81"/>
      <c r="V2100" s="84" t="str">
        <f>HYPERLINK("https://pbs.twimg.com/profile_images/1327316086098956289/NgEQu6pi_normal.jpg")</f>
        <v>https://pbs.twimg.com/profile_images/1327316086098956289/NgEQu6pi_normal.jpg</v>
      </c>
      <c r="W2100" s="83">
        <v>44468.731041666666</v>
      </c>
      <c r="X2100" s="89">
        <v>44468</v>
      </c>
      <c r="Y2100" s="86" t="s">
        <v>12968</v>
      </c>
      <c r="Z2100" s="84" t="str">
        <f>HYPERLINK("https://twitter.com/marcio_clay/status/1443267504730685443")</f>
        <v>https://twitter.com/marcio_clay/status/1443267504730685443</v>
      </c>
      <c r="AA2100" s="81"/>
      <c r="AB2100" s="81"/>
      <c r="AC2100" s="86" t="s">
        <v>13205</v>
      </c>
      <c r="AD2100" s="86" t="s">
        <v>13380</v>
      </c>
      <c r="AE2100" s="81" t="b">
        <v>0</v>
      </c>
      <c r="AF2100" s="81">
        <v>3</v>
      </c>
      <c r="AG2100" s="86" t="s">
        <v>13421</v>
      </c>
      <c r="AH2100" s="81" t="b">
        <v>0</v>
      </c>
      <c r="AI2100" s="81" t="s">
        <v>2171</v>
      </c>
      <c r="AJ2100" s="81"/>
      <c r="AK2100" s="86" t="s">
        <v>2084</v>
      </c>
      <c r="AL2100" s="81" t="b">
        <v>0</v>
      </c>
      <c r="AM2100" s="81">
        <v>0</v>
      </c>
      <c r="AN2100" s="86" t="s">
        <v>2084</v>
      </c>
      <c r="AO2100" s="86" t="s">
        <v>2178</v>
      </c>
      <c r="AP2100" s="81" t="b">
        <v>0</v>
      </c>
      <c r="AQ2100" s="86" t="s">
        <v>13380</v>
      </c>
      <c r="AR2100" s="81" t="s">
        <v>179</v>
      </c>
      <c r="AS2100" s="81">
        <v>0</v>
      </c>
      <c r="AT2100" s="81">
        <v>0</v>
      </c>
      <c r="AU2100" s="81"/>
      <c r="AV2100" s="81"/>
      <c r="AW2100" s="81"/>
      <c r="AX2100" s="81"/>
      <c r="AY2100" s="81"/>
      <c r="AZ2100" s="81"/>
      <c r="BA2100" s="81"/>
      <c r="BB2100" s="81"/>
    </row>
    <row r="2101" spans="1:54" x14ac:dyDescent="0.35">
      <c r="A2101" s="66" t="s">
        <v>12572</v>
      </c>
      <c r="B2101" s="66" t="s">
        <v>12664</v>
      </c>
      <c r="C2101" s="67"/>
      <c r="D2101" s="68"/>
      <c r="E2101" s="69"/>
      <c r="F2101" s="70"/>
      <c r="G2101" s="67"/>
      <c r="H2101" s="71"/>
      <c r="I2101" s="72"/>
      <c r="J2101" s="72"/>
      <c r="K2101" s="36"/>
      <c r="L2101" s="79"/>
      <c r="M2101" s="79"/>
      <c r="N2101" s="74"/>
      <c r="O2101" s="81" t="s">
        <v>693</v>
      </c>
      <c r="P2101" s="83">
        <v>44468.73201388889</v>
      </c>
      <c r="Q2101" s="81" t="s">
        <v>12799</v>
      </c>
      <c r="R2101" s="81"/>
      <c r="S2101" s="81"/>
      <c r="T2101" s="86" t="s">
        <v>314</v>
      </c>
      <c r="U2101" s="84" t="str">
        <f>HYPERLINK("https://pbs.twimg.com/media/FAeEF_8UcAAAgih.jpg")</f>
        <v>https://pbs.twimg.com/media/FAeEF_8UcAAAgih.jpg</v>
      </c>
      <c r="V2101" s="84" t="str">
        <f>HYPERLINK("https://pbs.twimg.com/media/FAeEF_8UcAAAgih.jpg")</f>
        <v>https://pbs.twimg.com/media/FAeEF_8UcAAAgih.jpg</v>
      </c>
      <c r="W2101" s="83">
        <v>44468.73201388889</v>
      </c>
      <c r="X2101" s="89">
        <v>44468</v>
      </c>
      <c r="Y2101" s="86" t="s">
        <v>12969</v>
      </c>
      <c r="Z2101" s="84" t="str">
        <f>HYPERLINK("https://twitter.com/flyztrex/status/1443267857807151105")</f>
        <v>https://twitter.com/flyztrex/status/1443267857807151105</v>
      </c>
      <c r="AA2101" s="81"/>
      <c r="AB2101" s="81"/>
      <c r="AC2101" s="86" t="s">
        <v>13206</v>
      </c>
      <c r="AD2101" s="81"/>
      <c r="AE2101" s="81" t="b">
        <v>0</v>
      </c>
      <c r="AF2101" s="81">
        <v>0</v>
      </c>
      <c r="AG2101" s="86" t="s">
        <v>2084</v>
      </c>
      <c r="AH2101" s="81" t="b">
        <v>0</v>
      </c>
      <c r="AI2101" s="81" t="s">
        <v>2168</v>
      </c>
      <c r="AJ2101" s="81"/>
      <c r="AK2101" s="86" t="s">
        <v>2084</v>
      </c>
      <c r="AL2101" s="81" t="b">
        <v>0</v>
      </c>
      <c r="AM2101" s="81">
        <v>42</v>
      </c>
      <c r="AN2101" s="86" t="s">
        <v>13352</v>
      </c>
      <c r="AO2101" s="86" t="s">
        <v>2178</v>
      </c>
      <c r="AP2101" s="81" t="b">
        <v>0</v>
      </c>
      <c r="AQ2101" s="86" t="s">
        <v>13352</v>
      </c>
      <c r="AR2101" s="81" t="s">
        <v>179</v>
      </c>
      <c r="AS2101" s="81">
        <v>0</v>
      </c>
      <c r="AT2101" s="81">
        <v>0</v>
      </c>
      <c r="AU2101" s="81"/>
      <c r="AV2101" s="81"/>
      <c r="AW2101" s="81"/>
      <c r="AX2101" s="81"/>
      <c r="AY2101" s="81"/>
      <c r="AZ2101" s="81"/>
      <c r="BA2101" s="81"/>
      <c r="BB2101" s="81"/>
    </row>
    <row r="2102" spans="1:54" x14ac:dyDescent="0.35">
      <c r="A2102" s="66" t="s">
        <v>12573</v>
      </c>
      <c r="B2102" s="66" t="s">
        <v>12664</v>
      </c>
      <c r="C2102" s="67"/>
      <c r="D2102" s="68"/>
      <c r="E2102" s="69"/>
      <c r="F2102" s="70"/>
      <c r="G2102" s="67"/>
      <c r="H2102" s="71"/>
      <c r="I2102" s="72"/>
      <c r="J2102" s="72"/>
      <c r="K2102" s="36"/>
      <c r="L2102" s="79"/>
      <c r="M2102" s="79"/>
      <c r="N2102" s="74"/>
      <c r="O2102" s="81" t="s">
        <v>693</v>
      </c>
      <c r="P2102" s="83">
        <v>44468.737835648149</v>
      </c>
      <c r="Q2102" s="81" t="s">
        <v>12800</v>
      </c>
      <c r="R2102" s="81"/>
      <c r="S2102" s="81"/>
      <c r="T2102" s="86" t="s">
        <v>314</v>
      </c>
      <c r="U2102" s="84" t="str">
        <f>HYPERLINK("https://pbs.twimg.com/media/FAeE8WOVQAIxGko.jpg")</f>
        <v>https://pbs.twimg.com/media/FAeE8WOVQAIxGko.jpg</v>
      </c>
      <c r="V2102" s="84" t="str">
        <f>HYPERLINK("https://pbs.twimg.com/media/FAeE8WOVQAIxGko.jpg")</f>
        <v>https://pbs.twimg.com/media/FAeE8WOVQAIxGko.jpg</v>
      </c>
      <c r="W2102" s="83">
        <v>44468.737835648149</v>
      </c>
      <c r="X2102" s="89">
        <v>44468</v>
      </c>
      <c r="Y2102" s="86" t="s">
        <v>12970</v>
      </c>
      <c r="Z2102" s="84" t="str">
        <f>HYPERLINK("https://twitter.com/ellathree2/status/1443269968016003072")</f>
        <v>https://twitter.com/ellathree2/status/1443269968016003072</v>
      </c>
      <c r="AA2102" s="81"/>
      <c r="AB2102" s="81"/>
      <c r="AC2102" s="86" t="s">
        <v>13207</v>
      </c>
      <c r="AD2102" s="81"/>
      <c r="AE2102" s="81" t="b">
        <v>0</v>
      </c>
      <c r="AF2102" s="81">
        <v>0</v>
      </c>
      <c r="AG2102" s="86" t="s">
        <v>2084</v>
      </c>
      <c r="AH2102" s="81" t="b">
        <v>0</v>
      </c>
      <c r="AI2102" s="81" t="s">
        <v>2168</v>
      </c>
      <c r="AJ2102" s="81"/>
      <c r="AK2102" s="86" t="s">
        <v>2084</v>
      </c>
      <c r="AL2102" s="81" t="b">
        <v>0</v>
      </c>
      <c r="AM2102" s="81">
        <v>31</v>
      </c>
      <c r="AN2102" s="86" t="s">
        <v>13353</v>
      </c>
      <c r="AO2102" s="86" t="s">
        <v>2179</v>
      </c>
      <c r="AP2102" s="81" t="b">
        <v>0</v>
      </c>
      <c r="AQ2102" s="86" t="s">
        <v>13353</v>
      </c>
      <c r="AR2102" s="81" t="s">
        <v>179</v>
      </c>
      <c r="AS2102" s="81">
        <v>0</v>
      </c>
      <c r="AT2102" s="81">
        <v>0</v>
      </c>
      <c r="AU2102" s="81"/>
      <c r="AV2102" s="81"/>
      <c r="AW2102" s="81"/>
      <c r="AX2102" s="81"/>
      <c r="AY2102" s="81"/>
      <c r="AZ2102" s="81"/>
      <c r="BA2102" s="81"/>
      <c r="BB2102" s="81"/>
    </row>
    <row r="2103" spans="1:54" x14ac:dyDescent="0.35">
      <c r="A2103" s="66" t="s">
        <v>12573</v>
      </c>
      <c r="B2103" s="66" t="s">
        <v>12664</v>
      </c>
      <c r="C2103" s="67"/>
      <c r="D2103" s="68"/>
      <c r="E2103" s="69"/>
      <c r="F2103" s="70"/>
      <c r="G2103" s="67"/>
      <c r="H2103" s="71"/>
      <c r="I2103" s="72"/>
      <c r="J2103" s="72"/>
      <c r="K2103" s="36"/>
      <c r="L2103" s="79"/>
      <c r="M2103" s="79"/>
      <c r="N2103" s="74"/>
      <c r="O2103" s="81" t="s">
        <v>693</v>
      </c>
      <c r="P2103" s="83">
        <v>44468.737870370373</v>
      </c>
      <c r="Q2103" s="81" t="s">
        <v>12799</v>
      </c>
      <c r="R2103" s="81"/>
      <c r="S2103" s="81"/>
      <c r="T2103" s="86" t="s">
        <v>314</v>
      </c>
      <c r="U2103" s="84" t="str">
        <f>HYPERLINK("https://pbs.twimg.com/media/FAeEF_8UcAAAgih.jpg")</f>
        <v>https://pbs.twimg.com/media/FAeEF_8UcAAAgih.jpg</v>
      </c>
      <c r="V2103" s="84" t="str">
        <f>HYPERLINK("https://pbs.twimg.com/media/FAeEF_8UcAAAgih.jpg")</f>
        <v>https://pbs.twimg.com/media/FAeEF_8UcAAAgih.jpg</v>
      </c>
      <c r="W2103" s="83">
        <v>44468.737870370373</v>
      </c>
      <c r="X2103" s="89">
        <v>44468</v>
      </c>
      <c r="Y2103" s="86" t="s">
        <v>12971</v>
      </c>
      <c r="Z2103" s="84" t="str">
        <f>HYPERLINK("https://twitter.com/ellathree2/status/1443269981672669185")</f>
        <v>https://twitter.com/ellathree2/status/1443269981672669185</v>
      </c>
      <c r="AA2103" s="81"/>
      <c r="AB2103" s="81"/>
      <c r="AC2103" s="86" t="s">
        <v>13208</v>
      </c>
      <c r="AD2103" s="81"/>
      <c r="AE2103" s="81" t="b">
        <v>0</v>
      </c>
      <c r="AF2103" s="81">
        <v>0</v>
      </c>
      <c r="AG2103" s="86" t="s">
        <v>2084</v>
      </c>
      <c r="AH2103" s="81" t="b">
        <v>0</v>
      </c>
      <c r="AI2103" s="81" t="s">
        <v>2168</v>
      </c>
      <c r="AJ2103" s="81"/>
      <c r="AK2103" s="86" t="s">
        <v>2084</v>
      </c>
      <c r="AL2103" s="81" t="b">
        <v>0</v>
      </c>
      <c r="AM2103" s="81">
        <v>42</v>
      </c>
      <c r="AN2103" s="86" t="s">
        <v>13352</v>
      </c>
      <c r="AO2103" s="86" t="s">
        <v>2179</v>
      </c>
      <c r="AP2103" s="81" t="b">
        <v>0</v>
      </c>
      <c r="AQ2103" s="86" t="s">
        <v>13352</v>
      </c>
      <c r="AR2103" s="81" t="s">
        <v>179</v>
      </c>
      <c r="AS2103" s="81">
        <v>0</v>
      </c>
      <c r="AT2103" s="81">
        <v>0</v>
      </c>
      <c r="AU2103" s="81"/>
      <c r="AV2103" s="81"/>
      <c r="AW2103" s="81"/>
      <c r="AX2103" s="81"/>
      <c r="AY2103" s="81"/>
      <c r="AZ2103" s="81"/>
      <c r="BA2103" s="81"/>
      <c r="BB2103" s="81"/>
    </row>
    <row r="2104" spans="1:54" x14ac:dyDescent="0.35">
      <c r="A2104" s="66" t="s">
        <v>12573</v>
      </c>
      <c r="B2104" s="66" t="s">
        <v>12664</v>
      </c>
      <c r="C2104" s="67"/>
      <c r="D2104" s="68"/>
      <c r="E2104" s="69"/>
      <c r="F2104" s="70"/>
      <c r="G2104" s="67"/>
      <c r="H2104" s="71"/>
      <c r="I2104" s="72"/>
      <c r="J2104" s="72"/>
      <c r="K2104" s="36"/>
      <c r="L2104" s="79"/>
      <c r="M2104" s="79"/>
      <c r="N2104" s="74"/>
      <c r="O2104" s="81" t="s">
        <v>693</v>
      </c>
      <c r="P2104" s="83">
        <v>44468.737905092596</v>
      </c>
      <c r="Q2104" s="81" t="s">
        <v>12801</v>
      </c>
      <c r="R2104" s="81"/>
      <c r="S2104" s="81"/>
      <c r="T2104" s="86" t="s">
        <v>314</v>
      </c>
      <c r="U2104" s="84" t="str">
        <f>HYPERLINK("https://pbs.twimg.com/media/FAeDNwSUcAI4G5e.jpg")</f>
        <v>https://pbs.twimg.com/media/FAeDNwSUcAI4G5e.jpg</v>
      </c>
      <c r="V2104" s="84" t="str">
        <f>HYPERLINK("https://pbs.twimg.com/media/FAeDNwSUcAI4G5e.jpg")</f>
        <v>https://pbs.twimg.com/media/FAeDNwSUcAI4G5e.jpg</v>
      </c>
      <c r="W2104" s="83">
        <v>44468.737905092596</v>
      </c>
      <c r="X2104" s="89">
        <v>44468</v>
      </c>
      <c r="Y2104" s="86" t="s">
        <v>12972</v>
      </c>
      <c r="Z2104" s="84" t="str">
        <f>HYPERLINK("https://twitter.com/ellathree2/status/1443269994180071426")</f>
        <v>https://twitter.com/ellathree2/status/1443269994180071426</v>
      </c>
      <c r="AA2104" s="81"/>
      <c r="AB2104" s="81"/>
      <c r="AC2104" s="86" t="s">
        <v>13209</v>
      </c>
      <c r="AD2104" s="81"/>
      <c r="AE2104" s="81" t="b">
        <v>0</v>
      </c>
      <c r="AF2104" s="81">
        <v>0</v>
      </c>
      <c r="AG2104" s="86" t="s">
        <v>2084</v>
      </c>
      <c r="AH2104" s="81" t="b">
        <v>0</v>
      </c>
      <c r="AI2104" s="81" t="s">
        <v>2168</v>
      </c>
      <c r="AJ2104" s="81"/>
      <c r="AK2104" s="86" t="s">
        <v>2084</v>
      </c>
      <c r="AL2104" s="81" t="b">
        <v>0</v>
      </c>
      <c r="AM2104" s="81">
        <v>3</v>
      </c>
      <c r="AN2104" s="86" t="s">
        <v>13351</v>
      </c>
      <c r="AO2104" s="86" t="s">
        <v>2179</v>
      </c>
      <c r="AP2104" s="81" t="b">
        <v>0</v>
      </c>
      <c r="AQ2104" s="86" t="s">
        <v>13351</v>
      </c>
      <c r="AR2104" s="81" t="s">
        <v>179</v>
      </c>
      <c r="AS2104" s="81">
        <v>0</v>
      </c>
      <c r="AT2104" s="81">
        <v>0</v>
      </c>
      <c r="AU2104" s="81"/>
      <c r="AV2104" s="81"/>
      <c r="AW2104" s="81"/>
      <c r="AX2104" s="81"/>
      <c r="AY2104" s="81"/>
      <c r="AZ2104" s="81"/>
      <c r="BA2104" s="81"/>
      <c r="BB2104" s="81"/>
    </row>
    <row r="2105" spans="1:54" x14ac:dyDescent="0.35">
      <c r="A2105" s="66" t="s">
        <v>521</v>
      </c>
      <c r="B2105" s="66" t="s">
        <v>521</v>
      </c>
      <c r="C2105" s="67"/>
      <c r="D2105" s="68"/>
      <c r="E2105" s="69"/>
      <c r="F2105" s="70"/>
      <c r="G2105" s="67"/>
      <c r="H2105" s="71"/>
      <c r="I2105" s="72"/>
      <c r="J2105" s="72"/>
      <c r="K2105" s="36"/>
      <c r="L2105" s="79"/>
      <c r="M2105" s="79"/>
      <c r="N2105" s="74"/>
      <c r="O2105" s="81" t="s">
        <v>179</v>
      </c>
      <c r="P2105" s="83">
        <v>44466.135497685187</v>
      </c>
      <c r="Q2105" s="81" t="s">
        <v>854</v>
      </c>
      <c r="R2105" s="81"/>
      <c r="S2105" s="81"/>
      <c r="T2105" s="86" t="s">
        <v>988</v>
      </c>
      <c r="U2105" s="84" t="str">
        <f>HYPERLINK("https://pbs.twimg.com/media/FAQsrN2VQAI9VeD.jpg")</f>
        <v>https://pbs.twimg.com/media/FAQsrN2VQAI9VeD.jpg</v>
      </c>
      <c r="V2105" s="84" t="str">
        <f>HYPERLINK("https://pbs.twimg.com/media/FAQsrN2VQAI9VeD.jpg")</f>
        <v>https://pbs.twimg.com/media/FAQsrN2VQAI9VeD.jpg</v>
      </c>
      <c r="W2105" s="83">
        <v>44466.135497685187</v>
      </c>
      <c r="X2105" s="89">
        <v>44466</v>
      </c>
      <c r="Y2105" s="86" t="s">
        <v>1399</v>
      </c>
      <c r="Z2105" s="84" t="str">
        <f>HYPERLINK("https://twitter.com/ikimlyth/status/1442326911783358471")</f>
        <v>https://twitter.com/ikimlyth/status/1442326911783358471</v>
      </c>
      <c r="AA2105" s="81"/>
      <c r="AB2105" s="81"/>
      <c r="AC2105" s="86" t="s">
        <v>1897</v>
      </c>
      <c r="AD2105" s="81"/>
      <c r="AE2105" s="81" t="b">
        <v>0</v>
      </c>
      <c r="AF2105" s="81">
        <v>1</v>
      </c>
      <c r="AG2105" s="86" t="s">
        <v>2084</v>
      </c>
      <c r="AH2105" s="81" t="b">
        <v>0</v>
      </c>
      <c r="AI2105" s="81" t="s">
        <v>2168</v>
      </c>
      <c r="AJ2105" s="81"/>
      <c r="AK2105" s="86" t="s">
        <v>2084</v>
      </c>
      <c r="AL2105" s="81" t="b">
        <v>0</v>
      </c>
      <c r="AM2105" s="81">
        <v>2</v>
      </c>
      <c r="AN2105" s="86" t="s">
        <v>2084</v>
      </c>
      <c r="AO2105" s="86" t="s">
        <v>2178</v>
      </c>
      <c r="AP2105" s="81" t="b">
        <v>0</v>
      </c>
      <c r="AQ2105" s="86" t="s">
        <v>1897</v>
      </c>
      <c r="AR2105" s="81" t="s">
        <v>179</v>
      </c>
      <c r="AS2105" s="81">
        <v>0</v>
      </c>
      <c r="AT2105" s="81">
        <v>0</v>
      </c>
      <c r="AU2105" s="81"/>
      <c r="AV2105" s="81"/>
      <c r="AW2105" s="81"/>
      <c r="AX2105" s="81"/>
      <c r="AY2105" s="81"/>
      <c r="AZ2105" s="81"/>
      <c r="BA2105" s="81"/>
      <c r="BB2105" s="81"/>
    </row>
    <row r="2106" spans="1:54" x14ac:dyDescent="0.35">
      <c r="A2106" s="66" t="s">
        <v>509</v>
      </c>
      <c r="B2106" s="66" t="s">
        <v>521</v>
      </c>
      <c r="C2106" s="67"/>
      <c r="D2106" s="68"/>
      <c r="E2106" s="69"/>
      <c r="F2106" s="70"/>
      <c r="G2106" s="67"/>
      <c r="H2106" s="71"/>
      <c r="I2106" s="72"/>
      <c r="J2106" s="72"/>
      <c r="K2106" s="36"/>
      <c r="L2106" s="79"/>
      <c r="M2106" s="79"/>
      <c r="N2106" s="74"/>
      <c r="O2106" s="81" t="s">
        <v>693</v>
      </c>
      <c r="P2106" s="83">
        <v>44466.136574074073</v>
      </c>
      <c r="Q2106" s="81" t="s">
        <v>854</v>
      </c>
      <c r="R2106" s="81"/>
      <c r="S2106" s="81"/>
      <c r="T2106" s="86" t="s">
        <v>988</v>
      </c>
      <c r="U2106" s="84" t="str">
        <f>HYPERLINK("https://pbs.twimg.com/media/FAQsrN2VQAI9VeD.jpg")</f>
        <v>https://pbs.twimg.com/media/FAQsrN2VQAI9VeD.jpg</v>
      </c>
      <c r="V2106" s="84" t="str">
        <f>HYPERLINK("https://pbs.twimg.com/media/FAQsrN2VQAI9VeD.jpg")</f>
        <v>https://pbs.twimg.com/media/FAQsrN2VQAI9VeD.jpg</v>
      </c>
      <c r="W2106" s="83">
        <v>44466.136574074073</v>
      </c>
      <c r="X2106" s="89">
        <v>44466</v>
      </c>
      <c r="Y2106" s="86" t="s">
        <v>1382</v>
      </c>
      <c r="Z2106" s="84" t="str">
        <f>HYPERLINK("https://twitter.com/ncit31/status/1442327301304172544")</f>
        <v>https://twitter.com/ncit31/status/1442327301304172544</v>
      </c>
      <c r="AA2106" s="81"/>
      <c r="AB2106" s="81"/>
      <c r="AC2106" s="86" t="s">
        <v>1880</v>
      </c>
      <c r="AD2106" s="81"/>
      <c r="AE2106" s="81" t="b">
        <v>0</v>
      </c>
      <c r="AF2106" s="81">
        <v>0</v>
      </c>
      <c r="AG2106" s="86" t="s">
        <v>2084</v>
      </c>
      <c r="AH2106" s="81" t="b">
        <v>0</v>
      </c>
      <c r="AI2106" s="81" t="s">
        <v>2168</v>
      </c>
      <c r="AJ2106" s="81"/>
      <c r="AK2106" s="86" t="s">
        <v>2084</v>
      </c>
      <c r="AL2106" s="81" t="b">
        <v>0</v>
      </c>
      <c r="AM2106" s="81">
        <v>2</v>
      </c>
      <c r="AN2106" s="86" t="s">
        <v>1897</v>
      </c>
      <c r="AO2106" s="86" t="s">
        <v>2178</v>
      </c>
      <c r="AP2106" s="81" t="b">
        <v>0</v>
      </c>
      <c r="AQ2106" s="86" t="s">
        <v>1897</v>
      </c>
      <c r="AR2106" s="81" t="s">
        <v>179</v>
      </c>
      <c r="AS2106" s="81">
        <v>0</v>
      </c>
      <c r="AT2106" s="81">
        <v>0</v>
      </c>
      <c r="AU2106" s="81"/>
      <c r="AV2106" s="81"/>
      <c r="AW2106" s="81"/>
      <c r="AX2106" s="81"/>
      <c r="AY2106" s="81"/>
      <c r="AZ2106" s="81"/>
      <c r="BA2106" s="81"/>
      <c r="BB2106" s="81"/>
    </row>
    <row r="2107" spans="1:54" x14ac:dyDescent="0.35">
      <c r="A2107" s="66" t="s">
        <v>509</v>
      </c>
      <c r="B2107" s="66" t="s">
        <v>12664</v>
      </c>
      <c r="C2107" s="67"/>
      <c r="D2107" s="68"/>
      <c r="E2107" s="69"/>
      <c r="F2107" s="70"/>
      <c r="G2107" s="67"/>
      <c r="H2107" s="71"/>
      <c r="I2107" s="72"/>
      <c r="J2107" s="72"/>
      <c r="K2107" s="36"/>
      <c r="L2107" s="79"/>
      <c r="M2107" s="79"/>
      <c r="N2107" s="74"/>
      <c r="O2107" s="81" t="s">
        <v>693</v>
      </c>
      <c r="P2107" s="83">
        <v>44468.743576388886</v>
      </c>
      <c r="Q2107" s="81" t="s">
        <v>12800</v>
      </c>
      <c r="R2107" s="81"/>
      <c r="S2107" s="81"/>
      <c r="T2107" s="86" t="s">
        <v>314</v>
      </c>
      <c r="U2107" s="84" t="str">
        <f>HYPERLINK("https://pbs.twimg.com/media/FAeE8WOVQAIxGko.jpg")</f>
        <v>https://pbs.twimg.com/media/FAeE8WOVQAIxGko.jpg</v>
      </c>
      <c r="V2107" s="84" t="str">
        <f>HYPERLINK("https://pbs.twimg.com/media/FAeE8WOVQAIxGko.jpg")</f>
        <v>https://pbs.twimg.com/media/FAeE8WOVQAIxGko.jpg</v>
      </c>
      <c r="W2107" s="83">
        <v>44468.743576388886</v>
      </c>
      <c r="X2107" s="89">
        <v>44468</v>
      </c>
      <c r="Y2107" s="86" t="s">
        <v>12973</v>
      </c>
      <c r="Z2107" s="84" t="str">
        <f>HYPERLINK("https://twitter.com/ncit31/status/1443272047149268992")</f>
        <v>https://twitter.com/ncit31/status/1443272047149268992</v>
      </c>
      <c r="AA2107" s="81"/>
      <c r="AB2107" s="81"/>
      <c r="AC2107" s="86" t="s">
        <v>13210</v>
      </c>
      <c r="AD2107" s="81"/>
      <c r="AE2107" s="81" t="b">
        <v>0</v>
      </c>
      <c r="AF2107" s="81">
        <v>0</v>
      </c>
      <c r="AG2107" s="86" t="s">
        <v>2084</v>
      </c>
      <c r="AH2107" s="81" t="b">
        <v>0</v>
      </c>
      <c r="AI2107" s="81" t="s">
        <v>2168</v>
      </c>
      <c r="AJ2107" s="81"/>
      <c r="AK2107" s="86" t="s">
        <v>2084</v>
      </c>
      <c r="AL2107" s="81" t="b">
        <v>0</v>
      </c>
      <c r="AM2107" s="81">
        <v>31</v>
      </c>
      <c r="AN2107" s="86" t="s">
        <v>13353</v>
      </c>
      <c r="AO2107" s="86" t="s">
        <v>2178</v>
      </c>
      <c r="AP2107" s="81" t="b">
        <v>0</v>
      </c>
      <c r="AQ2107" s="86" t="s">
        <v>13353</v>
      </c>
      <c r="AR2107" s="81" t="s">
        <v>179</v>
      </c>
      <c r="AS2107" s="81">
        <v>0</v>
      </c>
      <c r="AT2107" s="81">
        <v>0</v>
      </c>
      <c r="AU2107" s="81"/>
      <c r="AV2107" s="81"/>
      <c r="AW2107" s="81"/>
      <c r="AX2107" s="81"/>
      <c r="AY2107" s="81"/>
      <c r="AZ2107" s="81"/>
      <c r="BA2107" s="81"/>
      <c r="BB2107" s="81"/>
    </row>
    <row r="2108" spans="1:54" x14ac:dyDescent="0.35">
      <c r="A2108" s="66" t="s">
        <v>509</v>
      </c>
      <c r="B2108" s="66" t="s">
        <v>12664</v>
      </c>
      <c r="C2108" s="67"/>
      <c r="D2108" s="68"/>
      <c r="E2108" s="69"/>
      <c r="F2108" s="70"/>
      <c r="G2108" s="67"/>
      <c r="H2108" s="71"/>
      <c r="I2108" s="72"/>
      <c r="J2108" s="72"/>
      <c r="K2108" s="36"/>
      <c r="L2108" s="79"/>
      <c r="M2108" s="79"/>
      <c r="N2108" s="74"/>
      <c r="O2108" s="81" t="s">
        <v>693</v>
      </c>
      <c r="P2108" s="83">
        <v>44468.743761574071</v>
      </c>
      <c r="Q2108" s="81" t="s">
        <v>12799</v>
      </c>
      <c r="R2108" s="81"/>
      <c r="S2108" s="81"/>
      <c r="T2108" s="86" t="s">
        <v>314</v>
      </c>
      <c r="U2108" s="84" t="str">
        <f>HYPERLINK("https://pbs.twimg.com/media/FAeEF_8UcAAAgih.jpg")</f>
        <v>https://pbs.twimg.com/media/FAeEF_8UcAAAgih.jpg</v>
      </c>
      <c r="V2108" s="84" t="str">
        <f>HYPERLINK("https://pbs.twimg.com/media/FAeEF_8UcAAAgih.jpg")</f>
        <v>https://pbs.twimg.com/media/FAeEF_8UcAAAgih.jpg</v>
      </c>
      <c r="W2108" s="83">
        <v>44468.743761574071</v>
      </c>
      <c r="X2108" s="89">
        <v>44468</v>
      </c>
      <c r="Y2108" s="86" t="s">
        <v>12974</v>
      </c>
      <c r="Z2108" s="84" t="str">
        <f>HYPERLINK("https://twitter.com/ncit31/status/1443272114740416512")</f>
        <v>https://twitter.com/ncit31/status/1443272114740416512</v>
      </c>
      <c r="AA2108" s="81"/>
      <c r="AB2108" s="81"/>
      <c r="AC2108" s="86" t="s">
        <v>13211</v>
      </c>
      <c r="AD2108" s="81"/>
      <c r="AE2108" s="81" t="b">
        <v>0</v>
      </c>
      <c r="AF2108" s="81">
        <v>0</v>
      </c>
      <c r="AG2108" s="86" t="s">
        <v>2084</v>
      </c>
      <c r="AH2108" s="81" t="b">
        <v>0</v>
      </c>
      <c r="AI2108" s="81" t="s">
        <v>2168</v>
      </c>
      <c r="AJ2108" s="81"/>
      <c r="AK2108" s="86" t="s">
        <v>2084</v>
      </c>
      <c r="AL2108" s="81" t="b">
        <v>0</v>
      </c>
      <c r="AM2108" s="81">
        <v>42</v>
      </c>
      <c r="AN2108" s="86" t="s">
        <v>13352</v>
      </c>
      <c r="AO2108" s="86" t="s">
        <v>2178</v>
      </c>
      <c r="AP2108" s="81" t="b">
        <v>0</v>
      </c>
      <c r="AQ2108" s="86" t="s">
        <v>13352</v>
      </c>
      <c r="AR2108" s="81" t="s">
        <v>179</v>
      </c>
      <c r="AS2108" s="81">
        <v>0</v>
      </c>
      <c r="AT2108" s="81">
        <v>0</v>
      </c>
      <c r="AU2108" s="81"/>
      <c r="AV2108" s="81"/>
      <c r="AW2108" s="81"/>
      <c r="AX2108" s="81"/>
      <c r="AY2108" s="81"/>
      <c r="AZ2108" s="81"/>
      <c r="BA2108" s="81"/>
      <c r="BB2108" s="81"/>
    </row>
    <row r="2109" spans="1:54" x14ac:dyDescent="0.35">
      <c r="A2109" s="66" t="s">
        <v>509</v>
      </c>
      <c r="B2109" s="66" t="s">
        <v>12664</v>
      </c>
      <c r="C2109" s="67"/>
      <c r="D2109" s="68"/>
      <c r="E2109" s="69"/>
      <c r="F2109" s="70"/>
      <c r="G2109" s="67"/>
      <c r="H2109" s="71"/>
      <c r="I2109" s="72"/>
      <c r="J2109" s="72"/>
      <c r="K2109" s="36"/>
      <c r="L2109" s="79"/>
      <c r="M2109" s="79"/>
      <c r="N2109" s="74"/>
      <c r="O2109" s="81" t="s">
        <v>693</v>
      </c>
      <c r="P2109" s="83">
        <v>44468.743819444448</v>
      </c>
      <c r="Q2109" s="81" t="s">
        <v>12801</v>
      </c>
      <c r="R2109" s="81"/>
      <c r="S2109" s="81"/>
      <c r="T2109" s="86" t="s">
        <v>314</v>
      </c>
      <c r="U2109" s="84" t="str">
        <f>HYPERLINK("https://pbs.twimg.com/media/FAeDNwSUcAI4G5e.jpg")</f>
        <v>https://pbs.twimg.com/media/FAeDNwSUcAI4G5e.jpg</v>
      </c>
      <c r="V2109" s="84" t="str">
        <f>HYPERLINK("https://pbs.twimg.com/media/FAeDNwSUcAI4G5e.jpg")</f>
        <v>https://pbs.twimg.com/media/FAeDNwSUcAI4G5e.jpg</v>
      </c>
      <c r="W2109" s="83">
        <v>44468.743819444448</v>
      </c>
      <c r="X2109" s="89">
        <v>44468</v>
      </c>
      <c r="Y2109" s="86" t="s">
        <v>12975</v>
      </c>
      <c r="Z2109" s="84" t="str">
        <f>HYPERLINK("https://twitter.com/ncit31/status/1443272134805975040")</f>
        <v>https://twitter.com/ncit31/status/1443272134805975040</v>
      </c>
      <c r="AA2109" s="81"/>
      <c r="AB2109" s="81"/>
      <c r="AC2109" s="86" t="s">
        <v>13212</v>
      </c>
      <c r="AD2109" s="81"/>
      <c r="AE2109" s="81" t="b">
        <v>0</v>
      </c>
      <c r="AF2109" s="81">
        <v>0</v>
      </c>
      <c r="AG2109" s="86" t="s">
        <v>2084</v>
      </c>
      <c r="AH2109" s="81" t="b">
        <v>0</v>
      </c>
      <c r="AI2109" s="81" t="s">
        <v>2168</v>
      </c>
      <c r="AJ2109" s="81"/>
      <c r="AK2109" s="86" t="s">
        <v>2084</v>
      </c>
      <c r="AL2109" s="81" t="b">
        <v>0</v>
      </c>
      <c r="AM2109" s="81">
        <v>3</v>
      </c>
      <c r="AN2109" s="86" t="s">
        <v>13351</v>
      </c>
      <c r="AO2109" s="86" t="s">
        <v>2178</v>
      </c>
      <c r="AP2109" s="81" t="b">
        <v>0</v>
      </c>
      <c r="AQ2109" s="86" t="s">
        <v>13351</v>
      </c>
      <c r="AR2109" s="81" t="s">
        <v>179</v>
      </c>
      <c r="AS2109" s="81">
        <v>0</v>
      </c>
      <c r="AT2109" s="81">
        <v>0</v>
      </c>
      <c r="AU2109" s="81"/>
      <c r="AV2109" s="81"/>
      <c r="AW2109" s="81"/>
      <c r="AX2109" s="81"/>
      <c r="AY2109" s="81"/>
      <c r="AZ2109" s="81"/>
      <c r="BA2109" s="81"/>
      <c r="BB2109" s="81"/>
    </row>
    <row r="2110" spans="1:54" x14ac:dyDescent="0.35">
      <c r="A2110" s="66" t="s">
        <v>12574</v>
      </c>
      <c r="B2110" s="66" t="s">
        <v>12664</v>
      </c>
      <c r="C2110" s="67"/>
      <c r="D2110" s="68"/>
      <c r="E2110" s="69"/>
      <c r="F2110" s="70"/>
      <c r="G2110" s="67"/>
      <c r="H2110" s="71"/>
      <c r="I2110" s="72"/>
      <c r="J2110" s="72"/>
      <c r="K2110" s="36"/>
      <c r="L2110" s="79"/>
      <c r="M2110" s="79"/>
      <c r="N2110" s="74"/>
      <c r="O2110" s="81" t="s">
        <v>693</v>
      </c>
      <c r="P2110" s="83">
        <v>44468.745208333334</v>
      </c>
      <c r="Q2110" s="81" t="s">
        <v>12800</v>
      </c>
      <c r="R2110" s="81"/>
      <c r="S2110" s="81"/>
      <c r="T2110" s="86" t="s">
        <v>314</v>
      </c>
      <c r="U2110" s="84" t="str">
        <f>HYPERLINK("https://pbs.twimg.com/media/FAeE8WOVQAIxGko.jpg")</f>
        <v>https://pbs.twimg.com/media/FAeE8WOVQAIxGko.jpg</v>
      </c>
      <c r="V2110" s="84" t="str">
        <f>HYPERLINK("https://pbs.twimg.com/media/FAeE8WOVQAIxGko.jpg")</f>
        <v>https://pbs.twimg.com/media/FAeE8WOVQAIxGko.jpg</v>
      </c>
      <c r="W2110" s="83">
        <v>44468.745208333334</v>
      </c>
      <c r="X2110" s="89">
        <v>44468</v>
      </c>
      <c r="Y2110" s="86" t="s">
        <v>12976</v>
      </c>
      <c r="Z2110" s="84" t="str">
        <f>HYPERLINK("https://twitter.com/jaeemann/status/1443272640760741889")</f>
        <v>https://twitter.com/jaeemann/status/1443272640760741889</v>
      </c>
      <c r="AA2110" s="81"/>
      <c r="AB2110" s="81"/>
      <c r="AC2110" s="86" t="s">
        <v>13213</v>
      </c>
      <c r="AD2110" s="81"/>
      <c r="AE2110" s="81" t="b">
        <v>0</v>
      </c>
      <c r="AF2110" s="81">
        <v>0</v>
      </c>
      <c r="AG2110" s="86" t="s">
        <v>2084</v>
      </c>
      <c r="AH2110" s="81" t="b">
        <v>0</v>
      </c>
      <c r="AI2110" s="81" t="s">
        <v>2168</v>
      </c>
      <c r="AJ2110" s="81"/>
      <c r="AK2110" s="86" t="s">
        <v>2084</v>
      </c>
      <c r="AL2110" s="81" t="b">
        <v>0</v>
      </c>
      <c r="AM2110" s="81">
        <v>31</v>
      </c>
      <c r="AN2110" s="86" t="s">
        <v>13353</v>
      </c>
      <c r="AO2110" s="86" t="s">
        <v>2179</v>
      </c>
      <c r="AP2110" s="81" t="b">
        <v>0</v>
      </c>
      <c r="AQ2110" s="86" t="s">
        <v>13353</v>
      </c>
      <c r="AR2110" s="81" t="s">
        <v>179</v>
      </c>
      <c r="AS2110" s="81">
        <v>0</v>
      </c>
      <c r="AT2110" s="81">
        <v>0</v>
      </c>
      <c r="AU2110" s="81"/>
      <c r="AV2110" s="81"/>
      <c r="AW2110" s="81"/>
      <c r="AX2110" s="81"/>
      <c r="AY2110" s="81"/>
      <c r="AZ2110" s="81"/>
      <c r="BA2110" s="81"/>
      <c r="BB2110" s="81"/>
    </row>
    <row r="2111" spans="1:54" x14ac:dyDescent="0.35">
      <c r="A2111" s="66" t="s">
        <v>12574</v>
      </c>
      <c r="B2111" s="66" t="s">
        <v>12664</v>
      </c>
      <c r="C2111" s="67"/>
      <c r="D2111" s="68"/>
      <c r="E2111" s="69"/>
      <c r="F2111" s="70"/>
      <c r="G2111" s="67"/>
      <c r="H2111" s="71"/>
      <c r="I2111" s="72"/>
      <c r="J2111" s="72"/>
      <c r="K2111" s="36"/>
      <c r="L2111" s="79"/>
      <c r="M2111" s="79"/>
      <c r="N2111" s="74"/>
      <c r="O2111" s="81" t="s">
        <v>693</v>
      </c>
      <c r="P2111" s="83">
        <v>44468.745509259257</v>
      </c>
      <c r="Q2111" s="81" t="s">
        <v>12799</v>
      </c>
      <c r="R2111" s="81"/>
      <c r="S2111" s="81"/>
      <c r="T2111" s="86" t="s">
        <v>314</v>
      </c>
      <c r="U2111" s="84" t="str">
        <f>HYPERLINK("https://pbs.twimg.com/media/FAeEF_8UcAAAgih.jpg")</f>
        <v>https://pbs.twimg.com/media/FAeEF_8UcAAAgih.jpg</v>
      </c>
      <c r="V2111" s="84" t="str">
        <f>HYPERLINK("https://pbs.twimg.com/media/FAeEF_8UcAAAgih.jpg")</f>
        <v>https://pbs.twimg.com/media/FAeEF_8UcAAAgih.jpg</v>
      </c>
      <c r="W2111" s="83">
        <v>44468.745509259257</v>
      </c>
      <c r="X2111" s="89">
        <v>44468</v>
      </c>
      <c r="Y2111" s="86" t="s">
        <v>12977</v>
      </c>
      <c r="Z2111" s="84" t="str">
        <f>HYPERLINK("https://twitter.com/jaeemann/status/1443272749053460481")</f>
        <v>https://twitter.com/jaeemann/status/1443272749053460481</v>
      </c>
      <c r="AA2111" s="81"/>
      <c r="AB2111" s="81"/>
      <c r="AC2111" s="86" t="s">
        <v>13214</v>
      </c>
      <c r="AD2111" s="81"/>
      <c r="AE2111" s="81" t="b">
        <v>0</v>
      </c>
      <c r="AF2111" s="81">
        <v>0</v>
      </c>
      <c r="AG2111" s="86" t="s">
        <v>2084</v>
      </c>
      <c r="AH2111" s="81" t="b">
        <v>0</v>
      </c>
      <c r="AI2111" s="81" t="s">
        <v>2168</v>
      </c>
      <c r="AJ2111" s="81"/>
      <c r="AK2111" s="86" t="s">
        <v>2084</v>
      </c>
      <c r="AL2111" s="81" t="b">
        <v>0</v>
      </c>
      <c r="AM2111" s="81">
        <v>42</v>
      </c>
      <c r="AN2111" s="86" t="s">
        <v>13352</v>
      </c>
      <c r="AO2111" s="86" t="s">
        <v>2179</v>
      </c>
      <c r="AP2111" s="81" t="b">
        <v>0</v>
      </c>
      <c r="AQ2111" s="86" t="s">
        <v>13352</v>
      </c>
      <c r="AR2111" s="81" t="s">
        <v>179</v>
      </c>
      <c r="AS2111" s="81">
        <v>0</v>
      </c>
      <c r="AT2111" s="81">
        <v>0</v>
      </c>
      <c r="AU2111" s="81"/>
      <c r="AV2111" s="81"/>
      <c r="AW2111" s="81"/>
      <c r="AX2111" s="81"/>
      <c r="AY2111" s="81"/>
      <c r="AZ2111" s="81"/>
      <c r="BA2111" s="81"/>
      <c r="BB2111" s="81"/>
    </row>
    <row r="2112" spans="1:54" x14ac:dyDescent="0.35">
      <c r="A2112" s="66" t="s">
        <v>313</v>
      </c>
      <c r="B2112" s="66" t="s">
        <v>344</v>
      </c>
      <c r="C2112" s="67"/>
      <c r="D2112" s="68"/>
      <c r="E2112" s="69"/>
      <c r="F2112" s="70"/>
      <c r="G2112" s="67"/>
      <c r="H2112" s="71"/>
      <c r="I2112" s="72"/>
      <c r="J2112" s="72"/>
      <c r="K2112" s="36"/>
      <c r="L2112" s="79"/>
      <c r="M2112" s="79"/>
      <c r="N2112" s="74"/>
      <c r="O2112" s="81" t="s">
        <v>693</v>
      </c>
      <c r="P2112" s="83">
        <v>44461.36515046296</v>
      </c>
      <c r="Q2112" s="81" t="s">
        <v>743</v>
      </c>
      <c r="R2112" s="81"/>
      <c r="S2112" s="81"/>
      <c r="T2112" s="86" t="s">
        <v>977</v>
      </c>
      <c r="U2112" s="84" t="str">
        <f>HYPERLINK("https://pbs.twimg.com/media/E_4G1w0UcAYtmKg.jpg")</f>
        <v>https://pbs.twimg.com/media/E_4G1w0UcAYtmKg.jpg</v>
      </c>
      <c r="V2112" s="84" t="str">
        <f>HYPERLINK("https://pbs.twimg.com/media/E_4G1w0UcAYtmKg.jpg")</f>
        <v>https://pbs.twimg.com/media/E_4G1w0UcAYtmKg.jpg</v>
      </c>
      <c r="W2112" s="83">
        <v>44461.36515046296</v>
      </c>
      <c r="X2112" s="89">
        <v>44461</v>
      </c>
      <c r="Y2112" s="86" t="s">
        <v>1116</v>
      </c>
      <c r="Z2112" s="84" t="str">
        <f>HYPERLINK("https://twitter.com/myncteam/status/1440598196355416077")</f>
        <v>https://twitter.com/myncteam/status/1440598196355416077</v>
      </c>
      <c r="AA2112" s="81"/>
      <c r="AB2112" s="81"/>
      <c r="AC2112" s="86" t="s">
        <v>1614</v>
      </c>
      <c r="AD2112" s="81"/>
      <c r="AE2112" s="81" t="b">
        <v>0</v>
      </c>
      <c r="AF2112" s="81">
        <v>0</v>
      </c>
      <c r="AG2112" s="86" t="s">
        <v>2084</v>
      </c>
      <c r="AH2112" s="81" t="b">
        <v>0</v>
      </c>
      <c r="AI2112" s="81" t="s">
        <v>2168</v>
      </c>
      <c r="AJ2112" s="81"/>
      <c r="AK2112" s="86" t="s">
        <v>2084</v>
      </c>
      <c r="AL2112" s="81" t="b">
        <v>0</v>
      </c>
      <c r="AM2112" s="81">
        <v>12</v>
      </c>
      <c r="AN2112" s="86" t="s">
        <v>1646</v>
      </c>
      <c r="AO2112" s="86" t="s">
        <v>2179</v>
      </c>
      <c r="AP2112" s="81" t="b">
        <v>0</v>
      </c>
      <c r="AQ2112" s="86" t="s">
        <v>1646</v>
      </c>
      <c r="AR2112" s="81" t="s">
        <v>179</v>
      </c>
      <c r="AS2112" s="81">
        <v>0</v>
      </c>
      <c r="AT2112" s="81">
        <v>0</v>
      </c>
      <c r="AU2112" s="81"/>
      <c r="AV2112" s="81"/>
      <c r="AW2112" s="81"/>
      <c r="AX2112" s="81"/>
      <c r="AY2112" s="81"/>
      <c r="AZ2112" s="81"/>
      <c r="BA2112" s="81"/>
      <c r="BB2112" s="81"/>
    </row>
    <row r="2113" spans="1:54" x14ac:dyDescent="0.35">
      <c r="A2113" s="66" t="s">
        <v>313</v>
      </c>
      <c r="B2113" s="66" t="s">
        <v>589</v>
      </c>
      <c r="C2113" s="67"/>
      <c r="D2113" s="68"/>
      <c r="E2113" s="69"/>
      <c r="F2113" s="70"/>
      <c r="G2113" s="67"/>
      <c r="H2113" s="71"/>
      <c r="I2113" s="72"/>
      <c r="J2113" s="72"/>
      <c r="K2113" s="36"/>
      <c r="L2113" s="79"/>
      <c r="M2113" s="79"/>
      <c r="N2113" s="74"/>
      <c r="O2113" s="81" t="s">
        <v>693</v>
      </c>
      <c r="P2113" s="83">
        <v>44467.708368055559</v>
      </c>
      <c r="Q2113" s="81" t="s">
        <v>5625</v>
      </c>
      <c r="R2113" s="81"/>
      <c r="S2113" s="81"/>
      <c r="T2113" s="86" t="s">
        <v>5786</v>
      </c>
      <c r="U2113" s="84" t="str">
        <f>HYPERLINK("https://pbs.twimg.com/media/FAYUHMTVEAoP82T.jpg")</f>
        <v>https://pbs.twimg.com/media/FAYUHMTVEAoP82T.jpg</v>
      </c>
      <c r="V2113" s="84" t="str">
        <f>HYPERLINK("https://pbs.twimg.com/media/FAYUHMTVEAoP82T.jpg")</f>
        <v>https://pbs.twimg.com/media/FAYUHMTVEAoP82T.jpg</v>
      </c>
      <c r="W2113" s="83">
        <v>44467.708368055559</v>
      </c>
      <c r="X2113" s="89">
        <v>44467</v>
      </c>
      <c r="Y2113" s="86" t="s">
        <v>6608</v>
      </c>
      <c r="Z2113" s="84" t="str">
        <f>HYPERLINK("https://twitter.com/myncteam/status/1442896902735859712")</f>
        <v>https://twitter.com/myncteam/status/1442896902735859712</v>
      </c>
      <c r="AA2113" s="81"/>
      <c r="AB2113" s="81"/>
      <c r="AC2113" s="86" t="s">
        <v>7532</v>
      </c>
      <c r="AD2113" s="81"/>
      <c r="AE2113" s="81" t="b">
        <v>0</v>
      </c>
      <c r="AF2113" s="81">
        <v>0</v>
      </c>
      <c r="AG2113" s="86" t="s">
        <v>2084</v>
      </c>
      <c r="AH2113" s="81" t="b">
        <v>0</v>
      </c>
      <c r="AI2113" s="81" t="s">
        <v>2168</v>
      </c>
      <c r="AJ2113" s="81"/>
      <c r="AK2113" s="86" t="s">
        <v>2084</v>
      </c>
      <c r="AL2113" s="81" t="b">
        <v>0</v>
      </c>
      <c r="AM2113" s="81">
        <v>15</v>
      </c>
      <c r="AN2113" s="86" t="s">
        <v>7613</v>
      </c>
      <c r="AO2113" s="86" t="s">
        <v>2178</v>
      </c>
      <c r="AP2113" s="81" t="b">
        <v>0</v>
      </c>
      <c r="AQ2113" s="86" t="s">
        <v>7613</v>
      </c>
      <c r="AR2113" s="81" t="s">
        <v>179</v>
      </c>
      <c r="AS2113" s="81">
        <v>0</v>
      </c>
      <c r="AT2113" s="81">
        <v>0</v>
      </c>
      <c r="AU2113" s="81"/>
      <c r="AV2113" s="81"/>
      <c r="AW2113" s="81"/>
      <c r="AX2113" s="81"/>
      <c r="AY2113" s="81"/>
      <c r="AZ2113" s="81"/>
      <c r="BA2113" s="81"/>
      <c r="BB2113" s="81"/>
    </row>
    <row r="2114" spans="1:54" x14ac:dyDescent="0.35">
      <c r="A2114" s="66" t="s">
        <v>313</v>
      </c>
      <c r="B2114" s="66" t="s">
        <v>12664</v>
      </c>
      <c r="C2114" s="67"/>
      <c r="D2114" s="68"/>
      <c r="E2114" s="69"/>
      <c r="F2114" s="70"/>
      <c r="G2114" s="67"/>
      <c r="H2114" s="71"/>
      <c r="I2114" s="72"/>
      <c r="J2114" s="72"/>
      <c r="K2114" s="36"/>
      <c r="L2114" s="79"/>
      <c r="M2114" s="79"/>
      <c r="N2114" s="74"/>
      <c r="O2114" s="81" t="s">
        <v>693</v>
      </c>
      <c r="P2114" s="83">
        <v>44468.746342592596</v>
      </c>
      <c r="Q2114" s="81" t="s">
        <v>12800</v>
      </c>
      <c r="R2114" s="81"/>
      <c r="S2114" s="81"/>
      <c r="T2114" s="86" t="s">
        <v>314</v>
      </c>
      <c r="U2114" s="84" t="str">
        <f>HYPERLINK("https://pbs.twimg.com/media/FAeE8WOVQAIxGko.jpg")</f>
        <v>https://pbs.twimg.com/media/FAeE8WOVQAIxGko.jpg</v>
      </c>
      <c r="V2114" s="84" t="str">
        <f>HYPERLINK("https://pbs.twimg.com/media/FAeE8WOVQAIxGko.jpg")</f>
        <v>https://pbs.twimg.com/media/FAeE8WOVQAIxGko.jpg</v>
      </c>
      <c r="W2114" s="83">
        <v>44468.746342592596</v>
      </c>
      <c r="X2114" s="89">
        <v>44468</v>
      </c>
      <c r="Y2114" s="86" t="s">
        <v>12978</v>
      </c>
      <c r="Z2114" s="84" t="str">
        <f>HYPERLINK("https://twitter.com/myncteam/status/1443273051588608000")</f>
        <v>https://twitter.com/myncteam/status/1443273051588608000</v>
      </c>
      <c r="AA2114" s="81"/>
      <c r="AB2114" s="81"/>
      <c r="AC2114" s="86" t="s">
        <v>13215</v>
      </c>
      <c r="AD2114" s="81"/>
      <c r="AE2114" s="81" t="b">
        <v>0</v>
      </c>
      <c r="AF2114" s="81">
        <v>0</v>
      </c>
      <c r="AG2114" s="86" t="s">
        <v>2084</v>
      </c>
      <c r="AH2114" s="81" t="b">
        <v>0</v>
      </c>
      <c r="AI2114" s="81" t="s">
        <v>2168</v>
      </c>
      <c r="AJ2114" s="81"/>
      <c r="AK2114" s="86" t="s">
        <v>2084</v>
      </c>
      <c r="AL2114" s="81" t="b">
        <v>0</v>
      </c>
      <c r="AM2114" s="81">
        <v>31</v>
      </c>
      <c r="AN2114" s="86" t="s">
        <v>13353</v>
      </c>
      <c r="AO2114" s="86" t="s">
        <v>2179</v>
      </c>
      <c r="AP2114" s="81" t="b">
        <v>0</v>
      </c>
      <c r="AQ2114" s="86" t="s">
        <v>13353</v>
      </c>
      <c r="AR2114" s="81" t="s">
        <v>179</v>
      </c>
      <c r="AS2114" s="81">
        <v>0</v>
      </c>
      <c r="AT2114" s="81">
        <v>0</v>
      </c>
      <c r="AU2114" s="81"/>
      <c r="AV2114" s="81"/>
      <c r="AW2114" s="81"/>
      <c r="AX2114" s="81"/>
      <c r="AY2114" s="81"/>
      <c r="AZ2114" s="81"/>
      <c r="BA2114" s="81"/>
      <c r="BB2114" s="81"/>
    </row>
    <row r="2115" spans="1:54" x14ac:dyDescent="0.35">
      <c r="A2115" s="66" t="s">
        <v>313</v>
      </c>
      <c r="B2115" s="66" t="s">
        <v>12664</v>
      </c>
      <c r="C2115" s="67"/>
      <c r="D2115" s="68"/>
      <c r="E2115" s="69"/>
      <c r="F2115" s="70"/>
      <c r="G2115" s="67"/>
      <c r="H2115" s="71"/>
      <c r="I2115" s="72"/>
      <c r="J2115" s="72"/>
      <c r="K2115" s="36"/>
      <c r="L2115" s="79"/>
      <c r="M2115" s="79"/>
      <c r="N2115" s="74"/>
      <c r="O2115" s="81" t="s">
        <v>693</v>
      </c>
      <c r="P2115" s="83">
        <v>44468.746446759258</v>
      </c>
      <c r="Q2115" s="81" t="s">
        <v>12799</v>
      </c>
      <c r="R2115" s="81"/>
      <c r="S2115" s="81"/>
      <c r="T2115" s="86" t="s">
        <v>314</v>
      </c>
      <c r="U2115" s="84" t="str">
        <f>HYPERLINK("https://pbs.twimg.com/media/FAeEF_8UcAAAgih.jpg")</f>
        <v>https://pbs.twimg.com/media/FAeEF_8UcAAAgih.jpg</v>
      </c>
      <c r="V2115" s="84" t="str">
        <f>HYPERLINK("https://pbs.twimg.com/media/FAeEF_8UcAAAgih.jpg")</f>
        <v>https://pbs.twimg.com/media/FAeEF_8UcAAAgih.jpg</v>
      </c>
      <c r="W2115" s="83">
        <v>44468.746446759258</v>
      </c>
      <c r="X2115" s="89">
        <v>44468</v>
      </c>
      <c r="Y2115" s="86" t="s">
        <v>12979</v>
      </c>
      <c r="Z2115" s="84" t="str">
        <f>HYPERLINK("https://twitter.com/myncteam/status/1443273088389369859")</f>
        <v>https://twitter.com/myncteam/status/1443273088389369859</v>
      </c>
      <c r="AA2115" s="81"/>
      <c r="AB2115" s="81"/>
      <c r="AC2115" s="86" t="s">
        <v>13216</v>
      </c>
      <c r="AD2115" s="81"/>
      <c r="AE2115" s="81" t="b">
        <v>0</v>
      </c>
      <c r="AF2115" s="81">
        <v>0</v>
      </c>
      <c r="AG2115" s="86" t="s">
        <v>2084</v>
      </c>
      <c r="AH2115" s="81" t="b">
        <v>0</v>
      </c>
      <c r="AI2115" s="81" t="s">
        <v>2168</v>
      </c>
      <c r="AJ2115" s="81"/>
      <c r="AK2115" s="86" t="s">
        <v>2084</v>
      </c>
      <c r="AL2115" s="81" t="b">
        <v>0</v>
      </c>
      <c r="AM2115" s="81">
        <v>42</v>
      </c>
      <c r="AN2115" s="86" t="s">
        <v>13352</v>
      </c>
      <c r="AO2115" s="86" t="s">
        <v>2179</v>
      </c>
      <c r="AP2115" s="81" t="b">
        <v>0</v>
      </c>
      <c r="AQ2115" s="86" t="s">
        <v>13352</v>
      </c>
      <c r="AR2115" s="81" t="s">
        <v>179</v>
      </c>
      <c r="AS2115" s="81">
        <v>0</v>
      </c>
      <c r="AT2115" s="81">
        <v>0</v>
      </c>
      <c r="AU2115" s="81"/>
      <c r="AV2115" s="81"/>
      <c r="AW2115" s="81"/>
      <c r="AX2115" s="81"/>
      <c r="AY2115" s="81"/>
      <c r="AZ2115" s="81"/>
      <c r="BA2115" s="81"/>
      <c r="BB2115" s="81"/>
    </row>
    <row r="2116" spans="1:54" x14ac:dyDescent="0.35">
      <c r="A2116" s="66" t="s">
        <v>12575</v>
      </c>
      <c r="B2116" s="66" t="s">
        <v>12664</v>
      </c>
      <c r="C2116" s="67"/>
      <c r="D2116" s="68"/>
      <c r="E2116" s="69"/>
      <c r="F2116" s="70"/>
      <c r="G2116" s="67"/>
      <c r="H2116" s="71"/>
      <c r="I2116" s="72"/>
      <c r="J2116" s="72"/>
      <c r="K2116" s="36"/>
      <c r="L2116" s="79"/>
      <c r="M2116" s="79"/>
      <c r="N2116" s="74"/>
      <c r="O2116" s="81" t="s">
        <v>693</v>
      </c>
      <c r="P2116" s="83">
        <v>44468.74732638889</v>
      </c>
      <c r="Q2116" s="81" t="s">
        <v>12800</v>
      </c>
      <c r="R2116" s="81"/>
      <c r="S2116" s="81"/>
      <c r="T2116" s="86" t="s">
        <v>314</v>
      </c>
      <c r="U2116" s="84" t="str">
        <f>HYPERLINK("https://pbs.twimg.com/media/FAeE8WOVQAIxGko.jpg")</f>
        <v>https://pbs.twimg.com/media/FAeE8WOVQAIxGko.jpg</v>
      </c>
      <c r="V2116" s="84" t="str">
        <f>HYPERLINK("https://pbs.twimg.com/media/FAeE8WOVQAIxGko.jpg")</f>
        <v>https://pbs.twimg.com/media/FAeE8WOVQAIxGko.jpg</v>
      </c>
      <c r="W2116" s="83">
        <v>44468.74732638889</v>
      </c>
      <c r="X2116" s="89">
        <v>44468</v>
      </c>
      <c r="Y2116" s="86" t="s">
        <v>12980</v>
      </c>
      <c r="Z2116" s="84" t="str">
        <f>HYPERLINK("https://twitter.com/kamlaiyin/status/1443273406493851648")</f>
        <v>https://twitter.com/kamlaiyin/status/1443273406493851648</v>
      </c>
      <c r="AA2116" s="81"/>
      <c r="AB2116" s="81"/>
      <c r="AC2116" s="86" t="s">
        <v>13217</v>
      </c>
      <c r="AD2116" s="81"/>
      <c r="AE2116" s="81" t="b">
        <v>0</v>
      </c>
      <c r="AF2116" s="81">
        <v>0</v>
      </c>
      <c r="AG2116" s="86" t="s">
        <v>2084</v>
      </c>
      <c r="AH2116" s="81" t="b">
        <v>0</v>
      </c>
      <c r="AI2116" s="81" t="s">
        <v>2168</v>
      </c>
      <c r="AJ2116" s="81"/>
      <c r="AK2116" s="86" t="s">
        <v>2084</v>
      </c>
      <c r="AL2116" s="81" t="b">
        <v>0</v>
      </c>
      <c r="AM2116" s="81">
        <v>31</v>
      </c>
      <c r="AN2116" s="86" t="s">
        <v>13353</v>
      </c>
      <c r="AO2116" s="86" t="s">
        <v>2179</v>
      </c>
      <c r="AP2116" s="81" t="b">
        <v>0</v>
      </c>
      <c r="AQ2116" s="86" t="s">
        <v>13353</v>
      </c>
      <c r="AR2116" s="81" t="s">
        <v>179</v>
      </c>
      <c r="AS2116" s="81">
        <v>0</v>
      </c>
      <c r="AT2116" s="81">
        <v>0</v>
      </c>
      <c r="AU2116" s="81"/>
      <c r="AV2116" s="81"/>
      <c r="AW2116" s="81"/>
      <c r="AX2116" s="81"/>
      <c r="AY2116" s="81"/>
      <c r="AZ2116" s="81"/>
      <c r="BA2116" s="81"/>
      <c r="BB2116" s="81"/>
    </row>
    <row r="2117" spans="1:54" x14ac:dyDescent="0.35">
      <c r="A2117" s="66" t="s">
        <v>12575</v>
      </c>
      <c r="B2117" s="66" t="s">
        <v>12664</v>
      </c>
      <c r="C2117" s="67"/>
      <c r="D2117" s="68"/>
      <c r="E2117" s="69"/>
      <c r="F2117" s="70"/>
      <c r="G2117" s="67"/>
      <c r="H2117" s="71"/>
      <c r="I2117" s="72"/>
      <c r="J2117" s="72"/>
      <c r="K2117" s="36"/>
      <c r="L2117" s="79"/>
      <c r="M2117" s="79"/>
      <c r="N2117" s="74"/>
      <c r="O2117" s="81" t="s">
        <v>693</v>
      </c>
      <c r="P2117" s="83">
        <v>44468.747384259259</v>
      </c>
      <c r="Q2117" s="81" t="s">
        <v>12799</v>
      </c>
      <c r="R2117" s="81"/>
      <c r="S2117" s="81"/>
      <c r="T2117" s="86" t="s">
        <v>314</v>
      </c>
      <c r="U2117" s="84" t="str">
        <f>HYPERLINK("https://pbs.twimg.com/media/FAeEF_8UcAAAgih.jpg")</f>
        <v>https://pbs.twimg.com/media/FAeEF_8UcAAAgih.jpg</v>
      </c>
      <c r="V2117" s="84" t="str">
        <f>HYPERLINK("https://pbs.twimg.com/media/FAeEF_8UcAAAgih.jpg")</f>
        <v>https://pbs.twimg.com/media/FAeEF_8UcAAAgih.jpg</v>
      </c>
      <c r="W2117" s="83">
        <v>44468.747384259259</v>
      </c>
      <c r="X2117" s="89">
        <v>44468</v>
      </c>
      <c r="Y2117" s="86" t="s">
        <v>12981</v>
      </c>
      <c r="Z2117" s="84" t="str">
        <f>HYPERLINK("https://twitter.com/kamlaiyin/status/1443273428459393024")</f>
        <v>https://twitter.com/kamlaiyin/status/1443273428459393024</v>
      </c>
      <c r="AA2117" s="81"/>
      <c r="AB2117" s="81"/>
      <c r="AC2117" s="86" t="s">
        <v>13218</v>
      </c>
      <c r="AD2117" s="81"/>
      <c r="AE2117" s="81" t="b">
        <v>0</v>
      </c>
      <c r="AF2117" s="81">
        <v>0</v>
      </c>
      <c r="AG2117" s="86" t="s">
        <v>2084</v>
      </c>
      <c r="AH2117" s="81" t="b">
        <v>0</v>
      </c>
      <c r="AI2117" s="81" t="s">
        <v>2168</v>
      </c>
      <c r="AJ2117" s="81"/>
      <c r="AK2117" s="86" t="s">
        <v>2084</v>
      </c>
      <c r="AL2117" s="81" t="b">
        <v>0</v>
      </c>
      <c r="AM2117" s="81">
        <v>42</v>
      </c>
      <c r="AN2117" s="86" t="s">
        <v>13352</v>
      </c>
      <c r="AO2117" s="86" t="s">
        <v>2179</v>
      </c>
      <c r="AP2117" s="81" t="b">
        <v>0</v>
      </c>
      <c r="AQ2117" s="86" t="s">
        <v>13352</v>
      </c>
      <c r="AR2117" s="81" t="s">
        <v>179</v>
      </c>
      <c r="AS2117" s="81">
        <v>0</v>
      </c>
      <c r="AT2117" s="81">
        <v>0</v>
      </c>
      <c r="AU2117" s="81"/>
      <c r="AV2117" s="81"/>
      <c r="AW2117" s="81"/>
      <c r="AX2117" s="81"/>
      <c r="AY2117" s="81"/>
      <c r="AZ2117" s="81"/>
      <c r="BA2117" s="81"/>
      <c r="BB2117" s="81"/>
    </row>
    <row r="2118" spans="1:54" x14ac:dyDescent="0.35">
      <c r="A2118" s="66" t="s">
        <v>12576</v>
      </c>
      <c r="B2118" s="66" t="s">
        <v>12664</v>
      </c>
      <c r="C2118" s="67"/>
      <c r="D2118" s="68"/>
      <c r="E2118" s="69"/>
      <c r="F2118" s="70"/>
      <c r="G2118" s="67"/>
      <c r="H2118" s="71"/>
      <c r="I2118" s="72"/>
      <c r="J2118" s="72"/>
      <c r="K2118" s="36"/>
      <c r="L2118" s="79"/>
      <c r="M2118" s="79"/>
      <c r="N2118" s="74"/>
      <c r="O2118" s="81" t="s">
        <v>693</v>
      </c>
      <c r="P2118" s="83">
        <v>44468.754999999997</v>
      </c>
      <c r="Q2118" s="81" t="s">
        <v>12799</v>
      </c>
      <c r="R2118" s="81"/>
      <c r="S2118" s="81"/>
      <c r="T2118" s="86" t="s">
        <v>314</v>
      </c>
      <c r="U2118" s="84" t="str">
        <f>HYPERLINK("https://pbs.twimg.com/media/FAeEF_8UcAAAgih.jpg")</f>
        <v>https://pbs.twimg.com/media/FAeEF_8UcAAAgih.jpg</v>
      </c>
      <c r="V2118" s="84" t="str">
        <f>HYPERLINK("https://pbs.twimg.com/media/FAeEF_8UcAAAgih.jpg")</f>
        <v>https://pbs.twimg.com/media/FAeEF_8UcAAAgih.jpg</v>
      </c>
      <c r="W2118" s="83">
        <v>44468.754999999997</v>
      </c>
      <c r="X2118" s="89">
        <v>44468</v>
      </c>
      <c r="Y2118" s="86" t="s">
        <v>12982</v>
      </c>
      <c r="Z2118" s="84" t="str">
        <f>HYPERLINK("https://twitter.com/naynayli_/status/1443276187476783104")</f>
        <v>https://twitter.com/naynayli_/status/1443276187476783104</v>
      </c>
      <c r="AA2118" s="81"/>
      <c r="AB2118" s="81"/>
      <c r="AC2118" s="86" t="s">
        <v>13219</v>
      </c>
      <c r="AD2118" s="81"/>
      <c r="AE2118" s="81" t="b">
        <v>0</v>
      </c>
      <c r="AF2118" s="81">
        <v>0</v>
      </c>
      <c r="AG2118" s="86" t="s">
        <v>2084</v>
      </c>
      <c r="AH2118" s="81" t="b">
        <v>0</v>
      </c>
      <c r="AI2118" s="81" t="s">
        <v>2168</v>
      </c>
      <c r="AJ2118" s="81"/>
      <c r="AK2118" s="86" t="s">
        <v>2084</v>
      </c>
      <c r="AL2118" s="81" t="b">
        <v>0</v>
      </c>
      <c r="AM2118" s="81">
        <v>42</v>
      </c>
      <c r="AN2118" s="86" t="s">
        <v>13352</v>
      </c>
      <c r="AO2118" s="86" t="s">
        <v>2179</v>
      </c>
      <c r="AP2118" s="81" t="b">
        <v>0</v>
      </c>
      <c r="AQ2118" s="86" t="s">
        <v>13352</v>
      </c>
      <c r="AR2118" s="81" t="s">
        <v>179</v>
      </c>
      <c r="AS2118" s="81">
        <v>0</v>
      </c>
      <c r="AT2118" s="81">
        <v>0</v>
      </c>
      <c r="AU2118" s="81"/>
      <c r="AV2118" s="81"/>
      <c r="AW2118" s="81"/>
      <c r="AX2118" s="81"/>
      <c r="AY2118" s="81"/>
      <c r="AZ2118" s="81"/>
      <c r="BA2118" s="81"/>
      <c r="BB2118" s="81"/>
    </row>
    <row r="2119" spans="1:54" x14ac:dyDescent="0.35">
      <c r="A2119" s="66" t="s">
        <v>12576</v>
      </c>
      <c r="B2119" s="66" t="s">
        <v>12664</v>
      </c>
      <c r="C2119" s="67"/>
      <c r="D2119" s="68"/>
      <c r="E2119" s="69"/>
      <c r="F2119" s="70"/>
      <c r="G2119" s="67"/>
      <c r="H2119" s="71"/>
      <c r="I2119" s="72"/>
      <c r="J2119" s="72"/>
      <c r="K2119" s="36"/>
      <c r="L2119" s="79"/>
      <c r="M2119" s="79"/>
      <c r="N2119" s="74"/>
      <c r="O2119" s="81" t="s">
        <v>693</v>
      </c>
      <c r="P2119" s="83">
        <v>44468.75508101852</v>
      </c>
      <c r="Q2119" s="81" t="s">
        <v>12800</v>
      </c>
      <c r="R2119" s="81"/>
      <c r="S2119" s="81"/>
      <c r="T2119" s="86" t="s">
        <v>314</v>
      </c>
      <c r="U2119" s="84" t="str">
        <f>HYPERLINK("https://pbs.twimg.com/media/FAeE8WOVQAIxGko.jpg")</f>
        <v>https://pbs.twimg.com/media/FAeE8WOVQAIxGko.jpg</v>
      </c>
      <c r="V2119" s="84" t="str">
        <f>HYPERLINK("https://pbs.twimg.com/media/FAeE8WOVQAIxGko.jpg")</f>
        <v>https://pbs.twimg.com/media/FAeE8WOVQAIxGko.jpg</v>
      </c>
      <c r="W2119" s="83">
        <v>44468.75508101852</v>
      </c>
      <c r="X2119" s="89">
        <v>44468</v>
      </c>
      <c r="Y2119" s="86" t="s">
        <v>12983</v>
      </c>
      <c r="Z2119" s="84" t="str">
        <f>HYPERLINK("https://twitter.com/naynayli_/status/1443276217638031360")</f>
        <v>https://twitter.com/naynayli_/status/1443276217638031360</v>
      </c>
      <c r="AA2119" s="81"/>
      <c r="AB2119" s="81"/>
      <c r="AC2119" s="86" t="s">
        <v>13220</v>
      </c>
      <c r="AD2119" s="81"/>
      <c r="AE2119" s="81" t="b">
        <v>0</v>
      </c>
      <c r="AF2119" s="81">
        <v>0</v>
      </c>
      <c r="AG2119" s="86" t="s">
        <v>2084</v>
      </c>
      <c r="AH2119" s="81" t="b">
        <v>0</v>
      </c>
      <c r="AI2119" s="81" t="s">
        <v>2168</v>
      </c>
      <c r="AJ2119" s="81"/>
      <c r="AK2119" s="86" t="s">
        <v>2084</v>
      </c>
      <c r="AL2119" s="81" t="b">
        <v>0</v>
      </c>
      <c r="AM2119" s="81">
        <v>31</v>
      </c>
      <c r="AN2119" s="86" t="s">
        <v>13353</v>
      </c>
      <c r="AO2119" s="86" t="s">
        <v>2179</v>
      </c>
      <c r="AP2119" s="81" t="b">
        <v>0</v>
      </c>
      <c r="AQ2119" s="86" t="s">
        <v>13353</v>
      </c>
      <c r="AR2119" s="81" t="s">
        <v>179</v>
      </c>
      <c r="AS2119" s="81">
        <v>0</v>
      </c>
      <c r="AT2119" s="81">
        <v>0</v>
      </c>
      <c r="AU2119" s="81"/>
      <c r="AV2119" s="81"/>
      <c r="AW2119" s="81"/>
      <c r="AX2119" s="81"/>
      <c r="AY2119" s="81"/>
      <c r="AZ2119" s="81"/>
      <c r="BA2119" s="81"/>
      <c r="BB2119" s="81"/>
    </row>
    <row r="2120" spans="1:54" x14ac:dyDescent="0.35">
      <c r="A2120" s="66" t="s">
        <v>12577</v>
      </c>
      <c r="B2120" s="66" t="s">
        <v>12664</v>
      </c>
      <c r="C2120" s="67"/>
      <c r="D2120" s="68"/>
      <c r="E2120" s="69"/>
      <c r="F2120" s="70"/>
      <c r="G2120" s="67"/>
      <c r="H2120" s="71"/>
      <c r="I2120" s="72"/>
      <c r="J2120" s="72"/>
      <c r="K2120" s="36"/>
      <c r="L2120" s="79"/>
      <c r="M2120" s="79"/>
      <c r="N2120" s="74"/>
      <c r="O2120" s="81" t="s">
        <v>693</v>
      </c>
      <c r="P2120" s="83">
        <v>44468.756689814814</v>
      </c>
      <c r="Q2120" s="81" t="s">
        <v>12800</v>
      </c>
      <c r="R2120" s="81"/>
      <c r="S2120" s="81"/>
      <c r="T2120" s="86" t="s">
        <v>314</v>
      </c>
      <c r="U2120" s="84" t="str">
        <f>HYPERLINK("https://pbs.twimg.com/media/FAeE8WOVQAIxGko.jpg")</f>
        <v>https://pbs.twimg.com/media/FAeE8WOVQAIxGko.jpg</v>
      </c>
      <c r="V2120" s="84" t="str">
        <f>HYPERLINK("https://pbs.twimg.com/media/FAeE8WOVQAIxGko.jpg")</f>
        <v>https://pbs.twimg.com/media/FAeE8WOVQAIxGko.jpg</v>
      </c>
      <c r="W2120" s="83">
        <v>44468.756689814814</v>
      </c>
      <c r="X2120" s="89">
        <v>44468</v>
      </c>
      <c r="Y2120" s="86" t="s">
        <v>12984</v>
      </c>
      <c r="Z2120" s="84" t="str">
        <f>HYPERLINK("https://twitter.com/sweettyprncss/status/1443276800465858561")</f>
        <v>https://twitter.com/sweettyprncss/status/1443276800465858561</v>
      </c>
      <c r="AA2120" s="81"/>
      <c r="AB2120" s="81"/>
      <c r="AC2120" s="86" t="s">
        <v>13221</v>
      </c>
      <c r="AD2120" s="81"/>
      <c r="AE2120" s="81" t="b">
        <v>0</v>
      </c>
      <c r="AF2120" s="81">
        <v>0</v>
      </c>
      <c r="AG2120" s="86" t="s">
        <v>2084</v>
      </c>
      <c r="AH2120" s="81" t="b">
        <v>0</v>
      </c>
      <c r="AI2120" s="81" t="s">
        <v>2168</v>
      </c>
      <c r="AJ2120" s="81"/>
      <c r="AK2120" s="86" t="s">
        <v>2084</v>
      </c>
      <c r="AL2120" s="81" t="b">
        <v>0</v>
      </c>
      <c r="AM2120" s="81">
        <v>31</v>
      </c>
      <c r="AN2120" s="86" t="s">
        <v>13353</v>
      </c>
      <c r="AO2120" s="86" t="s">
        <v>2178</v>
      </c>
      <c r="AP2120" s="81" t="b">
        <v>0</v>
      </c>
      <c r="AQ2120" s="86" t="s">
        <v>13353</v>
      </c>
      <c r="AR2120" s="81" t="s">
        <v>179</v>
      </c>
      <c r="AS2120" s="81">
        <v>0</v>
      </c>
      <c r="AT2120" s="81">
        <v>0</v>
      </c>
      <c r="AU2120" s="81"/>
      <c r="AV2120" s="81"/>
      <c r="AW2120" s="81"/>
      <c r="AX2120" s="81"/>
      <c r="AY2120" s="81"/>
      <c r="AZ2120" s="81"/>
      <c r="BA2120" s="81"/>
      <c r="BB2120" s="81"/>
    </row>
    <row r="2121" spans="1:54" x14ac:dyDescent="0.35">
      <c r="A2121" s="66" t="s">
        <v>320</v>
      </c>
      <c r="B2121" s="66" t="s">
        <v>344</v>
      </c>
      <c r="C2121" s="67"/>
      <c r="D2121" s="68"/>
      <c r="E2121" s="69"/>
      <c r="F2121" s="70"/>
      <c r="G2121" s="67"/>
      <c r="H2121" s="71"/>
      <c r="I2121" s="72"/>
      <c r="J2121" s="72"/>
      <c r="K2121" s="36"/>
      <c r="L2121" s="79"/>
      <c r="M2121" s="79"/>
      <c r="N2121" s="74"/>
      <c r="O2121" s="81" t="s">
        <v>693</v>
      </c>
      <c r="P2121" s="83">
        <v>44461.396620370368</v>
      </c>
      <c r="Q2121" s="81" t="s">
        <v>743</v>
      </c>
      <c r="R2121" s="81"/>
      <c r="S2121" s="81"/>
      <c r="T2121" s="86" t="s">
        <v>977</v>
      </c>
      <c r="U2121" s="84" t="str">
        <f>HYPERLINK("https://pbs.twimg.com/media/E_4G1w0UcAYtmKg.jpg")</f>
        <v>https://pbs.twimg.com/media/E_4G1w0UcAYtmKg.jpg</v>
      </c>
      <c r="V2121" s="84" t="str">
        <f>HYPERLINK("https://pbs.twimg.com/media/E_4G1w0UcAYtmKg.jpg")</f>
        <v>https://pbs.twimg.com/media/E_4G1w0UcAYtmKg.jpg</v>
      </c>
      <c r="W2121" s="83">
        <v>44461.396620370368</v>
      </c>
      <c r="X2121" s="89">
        <v>44461</v>
      </c>
      <c r="Y2121" s="86" t="s">
        <v>1124</v>
      </c>
      <c r="Z2121" s="84" t="str">
        <f>HYPERLINK("https://twitter.com/dearczennies_/status/1440609600378576906")</f>
        <v>https://twitter.com/dearczennies_/status/1440609600378576906</v>
      </c>
      <c r="AA2121" s="81"/>
      <c r="AB2121" s="81"/>
      <c r="AC2121" s="86" t="s">
        <v>1622</v>
      </c>
      <c r="AD2121" s="81"/>
      <c r="AE2121" s="81" t="b">
        <v>0</v>
      </c>
      <c r="AF2121" s="81">
        <v>0</v>
      </c>
      <c r="AG2121" s="86" t="s">
        <v>2084</v>
      </c>
      <c r="AH2121" s="81" t="b">
        <v>0</v>
      </c>
      <c r="AI2121" s="81" t="s">
        <v>2168</v>
      </c>
      <c r="AJ2121" s="81"/>
      <c r="AK2121" s="86" t="s">
        <v>2084</v>
      </c>
      <c r="AL2121" s="81" t="b">
        <v>0</v>
      </c>
      <c r="AM2121" s="81">
        <v>12</v>
      </c>
      <c r="AN2121" s="86" t="s">
        <v>1646</v>
      </c>
      <c r="AO2121" s="86" t="s">
        <v>2178</v>
      </c>
      <c r="AP2121" s="81" t="b">
        <v>0</v>
      </c>
      <c r="AQ2121" s="86" t="s">
        <v>1646</v>
      </c>
      <c r="AR2121" s="81" t="s">
        <v>179</v>
      </c>
      <c r="AS2121" s="81">
        <v>0</v>
      </c>
      <c r="AT2121" s="81">
        <v>0</v>
      </c>
      <c r="AU2121" s="81"/>
      <c r="AV2121" s="81"/>
      <c r="AW2121" s="81"/>
      <c r="AX2121" s="81"/>
      <c r="AY2121" s="81"/>
      <c r="AZ2121" s="81"/>
      <c r="BA2121" s="81"/>
      <c r="BB2121" s="81"/>
    </row>
    <row r="2122" spans="1:54" x14ac:dyDescent="0.35">
      <c r="A2122" s="66" t="s">
        <v>320</v>
      </c>
      <c r="B2122" s="66" t="s">
        <v>589</v>
      </c>
      <c r="C2122" s="67"/>
      <c r="D2122" s="68"/>
      <c r="E2122" s="69"/>
      <c r="F2122" s="70"/>
      <c r="G2122" s="67"/>
      <c r="H2122" s="71"/>
      <c r="I2122" s="72"/>
      <c r="J2122" s="72"/>
      <c r="K2122" s="36"/>
      <c r="L2122" s="79"/>
      <c r="M2122" s="79"/>
      <c r="N2122" s="74"/>
      <c r="O2122" s="81" t="s">
        <v>693</v>
      </c>
      <c r="P2122" s="83">
        <v>44467.644131944442</v>
      </c>
      <c r="Q2122" s="81" t="s">
        <v>5625</v>
      </c>
      <c r="R2122" s="81"/>
      <c r="S2122" s="81"/>
      <c r="T2122" s="86" t="s">
        <v>5786</v>
      </c>
      <c r="U2122" s="84" t="str">
        <f>HYPERLINK("https://pbs.twimg.com/media/FAYUHMTVEAoP82T.jpg")</f>
        <v>https://pbs.twimg.com/media/FAYUHMTVEAoP82T.jpg</v>
      </c>
      <c r="V2122" s="84" t="str">
        <f>HYPERLINK("https://pbs.twimg.com/media/FAYUHMTVEAoP82T.jpg")</f>
        <v>https://pbs.twimg.com/media/FAYUHMTVEAoP82T.jpg</v>
      </c>
      <c r="W2122" s="83">
        <v>44467.644131944442</v>
      </c>
      <c r="X2122" s="89">
        <v>44467</v>
      </c>
      <c r="Y2122" s="86" t="s">
        <v>6301</v>
      </c>
      <c r="Z2122" s="84" t="str">
        <f>HYPERLINK("https://twitter.com/dearczennies_/status/1442873620221493255")</f>
        <v>https://twitter.com/dearczennies_/status/1442873620221493255</v>
      </c>
      <c r="AA2122" s="81"/>
      <c r="AB2122" s="81"/>
      <c r="AC2122" s="86" t="s">
        <v>7516</v>
      </c>
      <c r="AD2122" s="81"/>
      <c r="AE2122" s="81" t="b">
        <v>0</v>
      </c>
      <c r="AF2122" s="81">
        <v>0</v>
      </c>
      <c r="AG2122" s="86" t="s">
        <v>2084</v>
      </c>
      <c r="AH2122" s="81" t="b">
        <v>0</v>
      </c>
      <c r="AI2122" s="81" t="s">
        <v>2168</v>
      </c>
      <c r="AJ2122" s="81"/>
      <c r="AK2122" s="86" t="s">
        <v>2084</v>
      </c>
      <c r="AL2122" s="81" t="b">
        <v>0</v>
      </c>
      <c r="AM2122" s="81">
        <v>15</v>
      </c>
      <c r="AN2122" s="86" t="s">
        <v>7613</v>
      </c>
      <c r="AO2122" s="86" t="s">
        <v>2178</v>
      </c>
      <c r="AP2122" s="81" t="b">
        <v>0</v>
      </c>
      <c r="AQ2122" s="86" t="s">
        <v>7613</v>
      </c>
      <c r="AR2122" s="81" t="s">
        <v>179</v>
      </c>
      <c r="AS2122" s="81">
        <v>0</v>
      </c>
      <c r="AT2122" s="81">
        <v>0</v>
      </c>
      <c r="AU2122" s="81"/>
      <c r="AV2122" s="81"/>
      <c r="AW2122" s="81"/>
      <c r="AX2122" s="81"/>
      <c r="AY2122" s="81"/>
      <c r="AZ2122" s="81"/>
      <c r="BA2122" s="81"/>
      <c r="BB2122" s="81"/>
    </row>
    <row r="2123" spans="1:54" x14ac:dyDescent="0.35">
      <c r="A2123" s="66" t="s">
        <v>320</v>
      </c>
      <c r="B2123" s="66" t="s">
        <v>12664</v>
      </c>
      <c r="C2123" s="67"/>
      <c r="D2123" s="68"/>
      <c r="E2123" s="69"/>
      <c r="F2123" s="70"/>
      <c r="G2123" s="67"/>
      <c r="H2123" s="71"/>
      <c r="I2123" s="72"/>
      <c r="J2123" s="72"/>
      <c r="K2123" s="36"/>
      <c r="L2123" s="79"/>
      <c r="M2123" s="79"/>
      <c r="N2123" s="74"/>
      <c r="O2123" s="81" t="s">
        <v>693</v>
      </c>
      <c r="P2123" s="83">
        <v>44468.759745370371</v>
      </c>
      <c r="Q2123" s="81" t="s">
        <v>12799</v>
      </c>
      <c r="R2123" s="81"/>
      <c r="S2123" s="81"/>
      <c r="T2123" s="86" t="s">
        <v>314</v>
      </c>
      <c r="U2123" s="84" t="str">
        <f>HYPERLINK("https://pbs.twimg.com/media/FAeEF_8UcAAAgih.jpg")</f>
        <v>https://pbs.twimg.com/media/FAeEF_8UcAAAgih.jpg</v>
      </c>
      <c r="V2123" s="84" t="str">
        <f>HYPERLINK("https://pbs.twimg.com/media/FAeEF_8UcAAAgih.jpg")</f>
        <v>https://pbs.twimg.com/media/FAeEF_8UcAAAgih.jpg</v>
      </c>
      <c r="W2123" s="83">
        <v>44468.759745370371</v>
      </c>
      <c r="X2123" s="89">
        <v>44468</v>
      </c>
      <c r="Y2123" s="86" t="s">
        <v>12985</v>
      </c>
      <c r="Z2123" s="84" t="str">
        <f>HYPERLINK("https://twitter.com/dearczennies_/status/1443277908970070017")</f>
        <v>https://twitter.com/dearczennies_/status/1443277908970070017</v>
      </c>
      <c r="AA2123" s="81"/>
      <c r="AB2123" s="81"/>
      <c r="AC2123" s="86" t="s">
        <v>13222</v>
      </c>
      <c r="AD2123" s="81"/>
      <c r="AE2123" s="81" t="b">
        <v>0</v>
      </c>
      <c r="AF2123" s="81">
        <v>0</v>
      </c>
      <c r="AG2123" s="86" t="s">
        <v>2084</v>
      </c>
      <c r="AH2123" s="81" t="b">
        <v>0</v>
      </c>
      <c r="AI2123" s="81" t="s">
        <v>2168</v>
      </c>
      <c r="AJ2123" s="81"/>
      <c r="AK2123" s="86" t="s">
        <v>2084</v>
      </c>
      <c r="AL2123" s="81" t="b">
        <v>0</v>
      </c>
      <c r="AM2123" s="81">
        <v>42</v>
      </c>
      <c r="AN2123" s="86" t="s">
        <v>13352</v>
      </c>
      <c r="AO2123" s="86" t="s">
        <v>2178</v>
      </c>
      <c r="AP2123" s="81" t="b">
        <v>0</v>
      </c>
      <c r="AQ2123" s="86" t="s">
        <v>13352</v>
      </c>
      <c r="AR2123" s="81" t="s">
        <v>179</v>
      </c>
      <c r="AS2123" s="81">
        <v>0</v>
      </c>
      <c r="AT2123" s="81">
        <v>0</v>
      </c>
      <c r="AU2123" s="81"/>
      <c r="AV2123" s="81"/>
      <c r="AW2123" s="81"/>
      <c r="AX2123" s="81"/>
      <c r="AY2123" s="81"/>
      <c r="AZ2123" s="81"/>
      <c r="BA2123" s="81"/>
      <c r="BB2123" s="81"/>
    </row>
    <row r="2124" spans="1:54" x14ac:dyDescent="0.35">
      <c r="A2124" s="66" t="s">
        <v>320</v>
      </c>
      <c r="B2124" s="66" t="s">
        <v>12664</v>
      </c>
      <c r="C2124" s="67"/>
      <c r="D2124" s="68"/>
      <c r="E2124" s="69"/>
      <c r="F2124" s="70"/>
      <c r="G2124" s="67"/>
      <c r="H2124" s="71"/>
      <c r="I2124" s="72"/>
      <c r="J2124" s="72"/>
      <c r="K2124" s="36"/>
      <c r="L2124" s="79"/>
      <c r="M2124" s="79"/>
      <c r="N2124" s="74"/>
      <c r="O2124" s="81" t="s">
        <v>693</v>
      </c>
      <c r="P2124" s="83">
        <v>44468.759965277779</v>
      </c>
      <c r="Q2124" s="81" t="s">
        <v>12800</v>
      </c>
      <c r="R2124" s="81"/>
      <c r="S2124" s="81"/>
      <c r="T2124" s="86" t="s">
        <v>314</v>
      </c>
      <c r="U2124" s="84" t="str">
        <f>HYPERLINK("https://pbs.twimg.com/media/FAeE8WOVQAIxGko.jpg")</f>
        <v>https://pbs.twimg.com/media/FAeE8WOVQAIxGko.jpg</v>
      </c>
      <c r="V2124" s="84" t="str">
        <f>HYPERLINK("https://pbs.twimg.com/media/FAeE8WOVQAIxGko.jpg")</f>
        <v>https://pbs.twimg.com/media/FAeE8WOVQAIxGko.jpg</v>
      </c>
      <c r="W2124" s="83">
        <v>44468.759965277779</v>
      </c>
      <c r="X2124" s="89">
        <v>44468</v>
      </c>
      <c r="Y2124" s="86" t="s">
        <v>12986</v>
      </c>
      <c r="Z2124" s="84" t="str">
        <f>HYPERLINK("https://twitter.com/dearczennies_/status/1443277987445567490")</f>
        <v>https://twitter.com/dearczennies_/status/1443277987445567490</v>
      </c>
      <c r="AA2124" s="81"/>
      <c r="AB2124" s="81"/>
      <c r="AC2124" s="86" t="s">
        <v>13223</v>
      </c>
      <c r="AD2124" s="81"/>
      <c r="AE2124" s="81" t="b">
        <v>0</v>
      </c>
      <c r="AF2124" s="81">
        <v>0</v>
      </c>
      <c r="AG2124" s="86" t="s">
        <v>2084</v>
      </c>
      <c r="AH2124" s="81" t="b">
        <v>0</v>
      </c>
      <c r="AI2124" s="81" t="s">
        <v>2168</v>
      </c>
      <c r="AJ2124" s="81"/>
      <c r="AK2124" s="86" t="s">
        <v>2084</v>
      </c>
      <c r="AL2124" s="81" t="b">
        <v>0</v>
      </c>
      <c r="AM2124" s="81">
        <v>31</v>
      </c>
      <c r="AN2124" s="86" t="s">
        <v>13353</v>
      </c>
      <c r="AO2124" s="86" t="s">
        <v>2178</v>
      </c>
      <c r="AP2124" s="81" t="b">
        <v>0</v>
      </c>
      <c r="AQ2124" s="86" t="s">
        <v>13353</v>
      </c>
      <c r="AR2124" s="81" t="s">
        <v>179</v>
      </c>
      <c r="AS2124" s="81">
        <v>0</v>
      </c>
      <c r="AT2124" s="81">
        <v>0</v>
      </c>
      <c r="AU2124" s="81"/>
      <c r="AV2124" s="81"/>
      <c r="AW2124" s="81"/>
      <c r="AX2124" s="81"/>
      <c r="AY2124" s="81"/>
      <c r="AZ2124" s="81"/>
      <c r="BA2124" s="81"/>
      <c r="BB2124" s="81"/>
    </row>
    <row r="2125" spans="1:54" x14ac:dyDescent="0.35">
      <c r="A2125" s="66" t="s">
        <v>12578</v>
      </c>
      <c r="B2125" s="66" t="s">
        <v>12705</v>
      </c>
      <c r="C2125" s="67"/>
      <c r="D2125" s="68"/>
      <c r="E2125" s="69"/>
      <c r="F2125" s="70"/>
      <c r="G2125" s="67"/>
      <c r="H2125" s="71"/>
      <c r="I2125" s="72"/>
      <c r="J2125" s="72"/>
      <c r="K2125" s="36"/>
      <c r="L2125" s="79"/>
      <c r="M2125" s="79"/>
      <c r="N2125" s="74"/>
      <c r="O2125" s="81" t="s">
        <v>695</v>
      </c>
      <c r="P2125" s="83">
        <v>44468.763356481482</v>
      </c>
      <c r="Q2125" s="81" t="s">
        <v>12802</v>
      </c>
      <c r="R2125" s="81"/>
      <c r="S2125" s="81"/>
      <c r="T2125" s="81"/>
      <c r="U2125" s="81"/>
      <c r="V2125" s="84" t="str">
        <f>HYPERLINK("https://pbs.twimg.com/profile_images/1436374531011235879/wMUZddAm_normal.png")</f>
        <v>https://pbs.twimg.com/profile_images/1436374531011235879/wMUZddAm_normal.png</v>
      </c>
      <c r="W2125" s="83">
        <v>44468.763356481482</v>
      </c>
      <c r="X2125" s="89">
        <v>44468</v>
      </c>
      <c r="Y2125" s="86" t="s">
        <v>12987</v>
      </c>
      <c r="Z2125" s="84" t="str">
        <f>HYPERLINK("https://twitter.com/antniosrgiomen4/status/1443279216938782720")</f>
        <v>https://twitter.com/antniosrgiomen4/status/1443279216938782720</v>
      </c>
      <c r="AA2125" s="81"/>
      <c r="AB2125" s="81"/>
      <c r="AC2125" s="86" t="s">
        <v>13224</v>
      </c>
      <c r="AD2125" s="86" t="s">
        <v>13381</v>
      </c>
      <c r="AE2125" s="81" t="b">
        <v>0</v>
      </c>
      <c r="AF2125" s="81">
        <v>0</v>
      </c>
      <c r="AG2125" s="86" t="s">
        <v>13422</v>
      </c>
      <c r="AH2125" s="81" t="b">
        <v>0</v>
      </c>
      <c r="AI2125" s="81" t="s">
        <v>2171</v>
      </c>
      <c r="AJ2125" s="81"/>
      <c r="AK2125" s="86" t="s">
        <v>2084</v>
      </c>
      <c r="AL2125" s="81" t="b">
        <v>0</v>
      </c>
      <c r="AM2125" s="81">
        <v>0</v>
      </c>
      <c r="AN2125" s="86" t="s">
        <v>2084</v>
      </c>
      <c r="AO2125" s="86" t="s">
        <v>2178</v>
      </c>
      <c r="AP2125" s="81" t="b">
        <v>0</v>
      </c>
      <c r="AQ2125" s="86" t="s">
        <v>13381</v>
      </c>
      <c r="AR2125" s="81" t="s">
        <v>179</v>
      </c>
      <c r="AS2125" s="81">
        <v>0</v>
      </c>
      <c r="AT2125" s="81">
        <v>0</v>
      </c>
      <c r="AU2125" s="81"/>
      <c r="AV2125" s="81"/>
      <c r="AW2125" s="81"/>
      <c r="AX2125" s="81"/>
      <c r="AY2125" s="81"/>
      <c r="AZ2125" s="81"/>
      <c r="BA2125" s="81"/>
      <c r="BB2125" s="81"/>
    </row>
    <row r="2126" spans="1:54" x14ac:dyDescent="0.35">
      <c r="A2126" s="66" t="s">
        <v>12579</v>
      </c>
      <c r="B2126" s="66" t="s">
        <v>12664</v>
      </c>
      <c r="C2126" s="67"/>
      <c r="D2126" s="68"/>
      <c r="E2126" s="69"/>
      <c r="F2126" s="70"/>
      <c r="G2126" s="67"/>
      <c r="H2126" s="71"/>
      <c r="I2126" s="72"/>
      <c r="J2126" s="72"/>
      <c r="K2126" s="36"/>
      <c r="L2126" s="79"/>
      <c r="M2126" s="79"/>
      <c r="N2126" s="74"/>
      <c r="O2126" s="81" t="s">
        <v>693</v>
      </c>
      <c r="P2126" s="83">
        <v>44468.768125000002</v>
      </c>
      <c r="Q2126" s="81" t="s">
        <v>12799</v>
      </c>
      <c r="R2126" s="81"/>
      <c r="S2126" s="81"/>
      <c r="T2126" s="86" t="s">
        <v>314</v>
      </c>
      <c r="U2126" s="84" t="str">
        <f>HYPERLINK("https://pbs.twimg.com/media/FAeEF_8UcAAAgih.jpg")</f>
        <v>https://pbs.twimg.com/media/FAeEF_8UcAAAgih.jpg</v>
      </c>
      <c r="V2126" s="84" t="str">
        <f>HYPERLINK("https://pbs.twimg.com/media/FAeEF_8UcAAAgih.jpg")</f>
        <v>https://pbs.twimg.com/media/FAeEF_8UcAAAgih.jpg</v>
      </c>
      <c r="W2126" s="83">
        <v>44468.768125000002</v>
      </c>
      <c r="X2126" s="89">
        <v>44468</v>
      </c>
      <c r="Y2126" s="86" t="s">
        <v>12988</v>
      </c>
      <c r="Z2126" s="84" t="str">
        <f>HYPERLINK("https://twitter.com/aestheticallyeo/status/1443280944627019776")</f>
        <v>https://twitter.com/aestheticallyeo/status/1443280944627019776</v>
      </c>
      <c r="AA2126" s="81"/>
      <c r="AB2126" s="81"/>
      <c r="AC2126" s="86" t="s">
        <v>13225</v>
      </c>
      <c r="AD2126" s="81"/>
      <c r="AE2126" s="81" t="b">
        <v>0</v>
      </c>
      <c r="AF2126" s="81">
        <v>0</v>
      </c>
      <c r="AG2126" s="86" t="s">
        <v>2084</v>
      </c>
      <c r="AH2126" s="81" t="b">
        <v>0</v>
      </c>
      <c r="AI2126" s="81" t="s">
        <v>2168</v>
      </c>
      <c r="AJ2126" s="81"/>
      <c r="AK2126" s="86" t="s">
        <v>2084</v>
      </c>
      <c r="AL2126" s="81" t="b">
        <v>0</v>
      </c>
      <c r="AM2126" s="81">
        <v>42</v>
      </c>
      <c r="AN2126" s="86" t="s">
        <v>13352</v>
      </c>
      <c r="AO2126" s="86" t="s">
        <v>2178</v>
      </c>
      <c r="AP2126" s="81" t="b">
        <v>0</v>
      </c>
      <c r="AQ2126" s="86" t="s">
        <v>13352</v>
      </c>
      <c r="AR2126" s="81" t="s">
        <v>179</v>
      </c>
      <c r="AS2126" s="81">
        <v>0</v>
      </c>
      <c r="AT2126" s="81">
        <v>0</v>
      </c>
      <c r="AU2126" s="81"/>
      <c r="AV2126" s="81"/>
      <c r="AW2126" s="81"/>
      <c r="AX2126" s="81"/>
      <c r="AY2126" s="81"/>
      <c r="AZ2126" s="81"/>
      <c r="BA2126" s="81"/>
      <c r="BB2126" s="81"/>
    </row>
    <row r="2127" spans="1:54" x14ac:dyDescent="0.35">
      <c r="A2127" s="66" t="s">
        <v>12579</v>
      </c>
      <c r="B2127" s="66" t="s">
        <v>12664</v>
      </c>
      <c r="C2127" s="67"/>
      <c r="D2127" s="68"/>
      <c r="E2127" s="69"/>
      <c r="F2127" s="70"/>
      <c r="G2127" s="67"/>
      <c r="H2127" s="71"/>
      <c r="I2127" s="72"/>
      <c r="J2127" s="72"/>
      <c r="K2127" s="36"/>
      <c r="L2127" s="79"/>
      <c r="M2127" s="79"/>
      <c r="N2127" s="74"/>
      <c r="O2127" s="81" t="s">
        <v>693</v>
      </c>
      <c r="P2127" s="83">
        <v>44468.768449074072</v>
      </c>
      <c r="Q2127" s="81" t="s">
        <v>12800</v>
      </c>
      <c r="R2127" s="81"/>
      <c r="S2127" s="81"/>
      <c r="T2127" s="86" t="s">
        <v>314</v>
      </c>
      <c r="U2127" s="84" t="str">
        <f>HYPERLINK("https://pbs.twimg.com/media/FAeE8WOVQAIxGko.jpg")</f>
        <v>https://pbs.twimg.com/media/FAeE8WOVQAIxGko.jpg</v>
      </c>
      <c r="V2127" s="84" t="str">
        <f>HYPERLINK("https://pbs.twimg.com/media/FAeE8WOVQAIxGko.jpg")</f>
        <v>https://pbs.twimg.com/media/FAeE8WOVQAIxGko.jpg</v>
      </c>
      <c r="W2127" s="83">
        <v>44468.768449074072</v>
      </c>
      <c r="X2127" s="89">
        <v>44468</v>
      </c>
      <c r="Y2127" s="86" t="s">
        <v>12989</v>
      </c>
      <c r="Z2127" s="84" t="str">
        <f>HYPERLINK("https://twitter.com/aestheticallyeo/status/1443281062885425157")</f>
        <v>https://twitter.com/aestheticallyeo/status/1443281062885425157</v>
      </c>
      <c r="AA2127" s="81"/>
      <c r="AB2127" s="81"/>
      <c r="AC2127" s="86" t="s">
        <v>13226</v>
      </c>
      <c r="AD2127" s="81"/>
      <c r="AE2127" s="81" t="b">
        <v>0</v>
      </c>
      <c r="AF2127" s="81">
        <v>0</v>
      </c>
      <c r="AG2127" s="86" t="s">
        <v>2084</v>
      </c>
      <c r="AH2127" s="81" t="b">
        <v>0</v>
      </c>
      <c r="AI2127" s="81" t="s">
        <v>2168</v>
      </c>
      <c r="AJ2127" s="81"/>
      <c r="AK2127" s="86" t="s">
        <v>2084</v>
      </c>
      <c r="AL2127" s="81" t="b">
        <v>0</v>
      </c>
      <c r="AM2127" s="81">
        <v>31</v>
      </c>
      <c r="AN2127" s="86" t="s">
        <v>13353</v>
      </c>
      <c r="AO2127" s="86" t="s">
        <v>2178</v>
      </c>
      <c r="AP2127" s="81" t="b">
        <v>0</v>
      </c>
      <c r="AQ2127" s="86" t="s">
        <v>13353</v>
      </c>
      <c r="AR2127" s="81" t="s">
        <v>179</v>
      </c>
      <c r="AS2127" s="81">
        <v>0</v>
      </c>
      <c r="AT2127" s="81">
        <v>0</v>
      </c>
      <c r="AU2127" s="81"/>
      <c r="AV2127" s="81"/>
      <c r="AW2127" s="81"/>
      <c r="AX2127" s="81"/>
      <c r="AY2127" s="81"/>
      <c r="AZ2127" s="81"/>
      <c r="BA2127" s="81"/>
      <c r="BB2127" s="81"/>
    </row>
    <row r="2128" spans="1:54" x14ac:dyDescent="0.35">
      <c r="A2128" s="66" t="s">
        <v>12580</v>
      </c>
      <c r="B2128" s="66" t="s">
        <v>12664</v>
      </c>
      <c r="C2128" s="67"/>
      <c r="D2128" s="68"/>
      <c r="E2128" s="69"/>
      <c r="F2128" s="70"/>
      <c r="G2128" s="67"/>
      <c r="H2128" s="71"/>
      <c r="I2128" s="72"/>
      <c r="J2128" s="72"/>
      <c r="K2128" s="36"/>
      <c r="L2128" s="79"/>
      <c r="M2128" s="79"/>
      <c r="N2128" s="74"/>
      <c r="O2128" s="81" t="s">
        <v>693</v>
      </c>
      <c r="P2128" s="83">
        <v>44468.769780092596</v>
      </c>
      <c r="Q2128" s="81" t="s">
        <v>12800</v>
      </c>
      <c r="R2128" s="81"/>
      <c r="S2128" s="81"/>
      <c r="T2128" s="86" t="s">
        <v>314</v>
      </c>
      <c r="U2128" s="84" t="str">
        <f>HYPERLINK("https://pbs.twimg.com/media/FAeE8WOVQAIxGko.jpg")</f>
        <v>https://pbs.twimg.com/media/FAeE8WOVQAIxGko.jpg</v>
      </c>
      <c r="V2128" s="84" t="str">
        <f>HYPERLINK("https://pbs.twimg.com/media/FAeE8WOVQAIxGko.jpg")</f>
        <v>https://pbs.twimg.com/media/FAeE8WOVQAIxGko.jpg</v>
      </c>
      <c r="W2128" s="83">
        <v>44468.769780092596</v>
      </c>
      <c r="X2128" s="89">
        <v>44468</v>
      </c>
      <c r="Y2128" s="86" t="s">
        <v>12990</v>
      </c>
      <c r="Z2128" s="84" t="str">
        <f>HYPERLINK("https://twitter.com/qtpiejcm/status/1443281542134972422")</f>
        <v>https://twitter.com/qtpiejcm/status/1443281542134972422</v>
      </c>
      <c r="AA2128" s="81"/>
      <c r="AB2128" s="81"/>
      <c r="AC2128" s="86" t="s">
        <v>13227</v>
      </c>
      <c r="AD2128" s="81"/>
      <c r="AE2128" s="81" t="b">
        <v>0</v>
      </c>
      <c r="AF2128" s="81">
        <v>0</v>
      </c>
      <c r="AG2128" s="86" t="s">
        <v>2084</v>
      </c>
      <c r="AH2128" s="81" t="b">
        <v>0</v>
      </c>
      <c r="AI2128" s="81" t="s">
        <v>2168</v>
      </c>
      <c r="AJ2128" s="81"/>
      <c r="AK2128" s="86" t="s">
        <v>2084</v>
      </c>
      <c r="AL2128" s="81" t="b">
        <v>0</v>
      </c>
      <c r="AM2128" s="81">
        <v>31</v>
      </c>
      <c r="AN2128" s="86" t="s">
        <v>13353</v>
      </c>
      <c r="AO2128" s="86" t="s">
        <v>2178</v>
      </c>
      <c r="AP2128" s="81" t="b">
        <v>0</v>
      </c>
      <c r="AQ2128" s="86" t="s">
        <v>13353</v>
      </c>
      <c r="AR2128" s="81" t="s">
        <v>179</v>
      </c>
      <c r="AS2128" s="81">
        <v>0</v>
      </c>
      <c r="AT2128" s="81">
        <v>0</v>
      </c>
      <c r="AU2128" s="81"/>
      <c r="AV2128" s="81"/>
      <c r="AW2128" s="81"/>
      <c r="AX2128" s="81"/>
      <c r="AY2128" s="81"/>
      <c r="AZ2128" s="81"/>
      <c r="BA2128" s="81"/>
      <c r="BB2128" s="81"/>
    </row>
    <row r="2129" spans="1:54" x14ac:dyDescent="0.35">
      <c r="A2129" s="66" t="s">
        <v>12580</v>
      </c>
      <c r="B2129" s="66" t="s">
        <v>12664</v>
      </c>
      <c r="C2129" s="67"/>
      <c r="D2129" s="68"/>
      <c r="E2129" s="69"/>
      <c r="F2129" s="70"/>
      <c r="G2129" s="67"/>
      <c r="H2129" s="71"/>
      <c r="I2129" s="72"/>
      <c r="J2129" s="72"/>
      <c r="K2129" s="36"/>
      <c r="L2129" s="79"/>
      <c r="M2129" s="79"/>
      <c r="N2129" s="74"/>
      <c r="O2129" s="81" t="s">
        <v>693</v>
      </c>
      <c r="P2129" s="83">
        <v>44468.770231481481</v>
      </c>
      <c r="Q2129" s="81" t="s">
        <v>12799</v>
      </c>
      <c r="R2129" s="81"/>
      <c r="S2129" s="81"/>
      <c r="T2129" s="86" t="s">
        <v>314</v>
      </c>
      <c r="U2129" s="84" t="str">
        <f>HYPERLINK("https://pbs.twimg.com/media/FAeEF_8UcAAAgih.jpg")</f>
        <v>https://pbs.twimg.com/media/FAeEF_8UcAAAgih.jpg</v>
      </c>
      <c r="V2129" s="84" t="str">
        <f>HYPERLINK("https://pbs.twimg.com/media/FAeEF_8UcAAAgih.jpg")</f>
        <v>https://pbs.twimg.com/media/FAeEF_8UcAAAgih.jpg</v>
      </c>
      <c r="W2129" s="83">
        <v>44468.770231481481</v>
      </c>
      <c r="X2129" s="89">
        <v>44468</v>
      </c>
      <c r="Y2129" s="86" t="s">
        <v>12991</v>
      </c>
      <c r="Z2129" s="84" t="str">
        <f>HYPERLINK("https://twitter.com/qtpiejcm/status/1443281707361193984")</f>
        <v>https://twitter.com/qtpiejcm/status/1443281707361193984</v>
      </c>
      <c r="AA2129" s="81"/>
      <c r="AB2129" s="81"/>
      <c r="AC2129" s="86" t="s">
        <v>13228</v>
      </c>
      <c r="AD2129" s="81"/>
      <c r="AE2129" s="81" t="b">
        <v>0</v>
      </c>
      <c r="AF2129" s="81">
        <v>0</v>
      </c>
      <c r="AG2129" s="86" t="s">
        <v>2084</v>
      </c>
      <c r="AH2129" s="81" t="b">
        <v>0</v>
      </c>
      <c r="AI2129" s="81" t="s">
        <v>2168</v>
      </c>
      <c r="AJ2129" s="81"/>
      <c r="AK2129" s="86" t="s">
        <v>2084</v>
      </c>
      <c r="AL2129" s="81" t="b">
        <v>0</v>
      </c>
      <c r="AM2129" s="81">
        <v>42</v>
      </c>
      <c r="AN2129" s="86" t="s">
        <v>13352</v>
      </c>
      <c r="AO2129" s="86" t="s">
        <v>2178</v>
      </c>
      <c r="AP2129" s="81" t="b">
        <v>0</v>
      </c>
      <c r="AQ2129" s="86" t="s">
        <v>13352</v>
      </c>
      <c r="AR2129" s="81" t="s">
        <v>179</v>
      </c>
      <c r="AS2129" s="81">
        <v>0</v>
      </c>
      <c r="AT2129" s="81">
        <v>0</v>
      </c>
      <c r="AU2129" s="81"/>
      <c r="AV2129" s="81"/>
      <c r="AW2129" s="81"/>
      <c r="AX2129" s="81"/>
      <c r="AY2129" s="81"/>
      <c r="AZ2129" s="81"/>
      <c r="BA2129" s="81"/>
      <c r="BB2129" s="81"/>
    </row>
    <row r="2130" spans="1:54" x14ac:dyDescent="0.35">
      <c r="A2130" s="66" t="s">
        <v>4963</v>
      </c>
      <c r="B2130" s="66" t="s">
        <v>5228</v>
      </c>
      <c r="C2130" s="67"/>
      <c r="D2130" s="68"/>
      <c r="E2130" s="69"/>
      <c r="F2130" s="70"/>
      <c r="G2130" s="67"/>
      <c r="H2130" s="71"/>
      <c r="I2130" s="72"/>
      <c r="J2130" s="72"/>
      <c r="K2130" s="36"/>
      <c r="L2130" s="79"/>
      <c r="M2130" s="79"/>
      <c r="N2130" s="74"/>
      <c r="O2130" s="81" t="s">
        <v>695</v>
      </c>
      <c r="P2130" s="83">
        <v>44460.127986111111</v>
      </c>
      <c r="Q2130" s="81" t="s">
        <v>5653</v>
      </c>
      <c r="R2130" s="81"/>
      <c r="S2130" s="81"/>
      <c r="T2130" s="81"/>
      <c r="U2130" s="81"/>
      <c r="V2130" s="84" t="str">
        <f>HYPERLINK("https://pbs.twimg.com/profile_images/1258569360236576770/7E9EYrtd_normal.jpg")</f>
        <v>https://pbs.twimg.com/profile_images/1258569360236576770/7E9EYrtd_normal.jpg</v>
      </c>
      <c r="W2130" s="83">
        <v>44460.127986111111</v>
      </c>
      <c r="X2130" s="89">
        <v>44460</v>
      </c>
      <c r="Y2130" s="86" t="s">
        <v>6648</v>
      </c>
      <c r="Z2130" s="84" t="str">
        <f>HYPERLINK("https://twitter.com/panchitoblanco1/status/1440149862650052610")</f>
        <v>https://twitter.com/panchitoblanco1/status/1440149862650052610</v>
      </c>
      <c r="AA2130" s="81"/>
      <c r="AB2130" s="81"/>
      <c r="AC2130" s="86" t="s">
        <v>7573</v>
      </c>
      <c r="AD2130" s="86" t="s">
        <v>7777</v>
      </c>
      <c r="AE2130" s="81" t="b">
        <v>0</v>
      </c>
      <c r="AF2130" s="81">
        <v>0</v>
      </c>
      <c r="AG2130" s="86" t="s">
        <v>7948</v>
      </c>
      <c r="AH2130" s="81" t="b">
        <v>0</v>
      </c>
      <c r="AI2130" s="81" t="s">
        <v>2171</v>
      </c>
      <c r="AJ2130" s="81"/>
      <c r="AK2130" s="86" t="s">
        <v>2084</v>
      </c>
      <c r="AL2130" s="81" t="b">
        <v>0</v>
      </c>
      <c r="AM2130" s="81">
        <v>0</v>
      </c>
      <c r="AN2130" s="86" t="s">
        <v>2084</v>
      </c>
      <c r="AO2130" s="86" t="s">
        <v>2178</v>
      </c>
      <c r="AP2130" s="81" t="b">
        <v>0</v>
      </c>
      <c r="AQ2130" s="86" t="s">
        <v>7777</v>
      </c>
      <c r="AR2130" s="81" t="s">
        <v>179</v>
      </c>
      <c r="AS2130" s="81">
        <v>0</v>
      </c>
      <c r="AT2130" s="81">
        <v>0</v>
      </c>
      <c r="AU2130" s="81"/>
      <c r="AV2130" s="81"/>
      <c r="AW2130" s="81"/>
      <c r="AX2130" s="81"/>
      <c r="AY2130" s="81"/>
      <c r="AZ2130" s="81"/>
      <c r="BA2130" s="81"/>
      <c r="BB2130" s="81"/>
    </row>
    <row r="2131" spans="1:54" x14ac:dyDescent="0.35">
      <c r="A2131" s="66" t="s">
        <v>4963</v>
      </c>
      <c r="B2131" s="66" t="s">
        <v>5037</v>
      </c>
      <c r="C2131" s="67"/>
      <c r="D2131" s="68"/>
      <c r="E2131" s="69"/>
      <c r="F2131" s="70"/>
      <c r="G2131" s="67"/>
      <c r="H2131" s="71"/>
      <c r="I2131" s="72"/>
      <c r="J2131" s="72"/>
      <c r="K2131" s="36"/>
      <c r="L2131" s="79"/>
      <c r="M2131" s="79"/>
      <c r="N2131" s="74"/>
      <c r="O2131" s="81" t="s">
        <v>695</v>
      </c>
      <c r="P2131" s="83">
        <v>44462.070474537039</v>
      </c>
      <c r="Q2131" s="81" t="s">
        <v>5367</v>
      </c>
      <c r="R2131" s="81"/>
      <c r="S2131" s="81"/>
      <c r="T2131" s="81"/>
      <c r="U2131" s="81"/>
      <c r="V2131" s="84" t="str">
        <f>HYPERLINK("https://pbs.twimg.com/profile_images/1258569360236576770/7E9EYrtd_normal.jpg")</f>
        <v>https://pbs.twimg.com/profile_images/1258569360236576770/7E9EYrtd_normal.jpg</v>
      </c>
      <c r="W2131" s="83">
        <v>44462.070474537039</v>
      </c>
      <c r="X2131" s="89">
        <v>44462</v>
      </c>
      <c r="Y2131" s="86" t="s">
        <v>6649</v>
      </c>
      <c r="Z2131" s="84" t="str">
        <f>HYPERLINK("https://twitter.com/panchitoblanco1/status/1440853796620578823")</f>
        <v>https://twitter.com/panchitoblanco1/status/1440853796620578823</v>
      </c>
      <c r="AA2131" s="81"/>
      <c r="AB2131" s="81"/>
      <c r="AC2131" s="86" t="s">
        <v>7574</v>
      </c>
      <c r="AD2131" s="86" t="s">
        <v>7778</v>
      </c>
      <c r="AE2131" s="81" t="b">
        <v>0</v>
      </c>
      <c r="AF2131" s="81">
        <v>6</v>
      </c>
      <c r="AG2131" s="86" t="s">
        <v>7949</v>
      </c>
      <c r="AH2131" s="81" t="b">
        <v>0</v>
      </c>
      <c r="AI2131" s="81" t="s">
        <v>2171</v>
      </c>
      <c r="AJ2131" s="81"/>
      <c r="AK2131" s="86" t="s">
        <v>2084</v>
      </c>
      <c r="AL2131" s="81" t="b">
        <v>0</v>
      </c>
      <c r="AM2131" s="81">
        <v>1</v>
      </c>
      <c r="AN2131" s="86" t="s">
        <v>2084</v>
      </c>
      <c r="AO2131" s="86" t="s">
        <v>2178</v>
      </c>
      <c r="AP2131" s="81" t="b">
        <v>0</v>
      </c>
      <c r="AQ2131" s="86" t="s">
        <v>7778</v>
      </c>
      <c r="AR2131" s="81" t="s">
        <v>179</v>
      </c>
      <c r="AS2131" s="81">
        <v>0</v>
      </c>
      <c r="AT2131" s="81">
        <v>0</v>
      </c>
      <c r="AU2131" s="81"/>
      <c r="AV2131" s="81"/>
      <c r="AW2131" s="81"/>
      <c r="AX2131" s="81"/>
      <c r="AY2131" s="81"/>
      <c r="AZ2131" s="81"/>
      <c r="BA2131" s="81"/>
      <c r="BB2131" s="81"/>
    </row>
    <row r="2132" spans="1:54" x14ac:dyDescent="0.35">
      <c r="A2132" s="66" t="s">
        <v>4963</v>
      </c>
      <c r="B2132" s="66" t="s">
        <v>5054</v>
      </c>
      <c r="C2132" s="67"/>
      <c r="D2132" s="68"/>
      <c r="E2132" s="69"/>
      <c r="F2132" s="70"/>
      <c r="G2132" s="67"/>
      <c r="H2132" s="71"/>
      <c r="I2132" s="72"/>
      <c r="J2132" s="72"/>
      <c r="K2132" s="36"/>
      <c r="L2132" s="79"/>
      <c r="M2132" s="79"/>
      <c r="N2132" s="74"/>
      <c r="O2132" s="81" t="s">
        <v>695</v>
      </c>
      <c r="P2132" s="83">
        <v>44462.848611111112</v>
      </c>
      <c r="Q2132" s="81" t="s">
        <v>5386</v>
      </c>
      <c r="R2132" s="81"/>
      <c r="S2132" s="81"/>
      <c r="T2132" s="81"/>
      <c r="U2132" s="81"/>
      <c r="V2132" s="84" t="str">
        <f>HYPERLINK("https://pbs.twimg.com/profile_images/1258569360236576770/7E9EYrtd_normal.jpg")</f>
        <v>https://pbs.twimg.com/profile_images/1258569360236576770/7E9EYrtd_normal.jpg</v>
      </c>
      <c r="W2132" s="83">
        <v>44462.848611111112</v>
      </c>
      <c r="X2132" s="89">
        <v>44462</v>
      </c>
      <c r="Y2132" s="86" t="s">
        <v>6650</v>
      </c>
      <c r="Z2132" s="84" t="str">
        <f>HYPERLINK("https://twitter.com/panchitoblanco1/status/1441135784761851909")</f>
        <v>https://twitter.com/panchitoblanco1/status/1441135784761851909</v>
      </c>
      <c r="AA2132" s="81"/>
      <c r="AB2132" s="81"/>
      <c r="AC2132" s="86" t="s">
        <v>7575</v>
      </c>
      <c r="AD2132" s="86" t="s">
        <v>7779</v>
      </c>
      <c r="AE2132" s="81" t="b">
        <v>0</v>
      </c>
      <c r="AF2132" s="81">
        <v>2</v>
      </c>
      <c r="AG2132" s="86" t="s">
        <v>7950</v>
      </c>
      <c r="AH2132" s="81" t="b">
        <v>0</v>
      </c>
      <c r="AI2132" s="81" t="s">
        <v>2171</v>
      </c>
      <c r="AJ2132" s="81"/>
      <c r="AK2132" s="86" t="s">
        <v>2084</v>
      </c>
      <c r="AL2132" s="81" t="b">
        <v>0</v>
      </c>
      <c r="AM2132" s="81">
        <v>2</v>
      </c>
      <c r="AN2132" s="86" t="s">
        <v>2084</v>
      </c>
      <c r="AO2132" s="86" t="s">
        <v>2178</v>
      </c>
      <c r="AP2132" s="81" t="b">
        <v>0</v>
      </c>
      <c r="AQ2132" s="86" t="s">
        <v>7779</v>
      </c>
      <c r="AR2132" s="81" t="s">
        <v>179</v>
      </c>
      <c r="AS2132" s="81">
        <v>0</v>
      </c>
      <c r="AT2132" s="81">
        <v>0</v>
      </c>
      <c r="AU2132" s="81"/>
      <c r="AV2132" s="81"/>
      <c r="AW2132" s="81"/>
      <c r="AX2132" s="81"/>
      <c r="AY2132" s="81"/>
      <c r="AZ2132" s="81"/>
      <c r="BA2132" s="81"/>
      <c r="BB2132" s="81"/>
    </row>
    <row r="2133" spans="1:54" x14ac:dyDescent="0.35">
      <c r="A2133" s="66" t="s">
        <v>4964</v>
      </c>
      <c r="B2133" s="66" t="s">
        <v>5229</v>
      </c>
      <c r="C2133" s="67"/>
      <c r="D2133" s="68"/>
      <c r="E2133" s="69"/>
      <c r="F2133" s="70"/>
      <c r="G2133" s="67"/>
      <c r="H2133" s="71"/>
      <c r="I2133" s="72"/>
      <c r="J2133" s="72"/>
      <c r="K2133" s="36"/>
      <c r="L2133" s="79"/>
      <c r="M2133" s="79"/>
      <c r="N2133" s="74"/>
      <c r="O2133" s="81" t="s">
        <v>694</v>
      </c>
      <c r="P2133" s="83">
        <v>44463.601944444446</v>
      </c>
      <c r="Q2133" s="81" t="s">
        <v>5654</v>
      </c>
      <c r="R2133" s="84" t="str">
        <f>HYPERLINK("https://auditoriacidada.org.br/")</f>
        <v>https://auditoriacidada.org.br/</v>
      </c>
      <c r="S2133" s="81" t="s">
        <v>5696</v>
      </c>
      <c r="T2133" s="81"/>
      <c r="U2133" s="81"/>
      <c r="V2133" s="84" t="str">
        <f>HYPERLINK("https://pbs.twimg.com/profile_images/1442268002653704194/YVzvfEte_normal.jpg")</f>
        <v>https://pbs.twimg.com/profile_images/1442268002653704194/YVzvfEte_normal.jpg</v>
      </c>
      <c r="W2133" s="83">
        <v>44463.601944444446</v>
      </c>
      <c r="X2133" s="89">
        <v>44463</v>
      </c>
      <c r="Y2133" s="86" t="s">
        <v>6651</v>
      </c>
      <c r="Z2133" s="84" t="str">
        <f>HYPERLINK("https://twitter.com/solcaetanocost1/status/1441408783792619522")</f>
        <v>https://twitter.com/solcaetanocost1/status/1441408783792619522</v>
      </c>
      <c r="AA2133" s="81"/>
      <c r="AB2133" s="81"/>
      <c r="AC2133" s="86" t="s">
        <v>7576</v>
      </c>
      <c r="AD2133" s="81"/>
      <c r="AE2133" s="81" t="b">
        <v>0</v>
      </c>
      <c r="AF2133" s="81">
        <v>0</v>
      </c>
      <c r="AG2133" s="86" t="s">
        <v>2084</v>
      </c>
      <c r="AH2133" s="81" t="b">
        <v>0</v>
      </c>
      <c r="AI2133" s="81" t="s">
        <v>2171</v>
      </c>
      <c r="AJ2133" s="81"/>
      <c r="AK2133" s="86" t="s">
        <v>2084</v>
      </c>
      <c r="AL2133" s="81" t="b">
        <v>0</v>
      </c>
      <c r="AM2133" s="81">
        <v>4</v>
      </c>
      <c r="AN2133" s="86" t="s">
        <v>7580</v>
      </c>
      <c r="AO2133" s="86" t="s">
        <v>2178</v>
      </c>
      <c r="AP2133" s="81" t="b">
        <v>0</v>
      </c>
      <c r="AQ2133" s="86" t="s">
        <v>7580</v>
      </c>
      <c r="AR2133" s="81" t="s">
        <v>179</v>
      </c>
      <c r="AS2133" s="81">
        <v>0</v>
      </c>
      <c r="AT2133" s="81">
        <v>0</v>
      </c>
      <c r="AU2133" s="81"/>
      <c r="AV2133" s="81"/>
      <c r="AW2133" s="81"/>
      <c r="AX2133" s="81"/>
      <c r="AY2133" s="81"/>
      <c r="AZ2133" s="81"/>
      <c r="BA2133" s="81"/>
      <c r="BB2133" s="81"/>
    </row>
    <row r="2134" spans="1:54" x14ac:dyDescent="0.35">
      <c r="A2134" s="66" t="s">
        <v>4964</v>
      </c>
      <c r="B2134" s="66" t="s">
        <v>4966</v>
      </c>
      <c r="C2134" s="67"/>
      <c r="D2134" s="68"/>
      <c r="E2134" s="69"/>
      <c r="F2134" s="70"/>
      <c r="G2134" s="67"/>
      <c r="H2134" s="71"/>
      <c r="I2134" s="72"/>
      <c r="J2134" s="72"/>
      <c r="K2134" s="36"/>
      <c r="L2134" s="79"/>
      <c r="M2134" s="79"/>
      <c r="N2134" s="74"/>
      <c r="O2134" s="81" t="s">
        <v>694</v>
      </c>
      <c r="P2134" s="83">
        <v>44463.601944444446</v>
      </c>
      <c r="Q2134" s="81" t="s">
        <v>5654</v>
      </c>
      <c r="R2134" s="84" t="str">
        <f>HYPERLINK("https://auditoriacidada.org.br/")</f>
        <v>https://auditoriacidada.org.br/</v>
      </c>
      <c r="S2134" s="81" t="s">
        <v>5696</v>
      </c>
      <c r="T2134" s="81"/>
      <c r="U2134" s="81"/>
      <c r="V2134" s="84" t="str">
        <f>HYPERLINK("https://pbs.twimg.com/profile_images/1442268002653704194/YVzvfEte_normal.jpg")</f>
        <v>https://pbs.twimg.com/profile_images/1442268002653704194/YVzvfEte_normal.jpg</v>
      </c>
      <c r="W2134" s="83">
        <v>44463.601944444446</v>
      </c>
      <c r="X2134" s="89">
        <v>44463</v>
      </c>
      <c r="Y2134" s="86" t="s">
        <v>6651</v>
      </c>
      <c r="Z2134" s="84" t="str">
        <f>HYPERLINK("https://twitter.com/solcaetanocost1/status/1441408783792619522")</f>
        <v>https://twitter.com/solcaetanocost1/status/1441408783792619522</v>
      </c>
      <c r="AA2134" s="81"/>
      <c r="AB2134" s="81"/>
      <c r="AC2134" s="86" t="s">
        <v>7576</v>
      </c>
      <c r="AD2134" s="81"/>
      <c r="AE2134" s="81" t="b">
        <v>0</v>
      </c>
      <c r="AF2134" s="81">
        <v>0</v>
      </c>
      <c r="AG2134" s="86" t="s">
        <v>2084</v>
      </c>
      <c r="AH2134" s="81" t="b">
        <v>0</v>
      </c>
      <c r="AI2134" s="81" t="s">
        <v>2171</v>
      </c>
      <c r="AJ2134" s="81"/>
      <c r="AK2134" s="86" t="s">
        <v>2084</v>
      </c>
      <c r="AL2134" s="81" t="b">
        <v>0</v>
      </c>
      <c r="AM2134" s="81">
        <v>4</v>
      </c>
      <c r="AN2134" s="86" t="s">
        <v>7580</v>
      </c>
      <c r="AO2134" s="86" t="s">
        <v>2178</v>
      </c>
      <c r="AP2134" s="81" t="b">
        <v>0</v>
      </c>
      <c r="AQ2134" s="86" t="s">
        <v>7580</v>
      </c>
      <c r="AR2134" s="81" t="s">
        <v>179</v>
      </c>
      <c r="AS2134" s="81">
        <v>0</v>
      </c>
      <c r="AT2134" s="81">
        <v>0</v>
      </c>
      <c r="AU2134" s="81"/>
      <c r="AV2134" s="81"/>
      <c r="AW2134" s="81"/>
      <c r="AX2134" s="81"/>
      <c r="AY2134" s="81"/>
      <c r="AZ2134" s="81"/>
      <c r="BA2134" s="81"/>
      <c r="BB2134" s="81"/>
    </row>
    <row r="2135" spans="1:54" x14ac:dyDescent="0.35">
      <c r="A2135" s="66" t="s">
        <v>4964</v>
      </c>
      <c r="B2135" s="66" t="s">
        <v>5230</v>
      </c>
      <c r="C2135" s="67"/>
      <c r="D2135" s="68"/>
      <c r="E2135" s="69"/>
      <c r="F2135" s="70"/>
      <c r="G2135" s="67"/>
      <c r="H2135" s="71"/>
      <c r="I2135" s="72"/>
      <c r="J2135" s="72"/>
      <c r="K2135" s="36"/>
      <c r="L2135" s="79"/>
      <c r="M2135" s="79"/>
      <c r="N2135" s="74"/>
      <c r="O2135" s="81" t="s">
        <v>694</v>
      </c>
      <c r="P2135" s="83">
        <v>44463.601944444446</v>
      </c>
      <c r="Q2135" s="81" t="s">
        <v>5654</v>
      </c>
      <c r="R2135" s="84" t="str">
        <f>HYPERLINK("https://auditoriacidada.org.br/")</f>
        <v>https://auditoriacidada.org.br/</v>
      </c>
      <c r="S2135" s="81" t="s">
        <v>5696</v>
      </c>
      <c r="T2135" s="81"/>
      <c r="U2135" s="81"/>
      <c r="V2135" s="84" t="str">
        <f>HYPERLINK("https://pbs.twimg.com/profile_images/1442268002653704194/YVzvfEte_normal.jpg")</f>
        <v>https://pbs.twimg.com/profile_images/1442268002653704194/YVzvfEte_normal.jpg</v>
      </c>
      <c r="W2135" s="83">
        <v>44463.601944444446</v>
      </c>
      <c r="X2135" s="89">
        <v>44463</v>
      </c>
      <c r="Y2135" s="86" t="s">
        <v>6651</v>
      </c>
      <c r="Z2135" s="84" t="str">
        <f>HYPERLINK("https://twitter.com/solcaetanocost1/status/1441408783792619522")</f>
        <v>https://twitter.com/solcaetanocost1/status/1441408783792619522</v>
      </c>
      <c r="AA2135" s="81"/>
      <c r="AB2135" s="81"/>
      <c r="AC2135" s="86" t="s">
        <v>7576</v>
      </c>
      <c r="AD2135" s="81"/>
      <c r="AE2135" s="81" t="b">
        <v>0</v>
      </c>
      <c r="AF2135" s="81">
        <v>0</v>
      </c>
      <c r="AG2135" s="86" t="s">
        <v>2084</v>
      </c>
      <c r="AH2135" s="81" t="b">
        <v>0</v>
      </c>
      <c r="AI2135" s="81" t="s">
        <v>2171</v>
      </c>
      <c r="AJ2135" s="81"/>
      <c r="AK2135" s="86" t="s">
        <v>2084</v>
      </c>
      <c r="AL2135" s="81" t="b">
        <v>0</v>
      </c>
      <c r="AM2135" s="81">
        <v>4</v>
      </c>
      <c r="AN2135" s="86" t="s">
        <v>7580</v>
      </c>
      <c r="AO2135" s="86" t="s">
        <v>2178</v>
      </c>
      <c r="AP2135" s="81" t="b">
        <v>0</v>
      </c>
      <c r="AQ2135" s="86" t="s">
        <v>7580</v>
      </c>
      <c r="AR2135" s="81" t="s">
        <v>179</v>
      </c>
      <c r="AS2135" s="81">
        <v>0</v>
      </c>
      <c r="AT2135" s="81">
        <v>0</v>
      </c>
      <c r="AU2135" s="81"/>
      <c r="AV2135" s="81"/>
      <c r="AW2135" s="81"/>
      <c r="AX2135" s="81"/>
      <c r="AY2135" s="81"/>
      <c r="AZ2135" s="81"/>
      <c r="BA2135" s="81"/>
      <c r="BB2135" s="81"/>
    </row>
    <row r="2136" spans="1:54" x14ac:dyDescent="0.35">
      <c r="A2136" s="66" t="s">
        <v>4964</v>
      </c>
      <c r="B2136" s="66" t="s">
        <v>4946</v>
      </c>
      <c r="C2136" s="67"/>
      <c r="D2136" s="68"/>
      <c r="E2136" s="69"/>
      <c r="F2136" s="70"/>
      <c r="G2136" s="67"/>
      <c r="H2136" s="71"/>
      <c r="I2136" s="72"/>
      <c r="J2136" s="72"/>
      <c r="K2136" s="36"/>
      <c r="L2136" s="79"/>
      <c r="M2136" s="79"/>
      <c r="N2136" s="74"/>
      <c r="O2136" s="81" t="s">
        <v>694</v>
      </c>
      <c r="P2136" s="83">
        <v>44463.601944444446</v>
      </c>
      <c r="Q2136" s="81" t="s">
        <v>5654</v>
      </c>
      <c r="R2136" s="84" t="str">
        <f>HYPERLINK("https://auditoriacidada.org.br/")</f>
        <v>https://auditoriacidada.org.br/</v>
      </c>
      <c r="S2136" s="81" t="s">
        <v>5696</v>
      </c>
      <c r="T2136" s="81"/>
      <c r="U2136" s="81"/>
      <c r="V2136" s="84" t="str">
        <f>HYPERLINK("https://pbs.twimg.com/profile_images/1442268002653704194/YVzvfEte_normal.jpg")</f>
        <v>https://pbs.twimg.com/profile_images/1442268002653704194/YVzvfEte_normal.jpg</v>
      </c>
      <c r="W2136" s="83">
        <v>44463.601944444446</v>
      </c>
      <c r="X2136" s="89">
        <v>44463</v>
      </c>
      <c r="Y2136" s="86" t="s">
        <v>6651</v>
      </c>
      <c r="Z2136" s="84" t="str">
        <f>HYPERLINK("https://twitter.com/solcaetanocost1/status/1441408783792619522")</f>
        <v>https://twitter.com/solcaetanocost1/status/1441408783792619522</v>
      </c>
      <c r="AA2136" s="81"/>
      <c r="AB2136" s="81"/>
      <c r="AC2136" s="86" t="s">
        <v>7576</v>
      </c>
      <c r="AD2136" s="81"/>
      <c r="AE2136" s="81" t="b">
        <v>0</v>
      </c>
      <c r="AF2136" s="81">
        <v>0</v>
      </c>
      <c r="AG2136" s="86" t="s">
        <v>2084</v>
      </c>
      <c r="AH2136" s="81" t="b">
        <v>0</v>
      </c>
      <c r="AI2136" s="81" t="s">
        <v>2171</v>
      </c>
      <c r="AJ2136" s="81"/>
      <c r="AK2136" s="86" t="s">
        <v>2084</v>
      </c>
      <c r="AL2136" s="81" t="b">
        <v>0</v>
      </c>
      <c r="AM2136" s="81">
        <v>4</v>
      </c>
      <c r="AN2136" s="86" t="s">
        <v>7580</v>
      </c>
      <c r="AO2136" s="86" t="s">
        <v>2178</v>
      </c>
      <c r="AP2136" s="81" t="b">
        <v>0</v>
      </c>
      <c r="AQ2136" s="86" t="s">
        <v>7580</v>
      </c>
      <c r="AR2136" s="81" t="s">
        <v>179</v>
      </c>
      <c r="AS2136" s="81">
        <v>0</v>
      </c>
      <c r="AT2136" s="81">
        <v>0</v>
      </c>
      <c r="AU2136" s="81"/>
      <c r="AV2136" s="81"/>
      <c r="AW2136" s="81"/>
      <c r="AX2136" s="81"/>
      <c r="AY2136" s="81"/>
      <c r="AZ2136" s="81"/>
      <c r="BA2136" s="81"/>
      <c r="BB2136" s="81"/>
    </row>
    <row r="2137" spans="1:54" x14ac:dyDescent="0.35">
      <c r="A2137" s="66" t="s">
        <v>4964</v>
      </c>
      <c r="B2137" s="66" t="s">
        <v>5231</v>
      </c>
      <c r="C2137" s="67"/>
      <c r="D2137" s="68"/>
      <c r="E2137" s="69"/>
      <c r="F2137" s="70"/>
      <c r="G2137" s="67"/>
      <c r="H2137" s="71"/>
      <c r="I2137" s="72"/>
      <c r="J2137" s="72"/>
      <c r="K2137" s="36"/>
      <c r="L2137" s="79"/>
      <c r="M2137" s="79"/>
      <c r="N2137" s="74"/>
      <c r="O2137" s="81" t="s">
        <v>694</v>
      </c>
      <c r="P2137" s="83">
        <v>44463.601944444446</v>
      </c>
      <c r="Q2137" s="81" t="s">
        <v>5654</v>
      </c>
      <c r="R2137" s="84" t="str">
        <f>HYPERLINK("https://auditoriacidada.org.br/")</f>
        <v>https://auditoriacidada.org.br/</v>
      </c>
      <c r="S2137" s="81" t="s">
        <v>5696</v>
      </c>
      <c r="T2137" s="81"/>
      <c r="U2137" s="81"/>
      <c r="V2137" s="84" t="str">
        <f>HYPERLINK("https://pbs.twimg.com/profile_images/1442268002653704194/YVzvfEte_normal.jpg")</f>
        <v>https://pbs.twimg.com/profile_images/1442268002653704194/YVzvfEte_normal.jpg</v>
      </c>
      <c r="W2137" s="83">
        <v>44463.601944444446</v>
      </c>
      <c r="X2137" s="89">
        <v>44463</v>
      </c>
      <c r="Y2137" s="86" t="s">
        <v>6651</v>
      </c>
      <c r="Z2137" s="84" t="str">
        <f>HYPERLINK("https://twitter.com/solcaetanocost1/status/1441408783792619522")</f>
        <v>https://twitter.com/solcaetanocost1/status/1441408783792619522</v>
      </c>
      <c r="AA2137" s="81"/>
      <c r="AB2137" s="81"/>
      <c r="AC2137" s="86" t="s">
        <v>7576</v>
      </c>
      <c r="AD2137" s="81"/>
      <c r="AE2137" s="81" t="b">
        <v>0</v>
      </c>
      <c r="AF2137" s="81">
        <v>0</v>
      </c>
      <c r="AG2137" s="86" t="s">
        <v>2084</v>
      </c>
      <c r="AH2137" s="81" t="b">
        <v>0</v>
      </c>
      <c r="AI2137" s="81" t="s">
        <v>2171</v>
      </c>
      <c r="AJ2137" s="81"/>
      <c r="AK2137" s="86" t="s">
        <v>2084</v>
      </c>
      <c r="AL2137" s="81" t="b">
        <v>0</v>
      </c>
      <c r="AM2137" s="81">
        <v>4</v>
      </c>
      <c r="AN2137" s="86" t="s">
        <v>7580</v>
      </c>
      <c r="AO2137" s="86" t="s">
        <v>2178</v>
      </c>
      <c r="AP2137" s="81" t="b">
        <v>0</v>
      </c>
      <c r="AQ2137" s="86" t="s">
        <v>7580</v>
      </c>
      <c r="AR2137" s="81" t="s">
        <v>179</v>
      </c>
      <c r="AS2137" s="81">
        <v>0</v>
      </c>
      <c r="AT2137" s="81">
        <v>0</v>
      </c>
      <c r="AU2137" s="81"/>
      <c r="AV2137" s="81"/>
      <c r="AW2137" s="81"/>
      <c r="AX2137" s="81"/>
      <c r="AY2137" s="81"/>
      <c r="AZ2137" s="81"/>
      <c r="BA2137" s="81"/>
      <c r="BB2137" s="81"/>
    </row>
    <row r="2138" spans="1:54" x14ac:dyDescent="0.35">
      <c r="A2138" s="66" t="s">
        <v>4964</v>
      </c>
      <c r="B2138" s="66" t="s">
        <v>5232</v>
      </c>
      <c r="C2138" s="67"/>
      <c r="D2138" s="68"/>
      <c r="E2138" s="69"/>
      <c r="F2138" s="70"/>
      <c r="G2138" s="67"/>
      <c r="H2138" s="71"/>
      <c r="I2138" s="72"/>
      <c r="J2138" s="72"/>
      <c r="K2138" s="36"/>
      <c r="L2138" s="79"/>
      <c r="M2138" s="79"/>
      <c r="N2138" s="74"/>
      <c r="O2138" s="81" t="s">
        <v>694</v>
      </c>
      <c r="P2138" s="83">
        <v>44463.601944444446</v>
      </c>
      <c r="Q2138" s="81" t="s">
        <v>5654</v>
      </c>
      <c r="R2138" s="84" t="str">
        <f>HYPERLINK("https://auditoriacidada.org.br/")</f>
        <v>https://auditoriacidada.org.br/</v>
      </c>
      <c r="S2138" s="81" t="s">
        <v>5696</v>
      </c>
      <c r="T2138" s="81"/>
      <c r="U2138" s="81"/>
      <c r="V2138" s="84" t="str">
        <f>HYPERLINK("https://pbs.twimg.com/profile_images/1442268002653704194/YVzvfEte_normal.jpg")</f>
        <v>https://pbs.twimg.com/profile_images/1442268002653704194/YVzvfEte_normal.jpg</v>
      </c>
      <c r="W2138" s="83">
        <v>44463.601944444446</v>
      </c>
      <c r="X2138" s="89">
        <v>44463</v>
      </c>
      <c r="Y2138" s="86" t="s">
        <v>6651</v>
      </c>
      <c r="Z2138" s="84" t="str">
        <f>HYPERLINK("https://twitter.com/solcaetanocost1/status/1441408783792619522")</f>
        <v>https://twitter.com/solcaetanocost1/status/1441408783792619522</v>
      </c>
      <c r="AA2138" s="81"/>
      <c r="AB2138" s="81"/>
      <c r="AC2138" s="86" t="s">
        <v>7576</v>
      </c>
      <c r="AD2138" s="81"/>
      <c r="AE2138" s="81" t="b">
        <v>0</v>
      </c>
      <c r="AF2138" s="81">
        <v>0</v>
      </c>
      <c r="AG2138" s="86" t="s">
        <v>2084</v>
      </c>
      <c r="AH2138" s="81" t="b">
        <v>0</v>
      </c>
      <c r="AI2138" s="81" t="s">
        <v>2171</v>
      </c>
      <c r="AJ2138" s="81"/>
      <c r="AK2138" s="86" t="s">
        <v>2084</v>
      </c>
      <c r="AL2138" s="81" t="b">
        <v>0</v>
      </c>
      <c r="AM2138" s="81">
        <v>4</v>
      </c>
      <c r="AN2138" s="86" t="s">
        <v>7580</v>
      </c>
      <c r="AO2138" s="86" t="s">
        <v>2178</v>
      </c>
      <c r="AP2138" s="81" t="b">
        <v>0</v>
      </c>
      <c r="AQ2138" s="86" t="s">
        <v>7580</v>
      </c>
      <c r="AR2138" s="81" t="s">
        <v>179</v>
      </c>
      <c r="AS2138" s="81">
        <v>0</v>
      </c>
      <c r="AT2138" s="81">
        <v>0</v>
      </c>
      <c r="AU2138" s="81"/>
      <c r="AV2138" s="81"/>
      <c r="AW2138" s="81"/>
      <c r="AX2138" s="81"/>
      <c r="AY2138" s="81"/>
      <c r="AZ2138" s="81"/>
      <c r="BA2138" s="81"/>
      <c r="BB2138" s="81"/>
    </row>
    <row r="2139" spans="1:54" x14ac:dyDescent="0.35">
      <c r="A2139" s="66" t="s">
        <v>4964</v>
      </c>
      <c r="B2139" s="66" t="s">
        <v>5233</v>
      </c>
      <c r="C2139" s="67"/>
      <c r="D2139" s="68"/>
      <c r="E2139" s="69"/>
      <c r="F2139" s="70"/>
      <c r="G2139" s="67"/>
      <c r="H2139" s="71"/>
      <c r="I2139" s="72"/>
      <c r="J2139" s="72"/>
      <c r="K2139" s="36"/>
      <c r="L2139" s="79"/>
      <c r="M2139" s="79"/>
      <c r="N2139" s="74"/>
      <c r="O2139" s="81" t="s">
        <v>694</v>
      </c>
      <c r="P2139" s="83">
        <v>44463.601944444446</v>
      </c>
      <c r="Q2139" s="81" t="s">
        <v>5654</v>
      </c>
      <c r="R2139" s="84" t="str">
        <f>HYPERLINK("https://auditoriacidada.org.br/")</f>
        <v>https://auditoriacidada.org.br/</v>
      </c>
      <c r="S2139" s="81" t="s">
        <v>5696</v>
      </c>
      <c r="T2139" s="81"/>
      <c r="U2139" s="81"/>
      <c r="V2139" s="84" t="str">
        <f>HYPERLINK("https://pbs.twimg.com/profile_images/1442268002653704194/YVzvfEte_normal.jpg")</f>
        <v>https://pbs.twimg.com/profile_images/1442268002653704194/YVzvfEte_normal.jpg</v>
      </c>
      <c r="W2139" s="83">
        <v>44463.601944444446</v>
      </c>
      <c r="X2139" s="89">
        <v>44463</v>
      </c>
      <c r="Y2139" s="86" t="s">
        <v>6651</v>
      </c>
      <c r="Z2139" s="84" t="str">
        <f>HYPERLINK("https://twitter.com/solcaetanocost1/status/1441408783792619522")</f>
        <v>https://twitter.com/solcaetanocost1/status/1441408783792619522</v>
      </c>
      <c r="AA2139" s="81"/>
      <c r="AB2139" s="81"/>
      <c r="AC2139" s="86" t="s">
        <v>7576</v>
      </c>
      <c r="AD2139" s="81"/>
      <c r="AE2139" s="81" t="b">
        <v>0</v>
      </c>
      <c r="AF2139" s="81">
        <v>0</v>
      </c>
      <c r="AG2139" s="86" t="s">
        <v>2084</v>
      </c>
      <c r="AH2139" s="81" t="b">
        <v>0</v>
      </c>
      <c r="AI2139" s="81" t="s">
        <v>2171</v>
      </c>
      <c r="AJ2139" s="81"/>
      <c r="AK2139" s="86" t="s">
        <v>2084</v>
      </c>
      <c r="AL2139" s="81" t="b">
        <v>0</v>
      </c>
      <c r="AM2139" s="81">
        <v>4</v>
      </c>
      <c r="AN2139" s="86" t="s">
        <v>7580</v>
      </c>
      <c r="AO2139" s="86" t="s">
        <v>2178</v>
      </c>
      <c r="AP2139" s="81" t="b">
        <v>0</v>
      </c>
      <c r="AQ2139" s="86" t="s">
        <v>7580</v>
      </c>
      <c r="AR2139" s="81" t="s">
        <v>179</v>
      </c>
      <c r="AS2139" s="81">
        <v>0</v>
      </c>
      <c r="AT2139" s="81">
        <v>0</v>
      </c>
      <c r="AU2139" s="81"/>
      <c r="AV2139" s="81"/>
      <c r="AW2139" s="81"/>
      <c r="AX2139" s="81"/>
      <c r="AY2139" s="81"/>
      <c r="AZ2139" s="81"/>
      <c r="BA2139" s="81"/>
      <c r="BB2139" s="81"/>
    </row>
    <row r="2140" spans="1:54" x14ac:dyDescent="0.35">
      <c r="A2140" s="66" t="s">
        <v>4964</v>
      </c>
      <c r="B2140" s="66" t="s">
        <v>5234</v>
      </c>
      <c r="C2140" s="67"/>
      <c r="D2140" s="68"/>
      <c r="E2140" s="69"/>
      <c r="F2140" s="70"/>
      <c r="G2140" s="67"/>
      <c r="H2140" s="71"/>
      <c r="I2140" s="72"/>
      <c r="J2140" s="72"/>
      <c r="K2140" s="36"/>
      <c r="L2140" s="79"/>
      <c r="M2140" s="79"/>
      <c r="N2140" s="74"/>
      <c r="O2140" s="81" t="s">
        <v>694</v>
      </c>
      <c r="P2140" s="83">
        <v>44463.601944444446</v>
      </c>
      <c r="Q2140" s="81" t="s">
        <v>5654</v>
      </c>
      <c r="R2140" s="84" t="str">
        <f>HYPERLINK("https://auditoriacidada.org.br/")</f>
        <v>https://auditoriacidada.org.br/</v>
      </c>
      <c r="S2140" s="81" t="s">
        <v>5696</v>
      </c>
      <c r="T2140" s="81"/>
      <c r="U2140" s="81"/>
      <c r="V2140" s="84" t="str">
        <f>HYPERLINK("https://pbs.twimg.com/profile_images/1442268002653704194/YVzvfEte_normal.jpg")</f>
        <v>https://pbs.twimg.com/profile_images/1442268002653704194/YVzvfEte_normal.jpg</v>
      </c>
      <c r="W2140" s="83">
        <v>44463.601944444446</v>
      </c>
      <c r="X2140" s="89">
        <v>44463</v>
      </c>
      <c r="Y2140" s="86" t="s">
        <v>6651</v>
      </c>
      <c r="Z2140" s="84" t="str">
        <f>HYPERLINK("https://twitter.com/solcaetanocost1/status/1441408783792619522")</f>
        <v>https://twitter.com/solcaetanocost1/status/1441408783792619522</v>
      </c>
      <c r="AA2140" s="81"/>
      <c r="AB2140" s="81"/>
      <c r="AC2140" s="86" t="s">
        <v>7576</v>
      </c>
      <c r="AD2140" s="81"/>
      <c r="AE2140" s="81" t="b">
        <v>0</v>
      </c>
      <c r="AF2140" s="81">
        <v>0</v>
      </c>
      <c r="AG2140" s="86" t="s">
        <v>2084</v>
      </c>
      <c r="AH2140" s="81" t="b">
        <v>0</v>
      </c>
      <c r="AI2140" s="81" t="s">
        <v>2171</v>
      </c>
      <c r="AJ2140" s="81"/>
      <c r="AK2140" s="86" t="s">
        <v>2084</v>
      </c>
      <c r="AL2140" s="81" t="b">
        <v>0</v>
      </c>
      <c r="AM2140" s="81">
        <v>4</v>
      </c>
      <c r="AN2140" s="86" t="s">
        <v>7580</v>
      </c>
      <c r="AO2140" s="86" t="s">
        <v>2178</v>
      </c>
      <c r="AP2140" s="81" t="b">
        <v>0</v>
      </c>
      <c r="AQ2140" s="86" t="s">
        <v>7580</v>
      </c>
      <c r="AR2140" s="81" t="s">
        <v>179</v>
      </c>
      <c r="AS2140" s="81">
        <v>0</v>
      </c>
      <c r="AT2140" s="81">
        <v>0</v>
      </c>
      <c r="AU2140" s="81"/>
      <c r="AV2140" s="81"/>
      <c r="AW2140" s="81"/>
      <c r="AX2140" s="81"/>
      <c r="AY2140" s="81"/>
      <c r="AZ2140" s="81"/>
      <c r="BA2140" s="81"/>
      <c r="BB2140" s="81"/>
    </row>
    <row r="2141" spans="1:54" x14ac:dyDescent="0.35">
      <c r="A2141" s="66" t="s">
        <v>4964</v>
      </c>
      <c r="B2141" s="66" t="s">
        <v>4965</v>
      </c>
      <c r="C2141" s="67"/>
      <c r="D2141" s="68"/>
      <c r="E2141" s="69"/>
      <c r="F2141" s="70"/>
      <c r="G2141" s="67"/>
      <c r="H2141" s="71"/>
      <c r="I2141" s="72"/>
      <c r="J2141" s="72"/>
      <c r="K2141" s="36"/>
      <c r="L2141" s="79"/>
      <c r="M2141" s="79"/>
      <c r="N2141" s="74"/>
      <c r="O2141" s="81" t="s">
        <v>694</v>
      </c>
      <c r="P2141" s="83">
        <v>44463.601944444446</v>
      </c>
      <c r="Q2141" s="81" t="s">
        <v>5654</v>
      </c>
      <c r="R2141" s="84" t="str">
        <f>HYPERLINK("https://auditoriacidada.org.br/")</f>
        <v>https://auditoriacidada.org.br/</v>
      </c>
      <c r="S2141" s="81" t="s">
        <v>5696</v>
      </c>
      <c r="T2141" s="81"/>
      <c r="U2141" s="81"/>
      <c r="V2141" s="84" t="str">
        <f>HYPERLINK("https://pbs.twimg.com/profile_images/1442268002653704194/YVzvfEte_normal.jpg")</f>
        <v>https://pbs.twimg.com/profile_images/1442268002653704194/YVzvfEte_normal.jpg</v>
      </c>
      <c r="W2141" s="83">
        <v>44463.601944444446</v>
      </c>
      <c r="X2141" s="89">
        <v>44463</v>
      </c>
      <c r="Y2141" s="86" t="s">
        <v>6651</v>
      </c>
      <c r="Z2141" s="84" t="str">
        <f>HYPERLINK("https://twitter.com/solcaetanocost1/status/1441408783792619522")</f>
        <v>https://twitter.com/solcaetanocost1/status/1441408783792619522</v>
      </c>
      <c r="AA2141" s="81"/>
      <c r="AB2141" s="81"/>
      <c r="AC2141" s="86" t="s">
        <v>7576</v>
      </c>
      <c r="AD2141" s="81"/>
      <c r="AE2141" s="81" t="b">
        <v>0</v>
      </c>
      <c r="AF2141" s="81">
        <v>0</v>
      </c>
      <c r="AG2141" s="86" t="s">
        <v>2084</v>
      </c>
      <c r="AH2141" s="81" t="b">
        <v>0</v>
      </c>
      <c r="AI2141" s="81" t="s">
        <v>2171</v>
      </c>
      <c r="AJ2141" s="81"/>
      <c r="AK2141" s="86" t="s">
        <v>2084</v>
      </c>
      <c r="AL2141" s="81" t="b">
        <v>0</v>
      </c>
      <c r="AM2141" s="81">
        <v>4</v>
      </c>
      <c r="AN2141" s="86" t="s">
        <v>7580</v>
      </c>
      <c r="AO2141" s="86" t="s">
        <v>2178</v>
      </c>
      <c r="AP2141" s="81" t="b">
        <v>0</v>
      </c>
      <c r="AQ2141" s="86" t="s">
        <v>7580</v>
      </c>
      <c r="AR2141" s="81" t="s">
        <v>179</v>
      </c>
      <c r="AS2141" s="81">
        <v>0</v>
      </c>
      <c r="AT2141" s="81">
        <v>0</v>
      </c>
      <c r="AU2141" s="81"/>
      <c r="AV2141" s="81"/>
      <c r="AW2141" s="81"/>
      <c r="AX2141" s="81"/>
      <c r="AY2141" s="81"/>
      <c r="AZ2141" s="81"/>
      <c r="BA2141" s="81"/>
      <c r="BB2141" s="81"/>
    </row>
    <row r="2142" spans="1:54" x14ac:dyDescent="0.35">
      <c r="A2142" s="66" t="s">
        <v>4964</v>
      </c>
      <c r="B2142" s="66" t="s">
        <v>5235</v>
      </c>
      <c r="C2142" s="67"/>
      <c r="D2142" s="68"/>
      <c r="E2142" s="69"/>
      <c r="F2142" s="70"/>
      <c r="G2142" s="67"/>
      <c r="H2142" s="71"/>
      <c r="I2142" s="72"/>
      <c r="J2142" s="72"/>
      <c r="K2142" s="36"/>
      <c r="L2142" s="79"/>
      <c r="M2142" s="79"/>
      <c r="N2142" s="74"/>
      <c r="O2142" s="81" t="s">
        <v>694</v>
      </c>
      <c r="P2142" s="83">
        <v>44463.601944444446</v>
      </c>
      <c r="Q2142" s="81" t="s">
        <v>5654</v>
      </c>
      <c r="R2142" s="84" t="str">
        <f>HYPERLINK("https://auditoriacidada.org.br/")</f>
        <v>https://auditoriacidada.org.br/</v>
      </c>
      <c r="S2142" s="81" t="s">
        <v>5696</v>
      </c>
      <c r="T2142" s="81"/>
      <c r="U2142" s="81"/>
      <c r="V2142" s="84" t="str">
        <f>HYPERLINK("https://pbs.twimg.com/profile_images/1442268002653704194/YVzvfEte_normal.jpg")</f>
        <v>https://pbs.twimg.com/profile_images/1442268002653704194/YVzvfEte_normal.jpg</v>
      </c>
      <c r="W2142" s="83">
        <v>44463.601944444446</v>
      </c>
      <c r="X2142" s="89">
        <v>44463</v>
      </c>
      <c r="Y2142" s="86" t="s">
        <v>6651</v>
      </c>
      <c r="Z2142" s="84" t="str">
        <f>HYPERLINK("https://twitter.com/solcaetanocost1/status/1441408783792619522")</f>
        <v>https://twitter.com/solcaetanocost1/status/1441408783792619522</v>
      </c>
      <c r="AA2142" s="81"/>
      <c r="AB2142" s="81"/>
      <c r="AC2142" s="86" t="s">
        <v>7576</v>
      </c>
      <c r="AD2142" s="81"/>
      <c r="AE2142" s="81" t="b">
        <v>0</v>
      </c>
      <c r="AF2142" s="81">
        <v>0</v>
      </c>
      <c r="AG2142" s="86" t="s">
        <v>2084</v>
      </c>
      <c r="AH2142" s="81" t="b">
        <v>0</v>
      </c>
      <c r="AI2142" s="81" t="s">
        <v>2171</v>
      </c>
      <c r="AJ2142" s="81"/>
      <c r="AK2142" s="86" t="s">
        <v>2084</v>
      </c>
      <c r="AL2142" s="81" t="b">
        <v>0</v>
      </c>
      <c r="AM2142" s="81">
        <v>4</v>
      </c>
      <c r="AN2142" s="86" t="s">
        <v>7580</v>
      </c>
      <c r="AO2142" s="86" t="s">
        <v>2178</v>
      </c>
      <c r="AP2142" s="81" t="b">
        <v>0</v>
      </c>
      <c r="AQ2142" s="86" t="s">
        <v>7580</v>
      </c>
      <c r="AR2142" s="81" t="s">
        <v>179</v>
      </c>
      <c r="AS2142" s="81">
        <v>0</v>
      </c>
      <c r="AT2142" s="81">
        <v>0</v>
      </c>
      <c r="AU2142" s="81"/>
      <c r="AV2142" s="81"/>
      <c r="AW2142" s="81"/>
      <c r="AX2142" s="81"/>
      <c r="AY2142" s="81"/>
      <c r="AZ2142" s="81"/>
      <c r="BA2142" s="81"/>
      <c r="BB2142" s="81"/>
    </row>
    <row r="2143" spans="1:54" x14ac:dyDescent="0.35">
      <c r="A2143" s="66" t="s">
        <v>4964</v>
      </c>
      <c r="B2143" s="66" t="s">
        <v>5236</v>
      </c>
      <c r="C2143" s="67"/>
      <c r="D2143" s="68"/>
      <c r="E2143" s="69"/>
      <c r="F2143" s="70"/>
      <c r="G2143" s="67"/>
      <c r="H2143" s="71"/>
      <c r="I2143" s="72"/>
      <c r="J2143" s="72"/>
      <c r="K2143" s="36"/>
      <c r="L2143" s="79"/>
      <c r="M2143" s="79"/>
      <c r="N2143" s="74"/>
      <c r="O2143" s="81" t="s">
        <v>694</v>
      </c>
      <c r="P2143" s="83">
        <v>44463.601944444446</v>
      </c>
      <c r="Q2143" s="81" t="s">
        <v>5654</v>
      </c>
      <c r="R2143" s="84" t="str">
        <f>HYPERLINK("https://auditoriacidada.org.br/")</f>
        <v>https://auditoriacidada.org.br/</v>
      </c>
      <c r="S2143" s="81" t="s">
        <v>5696</v>
      </c>
      <c r="T2143" s="81"/>
      <c r="U2143" s="81"/>
      <c r="V2143" s="84" t="str">
        <f>HYPERLINK("https://pbs.twimg.com/profile_images/1442268002653704194/YVzvfEte_normal.jpg")</f>
        <v>https://pbs.twimg.com/profile_images/1442268002653704194/YVzvfEte_normal.jpg</v>
      </c>
      <c r="W2143" s="83">
        <v>44463.601944444446</v>
      </c>
      <c r="X2143" s="89">
        <v>44463</v>
      </c>
      <c r="Y2143" s="86" t="s">
        <v>6651</v>
      </c>
      <c r="Z2143" s="84" t="str">
        <f>HYPERLINK("https://twitter.com/solcaetanocost1/status/1441408783792619522")</f>
        <v>https://twitter.com/solcaetanocost1/status/1441408783792619522</v>
      </c>
      <c r="AA2143" s="81"/>
      <c r="AB2143" s="81"/>
      <c r="AC2143" s="86" t="s">
        <v>7576</v>
      </c>
      <c r="AD2143" s="81"/>
      <c r="AE2143" s="81" t="b">
        <v>0</v>
      </c>
      <c r="AF2143" s="81">
        <v>0</v>
      </c>
      <c r="AG2143" s="86" t="s">
        <v>2084</v>
      </c>
      <c r="AH2143" s="81" t="b">
        <v>0</v>
      </c>
      <c r="AI2143" s="81" t="s">
        <v>2171</v>
      </c>
      <c r="AJ2143" s="81"/>
      <c r="AK2143" s="86" t="s">
        <v>2084</v>
      </c>
      <c r="AL2143" s="81" t="b">
        <v>0</v>
      </c>
      <c r="AM2143" s="81">
        <v>4</v>
      </c>
      <c r="AN2143" s="86" t="s">
        <v>7580</v>
      </c>
      <c r="AO2143" s="86" t="s">
        <v>2178</v>
      </c>
      <c r="AP2143" s="81" t="b">
        <v>0</v>
      </c>
      <c r="AQ2143" s="86" t="s">
        <v>7580</v>
      </c>
      <c r="AR2143" s="81" t="s">
        <v>179</v>
      </c>
      <c r="AS2143" s="81">
        <v>0</v>
      </c>
      <c r="AT2143" s="81">
        <v>0</v>
      </c>
      <c r="AU2143" s="81"/>
      <c r="AV2143" s="81"/>
      <c r="AW2143" s="81"/>
      <c r="AX2143" s="81"/>
      <c r="AY2143" s="81"/>
      <c r="AZ2143" s="81"/>
      <c r="BA2143" s="81"/>
      <c r="BB2143" s="81"/>
    </row>
    <row r="2144" spans="1:54" x14ac:dyDescent="0.35">
      <c r="A2144" s="66" t="s">
        <v>4964</v>
      </c>
      <c r="B2144" s="66" t="s">
        <v>5237</v>
      </c>
      <c r="C2144" s="67"/>
      <c r="D2144" s="68"/>
      <c r="E2144" s="69"/>
      <c r="F2144" s="70"/>
      <c r="G2144" s="67"/>
      <c r="H2144" s="71"/>
      <c r="I2144" s="72"/>
      <c r="J2144" s="72"/>
      <c r="K2144" s="36"/>
      <c r="L2144" s="79"/>
      <c r="M2144" s="79"/>
      <c r="N2144" s="74"/>
      <c r="O2144" s="81" t="s">
        <v>694</v>
      </c>
      <c r="P2144" s="83">
        <v>44463.601944444446</v>
      </c>
      <c r="Q2144" s="81" t="s">
        <v>5654</v>
      </c>
      <c r="R2144" s="84" t="str">
        <f>HYPERLINK("https://auditoriacidada.org.br/")</f>
        <v>https://auditoriacidada.org.br/</v>
      </c>
      <c r="S2144" s="81" t="s">
        <v>5696</v>
      </c>
      <c r="T2144" s="81"/>
      <c r="U2144" s="81"/>
      <c r="V2144" s="84" t="str">
        <f>HYPERLINK("https://pbs.twimg.com/profile_images/1442268002653704194/YVzvfEte_normal.jpg")</f>
        <v>https://pbs.twimg.com/profile_images/1442268002653704194/YVzvfEte_normal.jpg</v>
      </c>
      <c r="W2144" s="83">
        <v>44463.601944444446</v>
      </c>
      <c r="X2144" s="89">
        <v>44463</v>
      </c>
      <c r="Y2144" s="86" t="s">
        <v>6651</v>
      </c>
      <c r="Z2144" s="84" t="str">
        <f>HYPERLINK("https://twitter.com/solcaetanocost1/status/1441408783792619522")</f>
        <v>https://twitter.com/solcaetanocost1/status/1441408783792619522</v>
      </c>
      <c r="AA2144" s="81"/>
      <c r="AB2144" s="81"/>
      <c r="AC2144" s="86" t="s">
        <v>7576</v>
      </c>
      <c r="AD2144" s="81"/>
      <c r="AE2144" s="81" t="b">
        <v>0</v>
      </c>
      <c r="AF2144" s="81">
        <v>0</v>
      </c>
      <c r="AG2144" s="86" t="s">
        <v>2084</v>
      </c>
      <c r="AH2144" s="81" t="b">
        <v>0</v>
      </c>
      <c r="AI2144" s="81" t="s">
        <v>2171</v>
      </c>
      <c r="AJ2144" s="81"/>
      <c r="AK2144" s="86" t="s">
        <v>2084</v>
      </c>
      <c r="AL2144" s="81" t="b">
        <v>0</v>
      </c>
      <c r="AM2144" s="81">
        <v>4</v>
      </c>
      <c r="AN2144" s="86" t="s">
        <v>7580</v>
      </c>
      <c r="AO2144" s="86" t="s">
        <v>2178</v>
      </c>
      <c r="AP2144" s="81" t="b">
        <v>0</v>
      </c>
      <c r="AQ2144" s="86" t="s">
        <v>7580</v>
      </c>
      <c r="AR2144" s="81" t="s">
        <v>179</v>
      </c>
      <c r="AS2144" s="81">
        <v>0</v>
      </c>
      <c r="AT2144" s="81">
        <v>0</v>
      </c>
      <c r="AU2144" s="81"/>
      <c r="AV2144" s="81"/>
      <c r="AW2144" s="81"/>
      <c r="AX2144" s="81"/>
      <c r="AY2144" s="81"/>
      <c r="AZ2144" s="81"/>
      <c r="BA2144" s="81"/>
      <c r="BB2144" s="81"/>
    </row>
    <row r="2145" spans="1:54" x14ac:dyDescent="0.35">
      <c r="A2145" s="66" t="s">
        <v>4964</v>
      </c>
      <c r="B2145" s="66" t="s">
        <v>5238</v>
      </c>
      <c r="C2145" s="67"/>
      <c r="D2145" s="68"/>
      <c r="E2145" s="69"/>
      <c r="F2145" s="70"/>
      <c r="G2145" s="67"/>
      <c r="H2145" s="71"/>
      <c r="I2145" s="72"/>
      <c r="J2145" s="72"/>
      <c r="K2145" s="36"/>
      <c r="L2145" s="79"/>
      <c r="M2145" s="79"/>
      <c r="N2145" s="74"/>
      <c r="O2145" s="81" t="s">
        <v>694</v>
      </c>
      <c r="P2145" s="83">
        <v>44463.601944444446</v>
      </c>
      <c r="Q2145" s="81" t="s">
        <v>5654</v>
      </c>
      <c r="R2145" s="84" t="str">
        <f>HYPERLINK("https://auditoriacidada.org.br/")</f>
        <v>https://auditoriacidada.org.br/</v>
      </c>
      <c r="S2145" s="81" t="s">
        <v>5696</v>
      </c>
      <c r="T2145" s="81"/>
      <c r="U2145" s="81"/>
      <c r="V2145" s="84" t="str">
        <f>HYPERLINK("https://pbs.twimg.com/profile_images/1442268002653704194/YVzvfEte_normal.jpg")</f>
        <v>https://pbs.twimg.com/profile_images/1442268002653704194/YVzvfEte_normal.jpg</v>
      </c>
      <c r="W2145" s="83">
        <v>44463.601944444446</v>
      </c>
      <c r="X2145" s="89">
        <v>44463</v>
      </c>
      <c r="Y2145" s="86" t="s">
        <v>6651</v>
      </c>
      <c r="Z2145" s="84" t="str">
        <f>HYPERLINK("https://twitter.com/solcaetanocost1/status/1441408783792619522")</f>
        <v>https://twitter.com/solcaetanocost1/status/1441408783792619522</v>
      </c>
      <c r="AA2145" s="81"/>
      <c r="AB2145" s="81"/>
      <c r="AC2145" s="86" t="s">
        <v>7576</v>
      </c>
      <c r="AD2145" s="81"/>
      <c r="AE2145" s="81" t="b">
        <v>0</v>
      </c>
      <c r="AF2145" s="81">
        <v>0</v>
      </c>
      <c r="AG2145" s="86" t="s">
        <v>2084</v>
      </c>
      <c r="AH2145" s="81" t="b">
        <v>0</v>
      </c>
      <c r="AI2145" s="81" t="s">
        <v>2171</v>
      </c>
      <c r="AJ2145" s="81"/>
      <c r="AK2145" s="86" t="s">
        <v>2084</v>
      </c>
      <c r="AL2145" s="81" t="b">
        <v>0</v>
      </c>
      <c r="AM2145" s="81">
        <v>4</v>
      </c>
      <c r="AN2145" s="86" t="s">
        <v>7580</v>
      </c>
      <c r="AO2145" s="86" t="s">
        <v>2178</v>
      </c>
      <c r="AP2145" s="81" t="b">
        <v>0</v>
      </c>
      <c r="AQ2145" s="86" t="s">
        <v>7580</v>
      </c>
      <c r="AR2145" s="81" t="s">
        <v>179</v>
      </c>
      <c r="AS2145" s="81">
        <v>0</v>
      </c>
      <c r="AT2145" s="81">
        <v>0</v>
      </c>
      <c r="AU2145" s="81"/>
      <c r="AV2145" s="81"/>
      <c r="AW2145" s="81"/>
      <c r="AX2145" s="81"/>
      <c r="AY2145" s="81"/>
      <c r="AZ2145" s="81"/>
      <c r="BA2145" s="81"/>
      <c r="BB2145" s="81"/>
    </row>
    <row r="2146" spans="1:54" x14ac:dyDescent="0.35">
      <c r="A2146" s="66" t="s">
        <v>4964</v>
      </c>
      <c r="B2146" s="66" t="s">
        <v>5239</v>
      </c>
      <c r="C2146" s="67"/>
      <c r="D2146" s="68"/>
      <c r="E2146" s="69"/>
      <c r="F2146" s="70"/>
      <c r="G2146" s="67"/>
      <c r="H2146" s="71"/>
      <c r="I2146" s="72"/>
      <c r="J2146" s="72"/>
      <c r="K2146" s="36"/>
      <c r="L2146" s="79"/>
      <c r="M2146" s="79"/>
      <c r="N2146" s="74"/>
      <c r="O2146" s="81" t="s">
        <v>694</v>
      </c>
      <c r="P2146" s="83">
        <v>44463.601944444446</v>
      </c>
      <c r="Q2146" s="81" t="s">
        <v>5654</v>
      </c>
      <c r="R2146" s="84" t="str">
        <f>HYPERLINK("https://auditoriacidada.org.br/")</f>
        <v>https://auditoriacidada.org.br/</v>
      </c>
      <c r="S2146" s="81" t="s">
        <v>5696</v>
      </c>
      <c r="T2146" s="81"/>
      <c r="U2146" s="81"/>
      <c r="V2146" s="84" t="str">
        <f>HYPERLINK("https://pbs.twimg.com/profile_images/1442268002653704194/YVzvfEte_normal.jpg")</f>
        <v>https://pbs.twimg.com/profile_images/1442268002653704194/YVzvfEte_normal.jpg</v>
      </c>
      <c r="W2146" s="83">
        <v>44463.601944444446</v>
      </c>
      <c r="X2146" s="89">
        <v>44463</v>
      </c>
      <c r="Y2146" s="86" t="s">
        <v>6651</v>
      </c>
      <c r="Z2146" s="84" t="str">
        <f>HYPERLINK("https://twitter.com/solcaetanocost1/status/1441408783792619522")</f>
        <v>https://twitter.com/solcaetanocost1/status/1441408783792619522</v>
      </c>
      <c r="AA2146" s="81"/>
      <c r="AB2146" s="81"/>
      <c r="AC2146" s="86" t="s">
        <v>7576</v>
      </c>
      <c r="AD2146" s="81"/>
      <c r="AE2146" s="81" t="b">
        <v>0</v>
      </c>
      <c r="AF2146" s="81">
        <v>0</v>
      </c>
      <c r="AG2146" s="86" t="s">
        <v>2084</v>
      </c>
      <c r="AH2146" s="81" t="b">
        <v>0</v>
      </c>
      <c r="AI2146" s="81" t="s">
        <v>2171</v>
      </c>
      <c r="AJ2146" s="81"/>
      <c r="AK2146" s="86" t="s">
        <v>2084</v>
      </c>
      <c r="AL2146" s="81" t="b">
        <v>0</v>
      </c>
      <c r="AM2146" s="81">
        <v>4</v>
      </c>
      <c r="AN2146" s="86" t="s">
        <v>7580</v>
      </c>
      <c r="AO2146" s="86" t="s">
        <v>2178</v>
      </c>
      <c r="AP2146" s="81" t="b">
        <v>0</v>
      </c>
      <c r="AQ2146" s="86" t="s">
        <v>7580</v>
      </c>
      <c r="AR2146" s="81" t="s">
        <v>179</v>
      </c>
      <c r="AS2146" s="81">
        <v>0</v>
      </c>
      <c r="AT2146" s="81">
        <v>0</v>
      </c>
      <c r="AU2146" s="81"/>
      <c r="AV2146" s="81"/>
      <c r="AW2146" s="81"/>
      <c r="AX2146" s="81"/>
      <c r="AY2146" s="81"/>
      <c r="AZ2146" s="81"/>
      <c r="BA2146" s="81"/>
      <c r="BB2146" s="81"/>
    </row>
    <row r="2147" spans="1:54" x14ac:dyDescent="0.35">
      <c r="A2147" s="66" t="s">
        <v>4964</v>
      </c>
      <c r="B2147" s="66" t="s">
        <v>5240</v>
      </c>
      <c r="C2147" s="67"/>
      <c r="D2147" s="68"/>
      <c r="E2147" s="69"/>
      <c r="F2147" s="70"/>
      <c r="G2147" s="67"/>
      <c r="H2147" s="71"/>
      <c r="I2147" s="72"/>
      <c r="J2147" s="72"/>
      <c r="K2147" s="36"/>
      <c r="L2147" s="79"/>
      <c r="M2147" s="79"/>
      <c r="N2147" s="74"/>
      <c r="O2147" s="81" t="s">
        <v>694</v>
      </c>
      <c r="P2147" s="83">
        <v>44463.601944444446</v>
      </c>
      <c r="Q2147" s="81" t="s">
        <v>5654</v>
      </c>
      <c r="R2147" s="84" t="str">
        <f>HYPERLINK("https://auditoriacidada.org.br/")</f>
        <v>https://auditoriacidada.org.br/</v>
      </c>
      <c r="S2147" s="81" t="s">
        <v>5696</v>
      </c>
      <c r="T2147" s="81"/>
      <c r="U2147" s="81"/>
      <c r="V2147" s="84" t="str">
        <f>HYPERLINK("https://pbs.twimg.com/profile_images/1442268002653704194/YVzvfEte_normal.jpg")</f>
        <v>https://pbs.twimg.com/profile_images/1442268002653704194/YVzvfEte_normal.jpg</v>
      </c>
      <c r="W2147" s="83">
        <v>44463.601944444446</v>
      </c>
      <c r="X2147" s="89">
        <v>44463</v>
      </c>
      <c r="Y2147" s="86" t="s">
        <v>6651</v>
      </c>
      <c r="Z2147" s="84" t="str">
        <f>HYPERLINK("https://twitter.com/solcaetanocost1/status/1441408783792619522")</f>
        <v>https://twitter.com/solcaetanocost1/status/1441408783792619522</v>
      </c>
      <c r="AA2147" s="81"/>
      <c r="AB2147" s="81"/>
      <c r="AC2147" s="86" t="s">
        <v>7576</v>
      </c>
      <c r="AD2147" s="81"/>
      <c r="AE2147" s="81" t="b">
        <v>0</v>
      </c>
      <c r="AF2147" s="81">
        <v>0</v>
      </c>
      <c r="AG2147" s="86" t="s">
        <v>2084</v>
      </c>
      <c r="AH2147" s="81" t="b">
        <v>0</v>
      </c>
      <c r="AI2147" s="81" t="s">
        <v>2171</v>
      </c>
      <c r="AJ2147" s="81"/>
      <c r="AK2147" s="86" t="s">
        <v>2084</v>
      </c>
      <c r="AL2147" s="81" t="b">
        <v>0</v>
      </c>
      <c r="AM2147" s="81">
        <v>4</v>
      </c>
      <c r="AN2147" s="86" t="s">
        <v>7580</v>
      </c>
      <c r="AO2147" s="86" t="s">
        <v>2178</v>
      </c>
      <c r="AP2147" s="81" t="b">
        <v>0</v>
      </c>
      <c r="AQ2147" s="86" t="s">
        <v>7580</v>
      </c>
      <c r="AR2147" s="81" t="s">
        <v>179</v>
      </c>
      <c r="AS2147" s="81">
        <v>0</v>
      </c>
      <c r="AT2147" s="81">
        <v>0</v>
      </c>
      <c r="AU2147" s="81"/>
      <c r="AV2147" s="81"/>
      <c r="AW2147" s="81"/>
      <c r="AX2147" s="81"/>
      <c r="AY2147" s="81"/>
      <c r="AZ2147" s="81"/>
      <c r="BA2147" s="81"/>
      <c r="BB2147" s="81"/>
    </row>
    <row r="2148" spans="1:54" x14ac:dyDescent="0.35">
      <c r="A2148" s="66" t="s">
        <v>4964</v>
      </c>
      <c r="B2148" s="66" t="s">
        <v>5241</v>
      </c>
      <c r="C2148" s="67"/>
      <c r="D2148" s="68"/>
      <c r="E2148" s="69"/>
      <c r="F2148" s="70"/>
      <c r="G2148" s="67"/>
      <c r="H2148" s="71"/>
      <c r="I2148" s="72"/>
      <c r="J2148" s="72"/>
      <c r="K2148" s="36"/>
      <c r="L2148" s="79"/>
      <c r="M2148" s="79"/>
      <c r="N2148" s="74"/>
      <c r="O2148" s="81" t="s">
        <v>694</v>
      </c>
      <c r="P2148" s="83">
        <v>44463.601944444446</v>
      </c>
      <c r="Q2148" s="81" t="s">
        <v>5654</v>
      </c>
      <c r="R2148" s="84" t="str">
        <f>HYPERLINK("https://auditoriacidada.org.br/")</f>
        <v>https://auditoriacidada.org.br/</v>
      </c>
      <c r="S2148" s="81" t="s">
        <v>5696</v>
      </c>
      <c r="T2148" s="81"/>
      <c r="U2148" s="81"/>
      <c r="V2148" s="84" t="str">
        <f>HYPERLINK("https://pbs.twimg.com/profile_images/1442268002653704194/YVzvfEte_normal.jpg")</f>
        <v>https://pbs.twimg.com/profile_images/1442268002653704194/YVzvfEte_normal.jpg</v>
      </c>
      <c r="W2148" s="83">
        <v>44463.601944444446</v>
      </c>
      <c r="X2148" s="89">
        <v>44463</v>
      </c>
      <c r="Y2148" s="86" t="s">
        <v>6651</v>
      </c>
      <c r="Z2148" s="84" t="str">
        <f>HYPERLINK("https://twitter.com/solcaetanocost1/status/1441408783792619522")</f>
        <v>https://twitter.com/solcaetanocost1/status/1441408783792619522</v>
      </c>
      <c r="AA2148" s="81"/>
      <c r="AB2148" s="81"/>
      <c r="AC2148" s="86" t="s">
        <v>7576</v>
      </c>
      <c r="AD2148" s="81"/>
      <c r="AE2148" s="81" t="b">
        <v>0</v>
      </c>
      <c r="AF2148" s="81">
        <v>0</v>
      </c>
      <c r="AG2148" s="86" t="s">
        <v>2084</v>
      </c>
      <c r="AH2148" s="81" t="b">
        <v>0</v>
      </c>
      <c r="AI2148" s="81" t="s">
        <v>2171</v>
      </c>
      <c r="AJ2148" s="81"/>
      <c r="AK2148" s="86" t="s">
        <v>2084</v>
      </c>
      <c r="AL2148" s="81" t="b">
        <v>0</v>
      </c>
      <c r="AM2148" s="81">
        <v>4</v>
      </c>
      <c r="AN2148" s="86" t="s">
        <v>7580</v>
      </c>
      <c r="AO2148" s="86" t="s">
        <v>2178</v>
      </c>
      <c r="AP2148" s="81" t="b">
        <v>0</v>
      </c>
      <c r="AQ2148" s="86" t="s">
        <v>7580</v>
      </c>
      <c r="AR2148" s="81" t="s">
        <v>179</v>
      </c>
      <c r="AS2148" s="81">
        <v>0</v>
      </c>
      <c r="AT2148" s="81">
        <v>0</v>
      </c>
      <c r="AU2148" s="81"/>
      <c r="AV2148" s="81"/>
      <c r="AW2148" s="81"/>
      <c r="AX2148" s="81"/>
      <c r="AY2148" s="81"/>
      <c r="AZ2148" s="81"/>
      <c r="BA2148" s="81"/>
      <c r="BB2148" s="81"/>
    </row>
    <row r="2149" spans="1:54" x14ac:dyDescent="0.35">
      <c r="A2149" s="66" t="s">
        <v>4964</v>
      </c>
      <c r="B2149" s="66" t="s">
        <v>5242</v>
      </c>
      <c r="C2149" s="67"/>
      <c r="D2149" s="68"/>
      <c r="E2149" s="69"/>
      <c r="F2149" s="70"/>
      <c r="G2149" s="67"/>
      <c r="H2149" s="71"/>
      <c r="I2149" s="72"/>
      <c r="J2149" s="72"/>
      <c r="K2149" s="36"/>
      <c r="L2149" s="79"/>
      <c r="M2149" s="79"/>
      <c r="N2149" s="74"/>
      <c r="O2149" s="81" t="s">
        <v>694</v>
      </c>
      <c r="P2149" s="83">
        <v>44463.601944444446</v>
      </c>
      <c r="Q2149" s="81" t="s">
        <v>5654</v>
      </c>
      <c r="R2149" s="84" t="str">
        <f>HYPERLINK("https://auditoriacidada.org.br/")</f>
        <v>https://auditoriacidada.org.br/</v>
      </c>
      <c r="S2149" s="81" t="s">
        <v>5696</v>
      </c>
      <c r="T2149" s="81"/>
      <c r="U2149" s="81"/>
      <c r="V2149" s="84" t="str">
        <f>HYPERLINK("https://pbs.twimg.com/profile_images/1442268002653704194/YVzvfEte_normal.jpg")</f>
        <v>https://pbs.twimg.com/profile_images/1442268002653704194/YVzvfEte_normal.jpg</v>
      </c>
      <c r="W2149" s="83">
        <v>44463.601944444446</v>
      </c>
      <c r="X2149" s="89">
        <v>44463</v>
      </c>
      <c r="Y2149" s="86" t="s">
        <v>6651</v>
      </c>
      <c r="Z2149" s="84" t="str">
        <f>HYPERLINK("https://twitter.com/solcaetanocost1/status/1441408783792619522")</f>
        <v>https://twitter.com/solcaetanocost1/status/1441408783792619522</v>
      </c>
      <c r="AA2149" s="81"/>
      <c r="AB2149" s="81"/>
      <c r="AC2149" s="86" t="s">
        <v>7576</v>
      </c>
      <c r="AD2149" s="81"/>
      <c r="AE2149" s="81" t="b">
        <v>0</v>
      </c>
      <c r="AF2149" s="81">
        <v>0</v>
      </c>
      <c r="AG2149" s="86" t="s">
        <v>2084</v>
      </c>
      <c r="AH2149" s="81" t="b">
        <v>0</v>
      </c>
      <c r="AI2149" s="81" t="s">
        <v>2171</v>
      </c>
      <c r="AJ2149" s="81"/>
      <c r="AK2149" s="86" t="s">
        <v>2084</v>
      </c>
      <c r="AL2149" s="81" t="b">
        <v>0</v>
      </c>
      <c r="AM2149" s="81">
        <v>4</v>
      </c>
      <c r="AN2149" s="86" t="s">
        <v>7580</v>
      </c>
      <c r="AO2149" s="86" t="s">
        <v>2178</v>
      </c>
      <c r="AP2149" s="81" t="b">
        <v>0</v>
      </c>
      <c r="AQ2149" s="86" t="s">
        <v>7580</v>
      </c>
      <c r="AR2149" s="81" t="s">
        <v>179</v>
      </c>
      <c r="AS2149" s="81">
        <v>0</v>
      </c>
      <c r="AT2149" s="81">
        <v>0</v>
      </c>
      <c r="AU2149" s="81"/>
      <c r="AV2149" s="81"/>
      <c r="AW2149" s="81"/>
      <c r="AX2149" s="81"/>
      <c r="AY2149" s="81"/>
      <c r="AZ2149" s="81"/>
      <c r="BA2149" s="81"/>
      <c r="BB2149" s="81"/>
    </row>
    <row r="2150" spans="1:54" x14ac:dyDescent="0.35">
      <c r="A2150" s="66" t="s">
        <v>4964</v>
      </c>
      <c r="B2150" s="66" t="s">
        <v>5243</v>
      </c>
      <c r="C2150" s="67"/>
      <c r="D2150" s="68"/>
      <c r="E2150" s="69"/>
      <c r="F2150" s="70"/>
      <c r="G2150" s="67"/>
      <c r="H2150" s="71"/>
      <c r="I2150" s="72"/>
      <c r="J2150" s="72"/>
      <c r="K2150" s="36"/>
      <c r="L2150" s="79"/>
      <c r="M2150" s="79"/>
      <c r="N2150" s="74"/>
      <c r="O2150" s="81" t="s">
        <v>694</v>
      </c>
      <c r="P2150" s="83">
        <v>44463.601944444446</v>
      </c>
      <c r="Q2150" s="81" t="s">
        <v>5654</v>
      </c>
      <c r="R2150" s="84" t="str">
        <f>HYPERLINK("https://auditoriacidada.org.br/")</f>
        <v>https://auditoriacidada.org.br/</v>
      </c>
      <c r="S2150" s="81" t="s">
        <v>5696</v>
      </c>
      <c r="T2150" s="81"/>
      <c r="U2150" s="81"/>
      <c r="V2150" s="84" t="str">
        <f>HYPERLINK("https://pbs.twimg.com/profile_images/1442268002653704194/YVzvfEte_normal.jpg")</f>
        <v>https://pbs.twimg.com/profile_images/1442268002653704194/YVzvfEte_normal.jpg</v>
      </c>
      <c r="W2150" s="83">
        <v>44463.601944444446</v>
      </c>
      <c r="X2150" s="89">
        <v>44463</v>
      </c>
      <c r="Y2150" s="86" t="s">
        <v>6651</v>
      </c>
      <c r="Z2150" s="84" t="str">
        <f>HYPERLINK("https://twitter.com/solcaetanocost1/status/1441408783792619522")</f>
        <v>https://twitter.com/solcaetanocost1/status/1441408783792619522</v>
      </c>
      <c r="AA2150" s="81"/>
      <c r="AB2150" s="81"/>
      <c r="AC2150" s="86" t="s">
        <v>7576</v>
      </c>
      <c r="AD2150" s="81"/>
      <c r="AE2150" s="81" t="b">
        <v>0</v>
      </c>
      <c r="AF2150" s="81">
        <v>0</v>
      </c>
      <c r="AG2150" s="86" t="s">
        <v>2084</v>
      </c>
      <c r="AH2150" s="81" t="b">
        <v>0</v>
      </c>
      <c r="AI2150" s="81" t="s">
        <v>2171</v>
      </c>
      <c r="AJ2150" s="81"/>
      <c r="AK2150" s="86" t="s">
        <v>2084</v>
      </c>
      <c r="AL2150" s="81" t="b">
        <v>0</v>
      </c>
      <c r="AM2150" s="81">
        <v>4</v>
      </c>
      <c r="AN2150" s="86" t="s">
        <v>7580</v>
      </c>
      <c r="AO2150" s="86" t="s">
        <v>2178</v>
      </c>
      <c r="AP2150" s="81" t="b">
        <v>0</v>
      </c>
      <c r="AQ2150" s="86" t="s">
        <v>7580</v>
      </c>
      <c r="AR2150" s="81" t="s">
        <v>179</v>
      </c>
      <c r="AS2150" s="81">
        <v>0</v>
      </c>
      <c r="AT2150" s="81">
        <v>0</v>
      </c>
      <c r="AU2150" s="81"/>
      <c r="AV2150" s="81"/>
      <c r="AW2150" s="81"/>
      <c r="AX2150" s="81"/>
      <c r="AY2150" s="81"/>
      <c r="AZ2150" s="81"/>
      <c r="BA2150" s="81"/>
      <c r="BB2150" s="81"/>
    </row>
    <row r="2151" spans="1:54" x14ac:dyDescent="0.35">
      <c r="A2151" s="66" t="s">
        <v>4964</v>
      </c>
      <c r="B2151" s="66" t="s">
        <v>5244</v>
      </c>
      <c r="C2151" s="67"/>
      <c r="D2151" s="68"/>
      <c r="E2151" s="69"/>
      <c r="F2151" s="70"/>
      <c r="G2151" s="67"/>
      <c r="H2151" s="71"/>
      <c r="I2151" s="72"/>
      <c r="J2151" s="72"/>
      <c r="K2151" s="36"/>
      <c r="L2151" s="79"/>
      <c r="M2151" s="79"/>
      <c r="N2151" s="74"/>
      <c r="O2151" s="81" t="s">
        <v>694</v>
      </c>
      <c r="P2151" s="83">
        <v>44463.601944444446</v>
      </c>
      <c r="Q2151" s="81" t="s">
        <v>5654</v>
      </c>
      <c r="R2151" s="84" t="str">
        <f>HYPERLINK("https://auditoriacidada.org.br/")</f>
        <v>https://auditoriacidada.org.br/</v>
      </c>
      <c r="S2151" s="81" t="s">
        <v>5696</v>
      </c>
      <c r="T2151" s="81"/>
      <c r="U2151" s="81"/>
      <c r="V2151" s="84" t="str">
        <f>HYPERLINK("https://pbs.twimg.com/profile_images/1442268002653704194/YVzvfEte_normal.jpg")</f>
        <v>https://pbs.twimg.com/profile_images/1442268002653704194/YVzvfEte_normal.jpg</v>
      </c>
      <c r="W2151" s="83">
        <v>44463.601944444446</v>
      </c>
      <c r="X2151" s="89">
        <v>44463</v>
      </c>
      <c r="Y2151" s="86" t="s">
        <v>6651</v>
      </c>
      <c r="Z2151" s="84" t="str">
        <f>HYPERLINK("https://twitter.com/solcaetanocost1/status/1441408783792619522")</f>
        <v>https://twitter.com/solcaetanocost1/status/1441408783792619522</v>
      </c>
      <c r="AA2151" s="81"/>
      <c r="AB2151" s="81"/>
      <c r="AC2151" s="86" t="s">
        <v>7576</v>
      </c>
      <c r="AD2151" s="81"/>
      <c r="AE2151" s="81" t="b">
        <v>0</v>
      </c>
      <c r="AF2151" s="81">
        <v>0</v>
      </c>
      <c r="AG2151" s="86" t="s">
        <v>2084</v>
      </c>
      <c r="AH2151" s="81" t="b">
        <v>0</v>
      </c>
      <c r="AI2151" s="81" t="s">
        <v>2171</v>
      </c>
      <c r="AJ2151" s="81"/>
      <c r="AK2151" s="86" t="s">
        <v>2084</v>
      </c>
      <c r="AL2151" s="81" t="b">
        <v>0</v>
      </c>
      <c r="AM2151" s="81">
        <v>4</v>
      </c>
      <c r="AN2151" s="86" t="s">
        <v>7580</v>
      </c>
      <c r="AO2151" s="86" t="s">
        <v>2178</v>
      </c>
      <c r="AP2151" s="81" t="b">
        <v>0</v>
      </c>
      <c r="AQ2151" s="86" t="s">
        <v>7580</v>
      </c>
      <c r="AR2151" s="81" t="s">
        <v>179</v>
      </c>
      <c r="AS2151" s="81">
        <v>0</v>
      </c>
      <c r="AT2151" s="81">
        <v>0</v>
      </c>
      <c r="AU2151" s="81"/>
      <c r="AV2151" s="81"/>
      <c r="AW2151" s="81"/>
      <c r="AX2151" s="81"/>
      <c r="AY2151" s="81"/>
      <c r="AZ2151" s="81"/>
      <c r="BA2151" s="81"/>
      <c r="BB2151" s="81"/>
    </row>
    <row r="2152" spans="1:54" x14ac:dyDescent="0.35">
      <c r="A2152" s="66" t="s">
        <v>4964</v>
      </c>
      <c r="B2152" s="66" t="s">
        <v>5245</v>
      </c>
      <c r="C2152" s="67"/>
      <c r="D2152" s="68"/>
      <c r="E2152" s="69"/>
      <c r="F2152" s="70"/>
      <c r="G2152" s="67"/>
      <c r="H2152" s="71"/>
      <c r="I2152" s="72"/>
      <c r="J2152" s="72"/>
      <c r="K2152" s="36"/>
      <c r="L2152" s="79"/>
      <c r="M2152" s="79"/>
      <c r="N2152" s="74"/>
      <c r="O2152" s="81" t="s">
        <v>694</v>
      </c>
      <c r="P2152" s="83">
        <v>44463.601944444446</v>
      </c>
      <c r="Q2152" s="81" t="s">
        <v>5654</v>
      </c>
      <c r="R2152" s="84" t="str">
        <f>HYPERLINK("https://auditoriacidada.org.br/")</f>
        <v>https://auditoriacidada.org.br/</v>
      </c>
      <c r="S2152" s="81" t="s">
        <v>5696</v>
      </c>
      <c r="T2152" s="81"/>
      <c r="U2152" s="81"/>
      <c r="V2152" s="84" t="str">
        <f>HYPERLINK("https://pbs.twimg.com/profile_images/1442268002653704194/YVzvfEte_normal.jpg")</f>
        <v>https://pbs.twimg.com/profile_images/1442268002653704194/YVzvfEte_normal.jpg</v>
      </c>
      <c r="W2152" s="83">
        <v>44463.601944444446</v>
      </c>
      <c r="X2152" s="89">
        <v>44463</v>
      </c>
      <c r="Y2152" s="86" t="s">
        <v>6651</v>
      </c>
      <c r="Z2152" s="84" t="str">
        <f>HYPERLINK("https://twitter.com/solcaetanocost1/status/1441408783792619522")</f>
        <v>https://twitter.com/solcaetanocost1/status/1441408783792619522</v>
      </c>
      <c r="AA2152" s="81"/>
      <c r="AB2152" s="81"/>
      <c r="AC2152" s="86" t="s">
        <v>7576</v>
      </c>
      <c r="AD2152" s="81"/>
      <c r="AE2152" s="81" t="b">
        <v>0</v>
      </c>
      <c r="AF2152" s="81">
        <v>0</v>
      </c>
      <c r="AG2152" s="86" t="s">
        <v>2084</v>
      </c>
      <c r="AH2152" s="81" t="b">
        <v>0</v>
      </c>
      <c r="AI2152" s="81" t="s">
        <v>2171</v>
      </c>
      <c r="AJ2152" s="81"/>
      <c r="AK2152" s="86" t="s">
        <v>2084</v>
      </c>
      <c r="AL2152" s="81" t="b">
        <v>0</v>
      </c>
      <c r="AM2152" s="81">
        <v>4</v>
      </c>
      <c r="AN2152" s="86" t="s">
        <v>7580</v>
      </c>
      <c r="AO2152" s="86" t="s">
        <v>2178</v>
      </c>
      <c r="AP2152" s="81" t="b">
        <v>0</v>
      </c>
      <c r="AQ2152" s="86" t="s">
        <v>7580</v>
      </c>
      <c r="AR2152" s="81" t="s">
        <v>179</v>
      </c>
      <c r="AS2152" s="81">
        <v>0</v>
      </c>
      <c r="AT2152" s="81">
        <v>0</v>
      </c>
      <c r="AU2152" s="81"/>
      <c r="AV2152" s="81"/>
      <c r="AW2152" s="81"/>
      <c r="AX2152" s="81"/>
      <c r="AY2152" s="81"/>
      <c r="AZ2152" s="81"/>
      <c r="BA2152" s="81"/>
      <c r="BB2152" s="81"/>
    </row>
    <row r="2153" spans="1:54" x14ac:dyDescent="0.35">
      <c r="A2153" s="66" t="s">
        <v>4964</v>
      </c>
      <c r="B2153" s="66" t="s">
        <v>5246</v>
      </c>
      <c r="C2153" s="67"/>
      <c r="D2153" s="68"/>
      <c r="E2153" s="69"/>
      <c r="F2153" s="70"/>
      <c r="G2153" s="67"/>
      <c r="H2153" s="71"/>
      <c r="I2153" s="72"/>
      <c r="J2153" s="72"/>
      <c r="K2153" s="36"/>
      <c r="L2153" s="79"/>
      <c r="M2153" s="79"/>
      <c r="N2153" s="74"/>
      <c r="O2153" s="81" t="s">
        <v>694</v>
      </c>
      <c r="P2153" s="83">
        <v>44463.601944444446</v>
      </c>
      <c r="Q2153" s="81" t="s">
        <v>5654</v>
      </c>
      <c r="R2153" s="84" t="str">
        <f>HYPERLINK("https://auditoriacidada.org.br/")</f>
        <v>https://auditoriacidada.org.br/</v>
      </c>
      <c r="S2153" s="81" t="s">
        <v>5696</v>
      </c>
      <c r="T2153" s="81"/>
      <c r="U2153" s="81"/>
      <c r="V2153" s="84" t="str">
        <f>HYPERLINK("https://pbs.twimg.com/profile_images/1442268002653704194/YVzvfEte_normal.jpg")</f>
        <v>https://pbs.twimg.com/profile_images/1442268002653704194/YVzvfEte_normal.jpg</v>
      </c>
      <c r="W2153" s="83">
        <v>44463.601944444446</v>
      </c>
      <c r="X2153" s="89">
        <v>44463</v>
      </c>
      <c r="Y2153" s="86" t="s">
        <v>6651</v>
      </c>
      <c r="Z2153" s="84" t="str">
        <f>HYPERLINK("https://twitter.com/solcaetanocost1/status/1441408783792619522")</f>
        <v>https://twitter.com/solcaetanocost1/status/1441408783792619522</v>
      </c>
      <c r="AA2153" s="81"/>
      <c r="AB2153" s="81"/>
      <c r="AC2153" s="86" t="s">
        <v>7576</v>
      </c>
      <c r="AD2153" s="81"/>
      <c r="AE2153" s="81" t="b">
        <v>0</v>
      </c>
      <c r="AF2153" s="81">
        <v>0</v>
      </c>
      <c r="AG2153" s="86" t="s">
        <v>2084</v>
      </c>
      <c r="AH2153" s="81" t="b">
        <v>0</v>
      </c>
      <c r="AI2153" s="81" t="s">
        <v>2171</v>
      </c>
      <c r="AJ2153" s="81"/>
      <c r="AK2153" s="86" t="s">
        <v>2084</v>
      </c>
      <c r="AL2153" s="81" t="b">
        <v>0</v>
      </c>
      <c r="AM2153" s="81">
        <v>4</v>
      </c>
      <c r="AN2153" s="86" t="s">
        <v>7580</v>
      </c>
      <c r="AO2153" s="86" t="s">
        <v>2178</v>
      </c>
      <c r="AP2153" s="81" t="b">
        <v>0</v>
      </c>
      <c r="AQ2153" s="86" t="s">
        <v>7580</v>
      </c>
      <c r="AR2153" s="81" t="s">
        <v>179</v>
      </c>
      <c r="AS2153" s="81">
        <v>0</v>
      </c>
      <c r="AT2153" s="81">
        <v>0</v>
      </c>
      <c r="AU2153" s="81"/>
      <c r="AV2153" s="81"/>
      <c r="AW2153" s="81"/>
      <c r="AX2153" s="81"/>
      <c r="AY2153" s="81"/>
      <c r="AZ2153" s="81"/>
      <c r="BA2153" s="81"/>
      <c r="BB2153" s="81"/>
    </row>
    <row r="2154" spans="1:54" x14ac:dyDescent="0.35">
      <c r="A2154" s="66" t="s">
        <v>4964</v>
      </c>
      <c r="B2154" s="66" t="s">
        <v>5247</v>
      </c>
      <c r="C2154" s="67"/>
      <c r="D2154" s="68"/>
      <c r="E2154" s="69"/>
      <c r="F2154" s="70"/>
      <c r="G2154" s="67"/>
      <c r="H2154" s="71"/>
      <c r="I2154" s="72"/>
      <c r="J2154" s="72"/>
      <c r="K2154" s="36"/>
      <c r="L2154" s="79"/>
      <c r="M2154" s="79"/>
      <c r="N2154" s="74"/>
      <c r="O2154" s="81" t="s">
        <v>694</v>
      </c>
      <c r="P2154" s="83">
        <v>44463.601944444446</v>
      </c>
      <c r="Q2154" s="81" t="s">
        <v>5654</v>
      </c>
      <c r="R2154" s="84" t="str">
        <f>HYPERLINK("https://auditoriacidada.org.br/")</f>
        <v>https://auditoriacidada.org.br/</v>
      </c>
      <c r="S2154" s="81" t="s">
        <v>5696</v>
      </c>
      <c r="T2154" s="81"/>
      <c r="U2154" s="81"/>
      <c r="V2154" s="84" t="str">
        <f>HYPERLINK("https://pbs.twimg.com/profile_images/1442268002653704194/YVzvfEte_normal.jpg")</f>
        <v>https://pbs.twimg.com/profile_images/1442268002653704194/YVzvfEte_normal.jpg</v>
      </c>
      <c r="W2154" s="83">
        <v>44463.601944444446</v>
      </c>
      <c r="X2154" s="89">
        <v>44463</v>
      </c>
      <c r="Y2154" s="86" t="s">
        <v>6651</v>
      </c>
      <c r="Z2154" s="84" t="str">
        <f>HYPERLINK("https://twitter.com/solcaetanocost1/status/1441408783792619522")</f>
        <v>https://twitter.com/solcaetanocost1/status/1441408783792619522</v>
      </c>
      <c r="AA2154" s="81"/>
      <c r="AB2154" s="81"/>
      <c r="AC2154" s="86" t="s">
        <v>7576</v>
      </c>
      <c r="AD2154" s="81"/>
      <c r="AE2154" s="81" t="b">
        <v>0</v>
      </c>
      <c r="AF2154" s="81">
        <v>0</v>
      </c>
      <c r="AG2154" s="86" t="s">
        <v>2084</v>
      </c>
      <c r="AH2154" s="81" t="b">
        <v>0</v>
      </c>
      <c r="AI2154" s="81" t="s">
        <v>2171</v>
      </c>
      <c r="AJ2154" s="81"/>
      <c r="AK2154" s="86" t="s">
        <v>2084</v>
      </c>
      <c r="AL2154" s="81" t="b">
        <v>0</v>
      </c>
      <c r="AM2154" s="81">
        <v>4</v>
      </c>
      <c r="AN2154" s="86" t="s">
        <v>7580</v>
      </c>
      <c r="AO2154" s="86" t="s">
        <v>2178</v>
      </c>
      <c r="AP2154" s="81" t="b">
        <v>0</v>
      </c>
      <c r="AQ2154" s="86" t="s">
        <v>7580</v>
      </c>
      <c r="AR2154" s="81" t="s">
        <v>179</v>
      </c>
      <c r="AS2154" s="81">
        <v>0</v>
      </c>
      <c r="AT2154" s="81">
        <v>0</v>
      </c>
      <c r="AU2154" s="81"/>
      <c r="AV2154" s="81"/>
      <c r="AW2154" s="81"/>
      <c r="AX2154" s="81"/>
      <c r="AY2154" s="81"/>
      <c r="AZ2154" s="81"/>
      <c r="BA2154" s="81"/>
      <c r="BB2154" s="81"/>
    </row>
    <row r="2155" spans="1:54" x14ac:dyDescent="0.35">
      <c r="A2155" s="66" t="s">
        <v>4964</v>
      </c>
      <c r="B2155" s="66" t="s">
        <v>5248</v>
      </c>
      <c r="C2155" s="67"/>
      <c r="D2155" s="68"/>
      <c r="E2155" s="69"/>
      <c r="F2155" s="70"/>
      <c r="G2155" s="67"/>
      <c r="H2155" s="71"/>
      <c r="I2155" s="72"/>
      <c r="J2155" s="72"/>
      <c r="K2155" s="36"/>
      <c r="L2155" s="79"/>
      <c r="M2155" s="79"/>
      <c r="N2155" s="74"/>
      <c r="O2155" s="81" t="s">
        <v>694</v>
      </c>
      <c r="P2155" s="83">
        <v>44463.601944444446</v>
      </c>
      <c r="Q2155" s="81" t="s">
        <v>5654</v>
      </c>
      <c r="R2155" s="84" t="str">
        <f>HYPERLINK("https://auditoriacidada.org.br/")</f>
        <v>https://auditoriacidada.org.br/</v>
      </c>
      <c r="S2155" s="81" t="s">
        <v>5696</v>
      </c>
      <c r="T2155" s="81"/>
      <c r="U2155" s="81"/>
      <c r="V2155" s="84" t="str">
        <f>HYPERLINK("https://pbs.twimg.com/profile_images/1442268002653704194/YVzvfEte_normal.jpg")</f>
        <v>https://pbs.twimg.com/profile_images/1442268002653704194/YVzvfEte_normal.jpg</v>
      </c>
      <c r="W2155" s="83">
        <v>44463.601944444446</v>
      </c>
      <c r="X2155" s="89">
        <v>44463</v>
      </c>
      <c r="Y2155" s="86" t="s">
        <v>6651</v>
      </c>
      <c r="Z2155" s="84" t="str">
        <f>HYPERLINK("https://twitter.com/solcaetanocost1/status/1441408783792619522")</f>
        <v>https://twitter.com/solcaetanocost1/status/1441408783792619522</v>
      </c>
      <c r="AA2155" s="81"/>
      <c r="AB2155" s="81"/>
      <c r="AC2155" s="86" t="s">
        <v>7576</v>
      </c>
      <c r="AD2155" s="81"/>
      <c r="AE2155" s="81" t="b">
        <v>0</v>
      </c>
      <c r="AF2155" s="81">
        <v>0</v>
      </c>
      <c r="AG2155" s="86" t="s">
        <v>2084</v>
      </c>
      <c r="AH2155" s="81" t="b">
        <v>0</v>
      </c>
      <c r="AI2155" s="81" t="s">
        <v>2171</v>
      </c>
      <c r="AJ2155" s="81"/>
      <c r="AK2155" s="86" t="s">
        <v>2084</v>
      </c>
      <c r="AL2155" s="81" t="b">
        <v>0</v>
      </c>
      <c r="AM2155" s="81">
        <v>4</v>
      </c>
      <c r="AN2155" s="86" t="s">
        <v>7580</v>
      </c>
      <c r="AO2155" s="86" t="s">
        <v>2178</v>
      </c>
      <c r="AP2155" s="81" t="b">
        <v>0</v>
      </c>
      <c r="AQ2155" s="86" t="s">
        <v>7580</v>
      </c>
      <c r="AR2155" s="81" t="s">
        <v>179</v>
      </c>
      <c r="AS2155" s="81">
        <v>0</v>
      </c>
      <c r="AT2155" s="81">
        <v>0</v>
      </c>
      <c r="AU2155" s="81"/>
      <c r="AV2155" s="81"/>
      <c r="AW2155" s="81"/>
      <c r="AX2155" s="81"/>
      <c r="AY2155" s="81"/>
      <c r="AZ2155" s="81"/>
      <c r="BA2155" s="81"/>
      <c r="BB2155" s="81"/>
    </row>
    <row r="2156" spans="1:54" x14ac:dyDescent="0.35">
      <c r="A2156" s="66" t="s">
        <v>4964</v>
      </c>
      <c r="B2156" s="66" t="s">
        <v>5249</v>
      </c>
      <c r="C2156" s="67"/>
      <c r="D2156" s="68"/>
      <c r="E2156" s="69"/>
      <c r="F2156" s="70"/>
      <c r="G2156" s="67"/>
      <c r="H2156" s="71"/>
      <c r="I2156" s="72"/>
      <c r="J2156" s="72"/>
      <c r="K2156" s="36"/>
      <c r="L2156" s="79"/>
      <c r="M2156" s="79"/>
      <c r="N2156" s="74"/>
      <c r="O2156" s="81" t="s">
        <v>694</v>
      </c>
      <c r="P2156" s="83">
        <v>44463.601944444446</v>
      </c>
      <c r="Q2156" s="81" t="s">
        <v>5654</v>
      </c>
      <c r="R2156" s="84" t="str">
        <f>HYPERLINK("https://auditoriacidada.org.br/")</f>
        <v>https://auditoriacidada.org.br/</v>
      </c>
      <c r="S2156" s="81" t="s">
        <v>5696</v>
      </c>
      <c r="T2156" s="81"/>
      <c r="U2156" s="81"/>
      <c r="V2156" s="84" t="str">
        <f>HYPERLINK("https://pbs.twimg.com/profile_images/1442268002653704194/YVzvfEte_normal.jpg")</f>
        <v>https://pbs.twimg.com/profile_images/1442268002653704194/YVzvfEte_normal.jpg</v>
      </c>
      <c r="W2156" s="83">
        <v>44463.601944444446</v>
      </c>
      <c r="X2156" s="89">
        <v>44463</v>
      </c>
      <c r="Y2156" s="86" t="s">
        <v>6651</v>
      </c>
      <c r="Z2156" s="84" t="str">
        <f>HYPERLINK("https://twitter.com/solcaetanocost1/status/1441408783792619522")</f>
        <v>https://twitter.com/solcaetanocost1/status/1441408783792619522</v>
      </c>
      <c r="AA2156" s="81"/>
      <c r="AB2156" s="81"/>
      <c r="AC2156" s="86" t="s">
        <v>7576</v>
      </c>
      <c r="AD2156" s="81"/>
      <c r="AE2156" s="81" t="b">
        <v>0</v>
      </c>
      <c r="AF2156" s="81">
        <v>0</v>
      </c>
      <c r="AG2156" s="86" t="s">
        <v>2084</v>
      </c>
      <c r="AH2156" s="81" t="b">
        <v>0</v>
      </c>
      <c r="AI2156" s="81" t="s">
        <v>2171</v>
      </c>
      <c r="AJ2156" s="81"/>
      <c r="AK2156" s="86" t="s">
        <v>2084</v>
      </c>
      <c r="AL2156" s="81" t="b">
        <v>0</v>
      </c>
      <c r="AM2156" s="81">
        <v>4</v>
      </c>
      <c r="AN2156" s="86" t="s">
        <v>7580</v>
      </c>
      <c r="AO2156" s="86" t="s">
        <v>2178</v>
      </c>
      <c r="AP2156" s="81" t="b">
        <v>0</v>
      </c>
      <c r="AQ2156" s="86" t="s">
        <v>7580</v>
      </c>
      <c r="AR2156" s="81" t="s">
        <v>179</v>
      </c>
      <c r="AS2156" s="81">
        <v>0</v>
      </c>
      <c r="AT2156" s="81">
        <v>0</v>
      </c>
      <c r="AU2156" s="81"/>
      <c r="AV2156" s="81"/>
      <c r="AW2156" s="81"/>
      <c r="AX2156" s="81"/>
      <c r="AY2156" s="81"/>
      <c r="AZ2156" s="81"/>
      <c r="BA2156" s="81"/>
      <c r="BB2156" s="81"/>
    </row>
    <row r="2157" spans="1:54" x14ac:dyDescent="0.35">
      <c r="A2157" s="66" t="s">
        <v>4964</v>
      </c>
      <c r="B2157" s="66" t="s">
        <v>5250</v>
      </c>
      <c r="C2157" s="67"/>
      <c r="D2157" s="68"/>
      <c r="E2157" s="69"/>
      <c r="F2157" s="70"/>
      <c r="G2157" s="67"/>
      <c r="H2157" s="71"/>
      <c r="I2157" s="72"/>
      <c r="J2157" s="72"/>
      <c r="K2157" s="36"/>
      <c r="L2157" s="79"/>
      <c r="M2157" s="79"/>
      <c r="N2157" s="74"/>
      <c r="O2157" s="81" t="s">
        <v>694</v>
      </c>
      <c r="P2157" s="83">
        <v>44463.601944444446</v>
      </c>
      <c r="Q2157" s="81" t="s">
        <v>5654</v>
      </c>
      <c r="R2157" s="84" t="str">
        <f>HYPERLINK("https://auditoriacidada.org.br/")</f>
        <v>https://auditoriacidada.org.br/</v>
      </c>
      <c r="S2157" s="81" t="s">
        <v>5696</v>
      </c>
      <c r="T2157" s="81"/>
      <c r="U2157" s="81"/>
      <c r="V2157" s="84" t="str">
        <f>HYPERLINK("https://pbs.twimg.com/profile_images/1442268002653704194/YVzvfEte_normal.jpg")</f>
        <v>https://pbs.twimg.com/profile_images/1442268002653704194/YVzvfEte_normal.jpg</v>
      </c>
      <c r="W2157" s="83">
        <v>44463.601944444446</v>
      </c>
      <c r="X2157" s="89">
        <v>44463</v>
      </c>
      <c r="Y2157" s="86" t="s">
        <v>6651</v>
      </c>
      <c r="Z2157" s="84" t="str">
        <f>HYPERLINK("https://twitter.com/solcaetanocost1/status/1441408783792619522")</f>
        <v>https://twitter.com/solcaetanocost1/status/1441408783792619522</v>
      </c>
      <c r="AA2157" s="81"/>
      <c r="AB2157" s="81"/>
      <c r="AC2157" s="86" t="s">
        <v>7576</v>
      </c>
      <c r="AD2157" s="81"/>
      <c r="AE2157" s="81" t="b">
        <v>0</v>
      </c>
      <c r="AF2157" s="81">
        <v>0</v>
      </c>
      <c r="AG2157" s="86" t="s">
        <v>2084</v>
      </c>
      <c r="AH2157" s="81" t="b">
        <v>0</v>
      </c>
      <c r="AI2157" s="81" t="s">
        <v>2171</v>
      </c>
      <c r="AJ2157" s="81"/>
      <c r="AK2157" s="86" t="s">
        <v>2084</v>
      </c>
      <c r="AL2157" s="81" t="b">
        <v>0</v>
      </c>
      <c r="AM2157" s="81">
        <v>4</v>
      </c>
      <c r="AN2157" s="86" t="s">
        <v>7580</v>
      </c>
      <c r="AO2157" s="86" t="s">
        <v>2178</v>
      </c>
      <c r="AP2157" s="81" t="b">
        <v>0</v>
      </c>
      <c r="AQ2157" s="86" t="s">
        <v>7580</v>
      </c>
      <c r="AR2157" s="81" t="s">
        <v>179</v>
      </c>
      <c r="AS2157" s="81">
        <v>0</v>
      </c>
      <c r="AT2157" s="81">
        <v>0</v>
      </c>
      <c r="AU2157" s="81"/>
      <c r="AV2157" s="81"/>
      <c r="AW2157" s="81"/>
      <c r="AX2157" s="81"/>
      <c r="AY2157" s="81"/>
      <c r="AZ2157" s="81"/>
      <c r="BA2157" s="81"/>
      <c r="BB2157" s="81"/>
    </row>
    <row r="2158" spans="1:54" x14ac:dyDescent="0.35">
      <c r="A2158" s="66" t="s">
        <v>4964</v>
      </c>
      <c r="B2158" s="66" t="s">
        <v>5251</v>
      </c>
      <c r="C2158" s="67"/>
      <c r="D2158" s="68"/>
      <c r="E2158" s="69"/>
      <c r="F2158" s="70"/>
      <c r="G2158" s="67"/>
      <c r="H2158" s="71"/>
      <c r="I2158" s="72"/>
      <c r="J2158" s="72"/>
      <c r="K2158" s="36"/>
      <c r="L2158" s="79"/>
      <c r="M2158" s="79"/>
      <c r="N2158" s="74"/>
      <c r="O2158" s="81" t="s">
        <v>694</v>
      </c>
      <c r="P2158" s="83">
        <v>44463.601944444446</v>
      </c>
      <c r="Q2158" s="81" t="s">
        <v>5654</v>
      </c>
      <c r="R2158" s="84" t="str">
        <f>HYPERLINK("https://auditoriacidada.org.br/")</f>
        <v>https://auditoriacidada.org.br/</v>
      </c>
      <c r="S2158" s="81" t="s">
        <v>5696</v>
      </c>
      <c r="T2158" s="81"/>
      <c r="U2158" s="81"/>
      <c r="V2158" s="84" t="str">
        <f>HYPERLINK("https://pbs.twimg.com/profile_images/1442268002653704194/YVzvfEte_normal.jpg")</f>
        <v>https://pbs.twimg.com/profile_images/1442268002653704194/YVzvfEte_normal.jpg</v>
      </c>
      <c r="W2158" s="83">
        <v>44463.601944444446</v>
      </c>
      <c r="X2158" s="89">
        <v>44463</v>
      </c>
      <c r="Y2158" s="86" t="s">
        <v>6651</v>
      </c>
      <c r="Z2158" s="84" t="str">
        <f>HYPERLINK("https://twitter.com/solcaetanocost1/status/1441408783792619522")</f>
        <v>https://twitter.com/solcaetanocost1/status/1441408783792619522</v>
      </c>
      <c r="AA2158" s="81"/>
      <c r="AB2158" s="81"/>
      <c r="AC2158" s="86" t="s">
        <v>7576</v>
      </c>
      <c r="AD2158" s="81"/>
      <c r="AE2158" s="81" t="b">
        <v>0</v>
      </c>
      <c r="AF2158" s="81">
        <v>0</v>
      </c>
      <c r="AG2158" s="86" t="s">
        <v>2084</v>
      </c>
      <c r="AH2158" s="81" t="b">
        <v>0</v>
      </c>
      <c r="AI2158" s="81" t="s">
        <v>2171</v>
      </c>
      <c r="AJ2158" s="81"/>
      <c r="AK2158" s="86" t="s">
        <v>2084</v>
      </c>
      <c r="AL2158" s="81" t="b">
        <v>0</v>
      </c>
      <c r="AM2158" s="81">
        <v>4</v>
      </c>
      <c r="AN2158" s="86" t="s">
        <v>7580</v>
      </c>
      <c r="AO2158" s="86" t="s">
        <v>2178</v>
      </c>
      <c r="AP2158" s="81" t="b">
        <v>0</v>
      </c>
      <c r="AQ2158" s="86" t="s">
        <v>7580</v>
      </c>
      <c r="AR2158" s="81" t="s">
        <v>179</v>
      </c>
      <c r="AS2158" s="81">
        <v>0</v>
      </c>
      <c r="AT2158" s="81">
        <v>0</v>
      </c>
      <c r="AU2158" s="81"/>
      <c r="AV2158" s="81"/>
      <c r="AW2158" s="81"/>
      <c r="AX2158" s="81"/>
      <c r="AY2158" s="81"/>
      <c r="AZ2158" s="81"/>
      <c r="BA2158" s="81"/>
      <c r="BB2158" s="81"/>
    </row>
    <row r="2159" spans="1:54" x14ac:dyDescent="0.35">
      <c r="A2159" s="66" t="s">
        <v>4964</v>
      </c>
      <c r="B2159" s="66" t="s">
        <v>5252</v>
      </c>
      <c r="C2159" s="67"/>
      <c r="D2159" s="68"/>
      <c r="E2159" s="69"/>
      <c r="F2159" s="70"/>
      <c r="G2159" s="67"/>
      <c r="H2159" s="71"/>
      <c r="I2159" s="72"/>
      <c r="J2159" s="72"/>
      <c r="K2159" s="36"/>
      <c r="L2159" s="79"/>
      <c r="M2159" s="79"/>
      <c r="N2159" s="74"/>
      <c r="O2159" s="81" t="s">
        <v>694</v>
      </c>
      <c r="P2159" s="83">
        <v>44463.601944444446</v>
      </c>
      <c r="Q2159" s="81" t="s">
        <v>5654</v>
      </c>
      <c r="R2159" s="84" t="str">
        <f>HYPERLINK("https://auditoriacidada.org.br/")</f>
        <v>https://auditoriacidada.org.br/</v>
      </c>
      <c r="S2159" s="81" t="s">
        <v>5696</v>
      </c>
      <c r="T2159" s="81"/>
      <c r="U2159" s="81"/>
      <c r="V2159" s="84" t="str">
        <f>HYPERLINK("https://pbs.twimg.com/profile_images/1442268002653704194/YVzvfEte_normal.jpg")</f>
        <v>https://pbs.twimg.com/profile_images/1442268002653704194/YVzvfEte_normal.jpg</v>
      </c>
      <c r="W2159" s="83">
        <v>44463.601944444446</v>
      </c>
      <c r="X2159" s="89">
        <v>44463</v>
      </c>
      <c r="Y2159" s="86" t="s">
        <v>6651</v>
      </c>
      <c r="Z2159" s="84" t="str">
        <f>HYPERLINK("https://twitter.com/solcaetanocost1/status/1441408783792619522")</f>
        <v>https://twitter.com/solcaetanocost1/status/1441408783792619522</v>
      </c>
      <c r="AA2159" s="81"/>
      <c r="AB2159" s="81"/>
      <c r="AC2159" s="86" t="s">
        <v>7576</v>
      </c>
      <c r="AD2159" s="81"/>
      <c r="AE2159" s="81" t="b">
        <v>0</v>
      </c>
      <c r="AF2159" s="81">
        <v>0</v>
      </c>
      <c r="AG2159" s="86" t="s">
        <v>2084</v>
      </c>
      <c r="AH2159" s="81" t="b">
        <v>0</v>
      </c>
      <c r="AI2159" s="81" t="s">
        <v>2171</v>
      </c>
      <c r="AJ2159" s="81"/>
      <c r="AK2159" s="86" t="s">
        <v>2084</v>
      </c>
      <c r="AL2159" s="81" t="b">
        <v>0</v>
      </c>
      <c r="AM2159" s="81">
        <v>4</v>
      </c>
      <c r="AN2159" s="86" t="s">
        <v>7580</v>
      </c>
      <c r="AO2159" s="86" t="s">
        <v>2178</v>
      </c>
      <c r="AP2159" s="81" t="b">
        <v>0</v>
      </c>
      <c r="AQ2159" s="86" t="s">
        <v>7580</v>
      </c>
      <c r="AR2159" s="81" t="s">
        <v>179</v>
      </c>
      <c r="AS2159" s="81">
        <v>0</v>
      </c>
      <c r="AT2159" s="81">
        <v>0</v>
      </c>
      <c r="AU2159" s="81"/>
      <c r="AV2159" s="81"/>
      <c r="AW2159" s="81"/>
      <c r="AX2159" s="81"/>
      <c r="AY2159" s="81"/>
      <c r="AZ2159" s="81"/>
      <c r="BA2159" s="81"/>
      <c r="BB2159" s="81"/>
    </row>
    <row r="2160" spans="1:54" x14ac:dyDescent="0.35">
      <c r="A2160" s="66" t="s">
        <v>4964</v>
      </c>
      <c r="B2160" s="66" t="s">
        <v>5253</v>
      </c>
      <c r="C2160" s="67"/>
      <c r="D2160" s="68"/>
      <c r="E2160" s="69"/>
      <c r="F2160" s="70"/>
      <c r="G2160" s="67"/>
      <c r="H2160" s="71"/>
      <c r="I2160" s="72"/>
      <c r="J2160" s="72"/>
      <c r="K2160" s="36"/>
      <c r="L2160" s="79"/>
      <c r="M2160" s="79"/>
      <c r="N2160" s="74"/>
      <c r="O2160" s="81" t="s">
        <v>694</v>
      </c>
      <c r="P2160" s="83">
        <v>44463.601944444446</v>
      </c>
      <c r="Q2160" s="81" t="s">
        <v>5654</v>
      </c>
      <c r="R2160" s="84" t="str">
        <f>HYPERLINK("https://auditoriacidada.org.br/")</f>
        <v>https://auditoriacidada.org.br/</v>
      </c>
      <c r="S2160" s="81" t="s">
        <v>5696</v>
      </c>
      <c r="T2160" s="81"/>
      <c r="U2160" s="81"/>
      <c r="V2160" s="84" t="str">
        <f>HYPERLINK("https://pbs.twimg.com/profile_images/1442268002653704194/YVzvfEte_normal.jpg")</f>
        <v>https://pbs.twimg.com/profile_images/1442268002653704194/YVzvfEte_normal.jpg</v>
      </c>
      <c r="W2160" s="83">
        <v>44463.601944444446</v>
      </c>
      <c r="X2160" s="89">
        <v>44463</v>
      </c>
      <c r="Y2160" s="86" t="s">
        <v>6651</v>
      </c>
      <c r="Z2160" s="84" t="str">
        <f>HYPERLINK("https://twitter.com/solcaetanocost1/status/1441408783792619522")</f>
        <v>https://twitter.com/solcaetanocost1/status/1441408783792619522</v>
      </c>
      <c r="AA2160" s="81"/>
      <c r="AB2160" s="81"/>
      <c r="AC2160" s="86" t="s">
        <v>7576</v>
      </c>
      <c r="AD2160" s="81"/>
      <c r="AE2160" s="81" t="b">
        <v>0</v>
      </c>
      <c r="AF2160" s="81">
        <v>0</v>
      </c>
      <c r="AG2160" s="86" t="s">
        <v>2084</v>
      </c>
      <c r="AH2160" s="81" t="b">
        <v>0</v>
      </c>
      <c r="AI2160" s="81" t="s">
        <v>2171</v>
      </c>
      <c r="AJ2160" s="81"/>
      <c r="AK2160" s="86" t="s">
        <v>2084</v>
      </c>
      <c r="AL2160" s="81" t="b">
        <v>0</v>
      </c>
      <c r="AM2160" s="81">
        <v>4</v>
      </c>
      <c r="AN2160" s="86" t="s">
        <v>7580</v>
      </c>
      <c r="AO2160" s="86" t="s">
        <v>2178</v>
      </c>
      <c r="AP2160" s="81" t="b">
        <v>0</v>
      </c>
      <c r="AQ2160" s="86" t="s">
        <v>7580</v>
      </c>
      <c r="AR2160" s="81" t="s">
        <v>179</v>
      </c>
      <c r="AS2160" s="81">
        <v>0</v>
      </c>
      <c r="AT2160" s="81">
        <v>0</v>
      </c>
      <c r="AU2160" s="81"/>
      <c r="AV2160" s="81"/>
      <c r="AW2160" s="81"/>
      <c r="AX2160" s="81"/>
      <c r="AY2160" s="81"/>
      <c r="AZ2160" s="81"/>
      <c r="BA2160" s="81"/>
      <c r="BB2160" s="81"/>
    </row>
    <row r="2161" spans="1:54" x14ac:dyDescent="0.35">
      <c r="A2161" s="66" t="s">
        <v>4964</v>
      </c>
      <c r="B2161" s="66" t="s">
        <v>5254</v>
      </c>
      <c r="C2161" s="67"/>
      <c r="D2161" s="68"/>
      <c r="E2161" s="69"/>
      <c r="F2161" s="70"/>
      <c r="G2161" s="67"/>
      <c r="H2161" s="71"/>
      <c r="I2161" s="72"/>
      <c r="J2161" s="72"/>
      <c r="K2161" s="36"/>
      <c r="L2161" s="79"/>
      <c r="M2161" s="79"/>
      <c r="N2161" s="74"/>
      <c r="O2161" s="81" t="s">
        <v>694</v>
      </c>
      <c r="P2161" s="83">
        <v>44463.601944444446</v>
      </c>
      <c r="Q2161" s="81" t="s">
        <v>5654</v>
      </c>
      <c r="R2161" s="84" t="str">
        <f>HYPERLINK("https://auditoriacidada.org.br/")</f>
        <v>https://auditoriacidada.org.br/</v>
      </c>
      <c r="S2161" s="81" t="s">
        <v>5696</v>
      </c>
      <c r="T2161" s="81"/>
      <c r="U2161" s="81"/>
      <c r="V2161" s="84" t="str">
        <f>HYPERLINK("https://pbs.twimg.com/profile_images/1442268002653704194/YVzvfEte_normal.jpg")</f>
        <v>https://pbs.twimg.com/profile_images/1442268002653704194/YVzvfEte_normal.jpg</v>
      </c>
      <c r="W2161" s="83">
        <v>44463.601944444446</v>
      </c>
      <c r="X2161" s="89">
        <v>44463</v>
      </c>
      <c r="Y2161" s="86" t="s">
        <v>6651</v>
      </c>
      <c r="Z2161" s="84" t="str">
        <f>HYPERLINK("https://twitter.com/solcaetanocost1/status/1441408783792619522")</f>
        <v>https://twitter.com/solcaetanocost1/status/1441408783792619522</v>
      </c>
      <c r="AA2161" s="81"/>
      <c r="AB2161" s="81"/>
      <c r="AC2161" s="86" t="s">
        <v>7576</v>
      </c>
      <c r="AD2161" s="81"/>
      <c r="AE2161" s="81" t="b">
        <v>0</v>
      </c>
      <c r="AF2161" s="81">
        <v>0</v>
      </c>
      <c r="AG2161" s="86" t="s">
        <v>2084</v>
      </c>
      <c r="AH2161" s="81" t="b">
        <v>0</v>
      </c>
      <c r="AI2161" s="81" t="s">
        <v>2171</v>
      </c>
      <c r="AJ2161" s="81"/>
      <c r="AK2161" s="86" t="s">
        <v>2084</v>
      </c>
      <c r="AL2161" s="81" t="b">
        <v>0</v>
      </c>
      <c r="AM2161" s="81">
        <v>4</v>
      </c>
      <c r="AN2161" s="86" t="s">
        <v>7580</v>
      </c>
      <c r="AO2161" s="86" t="s">
        <v>2178</v>
      </c>
      <c r="AP2161" s="81" t="b">
        <v>0</v>
      </c>
      <c r="AQ2161" s="86" t="s">
        <v>7580</v>
      </c>
      <c r="AR2161" s="81" t="s">
        <v>179</v>
      </c>
      <c r="AS2161" s="81">
        <v>0</v>
      </c>
      <c r="AT2161" s="81">
        <v>0</v>
      </c>
      <c r="AU2161" s="81"/>
      <c r="AV2161" s="81"/>
      <c r="AW2161" s="81"/>
      <c r="AX2161" s="81"/>
      <c r="AY2161" s="81"/>
      <c r="AZ2161" s="81"/>
      <c r="BA2161" s="81"/>
      <c r="BB2161" s="81"/>
    </row>
    <row r="2162" spans="1:54" x14ac:dyDescent="0.35">
      <c r="A2162" s="66" t="s">
        <v>4964</v>
      </c>
      <c r="B2162" s="66" t="s">
        <v>5255</v>
      </c>
      <c r="C2162" s="67"/>
      <c r="D2162" s="68"/>
      <c r="E2162" s="69"/>
      <c r="F2162" s="70"/>
      <c r="G2162" s="67"/>
      <c r="H2162" s="71"/>
      <c r="I2162" s="72"/>
      <c r="J2162" s="72"/>
      <c r="K2162" s="36"/>
      <c r="L2162" s="79"/>
      <c r="M2162" s="79"/>
      <c r="N2162" s="74"/>
      <c r="O2162" s="81" t="s">
        <v>694</v>
      </c>
      <c r="P2162" s="83">
        <v>44463.601944444446</v>
      </c>
      <c r="Q2162" s="81" t="s">
        <v>5654</v>
      </c>
      <c r="R2162" s="84" t="str">
        <f>HYPERLINK("https://auditoriacidada.org.br/")</f>
        <v>https://auditoriacidada.org.br/</v>
      </c>
      <c r="S2162" s="81" t="s">
        <v>5696</v>
      </c>
      <c r="T2162" s="81"/>
      <c r="U2162" s="81"/>
      <c r="V2162" s="84" t="str">
        <f>HYPERLINK("https://pbs.twimg.com/profile_images/1442268002653704194/YVzvfEte_normal.jpg")</f>
        <v>https://pbs.twimg.com/profile_images/1442268002653704194/YVzvfEte_normal.jpg</v>
      </c>
      <c r="W2162" s="83">
        <v>44463.601944444446</v>
      </c>
      <c r="X2162" s="89">
        <v>44463</v>
      </c>
      <c r="Y2162" s="86" t="s">
        <v>6651</v>
      </c>
      <c r="Z2162" s="84" t="str">
        <f>HYPERLINK("https://twitter.com/solcaetanocost1/status/1441408783792619522")</f>
        <v>https://twitter.com/solcaetanocost1/status/1441408783792619522</v>
      </c>
      <c r="AA2162" s="81"/>
      <c r="AB2162" s="81"/>
      <c r="AC2162" s="86" t="s">
        <v>7576</v>
      </c>
      <c r="AD2162" s="81"/>
      <c r="AE2162" s="81" t="b">
        <v>0</v>
      </c>
      <c r="AF2162" s="81">
        <v>0</v>
      </c>
      <c r="AG2162" s="86" t="s">
        <v>2084</v>
      </c>
      <c r="AH2162" s="81" t="b">
        <v>0</v>
      </c>
      <c r="AI2162" s="81" t="s">
        <v>2171</v>
      </c>
      <c r="AJ2162" s="81"/>
      <c r="AK2162" s="86" t="s">
        <v>2084</v>
      </c>
      <c r="AL2162" s="81" t="b">
        <v>0</v>
      </c>
      <c r="AM2162" s="81">
        <v>4</v>
      </c>
      <c r="AN2162" s="86" t="s">
        <v>7580</v>
      </c>
      <c r="AO2162" s="86" t="s">
        <v>2178</v>
      </c>
      <c r="AP2162" s="81" t="b">
        <v>0</v>
      </c>
      <c r="AQ2162" s="86" t="s">
        <v>7580</v>
      </c>
      <c r="AR2162" s="81" t="s">
        <v>179</v>
      </c>
      <c r="AS2162" s="81">
        <v>0</v>
      </c>
      <c r="AT2162" s="81">
        <v>0</v>
      </c>
      <c r="AU2162" s="81"/>
      <c r="AV2162" s="81"/>
      <c r="AW2162" s="81"/>
      <c r="AX2162" s="81"/>
      <c r="AY2162" s="81"/>
      <c r="AZ2162" s="81"/>
      <c r="BA2162" s="81"/>
      <c r="BB2162" s="81"/>
    </row>
    <row r="2163" spans="1:54" x14ac:dyDescent="0.35">
      <c r="A2163" s="66" t="s">
        <v>4964</v>
      </c>
      <c r="B2163" s="66" t="s">
        <v>5256</v>
      </c>
      <c r="C2163" s="67"/>
      <c r="D2163" s="68"/>
      <c r="E2163" s="69"/>
      <c r="F2163" s="70"/>
      <c r="G2163" s="67"/>
      <c r="H2163" s="71"/>
      <c r="I2163" s="72"/>
      <c r="J2163" s="72"/>
      <c r="K2163" s="36"/>
      <c r="L2163" s="79"/>
      <c r="M2163" s="79"/>
      <c r="N2163" s="74"/>
      <c r="O2163" s="81" t="s">
        <v>694</v>
      </c>
      <c r="P2163" s="83">
        <v>44463.601944444446</v>
      </c>
      <c r="Q2163" s="81" t="s">
        <v>5654</v>
      </c>
      <c r="R2163" s="84" t="str">
        <f>HYPERLINK("https://auditoriacidada.org.br/")</f>
        <v>https://auditoriacidada.org.br/</v>
      </c>
      <c r="S2163" s="81" t="s">
        <v>5696</v>
      </c>
      <c r="T2163" s="81"/>
      <c r="U2163" s="81"/>
      <c r="V2163" s="84" t="str">
        <f>HYPERLINK("https://pbs.twimg.com/profile_images/1442268002653704194/YVzvfEte_normal.jpg")</f>
        <v>https://pbs.twimg.com/profile_images/1442268002653704194/YVzvfEte_normal.jpg</v>
      </c>
      <c r="W2163" s="83">
        <v>44463.601944444446</v>
      </c>
      <c r="X2163" s="89">
        <v>44463</v>
      </c>
      <c r="Y2163" s="86" t="s">
        <v>6651</v>
      </c>
      <c r="Z2163" s="84" t="str">
        <f>HYPERLINK("https://twitter.com/solcaetanocost1/status/1441408783792619522")</f>
        <v>https://twitter.com/solcaetanocost1/status/1441408783792619522</v>
      </c>
      <c r="AA2163" s="81"/>
      <c r="AB2163" s="81"/>
      <c r="AC2163" s="86" t="s">
        <v>7576</v>
      </c>
      <c r="AD2163" s="81"/>
      <c r="AE2163" s="81" t="b">
        <v>0</v>
      </c>
      <c r="AF2163" s="81">
        <v>0</v>
      </c>
      <c r="AG2163" s="86" t="s">
        <v>2084</v>
      </c>
      <c r="AH2163" s="81" t="b">
        <v>0</v>
      </c>
      <c r="AI2163" s="81" t="s">
        <v>2171</v>
      </c>
      <c r="AJ2163" s="81"/>
      <c r="AK2163" s="86" t="s">
        <v>2084</v>
      </c>
      <c r="AL2163" s="81" t="b">
        <v>0</v>
      </c>
      <c r="AM2163" s="81">
        <v>4</v>
      </c>
      <c r="AN2163" s="86" t="s">
        <v>7580</v>
      </c>
      <c r="AO2163" s="86" t="s">
        <v>2178</v>
      </c>
      <c r="AP2163" s="81" t="b">
        <v>0</v>
      </c>
      <c r="AQ2163" s="86" t="s">
        <v>7580</v>
      </c>
      <c r="AR2163" s="81" t="s">
        <v>179</v>
      </c>
      <c r="AS2163" s="81">
        <v>0</v>
      </c>
      <c r="AT2163" s="81">
        <v>0</v>
      </c>
      <c r="AU2163" s="81"/>
      <c r="AV2163" s="81"/>
      <c r="AW2163" s="81"/>
      <c r="AX2163" s="81"/>
      <c r="AY2163" s="81"/>
      <c r="AZ2163" s="81"/>
      <c r="BA2163" s="81"/>
      <c r="BB2163" s="81"/>
    </row>
    <row r="2164" spans="1:54" x14ac:dyDescent="0.35">
      <c r="A2164" s="66" t="s">
        <v>4964</v>
      </c>
      <c r="B2164" s="66" t="s">
        <v>5257</v>
      </c>
      <c r="C2164" s="67"/>
      <c r="D2164" s="68"/>
      <c r="E2164" s="69"/>
      <c r="F2164" s="70"/>
      <c r="G2164" s="67"/>
      <c r="H2164" s="71"/>
      <c r="I2164" s="72"/>
      <c r="J2164" s="72"/>
      <c r="K2164" s="36"/>
      <c r="L2164" s="79"/>
      <c r="M2164" s="79"/>
      <c r="N2164" s="74"/>
      <c r="O2164" s="81" t="s">
        <v>694</v>
      </c>
      <c r="P2164" s="83">
        <v>44463.601944444446</v>
      </c>
      <c r="Q2164" s="81" t="s">
        <v>5654</v>
      </c>
      <c r="R2164" s="84" t="str">
        <f>HYPERLINK("https://auditoriacidada.org.br/")</f>
        <v>https://auditoriacidada.org.br/</v>
      </c>
      <c r="S2164" s="81" t="s">
        <v>5696</v>
      </c>
      <c r="T2164" s="81"/>
      <c r="U2164" s="81"/>
      <c r="V2164" s="84" t="str">
        <f>HYPERLINK("https://pbs.twimg.com/profile_images/1442268002653704194/YVzvfEte_normal.jpg")</f>
        <v>https://pbs.twimg.com/profile_images/1442268002653704194/YVzvfEte_normal.jpg</v>
      </c>
      <c r="W2164" s="83">
        <v>44463.601944444446</v>
      </c>
      <c r="X2164" s="89">
        <v>44463</v>
      </c>
      <c r="Y2164" s="86" t="s">
        <v>6651</v>
      </c>
      <c r="Z2164" s="84" t="str">
        <f>HYPERLINK("https://twitter.com/solcaetanocost1/status/1441408783792619522")</f>
        <v>https://twitter.com/solcaetanocost1/status/1441408783792619522</v>
      </c>
      <c r="AA2164" s="81"/>
      <c r="AB2164" s="81"/>
      <c r="AC2164" s="86" t="s">
        <v>7576</v>
      </c>
      <c r="AD2164" s="81"/>
      <c r="AE2164" s="81" t="b">
        <v>0</v>
      </c>
      <c r="AF2164" s="81">
        <v>0</v>
      </c>
      <c r="AG2164" s="86" t="s">
        <v>2084</v>
      </c>
      <c r="AH2164" s="81" t="b">
        <v>0</v>
      </c>
      <c r="AI2164" s="81" t="s">
        <v>2171</v>
      </c>
      <c r="AJ2164" s="81"/>
      <c r="AK2164" s="86" t="s">
        <v>2084</v>
      </c>
      <c r="AL2164" s="81" t="b">
        <v>0</v>
      </c>
      <c r="AM2164" s="81">
        <v>4</v>
      </c>
      <c r="AN2164" s="86" t="s">
        <v>7580</v>
      </c>
      <c r="AO2164" s="86" t="s">
        <v>2178</v>
      </c>
      <c r="AP2164" s="81" t="b">
        <v>0</v>
      </c>
      <c r="AQ2164" s="86" t="s">
        <v>7580</v>
      </c>
      <c r="AR2164" s="81" t="s">
        <v>179</v>
      </c>
      <c r="AS2164" s="81">
        <v>0</v>
      </c>
      <c r="AT2164" s="81">
        <v>0</v>
      </c>
      <c r="AU2164" s="81"/>
      <c r="AV2164" s="81"/>
      <c r="AW2164" s="81"/>
      <c r="AX2164" s="81"/>
      <c r="AY2164" s="81"/>
      <c r="AZ2164" s="81"/>
      <c r="BA2164" s="81"/>
      <c r="BB2164" s="81"/>
    </row>
    <row r="2165" spans="1:54" x14ac:dyDescent="0.35">
      <c r="A2165" s="66" t="s">
        <v>4964</v>
      </c>
      <c r="B2165" s="66" t="s">
        <v>5258</v>
      </c>
      <c r="C2165" s="67"/>
      <c r="D2165" s="68"/>
      <c r="E2165" s="69"/>
      <c r="F2165" s="70"/>
      <c r="G2165" s="67"/>
      <c r="H2165" s="71"/>
      <c r="I2165" s="72"/>
      <c r="J2165" s="72"/>
      <c r="K2165" s="36"/>
      <c r="L2165" s="79"/>
      <c r="M2165" s="79"/>
      <c r="N2165" s="74"/>
      <c r="O2165" s="81" t="s">
        <v>694</v>
      </c>
      <c r="P2165" s="83">
        <v>44463.601944444446</v>
      </c>
      <c r="Q2165" s="81" t="s">
        <v>5654</v>
      </c>
      <c r="R2165" s="84" t="str">
        <f>HYPERLINK("https://auditoriacidada.org.br/")</f>
        <v>https://auditoriacidada.org.br/</v>
      </c>
      <c r="S2165" s="81" t="s">
        <v>5696</v>
      </c>
      <c r="T2165" s="81"/>
      <c r="U2165" s="81"/>
      <c r="V2165" s="84" t="str">
        <f>HYPERLINK("https://pbs.twimg.com/profile_images/1442268002653704194/YVzvfEte_normal.jpg")</f>
        <v>https://pbs.twimg.com/profile_images/1442268002653704194/YVzvfEte_normal.jpg</v>
      </c>
      <c r="W2165" s="83">
        <v>44463.601944444446</v>
      </c>
      <c r="X2165" s="89">
        <v>44463</v>
      </c>
      <c r="Y2165" s="86" t="s">
        <v>6651</v>
      </c>
      <c r="Z2165" s="84" t="str">
        <f>HYPERLINK("https://twitter.com/solcaetanocost1/status/1441408783792619522")</f>
        <v>https://twitter.com/solcaetanocost1/status/1441408783792619522</v>
      </c>
      <c r="AA2165" s="81"/>
      <c r="AB2165" s="81"/>
      <c r="AC2165" s="86" t="s">
        <v>7576</v>
      </c>
      <c r="AD2165" s="81"/>
      <c r="AE2165" s="81" t="b">
        <v>0</v>
      </c>
      <c r="AF2165" s="81">
        <v>0</v>
      </c>
      <c r="AG2165" s="86" t="s">
        <v>2084</v>
      </c>
      <c r="AH2165" s="81" t="b">
        <v>0</v>
      </c>
      <c r="AI2165" s="81" t="s">
        <v>2171</v>
      </c>
      <c r="AJ2165" s="81"/>
      <c r="AK2165" s="86" t="s">
        <v>2084</v>
      </c>
      <c r="AL2165" s="81" t="b">
        <v>0</v>
      </c>
      <c r="AM2165" s="81">
        <v>4</v>
      </c>
      <c r="AN2165" s="86" t="s">
        <v>7580</v>
      </c>
      <c r="AO2165" s="86" t="s">
        <v>2178</v>
      </c>
      <c r="AP2165" s="81" t="b">
        <v>0</v>
      </c>
      <c r="AQ2165" s="86" t="s">
        <v>7580</v>
      </c>
      <c r="AR2165" s="81" t="s">
        <v>179</v>
      </c>
      <c r="AS2165" s="81">
        <v>0</v>
      </c>
      <c r="AT2165" s="81">
        <v>0</v>
      </c>
      <c r="AU2165" s="81"/>
      <c r="AV2165" s="81"/>
      <c r="AW2165" s="81"/>
      <c r="AX2165" s="81"/>
      <c r="AY2165" s="81"/>
      <c r="AZ2165" s="81"/>
      <c r="BA2165" s="81"/>
      <c r="BB2165" s="81"/>
    </row>
    <row r="2166" spans="1:54" x14ac:dyDescent="0.35">
      <c r="A2166" s="66" t="s">
        <v>4964</v>
      </c>
      <c r="B2166" s="66" t="s">
        <v>5259</v>
      </c>
      <c r="C2166" s="67"/>
      <c r="D2166" s="68"/>
      <c r="E2166" s="69"/>
      <c r="F2166" s="70"/>
      <c r="G2166" s="67"/>
      <c r="H2166" s="71"/>
      <c r="I2166" s="72"/>
      <c r="J2166" s="72"/>
      <c r="K2166" s="36"/>
      <c r="L2166" s="79"/>
      <c r="M2166" s="79"/>
      <c r="N2166" s="74"/>
      <c r="O2166" s="81" t="s">
        <v>694</v>
      </c>
      <c r="P2166" s="83">
        <v>44463.601944444446</v>
      </c>
      <c r="Q2166" s="81" t="s">
        <v>5654</v>
      </c>
      <c r="R2166" s="84" t="str">
        <f>HYPERLINK("https://auditoriacidada.org.br/")</f>
        <v>https://auditoriacidada.org.br/</v>
      </c>
      <c r="S2166" s="81" t="s">
        <v>5696</v>
      </c>
      <c r="T2166" s="81"/>
      <c r="U2166" s="81"/>
      <c r="V2166" s="84" t="str">
        <f>HYPERLINK("https://pbs.twimg.com/profile_images/1442268002653704194/YVzvfEte_normal.jpg")</f>
        <v>https://pbs.twimg.com/profile_images/1442268002653704194/YVzvfEte_normal.jpg</v>
      </c>
      <c r="W2166" s="83">
        <v>44463.601944444446</v>
      </c>
      <c r="X2166" s="89">
        <v>44463</v>
      </c>
      <c r="Y2166" s="86" t="s">
        <v>6651</v>
      </c>
      <c r="Z2166" s="84" t="str">
        <f>HYPERLINK("https://twitter.com/solcaetanocost1/status/1441408783792619522")</f>
        <v>https://twitter.com/solcaetanocost1/status/1441408783792619522</v>
      </c>
      <c r="AA2166" s="81"/>
      <c r="AB2166" s="81"/>
      <c r="AC2166" s="86" t="s">
        <v>7576</v>
      </c>
      <c r="AD2166" s="81"/>
      <c r="AE2166" s="81" t="b">
        <v>0</v>
      </c>
      <c r="AF2166" s="81">
        <v>0</v>
      </c>
      <c r="AG2166" s="86" t="s">
        <v>2084</v>
      </c>
      <c r="AH2166" s="81" t="b">
        <v>0</v>
      </c>
      <c r="AI2166" s="81" t="s">
        <v>2171</v>
      </c>
      <c r="AJ2166" s="81"/>
      <c r="AK2166" s="86" t="s">
        <v>2084</v>
      </c>
      <c r="AL2166" s="81" t="b">
        <v>0</v>
      </c>
      <c r="AM2166" s="81">
        <v>4</v>
      </c>
      <c r="AN2166" s="86" t="s">
        <v>7580</v>
      </c>
      <c r="AO2166" s="86" t="s">
        <v>2178</v>
      </c>
      <c r="AP2166" s="81" t="b">
        <v>0</v>
      </c>
      <c r="AQ2166" s="86" t="s">
        <v>7580</v>
      </c>
      <c r="AR2166" s="81" t="s">
        <v>179</v>
      </c>
      <c r="AS2166" s="81">
        <v>0</v>
      </c>
      <c r="AT2166" s="81">
        <v>0</v>
      </c>
      <c r="AU2166" s="81"/>
      <c r="AV2166" s="81"/>
      <c r="AW2166" s="81"/>
      <c r="AX2166" s="81"/>
      <c r="AY2166" s="81"/>
      <c r="AZ2166" s="81"/>
      <c r="BA2166" s="81"/>
      <c r="BB2166" s="81"/>
    </row>
    <row r="2167" spans="1:54" x14ac:dyDescent="0.35">
      <c r="A2167" s="66" t="s">
        <v>4964</v>
      </c>
      <c r="B2167" s="66" t="s">
        <v>5260</v>
      </c>
      <c r="C2167" s="67"/>
      <c r="D2167" s="68"/>
      <c r="E2167" s="69"/>
      <c r="F2167" s="70"/>
      <c r="G2167" s="67"/>
      <c r="H2167" s="71"/>
      <c r="I2167" s="72"/>
      <c r="J2167" s="72"/>
      <c r="K2167" s="36"/>
      <c r="L2167" s="79"/>
      <c r="M2167" s="79"/>
      <c r="N2167" s="74"/>
      <c r="O2167" s="81" t="s">
        <v>694</v>
      </c>
      <c r="P2167" s="83">
        <v>44463.601944444446</v>
      </c>
      <c r="Q2167" s="81" t="s">
        <v>5654</v>
      </c>
      <c r="R2167" s="84" t="str">
        <f>HYPERLINK("https://auditoriacidada.org.br/")</f>
        <v>https://auditoriacidada.org.br/</v>
      </c>
      <c r="S2167" s="81" t="s">
        <v>5696</v>
      </c>
      <c r="T2167" s="81"/>
      <c r="U2167" s="81"/>
      <c r="V2167" s="84" t="str">
        <f>HYPERLINK("https://pbs.twimg.com/profile_images/1442268002653704194/YVzvfEte_normal.jpg")</f>
        <v>https://pbs.twimg.com/profile_images/1442268002653704194/YVzvfEte_normal.jpg</v>
      </c>
      <c r="W2167" s="83">
        <v>44463.601944444446</v>
      </c>
      <c r="X2167" s="89">
        <v>44463</v>
      </c>
      <c r="Y2167" s="86" t="s">
        <v>6651</v>
      </c>
      <c r="Z2167" s="84" t="str">
        <f>HYPERLINK("https://twitter.com/solcaetanocost1/status/1441408783792619522")</f>
        <v>https://twitter.com/solcaetanocost1/status/1441408783792619522</v>
      </c>
      <c r="AA2167" s="81"/>
      <c r="AB2167" s="81"/>
      <c r="AC2167" s="86" t="s">
        <v>7576</v>
      </c>
      <c r="AD2167" s="81"/>
      <c r="AE2167" s="81" t="b">
        <v>0</v>
      </c>
      <c r="AF2167" s="81">
        <v>0</v>
      </c>
      <c r="AG2167" s="86" t="s">
        <v>2084</v>
      </c>
      <c r="AH2167" s="81" t="b">
        <v>0</v>
      </c>
      <c r="AI2167" s="81" t="s">
        <v>2171</v>
      </c>
      <c r="AJ2167" s="81"/>
      <c r="AK2167" s="86" t="s">
        <v>2084</v>
      </c>
      <c r="AL2167" s="81" t="b">
        <v>0</v>
      </c>
      <c r="AM2167" s="81">
        <v>4</v>
      </c>
      <c r="AN2167" s="86" t="s">
        <v>7580</v>
      </c>
      <c r="AO2167" s="86" t="s">
        <v>2178</v>
      </c>
      <c r="AP2167" s="81" t="b">
        <v>0</v>
      </c>
      <c r="AQ2167" s="86" t="s">
        <v>7580</v>
      </c>
      <c r="AR2167" s="81" t="s">
        <v>179</v>
      </c>
      <c r="AS2167" s="81">
        <v>0</v>
      </c>
      <c r="AT2167" s="81">
        <v>0</v>
      </c>
      <c r="AU2167" s="81"/>
      <c r="AV2167" s="81"/>
      <c r="AW2167" s="81"/>
      <c r="AX2167" s="81"/>
      <c r="AY2167" s="81"/>
      <c r="AZ2167" s="81"/>
      <c r="BA2167" s="81"/>
      <c r="BB2167" s="81"/>
    </row>
    <row r="2168" spans="1:54" x14ac:dyDescent="0.35">
      <c r="A2168" s="66" t="s">
        <v>4964</v>
      </c>
      <c r="B2168" s="66" t="s">
        <v>5261</v>
      </c>
      <c r="C2168" s="67"/>
      <c r="D2168" s="68"/>
      <c r="E2168" s="69"/>
      <c r="F2168" s="70"/>
      <c r="G2168" s="67"/>
      <c r="H2168" s="71"/>
      <c r="I2168" s="72"/>
      <c r="J2168" s="72"/>
      <c r="K2168" s="36"/>
      <c r="L2168" s="79"/>
      <c r="M2168" s="79"/>
      <c r="N2168" s="74"/>
      <c r="O2168" s="81" t="s">
        <v>694</v>
      </c>
      <c r="P2168" s="83">
        <v>44463.601944444446</v>
      </c>
      <c r="Q2168" s="81" t="s">
        <v>5654</v>
      </c>
      <c r="R2168" s="84" t="str">
        <f>HYPERLINK("https://auditoriacidada.org.br/")</f>
        <v>https://auditoriacidada.org.br/</v>
      </c>
      <c r="S2168" s="81" t="s">
        <v>5696</v>
      </c>
      <c r="T2168" s="81"/>
      <c r="U2168" s="81"/>
      <c r="V2168" s="84" t="str">
        <f>HYPERLINK("https://pbs.twimg.com/profile_images/1442268002653704194/YVzvfEte_normal.jpg")</f>
        <v>https://pbs.twimg.com/profile_images/1442268002653704194/YVzvfEte_normal.jpg</v>
      </c>
      <c r="W2168" s="83">
        <v>44463.601944444446</v>
      </c>
      <c r="X2168" s="89">
        <v>44463</v>
      </c>
      <c r="Y2168" s="86" t="s">
        <v>6651</v>
      </c>
      <c r="Z2168" s="84" t="str">
        <f>HYPERLINK("https://twitter.com/solcaetanocost1/status/1441408783792619522")</f>
        <v>https://twitter.com/solcaetanocost1/status/1441408783792619522</v>
      </c>
      <c r="AA2168" s="81"/>
      <c r="AB2168" s="81"/>
      <c r="AC2168" s="86" t="s">
        <v>7576</v>
      </c>
      <c r="AD2168" s="81"/>
      <c r="AE2168" s="81" t="b">
        <v>0</v>
      </c>
      <c r="AF2168" s="81">
        <v>0</v>
      </c>
      <c r="AG2168" s="86" t="s">
        <v>2084</v>
      </c>
      <c r="AH2168" s="81" t="b">
        <v>0</v>
      </c>
      <c r="AI2168" s="81" t="s">
        <v>2171</v>
      </c>
      <c r="AJ2168" s="81"/>
      <c r="AK2168" s="86" t="s">
        <v>2084</v>
      </c>
      <c r="AL2168" s="81" t="b">
        <v>0</v>
      </c>
      <c r="AM2168" s="81">
        <v>4</v>
      </c>
      <c r="AN2168" s="86" t="s">
        <v>7580</v>
      </c>
      <c r="AO2168" s="86" t="s">
        <v>2178</v>
      </c>
      <c r="AP2168" s="81" t="b">
        <v>0</v>
      </c>
      <c r="AQ2168" s="86" t="s">
        <v>7580</v>
      </c>
      <c r="AR2168" s="81" t="s">
        <v>179</v>
      </c>
      <c r="AS2168" s="81">
        <v>0</v>
      </c>
      <c r="AT2168" s="81">
        <v>0</v>
      </c>
      <c r="AU2168" s="81"/>
      <c r="AV2168" s="81"/>
      <c r="AW2168" s="81"/>
      <c r="AX2168" s="81"/>
      <c r="AY2168" s="81"/>
      <c r="AZ2168" s="81"/>
      <c r="BA2168" s="81"/>
      <c r="BB2168" s="81"/>
    </row>
    <row r="2169" spans="1:54" x14ac:dyDescent="0.35">
      <c r="A2169" s="66" t="s">
        <v>4964</v>
      </c>
      <c r="B2169" s="66" t="s">
        <v>5262</v>
      </c>
      <c r="C2169" s="67"/>
      <c r="D2169" s="68"/>
      <c r="E2169" s="69"/>
      <c r="F2169" s="70"/>
      <c r="G2169" s="67"/>
      <c r="H2169" s="71"/>
      <c r="I2169" s="72"/>
      <c r="J2169" s="72"/>
      <c r="K2169" s="36"/>
      <c r="L2169" s="79"/>
      <c r="M2169" s="79"/>
      <c r="N2169" s="74"/>
      <c r="O2169" s="81" t="s">
        <v>694</v>
      </c>
      <c r="P2169" s="83">
        <v>44463.601944444446</v>
      </c>
      <c r="Q2169" s="81" t="s">
        <v>5654</v>
      </c>
      <c r="R2169" s="84" t="str">
        <f>HYPERLINK("https://auditoriacidada.org.br/")</f>
        <v>https://auditoriacidada.org.br/</v>
      </c>
      <c r="S2169" s="81" t="s">
        <v>5696</v>
      </c>
      <c r="T2169" s="81"/>
      <c r="U2169" s="81"/>
      <c r="V2169" s="84" t="str">
        <f>HYPERLINK("https://pbs.twimg.com/profile_images/1442268002653704194/YVzvfEte_normal.jpg")</f>
        <v>https://pbs.twimg.com/profile_images/1442268002653704194/YVzvfEte_normal.jpg</v>
      </c>
      <c r="W2169" s="83">
        <v>44463.601944444446</v>
      </c>
      <c r="X2169" s="89">
        <v>44463</v>
      </c>
      <c r="Y2169" s="86" t="s">
        <v>6651</v>
      </c>
      <c r="Z2169" s="84" t="str">
        <f>HYPERLINK("https://twitter.com/solcaetanocost1/status/1441408783792619522")</f>
        <v>https://twitter.com/solcaetanocost1/status/1441408783792619522</v>
      </c>
      <c r="AA2169" s="81"/>
      <c r="AB2169" s="81"/>
      <c r="AC2169" s="86" t="s">
        <v>7576</v>
      </c>
      <c r="AD2169" s="81"/>
      <c r="AE2169" s="81" t="b">
        <v>0</v>
      </c>
      <c r="AF2169" s="81">
        <v>0</v>
      </c>
      <c r="AG2169" s="86" t="s">
        <v>2084</v>
      </c>
      <c r="AH2169" s="81" t="b">
        <v>0</v>
      </c>
      <c r="AI2169" s="81" t="s">
        <v>2171</v>
      </c>
      <c r="AJ2169" s="81"/>
      <c r="AK2169" s="86" t="s">
        <v>2084</v>
      </c>
      <c r="AL2169" s="81" t="b">
        <v>0</v>
      </c>
      <c r="AM2169" s="81">
        <v>4</v>
      </c>
      <c r="AN2169" s="86" t="s">
        <v>7580</v>
      </c>
      <c r="AO2169" s="86" t="s">
        <v>2178</v>
      </c>
      <c r="AP2169" s="81" t="b">
        <v>0</v>
      </c>
      <c r="AQ2169" s="86" t="s">
        <v>7580</v>
      </c>
      <c r="AR2169" s="81" t="s">
        <v>179</v>
      </c>
      <c r="AS2169" s="81">
        <v>0</v>
      </c>
      <c r="AT2169" s="81">
        <v>0</v>
      </c>
      <c r="AU2169" s="81"/>
      <c r="AV2169" s="81"/>
      <c r="AW2169" s="81"/>
      <c r="AX2169" s="81"/>
      <c r="AY2169" s="81"/>
      <c r="AZ2169" s="81"/>
      <c r="BA2169" s="81"/>
      <c r="BB2169" s="81"/>
    </row>
    <row r="2170" spans="1:54" x14ac:dyDescent="0.35">
      <c r="A2170" s="66" t="s">
        <v>4964</v>
      </c>
      <c r="B2170" s="66" t="s">
        <v>5263</v>
      </c>
      <c r="C2170" s="67"/>
      <c r="D2170" s="68"/>
      <c r="E2170" s="69"/>
      <c r="F2170" s="70"/>
      <c r="G2170" s="67"/>
      <c r="H2170" s="71"/>
      <c r="I2170" s="72"/>
      <c r="J2170" s="72"/>
      <c r="K2170" s="36"/>
      <c r="L2170" s="79"/>
      <c r="M2170" s="79"/>
      <c r="N2170" s="74"/>
      <c r="O2170" s="81" t="s">
        <v>694</v>
      </c>
      <c r="P2170" s="83">
        <v>44463.601944444446</v>
      </c>
      <c r="Q2170" s="81" t="s">
        <v>5654</v>
      </c>
      <c r="R2170" s="84" t="str">
        <f>HYPERLINK("https://auditoriacidada.org.br/")</f>
        <v>https://auditoriacidada.org.br/</v>
      </c>
      <c r="S2170" s="81" t="s">
        <v>5696</v>
      </c>
      <c r="T2170" s="81"/>
      <c r="U2170" s="81"/>
      <c r="V2170" s="84" t="str">
        <f>HYPERLINK("https://pbs.twimg.com/profile_images/1442268002653704194/YVzvfEte_normal.jpg")</f>
        <v>https://pbs.twimg.com/profile_images/1442268002653704194/YVzvfEte_normal.jpg</v>
      </c>
      <c r="W2170" s="83">
        <v>44463.601944444446</v>
      </c>
      <c r="X2170" s="89">
        <v>44463</v>
      </c>
      <c r="Y2170" s="86" t="s">
        <v>6651</v>
      </c>
      <c r="Z2170" s="84" t="str">
        <f>HYPERLINK("https://twitter.com/solcaetanocost1/status/1441408783792619522")</f>
        <v>https://twitter.com/solcaetanocost1/status/1441408783792619522</v>
      </c>
      <c r="AA2170" s="81"/>
      <c r="AB2170" s="81"/>
      <c r="AC2170" s="86" t="s">
        <v>7576</v>
      </c>
      <c r="AD2170" s="81"/>
      <c r="AE2170" s="81" t="b">
        <v>0</v>
      </c>
      <c r="AF2170" s="81">
        <v>0</v>
      </c>
      <c r="AG2170" s="86" t="s">
        <v>2084</v>
      </c>
      <c r="AH2170" s="81" t="b">
        <v>0</v>
      </c>
      <c r="AI2170" s="81" t="s">
        <v>2171</v>
      </c>
      <c r="AJ2170" s="81"/>
      <c r="AK2170" s="86" t="s">
        <v>2084</v>
      </c>
      <c r="AL2170" s="81" t="b">
        <v>0</v>
      </c>
      <c r="AM2170" s="81">
        <v>4</v>
      </c>
      <c r="AN2170" s="86" t="s">
        <v>7580</v>
      </c>
      <c r="AO2170" s="86" t="s">
        <v>2178</v>
      </c>
      <c r="AP2170" s="81" t="b">
        <v>0</v>
      </c>
      <c r="AQ2170" s="86" t="s">
        <v>7580</v>
      </c>
      <c r="AR2170" s="81" t="s">
        <v>179</v>
      </c>
      <c r="AS2170" s="81">
        <v>0</v>
      </c>
      <c r="AT2170" s="81">
        <v>0</v>
      </c>
      <c r="AU2170" s="81"/>
      <c r="AV2170" s="81"/>
      <c r="AW2170" s="81"/>
      <c r="AX2170" s="81"/>
      <c r="AY2170" s="81"/>
      <c r="AZ2170" s="81"/>
      <c r="BA2170" s="81"/>
      <c r="BB2170" s="81"/>
    </row>
    <row r="2171" spans="1:54" x14ac:dyDescent="0.35">
      <c r="A2171" s="66" t="s">
        <v>4964</v>
      </c>
      <c r="B2171" s="66" t="s">
        <v>4967</v>
      </c>
      <c r="C2171" s="67"/>
      <c r="D2171" s="68"/>
      <c r="E2171" s="69"/>
      <c r="F2171" s="70"/>
      <c r="G2171" s="67"/>
      <c r="H2171" s="71"/>
      <c r="I2171" s="72"/>
      <c r="J2171" s="72"/>
      <c r="K2171" s="36"/>
      <c r="L2171" s="79"/>
      <c r="M2171" s="79"/>
      <c r="N2171" s="74"/>
      <c r="O2171" s="81" t="s">
        <v>694</v>
      </c>
      <c r="P2171" s="83">
        <v>44463.601944444446</v>
      </c>
      <c r="Q2171" s="81" t="s">
        <v>5654</v>
      </c>
      <c r="R2171" s="84" t="str">
        <f>HYPERLINK("https://auditoriacidada.org.br/")</f>
        <v>https://auditoriacidada.org.br/</v>
      </c>
      <c r="S2171" s="81" t="s">
        <v>5696</v>
      </c>
      <c r="T2171" s="81"/>
      <c r="U2171" s="81"/>
      <c r="V2171" s="84" t="str">
        <f>HYPERLINK("https://pbs.twimg.com/profile_images/1442268002653704194/YVzvfEte_normal.jpg")</f>
        <v>https://pbs.twimg.com/profile_images/1442268002653704194/YVzvfEte_normal.jpg</v>
      </c>
      <c r="W2171" s="83">
        <v>44463.601944444446</v>
      </c>
      <c r="X2171" s="89">
        <v>44463</v>
      </c>
      <c r="Y2171" s="86" t="s">
        <v>6651</v>
      </c>
      <c r="Z2171" s="84" t="str">
        <f>HYPERLINK("https://twitter.com/solcaetanocost1/status/1441408783792619522")</f>
        <v>https://twitter.com/solcaetanocost1/status/1441408783792619522</v>
      </c>
      <c r="AA2171" s="81"/>
      <c r="AB2171" s="81"/>
      <c r="AC2171" s="86" t="s">
        <v>7576</v>
      </c>
      <c r="AD2171" s="81"/>
      <c r="AE2171" s="81" t="b">
        <v>0</v>
      </c>
      <c r="AF2171" s="81">
        <v>0</v>
      </c>
      <c r="AG2171" s="86" t="s">
        <v>2084</v>
      </c>
      <c r="AH2171" s="81" t="b">
        <v>0</v>
      </c>
      <c r="AI2171" s="81" t="s">
        <v>2171</v>
      </c>
      <c r="AJ2171" s="81"/>
      <c r="AK2171" s="86" t="s">
        <v>2084</v>
      </c>
      <c r="AL2171" s="81" t="b">
        <v>0</v>
      </c>
      <c r="AM2171" s="81">
        <v>4</v>
      </c>
      <c r="AN2171" s="86" t="s">
        <v>7580</v>
      </c>
      <c r="AO2171" s="86" t="s">
        <v>2178</v>
      </c>
      <c r="AP2171" s="81" t="b">
        <v>0</v>
      </c>
      <c r="AQ2171" s="86" t="s">
        <v>7580</v>
      </c>
      <c r="AR2171" s="81" t="s">
        <v>179</v>
      </c>
      <c r="AS2171" s="81">
        <v>0</v>
      </c>
      <c r="AT2171" s="81">
        <v>0</v>
      </c>
      <c r="AU2171" s="81"/>
      <c r="AV2171" s="81"/>
      <c r="AW2171" s="81"/>
      <c r="AX2171" s="81"/>
      <c r="AY2171" s="81"/>
      <c r="AZ2171" s="81"/>
      <c r="BA2171" s="81"/>
      <c r="BB2171" s="81"/>
    </row>
    <row r="2172" spans="1:54" x14ac:dyDescent="0.35">
      <c r="A2172" s="66" t="s">
        <v>4964</v>
      </c>
      <c r="B2172" s="66" t="s">
        <v>5264</v>
      </c>
      <c r="C2172" s="67"/>
      <c r="D2172" s="68"/>
      <c r="E2172" s="69"/>
      <c r="F2172" s="70"/>
      <c r="G2172" s="67"/>
      <c r="H2172" s="71"/>
      <c r="I2172" s="72"/>
      <c r="J2172" s="72"/>
      <c r="K2172" s="36"/>
      <c r="L2172" s="79"/>
      <c r="M2172" s="79"/>
      <c r="N2172" s="74"/>
      <c r="O2172" s="81" t="s">
        <v>694</v>
      </c>
      <c r="P2172" s="83">
        <v>44463.601944444446</v>
      </c>
      <c r="Q2172" s="81" t="s">
        <v>5654</v>
      </c>
      <c r="R2172" s="84" t="str">
        <f>HYPERLINK("https://auditoriacidada.org.br/")</f>
        <v>https://auditoriacidada.org.br/</v>
      </c>
      <c r="S2172" s="81" t="s">
        <v>5696</v>
      </c>
      <c r="T2172" s="81"/>
      <c r="U2172" s="81"/>
      <c r="V2172" s="84" t="str">
        <f>HYPERLINK("https://pbs.twimg.com/profile_images/1442268002653704194/YVzvfEte_normal.jpg")</f>
        <v>https://pbs.twimg.com/profile_images/1442268002653704194/YVzvfEte_normal.jpg</v>
      </c>
      <c r="W2172" s="83">
        <v>44463.601944444446</v>
      </c>
      <c r="X2172" s="89">
        <v>44463</v>
      </c>
      <c r="Y2172" s="86" t="s">
        <v>6651</v>
      </c>
      <c r="Z2172" s="84" t="str">
        <f>HYPERLINK("https://twitter.com/solcaetanocost1/status/1441408783792619522")</f>
        <v>https://twitter.com/solcaetanocost1/status/1441408783792619522</v>
      </c>
      <c r="AA2172" s="81"/>
      <c r="AB2172" s="81"/>
      <c r="AC2172" s="86" t="s">
        <v>7576</v>
      </c>
      <c r="AD2172" s="81"/>
      <c r="AE2172" s="81" t="b">
        <v>0</v>
      </c>
      <c r="AF2172" s="81">
        <v>0</v>
      </c>
      <c r="AG2172" s="86" t="s">
        <v>2084</v>
      </c>
      <c r="AH2172" s="81" t="b">
        <v>0</v>
      </c>
      <c r="AI2172" s="81" t="s">
        <v>2171</v>
      </c>
      <c r="AJ2172" s="81"/>
      <c r="AK2172" s="86" t="s">
        <v>2084</v>
      </c>
      <c r="AL2172" s="81" t="b">
        <v>0</v>
      </c>
      <c r="AM2172" s="81">
        <v>4</v>
      </c>
      <c r="AN2172" s="86" t="s">
        <v>7580</v>
      </c>
      <c r="AO2172" s="86" t="s">
        <v>2178</v>
      </c>
      <c r="AP2172" s="81" t="b">
        <v>0</v>
      </c>
      <c r="AQ2172" s="86" t="s">
        <v>7580</v>
      </c>
      <c r="AR2172" s="81" t="s">
        <v>179</v>
      </c>
      <c r="AS2172" s="81">
        <v>0</v>
      </c>
      <c r="AT2172" s="81">
        <v>0</v>
      </c>
      <c r="AU2172" s="81"/>
      <c r="AV2172" s="81"/>
      <c r="AW2172" s="81"/>
      <c r="AX2172" s="81"/>
      <c r="AY2172" s="81"/>
      <c r="AZ2172" s="81"/>
      <c r="BA2172" s="81"/>
      <c r="BB2172" s="81"/>
    </row>
    <row r="2173" spans="1:54" x14ac:dyDescent="0.35">
      <c r="A2173" s="66" t="s">
        <v>4964</v>
      </c>
      <c r="B2173" s="66" t="s">
        <v>5265</v>
      </c>
      <c r="C2173" s="67"/>
      <c r="D2173" s="68"/>
      <c r="E2173" s="69"/>
      <c r="F2173" s="70"/>
      <c r="G2173" s="67"/>
      <c r="H2173" s="71"/>
      <c r="I2173" s="72"/>
      <c r="J2173" s="72"/>
      <c r="K2173" s="36"/>
      <c r="L2173" s="79"/>
      <c r="M2173" s="79"/>
      <c r="N2173" s="74"/>
      <c r="O2173" s="81" t="s">
        <v>694</v>
      </c>
      <c r="P2173" s="83">
        <v>44463.601944444446</v>
      </c>
      <c r="Q2173" s="81" t="s">
        <v>5654</v>
      </c>
      <c r="R2173" s="84" t="str">
        <f>HYPERLINK("https://auditoriacidada.org.br/")</f>
        <v>https://auditoriacidada.org.br/</v>
      </c>
      <c r="S2173" s="81" t="s">
        <v>5696</v>
      </c>
      <c r="T2173" s="81"/>
      <c r="U2173" s="81"/>
      <c r="V2173" s="84" t="str">
        <f>HYPERLINK("https://pbs.twimg.com/profile_images/1442268002653704194/YVzvfEte_normal.jpg")</f>
        <v>https://pbs.twimg.com/profile_images/1442268002653704194/YVzvfEte_normal.jpg</v>
      </c>
      <c r="W2173" s="83">
        <v>44463.601944444446</v>
      </c>
      <c r="X2173" s="89">
        <v>44463</v>
      </c>
      <c r="Y2173" s="86" t="s">
        <v>6651</v>
      </c>
      <c r="Z2173" s="84" t="str">
        <f>HYPERLINK("https://twitter.com/solcaetanocost1/status/1441408783792619522")</f>
        <v>https://twitter.com/solcaetanocost1/status/1441408783792619522</v>
      </c>
      <c r="AA2173" s="81"/>
      <c r="AB2173" s="81"/>
      <c r="AC2173" s="86" t="s">
        <v>7576</v>
      </c>
      <c r="AD2173" s="81"/>
      <c r="AE2173" s="81" t="b">
        <v>0</v>
      </c>
      <c r="AF2173" s="81">
        <v>0</v>
      </c>
      <c r="AG2173" s="86" t="s">
        <v>2084</v>
      </c>
      <c r="AH2173" s="81" t="b">
        <v>0</v>
      </c>
      <c r="AI2173" s="81" t="s">
        <v>2171</v>
      </c>
      <c r="AJ2173" s="81"/>
      <c r="AK2173" s="86" t="s">
        <v>2084</v>
      </c>
      <c r="AL2173" s="81" t="b">
        <v>0</v>
      </c>
      <c r="AM2173" s="81">
        <v>4</v>
      </c>
      <c r="AN2173" s="86" t="s">
        <v>7580</v>
      </c>
      <c r="AO2173" s="86" t="s">
        <v>2178</v>
      </c>
      <c r="AP2173" s="81" t="b">
        <v>0</v>
      </c>
      <c r="AQ2173" s="86" t="s">
        <v>7580</v>
      </c>
      <c r="AR2173" s="81" t="s">
        <v>179</v>
      </c>
      <c r="AS2173" s="81">
        <v>0</v>
      </c>
      <c r="AT2173" s="81">
        <v>0</v>
      </c>
      <c r="AU2173" s="81"/>
      <c r="AV2173" s="81"/>
      <c r="AW2173" s="81"/>
      <c r="AX2173" s="81"/>
      <c r="AY2173" s="81"/>
      <c r="AZ2173" s="81"/>
      <c r="BA2173" s="81"/>
      <c r="BB2173" s="81"/>
    </row>
    <row r="2174" spans="1:54" x14ac:dyDescent="0.35">
      <c r="A2174" s="66" t="s">
        <v>4964</v>
      </c>
      <c r="B2174" s="66" t="s">
        <v>5266</v>
      </c>
      <c r="C2174" s="67"/>
      <c r="D2174" s="68"/>
      <c r="E2174" s="69"/>
      <c r="F2174" s="70"/>
      <c r="G2174" s="67"/>
      <c r="H2174" s="71"/>
      <c r="I2174" s="72"/>
      <c r="J2174" s="72"/>
      <c r="K2174" s="36"/>
      <c r="L2174" s="79"/>
      <c r="M2174" s="79"/>
      <c r="N2174" s="74"/>
      <c r="O2174" s="81" t="s">
        <v>694</v>
      </c>
      <c r="P2174" s="83">
        <v>44463.601944444446</v>
      </c>
      <c r="Q2174" s="81" t="s">
        <v>5654</v>
      </c>
      <c r="R2174" s="84" t="str">
        <f>HYPERLINK("https://auditoriacidada.org.br/")</f>
        <v>https://auditoriacidada.org.br/</v>
      </c>
      <c r="S2174" s="81" t="s">
        <v>5696</v>
      </c>
      <c r="T2174" s="81"/>
      <c r="U2174" s="81"/>
      <c r="V2174" s="84" t="str">
        <f>HYPERLINK("https://pbs.twimg.com/profile_images/1442268002653704194/YVzvfEte_normal.jpg")</f>
        <v>https://pbs.twimg.com/profile_images/1442268002653704194/YVzvfEte_normal.jpg</v>
      </c>
      <c r="W2174" s="83">
        <v>44463.601944444446</v>
      </c>
      <c r="X2174" s="89">
        <v>44463</v>
      </c>
      <c r="Y2174" s="86" t="s">
        <v>6651</v>
      </c>
      <c r="Z2174" s="84" t="str">
        <f>HYPERLINK("https://twitter.com/solcaetanocost1/status/1441408783792619522")</f>
        <v>https://twitter.com/solcaetanocost1/status/1441408783792619522</v>
      </c>
      <c r="AA2174" s="81"/>
      <c r="AB2174" s="81"/>
      <c r="AC2174" s="86" t="s">
        <v>7576</v>
      </c>
      <c r="AD2174" s="81"/>
      <c r="AE2174" s="81" t="b">
        <v>0</v>
      </c>
      <c r="AF2174" s="81">
        <v>0</v>
      </c>
      <c r="AG2174" s="86" t="s">
        <v>2084</v>
      </c>
      <c r="AH2174" s="81" t="b">
        <v>0</v>
      </c>
      <c r="AI2174" s="81" t="s">
        <v>2171</v>
      </c>
      <c r="AJ2174" s="81"/>
      <c r="AK2174" s="86" t="s">
        <v>2084</v>
      </c>
      <c r="AL2174" s="81" t="b">
        <v>0</v>
      </c>
      <c r="AM2174" s="81">
        <v>4</v>
      </c>
      <c r="AN2174" s="86" t="s">
        <v>7580</v>
      </c>
      <c r="AO2174" s="86" t="s">
        <v>2178</v>
      </c>
      <c r="AP2174" s="81" t="b">
        <v>0</v>
      </c>
      <c r="AQ2174" s="86" t="s">
        <v>7580</v>
      </c>
      <c r="AR2174" s="81" t="s">
        <v>179</v>
      </c>
      <c r="AS2174" s="81">
        <v>0</v>
      </c>
      <c r="AT2174" s="81">
        <v>0</v>
      </c>
      <c r="AU2174" s="81"/>
      <c r="AV2174" s="81"/>
      <c r="AW2174" s="81"/>
      <c r="AX2174" s="81"/>
      <c r="AY2174" s="81"/>
      <c r="AZ2174" s="81"/>
      <c r="BA2174" s="81"/>
      <c r="BB2174" s="81"/>
    </row>
    <row r="2175" spans="1:54" x14ac:dyDescent="0.35">
      <c r="A2175" s="66" t="s">
        <v>4964</v>
      </c>
      <c r="B2175" s="66" t="s">
        <v>5267</v>
      </c>
      <c r="C2175" s="67"/>
      <c r="D2175" s="68"/>
      <c r="E2175" s="69"/>
      <c r="F2175" s="70"/>
      <c r="G2175" s="67"/>
      <c r="H2175" s="71"/>
      <c r="I2175" s="72"/>
      <c r="J2175" s="72"/>
      <c r="K2175" s="36"/>
      <c r="L2175" s="79"/>
      <c r="M2175" s="79"/>
      <c r="N2175" s="74"/>
      <c r="O2175" s="81" t="s">
        <v>694</v>
      </c>
      <c r="P2175" s="83">
        <v>44463.601944444446</v>
      </c>
      <c r="Q2175" s="81" t="s">
        <v>5654</v>
      </c>
      <c r="R2175" s="84" t="str">
        <f>HYPERLINK("https://auditoriacidada.org.br/")</f>
        <v>https://auditoriacidada.org.br/</v>
      </c>
      <c r="S2175" s="81" t="s">
        <v>5696</v>
      </c>
      <c r="T2175" s="81"/>
      <c r="U2175" s="81"/>
      <c r="V2175" s="84" t="str">
        <f>HYPERLINK("https://pbs.twimg.com/profile_images/1442268002653704194/YVzvfEte_normal.jpg")</f>
        <v>https://pbs.twimg.com/profile_images/1442268002653704194/YVzvfEte_normal.jpg</v>
      </c>
      <c r="W2175" s="83">
        <v>44463.601944444446</v>
      </c>
      <c r="X2175" s="89">
        <v>44463</v>
      </c>
      <c r="Y2175" s="86" t="s">
        <v>6651</v>
      </c>
      <c r="Z2175" s="84" t="str">
        <f>HYPERLINK("https://twitter.com/solcaetanocost1/status/1441408783792619522")</f>
        <v>https://twitter.com/solcaetanocost1/status/1441408783792619522</v>
      </c>
      <c r="AA2175" s="81"/>
      <c r="AB2175" s="81"/>
      <c r="AC2175" s="86" t="s">
        <v>7576</v>
      </c>
      <c r="AD2175" s="81"/>
      <c r="AE2175" s="81" t="b">
        <v>0</v>
      </c>
      <c r="AF2175" s="81">
        <v>0</v>
      </c>
      <c r="AG2175" s="86" t="s">
        <v>2084</v>
      </c>
      <c r="AH2175" s="81" t="b">
        <v>0</v>
      </c>
      <c r="AI2175" s="81" t="s">
        <v>2171</v>
      </c>
      <c r="AJ2175" s="81"/>
      <c r="AK2175" s="86" t="s">
        <v>2084</v>
      </c>
      <c r="AL2175" s="81" t="b">
        <v>0</v>
      </c>
      <c r="AM2175" s="81">
        <v>4</v>
      </c>
      <c r="AN2175" s="86" t="s">
        <v>7580</v>
      </c>
      <c r="AO2175" s="86" t="s">
        <v>2178</v>
      </c>
      <c r="AP2175" s="81" t="b">
        <v>0</v>
      </c>
      <c r="AQ2175" s="86" t="s">
        <v>7580</v>
      </c>
      <c r="AR2175" s="81" t="s">
        <v>179</v>
      </c>
      <c r="AS2175" s="81">
        <v>0</v>
      </c>
      <c r="AT2175" s="81">
        <v>0</v>
      </c>
      <c r="AU2175" s="81"/>
      <c r="AV2175" s="81"/>
      <c r="AW2175" s="81"/>
      <c r="AX2175" s="81"/>
      <c r="AY2175" s="81"/>
      <c r="AZ2175" s="81"/>
      <c r="BA2175" s="81"/>
      <c r="BB2175" s="81"/>
    </row>
    <row r="2176" spans="1:54" x14ac:dyDescent="0.35">
      <c r="A2176" s="66" t="s">
        <v>4964</v>
      </c>
      <c r="B2176" s="66" t="s">
        <v>5268</v>
      </c>
      <c r="C2176" s="67"/>
      <c r="D2176" s="68"/>
      <c r="E2176" s="69"/>
      <c r="F2176" s="70"/>
      <c r="G2176" s="67"/>
      <c r="H2176" s="71"/>
      <c r="I2176" s="72"/>
      <c r="J2176" s="72"/>
      <c r="K2176" s="36"/>
      <c r="L2176" s="79"/>
      <c r="M2176" s="79"/>
      <c r="N2176" s="74"/>
      <c r="O2176" s="81" t="s">
        <v>694</v>
      </c>
      <c r="P2176" s="83">
        <v>44463.601944444446</v>
      </c>
      <c r="Q2176" s="81" t="s">
        <v>5654</v>
      </c>
      <c r="R2176" s="84" t="str">
        <f>HYPERLINK("https://auditoriacidada.org.br/")</f>
        <v>https://auditoriacidada.org.br/</v>
      </c>
      <c r="S2176" s="81" t="s">
        <v>5696</v>
      </c>
      <c r="T2176" s="81"/>
      <c r="U2176" s="81"/>
      <c r="V2176" s="84" t="str">
        <f>HYPERLINK("https://pbs.twimg.com/profile_images/1442268002653704194/YVzvfEte_normal.jpg")</f>
        <v>https://pbs.twimg.com/profile_images/1442268002653704194/YVzvfEte_normal.jpg</v>
      </c>
      <c r="W2176" s="83">
        <v>44463.601944444446</v>
      </c>
      <c r="X2176" s="89">
        <v>44463</v>
      </c>
      <c r="Y2176" s="86" t="s">
        <v>6651</v>
      </c>
      <c r="Z2176" s="84" t="str">
        <f>HYPERLINK("https://twitter.com/solcaetanocost1/status/1441408783792619522")</f>
        <v>https://twitter.com/solcaetanocost1/status/1441408783792619522</v>
      </c>
      <c r="AA2176" s="81"/>
      <c r="AB2176" s="81"/>
      <c r="AC2176" s="86" t="s">
        <v>7576</v>
      </c>
      <c r="AD2176" s="81"/>
      <c r="AE2176" s="81" t="b">
        <v>0</v>
      </c>
      <c r="AF2176" s="81">
        <v>0</v>
      </c>
      <c r="AG2176" s="86" t="s">
        <v>2084</v>
      </c>
      <c r="AH2176" s="81" t="b">
        <v>0</v>
      </c>
      <c r="AI2176" s="81" t="s">
        <v>2171</v>
      </c>
      <c r="AJ2176" s="81"/>
      <c r="AK2176" s="86" t="s">
        <v>2084</v>
      </c>
      <c r="AL2176" s="81" t="b">
        <v>0</v>
      </c>
      <c r="AM2176" s="81">
        <v>4</v>
      </c>
      <c r="AN2176" s="86" t="s">
        <v>7580</v>
      </c>
      <c r="AO2176" s="86" t="s">
        <v>2178</v>
      </c>
      <c r="AP2176" s="81" t="b">
        <v>0</v>
      </c>
      <c r="AQ2176" s="86" t="s">
        <v>7580</v>
      </c>
      <c r="AR2176" s="81" t="s">
        <v>179</v>
      </c>
      <c r="AS2176" s="81">
        <v>0</v>
      </c>
      <c r="AT2176" s="81">
        <v>0</v>
      </c>
      <c r="AU2176" s="81"/>
      <c r="AV2176" s="81"/>
      <c r="AW2176" s="81"/>
      <c r="AX2176" s="81"/>
      <c r="AY2176" s="81"/>
      <c r="AZ2176" s="81"/>
      <c r="BA2176" s="81"/>
      <c r="BB2176" s="81"/>
    </row>
    <row r="2177" spans="1:54" x14ac:dyDescent="0.35">
      <c r="A2177" s="66" t="s">
        <v>4964</v>
      </c>
      <c r="B2177" s="66" t="s">
        <v>5269</v>
      </c>
      <c r="C2177" s="67"/>
      <c r="D2177" s="68"/>
      <c r="E2177" s="69"/>
      <c r="F2177" s="70"/>
      <c r="G2177" s="67"/>
      <c r="H2177" s="71"/>
      <c r="I2177" s="72"/>
      <c r="J2177" s="72"/>
      <c r="K2177" s="36"/>
      <c r="L2177" s="79"/>
      <c r="M2177" s="79"/>
      <c r="N2177" s="74"/>
      <c r="O2177" s="81" t="s">
        <v>694</v>
      </c>
      <c r="P2177" s="83">
        <v>44463.601944444446</v>
      </c>
      <c r="Q2177" s="81" t="s">
        <v>5654</v>
      </c>
      <c r="R2177" s="84" t="str">
        <f>HYPERLINK("https://auditoriacidada.org.br/")</f>
        <v>https://auditoriacidada.org.br/</v>
      </c>
      <c r="S2177" s="81" t="s">
        <v>5696</v>
      </c>
      <c r="T2177" s="81"/>
      <c r="U2177" s="81"/>
      <c r="V2177" s="84" t="str">
        <f>HYPERLINK("https://pbs.twimg.com/profile_images/1442268002653704194/YVzvfEte_normal.jpg")</f>
        <v>https://pbs.twimg.com/profile_images/1442268002653704194/YVzvfEte_normal.jpg</v>
      </c>
      <c r="W2177" s="83">
        <v>44463.601944444446</v>
      </c>
      <c r="X2177" s="89">
        <v>44463</v>
      </c>
      <c r="Y2177" s="86" t="s">
        <v>6651</v>
      </c>
      <c r="Z2177" s="84" t="str">
        <f>HYPERLINK("https://twitter.com/solcaetanocost1/status/1441408783792619522")</f>
        <v>https://twitter.com/solcaetanocost1/status/1441408783792619522</v>
      </c>
      <c r="AA2177" s="81"/>
      <c r="AB2177" s="81"/>
      <c r="AC2177" s="86" t="s">
        <v>7576</v>
      </c>
      <c r="AD2177" s="81"/>
      <c r="AE2177" s="81" t="b">
        <v>0</v>
      </c>
      <c r="AF2177" s="81">
        <v>0</v>
      </c>
      <c r="AG2177" s="86" t="s">
        <v>2084</v>
      </c>
      <c r="AH2177" s="81" t="b">
        <v>0</v>
      </c>
      <c r="AI2177" s="81" t="s">
        <v>2171</v>
      </c>
      <c r="AJ2177" s="81"/>
      <c r="AK2177" s="86" t="s">
        <v>2084</v>
      </c>
      <c r="AL2177" s="81" t="b">
        <v>0</v>
      </c>
      <c r="AM2177" s="81">
        <v>4</v>
      </c>
      <c r="AN2177" s="86" t="s">
        <v>7580</v>
      </c>
      <c r="AO2177" s="86" t="s">
        <v>2178</v>
      </c>
      <c r="AP2177" s="81" t="b">
        <v>0</v>
      </c>
      <c r="AQ2177" s="86" t="s">
        <v>7580</v>
      </c>
      <c r="AR2177" s="81" t="s">
        <v>179</v>
      </c>
      <c r="AS2177" s="81">
        <v>0</v>
      </c>
      <c r="AT2177" s="81">
        <v>0</v>
      </c>
      <c r="AU2177" s="81"/>
      <c r="AV2177" s="81"/>
      <c r="AW2177" s="81"/>
      <c r="AX2177" s="81"/>
      <c r="AY2177" s="81"/>
      <c r="AZ2177" s="81"/>
      <c r="BA2177" s="81"/>
      <c r="BB2177" s="81"/>
    </row>
    <row r="2178" spans="1:54" x14ac:dyDescent="0.35">
      <c r="A2178" s="66" t="s">
        <v>4964</v>
      </c>
      <c r="B2178" s="66" t="s">
        <v>4963</v>
      </c>
      <c r="C2178" s="67"/>
      <c r="D2178" s="68"/>
      <c r="E2178" s="69"/>
      <c r="F2178" s="70"/>
      <c r="G2178" s="67"/>
      <c r="H2178" s="71"/>
      <c r="I2178" s="72"/>
      <c r="J2178" s="72"/>
      <c r="K2178" s="36"/>
      <c r="L2178" s="79"/>
      <c r="M2178" s="79"/>
      <c r="N2178" s="74"/>
      <c r="O2178" s="81" t="s">
        <v>693</v>
      </c>
      <c r="P2178" s="83">
        <v>44463.601944444446</v>
      </c>
      <c r="Q2178" s="81" t="s">
        <v>5654</v>
      </c>
      <c r="R2178" s="84" t="str">
        <f>HYPERLINK("https://auditoriacidada.org.br/")</f>
        <v>https://auditoriacidada.org.br/</v>
      </c>
      <c r="S2178" s="81" t="s">
        <v>5696</v>
      </c>
      <c r="T2178" s="81"/>
      <c r="U2178" s="81"/>
      <c r="V2178" s="84" t="str">
        <f>HYPERLINK("https://pbs.twimg.com/profile_images/1442268002653704194/YVzvfEte_normal.jpg")</f>
        <v>https://pbs.twimg.com/profile_images/1442268002653704194/YVzvfEte_normal.jpg</v>
      </c>
      <c r="W2178" s="83">
        <v>44463.601944444446</v>
      </c>
      <c r="X2178" s="89">
        <v>44463</v>
      </c>
      <c r="Y2178" s="86" t="s">
        <v>6651</v>
      </c>
      <c r="Z2178" s="84" t="str">
        <f>HYPERLINK("https://twitter.com/solcaetanocost1/status/1441408783792619522")</f>
        <v>https://twitter.com/solcaetanocost1/status/1441408783792619522</v>
      </c>
      <c r="AA2178" s="81"/>
      <c r="AB2178" s="81"/>
      <c r="AC2178" s="86" t="s">
        <v>7576</v>
      </c>
      <c r="AD2178" s="81"/>
      <c r="AE2178" s="81" t="b">
        <v>0</v>
      </c>
      <c r="AF2178" s="81">
        <v>0</v>
      </c>
      <c r="AG2178" s="86" t="s">
        <v>2084</v>
      </c>
      <c r="AH2178" s="81" t="b">
        <v>0</v>
      </c>
      <c r="AI2178" s="81" t="s">
        <v>2171</v>
      </c>
      <c r="AJ2178" s="81"/>
      <c r="AK2178" s="86" t="s">
        <v>2084</v>
      </c>
      <c r="AL2178" s="81" t="b">
        <v>0</v>
      </c>
      <c r="AM2178" s="81">
        <v>4</v>
      </c>
      <c r="AN2178" s="86" t="s">
        <v>7580</v>
      </c>
      <c r="AO2178" s="86" t="s">
        <v>2178</v>
      </c>
      <c r="AP2178" s="81" t="b">
        <v>0</v>
      </c>
      <c r="AQ2178" s="86" t="s">
        <v>7580</v>
      </c>
      <c r="AR2178" s="81" t="s">
        <v>179</v>
      </c>
      <c r="AS2178" s="81">
        <v>0</v>
      </c>
      <c r="AT2178" s="81">
        <v>0</v>
      </c>
      <c r="AU2178" s="81"/>
      <c r="AV2178" s="81"/>
      <c r="AW2178" s="81"/>
      <c r="AX2178" s="81"/>
      <c r="AY2178" s="81"/>
      <c r="AZ2178" s="81"/>
      <c r="BA2178" s="81"/>
      <c r="BB2178" s="81"/>
    </row>
    <row r="2179" spans="1:54" x14ac:dyDescent="0.35">
      <c r="A2179" s="66" t="s">
        <v>4964</v>
      </c>
      <c r="B2179" s="66" t="s">
        <v>5270</v>
      </c>
      <c r="C2179" s="67"/>
      <c r="D2179" s="68"/>
      <c r="E2179" s="69"/>
      <c r="F2179" s="70"/>
      <c r="G2179" s="67"/>
      <c r="H2179" s="71"/>
      <c r="I2179" s="72"/>
      <c r="J2179" s="72"/>
      <c r="K2179" s="36"/>
      <c r="L2179" s="79"/>
      <c r="M2179" s="79"/>
      <c r="N2179" s="74"/>
      <c r="O2179" s="81" t="s">
        <v>695</v>
      </c>
      <c r="P2179" s="83">
        <v>44463.601944444446</v>
      </c>
      <c r="Q2179" s="81" t="s">
        <v>5654</v>
      </c>
      <c r="R2179" s="84" t="str">
        <f>HYPERLINK("https://auditoriacidada.org.br/")</f>
        <v>https://auditoriacidada.org.br/</v>
      </c>
      <c r="S2179" s="81" t="s">
        <v>5696</v>
      </c>
      <c r="T2179" s="81"/>
      <c r="U2179" s="81"/>
      <c r="V2179" s="84" t="str">
        <f>HYPERLINK("https://pbs.twimg.com/profile_images/1442268002653704194/YVzvfEte_normal.jpg")</f>
        <v>https://pbs.twimg.com/profile_images/1442268002653704194/YVzvfEte_normal.jpg</v>
      </c>
      <c r="W2179" s="83">
        <v>44463.601944444446</v>
      </c>
      <c r="X2179" s="89">
        <v>44463</v>
      </c>
      <c r="Y2179" s="86" t="s">
        <v>6651</v>
      </c>
      <c r="Z2179" s="84" t="str">
        <f>HYPERLINK("https://twitter.com/solcaetanocost1/status/1441408783792619522")</f>
        <v>https://twitter.com/solcaetanocost1/status/1441408783792619522</v>
      </c>
      <c r="AA2179" s="81"/>
      <c r="AB2179" s="81"/>
      <c r="AC2179" s="86" t="s">
        <v>7576</v>
      </c>
      <c r="AD2179" s="81"/>
      <c r="AE2179" s="81" t="b">
        <v>0</v>
      </c>
      <c r="AF2179" s="81">
        <v>0</v>
      </c>
      <c r="AG2179" s="86" t="s">
        <v>2084</v>
      </c>
      <c r="AH2179" s="81" t="b">
        <v>0</v>
      </c>
      <c r="AI2179" s="81" t="s">
        <v>2171</v>
      </c>
      <c r="AJ2179" s="81"/>
      <c r="AK2179" s="86" t="s">
        <v>2084</v>
      </c>
      <c r="AL2179" s="81" t="b">
        <v>0</v>
      </c>
      <c r="AM2179" s="81">
        <v>4</v>
      </c>
      <c r="AN2179" s="86" t="s">
        <v>7580</v>
      </c>
      <c r="AO2179" s="86" t="s">
        <v>2178</v>
      </c>
      <c r="AP2179" s="81" t="b">
        <v>0</v>
      </c>
      <c r="AQ2179" s="86" t="s">
        <v>7580</v>
      </c>
      <c r="AR2179" s="81" t="s">
        <v>179</v>
      </c>
      <c r="AS2179" s="81">
        <v>0</v>
      </c>
      <c r="AT2179" s="81">
        <v>0</v>
      </c>
      <c r="AU2179" s="81"/>
      <c r="AV2179" s="81"/>
      <c r="AW2179" s="81"/>
      <c r="AX2179" s="81"/>
      <c r="AY2179" s="81"/>
      <c r="AZ2179" s="81"/>
      <c r="BA2179" s="81"/>
      <c r="BB2179" s="81"/>
    </row>
    <row r="2180" spans="1:54" x14ac:dyDescent="0.35">
      <c r="A2180" s="66" t="s">
        <v>4965</v>
      </c>
      <c r="B2180" s="66" t="s">
        <v>4964</v>
      </c>
      <c r="C2180" s="67"/>
      <c r="D2180" s="68"/>
      <c r="E2180" s="69"/>
      <c r="F2180" s="70"/>
      <c r="G2180" s="67"/>
      <c r="H2180" s="71"/>
      <c r="I2180" s="72"/>
      <c r="J2180" s="72"/>
      <c r="K2180" s="36"/>
      <c r="L2180" s="79"/>
      <c r="M2180" s="79"/>
      <c r="N2180" s="74"/>
      <c r="O2180" s="81" t="s">
        <v>694</v>
      </c>
      <c r="P2180" s="83">
        <v>44463.752210648148</v>
      </c>
      <c r="Q2180" s="81" t="s">
        <v>5654</v>
      </c>
      <c r="R2180" s="84" t="str">
        <f>HYPERLINK("https://auditoriacidada.org.br/")</f>
        <v>https://auditoriacidada.org.br/</v>
      </c>
      <c r="S2180" s="81" t="s">
        <v>5696</v>
      </c>
      <c r="T2180" s="81"/>
      <c r="U2180" s="81"/>
      <c r="V2180" s="84" t="str">
        <f>HYPERLINK("https://pbs.twimg.com/profile_images/1103359646331486208/iTL5L1vb_normal.jpg")</f>
        <v>https://pbs.twimg.com/profile_images/1103359646331486208/iTL5L1vb_normal.jpg</v>
      </c>
      <c r="W2180" s="83">
        <v>44463.752210648148</v>
      </c>
      <c r="X2180" s="89">
        <v>44463</v>
      </c>
      <c r="Y2180" s="86" t="s">
        <v>6652</v>
      </c>
      <c r="Z2180" s="84" t="str">
        <f>HYPERLINK("https://twitter.com/catiaamorim5/status/1441463237338357763")</f>
        <v>https://twitter.com/catiaamorim5/status/1441463237338357763</v>
      </c>
      <c r="AA2180" s="81"/>
      <c r="AB2180" s="81"/>
      <c r="AC2180" s="86" t="s">
        <v>7577</v>
      </c>
      <c r="AD2180" s="81"/>
      <c r="AE2180" s="81" t="b">
        <v>0</v>
      </c>
      <c r="AF2180" s="81">
        <v>0</v>
      </c>
      <c r="AG2180" s="86" t="s">
        <v>2084</v>
      </c>
      <c r="AH2180" s="81" t="b">
        <v>0</v>
      </c>
      <c r="AI2180" s="81" t="s">
        <v>2171</v>
      </c>
      <c r="AJ2180" s="81"/>
      <c r="AK2180" s="86" t="s">
        <v>2084</v>
      </c>
      <c r="AL2180" s="81" t="b">
        <v>0</v>
      </c>
      <c r="AM2180" s="81">
        <v>4</v>
      </c>
      <c r="AN2180" s="86" t="s">
        <v>7580</v>
      </c>
      <c r="AO2180" s="86" t="s">
        <v>2178</v>
      </c>
      <c r="AP2180" s="81" t="b">
        <v>0</v>
      </c>
      <c r="AQ2180" s="86" t="s">
        <v>7580</v>
      </c>
      <c r="AR2180" s="81" t="s">
        <v>179</v>
      </c>
      <c r="AS2180" s="81">
        <v>0</v>
      </c>
      <c r="AT2180" s="81">
        <v>0</v>
      </c>
      <c r="AU2180" s="81"/>
      <c r="AV2180" s="81"/>
      <c r="AW2180" s="81"/>
      <c r="AX2180" s="81"/>
      <c r="AY2180" s="81"/>
      <c r="AZ2180" s="81"/>
      <c r="BA2180" s="81"/>
      <c r="BB2180" s="81"/>
    </row>
    <row r="2181" spans="1:54" x14ac:dyDescent="0.35">
      <c r="A2181" s="66" t="s">
        <v>4966</v>
      </c>
      <c r="B2181" s="66" t="s">
        <v>4964</v>
      </c>
      <c r="C2181" s="67"/>
      <c r="D2181" s="68"/>
      <c r="E2181" s="69"/>
      <c r="F2181" s="70"/>
      <c r="G2181" s="67"/>
      <c r="H2181" s="71"/>
      <c r="I2181" s="72"/>
      <c r="J2181" s="72"/>
      <c r="K2181" s="36"/>
      <c r="L2181" s="79"/>
      <c r="M2181" s="79"/>
      <c r="N2181" s="74"/>
      <c r="O2181" s="81" t="s">
        <v>694</v>
      </c>
      <c r="P2181" s="83">
        <v>44463.970462962963</v>
      </c>
      <c r="Q2181" s="81" t="s">
        <v>5654</v>
      </c>
      <c r="R2181" s="84" t="str">
        <f>HYPERLINK("https://auditoriacidada.org.br/")</f>
        <v>https://auditoriacidada.org.br/</v>
      </c>
      <c r="S2181" s="81" t="s">
        <v>5696</v>
      </c>
      <c r="T2181" s="81"/>
      <c r="U2181" s="81"/>
      <c r="V2181" s="84" t="str">
        <f>HYPERLINK("https://pbs.twimg.com/profile_images/1281040610372222982/GJuyvmvD_normal.jpg")</f>
        <v>https://pbs.twimg.com/profile_images/1281040610372222982/GJuyvmvD_normal.jpg</v>
      </c>
      <c r="W2181" s="83">
        <v>44463.970462962963</v>
      </c>
      <c r="X2181" s="89">
        <v>44463</v>
      </c>
      <c r="Y2181" s="86" t="s">
        <v>6653</v>
      </c>
      <c r="Z2181" s="84" t="str">
        <f>HYPERLINK("https://twitter.com/lotemarcio/status/1441542329370824704")</f>
        <v>https://twitter.com/lotemarcio/status/1441542329370824704</v>
      </c>
      <c r="AA2181" s="81"/>
      <c r="AB2181" s="81"/>
      <c r="AC2181" s="86" t="s">
        <v>7578</v>
      </c>
      <c r="AD2181" s="81"/>
      <c r="AE2181" s="81" t="b">
        <v>0</v>
      </c>
      <c r="AF2181" s="81">
        <v>0</v>
      </c>
      <c r="AG2181" s="86" t="s">
        <v>2084</v>
      </c>
      <c r="AH2181" s="81" t="b">
        <v>0</v>
      </c>
      <c r="AI2181" s="81" t="s">
        <v>2171</v>
      </c>
      <c r="AJ2181" s="81"/>
      <c r="AK2181" s="86" t="s">
        <v>2084</v>
      </c>
      <c r="AL2181" s="81" t="b">
        <v>0</v>
      </c>
      <c r="AM2181" s="81">
        <v>4</v>
      </c>
      <c r="AN2181" s="86" t="s">
        <v>7580</v>
      </c>
      <c r="AO2181" s="86" t="s">
        <v>2178</v>
      </c>
      <c r="AP2181" s="81" t="b">
        <v>0</v>
      </c>
      <c r="AQ2181" s="86" t="s">
        <v>7580</v>
      </c>
      <c r="AR2181" s="81" t="s">
        <v>179</v>
      </c>
      <c r="AS2181" s="81">
        <v>0</v>
      </c>
      <c r="AT2181" s="81">
        <v>0</v>
      </c>
      <c r="AU2181" s="81"/>
      <c r="AV2181" s="81"/>
      <c r="AW2181" s="81"/>
      <c r="AX2181" s="81"/>
      <c r="AY2181" s="81"/>
      <c r="AZ2181" s="81"/>
      <c r="BA2181" s="81"/>
      <c r="BB2181" s="81"/>
    </row>
    <row r="2182" spans="1:54" x14ac:dyDescent="0.35">
      <c r="A2182" s="66" t="s">
        <v>4967</v>
      </c>
      <c r="B2182" s="66" t="s">
        <v>4964</v>
      </c>
      <c r="C2182" s="67"/>
      <c r="D2182" s="68"/>
      <c r="E2182" s="69"/>
      <c r="F2182" s="70"/>
      <c r="G2182" s="67"/>
      <c r="H2182" s="71"/>
      <c r="I2182" s="72"/>
      <c r="J2182" s="72"/>
      <c r="K2182" s="36"/>
      <c r="L2182" s="79"/>
      <c r="M2182" s="79"/>
      <c r="N2182" s="74"/>
      <c r="O2182" s="81" t="s">
        <v>694</v>
      </c>
      <c r="P2182" s="83">
        <v>44464.140057870369</v>
      </c>
      <c r="Q2182" s="81" t="s">
        <v>5654</v>
      </c>
      <c r="R2182" s="84" t="str">
        <f>HYPERLINK("https://auditoriacidada.org.br/")</f>
        <v>https://auditoriacidada.org.br/</v>
      </c>
      <c r="S2182" s="81" t="s">
        <v>5696</v>
      </c>
      <c r="T2182" s="81"/>
      <c r="U2182" s="81"/>
      <c r="V2182" s="84" t="str">
        <f>HYPERLINK("https://pbs.twimg.com/profile_images/1399527376242069507/ZhhDd0tB_normal.jpg")</f>
        <v>https://pbs.twimg.com/profile_images/1399527376242069507/ZhhDd0tB_normal.jpg</v>
      </c>
      <c r="W2182" s="83">
        <v>44464.140057870369</v>
      </c>
      <c r="X2182" s="89">
        <v>44464</v>
      </c>
      <c r="Y2182" s="86" t="s">
        <v>6654</v>
      </c>
      <c r="Z2182" s="84" t="str">
        <f>HYPERLINK("https://twitter.com/mariacr64955277/status/1441603789765677056")</f>
        <v>https://twitter.com/mariacr64955277/status/1441603789765677056</v>
      </c>
      <c r="AA2182" s="81"/>
      <c r="AB2182" s="81"/>
      <c r="AC2182" s="86" t="s">
        <v>7579</v>
      </c>
      <c r="AD2182" s="81"/>
      <c r="AE2182" s="81" t="b">
        <v>0</v>
      </c>
      <c r="AF2182" s="81">
        <v>0</v>
      </c>
      <c r="AG2182" s="86" t="s">
        <v>2084</v>
      </c>
      <c r="AH2182" s="81" t="b">
        <v>0</v>
      </c>
      <c r="AI2182" s="81" t="s">
        <v>2171</v>
      </c>
      <c r="AJ2182" s="81"/>
      <c r="AK2182" s="86" t="s">
        <v>2084</v>
      </c>
      <c r="AL2182" s="81" t="b">
        <v>0</v>
      </c>
      <c r="AM2182" s="81">
        <v>4</v>
      </c>
      <c r="AN2182" s="86" t="s">
        <v>7580</v>
      </c>
      <c r="AO2182" s="86" t="s">
        <v>2178</v>
      </c>
      <c r="AP2182" s="81" t="b">
        <v>0</v>
      </c>
      <c r="AQ2182" s="86" t="s">
        <v>7580</v>
      </c>
      <c r="AR2182" s="81" t="s">
        <v>179</v>
      </c>
      <c r="AS2182" s="81">
        <v>0</v>
      </c>
      <c r="AT2182" s="81">
        <v>0</v>
      </c>
      <c r="AU2182" s="81"/>
      <c r="AV2182" s="81"/>
      <c r="AW2182" s="81"/>
      <c r="AX2182" s="81"/>
      <c r="AY2182" s="81"/>
      <c r="AZ2182" s="81"/>
      <c r="BA2182" s="81"/>
      <c r="BB2182" s="81"/>
    </row>
    <row r="2183" spans="1:54" x14ac:dyDescent="0.35">
      <c r="A2183" s="66" t="s">
        <v>4963</v>
      </c>
      <c r="B2183" s="66" t="s">
        <v>4964</v>
      </c>
      <c r="C2183" s="67"/>
      <c r="D2183" s="68"/>
      <c r="E2183" s="69"/>
      <c r="F2183" s="70"/>
      <c r="G2183" s="67"/>
      <c r="H2183" s="71"/>
      <c r="I2183" s="72"/>
      <c r="J2183" s="72"/>
      <c r="K2183" s="36"/>
      <c r="L2183" s="79"/>
      <c r="M2183" s="79"/>
      <c r="N2183" s="74"/>
      <c r="O2183" s="81" t="s">
        <v>696</v>
      </c>
      <c r="P2183" s="83">
        <v>44463.598182870373</v>
      </c>
      <c r="Q2183" s="81" t="s">
        <v>5654</v>
      </c>
      <c r="R2183" s="84" t="str">
        <f>HYPERLINK("https://auditoriacidada.org.br/")</f>
        <v>https://auditoriacidada.org.br/</v>
      </c>
      <c r="S2183" s="81" t="s">
        <v>5696</v>
      </c>
      <c r="T2183" s="81"/>
      <c r="U2183" s="81"/>
      <c r="V2183" s="84" t="str">
        <f>HYPERLINK("https://pbs.twimg.com/profile_images/1258569360236576770/7E9EYrtd_normal.jpg")</f>
        <v>https://pbs.twimg.com/profile_images/1258569360236576770/7E9EYrtd_normal.jpg</v>
      </c>
      <c r="W2183" s="83">
        <v>44463.598182870373</v>
      </c>
      <c r="X2183" s="89">
        <v>44463</v>
      </c>
      <c r="Y2183" s="86" t="s">
        <v>6655</v>
      </c>
      <c r="Z2183" s="84" t="str">
        <f>HYPERLINK("https://twitter.com/panchitoblanco1/status/1441407420660604930")</f>
        <v>https://twitter.com/panchitoblanco1/status/1441407420660604930</v>
      </c>
      <c r="AA2183" s="81"/>
      <c r="AB2183" s="81"/>
      <c r="AC2183" s="86" t="s">
        <v>7580</v>
      </c>
      <c r="AD2183" s="86" t="s">
        <v>7780</v>
      </c>
      <c r="AE2183" s="81" t="b">
        <v>0</v>
      </c>
      <c r="AF2183" s="81">
        <v>10</v>
      </c>
      <c r="AG2183" s="86" t="s">
        <v>7951</v>
      </c>
      <c r="AH2183" s="81" t="b">
        <v>0</v>
      </c>
      <c r="AI2183" s="81" t="s">
        <v>2171</v>
      </c>
      <c r="AJ2183" s="81"/>
      <c r="AK2183" s="86" t="s">
        <v>2084</v>
      </c>
      <c r="AL2183" s="81" t="b">
        <v>0</v>
      </c>
      <c r="AM2183" s="81">
        <v>4</v>
      </c>
      <c r="AN2183" s="86" t="s">
        <v>2084</v>
      </c>
      <c r="AO2183" s="86" t="s">
        <v>2178</v>
      </c>
      <c r="AP2183" s="81" t="b">
        <v>0</v>
      </c>
      <c r="AQ2183" s="86" t="s">
        <v>7780</v>
      </c>
      <c r="AR2183" s="81" t="s">
        <v>179</v>
      </c>
      <c r="AS2183" s="81">
        <v>0</v>
      </c>
      <c r="AT2183" s="81">
        <v>0</v>
      </c>
      <c r="AU2183" s="81"/>
      <c r="AV2183" s="81"/>
      <c r="AW2183" s="81"/>
      <c r="AX2183" s="81"/>
      <c r="AY2183" s="81"/>
      <c r="AZ2183" s="81"/>
      <c r="BA2183" s="81"/>
      <c r="BB2183" s="81"/>
    </row>
    <row r="2184" spans="1:54" x14ac:dyDescent="0.35">
      <c r="A2184" s="66" t="s">
        <v>4965</v>
      </c>
      <c r="B2184" s="66" t="s">
        <v>4966</v>
      </c>
      <c r="C2184" s="67"/>
      <c r="D2184" s="68"/>
      <c r="E2184" s="69"/>
      <c r="F2184" s="70"/>
      <c r="G2184" s="67"/>
      <c r="H2184" s="71"/>
      <c r="I2184" s="72"/>
      <c r="J2184" s="72"/>
      <c r="K2184" s="36"/>
      <c r="L2184" s="79"/>
      <c r="M2184" s="79"/>
      <c r="N2184" s="74"/>
      <c r="O2184" s="81" t="s">
        <v>694</v>
      </c>
      <c r="P2184" s="83">
        <v>44463.752210648148</v>
      </c>
      <c r="Q2184" s="81" t="s">
        <v>5654</v>
      </c>
      <c r="R2184" s="84" t="str">
        <f>HYPERLINK("https://auditoriacidada.org.br/")</f>
        <v>https://auditoriacidada.org.br/</v>
      </c>
      <c r="S2184" s="81" t="s">
        <v>5696</v>
      </c>
      <c r="T2184" s="81"/>
      <c r="U2184" s="81"/>
      <c r="V2184" s="84" t="str">
        <f>HYPERLINK("https://pbs.twimg.com/profile_images/1103359646331486208/iTL5L1vb_normal.jpg")</f>
        <v>https://pbs.twimg.com/profile_images/1103359646331486208/iTL5L1vb_normal.jpg</v>
      </c>
      <c r="W2184" s="83">
        <v>44463.752210648148</v>
      </c>
      <c r="X2184" s="89">
        <v>44463</v>
      </c>
      <c r="Y2184" s="86" t="s">
        <v>6652</v>
      </c>
      <c r="Z2184" s="84" t="str">
        <f>HYPERLINK("https://twitter.com/catiaamorim5/status/1441463237338357763")</f>
        <v>https://twitter.com/catiaamorim5/status/1441463237338357763</v>
      </c>
      <c r="AA2184" s="81"/>
      <c r="AB2184" s="81"/>
      <c r="AC2184" s="86" t="s">
        <v>7577</v>
      </c>
      <c r="AD2184" s="81"/>
      <c r="AE2184" s="81" t="b">
        <v>0</v>
      </c>
      <c r="AF2184" s="81">
        <v>0</v>
      </c>
      <c r="AG2184" s="86" t="s">
        <v>2084</v>
      </c>
      <c r="AH2184" s="81" t="b">
        <v>0</v>
      </c>
      <c r="AI2184" s="81" t="s">
        <v>2171</v>
      </c>
      <c r="AJ2184" s="81"/>
      <c r="AK2184" s="86" t="s">
        <v>2084</v>
      </c>
      <c r="AL2184" s="81" t="b">
        <v>0</v>
      </c>
      <c r="AM2184" s="81">
        <v>4</v>
      </c>
      <c r="AN2184" s="86" t="s">
        <v>7580</v>
      </c>
      <c r="AO2184" s="86" t="s">
        <v>2178</v>
      </c>
      <c r="AP2184" s="81" t="b">
        <v>0</v>
      </c>
      <c r="AQ2184" s="86" t="s">
        <v>7580</v>
      </c>
      <c r="AR2184" s="81" t="s">
        <v>179</v>
      </c>
      <c r="AS2184" s="81">
        <v>0</v>
      </c>
      <c r="AT2184" s="81">
        <v>0</v>
      </c>
      <c r="AU2184" s="81"/>
      <c r="AV2184" s="81"/>
      <c r="AW2184" s="81"/>
      <c r="AX2184" s="81"/>
      <c r="AY2184" s="81"/>
      <c r="AZ2184" s="81"/>
      <c r="BA2184" s="81"/>
      <c r="BB2184" s="81"/>
    </row>
    <row r="2185" spans="1:54" x14ac:dyDescent="0.35">
      <c r="A2185" s="66" t="s">
        <v>4966</v>
      </c>
      <c r="B2185" s="66" t="s">
        <v>5229</v>
      </c>
      <c r="C2185" s="67"/>
      <c r="D2185" s="68"/>
      <c r="E2185" s="69"/>
      <c r="F2185" s="70"/>
      <c r="G2185" s="67"/>
      <c r="H2185" s="71"/>
      <c r="I2185" s="72"/>
      <c r="J2185" s="72"/>
      <c r="K2185" s="36"/>
      <c r="L2185" s="79"/>
      <c r="M2185" s="79"/>
      <c r="N2185" s="74"/>
      <c r="O2185" s="81" t="s">
        <v>694</v>
      </c>
      <c r="P2185" s="83">
        <v>44463.970462962963</v>
      </c>
      <c r="Q2185" s="81" t="s">
        <v>5654</v>
      </c>
      <c r="R2185" s="84" t="str">
        <f>HYPERLINK("https://auditoriacidada.org.br/")</f>
        <v>https://auditoriacidada.org.br/</v>
      </c>
      <c r="S2185" s="81" t="s">
        <v>5696</v>
      </c>
      <c r="T2185" s="81"/>
      <c r="U2185" s="81"/>
      <c r="V2185" s="84" t="str">
        <f>HYPERLINK("https://pbs.twimg.com/profile_images/1281040610372222982/GJuyvmvD_normal.jpg")</f>
        <v>https://pbs.twimg.com/profile_images/1281040610372222982/GJuyvmvD_normal.jpg</v>
      </c>
      <c r="W2185" s="83">
        <v>44463.970462962963</v>
      </c>
      <c r="X2185" s="89">
        <v>44463</v>
      </c>
      <c r="Y2185" s="86" t="s">
        <v>6653</v>
      </c>
      <c r="Z2185" s="84" t="str">
        <f>HYPERLINK("https://twitter.com/lotemarcio/status/1441542329370824704")</f>
        <v>https://twitter.com/lotemarcio/status/1441542329370824704</v>
      </c>
      <c r="AA2185" s="81"/>
      <c r="AB2185" s="81"/>
      <c r="AC2185" s="86" t="s">
        <v>7578</v>
      </c>
      <c r="AD2185" s="81"/>
      <c r="AE2185" s="81" t="b">
        <v>0</v>
      </c>
      <c r="AF2185" s="81">
        <v>0</v>
      </c>
      <c r="AG2185" s="86" t="s">
        <v>2084</v>
      </c>
      <c r="AH2185" s="81" t="b">
        <v>0</v>
      </c>
      <c r="AI2185" s="81" t="s">
        <v>2171</v>
      </c>
      <c r="AJ2185" s="81"/>
      <c r="AK2185" s="86" t="s">
        <v>2084</v>
      </c>
      <c r="AL2185" s="81" t="b">
        <v>0</v>
      </c>
      <c r="AM2185" s="81">
        <v>4</v>
      </c>
      <c r="AN2185" s="86" t="s">
        <v>7580</v>
      </c>
      <c r="AO2185" s="86" t="s">
        <v>2178</v>
      </c>
      <c r="AP2185" s="81" t="b">
        <v>0</v>
      </c>
      <c r="AQ2185" s="86" t="s">
        <v>7580</v>
      </c>
      <c r="AR2185" s="81" t="s">
        <v>179</v>
      </c>
      <c r="AS2185" s="81">
        <v>0</v>
      </c>
      <c r="AT2185" s="81">
        <v>0</v>
      </c>
      <c r="AU2185" s="81"/>
      <c r="AV2185" s="81"/>
      <c r="AW2185" s="81"/>
      <c r="AX2185" s="81"/>
      <c r="AY2185" s="81"/>
      <c r="AZ2185" s="81"/>
      <c r="BA2185" s="81"/>
      <c r="BB2185" s="81"/>
    </row>
    <row r="2186" spans="1:54" x14ac:dyDescent="0.35">
      <c r="A2186" s="66" t="s">
        <v>4966</v>
      </c>
      <c r="B2186" s="66" t="s">
        <v>5230</v>
      </c>
      <c r="C2186" s="67"/>
      <c r="D2186" s="68"/>
      <c r="E2186" s="69"/>
      <c r="F2186" s="70"/>
      <c r="G2186" s="67"/>
      <c r="H2186" s="71"/>
      <c r="I2186" s="72"/>
      <c r="J2186" s="72"/>
      <c r="K2186" s="36"/>
      <c r="L2186" s="79"/>
      <c r="M2186" s="79"/>
      <c r="N2186" s="74"/>
      <c r="O2186" s="81" t="s">
        <v>694</v>
      </c>
      <c r="P2186" s="83">
        <v>44463.970462962963</v>
      </c>
      <c r="Q2186" s="81" t="s">
        <v>5654</v>
      </c>
      <c r="R2186" s="84" t="str">
        <f>HYPERLINK("https://auditoriacidada.org.br/")</f>
        <v>https://auditoriacidada.org.br/</v>
      </c>
      <c r="S2186" s="81" t="s">
        <v>5696</v>
      </c>
      <c r="T2186" s="81"/>
      <c r="U2186" s="81"/>
      <c r="V2186" s="84" t="str">
        <f>HYPERLINK("https://pbs.twimg.com/profile_images/1281040610372222982/GJuyvmvD_normal.jpg")</f>
        <v>https://pbs.twimg.com/profile_images/1281040610372222982/GJuyvmvD_normal.jpg</v>
      </c>
      <c r="W2186" s="83">
        <v>44463.970462962963</v>
      </c>
      <c r="X2186" s="89">
        <v>44463</v>
      </c>
      <c r="Y2186" s="86" t="s">
        <v>6653</v>
      </c>
      <c r="Z2186" s="84" t="str">
        <f>HYPERLINK("https://twitter.com/lotemarcio/status/1441542329370824704")</f>
        <v>https://twitter.com/lotemarcio/status/1441542329370824704</v>
      </c>
      <c r="AA2186" s="81"/>
      <c r="AB2186" s="81"/>
      <c r="AC2186" s="86" t="s">
        <v>7578</v>
      </c>
      <c r="AD2186" s="81"/>
      <c r="AE2186" s="81" t="b">
        <v>0</v>
      </c>
      <c r="AF2186" s="81">
        <v>0</v>
      </c>
      <c r="AG2186" s="86" t="s">
        <v>2084</v>
      </c>
      <c r="AH2186" s="81" t="b">
        <v>0</v>
      </c>
      <c r="AI2186" s="81" t="s">
        <v>2171</v>
      </c>
      <c r="AJ2186" s="81"/>
      <c r="AK2186" s="86" t="s">
        <v>2084</v>
      </c>
      <c r="AL2186" s="81" t="b">
        <v>0</v>
      </c>
      <c r="AM2186" s="81">
        <v>4</v>
      </c>
      <c r="AN2186" s="86" t="s">
        <v>7580</v>
      </c>
      <c r="AO2186" s="86" t="s">
        <v>2178</v>
      </c>
      <c r="AP2186" s="81" t="b">
        <v>0</v>
      </c>
      <c r="AQ2186" s="86" t="s">
        <v>7580</v>
      </c>
      <c r="AR2186" s="81" t="s">
        <v>179</v>
      </c>
      <c r="AS2186" s="81">
        <v>0</v>
      </c>
      <c r="AT2186" s="81">
        <v>0</v>
      </c>
      <c r="AU2186" s="81"/>
      <c r="AV2186" s="81"/>
      <c r="AW2186" s="81"/>
      <c r="AX2186" s="81"/>
      <c r="AY2186" s="81"/>
      <c r="AZ2186" s="81"/>
      <c r="BA2186" s="81"/>
      <c r="BB2186" s="81"/>
    </row>
    <row r="2187" spans="1:54" x14ac:dyDescent="0.35">
      <c r="A2187" s="66" t="s">
        <v>4966</v>
      </c>
      <c r="B2187" s="66" t="s">
        <v>4946</v>
      </c>
      <c r="C2187" s="67"/>
      <c r="D2187" s="68"/>
      <c r="E2187" s="69"/>
      <c r="F2187" s="70"/>
      <c r="G2187" s="67"/>
      <c r="H2187" s="71"/>
      <c r="I2187" s="72"/>
      <c r="J2187" s="72"/>
      <c r="K2187" s="36"/>
      <c r="L2187" s="79"/>
      <c r="M2187" s="79"/>
      <c r="N2187" s="74"/>
      <c r="O2187" s="81" t="s">
        <v>694</v>
      </c>
      <c r="P2187" s="83">
        <v>44463.970462962963</v>
      </c>
      <c r="Q2187" s="81" t="s">
        <v>5654</v>
      </c>
      <c r="R2187" s="84" t="str">
        <f>HYPERLINK("https://auditoriacidada.org.br/")</f>
        <v>https://auditoriacidada.org.br/</v>
      </c>
      <c r="S2187" s="81" t="s">
        <v>5696</v>
      </c>
      <c r="T2187" s="81"/>
      <c r="U2187" s="81"/>
      <c r="V2187" s="84" t="str">
        <f>HYPERLINK("https://pbs.twimg.com/profile_images/1281040610372222982/GJuyvmvD_normal.jpg")</f>
        <v>https://pbs.twimg.com/profile_images/1281040610372222982/GJuyvmvD_normal.jpg</v>
      </c>
      <c r="W2187" s="83">
        <v>44463.970462962963</v>
      </c>
      <c r="X2187" s="89">
        <v>44463</v>
      </c>
      <c r="Y2187" s="86" t="s">
        <v>6653</v>
      </c>
      <c r="Z2187" s="84" t="str">
        <f>HYPERLINK("https://twitter.com/lotemarcio/status/1441542329370824704")</f>
        <v>https://twitter.com/lotemarcio/status/1441542329370824704</v>
      </c>
      <c r="AA2187" s="81"/>
      <c r="AB2187" s="81"/>
      <c r="AC2187" s="86" t="s">
        <v>7578</v>
      </c>
      <c r="AD2187" s="81"/>
      <c r="AE2187" s="81" t="b">
        <v>0</v>
      </c>
      <c r="AF2187" s="81">
        <v>0</v>
      </c>
      <c r="AG2187" s="86" t="s">
        <v>2084</v>
      </c>
      <c r="AH2187" s="81" t="b">
        <v>0</v>
      </c>
      <c r="AI2187" s="81" t="s">
        <v>2171</v>
      </c>
      <c r="AJ2187" s="81"/>
      <c r="AK2187" s="86" t="s">
        <v>2084</v>
      </c>
      <c r="AL2187" s="81" t="b">
        <v>0</v>
      </c>
      <c r="AM2187" s="81">
        <v>4</v>
      </c>
      <c r="AN2187" s="86" t="s">
        <v>7580</v>
      </c>
      <c r="AO2187" s="86" t="s">
        <v>2178</v>
      </c>
      <c r="AP2187" s="81" t="b">
        <v>0</v>
      </c>
      <c r="AQ2187" s="86" t="s">
        <v>7580</v>
      </c>
      <c r="AR2187" s="81" t="s">
        <v>179</v>
      </c>
      <c r="AS2187" s="81">
        <v>0</v>
      </c>
      <c r="AT2187" s="81">
        <v>0</v>
      </c>
      <c r="AU2187" s="81"/>
      <c r="AV2187" s="81"/>
      <c r="AW2187" s="81"/>
      <c r="AX2187" s="81"/>
      <c r="AY2187" s="81"/>
      <c r="AZ2187" s="81"/>
      <c r="BA2187" s="81"/>
      <c r="BB2187" s="81"/>
    </row>
    <row r="2188" spans="1:54" x14ac:dyDescent="0.35">
      <c r="A2188" s="66" t="s">
        <v>4966</v>
      </c>
      <c r="B2188" s="66" t="s">
        <v>5231</v>
      </c>
      <c r="C2188" s="67"/>
      <c r="D2188" s="68"/>
      <c r="E2188" s="69"/>
      <c r="F2188" s="70"/>
      <c r="G2188" s="67"/>
      <c r="H2188" s="71"/>
      <c r="I2188" s="72"/>
      <c r="J2188" s="72"/>
      <c r="K2188" s="36"/>
      <c r="L2188" s="79"/>
      <c r="M2188" s="79"/>
      <c r="N2188" s="74"/>
      <c r="O2188" s="81" t="s">
        <v>694</v>
      </c>
      <c r="P2188" s="83">
        <v>44463.970462962963</v>
      </c>
      <c r="Q2188" s="81" t="s">
        <v>5654</v>
      </c>
      <c r="R2188" s="84" t="str">
        <f>HYPERLINK("https://auditoriacidada.org.br/")</f>
        <v>https://auditoriacidada.org.br/</v>
      </c>
      <c r="S2188" s="81" t="s">
        <v>5696</v>
      </c>
      <c r="T2188" s="81"/>
      <c r="U2188" s="81"/>
      <c r="V2188" s="84" t="str">
        <f>HYPERLINK("https://pbs.twimg.com/profile_images/1281040610372222982/GJuyvmvD_normal.jpg")</f>
        <v>https://pbs.twimg.com/profile_images/1281040610372222982/GJuyvmvD_normal.jpg</v>
      </c>
      <c r="W2188" s="83">
        <v>44463.970462962963</v>
      </c>
      <c r="X2188" s="89">
        <v>44463</v>
      </c>
      <c r="Y2188" s="86" t="s">
        <v>6653</v>
      </c>
      <c r="Z2188" s="84" t="str">
        <f>HYPERLINK("https://twitter.com/lotemarcio/status/1441542329370824704")</f>
        <v>https://twitter.com/lotemarcio/status/1441542329370824704</v>
      </c>
      <c r="AA2188" s="81"/>
      <c r="AB2188" s="81"/>
      <c r="AC2188" s="86" t="s">
        <v>7578</v>
      </c>
      <c r="AD2188" s="81"/>
      <c r="AE2188" s="81" t="b">
        <v>0</v>
      </c>
      <c r="AF2188" s="81">
        <v>0</v>
      </c>
      <c r="AG2188" s="86" t="s">
        <v>2084</v>
      </c>
      <c r="AH2188" s="81" t="b">
        <v>0</v>
      </c>
      <c r="AI2188" s="81" t="s">
        <v>2171</v>
      </c>
      <c r="AJ2188" s="81"/>
      <c r="AK2188" s="86" t="s">
        <v>2084</v>
      </c>
      <c r="AL2188" s="81" t="b">
        <v>0</v>
      </c>
      <c r="AM2188" s="81">
        <v>4</v>
      </c>
      <c r="AN2188" s="86" t="s">
        <v>7580</v>
      </c>
      <c r="AO2188" s="86" t="s">
        <v>2178</v>
      </c>
      <c r="AP2188" s="81" t="b">
        <v>0</v>
      </c>
      <c r="AQ2188" s="86" t="s">
        <v>7580</v>
      </c>
      <c r="AR2188" s="81" t="s">
        <v>179</v>
      </c>
      <c r="AS2188" s="81">
        <v>0</v>
      </c>
      <c r="AT2188" s="81">
        <v>0</v>
      </c>
      <c r="AU2188" s="81"/>
      <c r="AV2188" s="81"/>
      <c r="AW2188" s="81"/>
      <c r="AX2188" s="81"/>
      <c r="AY2188" s="81"/>
      <c r="AZ2188" s="81"/>
      <c r="BA2188" s="81"/>
      <c r="BB2188" s="81"/>
    </row>
    <row r="2189" spans="1:54" x14ac:dyDescent="0.35">
      <c r="A2189" s="66" t="s">
        <v>4966</v>
      </c>
      <c r="B2189" s="66" t="s">
        <v>5232</v>
      </c>
      <c r="C2189" s="67"/>
      <c r="D2189" s="68"/>
      <c r="E2189" s="69"/>
      <c r="F2189" s="70"/>
      <c r="G2189" s="67"/>
      <c r="H2189" s="71"/>
      <c r="I2189" s="72"/>
      <c r="J2189" s="72"/>
      <c r="K2189" s="36"/>
      <c r="L2189" s="79"/>
      <c r="M2189" s="79"/>
      <c r="N2189" s="74"/>
      <c r="O2189" s="81" t="s">
        <v>694</v>
      </c>
      <c r="P2189" s="83">
        <v>44463.970462962963</v>
      </c>
      <c r="Q2189" s="81" t="s">
        <v>5654</v>
      </c>
      <c r="R2189" s="84" t="str">
        <f>HYPERLINK("https://auditoriacidada.org.br/")</f>
        <v>https://auditoriacidada.org.br/</v>
      </c>
      <c r="S2189" s="81" t="s">
        <v>5696</v>
      </c>
      <c r="T2189" s="81"/>
      <c r="U2189" s="81"/>
      <c r="V2189" s="84" t="str">
        <f>HYPERLINK("https://pbs.twimg.com/profile_images/1281040610372222982/GJuyvmvD_normal.jpg")</f>
        <v>https://pbs.twimg.com/profile_images/1281040610372222982/GJuyvmvD_normal.jpg</v>
      </c>
      <c r="W2189" s="83">
        <v>44463.970462962963</v>
      </c>
      <c r="X2189" s="89">
        <v>44463</v>
      </c>
      <c r="Y2189" s="86" t="s">
        <v>6653</v>
      </c>
      <c r="Z2189" s="84" t="str">
        <f>HYPERLINK("https://twitter.com/lotemarcio/status/1441542329370824704")</f>
        <v>https://twitter.com/lotemarcio/status/1441542329370824704</v>
      </c>
      <c r="AA2189" s="81"/>
      <c r="AB2189" s="81"/>
      <c r="AC2189" s="86" t="s">
        <v>7578</v>
      </c>
      <c r="AD2189" s="81"/>
      <c r="AE2189" s="81" t="b">
        <v>0</v>
      </c>
      <c r="AF2189" s="81">
        <v>0</v>
      </c>
      <c r="AG2189" s="86" t="s">
        <v>2084</v>
      </c>
      <c r="AH2189" s="81" t="b">
        <v>0</v>
      </c>
      <c r="AI2189" s="81" t="s">
        <v>2171</v>
      </c>
      <c r="AJ2189" s="81"/>
      <c r="AK2189" s="86" t="s">
        <v>2084</v>
      </c>
      <c r="AL2189" s="81" t="b">
        <v>0</v>
      </c>
      <c r="AM2189" s="81">
        <v>4</v>
      </c>
      <c r="AN2189" s="86" t="s">
        <v>7580</v>
      </c>
      <c r="AO2189" s="86" t="s">
        <v>2178</v>
      </c>
      <c r="AP2189" s="81" t="b">
        <v>0</v>
      </c>
      <c r="AQ2189" s="86" t="s">
        <v>7580</v>
      </c>
      <c r="AR2189" s="81" t="s">
        <v>179</v>
      </c>
      <c r="AS2189" s="81">
        <v>0</v>
      </c>
      <c r="AT2189" s="81">
        <v>0</v>
      </c>
      <c r="AU2189" s="81"/>
      <c r="AV2189" s="81"/>
      <c r="AW2189" s="81"/>
      <c r="AX2189" s="81"/>
      <c r="AY2189" s="81"/>
      <c r="AZ2189" s="81"/>
      <c r="BA2189" s="81"/>
      <c r="BB2189" s="81"/>
    </row>
    <row r="2190" spans="1:54" x14ac:dyDescent="0.35">
      <c r="A2190" s="66" t="s">
        <v>4966</v>
      </c>
      <c r="B2190" s="66" t="s">
        <v>5233</v>
      </c>
      <c r="C2190" s="67"/>
      <c r="D2190" s="68"/>
      <c r="E2190" s="69"/>
      <c r="F2190" s="70"/>
      <c r="G2190" s="67"/>
      <c r="H2190" s="71"/>
      <c r="I2190" s="72"/>
      <c r="J2190" s="72"/>
      <c r="K2190" s="36"/>
      <c r="L2190" s="79"/>
      <c r="M2190" s="79"/>
      <c r="N2190" s="74"/>
      <c r="O2190" s="81" t="s">
        <v>694</v>
      </c>
      <c r="P2190" s="83">
        <v>44463.970462962963</v>
      </c>
      <c r="Q2190" s="81" t="s">
        <v>5654</v>
      </c>
      <c r="R2190" s="84" t="str">
        <f>HYPERLINK("https://auditoriacidada.org.br/")</f>
        <v>https://auditoriacidada.org.br/</v>
      </c>
      <c r="S2190" s="81" t="s">
        <v>5696</v>
      </c>
      <c r="T2190" s="81"/>
      <c r="U2190" s="81"/>
      <c r="V2190" s="84" t="str">
        <f>HYPERLINK("https://pbs.twimg.com/profile_images/1281040610372222982/GJuyvmvD_normal.jpg")</f>
        <v>https://pbs.twimg.com/profile_images/1281040610372222982/GJuyvmvD_normal.jpg</v>
      </c>
      <c r="W2190" s="83">
        <v>44463.970462962963</v>
      </c>
      <c r="X2190" s="89">
        <v>44463</v>
      </c>
      <c r="Y2190" s="86" t="s">
        <v>6653</v>
      </c>
      <c r="Z2190" s="84" t="str">
        <f>HYPERLINK("https://twitter.com/lotemarcio/status/1441542329370824704")</f>
        <v>https://twitter.com/lotemarcio/status/1441542329370824704</v>
      </c>
      <c r="AA2190" s="81"/>
      <c r="AB2190" s="81"/>
      <c r="AC2190" s="86" t="s">
        <v>7578</v>
      </c>
      <c r="AD2190" s="81"/>
      <c r="AE2190" s="81" t="b">
        <v>0</v>
      </c>
      <c r="AF2190" s="81">
        <v>0</v>
      </c>
      <c r="AG2190" s="86" t="s">
        <v>2084</v>
      </c>
      <c r="AH2190" s="81" t="b">
        <v>0</v>
      </c>
      <c r="AI2190" s="81" t="s">
        <v>2171</v>
      </c>
      <c r="AJ2190" s="81"/>
      <c r="AK2190" s="86" t="s">
        <v>2084</v>
      </c>
      <c r="AL2190" s="81" t="b">
        <v>0</v>
      </c>
      <c r="AM2190" s="81">
        <v>4</v>
      </c>
      <c r="AN2190" s="86" t="s">
        <v>7580</v>
      </c>
      <c r="AO2190" s="86" t="s">
        <v>2178</v>
      </c>
      <c r="AP2190" s="81" t="b">
        <v>0</v>
      </c>
      <c r="AQ2190" s="86" t="s">
        <v>7580</v>
      </c>
      <c r="AR2190" s="81" t="s">
        <v>179</v>
      </c>
      <c r="AS2190" s="81">
        <v>0</v>
      </c>
      <c r="AT2190" s="81">
        <v>0</v>
      </c>
      <c r="AU2190" s="81"/>
      <c r="AV2190" s="81"/>
      <c r="AW2190" s="81"/>
      <c r="AX2190" s="81"/>
      <c r="AY2190" s="81"/>
      <c r="AZ2190" s="81"/>
      <c r="BA2190" s="81"/>
      <c r="BB2190" s="81"/>
    </row>
    <row r="2191" spans="1:54" x14ac:dyDescent="0.35">
      <c r="A2191" s="66" t="s">
        <v>4966</v>
      </c>
      <c r="B2191" s="66" t="s">
        <v>5234</v>
      </c>
      <c r="C2191" s="67"/>
      <c r="D2191" s="68"/>
      <c r="E2191" s="69"/>
      <c r="F2191" s="70"/>
      <c r="G2191" s="67"/>
      <c r="H2191" s="71"/>
      <c r="I2191" s="72"/>
      <c r="J2191" s="72"/>
      <c r="K2191" s="36"/>
      <c r="L2191" s="79"/>
      <c r="M2191" s="79"/>
      <c r="N2191" s="74"/>
      <c r="O2191" s="81" t="s">
        <v>694</v>
      </c>
      <c r="P2191" s="83">
        <v>44463.970462962963</v>
      </c>
      <c r="Q2191" s="81" t="s">
        <v>5654</v>
      </c>
      <c r="R2191" s="84" t="str">
        <f>HYPERLINK("https://auditoriacidada.org.br/")</f>
        <v>https://auditoriacidada.org.br/</v>
      </c>
      <c r="S2191" s="81" t="s">
        <v>5696</v>
      </c>
      <c r="T2191" s="81"/>
      <c r="U2191" s="81"/>
      <c r="V2191" s="84" t="str">
        <f>HYPERLINK("https://pbs.twimg.com/profile_images/1281040610372222982/GJuyvmvD_normal.jpg")</f>
        <v>https://pbs.twimg.com/profile_images/1281040610372222982/GJuyvmvD_normal.jpg</v>
      </c>
      <c r="W2191" s="83">
        <v>44463.970462962963</v>
      </c>
      <c r="X2191" s="89">
        <v>44463</v>
      </c>
      <c r="Y2191" s="86" t="s">
        <v>6653</v>
      </c>
      <c r="Z2191" s="84" t="str">
        <f>HYPERLINK("https://twitter.com/lotemarcio/status/1441542329370824704")</f>
        <v>https://twitter.com/lotemarcio/status/1441542329370824704</v>
      </c>
      <c r="AA2191" s="81"/>
      <c r="AB2191" s="81"/>
      <c r="AC2191" s="86" t="s">
        <v>7578</v>
      </c>
      <c r="AD2191" s="81"/>
      <c r="AE2191" s="81" t="b">
        <v>0</v>
      </c>
      <c r="AF2191" s="81">
        <v>0</v>
      </c>
      <c r="AG2191" s="86" t="s">
        <v>2084</v>
      </c>
      <c r="AH2191" s="81" t="b">
        <v>0</v>
      </c>
      <c r="AI2191" s="81" t="s">
        <v>2171</v>
      </c>
      <c r="AJ2191" s="81"/>
      <c r="AK2191" s="86" t="s">
        <v>2084</v>
      </c>
      <c r="AL2191" s="81" t="b">
        <v>0</v>
      </c>
      <c r="AM2191" s="81">
        <v>4</v>
      </c>
      <c r="AN2191" s="86" t="s">
        <v>7580</v>
      </c>
      <c r="AO2191" s="86" t="s">
        <v>2178</v>
      </c>
      <c r="AP2191" s="81" t="b">
        <v>0</v>
      </c>
      <c r="AQ2191" s="86" t="s">
        <v>7580</v>
      </c>
      <c r="AR2191" s="81" t="s">
        <v>179</v>
      </c>
      <c r="AS2191" s="81">
        <v>0</v>
      </c>
      <c r="AT2191" s="81">
        <v>0</v>
      </c>
      <c r="AU2191" s="81"/>
      <c r="AV2191" s="81"/>
      <c r="AW2191" s="81"/>
      <c r="AX2191" s="81"/>
      <c r="AY2191" s="81"/>
      <c r="AZ2191" s="81"/>
      <c r="BA2191" s="81"/>
      <c r="BB2191" s="81"/>
    </row>
    <row r="2192" spans="1:54" x14ac:dyDescent="0.35">
      <c r="A2192" s="66" t="s">
        <v>4966</v>
      </c>
      <c r="B2192" s="66" t="s">
        <v>4965</v>
      </c>
      <c r="C2192" s="67"/>
      <c r="D2192" s="68"/>
      <c r="E2192" s="69"/>
      <c r="F2192" s="70"/>
      <c r="G2192" s="67"/>
      <c r="H2192" s="71"/>
      <c r="I2192" s="72"/>
      <c r="J2192" s="72"/>
      <c r="K2192" s="36"/>
      <c r="L2192" s="79"/>
      <c r="M2192" s="79"/>
      <c r="N2192" s="74"/>
      <c r="O2192" s="81" t="s">
        <v>694</v>
      </c>
      <c r="P2192" s="83">
        <v>44463.970462962963</v>
      </c>
      <c r="Q2192" s="81" t="s">
        <v>5654</v>
      </c>
      <c r="R2192" s="84" t="str">
        <f>HYPERLINK("https://auditoriacidada.org.br/")</f>
        <v>https://auditoriacidada.org.br/</v>
      </c>
      <c r="S2192" s="81" t="s">
        <v>5696</v>
      </c>
      <c r="T2192" s="81"/>
      <c r="U2192" s="81"/>
      <c r="V2192" s="84" t="str">
        <f>HYPERLINK("https://pbs.twimg.com/profile_images/1281040610372222982/GJuyvmvD_normal.jpg")</f>
        <v>https://pbs.twimg.com/profile_images/1281040610372222982/GJuyvmvD_normal.jpg</v>
      </c>
      <c r="W2192" s="83">
        <v>44463.970462962963</v>
      </c>
      <c r="X2192" s="89">
        <v>44463</v>
      </c>
      <c r="Y2192" s="86" t="s">
        <v>6653</v>
      </c>
      <c r="Z2192" s="84" t="str">
        <f>HYPERLINK("https://twitter.com/lotemarcio/status/1441542329370824704")</f>
        <v>https://twitter.com/lotemarcio/status/1441542329370824704</v>
      </c>
      <c r="AA2192" s="81"/>
      <c r="AB2192" s="81"/>
      <c r="AC2192" s="86" t="s">
        <v>7578</v>
      </c>
      <c r="AD2192" s="81"/>
      <c r="AE2192" s="81" t="b">
        <v>0</v>
      </c>
      <c r="AF2192" s="81">
        <v>0</v>
      </c>
      <c r="AG2192" s="86" t="s">
        <v>2084</v>
      </c>
      <c r="AH2192" s="81" t="b">
        <v>0</v>
      </c>
      <c r="AI2192" s="81" t="s">
        <v>2171</v>
      </c>
      <c r="AJ2192" s="81"/>
      <c r="AK2192" s="86" t="s">
        <v>2084</v>
      </c>
      <c r="AL2192" s="81" t="b">
        <v>0</v>
      </c>
      <c r="AM2192" s="81">
        <v>4</v>
      </c>
      <c r="AN2192" s="86" t="s">
        <v>7580</v>
      </c>
      <c r="AO2192" s="86" t="s">
        <v>2178</v>
      </c>
      <c r="AP2192" s="81" t="b">
        <v>0</v>
      </c>
      <c r="AQ2192" s="86" t="s">
        <v>7580</v>
      </c>
      <c r="AR2192" s="81" t="s">
        <v>179</v>
      </c>
      <c r="AS2192" s="81">
        <v>0</v>
      </c>
      <c r="AT2192" s="81">
        <v>0</v>
      </c>
      <c r="AU2192" s="81"/>
      <c r="AV2192" s="81"/>
      <c r="AW2192" s="81"/>
      <c r="AX2192" s="81"/>
      <c r="AY2192" s="81"/>
      <c r="AZ2192" s="81"/>
      <c r="BA2192" s="81"/>
      <c r="BB2192" s="81"/>
    </row>
    <row r="2193" spans="1:54" x14ac:dyDescent="0.35">
      <c r="A2193" s="66" t="s">
        <v>4966</v>
      </c>
      <c r="B2193" s="66" t="s">
        <v>5235</v>
      </c>
      <c r="C2193" s="67"/>
      <c r="D2193" s="68"/>
      <c r="E2193" s="69"/>
      <c r="F2193" s="70"/>
      <c r="G2193" s="67"/>
      <c r="H2193" s="71"/>
      <c r="I2193" s="72"/>
      <c r="J2193" s="72"/>
      <c r="K2193" s="36"/>
      <c r="L2193" s="79"/>
      <c r="M2193" s="79"/>
      <c r="N2193" s="74"/>
      <c r="O2193" s="81" t="s">
        <v>694</v>
      </c>
      <c r="P2193" s="83">
        <v>44463.970462962963</v>
      </c>
      <c r="Q2193" s="81" t="s">
        <v>5654</v>
      </c>
      <c r="R2193" s="84" t="str">
        <f>HYPERLINK("https://auditoriacidada.org.br/")</f>
        <v>https://auditoriacidada.org.br/</v>
      </c>
      <c r="S2193" s="81" t="s">
        <v>5696</v>
      </c>
      <c r="T2193" s="81"/>
      <c r="U2193" s="81"/>
      <c r="V2193" s="84" t="str">
        <f>HYPERLINK("https://pbs.twimg.com/profile_images/1281040610372222982/GJuyvmvD_normal.jpg")</f>
        <v>https://pbs.twimg.com/profile_images/1281040610372222982/GJuyvmvD_normal.jpg</v>
      </c>
      <c r="W2193" s="83">
        <v>44463.970462962963</v>
      </c>
      <c r="X2193" s="89">
        <v>44463</v>
      </c>
      <c r="Y2193" s="86" t="s">
        <v>6653</v>
      </c>
      <c r="Z2193" s="84" t="str">
        <f>HYPERLINK("https://twitter.com/lotemarcio/status/1441542329370824704")</f>
        <v>https://twitter.com/lotemarcio/status/1441542329370824704</v>
      </c>
      <c r="AA2193" s="81"/>
      <c r="AB2193" s="81"/>
      <c r="AC2193" s="86" t="s">
        <v>7578</v>
      </c>
      <c r="AD2193" s="81"/>
      <c r="AE2193" s="81" t="b">
        <v>0</v>
      </c>
      <c r="AF2193" s="81">
        <v>0</v>
      </c>
      <c r="AG2193" s="86" t="s">
        <v>2084</v>
      </c>
      <c r="AH2193" s="81" t="b">
        <v>0</v>
      </c>
      <c r="AI2193" s="81" t="s">
        <v>2171</v>
      </c>
      <c r="AJ2193" s="81"/>
      <c r="AK2193" s="86" t="s">
        <v>2084</v>
      </c>
      <c r="AL2193" s="81" t="b">
        <v>0</v>
      </c>
      <c r="AM2193" s="81">
        <v>4</v>
      </c>
      <c r="AN2193" s="86" t="s">
        <v>7580</v>
      </c>
      <c r="AO2193" s="86" t="s">
        <v>2178</v>
      </c>
      <c r="AP2193" s="81" t="b">
        <v>0</v>
      </c>
      <c r="AQ2193" s="86" t="s">
        <v>7580</v>
      </c>
      <c r="AR2193" s="81" t="s">
        <v>179</v>
      </c>
      <c r="AS2193" s="81">
        <v>0</v>
      </c>
      <c r="AT2193" s="81">
        <v>0</v>
      </c>
      <c r="AU2193" s="81"/>
      <c r="AV2193" s="81"/>
      <c r="AW2193" s="81"/>
      <c r="AX2193" s="81"/>
      <c r="AY2193" s="81"/>
      <c r="AZ2193" s="81"/>
      <c r="BA2193" s="81"/>
      <c r="BB2193" s="81"/>
    </row>
    <row r="2194" spans="1:54" x14ac:dyDescent="0.35">
      <c r="A2194" s="66" t="s">
        <v>4966</v>
      </c>
      <c r="B2194" s="66" t="s">
        <v>5236</v>
      </c>
      <c r="C2194" s="67"/>
      <c r="D2194" s="68"/>
      <c r="E2194" s="69"/>
      <c r="F2194" s="70"/>
      <c r="G2194" s="67"/>
      <c r="H2194" s="71"/>
      <c r="I2194" s="72"/>
      <c r="J2194" s="72"/>
      <c r="K2194" s="36"/>
      <c r="L2194" s="79"/>
      <c r="M2194" s="79"/>
      <c r="N2194" s="74"/>
      <c r="O2194" s="81" t="s">
        <v>694</v>
      </c>
      <c r="P2194" s="83">
        <v>44463.970462962963</v>
      </c>
      <c r="Q2194" s="81" t="s">
        <v>5654</v>
      </c>
      <c r="R2194" s="84" t="str">
        <f>HYPERLINK("https://auditoriacidada.org.br/")</f>
        <v>https://auditoriacidada.org.br/</v>
      </c>
      <c r="S2194" s="81" t="s">
        <v>5696</v>
      </c>
      <c r="T2194" s="81"/>
      <c r="U2194" s="81"/>
      <c r="V2194" s="84" t="str">
        <f>HYPERLINK("https://pbs.twimg.com/profile_images/1281040610372222982/GJuyvmvD_normal.jpg")</f>
        <v>https://pbs.twimg.com/profile_images/1281040610372222982/GJuyvmvD_normal.jpg</v>
      </c>
      <c r="W2194" s="83">
        <v>44463.970462962963</v>
      </c>
      <c r="X2194" s="89">
        <v>44463</v>
      </c>
      <c r="Y2194" s="86" t="s">
        <v>6653</v>
      </c>
      <c r="Z2194" s="84" t="str">
        <f>HYPERLINK("https://twitter.com/lotemarcio/status/1441542329370824704")</f>
        <v>https://twitter.com/lotemarcio/status/1441542329370824704</v>
      </c>
      <c r="AA2194" s="81"/>
      <c r="AB2194" s="81"/>
      <c r="AC2194" s="86" t="s">
        <v>7578</v>
      </c>
      <c r="AD2194" s="81"/>
      <c r="AE2194" s="81" t="b">
        <v>0</v>
      </c>
      <c r="AF2194" s="81">
        <v>0</v>
      </c>
      <c r="AG2194" s="86" t="s">
        <v>2084</v>
      </c>
      <c r="AH2194" s="81" t="b">
        <v>0</v>
      </c>
      <c r="AI2194" s="81" t="s">
        <v>2171</v>
      </c>
      <c r="AJ2194" s="81"/>
      <c r="AK2194" s="86" t="s">
        <v>2084</v>
      </c>
      <c r="AL2194" s="81" t="b">
        <v>0</v>
      </c>
      <c r="AM2194" s="81">
        <v>4</v>
      </c>
      <c r="AN2194" s="86" t="s">
        <v>7580</v>
      </c>
      <c r="AO2194" s="86" t="s">
        <v>2178</v>
      </c>
      <c r="AP2194" s="81" t="b">
        <v>0</v>
      </c>
      <c r="AQ2194" s="86" t="s">
        <v>7580</v>
      </c>
      <c r="AR2194" s="81" t="s">
        <v>179</v>
      </c>
      <c r="AS2194" s="81">
        <v>0</v>
      </c>
      <c r="AT2194" s="81">
        <v>0</v>
      </c>
      <c r="AU2194" s="81"/>
      <c r="AV2194" s="81"/>
      <c r="AW2194" s="81"/>
      <c r="AX2194" s="81"/>
      <c r="AY2194" s="81"/>
      <c r="AZ2194" s="81"/>
      <c r="BA2194" s="81"/>
      <c r="BB2194" s="81"/>
    </row>
    <row r="2195" spans="1:54" x14ac:dyDescent="0.35">
      <c r="A2195" s="66" t="s">
        <v>4966</v>
      </c>
      <c r="B2195" s="66" t="s">
        <v>5237</v>
      </c>
      <c r="C2195" s="67"/>
      <c r="D2195" s="68"/>
      <c r="E2195" s="69"/>
      <c r="F2195" s="70"/>
      <c r="G2195" s="67"/>
      <c r="H2195" s="71"/>
      <c r="I2195" s="72"/>
      <c r="J2195" s="72"/>
      <c r="K2195" s="36"/>
      <c r="L2195" s="79"/>
      <c r="M2195" s="79"/>
      <c r="N2195" s="74"/>
      <c r="O2195" s="81" t="s">
        <v>694</v>
      </c>
      <c r="P2195" s="83">
        <v>44463.970462962963</v>
      </c>
      <c r="Q2195" s="81" t="s">
        <v>5654</v>
      </c>
      <c r="R2195" s="84" t="str">
        <f>HYPERLINK("https://auditoriacidada.org.br/")</f>
        <v>https://auditoriacidada.org.br/</v>
      </c>
      <c r="S2195" s="81" t="s">
        <v>5696</v>
      </c>
      <c r="T2195" s="81"/>
      <c r="U2195" s="81"/>
      <c r="V2195" s="84" t="str">
        <f>HYPERLINK("https://pbs.twimg.com/profile_images/1281040610372222982/GJuyvmvD_normal.jpg")</f>
        <v>https://pbs.twimg.com/profile_images/1281040610372222982/GJuyvmvD_normal.jpg</v>
      </c>
      <c r="W2195" s="83">
        <v>44463.970462962963</v>
      </c>
      <c r="X2195" s="89">
        <v>44463</v>
      </c>
      <c r="Y2195" s="86" t="s">
        <v>6653</v>
      </c>
      <c r="Z2195" s="84" t="str">
        <f>HYPERLINK("https://twitter.com/lotemarcio/status/1441542329370824704")</f>
        <v>https://twitter.com/lotemarcio/status/1441542329370824704</v>
      </c>
      <c r="AA2195" s="81"/>
      <c r="AB2195" s="81"/>
      <c r="AC2195" s="86" t="s">
        <v>7578</v>
      </c>
      <c r="AD2195" s="81"/>
      <c r="AE2195" s="81" t="b">
        <v>0</v>
      </c>
      <c r="AF2195" s="81">
        <v>0</v>
      </c>
      <c r="AG2195" s="86" t="s">
        <v>2084</v>
      </c>
      <c r="AH2195" s="81" t="b">
        <v>0</v>
      </c>
      <c r="AI2195" s="81" t="s">
        <v>2171</v>
      </c>
      <c r="AJ2195" s="81"/>
      <c r="AK2195" s="86" t="s">
        <v>2084</v>
      </c>
      <c r="AL2195" s="81" t="b">
        <v>0</v>
      </c>
      <c r="AM2195" s="81">
        <v>4</v>
      </c>
      <c r="AN2195" s="86" t="s">
        <v>7580</v>
      </c>
      <c r="AO2195" s="86" t="s">
        <v>2178</v>
      </c>
      <c r="AP2195" s="81" t="b">
        <v>0</v>
      </c>
      <c r="AQ2195" s="86" t="s">
        <v>7580</v>
      </c>
      <c r="AR2195" s="81" t="s">
        <v>179</v>
      </c>
      <c r="AS2195" s="81">
        <v>0</v>
      </c>
      <c r="AT2195" s="81">
        <v>0</v>
      </c>
      <c r="AU2195" s="81"/>
      <c r="AV2195" s="81"/>
      <c r="AW2195" s="81"/>
      <c r="AX2195" s="81"/>
      <c r="AY2195" s="81"/>
      <c r="AZ2195" s="81"/>
      <c r="BA2195" s="81"/>
      <c r="BB2195" s="81"/>
    </row>
    <row r="2196" spans="1:54" x14ac:dyDescent="0.35">
      <c r="A2196" s="66" t="s">
        <v>4966</v>
      </c>
      <c r="B2196" s="66" t="s">
        <v>5238</v>
      </c>
      <c r="C2196" s="67"/>
      <c r="D2196" s="68"/>
      <c r="E2196" s="69"/>
      <c r="F2196" s="70"/>
      <c r="G2196" s="67"/>
      <c r="H2196" s="71"/>
      <c r="I2196" s="72"/>
      <c r="J2196" s="72"/>
      <c r="K2196" s="36"/>
      <c r="L2196" s="79"/>
      <c r="M2196" s="79"/>
      <c r="N2196" s="74"/>
      <c r="O2196" s="81" t="s">
        <v>694</v>
      </c>
      <c r="P2196" s="83">
        <v>44463.970462962963</v>
      </c>
      <c r="Q2196" s="81" t="s">
        <v>5654</v>
      </c>
      <c r="R2196" s="84" t="str">
        <f>HYPERLINK("https://auditoriacidada.org.br/")</f>
        <v>https://auditoriacidada.org.br/</v>
      </c>
      <c r="S2196" s="81" t="s">
        <v>5696</v>
      </c>
      <c r="T2196" s="81"/>
      <c r="U2196" s="81"/>
      <c r="V2196" s="84" t="str">
        <f>HYPERLINK("https://pbs.twimg.com/profile_images/1281040610372222982/GJuyvmvD_normal.jpg")</f>
        <v>https://pbs.twimg.com/profile_images/1281040610372222982/GJuyvmvD_normal.jpg</v>
      </c>
      <c r="W2196" s="83">
        <v>44463.970462962963</v>
      </c>
      <c r="X2196" s="89">
        <v>44463</v>
      </c>
      <c r="Y2196" s="86" t="s">
        <v>6653</v>
      </c>
      <c r="Z2196" s="84" t="str">
        <f>HYPERLINK("https://twitter.com/lotemarcio/status/1441542329370824704")</f>
        <v>https://twitter.com/lotemarcio/status/1441542329370824704</v>
      </c>
      <c r="AA2196" s="81"/>
      <c r="AB2196" s="81"/>
      <c r="AC2196" s="86" t="s">
        <v>7578</v>
      </c>
      <c r="AD2196" s="81"/>
      <c r="AE2196" s="81" t="b">
        <v>0</v>
      </c>
      <c r="AF2196" s="81">
        <v>0</v>
      </c>
      <c r="AG2196" s="86" t="s">
        <v>2084</v>
      </c>
      <c r="AH2196" s="81" t="b">
        <v>0</v>
      </c>
      <c r="AI2196" s="81" t="s">
        <v>2171</v>
      </c>
      <c r="AJ2196" s="81"/>
      <c r="AK2196" s="86" t="s">
        <v>2084</v>
      </c>
      <c r="AL2196" s="81" t="b">
        <v>0</v>
      </c>
      <c r="AM2196" s="81">
        <v>4</v>
      </c>
      <c r="AN2196" s="86" t="s">
        <v>7580</v>
      </c>
      <c r="AO2196" s="86" t="s">
        <v>2178</v>
      </c>
      <c r="AP2196" s="81" t="b">
        <v>0</v>
      </c>
      <c r="AQ2196" s="86" t="s">
        <v>7580</v>
      </c>
      <c r="AR2196" s="81" t="s">
        <v>179</v>
      </c>
      <c r="AS2196" s="81">
        <v>0</v>
      </c>
      <c r="AT2196" s="81">
        <v>0</v>
      </c>
      <c r="AU2196" s="81"/>
      <c r="AV2196" s="81"/>
      <c r="AW2196" s="81"/>
      <c r="AX2196" s="81"/>
      <c r="AY2196" s="81"/>
      <c r="AZ2196" s="81"/>
      <c r="BA2196" s="81"/>
      <c r="BB2196" s="81"/>
    </row>
    <row r="2197" spans="1:54" x14ac:dyDescent="0.35">
      <c r="A2197" s="66" t="s">
        <v>4966</v>
      </c>
      <c r="B2197" s="66" t="s">
        <v>5239</v>
      </c>
      <c r="C2197" s="67"/>
      <c r="D2197" s="68"/>
      <c r="E2197" s="69"/>
      <c r="F2197" s="70"/>
      <c r="G2197" s="67"/>
      <c r="H2197" s="71"/>
      <c r="I2197" s="72"/>
      <c r="J2197" s="72"/>
      <c r="K2197" s="36"/>
      <c r="L2197" s="79"/>
      <c r="M2197" s="79"/>
      <c r="N2197" s="74"/>
      <c r="O2197" s="81" t="s">
        <v>694</v>
      </c>
      <c r="P2197" s="83">
        <v>44463.970462962963</v>
      </c>
      <c r="Q2197" s="81" t="s">
        <v>5654</v>
      </c>
      <c r="R2197" s="84" t="str">
        <f>HYPERLINK("https://auditoriacidada.org.br/")</f>
        <v>https://auditoriacidada.org.br/</v>
      </c>
      <c r="S2197" s="81" t="s">
        <v>5696</v>
      </c>
      <c r="T2197" s="81"/>
      <c r="U2197" s="81"/>
      <c r="V2197" s="84" t="str">
        <f>HYPERLINK("https://pbs.twimg.com/profile_images/1281040610372222982/GJuyvmvD_normal.jpg")</f>
        <v>https://pbs.twimg.com/profile_images/1281040610372222982/GJuyvmvD_normal.jpg</v>
      </c>
      <c r="W2197" s="83">
        <v>44463.970462962963</v>
      </c>
      <c r="X2197" s="89">
        <v>44463</v>
      </c>
      <c r="Y2197" s="86" t="s">
        <v>6653</v>
      </c>
      <c r="Z2197" s="84" t="str">
        <f>HYPERLINK("https://twitter.com/lotemarcio/status/1441542329370824704")</f>
        <v>https://twitter.com/lotemarcio/status/1441542329370824704</v>
      </c>
      <c r="AA2197" s="81"/>
      <c r="AB2197" s="81"/>
      <c r="AC2197" s="86" t="s">
        <v>7578</v>
      </c>
      <c r="AD2197" s="81"/>
      <c r="AE2197" s="81" t="b">
        <v>0</v>
      </c>
      <c r="AF2197" s="81">
        <v>0</v>
      </c>
      <c r="AG2197" s="86" t="s">
        <v>2084</v>
      </c>
      <c r="AH2197" s="81" t="b">
        <v>0</v>
      </c>
      <c r="AI2197" s="81" t="s">
        <v>2171</v>
      </c>
      <c r="AJ2197" s="81"/>
      <c r="AK2197" s="86" t="s">
        <v>2084</v>
      </c>
      <c r="AL2197" s="81" t="b">
        <v>0</v>
      </c>
      <c r="AM2197" s="81">
        <v>4</v>
      </c>
      <c r="AN2197" s="86" t="s">
        <v>7580</v>
      </c>
      <c r="AO2197" s="86" t="s">
        <v>2178</v>
      </c>
      <c r="AP2197" s="81" t="b">
        <v>0</v>
      </c>
      <c r="AQ2197" s="86" t="s">
        <v>7580</v>
      </c>
      <c r="AR2197" s="81" t="s">
        <v>179</v>
      </c>
      <c r="AS2197" s="81">
        <v>0</v>
      </c>
      <c r="AT2197" s="81">
        <v>0</v>
      </c>
      <c r="AU2197" s="81"/>
      <c r="AV2197" s="81"/>
      <c r="AW2197" s="81"/>
      <c r="AX2197" s="81"/>
      <c r="AY2197" s="81"/>
      <c r="AZ2197" s="81"/>
      <c r="BA2197" s="81"/>
      <c r="BB2197" s="81"/>
    </row>
    <row r="2198" spans="1:54" x14ac:dyDescent="0.35">
      <c r="A2198" s="66" t="s">
        <v>4966</v>
      </c>
      <c r="B2198" s="66" t="s">
        <v>5240</v>
      </c>
      <c r="C2198" s="67"/>
      <c r="D2198" s="68"/>
      <c r="E2198" s="69"/>
      <c r="F2198" s="70"/>
      <c r="G2198" s="67"/>
      <c r="H2198" s="71"/>
      <c r="I2198" s="72"/>
      <c r="J2198" s="72"/>
      <c r="K2198" s="36"/>
      <c r="L2198" s="79"/>
      <c r="M2198" s="79"/>
      <c r="N2198" s="74"/>
      <c r="O2198" s="81" t="s">
        <v>694</v>
      </c>
      <c r="P2198" s="83">
        <v>44463.970462962963</v>
      </c>
      <c r="Q2198" s="81" t="s">
        <v>5654</v>
      </c>
      <c r="R2198" s="84" t="str">
        <f>HYPERLINK("https://auditoriacidada.org.br/")</f>
        <v>https://auditoriacidada.org.br/</v>
      </c>
      <c r="S2198" s="81" t="s">
        <v>5696</v>
      </c>
      <c r="T2198" s="81"/>
      <c r="U2198" s="81"/>
      <c r="V2198" s="84" t="str">
        <f>HYPERLINK("https://pbs.twimg.com/profile_images/1281040610372222982/GJuyvmvD_normal.jpg")</f>
        <v>https://pbs.twimg.com/profile_images/1281040610372222982/GJuyvmvD_normal.jpg</v>
      </c>
      <c r="W2198" s="83">
        <v>44463.970462962963</v>
      </c>
      <c r="X2198" s="89">
        <v>44463</v>
      </c>
      <c r="Y2198" s="86" t="s">
        <v>6653</v>
      </c>
      <c r="Z2198" s="84" t="str">
        <f>HYPERLINK("https://twitter.com/lotemarcio/status/1441542329370824704")</f>
        <v>https://twitter.com/lotemarcio/status/1441542329370824704</v>
      </c>
      <c r="AA2198" s="81"/>
      <c r="AB2198" s="81"/>
      <c r="AC2198" s="86" t="s">
        <v>7578</v>
      </c>
      <c r="AD2198" s="81"/>
      <c r="AE2198" s="81" t="b">
        <v>0</v>
      </c>
      <c r="AF2198" s="81">
        <v>0</v>
      </c>
      <c r="AG2198" s="86" t="s">
        <v>2084</v>
      </c>
      <c r="AH2198" s="81" t="b">
        <v>0</v>
      </c>
      <c r="AI2198" s="81" t="s">
        <v>2171</v>
      </c>
      <c r="AJ2198" s="81"/>
      <c r="AK2198" s="86" t="s">
        <v>2084</v>
      </c>
      <c r="AL2198" s="81" t="b">
        <v>0</v>
      </c>
      <c r="AM2198" s="81">
        <v>4</v>
      </c>
      <c r="AN2198" s="86" t="s">
        <v>7580</v>
      </c>
      <c r="AO2198" s="86" t="s">
        <v>2178</v>
      </c>
      <c r="AP2198" s="81" t="b">
        <v>0</v>
      </c>
      <c r="AQ2198" s="86" t="s">
        <v>7580</v>
      </c>
      <c r="AR2198" s="81" t="s">
        <v>179</v>
      </c>
      <c r="AS2198" s="81">
        <v>0</v>
      </c>
      <c r="AT2198" s="81">
        <v>0</v>
      </c>
      <c r="AU2198" s="81"/>
      <c r="AV2198" s="81"/>
      <c r="AW2198" s="81"/>
      <c r="AX2198" s="81"/>
      <c r="AY2198" s="81"/>
      <c r="AZ2198" s="81"/>
      <c r="BA2198" s="81"/>
      <c r="BB2198" s="81"/>
    </row>
    <row r="2199" spans="1:54" x14ac:dyDescent="0.35">
      <c r="A2199" s="66" t="s">
        <v>4966</v>
      </c>
      <c r="B2199" s="66" t="s">
        <v>5241</v>
      </c>
      <c r="C2199" s="67"/>
      <c r="D2199" s="68"/>
      <c r="E2199" s="69"/>
      <c r="F2199" s="70"/>
      <c r="G2199" s="67"/>
      <c r="H2199" s="71"/>
      <c r="I2199" s="72"/>
      <c r="J2199" s="72"/>
      <c r="K2199" s="36"/>
      <c r="L2199" s="79"/>
      <c r="M2199" s="79"/>
      <c r="N2199" s="74"/>
      <c r="O2199" s="81" t="s">
        <v>694</v>
      </c>
      <c r="P2199" s="83">
        <v>44463.970462962963</v>
      </c>
      <c r="Q2199" s="81" t="s">
        <v>5654</v>
      </c>
      <c r="R2199" s="84" t="str">
        <f>HYPERLINK("https://auditoriacidada.org.br/")</f>
        <v>https://auditoriacidada.org.br/</v>
      </c>
      <c r="S2199" s="81" t="s">
        <v>5696</v>
      </c>
      <c r="T2199" s="81"/>
      <c r="U2199" s="81"/>
      <c r="V2199" s="84" t="str">
        <f>HYPERLINK("https://pbs.twimg.com/profile_images/1281040610372222982/GJuyvmvD_normal.jpg")</f>
        <v>https://pbs.twimg.com/profile_images/1281040610372222982/GJuyvmvD_normal.jpg</v>
      </c>
      <c r="W2199" s="83">
        <v>44463.970462962963</v>
      </c>
      <c r="X2199" s="89">
        <v>44463</v>
      </c>
      <c r="Y2199" s="86" t="s">
        <v>6653</v>
      </c>
      <c r="Z2199" s="84" t="str">
        <f>HYPERLINK("https://twitter.com/lotemarcio/status/1441542329370824704")</f>
        <v>https://twitter.com/lotemarcio/status/1441542329370824704</v>
      </c>
      <c r="AA2199" s="81"/>
      <c r="AB2199" s="81"/>
      <c r="AC2199" s="86" t="s">
        <v>7578</v>
      </c>
      <c r="AD2199" s="81"/>
      <c r="AE2199" s="81" t="b">
        <v>0</v>
      </c>
      <c r="AF2199" s="81">
        <v>0</v>
      </c>
      <c r="AG2199" s="86" t="s">
        <v>2084</v>
      </c>
      <c r="AH2199" s="81" t="b">
        <v>0</v>
      </c>
      <c r="AI2199" s="81" t="s">
        <v>2171</v>
      </c>
      <c r="AJ2199" s="81"/>
      <c r="AK2199" s="86" t="s">
        <v>2084</v>
      </c>
      <c r="AL2199" s="81" t="b">
        <v>0</v>
      </c>
      <c r="AM2199" s="81">
        <v>4</v>
      </c>
      <c r="AN2199" s="86" t="s">
        <v>7580</v>
      </c>
      <c r="AO2199" s="86" t="s">
        <v>2178</v>
      </c>
      <c r="AP2199" s="81" t="b">
        <v>0</v>
      </c>
      <c r="AQ2199" s="86" t="s">
        <v>7580</v>
      </c>
      <c r="AR2199" s="81" t="s">
        <v>179</v>
      </c>
      <c r="AS2199" s="81">
        <v>0</v>
      </c>
      <c r="AT2199" s="81">
        <v>0</v>
      </c>
      <c r="AU2199" s="81"/>
      <c r="AV2199" s="81"/>
      <c r="AW2199" s="81"/>
      <c r="AX2199" s="81"/>
      <c r="AY2199" s="81"/>
      <c r="AZ2199" s="81"/>
      <c r="BA2199" s="81"/>
      <c r="BB2199" s="81"/>
    </row>
    <row r="2200" spans="1:54" x14ac:dyDescent="0.35">
      <c r="A2200" s="66" t="s">
        <v>4966</v>
      </c>
      <c r="B2200" s="66" t="s">
        <v>5242</v>
      </c>
      <c r="C2200" s="67"/>
      <c r="D2200" s="68"/>
      <c r="E2200" s="69"/>
      <c r="F2200" s="70"/>
      <c r="G2200" s="67"/>
      <c r="H2200" s="71"/>
      <c r="I2200" s="72"/>
      <c r="J2200" s="72"/>
      <c r="K2200" s="36"/>
      <c r="L2200" s="79"/>
      <c r="M2200" s="79"/>
      <c r="N2200" s="74"/>
      <c r="O2200" s="81" t="s">
        <v>694</v>
      </c>
      <c r="P2200" s="83">
        <v>44463.970462962963</v>
      </c>
      <c r="Q2200" s="81" t="s">
        <v>5654</v>
      </c>
      <c r="R2200" s="84" t="str">
        <f>HYPERLINK("https://auditoriacidada.org.br/")</f>
        <v>https://auditoriacidada.org.br/</v>
      </c>
      <c r="S2200" s="81" t="s">
        <v>5696</v>
      </c>
      <c r="T2200" s="81"/>
      <c r="U2200" s="81"/>
      <c r="V2200" s="84" t="str">
        <f>HYPERLINK("https://pbs.twimg.com/profile_images/1281040610372222982/GJuyvmvD_normal.jpg")</f>
        <v>https://pbs.twimg.com/profile_images/1281040610372222982/GJuyvmvD_normal.jpg</v>
      </c>
      <c r="W2200" s="83">
        <v>44463.970462962963</v>
      </c>
      <c r="X2200" s="89">
        <v>44463</v>
      </c>
      <c r="Y2200" s="86" t="s">
        <v>6653</v>
      </c>
      <c r="Z2200" s="84" t="str">
        <f>HYPERLINK("https://twitter.com/lotemarcio/status/1441542329370824704")</f>
        <v>https://twitter.com/lotemarcio/status/1441542329370824704</v>
      </c>
      <c r="AA2200" s="81"/>
      <c r="AB2200" s="81"/>
      <c r="AC2200" s="86" t="s">
        <v>7578</v>
      </c>
      <c r="AD2200" s="81"/>
      <c r="AE2200" s="81" t="b">
        <v>0</v>
      </c>
      <c r="AF2200" s="81">
        <v>0</v>
      </c>
      <c r="AG2200" s="86" t="s">
        <v>2084</v>
      </c>
      <c r="AH2200" s="81" t="b">
        <v>0</v>
      </c>
      <c r="AI2200" s="81" t="s">
        <v>2171</v>
      </c>
      <c r="AJ2200" s="81"/>
      <c r="AK2200" s="86" t="s">
        <v>2084</v>
      </c>
      <c r="AL2200" s="81" t="b">
        <v>0</v>
      </c>
      <c r="AM2200" s="81">
        <v>4</v>
      </c>
      <c r="AN2200" s="86" t="s">
        <v>7580</v>
      </c>
      <c r="AO2200" s="86" t="s">
        <v>2178</v>
      </c>
      <c r="AP2200" s="81" t="b">
        <v>0</v>
      </c>
      <c r="AQ2200" s="86" t="s">
        <v>7580</v>
      </c>
      <c r="AR2200" s="81" t="s">
        <v>179</v>
      </c>
      <c r="AS2200" s="81">
        <v>0</v>
      </c>
      <c r="AT2200" s="81">
        <v>0</v>
      </c>
      <c r="AU2200" s="81"/>
      <c r="AV2200" s="81"/>
      <c r="AW2200" s="81"/>
      <c r="AX2200" s="81"/>
      <c r="AY2200" s="81"/>
      <c r="AZ2200" s="81"/>
      <c r="BA2200" s="81"/>
      <c r="BB2200" s="81"/>
    </row>
    <row r="2201" spans="1:54" x14ac:dyDescent="0.35">
      <c r="A2201" s="66" t="s">
        <v>4966</v>
      </c>
      <c r="B2201" s="66" t="s">
        <v>5243</v>
      </c>
      <c r="C2201" s="67"/>
      <c r="D2201" s="68"/>
      <c r="E2201" s="69"/>
      <c r="F2201" s="70"/>
      <c r="G2201" s="67"/>
      <c r="H2201" s="71"/>
      <c r="I2201" s="72"/>
      <c r="J2201" s="72"/>
      <c r="K2201" s="36"/>
      <c r="L2201" s="79"/>
      <c r="M2201" s="79"/>
      <c r="N2201" s="74"/>
      <c r="O2201" s="81" t="s">
        <v>694</v>
      </c>
      <c r="P2201" s="83">
        <v>44463.970462962963</v>
      </c>
      <c r="Q2201" s="81" t="s">
        <v>5654</v>
      </c>
      <c r="R2201" s="84" t="str">
        <f>HYPERLINK("https://auditoriacidada.org.br/")</f>
        <v>https://auditoriacidada.org.br/</v>
      </c>
      <c r="S2201" s="81" t="s">
        <v>5696</v>
      </c>
      <c r="T2201" s="81"/>
      <c r="U2201" s="81"/>
      <c r="V2201" s="84" t="str">
        <f>HYPERLINK("https://pbs.twimg.com/profile_images/1281040610372222982/GJuyvmvD_normal.jpg")</f>
        <v>https://pbs.twimg.com/profile_images/1281040610372222982/GJuyvmvD_normal.jpg</v>
      </c>
      <c r="W2201" s="83">
        <v>44463.970462962963</v>
      </c>
      <c r="X2201" s="89">
        <v>44463</v>
      </c>
      <c r="Y2201" s="86" t="s">
        <v>6653</v>
      </c>
      <c r="Z2201" s="84" t="str">
        <f>HYPERLINK("https://twitter.com/lotemarcio/status/1441542329370824704")</f>
        <v>https://twitter.com/lotemarcio/status/1441542329370824704</v>
      </c>
      <c r="AA2201" s="81"/>
      <c r="AB2201" s="81"/>
      <c r="AC2201" s="86" t="s">
        <v>7578</v>
      </c>
      <c r="AD2201" s="81"/>
      <c r="AE2201" s="81" t="b">
        <v>0</v>
      </c>
      <c r="AF2201" s="81">
        <v>0</v>
      </c>
      <c r="AG2201" s="86" t="s">
        <v>2084</v>
      </c>
      <c r="AH2201" s="81" t="b">
        <v>0</v>
      </c>
      <c r="AI2201" s="81" t="s">
        <v>2171</v>
      </c>
      <c r="AJ2201" s="81"/>
      <c r="AK2201" s="86" t="s">
        <v>2084</v>
      </c>
      <c r="AL2201" s="81" t="b">
        <v>0</v>
      </c>
      <c r="AM2201" s="81">
        <v>4</v>
      </c>
      <c r="AN2201" s="86" t="s">
        <v>7580</v>
      </c>
      <c r="AO2201" s="86" t="s">
        <v>2178</v>
      </c>
      <c r="AP2201" s="81" t="b">
        <v>0</v>
      </c>
      <c r="AQ2201" s="86" t="s">
        <v>7580</v>
      </c>
      <c r="AR2201" s="81" t="s">
        <v>179</v>
      </c>
      <c r="AS2201" s="81">
        <v>0</v>
      </c>
      <c r="AT2201" s="81">
        <v>0</v>
      </c>
      <c r="AU2201" s="81"/>
      <c r="AV2201" s="81"/>
      <c r="AW2201" s="81"/>
      <c r="AX2201" s="81"/>
      <c r="AY2201" s="81"/>
      <c r="AZ2201" s="81"/>
      <c r="BA2201" s="81"/>
      <c r="BB2201" s="81"/>
    </row>
    <row r="2202" spans="1:54" x14ac:dyDescent="0.35">
      <c r="A2202" s="66" t="s">
        <v>4966</v>
      </c>
      <c r="B2202" s="66" t="s">
        <v>5244</v>
      </c>
      <c r="C2202" s="67"/>
      <c r="D2202" s="68"/>
      <c r="E2202" s="69"/>
      <c r="F2202" s="70"/>
      <c r="G2202" s="67"/>
      <c r="H2202" s="71"/>
      <c r="I2202" s="72"/>
      <c r="J2202" s="72"/>
      <c r="K2202" s="36"/>
      <c r="L2202" s="79"/>
      <c r="M2202" s="79"/>
      <c r="N2202" s="74"/>
      <c r="O2202" s="81" t="s">
        <v>694</v>
      </c>
      <c r="P2202" s="83">
        <v>44463.970462962963</v>
      </c>
      <c r="Q2202" s="81" t="s">
        <v>5654</v>
      </c>
      <c r="R2202" s="84" t="str">
        <f>HYPERLINK("https://auditoriacidada.org.br/")</f>
        <v>https://auditoriacidada.org.br/</v>
      </c>
      <c r="S2202" s="81" t="s">
        <v>5696</v>
      </c>
      <c r="T2202" s="81"/>
      <c r="U2202" s="81"/>
      <c r="V2202" s="84" t="str">
        <f>HYPERLINK("https://pbs.twimg.com/profile_images/1281040610372222982/GJuyvmvD_normal.jpg")</f>
        <v>https://pbs.twimg.com/profile_images/1281040610372222982/GJuyvmvD_normal.jpg</v>
      </c>
      <c r="W2202" s="83">
        <v>44463.970462962963</v>
      </c>
      <c r="X2202" s="89">
        <v>44463</v>
      </c>
      <c r="Y2202" s="86" t="s">
        <v>6653</v>
      </c>
      <c r="Z2202" s="84" t="str">
        <f>HYPERLINK("https://twitter.com/lotemarcio/status/1441542329370824704")</f>
        <v>https://twitter.com/lotemarcio/status/1441542329370824704</v>
      </c>
      <c r="AA2202" s="81"/>
      <c r="AB2202" s="81"/>
      <c r="AC2202" s="86" t="s">
        <v>7578</v>
      </c>
      <c r="AD2202" s="81"/>
      <c r="AE2202" s="81" t="b">
        <v>0</v>
      </c>
      <c r="AF2202" s="81">
        <v>0</v>
      </c>
      <c r="AG2202" s="86" t="s">
        <v>2084</v>
      </c>
      <c r="AH2202" s="81" t="b">
        <v>0</v>
      </c>
      <c r="AI2202" s="81" t="s">
        <v>2171</v>
      </c>
      <c r="AJ2202" s="81"/>
      <c r="AK2202" s="86" t="s">
        <v>2084</v>
      </c>
      <c r="AL2202" s="81" t="b">
        <v>0</v>
      </c>
      <c r="AM2202" s="81">
        <v>4</v>
      </c>
      <c r="AN2202" s="86" t="s">
        <v>7580</v>
      </c>
      <c r="AO2202" s="86" t="s">
        <v>2178</v>
      </c>
      <c r="AP2202" s="81" t="b">
        <v>0</v>
      </c>
      <c r="AQ2202" s="86" t="s">
        <v>7580</v>
      </c>
      <c r="AR2202" s="81" t="s">
        <v>179</v>
      </c>
      <c r="AS2202" s="81">
        <v>0</v>
      </c>
      <c r="AT2202" s="81">
        <v>0</v>
      </c>
      <c r="AU2202" s="81"/>
      <c r="AV2202" s="81"/>
      <c r="AW2202" s="81"/>
      <c r="AX2202" s="81"/>
      <c r="AY2202" s="81"/>
      <c r="AZ2202" s="81"/>
      <c r="BA2202" s="81"/>
      <c r="BB2202" s="81"/>
    </row>
    <row r="2203" spans="1:54" x14ac:dyDescent="0.35">
      <c r="A2203" s="66" t="s">
        <v>4966</v>
      </c>
      <c r="B2203" s="66" t="s">
        <v>5245</v>
      </c>
      <c r="C2203" s="67"/>
      <c r="D2203" s="68"/>
      <c r="E2203" s="69"/>
      <c r="F2203" s="70"/>
      <c r="G2203" s="67"/>
      <c r="H2203" s="71"/>
      <c r="I2203" s="72"/>
      <c r="J2203" s="72"/>
      <c r="K2203" s="36"/>
      <c r="L2203" s="79"/>
      <c r="M2203" s="79"/>
      <c r="N2203" s="74"/>
      <c r="O2203" s="81" t="s">
        <v>694</v>
      </c>
      <c r="P2203" s="83">
        <v>44463.970462962963</v>
      </c>
      <c r="Q2203" s="81" t="s">
        <v>5654</v>
      </c>
      <c r="R2203" s="84" t="str">
        <f>HYPERLINK("https://auditoriacidada.org.br/")</f>
        <v>https://auditoriacidada.org.br/</v>
      </c>
      <c r="S2203" s="81" t="s">
        <v>5696</v>
      </c>
      <c r="T2203" s="81"/>
      <c r="U2203" s="81"/>
      <c r="V2203" s="84" t="str">
        <f>HYPERLINK("https://pbs.twimg.com/profile_images/1281040610372222982/GJuyvmvD_normal.jpg")</f>
        <v>https://pbs.twimg.com/profile_images/1281040610372222982/GJuyvmvD_normal.jpg</v>
      </c>
      <c r="W2203" s="83">
        <v>44463.970462962963</v>
      </c>
      <c r="X2203" s="89">
        <v>44463</v>
      </c>
      <c r="Y2203" s="86" t="s">
        <v>6653</v>
      </c>
      <c r="Z2203" s="84" t="str">
        <f>HYPERLINK("https://twitter.com/lotemarcio/status/1441542329370824704")</f>
        <v>https://twitter.com/lotemarcio/status/1441542329370824704</v>
      </c>
      <c r="AA2203" s="81"/>
      <c r="AB2203" s="81"/>
      <c r="AC2203" s="86" t="s">
        <v>7578</v>
      </c>
      <c r="AD2203" s="81"/>
      <c r="AE2203" s="81" t="b">
        <v>0</v>
      </c>
      <c r="AF2203" s="81">
        <v>0</v>
      </c>
      <c r="AG2203" s="86" t="s">
        <v>2084</v>
      </c>
      <c r="AH2203" s="81" t="b">
        <v>0</v>
      </c>
      <c r="AI2203" s="81" t="s">
        <v>2171</v>
      </c>
      <c r="AJ2203" s="81"/>
      <c r="AK2203" s="86" t="s">
        <v>2084</v>
      </c>
      <c r="AL2203" s="81" t="b">
        <v>0</v>
      </c>
      <c r="AM2203" s="81">
        <v>4</v>
      </c>
      <c r="AN2203" s="86" t="s">
        <v>7580</v>
      </c>
      <c r="AO2203" s="86" t="s">
        <v>2178</v>
      </c>
      <c r="AP2203" s="81" t="b">
        <v>0</v>
      </c>
      <c r="AQ2203" s="86" t="s">
        <v>7580</v>
      </c>
      <c r="AR2203" s="81" t="s">
        <v>179</v>
      </c>
      <c r="AS2203" s="81">
        <v>0</v>
      </c>
      <c r="AT2203" s="81">
        <v>0</v>
      </c>
      <c r="AU2203" s="81"/>
      <c r="AV2203" s="81"/>
      <c r="AW2203" s="81"/>
      <c r="AX2203" s="81"/>
      <c r="AY2203" s="81"/>
      <c r="AZ2203" s="81"/>
      <c r="BA2203" s="81"/>
      <c r="BB2203" s="81"/>
    </row>
    <row r="2204" spans="1:54" x14ac:dyDescent="0.35">
      <c r="A2204" s="66" t="s">
        <v>4966</v>
      </c>
      <c r="B2204" s="66" t="s">
        <v>5246</v>
      </c>
      <c r="C2204" s="67"/>
      <c r="D2204" s="68"/>
      <c r="E2204" s="69"/>
      <c r="F2204" s="70"/>
      <c r="G2204" s="67"/>
      <c r="H2204" s="71"/>
      <c r="I2204" s="72"/>
      <c r="J2204" s="72"/>
      <c r="K2204" s="36"/>
      <c r="L2204" s="79"/>
      <c r="M2204" s="79"/>
      <c r="N2204" s="74"/>
      <c r="O2204" s="81" t="s">
        <v>694</v>
      </c>
      <c r="P2204" s="83">
        <v>44463.970462962963</v>
      </c>
      <c r="Q2204" s="81" t="s">
        <v>5654</v>
      </c>
      <c r="R2204" s="84" t="str">
        <f>HYPERLINK("https://auditoriacidada.org.br/")</f>
        <v>https://auditoriacidada.org.br/</v>
      </c>
      <c r="S2204" s="81" t="s">
        <v>5696</v>
      </c>
      <c r="T2204" s="81"/>
      <c r="U2204" s="81"/>
      <c r="V2204" s="84" t="str">
        <f>HYPERLINK("https://pbs.twimg.com/profile_images/1281040610372222982/GJuyvmvD_normal.jpg")</f>
        <v>https://pbs.twimg.com/profile_images/1281040610372222982/GJuyvmvD_normal.jpg</v>
      </c>
      <c r="W2204" s="83">
        <v>44463.970462962963</v>
      </c>
      <c r="X2204" s="89">
        <v>44463</v>
      </c>
      <c r="Y2204" s="86" t="s">
        <v>6653</v>
      </c>
      <c r="Z2204" s="84" t="str">
        <f>HYPERLINK("https://twitter.com/lotemarcio/status/1441542329370824704")</f>
        <v>https://twitter.com/lotemarcio/status/1441542329370824704</v>
      </c>
      <c r="AA2204" s="81"/>
      <c r="AB2204" s="81"/>
      <c r="AC2204" s="86" t="s">
        <v>7578</v>
      </c>
      <c r="AD2204" s="81"/>
      <c r="AE2204" s="81" t="b">
        <v>0</v>
      </c>
      <c r="AF2204" s="81">
        <v>0</v>
      </c>
      <c r="AG2204" s="86" t="s">
        <v>2084</v>
      </c>
      <c r="AH2204" s="81" t="b">
        <v>0</v>
      </c>
      <c r="AI2204" s="81" t="s">
        <v>2171</v>
      </c>
      <c r="AJ2204" s="81"/>
      <c r="AK2204" s="86" t="s">
        <v>2084</v>
      </c>
      <c r="AL2204" s="81" t="b">
        <v>0</v>
      </c>
      <c r="AM2204" s="81">
        <v>4</v>
      </c>
      <c r="AN2204" s="86" t="s">
        <v>7580</v>
      </c>
      <c r="AO2204" s="86" t="s">
        <v>2178</v>
      </c>
      <c r="AP2204" s="81" t="b">
        <v>0</v>
      </c>
      <c r="AQ2204" s="86" t="s">
        <v>7580</v>
      </c>
      <c r="AR2204" s="81" t="s">
        <v>179</v>
      </c>
      <c r="AS2204" s="81">
        <v>0</v>
      </c>
      <c r="AT2204" s="81">
        <v>0</v>
      </c>
      <c r="AU2204" s="81"/>
      <c r="AV2204" s="81"/>
      <c r="AW2204" s="81"/>
      <c r="AX2204" s="81"/>
      <c r="AY2204" s="81"/>
      <c r="AZ2204" s="81"/>
      <c r="BA2204" s="81"/>
      <c r="BB2204" s="81"/>
    </row>
    <row r="2205" spans="1:54" x14ac:dyDescent="0.35">
      <c r="A2205" s="66" t="s">
        <v>4966</v>
      </c>
      <c r="B2205" s="66" t="s">
        <v>5247</v>
      </c>
      <c r="C2205" s="67"/>
      <c r="D2205" s="68"/>
      <c r="E2205" s="69"/>
      <c r="F2205" s="70"/>
      <c r="G2205" s="67"/>
      <c r="H2205" s="71"/>
      <c r="I2205" s="72"/>
      <c r="J2205" s="72"/>
      <c r="K2205" s="36"/>
      <c r="L2205" s="79"/>
      <c r="M2205" s="79"/>
      <c r="N2205" s="74"/>
      <c r="O2205" s="81" t="s">
        <v>694</v>
      </c>
      <c r="P2205" s="83">
        <v>44463.970462962963</v>
      </c>
      <c r="Q2205" s="81" t="s">
        <v>5654</v>
      </c>
      <c r="R2205" s="84" t="str">
        <f>HYPERLINK("https://auditoriacidada.org.br/")</f>
        <v>https://auditoriacidada.org.br/</v>
      </c>
      <c r="S2205" s="81" t="s">
        <v>5696</v>
      </c>
      <c r="T2205" s="81"/>
      <c r="U2205" s="81"/>
      <c r="V2205" s="84" t="str">
        <f>HYPERLINK("https://pbs.twimg.com/profile_images/1281040610372222982/GJuyvmvD_normal.jpg")</f>
        <v>https://pbs.twimg.com/profile_images/1281040610372222982/GJuyvmvD_normal.jpg</v>
      </c>
      <c r="W2205" s="83">
        <v>44463.970462962963</v>
      </c>
      <c r="X2205" s="89">
        <v>44463</v>
      </c>
      <c r="Y2205" s="86" t="s">
        <v>6653</v>
      </c>
      <c r="Z2205" s="84" t="str">
        <f>HYPERLINK("https://twitter.com/lotemarcio/status/1441542329370824704")</f>
        <v>https://twitter.com/lotemarcio/status/1441542329370824704</v>
      </c>
      <c r="AA2205" s="81"/>
      <c r="AB2205" s="81"/>
      <c r="AC2205" s="86" t="s">
        <v>7578</v>
      </c>
      <c r="AD2205" s="81"/>
      <c r="AE2205" s="81" t="b">
        <v>0</v>
      </c>
      <c r="AF2205" s="81">
        <v>0</v>
      </c>
      <c r="AG2205" s="86" t="s">
        <v>2084</v>
      </c>
      <c r="AH2205" s="81" t="b">
        <v>0</v>
      </c>
      <c r="AI2205" s="81" t="s">
        <v>2171</v>
      </c>
      <c r="AJ2205" s="81"/>
      <c r="AK2205" s="86" t="s">
        <v>2084</v>
      </c>
      <c r="AL2205" s="81" t="b">
        <v>0</v>
      </c>
      <c r="AM2205" s="81">
        <v>4</v>
      </c>
      <c r="AN2205" s="86" t="s">
        <v>7580</v>
      </c>
      <c r="AO2205" s="86" t="s">
        <v>2178</v>
      </c>
      <c r="AP2205" s="81" t="b">
        <v>0</v>
      </c>
      <c r="AQ2205" s="86" t="s">
        <v>7580</v>
      </c>
      <c r="AR2205" s="81" t="s">
        <v>179</v>
      </c>
      <c r="AS2205" s="81">
        <v>0</v>
      </c>
      <c r="AT2205" s="81">
        <v>0</v>
      </c>
      <c r="AU2205" s="81"/>
      <c r="AV2205" s="81"/>
      <c r="AW2205" s="81"/>
      <c r="AX2205" s="81"/>
      <c r="AY2205" s="81"/>
      <c r="AZ2205" s="81"/>
      <c r="BA2205" s="81"/>
      <c r="BB2205" s="81"/>
    </row>
    <row r="2206" spans="1:54" x14ac:dyDescent="0.35">
      <c r="A2206" s="66" t="s">
        <v>4966</v>
      </c>
      <c r="B2206" s="66" t="s">
        <v>5248</v>
      </c>
      <c r="C2206" s="67"/>
      <c r="D2206" s="68"/>
      <c r="E2206" s="69"/>
      <c r="F2206" s="70"/>
      <c r="G2206" s="67"/>
      <c r="H2206" s="71"/>
      <c r="I2206" s="72"/>
      <c r="J2206" s="72"/>
      <c r="K2206" s="36"/>
      <c r="L2206" s="79"/>
      <c r="M2206" s="79"/>
      <c r="N2206" s="74"/>
      <c r="O2206" s="81" t="s">
        <v>694</v>
      </c>
      <c r="P2206" s="83">
        <v>44463.970462962963</v>
      </c>
      <c r="Q2206" s="81" t="s">
        <v>5654</v>
      </c>
      <c r="R2206" s="84" t="str">
        <f>HYPERLINK("https://auditoriacidada.org.br/")</f>
        <v>https://auditoriacidada.org.br/</v>
      </c>
      <c r="S2206" s="81" t="s">
        <v>5696</v>
      </c>
      <c r="T2206" s="81"/>
      <c r="U2206" s="81"/>
      <c r="V2206" s="84" t="str">
        <f>HYPERLINK("https://pbs.twimg.com/profile_images/1281040610372222982/GJuyvmvD_normal.jpg")</f>
        <v>https://pbs.twimg.com/profile_images/1281040610372222982/GJuyvmvD_normal.jpg</v>
      </c>
      <c r="W2206" s="83">
        <v>44463.970462962963</v>
      </c>
      <c r="X2206" s="89">
        <v>44463</v>
      </c>
      <c r="Y2206" s="86" t="s">
        <v>6653</v>
      </c>
      <c r="Z2206" s="84" t="str">
        <f>HYPERLINK("https://twitter.com/lotemarcio/status/1441542329370824704")</f>
        <v>https://twitter.com/lotemarcio/status/1441542329370824704</v>
      </c>
      <c r="AA2206" s="81"/>
      <c r="AB2206" s="81"/>
      <c r="AC2206" s="86" t="s">
        <v>7578</v>
      </c>
      <c r="AD2206" s="81"/>
      <c r="AE2206" s="81" t="b">
        <v>0</v>
      </c>
      <c r="AF2206" s="81">
        <v>0</v>
      </c>
      <c r="AG2206" s="86" t="s">
        <v>2084</v>
      </c>
      <c r="AH2206" s="81" t="b">
        <v>0</v>
      </c>
      <c r="AI2206" s="81" t="s">
        <v>2171</v>
      </c>
      <c r="AJ2206" s="81"/>
      <c r="AK2206" s="86" t="s">
        <v>2084</v>
      </c>
      <c r="AL2206" s="81" t="b">
        <v>0</v>
      </c>
      <c r="AM2206" s="81">
        <v>4</v>
      </c>
      <c r="AN2206" s="86" t="s">
        <v>7580</v>
      </c>
      <c r="AO2206" s="86" t="s">
        <v>2178</v>
      </c>
      <c r="AP2206" s="81" t="b">
        <v>0</v>
      </c>
      <c r="AQ2206" s="86" t="s">
        <v>7580</v>
      </c>
      <c r="AR2206" s="81" t="s">
        <v>179</v>
      </c>
      <c r="AS2206" s="81">
        <v>0</v>
      </c>
      <c r="AT2206" s="81">
        <v>0</v>
      </c>
      <c r="AU2206" s="81"/>
      <c r="AV2206" s="81"/>
      <c r="AW2206" s="81"/>
      <c r="AX2206" s="81"/>
      <c r="AY2206" s="81"/>
      <c r="AZ2206" s="81"/>
      <c r="BA2206" s="81"/>
      <c r="BB2206" s="81"/>
    </row>
    <row r="2207" spans="1:54" x14ac:dyDescent="0.35">
      <c r="A2207" s="66" t="s">
        <v>4966</v>
      </c>
      <c r="B2207" s="66" t="s">
        <v>5249</v>
      </c>
      <c r="C2207" s="67"/>
      <c r="D2207" s="68"/>
      <c r="E2207" s="69"/>
      <c r="F2207" s="70"/>
      <c r="G2207" s="67"/>
      <c r="H2207" s="71"/>
      <c r="I2207" s="72"/>
      <c r="J2207" s="72"/>
      <c r="K2207" s="36"/>
      <c r="L2207" s="79"/>
      <c r="M2207" s="79"/>
      <c r="N2207" s="74"/>
      <c r="O2207" s="81" t="s">
        <v>694</v>
      </c>
      <c r="P2207" s="83">
        <v>44463.970462962963</v>
      </c>
      <c r="Q2207" s="81" t="s">
        <v>5654</v>
      </c>
      <c r="R2207" s="84" t="str">
        <f>HYPERLINK("https://auditoriacidada.org.br/")</f>
        <v>https://auditoriacidada.org.br/</v>
      </c>
      <c r="S2207" s="81" t="s">
        <v>5696</v>
      </c>
      <c r="T2207" s="81"/>
      <c r="U2207" s="81"/>
      <c r="V2207" s="84" t="str">
        <f>HYPERLINK("https://pbs.twimg.com/profile_images/1281040610372222982/GJuyvmvD_normal.jpg")</f>
        <v>https://pbs.twimg.com/profile_images/1281040610372222982/GJuyvmvD_normal.jpg</v>
      </c>
      <c r="W2207" s="83">
        <v>44463.970462962963</v>
      </c>
      <c r="X2207" s="89">
        <v>44463</v>
      </c>
      <c r="Y2207" s="86" t="s">
        <v>6653</v>
      </c>
      <c r="Z2207" s="84" t="str">
        <f>HYPERLINK("https://twitter.com/lotemarcio/status/1441542329370824704")</f>
        <v>https://twitter.com/lotemarcio/status/1441542329370824704</v>
      </c>
      <c r="AA2207" s="81"/>
      <c r="AB2207" s="81"/>
      <c r="AC2207" s="86" t="s">
        <v>7578</v>
      </c>
      <c r="AD2207" s="81"/>
      <c r="AE2207" s="81" t="b">
        <v>0</v>
      </c>
      <c r="AF2207" s="81">
        <v>0</v>
      </c>
      <c r="AG2207" s="86" t="s">
        <v>2084</v>
      </c>
      <c r="AH2207" s="81" t="b">
        <v>0</v>
      </c>
      <c r="AI2207" s="81" t="s">
        <v>2171</v>
      </c>
      <c r="AJ2207" s="81"/>
      <c r="AK2207" s="86" t="s">
        <v>2084</v>
      </c>
      <c r="AL2207" s="81" t="b">
        <v>0</v>
      </c>
      <c r="AM2207" s="81">
        <v>4</v>
      </c>
      <c r="AN2207" s="86" t="s">
        <v>7580</v>
      </c>
      <c r="AO2207" s="86" t="s">
        <v>2178</v>
      </c>
      <c r="AP2207" s="81" t="b">
        <v>0</v>
      </c>
      <c r="AQ2207" s="86" t="s">
        <v>7580</v>
      </c>
      <c r="AR2207" s="81" t="s">
        <v>179</v>
      </c>
      <c r="AS2207" s="81">
        <v>0</v>
      </c>
      <c r="AT2207" s="81">
        <v>0</v>
      </c>
      <c r="AU2207" s="81"/>
      <c r="AV2207" s="81"/>
      <c r="AW2207" s="81"/>
      <c r="AX2207" s="81"/>
      <c r="AY2207" s="81"/>
      <c r="AZ2207" s="81"/>
      <c r="BA2207" s="81"/>
      <c r="BB2207" s="81"/>
    </row>
    <row r="2208" spans="1:54" x14ac:dyDescent="0.35">
      <c r="A2208" s="66" t="s">
        <v>4966</v>
      </c>
      <c r="B2208" s="66" t="s">
        <v>5250</v>
      </c>
      <c r="C2208" s="67"/>
      <c r="D2208" s="68"/>
      <c r="E2208" s="69"/>
      <c r="F2208" s="70"/>
      <c r="G2208" s="67"/>
      <c r="H2208" s="71"/>
      <c r="I2208" s="72"/>
      <c r="J2208" s="72"/>
      <c r="K2208" s="36"/>
      <c r="L2208" s="79"/>
      <c r="M2208" s="79"/>
      <c r="N2208" s="74"/>
      <c r="O2208" s="81" t="s">
        <v>694</v>
      </c>
      <c r="P2208" s="83">
        <v>44463.970462962963</v>
      </c>
      <c r="Q2208" s="81" t="s">
        <v>5654</v>
      </c>
      <c r="R2208" s="84" t="str">
        <f>HYPERLINK("https://auditoriacidada.org.br/")</f>
        <v>https://auditoriacidada.org.br/</v>
      </c>
      <c r="S2208" s="81" t="s">
        <v>5696</v>
      </c>
      <c r="T2208" s="81"/>
      <c r="U2208" s="81"/>
      <c r="V2208" s="84" t="str">
        <f>HYPERLINK("https://pbs.twimg.com/profile_images/1281040610372222982/GJuyvmvD_normal.jpg")</f>
        <v>https://pbs.twimg.com/profile_images/1281040610372222982/GJuyvmvD_normal.jpg</v>
      </c>
      <c r="W2208" s="83">
        <v>44463.970462962963</v>
      </c>
      <c r="X2208" s="89">
        <v>44463</v>
      </c>
      <c r="Y2208" s="86" t="s">
        <v>6653</v>
      </c>
      <c r="Z2208" s="84" t="str">
        <f>HYPERLINK("https://twitter.com/lotemarcio/status/1441542329370824704")</f>
        <v>https://twitter.com/lotemarcio/status/1441542329370824704</v>
      </c>
      <c r="AA2208" s="81"/>
      <c r="AB2208" s="81"/>
      <c r="AC2208" s="86" t="s">
        <v>7578</v>
      </c>
      <c r="AD2208" s="81"/>
      <c r="AE2208" s="81" t="b">
        <v>0</v>
      </c>
      <c r="AF2208" s="81">
        <v>0</v>
      </c>
      <c r="AG2208" s="86" t="s">
        <v>2084</v>
      </c>
      <c r="AH2208" s="81" t="b">
        <v>0</v>
      </c>
      <c r="AI2208" s="81" t="s">
        <v>2171</v>
      </c>
      <c r="AJ2208" s="81"/>
      <c r="AK2208" s="86" t="s">
        <v>2084</v>
      </c>
      <c r="AL2208" s="81" t="b">
        <v>0</v>
      </c>
      <c r="AM2208" s="81">
        <v>4</v>
      </c>
      <c r="AN2208" s="86" t="s">
        <v>7580</v>
      </c>
      <c r="AO2208" s="86" t="s">
        <v>2178</v>
      </c>
      <c r="AP2208" s="81" t="b">
        <v>0</v>
      </c>
      <c r="AQ2208" s="86" t="s">
        <v>7580</v>
      </c>
      <c r="AR2208" s="81" t="s">
        <v>179</v>
      </c>
      <c r="AS2208" s="81">
        <v>0</v>
      </c>
      <c r="AT2208" s="81">
        <v>0</v>
      </c>
      <c r="AU2208" s="81"/>
      <c r="AV2208" s="81"/>
      <c r="AW2208" s="81"/>
      <c r="AX2208" s="81"/>
      <c r="AY2208" s="81"/>
      <c r="AZ2208" s="81"/>
      <c r="BA2208" s="81"/>
      <c r="BB2208" s="81"/>
    </row>
    <row r="2209" spans="1:54" x14ac:dyDescent="0.35">
      <c r="A2209" s="66" t="s">
        <v>4966</v>
      </c>
      <c r="B2209" s="66" t="s">
        <v>5251</v>
      </c>
      <c r="C2209" s="67"/>
      <c r="D2209" s="68"/>
      <c r="E2209" s="69"/>
      <c r="F2209" s="70"/>
      <c r="G2209" s="67"/>
      <c r="H2209" s="71"/>
      <c r="I2209" s="72"/>
      <c r="J2209" s="72"/>
      <c r="K2209" s="36"/>
      <c r="L2209" s="79"/>
      <c r="M2209" s="79"/>
      <c r="N2209" s="74"/>
      <c r="O2209" s="81" t="s">
        <v>694</v>
      </c>
      <c r="P2209" s="83">
        <v>44463.970462962963</v>
      </c>
      <c r="Q2209" s="81" t="s">
        <v>5654</v>
      </c>
      <c r="R2209" s="84" t="str">
        <f>HYPERLINK("https://auditoriacidada.org.br/")</f>
        <v>https://auditoriacidada.org.br/</v>
      </c>
      <c r="S2209" s="81" t="s">
        <v>5696</v>
      </c>
      <c r="T2209" s="81"/>
      <c r="U2209" s="81"/>
      <c r="V2209" s="84" t="str">
        <f>HYPERLINK("https://pbs.twimg.com/profile_images/1281040610372222982/GJuyvmvD_normal.jpg")</f>
        <v>https://pbs.twimg.com/profile_images/1281040610372222982/GJuyvmvD_normal.jpg</v>
      </c>
      <c r="W2209" s="83">
        <v>44463.970462962963</v>
      </c>
      <c r="X2209" s="89">
        <v>44463</v>
      </c>
      <c r="Y2209" s="86" t="s">
        <v>6653</v>
      </c>
      <c r="Z2209" s="84" t="str">
        <f>HYPERLINK("https://twitter.com/lotemarcio/status/1441542329370824704")</f>
        <v>https://twitter.com/lotemarcio/status/1441542329370824704</v>
      </c>
      <c r="AA2209" s="81"/>
      <c r="AB2209" s="81"/>
      <c r="AC2209" s="86" t="s">
        <v>7578</v>
      </c>
      <c r="AD2209" s="81"/>
      <c r="AE2209" s="81" t="b">
        <v>0</v>
      </c>
      <c r="AF2209" s="81">
        <v>0</v>
      </c>
      <c r="AG2209" s="86" t="s">
        <v>2084</v>
      </c>
      <c r="AH2209" s="81" t="b">
        <v>0</v>
      </c>
      <c r="AI2209" s="81" t="s">
        <v>2171</v>
      </c>
      <c r="AJ2209" s="81"/>
      <c r="AK2209" s="86" t="s">
        <v>2084</v>
      </c>
      <c r="AL2209" s="81" t="b">
        <v>0</v>
      </c>
      <c r="AM2209" s="81">
        <v>4</v>
      </c>
      <c r="AN2209" s="86" t="s">
        <v>7580</v>
      </c>
      <c r="AO2209" s="86" t="s">
        <v>2178</v>
      </c>
      <c r="AP2209" s="81" t="b">
        <v>0</v>
      </c>
      <c r="AQ2209" s="86" t="s">
        <v>7580</v>
      </c>
      <c r="AR2209" s="81" t="s">
        <v>179</v>
      </c>
      <c r="AS2209" s="81">
        <v>0</v>
      </c>
      <c r="AT2209" s="81">
        <v>0</v>
      </c>
      <c r="AU2209" s="81"/>
      <c r="AV2209" s="81"/>
      <c r="AW2209" s="81"/>
      <c r="AX2209" s="81"/>
      <c r="AY2209" s="81"/>
      <c r="AZ2209" s="81"/>
      <c r="BA2209" s="81"/>
      <c r="BB2209" s="81"/>
    </row>
    <row r="2210" spans="1:54" x14ac:dyDescent="0.35">
      <c r="A2210" s="66" t="s">
        <v>4966</v>
      </c>
      <c r="B2210" s="66" t="s">
        <v>5252</v>
      </c>
      <c r="C2210" s="67"/>
      <c r="D2210" s="68"/>
      <c r="E2210" s="69"/>
      <c r="F2210" s="70"/>
      <c r="G2210" s="67"/>
      <c r="H2210" s="71"/>
      <c r="I2210" s="72"/>
      <c r="J2210" s="72"/>
      <c r="K2210" s="36"/>
      <c r="L2210" s="79"/>
      <c r="M2210" s="79"/>
      <c r="N2210" s="74"/>
      <c r="O2210" s="81" t="s">
        <v>694</v>
      </c>
      <c r="P2210" s="83">
        <v>44463.970462962963</v>
      </c>
      <c r="Q2210" s="81" t="s">
        <v>5654</v>
      </c>
      <c r="R2210" s="84" t="str">
        <f>HYPERLINK("https://auditoriacidada.org.br/")</f>
        <v>https://auditoriacidada.org.br/</v>
      </c>
      <c r="S2210" s="81" t="s">
        <v>5696</v>
      </c>
      <c r="T2210" s="81"/>
      <c r="U2210" s="81"/>
      <c r="V2210" s="84" t="str">
        <f>HYPERLINK("https://pbs.twimg.com/profile_images/1281040610372222982/GJuyvmvD_normal.jpg")</f>
        <v>https://pbs.twimg.com/profile_images/1281040610372222982/GJuyvmvD_normal.jpg</v>
      </c>
      <c r="W2210" s="83">
        <v>44463.970462962963</v>
      </c>
      <c r="X2210" s="89">
        <v>44463</v>
      </c>
      <c r="Y2210" s="86" t="s">
        <v>6653</v>
      </c>
      <c r="Z2210" s="84" t="str">
        <f>HYPERLINK("https://twitter.com/lotemarcio/status/1441542329370824704")</f>
        <v>https://twitter.com/lotemarcio/status/1441542329370824704</v>
      </c>
      <c r="AA2210" s="81"/>
      <c r="AB2210" s="81"/>
      <c r="AC2210" s="86" t="s">
        <v>7578</v>
      </c>
      <c r="AD2210" s="81"/>
      <c r="AE2210" s="81" t="b">
        <v>0</v>
      </c>
      <c r="AF2210" s="81">
        <v>0</v>
      </c>
      <c r="AG2210" s="86" t="s">
        <v>2084</v>
      </c>
      <c r="AH2210" s="81" t="b">
        <v>0</v>
      </c>
      <c r="AI2210" s="81" t="s">
        <v>2171</v>
      </c>
      <c r="AJ2210" s="81"/>
      <c r="AK2210" s="86" t="s">
        <v>2084</v>
      </c>
      <c r="AL2210" s="81" t="b">
        <v>0</v>
      </c>
      <c r="AM2210" s="81">
        <v>4</v>
      </c>
      <c r="AN2210" s="86" t="s">
        <v>7580</v>
      </c>
      <c r="AO2210" s="86" t="s">
        <v>2178</v>
      </c>
      <c r="AP2210" s="81" t="b">
        <v>0</v>
      </c>
      <c r="AQ2210" s="86" t="s">
        <v>7580</v>
      </c>
      <c r="AR2210" s="81" t="s">
        <v>179</v>
      </c>
      <c r="AS2210" s="81">
        <v>0</v>
      </c>
      <c r="AT2210" s="81">
        <v>0</v>
      </c>
      <c r="AU2210" s="81"/>
      <c r="AV2210" s="81"/>
      <c r="AW2210" s="81"/>
      <c r="AX2210" s="81"/>
      <c r="AY2210" s="81"/>
      <c r="AZ2210" s="81"/>
      <c r="BA2210" s="81"/>
      <c r="BB2210" s="81"/>
    </row>
    <row r="2211" spans="1:54" x14ac:dyDescent="0.35">
      <c r="A2211" s="66" t="s">
        <v>4966</v>
      </c>
      <c r="B2211" s="66" t="s">
        <v>5253</v>
      </c>
      <c r="C2211" s="67"/>
      <c r="D2211" s="68"/>
      <c r="E2211" s="69"/>
      <c r="F2211" s="70"/>
      <c r="G2211" s="67"/>
      <c r="H2211" s="71"/>
      <c r="I2211" s="72"/>
      <c r="J2211" s="72"/>
      <c r="K2211" s="36"/>
      <c r="L2211" s="79"/>
      <c r="M2211" s="79"/>
      <c r="N2211" s="74"/>
      <c r="O2211" s="81" t="s">
        <v>694</v>
      </c>
      <c r="P2211" s="83">
        <v>44463.970462962963</v>
      </c>
      <c r="Q2211" s="81" t="s">
        <v>5654</v>
      </c>
      <c r="R2211" s="84" t="str">
        <f>HYPERLINK("https://auditoriacidada.org.br/")</f>
        <v>https://auditoriacidada.org.br/</v>
      </c>
      <c r="S2211" s="81" t="s">
        <v>5696</v>
      </c>
      <c r="T2211" s="81"/>
      <c r="U2211" s="81"/>
      <c r="V2211" s="84" t="str">
        <f>HYPERLINK("https://pbs.twimg.com/profile_images/1281040610372222982/GJuyvmvD_normal.jpg")</f>
        <v>https://pbs.twimg.com/profile_images/1281040610372222982/GJuyvmvD_normal.jpg</v>
      </c>
      <c r="W2211" s="83">
        <v>44463.970462962963</v>
      </c>
      <c r="X2211" s="89">
        <v>44463</v>
      </c>
      <c r="Y2211" s="86" t="s">
        <v>6653</v>
      </c>
      <c r="Z2211" s="84" t="str">
        <f>HYPERLINK("https://twitter.com/lotemarcio/status/1441542329370824704")</f>
        <v>https://twitter.com/lotemarcio/status/1441542329370824704</v>
      </c>
      <c r="AA2211" s="81"/>
      <c r="AB2211" s="81"/>
      <c r="AC2211" s="86" t="s">
        <v>7578</v>
      </c>
      <c r="AD2211" s="81"/>
      <c r="AE2211" s="81" t="b">
        <v>0</v>
      </c>
      <c r="AF2211" s="81">
        <v>0</v>
      </c>
      <c r="AG2211" s="86" t="s">
        <v>2084</v>
      </c>
      <c r="AH2211" s="81" t="b">
        <v>0</v>
      </c>
      <c r="AI2211" s="81" t="s">
        <v>2171</v>
      </c>
      <c r="AJ2211" s="81"/>
      <c r="AK2211" s="86" t="s">
        <v>2084</v>
      </c>
      <c r="AL2211" s="81" t="b">
        <v>0</v>
      </c>
      <c r="AM2211" s="81">
        <v>4</v>
      </c>
      <c r="AN2211" s="86" t="s">
        <v>7580</v>
      </c>
      <c r="AO2211" s="86" t="s">
        <v>2178</v>
      </c>
      <c r="AP2211" s="81" t="b">
        <v>0</v>
      </c>
      <c r="AQ2211" s="86" t="s">
        <v>7580</v>
      </c>
      <c r="AR2211" s="81" t="s">
        <v>179</v>
      </c>
      <c r="AS2211" s="81">
        <v>0</v>
      </c>
      <c r="AT2211" s="81">
        <v>0</v>
      </c>
      <c r="AU2211" s="81"/>
      <c r="AV2211" s="81"/>
      <c r="AW2211" s="81"/>
      <c r="AX2211" s="81"/>
      <c r="AY2211" s="81"/>
      <c r="AZ2211" s="81"/>
      <c r="BA2211" s="81"/>
      <c r="BB2211" s="81"/>
    </row>
    <row r="2212" spans="1:54" x14ac:dyDescent="0.35">
      <c r="A2212" s="66" t="s">
        <v>4966</v>
      </c>
      <c r="B2212" s="66" t="s">
        <v>5254</v>
      </c>
      <c r="C2212" s="67"/>
      <c r="D2212" s="68"/>
      <c r="E2212" s="69"/>
      <c r="F2212" s="70"/>
      <c r="G2212" s="67"/>
      <c r="H2212" s="71"/>
      <c r="I2212" s="72"/>
      <c r="J2212" s="72"/>
      <c r="K2212" s="36"/>
      <c r="L2212" s="79"/>
      <c r="M2212" s="79"/>
      <c r="N2212" s="74"/>
      <c r="O2212" s="81" t="s">
        <v>694</v>
      </c>
      <c r="P2212" s="83">
        <v>44463.970462962963</v>
      </c>
      <c r="Q2212" s="81" t="s">
        <v>5654</v>
      </c>
      <c r="R2212" s="84" t="str">
        <f>HYPERLINK("https://auditoriacidada.org.br/")</f>
        <v>https://auditoriacidada.org.br/</v>
      </c>
      <c r="S2212" s="81" t="s">
        <v>5696</v>
      </c>
      <c r="T2212" s="81"/>
      <c r="U2212" s="81"/>
      <c r="V2212" s="84" t="str">
        <f>HYPERLINK("https://pbs.twimg.com/profile_images/1281040610372222982/GJuyvmvD_normal.jpg")</f>
        <v>https://pbs.twimg.com/profile_images/1281040610372222982/GJuyvmvD_normal.jpg</v>
      </c>
      <c r="W2212" s="83">
        <v>44463.970462962963</v>
      </c>
      <c r="X2212" s="89">
        <v>44463</v>
      </c>
      <c r="Y2212" s="86" t="s">
        <v>6653</v>
      </c>
      <c r="Z2212" s="84" t="str">
        <f>HYPERLINK("https://twitter.com/lotemarcio/status/1441542329370824704")</f>
        <v>https://twitter.com/lotemarcio/status/1441542329370824704</v>
      </c>
      <c r="AA2212" s="81"/>
      <c r="AB2212" s="81"/>
      <c r="AC2212" s="86" t="s">
        <v>7578</v>
      </c>
      <c r="AD2212" s="81"/>
      <c r="AE2212" s="81" t="b">
        <v>0</v>
      </c>
      <c r="AF2212" s="81">
        <v>0</v>
      </c>
      <c r="AG2212" s="86" t="s">
        <v>2084</v>
      </c>
      <c r="AH2212" s="81" t="b">
        <v>0</v>
      </c>
      <c r="AI2212" s="81" t="s">
        <v>2171</v>
      </c>
      <c r="AJ2212" s="81"/>
      <c r="AK2212" s="86" t="s">
        <v>2084</v>
      </c>
      <c r="AL2212" s="81" t="b">
        <v>0</v>
      </c>
      <c r="AM2212" s="81">
        <v>4</v>
      </c>
      <c r="AN2212" s="86" t="s">
        <v>7580</v>
      </c>
      <c r="AO2212" s="86" t="s">
        <v>2178</v>
      </c>
      <c r="AP2212" s="81" t="b">
        <v>0</v>
      </c>
      <c r="AQ2212" s="86" t="s">
        <v>7580</v>
      </c>
      <c r="AR2212" s="81" t="s">
        <v>179</v>
      </c>
      <c r="AS2212" s="81">
        <v>0</v>
      </c>
      <c r="AT2212" s="81">
        <v>0</v>
      </c>
      <c r="AU2212" s="81"/>
      <c r="AV2212" s="81"/>
      <c r="AW2212" s="81"/>
      <c r="AX2212" s="81"/>
      <c r="AY2212" s="81"/>
      <c r="AZ2212" s="81"/>
      <c r="BA2212" s="81"/>
      <c r="BB2212" s="81"/>
    </row>
    <row r="2213" spans="1:54" x14ac:dyDescent="0.35">
      <c r="A2213" s="66" t="s">
        <v>4966</v>
      </c>
      <c r="B2213" s="66" t="s">
        <v>5255</v>
      </c>
      <c r="C2213" s="67"/>
      <c r="D2213" s="68"/>
      <c r="E2213" s="69"/>
      <c r="F2213" s="70"/>
      <c r="G2213" s="67"/>
      <c r="H2213" s="71"/>
      <c r="I2213" s="72"/>
      <c r="J2213" s="72"/>
      <c r="K2213" s="36"/>
      <c r="L2213" s="79"/>
      <c r="M2213" s="79"/>
      <c r="N2213" s="74"/>
      <c r="O2213" s="81" t="s">
        <v>694</v>
      </c>
      <c r="P2213" s="83">
        <v>44463.970462962963</v>
      </c>
      <c r="Q2213" s="81" t="s">
        <v>5654</v>
      </c>
      <c r="R2213" s="84" t="str">
        <f>HYPERLINK("https://auditoriacidada.org.br/")</f>
        <v>https://auditoriacidada.org.br/</v>
      </c>
      <c r="S2213" s="81" t="s">
        <v>5696</v>
      </c>
      <c r="T2213" s="81"/>
      <c r="U2213" s="81"/>
      <c r="V2213" s="84" t="str">
        <f>HYPERLINK("https://pbs.twimg.com/profile_images/1281040610372222982/GJuyvmvD_normal.jpg")</f>
        <v>https://pbs.twimg.com/profile_images/1281040610372222982/GJuyvmvD_normal.jpg</v>
      </c>
      <c r="W2213" s="83">
        <v>44463.970462962963</v>
      </c>
      <c r="X2213" s="89">
        <v>44463</v>
      </c>
      <c r="Y2213" s="86" t="s">
        <v>6653</v>
      </c>
      <c r="Z2213" s="84" t="str">
        <f>HYPERLINK("https://twitter.com/lotemarcio/status/1441542329370824704")</f>
        <v>https://twitter.com/lotemarcio/status/1441542329370824704</v>
      </c>
      <c r="AA2213" s="81"/>
      <c r="AB2213" s="81"/>
      <c r="AC2213" s="86" t="s">
        <v>7578</v>
      </c>
      <c r="AD2213" s="81"/>
      <c r="AE2213" s="81" t="b">
        <v>0</v>
      </c>
      <c r="AF2213" s="81">
        <v>0</v>
      </c>
      <c r="AG2213" s="86" t="s">
        <v>2084</v>
      </c>
      <c r="AH2213" s="81" t="b">
        <v>0</v>
      </c>
      <c r="AI2213" s="81" t="s">
        <v>2171</v>
      </c>
      <c r="AJ2213" s="81"/>
      <c r="AK2213" s="86" t="s">
        <v>2084</v>
      </c>
      <c r="AL2213" s="81" t="b">
        <v>0</v>
      </c>
      <c r="AM2213" s="81">
        <v>4</v>
      </c>
      <c r="AN2213" s="86" t="s">
        <v>7580</v>
      </c>
      <c r="AO2213" s="86" t="s">
        <v>2178</v>
      </c>
      <c r="AP2213" s="81" t="b">
        <v>0</v>
      </c>
      <c r="AQ2213" s="86" t="s">
        <v>7580</v>
      </c>
      <c r="AR2213" s="81" t="s">
        <v>179</v>
      </c>
      <c r="AS2213" s="81">
        <v>0</v>
      </c>
      <c r="AT2213" s="81">
        <v>0</v>
      </c>
      <c r="AU2213" s="81"/>
      <c r="AV2213" s="81"/>
      <c r="AW2213" s="81"/>
      <c r="AX2213" s="81"/>
      <c r="AY2213" s="81"/>
      <c r="AZ2213" s="81"/>
      <c r="BA2213" s="81"/>
      <c r="BB2213" s="81"/>
    </row>
    <row r="2214" spans="1:54" x14ac:dyDescent="0.35">
      <c r="A2214" s="66" t="s">
        <v>4966</v>
      </c>
      <c r="B2214" s="66" t="s">
        <v>5256</v>
      </c>
      <c r="C2214" s="67"/>
      <c r="D2214" s="68"/>
      <c r="E2214" s="69"/>
      <c r="F2214" s="70"/>
      <c r="G2214" s="67"/>
      <c r="H2214" s="71"/>
      <c r="I2214" s="72"/>
      <c r="J2214" s="72"/>
      <c r="K2214" s="36"/>
      <c r="L2214" s="79"/>
      <c r="M2214" s="79"/>
      <c r="N2214" s="74"/>
      <c r="O2214" s="81" t="s">
        <v>694</v>
      </c>
      <c r="P2214" s="83">
        <v>44463.970462962963</v>
      </c>
      <c r="Q2214" s="81" t="s">
        <v>5654</v>
      </c>
      <c r="R2214" s="84" t="str">
        <f>HYPERLINK("https://auditoriacidada.org.br/")</f>
        <v>https://auditoriacidada.org.br/</v>
      </c>
      <c r="S2214" s="81" t="s">
        <v>5696</v>
      </c>
      <c r="T2214" s="81"/>
      <c r="U2214" s="81"/>
      <c r="V2214" s="84" t="str">
        <f>HYPERLINK("https://pbs.twimg.com/profile_images/1281040610372222982/GJuyvmvD_normal.jpg")</f>
        <v>https://pbs.twimg.com/profile_images/1281040610372222982/GJuyvmvD_normal.jpg</v>
      </c>
      <c r="W2214" s="83">
        <v>44463.970462962963</v>
      </c>
      <c r="X2214" s="89">
        <v>44463</v>
      </c>
      <c r="Y2214" s="86" t="s">
        <v>6653</v>
      </c>
      <c r="Z2214" s="84" t="str">
        <f>HYPERLINK("https://twitter.com/lotemarcio/status/1441542329370824704")</f>
        <v>https://twitter.com/lotemarcio/status/1441542329370824704</v>
      </c>
      <c r="AA2214" s="81"/>
      <c r="AB2214" s="81"/>
      <c r="AC2214" s="86" t="s">
        <v>7578</v>
      </c>
      <c r="AD2214" s="81"/>
      <c r="AE2214" s="81" t="b">
        <v>0</v>
      </c>
      <c r="AF2214" s="81">
        <v>0</v>
      </c>
      <c r="AG2214" s="86" t="s">
        <v>2084</v>
      </c>
      <c r="AH2214" s="81" t="b">
        <v>0</v>
      </c>
      <c r="AI2214" s="81" t="s">
        <v>2171</v>
      </c>
      <c r="AJ2214" s="81"/>
      <c r="AK2214" s="86" t="s">
        <v>2084</v>
      </c>
      <c r="AL2214" s="81" t="b">
        <v>0</v>
      </c>
      <c r="AM2214" s="81">
        <v>4</v>
      </c>
      <c r="AN2214" s="86" t="s">
        <v>7580</v>
      </c>
      <c r="AO2214" s="86" t="s">
        <v>2178</v>
      </c>
      <c r="AP2214" s="81" t="b">
        <v>0</v>
      </c>
      <c r="AQ2214" s="86" t="s">
        <v>7580</v>
      </c>
      <c r="AR2214" s="81" t="s">
        <v>179</v>
      </c>
      <c r="AS2214" s="81">
        <v>0</v>
      </c>
      <c r="AT2214" s="81">
        <v>0</v>
      </c>
      <c r="AU2214" s="81"/>
      <c r="AV2214" s="81"/>
      <c r="AW2214" s="81"/>
      <c r="AX2214" s="81"/>
      <c r="AY2214" s="81"/>
      <c r="AZ2214" s="81"/>
      <c r="BA2214" s="81"/>
      <c r="BB2214" s="81"/>
    </row>
    <row r="2215" spans="1:54" x14ac:dyDescent="0.35">
      <c r="A2215" s="66" t="s">
        <v>4966</v>
      </c>
      <c r="B2215" s="66" t="s">
        <v>5257</v>
      </c>
      <c r="C2215" s="67"/>
      <c r="D2215" s="68"/>
      <c r="E2215" s="69"/>
      <c r="F2215" s="70"/>
      <c r="G2215" s="67"/>
      <c r="H2215" s="71"/>
      <c r="I2215" s="72"/>
      <c r="J2215" s="72"/>
      <c r="K2215" s="36"/>
      <c r="L2215" s="79"/>
      <c r="M2215" s="79"/>
      <c r="N2215" s="74"/>
      <c r="O2215" s="81" t="s">
        <v>694</v>
      </c>
      <c r="P2215" s="83">
        <v>44463.970462962963</v>
      </c>
      <c r="Q2215" s="81" t="s">
        <v>5654</v>
      </c>
      <c r="R2215" s="84" t="str">
        <f>HYPERLINK("https://auditoriacidada.org.br/")</f>
        <v>https://auditoriacidada.org.br/</v>
      </c>
      <c r="S2215" s="81" t="s">
        <v>5696</v>
      </c>
      <c r="T2215" s="81"/>
      <c r="U2215" s="81"/>
      <c r="V2215" s="84" t="str">
        <f>HYPERLINK("https://pbs.twimg.com/profile_images/1281040610372222982/GJuyvmvD_normal.jpg")</f>
        <v>https://pbs.twimg.com/profile_images/1281040610372222982/GJuyvmvD_normal.jpg</v>
      </c>
      <c r="W2215" s="83">
        <v>44463.970462962963</v>
      </c>
      <c r="X2215" s="89">
        <v>44463</v>
      </c>
      <c r="Y2215" s="86" t="s">
        <v>6653</v>
      </c>
      <c r="Z2215" s="84" t="str">
        <f>HYPERLINK("https://twitter.com/lotemarcio/status/1441542329370824704")</f>
        <v>https://twitter.com/lotemarcio/status/1441542329370824704</v>
      </c>
      <c r="AA2215" s="81"/>
      <c r="AB2215" s="81"/>
      <c r="AC2215" s="86" t="s">
        <v>7578</v>
      </c>
      <c r="AD2215" s="81"/>
      <c r="AE2215" s="81" t="b">
        <v>0</v>
      </c>
      <c r="AF2215" s="81">
        <v>0</v>
      </c>
      <c r="AG2215" s="86" t="s">
        <v>2084</v>
      </c>
      <c r="AH2215" s="81" t="b">
        <v>0</v>
      </c>
      <c r="AI2215" s="81" t="s">
        <v>2171</v>
      </c>
      <c r="AJ2215" s="81"/>
      <c r="AK2215" s="86" t="s">
        <v>2084</v>
      </c>
      <c r="AL2215" s="81" t="b">
        <v>0</v>
      </c>
      <c r="AM2215" s="81">
        <v>4</v>
      </c>
      <c r="AN2215" s="86" t="s">
        <v>7580</v>
      </c>
      <c r="AO2215" s="86" t="s">
        <v>2178</v>
      </c>
      <c r="AP2215" s="81" t="b">
        <v>0</v>
      </c>
      <c r="AQ2215" s="86" t="s">
        <v>7580</v>
      </c>
      <c r="AR2215" s="81" t="s">
        <v>179</v>
      </c>
      <c r="AS2215" s="81">
        <v>0</v>
      </c>
      <c r="AT2215" s="81">
        <v>0</v>
      </c>
      <c r="AU2215" s="81"/>
      <c r="AV2215" s="81"/>
      <c r="AW2215" s="81"/>
      <c r="AX2215" s="81"/>
      <c r="AY2215" s="81"/>
      <c r="AZ2215" s="81"/>
      <c r="BA2215" s="81"/>
      <c r="BB2215" s="81"/>
    </row>
    <row r="2216" spans="1:54" x14ac:dyDescent="0.35">
      <c r="A2216" s="66" t="s">
        <v>4966</v>
      </c>
      <c r="B2216" s="66" t="s">
        <v>5258</v>
      </c>
      <c r="C2216" s="67"/>
      <c r="D2216" s="68"/>
      <c r="E2216" s="69"/>
      <c r="F2216" s="70"/>
      <c r="G2216" s="67"/>
      <c r="H2216" s="71"/>
      <c r="I2216" s="72"/>
      <c r="J2216" s="72"/>
      <c r="K2216" s="36"/>
      <c r="L2216" s="79"/>
      <c r="M2216" s="79"/>
      <c r="N2216" s="74"/>
      <c r="O2216" s="81" t="s">
        <v>694</v>
      </c>
      <c r="P2216" s="83">
        <v>44463.970462962963</v>
      </c>
      <c r="Q2216" s="81" t="s">
        <v>5654</v>
      </c>
      <c r="R2216" s="84" t="str">
        <f>HYPERLINK("https://auditoriacidada.org.br/")</f>
        <v>https://auditoriacidada.org.br/</v>
      </c>
      <c r="S2216" s="81" t="s">
        <v>5696</v>
      </c>
      <c r="T2216" s="81"/>
      <c r="U2216" s="81"/>
      <c r="V2216" s="84" t="str">
        <f>HYPERLINK("https://pbs.twimg.com/profile_images/1281040610372222982/GJuyvmvD_normal.jpg")</f>
        <v>https://pbs.twimg.com/profile_images/1281040610372222982/GJuyvmvD_normal.jpg</v>
      </c>
      <c r="W2216" s="83">
        <v>44463.970462962963</v>
      </c>
      <c r="X2216" s="89">
        <v>44463</v>
      </c>
      <c r="Y2216" s="86" t="s">
        <v>6653</v>
      </c>
      <c r="Z2216" s="84" t="str">
        <f>HYPERLINK("https://twitter.com/lotemarcio/status/1441542329370824704")</f>
        <v>https://twitter.com/lotemarcio/status/1441542329370824704</v>
      </c>
      <c r="AA2216" s="81"/>
      <c r="AB2216" s="81"/>
      <c r="AC2216" s="86" t="s">
        <v>7578</v>
      </c>
      <c r="AD2216" s="81"/>
      <c r="AE2216" s="81" t="b">
        <v>0</v>
      </c>
      <c r="AF2216" s="81">
        <v>0</v>
      </c>
      <c r="AG2216" s="86" t="s">
        <v>2084</v>
      </c>
      <c r="AH2216" s="81" t="b">
        <v>0</v>
      </c>
      <c r="AI2216" s="81" t="s">
        <v>2171</v>
      </c>
      <c r="AJ2216" s="81"/>
      <c r="AK2216" s="86" t="s">
        <v>2084</v>
      </c>
      <c r="AL2216" s="81" t="b">
        <v>0</v>
      </c>
      <c r="AM2216" s="81">
        <v>4</v>
      </c>
      <c r="AN2216" s="86" t="s">
        <v>7580</v>
      </c>
      <c r="AO2216" s="86" t="s">
        <v>2178</v>
      </c>
      <c r="AP2216" s="81" t="b">
        <v>0</v>
      </c>
      <c r="AQ2216" s="86" t="s">
        <v>7580</v>
      </c>
      <c r="AR2216" s="81" t="s">
        <v>179</v>
      </c>
      <c r="AS2216" s="81">
        <v>0</v>
      </c>
      <c r="AT2216" s="81">
        <v>0</v>
      </c>
      <c r="AU2216" s="81"/>
      <c r="AV2216" s="81"/>
      <c r="AW2216" s="81"/>
      <c r="AX2216" s="81"/>
      <c r="AY2216" s="81"/>
      <c r="AZ2216" s="81"/>
      <c r="BA2216" s="81"/>
      <c r="BB2216" s="81"/>
    </row>
    <row r="2217" spans="1:54" x14ac:dyDescent="0.35">
      <c r="A2217" s="66" t="s">
        <v>4966</v>
      </c>
      <c r="B2217" s="66" t="s">
        <v>5259</v>
      </c>
      <c r="C2217" s="67"/>
      <c r="D2217" s="68"/>
      <c r="E2217" s="69"/>
      <c r="F2217" s="70"/>
      <c r="G2217" s="67"/>
      <c r="H2217" s="71"/>
      <c r="I2217" s="72"/>
      <c r="J2217" s="72"/>
      <c r="K2217" s="36"/>
      <c r="L2217" s="79"/>
      <c r="M2217" s="79"/>
      <c r="N2217" s="74"/>
      <c r="O2217" s="81" t="s">
        <v>694</v>
      </c>
      <c r="P2217" s="83">
        <v>44463.970462962963</v>
      </c>
      <c r="Q2217" s="81" t="s">
        <v>5654</v>
      </c>
      <c r="R2217" s="84" t="str">
        <f>HYPERLINK("https://auditoriacidada.org.br/")</f>
        <v>https://auditoriacidada.org.br/</v>
      </c>
      <c r="S2217" s="81" t="s">
        <v>5696</v>
      </c>
      <c r="T2217" s="81"/>
      <c r="U2217" s="81"/>
      <c r="V2217" s="84" t="str">
        <f>HYPERLINK("https://pbs.twimg.com/profile_images/1281040610372222982/GJuyvmvD_normal.jpg")</f>
        <v>https://pbs.twimg.com/profile_images/1281040610372222982/GJuyvmvD_normal.jpg</v>
      </c>
      <c r="W2217" s="83">
        <v>44463.970462962963</v>
      </c>
      <c r="X2217" s="89">
        <v>44463</v>
      </c>
      <c r="Y2217" s="86" t="s">
        <v>6653</v>
      </c>
      <c r="Z2217" s="84" t="str">
        <f>HYPERLINK("https://twitter.com/lotemarcio/status/1441542329370824704")</f>
        <v>https://twitter.com/lotemarcio/status/1441542329370824704</v>
      </c>
      <c r="AA2217" s="81"/>
      <c r="AB2217" s="81"/>
      <c r="AC2217" s="86" t="s">
        <v>7578</v>
      </c>
      <c r="AD2217" s="81"/>
      <c r="AE2217" s="81" t="b">
        <v>0</v>
      </c>
      <c r="AF2217" s="81">
        <v>0</v>
      </c>
      <c r="AG2217" s="86" t="s">
        <v>2084</v>
      </c>
      <c r="AH2217" s="81" t="b">
        <v>0</v>
      </c>
      <c r="AI2217" s="81" t="s">
        <v>2171</v>
      </c>
      <c r="AJ2217" s="81"/>
      <c r="AK2217" s="86" t="s">
        <v>2084</v>
      </c>
      <c r="AL2217" s="81" t="b">
        <v>0</v>
      </c>
      <c r="AM2217" s="81">
        <v>4</v>
      </c>
      <c r="AN2217" s="86" t="s">
        <v>7580</v>
      </c>
      <c r="AO2217" s="86" t="s">
        <v>2178</v>
      </c>
      <c r="AP2217" s="81" t="b">
        <v>0</v>
      </c>
      <c r="AQ2217" s="86" t="s">
        <v>7580</v>
      </c>
      <c r="AR2217" s="81" t="s">
        <v>179</v>
      </c>
      <c r="AS2217" s="81">
        <v>0</v>
      </c>
      <c r="AT2217" s="81">
        <v>0</v>
      </c>
      <c r="AU2217" s="81"/>
      <c r="AV2217" s="81"/>
      <c r="AW2217" s="81"/>
      <c r="AX2217" s="81"/>
      <c r="AY2217" s="81"/>
      <c r="AZ2217" s="81"/>
      <c r="BA2217" s="81"/>
      <c r="BB2217" s="81"/>
    </row>
    <row r="2218" spans="1:54" x14ac:dyDescent="0.35">
      <c r="A2218" s="66" t="s">
        <v>4966</v>
      </c>
      <c r="B2218" s="66" t="s">
        <v>5260</v>
      </c>
      <c r="C2218" s="67"/>
      <c r="D2218" s="68"/>
      <c r="E2218" s="69"/>
      <c r="F2218" s="70"/>
      <c r="G2218" s="67"/>
      <c r="H2218" s="71"/>
      <c r="I2218" s="72"/>
      <c r="J2218" s="72"/>
      <c r="K2218" s="36"/>
      <c r="L2218" s="79"/>
      <c r="M2218" s="79"/>
      <c r="N2218" s="74"/>
      <c r="O2218" s="81" t="s">
        <v>694</v>
      </c>
      <c r="P2218" s="83">
        <v>44463.970462962963</v>
      </c>
      <c r="Q2218" s="81" t="s">
        <v>5654</v>
      </c>
      <c r="R2218" s="84" t="str">
        <f>HYPERLINK("https://auditoriacidada.org.br/")</f>
        <v>https://auditoriacidada.org.br/</v>
      </c>
      <c r="S2218" s="81" t="s">
        <v>5696</v>
      </c>
      <c r="T2218" s="81"/>
      <c r="U2218" s="81"/>
      <c r="V2218" s="84" t="str">
        <f>HYPERLINK("https://pbs.twimg.com/profile_images/1281040610372222982/GJuyvmvD_normal.jpg")</f>
        <v>https://pbs.twimg.com/profile_images/1281040610372222982/GJuyvmvD_normal.jpg</v>
      </c>
      <c r="W2218" s="83">
        <v>44463.970462962963</v>
      </c>
      <c r="X2218" s="89">
        <v>44463</v>
      </c>
      <c r="Y2218" s="86" t="s">
        <v>6653</v>
      </c>
      <c r="Z2218" s="84" t="str">
        <f>HYPERLINK("https://twitter.com/lotemarcio/status/1441542329370824704")</f>
        <v>https://twitter.com/lotemarcio/status/1441542329370824704</v>
      </c>
      <c r="AA2218" s="81"/>
      <c r="AB2218" s="81"/>
      <c r="AC2218" s="86" t="s">
        <v>7578</v>
      </c>
      <c r="AD2218" s="81"/>
      <c r="AE2218" s="81" t="b">
        <v>0</v>
      </c>
      <c r="AF2218" s="81">
        <v>0</v>
      </c>
      <c r="AG2218" s="86" t="s">
        <v>2084</v>
      </c>
      <c r="AH2218" s="81" t="b">
        <v>0</v>
      </c>
      <c r="AI2218" s="81" t="s">
        <v>2171</v>
      </c>
      <c r="AJ2218" s="81"/>
      <c r="AK2218" s="86" t="s">
        <v>2084</v>
      </c>
      <c r="AL2218" s="81" t="b">
        <v>0</v>
      </c>
      <c r="AM2218" s="81">
        <v>4</v>
      </c>
      <c r="AN2218" s="86" t="s">
        <v>7580</v>
      </c>
      <c r="AO2218" s="86" t="s">
        <v>2178</v>
      </c>
      <c r="AP2218" s="81" t="b">
        <v>0</v>
      </c>
      <c r="AQ2218" s="86" t="s">
        <v>7580</v>
      </c>
      <c r="AR2218" s="81" t="s">
        <v>179</v>
      </c>
      <c r="AS2218" s="81">
        <v>0</v>
      </c>
      <c r="AT2218" s="81">
        <v>0</v>
      </c>
      <c r="AU2218" s="81"/>
      <c r="AV2218" s="81"/>
      <c r="AW2218" s="81"/>
      <c r="AX2218" s="81"/>
      <c r="AY2218" s="81"/>
      <c r="AZ2218" s="81"/>
      <c r="BA2218" s="81"/>
      <c r="BB2218" s="81"/>
    </row>
    <row r="2219" spans="1:54" x14ac:dyDescent="0.35">
      <c r="A2219" s="66" t="s">
        <v>4966</v>
      </c>
      <c r="B2219" s="66" t="s">
        <v>5261</v>
      </c>
      <c r="C2219" s="67"/>
      <c r="D2219" s="68"/>
      <c r="E2219" s="69"/>
      <c r="F2219" s="70"/>
      <c r="G2219" s="67"/>
      <c r="H2219" s="71"/>
      <c r="I2219" s="72"/>
      <c r="J2219" s="72"/>
      <c r="K2219" s="36"/>
      <c r="L2219" s="79"/>
      <c r="M2219" s="79"/>
      <c r="N2219" s="74"/>
      <c r="O2219" s="81" t="s">
        <v>694</v>
      </c>
      <c r="P2219" s="83">
        <v>44463.970462962963</v>
      </c>
      <c r="Q2219" s="81" t="s">
        <v>5654</v>
      </c>
      <c r="R2219" s="84" t="str">
        <f>HYPERLINK("https://auditoriacidada.org.br/")</f>
        <v>https://auditoriacidada.org.br/</v>
      </c>
      <c r="S2219" s="81" t="s">
        <v>5696</v>
      </c>
      <c r="T2219" s="81"/>
      <c r="U2219" s="81"/>
      <c r="V2219" s="84" t="str">
        <f>HYPERLINK("https://pbs.twimg.com/profile_images/1281040610372222982/GJuyvmvD_normal.jpg")</f>
        <v>https://pbs.twimg.com/profile_images/1281040610372222982/GJuyvmvD_normal.jpg</v>
      </c>
      <c r="W2219" s="83">
        <v>44463.970462962963</v>
      </c>
      <c r="X2219" s="89">
        <v>44463</v>
      </c>
      <c r="Y2219" s="86" t="s">
        <v>6653</v>
      </c>
      <c r="Z2219" s="84" t="str">
        <f>HYPERLINK("https://twitter.com/lotemarcio/status/1441542329370824704")</f>
        <v>https://twitter.com/lotemarcio/status/1441542329370824704</v>
      </c>
      <c r="AA2219" s="81"/>
      <c r="AB2219" s="81"/>
      <c r="AC2219" s="86" t="s">
        <v>7578</v>
      </c>
      <c r="AD2219" s="81"/>
      <c r="AE2219" s="81" t="b">
        <v>0</v>
      </c>
      <c r="AF2219" s="81">
        <v>0</v>
      </c>
      <c r="AG2219" s="86" t="s">
        <v>2084</v>
      </c>
      <c r="AH2219" s="81" t="b">
        <v>0</v>
      </c>
      <c r="AI2219" s="81" t="s">
        <v>2171</v>
      </c>
      <c r="AJ2219" s="81"/>
      <c r="AK2219" s="86" t="s">
        <v>2084</v>
      </c>
      <c r="AL2219" s="81" t="b">
        <v>0</v>
      </c>
      <c r="AM2219" s="81">
        <v>4</v>
      </c>
      <c r="AN2219" s="86" t="s">
        <v>7580</v>
      </c>
      <c r="AO2219" s="86" t="s">
        <v>2178</v>
      </c>
      <c r="AP2219" s="81" t="b">
        <v>0</v>
      </c>
      <c r="AQ2219" s="86" t="s">
        <v>7580</v>
      </c>
      <c r="AR2219" s="81" t="s">
        <v>179</v>
      </c>
      <c r="AS2219" s="81">
        <v>0</v>
      </c>
      <c r="AT2219" s="81">
        <v>0</v>
      </c>
      <c r="AU2219" s="81"/>
      <c r="AV2219" s="81"/>
      <c r="AW2219" s="81"/>
      <c r="AX2219" s="81"/>
      <c r="AY2219" s="81"/>
      <c r="AZ2219" s="81"/>
      <c r="BA2219" s="81"/>
      <c r="BB2219" s="81"/>
    </row>
    <row r="2220" spans="1:54" x14ac:dyDescent="0.35">
      <c r="A2220" s="66" t="s">
        <v>4966</v>
      </c>
      <c r="B2220" s="66" t="s">
        <v>5262</v>
      </c>
      <c r="C2220" s="67"/>
      <c r="D2220" s="68"/>
      <c r="E2220" s="69"/>
      <c r="F2220" s="70"/>
      <c r="G2220" s="67"/>
      <c r="H2220" s="71"/>
      <c r="I2220" s="72"/>
      <c r="J2220" s="72"/>
      <c r="K2220" s="36"/>
      <c r="L2220" s="79"/>
      <c r="M2220" s="79"/>
      <c r="N2220" s="74"/>
      <c r="O2220" s="81" t="s">
        <v>694</v>
      </c>
      <c r="P2220" s="83">
        <v>44463.970462962963</v>
      </c>
      <c r="Q2220" s="81" t="s">
        <v>5654</v>
      </c>
      <c r="R2220" s="84" t="str">
        <f>HYPERLINK("https://auditoriacidada.org.br/")</f>
        <v>https://auditoriacidada.org.br/</v>
      </c>
      <c r="S2220" s="81" t="s">
        <v>5696</v>
      </c>
      <c r="T2220" s="81"/>
      <c r="U2220" s="81"/>
      <c r="V2220" s="84" t="str">
        <f>HYPERLINK("https://pbs.twimg.com/profile_images/1281040610372222982/GJuyvmvD_normal.jpg")</f>
        <v>https://pbs.twimg.com/profile_images/1281040610372222982/GJuyvmvD_normal.jpg</v>
      </c>
      <c r="W2220" s="83">
        <v>44463.970462962963</v>
      </c>
      <c r="X2220" s="89">
        <v>44463</v>
      </c>
      <c r="Y2220" s="86" t="s">
        <v>6653</v>
      </c>
      <c r="Z2220" s="84" t="str">
        <f>HYPERLINK("https://twitter.com/lotemarcio/status/1441542329370824704")</f>
        <v>https://twitter.com/lotemarcio/status/1441542329370824704</v>
      </c>
      <c r="AA2220" s="81"/>
      <c r="AB2220" s="81"/>
      <c r="AC2220" s="86" t="s">
        <v>7578</v>
      </c>
      <c r="AD2220" s="81"/>
      <c r="AE2220" s="81" t="b">
        <v>0</v>
      </c>
      <c r="AF2220" s="81">
        <v>0</v>
      </c>
      <c r="AG2220" s="86" t="s">
        <v>2084</v>
      </c>
      <c r="AH2220" s="81" t="b">
        <v>0</v>
      </c>
      <c r="AI2220" s="81" t="s">
        <v>2171</v>
      </c>
      <c r="AJ2220" s="81"/>
      <c r="AK2220" s="86" t="s">
        <v>2084</v>
      </c>
      <c r="AL2220" s="81" t="b">
        <v>0</v>
      </c>
      <c r="AM2220" s="81">
        <v>4</v>
      </c>
      <c r="AN2220" s="86" t="s">
        <v>7580</v>
      </c>
      <c r="AO2220" s="86" t="s">
        <v>2178</v>
      </c>
      <c r="AP2220" s="81" t="b">
        <v>0</v>
      </c>
      <c r="AQ2220" s="86" t="s">
        <v>7580</v>
      </c>
      <c r="AR2220" s="81" t="s">
        <v>179</v>
      </c>
      <c r="AS2220" s="81">
        <v>0</v>
      </c>
      <c r="AT2220" s="81">
        <v>0</v>
      </c>
      <c r="AU2220" s="81"/>
      <c r="AV2220" s="81"/>
      <c r="AW2220" s="81"/>
      <c r="AX2220" s="81"/>
      <c r="AY2220" s="81"/>
      <c r="AZ2220" s="81"/>
      <c r="BA2220" s="81"/>
      <c r="BB2220" s="81"/>
    </row>
    <row r="2221" spans="1:54" x14ac:dyDescent="0.35">
      <c r="A2221" s="66" t="s">
        <v>4966</v>
      </c>
      <c r="B2221" s="66" t="s">
        <v>5263</v>
      </c>
      <c r="C2221" s="67"/>
      <c r="D2221" s="68"/>
      <c r="E2221" s="69"/>
      <c r="F2221" s="70"/>
      <c r="G2221" s="67"/>
      <c r="H2221" s="71"/>
      <c r="I2221" s="72"/>
      <c r="J2221" s="72"/>
      <c r="K2221" s="36"/>
      <c r="L2221" s="79"/>
      <c r="M2221" s="79"/>
      <c r="N2221" s="74"/>
      <c r="O2221" s="81" t="s">
        <v>694</v>
      </c>
      <c r="P2221" s="83">
        <v>44463.970462962963</v>
      </c>
      <c r="Q2221" s="81" t="s">
        <v>5654</v>
      </c>
      <c r="R2221" s="84" t="str">
        <f>HYPERLINK("https://auditoriacidada.org.br/")</f>
        <v>https://auditoriacidada.org.br/</v>
      </c>
      <c r="S2221" s="81" t="s">
        <v>5696</v>
      </c>
      <c r="T2221" s="81"/>
      <c r="U2221" s="81"/>
      <c r="V2221" s="84" t="str">
        <f>HYPERLINK("https://pbs.twimg.com/profile_images/1281040610372222982/GJuyvmvD_normal.jpg")</f>
        <v>https://pbs.twimg.com/profile_images/1281040610372222982/GJuyvmvD_normal.jpg</v>
      </c>
      <c r="W2221" s="83">
        <v>44463.970462962963</v>
      </c>
      <c r="X2221" s="89">
        <v>44463</v>
      </c>
      <c r="Y2221" s="86" t="s">
        <v>6653</v>
      </c>
      <c r="Z2221" s="84" t="str">
        <f>HYPERLINK("https://twitter.com/lotemarcio/status/1441542329370824704")</f>
        <v>https://twitter.com/lotemarcio/status/1441542329370824704</v>
      </c>
      <c r="AA2221" s="81"/>
      <c r="AB2221" s="81"/>
      <c r="AC2221" s="86" t="s">
        <v>7578</v>
      </c>
      <c r="AD2221" s="81"/>
      <c r="AE2221" s="81" t="b">
        <v>0</v>
      </c>
      <c r="AF2221" s="81">
        <v>0</v>
      </c>
      <c r="AG2221" s="86" t="s">
        <v>2084</v>
      </c>
      <c r="AH2221" s="81" t="b">
        <v>0</v>
      </c>
      <c r="AI2221" s="81" t="s">
        <v>2171</v>
      </c>
      <c r="AJ2221" s="81"/>
      <c r="AK2221" s="86" t="s">
        <v>2084</v>
      </c>
      <c r="AL2221" s="81" t="b">
        <v>0</v>
      </c>
      <c r="AM2221" s="81">
        <v>4</v>
      </c>
      <c r="AN2221" s="86" t="s">
        <v>7580</v>
      </c>
      <c r="AO2221" s="86" t="s">
        <v>2178</v>
      </c>
      <c r="AP2221" s="81" t="b">
        <v>0</v>
      </c>
      <c r="AQ2221" s="86" t="s">
        <v>7580</v>
      </c>
      <c r="AR2221" s="81" t="s">
        <v>179</v>
      </c>
      <c r="AS2221" s="81">
        <v>0</v>
      </c>
      <c r="AT2221" s="81">
        <v>0</v>
      </c>
      <c r="AU2221" s="81"/>
      <c r="AV2221" s="81"/>
      <c r="AW2221" s="81"/>
      <c r="AX2221" s="81"/>
      <c r="AY2221" s="81"/>
      <c r="AZ2221" s="81"/>
      <c r="BA2221" s="81"/>
      <c r="BB2221" s="81"/>
    </row>
    <row r="2222" spans="1:54" x14ac:dyDescent="0.35">
      <c r="A2222" s="66" t="s">
        <v>4966</v>
      </c>
      <c r="B2222" s="66" t="s">
        <v>4967</v>
      </c>
      <c r="C2222" s="67"/>
      <c r="D2222" s="68"/>
      <c r="E2222" s="69"/>
      <c r="F2222" s="70"/>
      <c r="G2222" s="67"/>
      <c r="H2222" s="71"/>
      <c r="I2222" s="72"/>
      <c r="J2222" s="72"/>
      <c r="K2222" s="36"/>
      <c r="L2222" s="79"/>
      <c r="M2222" s="79"/>
      <c r="N2222" s="74"/>
      <c r="O2222" s="81" t="s">
        <v>694</v>
      </c>
      <c r="P2222" s="83">
        <v>44463.970462962963</v>
      </c>
      <c r="Q2222" s="81" t="s">
        <v>5654</v>
      </c>
      <c r="R2222" s="84" t="str">
        <f>HYPERLINK("https://auditoriacidada.org.br/")</f>
        <v>https://auditoriacidada.org.br/</v>
      </c>
      <c r="S2222" s="81" t="s">
        <v>5696</v>
      </c>
      <c r="T2222" s="81"/>
      <c r="U2222" s="81"/>
      <c r="V2222" s="84" t="str">
        <f>HYPERLINK("https://pbs.twimg.com/profile_images/1281040610372222982/GJuyvmvD_normal.jpg")</f>
        <v>https://pbs.twimg.com/profile_images/1281040610372222982/GJuyvmvD_normal.jpg</v>
      </c>
      <c r="W2222" s="83">
        <v>44463.970462962963</v>
      </c>
      <c r="X2222" s="89">
        <v>44463</v>
      </c>
      <c r="Y2222" s="86" t="s">
        <v>6653</v>
      </c>
      <c r="Z2222" s="84" t="str">
        <f>HYPERLINK("https://twitter.com/lotemarcio/status/1441542329370824704")</f>
        <v>https://twitter.com/lotemarcio/status/1441542329370824704</v>
      </c>
      <c r="AA2222" s="81"/>
      <c r="AB2222" s="81"/>
      <c r="AC2222" s="86" t="s">
        <v>7578</v>
      </c>
      <c r="AD2222" s="81"/>
      <c r="AE2222" s="81" t="b">
        <v>0</v>
      </c>
      <c r="AF2222" s="81">
        <v>0</v>
      </c>
      <c r="AG2222" s="86" t="s">
        <v>2084</v>
      </c>
      <c r="AH2222" s="81" t="b">
        <v>0</v>
      </c>
      <c r="AI2222" s="81" t="s">
        <v>2171</v>
      </c>
      <c r="AJ2222" s="81"/>
      <c r="AK2222" s="86" t="s">
        <v>2084</v>
      </c>
      <c r="AL2222" s="81" t="b">
        <v>0</v>
      </c>
      <c r="AM2222" s="81">
        <v>4</v>
      </c>
      <c r="AN2222" s="86" t="s">
        <v>7580</v>
      </c>
      <c r="AO2222" s="86" t="s">
        <v>2178</v>
      </c>
      <c r="AP2222" s="81" t="b">
        <v>0</v>
      </c>
      <c r="AQ2222" s="86" t="s">
        <v>7580</v>
      </c>
      <c r="AR2222" s="81" t="s">
        <v>179</v>
      </c>
      <c r="AS2222" s="81">
        <v>0</v>
      </c>
      <c r="AT2222" s="81">
        <v>0</v>
      </c>
      <c r="AU2222" s="81"/>
      <c r="AV2222" s="81"/>
      <c r="AW2222" s="81"/>
      <c r="AX2222" s="81"/>
      <c r="AY2222" s="81"/>
      <c r="AZ2222" s="81"/>
      <c r="BA2222" s="81"/>
      <c r="BB2222" s="81"/>
    </row>
    <row r="2223" spans="1:54" x14ac:dyDescent="0.35">
      <c r="A2223" s="66" t="s">
        <v>4966</v>
      </c>
      <c r="B2223" s="66" t="s">
        <v>5264</v>
      </c>
      <c r="C2223" s="67"/>
      <c r="D2223" s="68"/>
      <c r="E2223" s="69"/>
      <c r="F2223" s="70"/>
      <c r="G2223" s="67"/>
      <c r="H2223" s="71"/>
      <c r="I2223" s="72"/>
      <c r="J2223" s="72"/>
      <c r="K2223" s="36"/>
      <c r="L2223" s="79"/>
      <c r="M2223" s="79"/>
      <c r="N2223" s="74"/>
      <c r="O2223" s="81" t="s">
        <v>694</v>
      </c>
      <c r="P2223" s="83">
        <v>44463.970462962963</v>
      </c>
      <c r="Q2223" s="81" t="s">
        <v>5654</v>
      </c>
      <c r="R2223" s="84" t="str">
        <f>HYPERLINK("https://auditoriacidada.org.br/")</f>
        <v>https://auditoriacidada.org.br/</v>
      </c>
      <c r="S2223" s="81" t="s">
        <v>5696</v>
      </c>
      <c r="T2223" s="81"/>
      <c r="U2223" s="81"/>
      <c r="V2223" s="84" t="str">
        <f>HYPERLINK("https://pbs.twimg.com/profile_images/1281040610372222982/GJuyvmvD_normal.jpg")</f>
        <v>https://pbs.twimg.com/profile_images/1281040610372222982/GJuyvmvD_normal.jpg</v>
      </c>
      <c r="W2223" s="83">
        <v>44463.970462962963</v>
      </c>
      <c r="X2223" s="89">
        <v>44463</v>
      </c>
      <c r="Y2223" s="86" t="s">
        <v>6653</v>
      </c>
      <c r="Z2223" s="84" t="str">
        <f>HYPERLINK("https://twitter.com/lotemarcio/status/1441542329370824704")</f>
        <v>https://twitter.com/lotemarcio/status/1441542329370824704</v>
      </c>
      <c r="AA2223" s="81"/>
      <c r="AB2223" s="81"/>
      <c r="AC2223" s="86" t="s">
        <v>7578</v>
      </c>
      <c r="AD2223" s="81"/>
      <c r="AE2223" s="81" t="b">
        <v>0</v>
      </c>
      <c r="AF2223" s="81">
        <v>0</v>
      </c>
      <c r="AG2223" s="86" t="s">
        <v>2084</v>
      </c>
      <c r="AH2223" s="81" t="b">
        <v>0</v>
      </c>
      <c r="AI2223" s="81" t="s">
        <v>2171</v>
      </c>
      <c r="AJ2223" s="81"/>
      <c r="AK2223" s="86" t="s">
        <v>2084</v>
      </c>
      <c r="AL2223" s="81" t="b">
        <v>0</v>
      </c>
      <c r="AM2223" s="81">
        <v>4</v>
      </c>
      <c r="AN2223" s="86" t="s">
        <v>7580</v>
      </c>
      <c r="AO2223" s="86" t="s">
        <v>2178</v>
      </c>
      <c r="AP2223" s="81" t="b">
        <v>0</v>
      </c>
      <c r="AQ2223" s="86" t="s">
        <v>7580</v>
      </c>
      <c r="AR2223" s="81" t="s">
        <v>179</v>
      </c>
      <c r="AS2223" s="81">
        <v>0</v>
      </c>
      <c r="AT2223" s="81">
        <v>0</v>
      </c>
      <c r="AU2223" s="81"/>
      <c r="AV2223" s="81"/>
      <c r="AW2223" s="81"/>
      <c r="AX2223" s="81"/>
      <c r="AY2223" s="81"/>
      <c r="AZ2223" s="81"/>
      <c r="BA2223" s="81"/>
      <c r="BB2223" s="81"/>
    </row>
    <row r="2224" spans="1:54" x14ac:dyDescent="0.35">
      <c r="A2224" s="66" t="s">
        <v>4966</v>
      </c>
      <c r="B2224" s="66" t="s">
        <v>5265</v>
      </c>
      <c r="C2224" s="67"/>
      <c r="D2224" s="68"/>
      <c r="E2224" s="69"/>
      <c r="F2224" s="70"/>
      <c r="G2224" s="67"/>
      <c r="H2224" s="71"/>
      <c r="I2224" s="72"/>
      <c r="J2224" s="72"/>
      <c r="K2224" s="36"/>
      <c r="L2224" s="79"/>
      <c r="M2224" s="79"/>
      <c r="N2224" s="74"/>
      <c r="O2224" s="81" t="s">
        <v>694</v>
      </c>
      <c r="P2224" s="83">
        <v>44463.970462962963</v>
      </c>
      <c r="Q2224" s="81" t="s">
        <v>5654</v>
      </c>
      <c r="R2224" s="84" t="str">
        <f>HYPERLINK("https://auditoriacidada.org.br/")</f>
        <v>https://auditoriacidada.org.br/</v>
      </c>
      <c r="S2224" s="81" t="s">
        <v>5696</v>
      </c>
      <c r="T2224" s="81"/>
      <c r="U2224" s="81"/>
      <c r="V2224" s="84" t="str">
        <f>HYPERLINK("https://pbs.twimg.com/profile_images/1281040610372222982/GJuyvmvD_normal.jpg")</f>
        <v>https://pbs.twimg.com/profile_images/1281040610372222982/GJuyvmvD_normal.jpg</v>
      </c>
      <c r="W2224" s="83">
        <v>44463.970462962963</v>
      </c>
      <c r="X2224" s="89">
        <v>44463</v>
      </c>
      <c r="Y2224" s="86" t="s">
        <v>6653</v>
      </c>
      <c r="Z2224" s="84" t="str">
        <f>HYPERLINK("https://twitter.com/lotemarcio/status/1441542329370824704")</f>
        <v>https://twitter.com/lotemarcio/status/1441542329370824704</v>
      </c>
      <c r="AA2224" s="81"/>
      <c r="AB2224" s="81"/>
      <c r="AC2224" s="86" t="s">
        <v>7578</v>
      </c>
      <c r="AD2224" s="81"/>
      <c r="AE2224" s="81" t="b">
        <v>0</v>
      </c>
      <c r="AF2224" s="81">
        <v>0</v>
      </c>
      <c r="AG2224" s="86" t="s">
        <v>2084</v>
      </c>
      <c r="AH2224" s="81" t="b">
        <v>0</v>
      </c>
      <c r="AI2224" s="81" t="s">
        <v>2171</v>
      </c>
      <c r="AJ2224" s="81"/>
      <c r="AK2224" s="86" t="s">
        <v>2084</v>
      </c>
      <c r="AL2224" s="81" t="b">
        <v>0</v>
      </c>
      <c r="AM2224" s="81">
        <v>4</v>
      </c>
      <c r="AN2224" s="86" t="s">
        <v>7580</v>
      </c>
      <c r="AO2224" s="86" t="s">
        <v>2178</v>
      </c>
      <c r="AP2224" s="81" t="b">
        <v>0</v>
      </c>
      <c r="AQ2224" s="86" t="s">
        <v>7580</v>
      </c>
      <c r="AR2224" s="81" t="s">
        <v>179</v>
      </c>
      <c r="AS2224" s="81">
        <v>0</v>
      </c>
      <c r="AT2224" s="81">
        <v>0</v>
      </c>
      <c r="AU2224" s="81"/>
      <c r="AV2224" s="81"/>
      <c r="AW2224" s="81"/>
      <c r="AX2224" s="81"/>
      <c r="AY2224" s="81"/>
      <c r="AZ2224" s="81"/>
      <c r="BA2224" s="81"/>
      <c r="BB2224" s="81"/>
    </row>
    <row r="2225" spans="1:54" x14ac:dyDescent="0.35">
      <c r="A2225" s="66" t="s">
        <v>4966</v>
      </c>
      <c r="B2225" s="66" t="s">
        <v>5266</v>
      </c>
      <c r="C2225" s="67"/>
      <c r="D2225" s="68"/>
      <c r="E2225" s="69"/>
      <c r="F2225" s="70"/>
      <c r="G2225" s="67"/>
      <c r="H2225" s="71"/>
      <c r="I2225" s="72"/>
      <c r="J2225" s="72"/>
      <c r="K2225" s="36"/>
      <c r="L2225" s="79"/>
      <c r="M2225" s="79"/>
      <c r="N2225" s="74"/>
      <c r="O2225" s="81" t="s">
        <v>694</v>
      </c>
      <c r="P2225" s="83">
        <v>44463.970462962963</v>
      </c>
      <c r="Q2225" s="81" t="s">
        <v>5654</v>
      </c>
      <c r="R2225" s="84" t="str">
        <f>HYPERLINK("https://auditoriacidada.org.br/")</f>
        <v>https://auditoriacidada.org.br/</v>
      </c>
      <c r="S2225" s="81" t="s">
        <v>5696</v>
      </c>
      <c r="T2225" s="81"/>
      <c r="U2225" s="81"/>
      <c r="V2225" s="84" t="str">
        <f>HYPERLINK("https://pbs.twimg.com/profile_images/1281040610372222982/GJuyvmvD_normal.jpg")</f>
        <v>https://pbs.twimg.com/profile_images/1281040610372222982/GJuyvmvD_normal.jpg</v>
      </c>
      <c r="W2225" s="83">
        <v>44463.970462962963</v>
      </c>
      <c r="X2225" s="89">
        <v>44463</v>
      </c>
      <c r="Y2225" s="86" t="s">
        <v>6653</v>
      </c>
      <c r="Z2225" s="84" t="str">
        <f>HYPERLINK("https://twitter.com/lotemarcio/status/1441542329370824704")</f>
        <v>https://twitter.com/lotemarcio/status/1441542329370824704</v>
      </c>
      <c r="AA2225" s="81"/>
      <c r="AB2225" s="81"/>
      <c r="AC2225" s="86" t="s">
        <v>7578</v>
      </c>
      <c r="AD2225" s="81"/>
      <c r="AE2225" s="81" t="b">
        <v>0</v>
      </c>
      <c r="AF2225" s="81">
        <v>0</v>
      </c>
      <c r="AG2225" s="86" t="s">
        <v>2084</v>
      </c>
      <c r="AH2225" s="81" t="b">
        <v>0</v>
      </c>
      <c r="AI2225" s="81" t="s">
        <v>2171</v>
      </c>
      <c r="AJ2225" s="81"/>
      <c r="AK2225" s="86" t="s">
        <v>2084</v>
      </c>
      <c r="AL2225" s="81" t="b">
        <v>0</v>
      </c>
      <c r="AM2225" s="81">
        <v>4</v>
      </c>
      <c r="AN2225" s="86" t="s">
        <v>7580</v>
      </c>
      <c r="AO2225" s="86" t="s">
        <v>2178</v>
      </c>
      <c r="AP2225" s="81" t="b">
        <v>0</v>
      </c>
      <c r="AQ2225" s="86" t="s">
        <v>7580</v>
      </c>
      <c r="AR2225" s="81" t="s">
        <v>179</v>
      </c>
      <c r="AS2225" s="81">
        <v>0</v>
      </c>
      <c r="AT2225" s="81">
        <v>0</v>
      </c>
      <c r="AU2225" s="81"/>
      <c r="AV2225" s="81"/>
      <c r="AW2225" s="81"/>
      <c r="AX2225" s="81"/>
      <c r="AY2225" s="81"/>
      <c r="AZ2225" s="81"/>
      <c r="BA2225" s="81"/>
      <c r="BB2225" s="81"/>
    </row>
    <row r="2226" spans="1:54" x14ac:dyDescent="0.35">
      <c r="A2226" s="66" t="s">
        <v>4966</v>
      </c>
      <c r="B2226" s="66" t="s">
        <v>5267</v>
      </c>
      <c r="C2226" s="67"/>
      <c r="D2226" s="68"/>
      <c r="E2226" s="69"/>
      <c r="F2226" s="70"/>
      <c r="G2226" s="67"/>
      <c r="H2226" s="71"/>
      <c r="I2226" s="72"/>
      <c r="J2226" s="72"/>
      <c r="K2226" s="36"/>
      <c r="L2226" s="79"/>
      <c r="M2226" s="79"/>
      <c r="N2226" s="74"/>
      <c r="O2226" s="81" t="s">
        <v>694</v>
      </c>
      <c r="P2226" s="83">
        <v>44463.970462962963</v>
      </c>
      <c r="Q2226" s="81" t="s">
        <v>5654</v>
      </c>
      <c r="R2226" s="84" t="str">
        <f>HYPERLINK("https://auditoriacidada.org.br/")</f>
        <v>https://auditoriacidada.org.br/</v>
      </c>
      <c r="S2226" s="81" t="s">
        <v>5696</v>
      </c>
      <c r="T2226" s="81"/>
      <c r="U2226" s="81"/>
      <c r="V2226" s="84" t="str">
        <f>HYPERLINK("https://pbs.twimg.com/profile_images/1281040610372222982/GJuyvmvD_normal.jpg")</f>
        <v>https://pbs.twimg.com/profile_images/1281040610372222982/GJuyvmvD_normal.jpg</v>
      </c>
      <c r="W2226" s="83">
        <v>44463.970462962963</v>
      </c>
      <c r="X2226" s="89">
        <v>44463</v>
      </c>
      <c r="Y2226" s="86" t="s">
        <v>6653</v>
      </c>
      <c r="Z2226" s="84" t="str">
        <f>HYPERLINK("https://twitter.com/lotemarcio/status/1441542329370824704")</f>
        <v>https://twitter.com/lotemarcio/status/1441542329370824704</v>
      </c>
      <c r="AA2226" s="81"/>
      <c r="AB2226" s="81"/>
      <c r="AC2226" s="86" t="s">
        <v>7578</v>
      </c>
      <c r="AD2226" s="81"/>
      <c r="AE2226" s="81" t="b">
        <v>0</v>
      </c>
      <c r="AF2226" s="81">
        <v>0</v>
      </c>
      <c r="AG2226" s="86" t="s">
        <v>2084</v>
      </c>
      <c r="AH2226" s="81" t="b">
        <v>0</v>
      </c>
      <c r="AI2226" s="81" t="s">
        <v>2171</v>
      </c>
      <c r="AJ2226" s="81"/>
      <c r="AK2226" s="86" t="s">
        <v>2084</v>
      </c>
      <c r="AL2226" s="81" t="b">
        <v>0</v>
      </c>
      <c r="AM2226" s="81">
        <v>4</v>
      </c>
      <c r="AN2226" s="86" t="s">
        <v>7580</v>
      </c>
      <c r="AO2226" s="86" t="s">
        <v>2178</v>
      </c>
      <c r="AP2226" s="81" t="b">
        <v>0</v>
      </c>
      <c r="AQ2226" s="86" t="s">
        <v>7580</v>
      </c>
      <c r="AR2226" s="81" t="s">
        <v>179</v>
      </c>
      <c r="AS2226" s="81">
        <v>0</v>
      </c>
      <c r="AT2226" s="81">
        <v>0</v>
      </c>
      <c r="AU2226" s="81"/>
      <c r="AV2226" s="81"/>
      <c r="AW2226" s="81"/>
      <c r="AX2226" s="81"/>
      <c r="AY2226" s="81"/>
      <c r="AZ2226" s="81"/>
      <c r="BA2226" s="81"/>
      <c r="BB2226" s="81"/>
    </row>
    <row r="2227" spans="1:54" x14ac:dyDescent="0.35">
      <c r="A2227" s="66" t="s">
        <v>4966</v>
      </c>
      <c r="B2227" s="66" t="s">
        <v>5268</v>
      </c>
      <c r="C2227" s="67"/>
      <c r="D2227" s="68"/>
      <c r="E2227" s="69"/>
      <c r="F2227" s="70"/>
      <c r="G2227" s="67"/>
      <c r="H2227" s="71"/>
      <c r="I2227" s="72"/>
      <c r="J2227" s="72"/>
      <c r="K2227" s="36"/>
      <c r="L2227" s="79"/>
      <c r="M2227" s="79"/>
      <c r="N2227" s="74"/>
      <c r="O2227" s="81" t="s">
        <v>694</v>
      </c>
      <c r="P2227" s="83">
        <v>44463.970462962963</v>
      </c>
      <c r="Q2227" s="81" t="s">
        <v>5654</v>
      </c>
      <c r="R2227" s="84" t="str">
        <f>HYPERLINK("https://auditoriacidada.org.br/")</f>
        <v>https://auditoriacidada.org.br/</v>
      </c>
      <c r="S2227" s="81" t="s">
        <v>5696</v>
      </c>
      <c r="T2227" s="81"/>
      <c r="U2227" s="81"/>
      <c r="V2227" s="84" t="str">
        <f>HYPERLINK("https://pbs.twimg.com/profile_images/1281040610372222982/GJuyvmvD_normal.jpg")</f>
        <v>https://pbs.twimg.com/profile_images/1281040610372222982/GJuyvmvD_normal.jpg</v>
      </c>
      <c r="W2227" s="83">
        <v>44463.970462962963</v>
      </c>
      <c r="X2227" s="89">
        <v>44463</v>
      </c>
      <c r="Y2227" s="86" t="s">
        <v>6653</v>
      </c>
      <c r="Z2227" s="84" t="str">
        <f>HYPERLINK("https://twitter.com/lotemarcio/status/1441542329370824704")</f>
        <v>https://twitter.com/lotemarcio/status/1441542329370824704</v>
      </c>
      <c r="AA2227" s="81"/>
      <c r="AB2227" s="81"/>
      <c r="AC2227" s="86" t="s">
        <v>7578</v>
      </c>
      <c r="AD2227" s="81"/>
      <c r="AE2227" s="81" t="b">
        <v>0</v>
      </c>
      <c r="AF2227" s="81">
        <v>0</v>
      </c>
      <c r="AG2227" s="86" t="s">
        <v>2084</v>
      </c>
      <c r="AH2227" s="81" t="b">
        <v>0</v>
      </c>
      <c r="AI2227" s="81" t="s">
        <v>2171</v>
      </c>
      <c r="AJ2227" s="81"/>
      <c r="AK2227" s="86" t="s">
        <v>2084</v>
      </c>
      <c r="AL2227" s="81" t="b">
        <v>0</v>
      </c>
      <c r="AM2227" s="81">
        <v>4</v>
      </c>
      <c r="AN2227" s="86" t="s">
        <v>7580</v>
      </c>
      <c r="AO2227" s="86" t="s">
        <v>2178</v>
      </c>
      <c r="AP2227" s="81" t="b">
        <v>0</v>
      </c>
      <c r="AQ2227" s="86" t="s">
        <v>7580</v>
      </c>
      <c r="AR2227" s="81" t="s">
        <v>179</v>
      </c>
      <c r="AS2227" s="81">
        <v>0</v>
      </c>
      <c r="AT2227" s="81">
        <v>0</v>
      </c>
      <c r="AU2227" s="81"/>
      <c r="AV2227" s="81"/>
      <c r="AW2227" s="81"/>
      <c r="AX2227" s="81"/>
      <c r="AY2227" s="81"/>
      <c r="AZ2227" s="81"/>
      <c r="BA2227" s="81"/>
      <c r="BB2227" s="81"/>
    </row>
    <row r="2228" spans="1:54" x14ac:dyDescent="0.35">
      <c r="A2228" s="66" t="s">
        <v>4966</v>
      </c>
      <c r="B2228" s="66" t="s">
        <v>5269</v>
      </c>
      <c r="C2228" s="67"/>
      <c r="D2228" s="68"/>
      <c r="E2228" s="69"/>
      <c r="F2228" s="70"/>
      <c r="G2228" s="67"/>
      <c r="H2228" s="71"/>
      <c r="I2228" s="72"/>
      <c r="J2228" s="72"/>
      <c r="K2228" s="36"/>
      <c r="L2228" s="79"/>
      <c r="M2228" s="79"/>
      <c r="N2228" s="74"/>
      <c r="O2228" s="81" t="s">
        <v>694</v>
      </c>
      <c r="P2228" s="83">
        <v>44463.970462962963</v>
      </c>
      <c r="Q2228" s="81" t="s">
        <v>5654</v>
      </c>
      <c r="R2228" s="84" t="str">
        <f>HYPERLINK("https://auditoriacidada.org.br/")</f>
        <v>https://auditoriacidada.org.br/</v>
      </c>
      <c r="S2228" s="81" t="s">
        <v>5696</v>
      </c>
      <c r="T2228" s="81"/>
      <c r="U2228" s="81"/>
      <c r="V2228" s="84" t="str">
        <f>HYPERLINK("https://pbs.twimg.com/profile_images/1281040610372222982/GJuyvmvD_normal.jpg")</f>
        <v>https://pbs.twimg.com/profile_images/1281040610372222982/GJuyvmvD_normal.jpg</v>
      </c>
      <c r="W2228" s="83">
        <v>44463.970462962963</v>
      </c>
      <c r="X2228" s="89">
        <v>44463</v>
      </c>
      <c r="Y2228" s="86" t="s">
        <v>6653</v>
      </c>
      <c r="Z2228" s="84" t="str">
        <f>HYPERLINK("https://twitter.com/lotemarcio/status/1441542329370824704")</f>
        <v>https://twitter.com/lotemarcio/status/1441542329370824704</v>
      </c>
      <c r="AA2228" s="81"/>
      <c r="AB2228" s="81"/>
      <c r="AC2228" s="86" t="s">
        <v>7578</v>
      </c>
      <c r="AD2228" s="81"/>
      <c r="AE2228" s="81" t="b">
        <v>0</v>
      </c>
      <c r="AF2228" s="81">
        <v>0</v>
      </c>
      <c r="AG2228" s="86" t="s">
        <v>2084</v>
      </c>
      <c r="AH2228" s="81" t="b">
        <v>0</v>
      </c>
      <c r="AI2228" s="81" t="s">
        <v>2171</v>
      </c>
      <c r="AJ2228" s="81"/>
      <c r="AK2228" s="86" t="s">
        <v>2084</v>
      </c>
      <c r="AL2228" s="81" t="b">
        <v>0</v>
      </c>
      <c r="AM2228" s="81">
        <v>4</v>
      </c>
      <c r="AN2228" s="86" t="s">
        <v>7580</v>
      </c>
      <c r="AO2228" s="86" t="s">
        <v>2178</v>
      </c>
      <c r="AP2228" s="81" t="b">
        <v>0</v>
      </c>
      <c r="AQ2228" s="86" t="s">
        <v>7580</v>
      </c>
      <c r="AR2228" s="81" t="s">
        <v>179</v>
      </c>
      <c r="AS2228" s="81">
        <v>0</v>
      </c>
      <c r="AT2228" s="81">
        <v>0</v>
      </c>
      <c r="AU2228" s="81"/>
      <c r="AV2228" s="81"/>
      <c r="AW2228" s="81"/>
      <c r="AX2228" s="81"/>
      <c r="AY2228" s="81"/>
      <c r="AZ2228" s="81"/>
      <c r="BA2228" s="81"/>
      <c r="BB2228" s="81"/>
    </row>
    <row r="2229" spans="1:54" x14ac:dyDescent="0.35">
      <c r="A2229" s="66" t="s">
        <v>4966</v>
      </c>
      <c r="B2229" s="66" t="s">
        <v>4963</v>
      </c>
      <c r="C2229" s="67"/>
      <c r="D2229" s="68"/>
      <c r="E2229" s="69"/>
      <c r="F2229" s="70"/>
      <c r="G2229" s="67"/>
      <c r="H2229" s="71"/>
      <c r="I2229" s="72"/>
      <c r="J2229" s="72"/>
      <c r="K2229" s="36"/>
      <c r="L2229" s="79"/>
      <c r="M2229" s="79"/>
      <c r="N2229" s="74"/>
      <c r="O2229" s="81" t="s">
        <v>693</v>
      </c>
      <c r="P2229" s="83">
        <v>44463.970462962963</v>
      </c>
      <c r="Q2229" s="81" t="s">
        <v>5654</v>
      </c>
      <c r="R2229" s="84" t="str">
        <f>HYPERLINK("https://auditoriacidada.org.br/")</f>
        <v>https://auditoriacidada.org.br/</v>
      </c>
      <c r="S2229" s="81" t="s">
        <v>5696</v>
      </c>
      <c r="T2229" s="81"/>
      <c r="U2229" s="81"/>
      <c r="V2229" s="84" t="str">
        <f>HYPERLINK("https://pbs.twimg.com/profile_images/1281040610372222982/GJuyvmvD_normal.jpg")</f>
        <v>https://pbs.twimg.com/profile_images/1281040610372222982/GJuyvmvD_normal.jpg</v>
      </c>
      <c r="W2229" s="83">
        <v>44463.970462962963</v>
      </c>
      <c r="X2229" s="89">
        <v>44463</v>
      </c>
      <c r="Y2229" s="86" t="s">
        <v>6653</v>
      </c>
      <c r="Z2229" s="84" t="str">
        <f>HYPERLINK("https://twitter.com/lotemarcio/status/1441542329370824704")</f>
        <v>https://twitter.com/lotemarcio/status/1441542329370824704</v>
      </c>
      <c r="AA2229" s="81"/>
      <c r="AB2229" s="81"/>
      <c r="AC2229" s="86" t="s">
        <v>7578</v>
      </c>
      <c r="AD2229" s="81"/>
      <c r="AE2229" s="81" t="b">
        <v>0</v>
      </c>
      <c r="AF2229" s="81">
        <v>0</v>
      </c>
      <c r="AG2229" s="86" t="s">
        <v>2084</v>
      </c>
      <c r="AH2229" s="81" t="b">
        <v>0</v>
      </c>
      <c r="AI2229" s="81" t="s">
        <v>2171</v>
      </c>
      <c r="AJ2229" s="81"/>
      <c r="AK2229" s="86" t="s">
        <v>2084</v>
      </c>
      <c r="AL2229" s="81" t="b">
        <v>0</v>
      </c>
      <c r="AM2229" s="81">
        <v>4</v>
      </c>
      <c r="AN2229" s="86" t="s">
        <v>7580</v>
      </c>
      <c r="AO2229" s="86" t="s">
        <v>2178</v>
      </c>
      <c r="AP2229" s="81" t="b">
        <v>0</v>
      </c>
      <c r="AQ2229" s="86" t="s">
        <v>7580</v>
      </c>
      <c r="AR2229" s="81" t="s">
        <v>179</v>
      </c>
      <c r="AS2229" s="81">
        <v>0</v>
      </c>
      <c r="AT2229" s="81">
        <v>0</v>
      </c>
      <c r="AU2229" s="81"/>
      <c r="AV2229" s="81"/>
      <c r="AW2229" s="81"/>
      <c r="AX2229" s="81"/>
      <c r="AY2229" s="81"/>
      <c r="AZ2229" s="81"/>
      <c r="BA2229" s="81"/>
      <c r="BB2229" s="81"/>
    </row>
    <row r="2230" spans="1:54" x14ac:dyDescent="0.35">
      <c r="A2230" s="66" t="s">
        <v>4966</v>
      </c>
      <c r="B2230" s="66" t="s">
        <v>5270</v>
      </c>
      <c r="C2230" s="67"/>
      <c r="D2230" s="68"/>
      <c r="E2230" s="69"/>
      <c r="F2230" s="70"/>
      <c r="G2230" s="67"/>
      <c r="H2230" s="71"/>
      <c r="I2230" s="72"/>
      <c r="J2230" s="72"/>
      <c r="K2230" s="36"/>
      <c r="L2230" s="79"/>
      <c r="M2230" s="79"/>
      <c r="N2230" s="74"/>
      <c r="O2230" s="81" t="s">
        <v>695</v>
      </c>
      <c r="P2230" s="83">
        <v>44463.970462962963</v>
      </c>
      <c r="Q2230" s="81" t="s">
        <v>5654</v>
      </c>
      <c r="R2230" s="84" t="str">
        <f>HYPERLINK("https://auditoriacidada.org.br/")</f>
        <v>https://auditoriacidada.org.br/</v>
      </c>
      <c r="S2230" s="81" t="s">
        <v>5696</v>
      </c>
      <c r="T2230" s="81"/>
      <c r="U2230" s="81"/>
      <c r="V2230" s="84" t="str">
        <f>HYPERLINK("https://pbs.twimg.com/profile_images/1281040610372222982/GJuyvmvD_normal.jpg")</f>
        <v>https://pbs.twimg.com/profile_images/1281040610372222982/GJuyvmvD_normal.jpg</v>
      </c>
      <c r="W2230" s="83">
        <v>44463.970462962963</v>
      </c>
      <c r="X2230" s="89">
        <v>44463</v>
      </c>
      <c r="Y2230" s="86" t="s">
        <v>6653</v>
      </c>
      <c r="Z2230" s="84" t="str">
        <f>HYPERLINK("https://twitter.com/lotemarcio/status/1441542329370824704")</f>
        <v>https://twitter.com/lotemarcio/status/1441542329370824704</v>
      </c>
      <c r="AA2230" s="81"/>
      <c r="AB2230" s="81"/>
      <c r="AC2230" s="86" t="s">
        <v>7578</v>
      </c>
      <c r="AD2230" s="81"/>
      <c r="AE2230" s="81" t="b">
        <v>0</v>
      </c>
      <c r="AF2230" s="81">
        <v>0</v>
      </c>
      <c r="AG2230" s="86" t="s">
        <v>2084</v>
      </c>
      <c r="AH2230" s="81" t="b">
        <v>0</v>
      </c>
      <c r="AI2230" s="81" t="s">
        <v>2171</v>
      </c>
      <c r="AJ2230" s="81"/>
      <c r="AK2230" s="86" t="s">
        <v>2084</v>
      </c>
      <c r="AL2230" s="81" t="b">
        <v>0</v>
      </c>
      <c r="AM2230" s="81">
        <v>4</v>
      </c>
      <c r="AN2230" s="86" t="s">
        <v>7580</v>
      </c>
      <c r="AO2230" s="86" t="s">
        <v>2178</v>
      </c>
      <c r="AP2230" s="81" t="b">
        <v>0</v>
      </c>
      <c r="AQ2230" s="86" t="s">
        <v>7580</v>
      </c>
      <c r="AR2230" s="81" t="s">
        <v>179</v>
      </c>
      <c r="AS2230" s="81">
        <v>0</v>
      </c>
      <c r="AT2230" s="81">
        <v>0</v>
      </c>
      <c r="AU2230" s="81"/>
      <c r="AV2230" s="81"/>
      <c r="AW2230" s="81"/>
      <c r="AX2230" s="81"/>
      <c r="AY2230" s="81"/>
      <c r="AZ2230" s="81"/>
      <c r="BA2230" s="81"/>
      <c r="BB2230" s="81"/>
    </row>
    <row r="2231" spans="1:54" x14ac:dyDescent="0.35">
      <c r="A2231" s="66" t="s">
        <v>4967</v>
      </c>
      <c r="B2231" s="66" t="s">
        <v>4966</v>
      </c>
      <c r="C2231" s="67"/>
      <c r="D2231" s="68"/>
      <c r="E2231" s="69"/>
      <c r="F2231" s="70"/>
      <c r="G2231" s="67"/>
      <c r="H2231" s="71"/>
      <c r="I2231" s="72"/>
      <c r="J2231" s="72"/>
      <c r="K2231" s="36"/>
      <c r="L2231" s="79"/>
      <c r="M2231" s="79"/>
      <c r="N2231" s="74"/>
      <c r="O2231" s="81" t="s">
        <v>694</v>
      </c>
      <c r="P2231" s="83">
        <v>44464.140057870369</v>
      </c>
      <c r="Q2231" s="81" t="s">
        <v>5654</v>
      </c>
      <c r="R2231" s="84" t="str">
        <f>HYPERLINK("https://auditoriacidada.org.br/")</f>
        <v>https://auditoriacidada.org.br/</v>
      </c>
      <c r="S2231" s="81" t="s">
        <v>5696</v>
      </c>
      <c r="T2231" s="81"/>
      <c r="U2231" s="81"/>
      <c r="V2231" s="84" t="str">
        <f>HYPERLINK("https://pbs.twimg.com/profile_images/1399527376242069507/ZhhDd0tB_normal.jpg")</f>
        <v>https://pbs.twimg.com/profile_images/1399527376242069507/ZhhDd0tB_normal.jpg</v>
      </c>
      <c r="W2231" s="83">
        <v>44464.140057870369</v>
      </c>
      <c r="X2231" s="89">
        <v>44464</v>
      </c>
      <c r="Y2231" s="86" t="s">
        <v>6654</v>
      </c>
      <c r="Z2231" s="84" t="str">
        <f>HYPERLINK("https://twitter.com/mariacr64955277/status/1441603789765677056")</f>
        <v>https://twitter.com/mariacr64955277/status/1441603789765677056</v>
      </c>
      <c r="AA2231" s="81"/>
      <c r="AB2231" s="81"/>
      <c r="AC2231" s="86" t="s">
        <v>7579</v>
      </c>
      <c r="AD2231" s="81"/>
      <c r="AE2231" s="81" t="b">
        <v>0</v>
      </c>
      <c r="AF2231" s="81">
        <v>0</v>
      </c>
      <c r="AG2231" s="86" t="s">
        <v>2084</v>
      </c>
      <c r="AH2231" s="81" t="b">
        <v>0</v>
      </c>
      <c r="AI2231" s="81" t="s">
        <v>2171</v>
      </c>
      <c r="AJ2231" s="81"/>
      <c r="AK2231" s="86" t="s">
        <v>2084</v>
      </c>
      <c r="AL2231" s="81" t="b">
        <v>0</v>
      </c>
      <c r="AM2231" s="81">
        <v>4</v>
      </c>
      <c r="AN2231" s="86" t="s">
        <v>7580</v>
      </c>
      <c r="AO2231" s="86" t="s">
        <v>2178</v>
      </c>
      <c r="AP2231" s="81" t="b">
        <v>0</v>
      </c>
      <c r="AQ2231" s="86" t="s">
        <v>7580</v>
      </c>
      <c r="AR2231" s="81" t="s">
        <v>179</v>
      </c>
      <c r="AS2231" s="81">
        <v>0</v>
      </c>
      <c r="AT2231" s="81">
        <v>0</v>
      </c>
      <c r="AU2231" s="81"/>
      <c r="AV2231" s="81"/>
      <c r="AW2231" s="81"/>
      <c r="AX2231" s="81"/>
      <c r="AY2231" s="81"/>
      <c r="AZ2231" s="81"/>
      <c r="BA2231" s="81"/>
      <c r="BB2231" s="81"/>
    </row>
    <row r="2232" spans="1:54" x14ac:dyDescent="0.35">
      <c r="A2232" s="66" t="s">
        <v>4963</v>
      </c>
      <c r="B2232" s="66" t="s">
        <v>4966</v>
      </c>
      <c r="C2232" s="67"/>
      <c r="D2232" s="68"/>
      <c r="E2232" s="69"/>
      <c r="F2232" s="70"/>
      <c r="G2232" s="67"/>
      <c r="H2232" s="71"/>
      <c r="I2232" s="72"/>
      <c r="J2232" s="72"/>
      <c r="K2232" s="36"/>
      <c r="L2232" s="79"/>
      <c r="M2232" s="79"/>
      <c r="N2232" s="74"/>
      <c r="O2232" s="81" t="s">
        <v>696</v>
      </c>
      <c r="P2232" s="83">
        <v>44463.598182870373</v>
      </c>
      <c r="Q2232" s="81" t="s">
        <v>5654</v>
      </c>
      <c r="R2232" s="84" t="str">
        <f>HYPERLINK("https://auditoriacidada.org.br/")</f>
        <v>https://auditoriacidada.org.br/</v>
      </c>
      <c r="S2232" s="81" t="s">
        <v>5696</v>
      </c>
      <c r="T2232" s="81"/>
      <c r="U2232" s="81"/>
      <c r="V2232" s="84" t="str">
        <f>HYPERLINK("https://pbs.twimg.com/profile_images/1258569360236576770/7E9EYrtd_normal.jpg")</f>
        <v>https://pbs.twimg.com/profile_images/1258569360236576770/7E9EYrtd_normal.jpg</v>
      </c>
      <c r="W2232" s="83">
        <v>44463.598182870373</v>
      </c>
      <c r="X2232" s="89">
        <v>44463</v>
      </c>
      <c r="Y2232" s="86" t="s">
        <v>6655</v>
      </c>
      <c r="Z2232" s="84" t="str">
        <f>HYPERLINK("https://twitter.com/panchitoblanco1/status/1441407420660604930")</f>
        <v>https://twitter.com/panchitoblanco1/status/1441407420660604930</v>
      </c>
      <c r="AA2232" s="81"/>
      <c r="AB2232" s="81"/>
      <c r="AC2232" s="86" t="s">
        <v>7580</v>
      </c>
      <c r="AD2232" s="86" t="s">
        <v>7780</v>
      </c>
      <c r="AE2232" s="81" t="b">
        <v>0</v>
      </c>
      <c r="AF2232" s="81">
        <v>10</v>
      </c>
      <c r="AG2232" s="86" t="s">
        <v>7951</v>
      </c>
      <c r="AH2232" s="81" t="b">
        <v>0</v>
      </c>
      <c r="AI2232" s="81" t="s">
        <v>2171</v>
      </c>
      <c r="AJ2232" s="81"/>
      <c r="AK2232" s="86" t="s">
        <v>2084</v>
      </c>
      <c r="AL2232" s="81" t="b">
        <v>0</v>
      </c>
      <c r="AM2232" s="81">
        <v>4</v>
      </c>
      <c r="AN2232" s="86" t="s">
        <v>2084</v>
      </c>
      <c r="AO2232" s="86" t="s">
        <v>2178</v>
      </c>
      <c r="AP2232" s="81" t="b">
        <v>0</v>
      </c>
      <c r="AQ2232" s="86" t="s">
        <v>7780</v>
      </c>
      <c r="AR2232" s="81" t="s">
        <v>179</v>
      </c>
      <c r="AS2232" s="81">
        <v>0</v>
      </c>
      <c r="AT2232" s="81">
        <v>0</v>
      </c>
      <c r="AU2232" s="81"/>
      <c r="AV2232" s="81"/>
      <c r="AW2232" s="81"/>
      <c r="AX2232" s="81"/>
      <c r="AY2232" s="81"/>
      <c r="AZ2232" s="81"/>
      <c r="BA2232" s="81"/>
      <c r="BB2232" s="81"/>
    </row>
    <row r="2233" spans="1:54" x14ac:dyDescent="0.35">
      <c r="A2233" s="66" t="s">
        <v>4965</v>
      </c>
      <c r="B2233" s="66" t="s">
        <v>5230</v>
      </c>
      <c r="C2233" s="67"/>
      <c r="D2233" s="68"/>
      <c r="E2233" s="69"/>
      <c r="F2233" s="70"/>
      <c r="G2233" s="67"/>
      <c r="H2233" s="71"/>
      <c r="I2233" s="72"/>
      <c r="J2233" s="72"/>
      <c r="K2233" s="36"/>
      <c r="L2233" s="79"/>
      <c r="M2233" s="79"/>
      <c r="N2233" s="74"/>
      <c r="O2233" s="81" t="s">
        <v>694</v>
      </c>
      <c r="P2233" s="83">
        <v>44463.752210648148</v>
      </c>
      <c r="Q2233" s="81" t="s">
        <v>5654</v>
      </c>
      <c r="R2233" s="84" t="str">
        <f>HYPERLINK("https://auditoriacidada.org.br/")</f>
        <v>https://auditoriacidada.org.br/</v>
      </c>
      <c r="S2233" s="81" t="s">
        <v>5696</v>
      </c>
      <c r="T2233" s="81"/>
      <c r="U2233" s="81"/>
      <c r="V2233" s="84" t="str">
        <f>HYPERLINK("https://pbs.twimg.com/profile_images/1103359646331486208/iTL5L1vb_normal.jpg")</f>
        <v>https://pbs.twimg.com/profile_images/1103359646331486208/iTL5L1vb_normal.jpg</v>
      </c>
      <c r="W2233" s="83">
        <v>44463.752210648148</v>
      </c>
      <c r="X2233" s="89">
        <v>44463</v>
      </c>
      <c r="Y2233" s="86" t="s">
        <v>6652</v>
      </c>
      <c r="Z2233" s="84" t="str">
        <f>HYPERLINK("https://twitter.com/catiaamorim5/status/1441463237338357763")</f>
        <v>https://twitter.com/catiaamorim5/status/1441463237338357763</v>
      </c>
      <c r="AA2233" s="81"/>
      <c r="AB2233" s="81"/>
      <c r="AC2233" s="86" t="s">
        <v>7577</v>
      </c>
      <c r="AD2233" s="81"/>
      <c r="AE2233" s="81" t="b">
        <v>0</v>
      </c>
      <c r="AF2233" s="81">
        <v>0</v>
      </c>
      <c r="AG2233" s="86" t="s">
        <v>2084</v>
      </c>
      <c r="AH2233" s="81" t="b">
        <v>0</v>
      </c>
      <c r="AI2233" s="81" t="s">
        <v>2171</v>
      </c>
      <c r="AJ2233" s="81"/>
      <c r="AK2233" s="86" t="s">
        <v>2084</v>
      </c>
      <c r="AL2233" s="81" t="b">
        <v>0</v>
      </c>
      <c r="AM2233" s="81">
        <v>4</v>
      </c>
      <c r="AN2233" s="86" t="s">
        <v>7580</v>
      </c>
      <c r="AO2233" s="86" t="s">
        <v>2178</v>
      </c>
      <c r="AP2233" s="81" t="b">
        <v>0</v>
      </c>
      <c r="AQ2233" s="86" t="s">
        <v>7580</v>
      </c>
      <c r="AR2233" s="81" t="s">
        <v>179</v>
      </c>
      <c r="AS2233" s="81">
        <v>0</v>
      </c>
      <c r="AT2233" s="81">
        <v>0</v>
      </c>
      <c r="AU2233" s="81"/>
      <c r="AV2233" s="81"/>
      <c r="AW2233" s="81"/>
      <c r="AX2233" s="81"/>
      <c r="AY2233" s="81"/>
      <c r="AZ2233" s="81"/>
      <c r="BA2233" s="81"/>
      <c r="BB2233" s="81"/>
    </row>
    <row r="2234" spans="1:54" x14ac:dyDescent="0.35">
      <c r="A2234" s="66" t="s">
        <v>4967</v>
      </c>
      <c r="B2234" s="66" t="s">
        <v>5230</v>
      </c>
      <c r="C2234" s="67"/>
      <c r="D2234" s="68"/>
      <c r="E2234" s="69"/>
      <c r="F2234" s="70"/>
      <c r="G2234" s="67"/>
      <c r="H2234" s="71"/>
      <c r="I2234" s="72"/>
      <c r="J2234" s="72"/>
      <c r="K2234" s="36"/>
      <c r="L2234" s="79"/>
      <c r="M2234" s="79"/>
      <c r="N2234" s="74"/>
      <c r="O2234" s="81" t="s">
        <v>694</v>
      </c>
      <c r="P2234" s="83">
        <v>44464.140057870369</v>
      </c>
      <c r="Q2234" s="81" t="s">
        <v>5654</v>
      </c>
      <c r="R2234" s="84" t="str">
        <f>HYPERLINK("https://auditoriacidada.org.br/")</f>
        <v>https://auditoriacidada.org.br/</v>
      </c>
      <c r="S2234" s="81" t="s">
        <v>5696</v>
      </c>
      <c r="T2234" s="81"/>
      <c r="U2234" s="81"/>
      <c r="V2234" s="84" t="str">
        <f>HYPERLINK("https://pbs.twimg.com/profile_images/1399527376242069507/ZhhDd0tB_normal.jpg")</f>
        <v>https://pbs.twimg.com/profile_images/1399527376242069507/ZhhDd0tB_normal.jpg</v>
      </c>
      <c r="W2234" s="83">
        <v>44464.140057870369</v>
      </c>
      <c r="X2234" s="89">
        <v>44464</v>
      </c>
      <c r="Y2234" s="86" t="s">
        <v>6654</v>
      </c>
      <c r="Z2234" s="84" t="str">
        <f>HYPERLINK("https://twitter.com/mariacr64955277/status/1441603789765677056")</f>
        <v>https://twitter.com/mariacr64955277/status/1441603789765677056</v>
      </c>
      <c r="AA2234" s="81"/>
      <c r="AB2234" s="81"/>
      <c r="AC2234" s="86" t="s">
        <v>7579</v>
      </c>
      <c r="AD2234" s="81"/>
      <c r="AE2234" s="81" t="b">
        <v>0</v>
      </c>
      <c r="AF2234" s="81">
        <v>0</v>
      </c>
      <c r="AG2234" s="86" t="s">
        <v>2084</v>
      </c>
      <c r="AH2234" s="81" t="b">
        <v>0</v>
      </c>
      <c r="AI2234" s="81" t="s">
        <v>2171</v>
      </c>
      <c r="AJ2234" s="81"/>
      <c r="AK2234" s="86" t="s">
        <v>2084</v>
      </c>
      <c r="AL2234" s="81" t="b">
        <v>0</v>
      </c>
      <c r="AM2234" s="81">
        <v>4</v>
      </c>
      <c r="AN2234" s="86" t="s">
        <v>7580</v>
      </c>
      <c r="AO2234" s="86" t="s">
        <v>2178</v>
      </c>
      <c r="AP2234" s="81" t="b">
        <v>0</v>
      </c>
      <c r="AQ2234" s="86" t="s">
        <v>7580</v>
      </c>
      <c r="AR2234" s="81" t="s">
        <v>179</v>
      </c>
      <c r="AS2234" s="81">
        <v>0</v>
      </c>
      <c r="AT2234" s="81">
        <v>0</v>
      </c>
      <c r="AU2234" s="81"/>
      <c r="AV2234" s="81"/>
      <c r="AW2234" s="81"/>
      <c r="AX2234" s="81"/>
      <c r="AY2234" s="81"/>
      <c r="AZ2234" s="81"/>
      <c r="BA2234" s="81"/>
      <c r="BB2234" s="81"/>
    </row>
    <row r="2235" spans="1:54" x14ac:dyDescent="0.35">
      <c r="A2235" s="66" t="s">
        <v>4963</v>
      </c>
      <c r="B2235" s="66" t="s">
        <v>5230</v>
      </c>
      <c r="C2235" s="67"/>
      <c r="D2235" s="68"/>
      <c r="E2235" s="69"/>
      <c r="F2235" s="70"/>
      <c r="G2235" s="67"/>
      <c r="H2235" s="71"/>
      <c r="I2235" s="72"/>
      <c r="J2235" s="72"/>
      <c r="K2235" s="36"/>
      <c r="L2235" s="79"/>
      <c r="M2235" s="79"/>
      <c r="N2235" s="74"/>
      <c r="O2235" s="81" t="s">
        <v>696</v>
      </c>
      <c r="P2235" s="83">
        <v>44463.598182870373</v>
      </c>
      <c r="Q2235" s="81" t="s">
        <v>5654</v>
      </c>
      <c r="R2235" s="84" t="str">
        <f>HYPERLINK("https://auditoriacidada.org.br/")</f>
        <v>https://auditoriacidada.org.br/</v>
      </c>
      <c r="S2235" s="81" t="s">
        <v>5696</v>
      </c>
      <c r="T2235" s="81"/>
      <c r="U2235" s="81"/>
      <c r="V2235" s="84" t="str">
        <f>HYPERLINK("https://pbs.twimg.com/profile_images/1258569360236576770/7E9EYrtd_normal.jpg")</f>
        <v>https://pbs.twimg.com/profile_images/1258569360236576770/7E9EYrtd_normal.jpg</v>
      </c>
      <c r="W2235" s="83">
        <v>44463.598182870373</v>
      </c>
      <c r="X2235" s="89">
        <v>44463</v>
      </c>
      <c r="Y2235" s="86" t="s">
        <v>6655</v>
      </c>
      <c r="Z2235" s="84" t="str">
        <f>HYPERLINK("https://twitter.com/panchitoblanco1/status/1441407420660604930")</f>
        <v>https://twitter.com/panchitoblanco1/status/1441407420660604930</v>
      </c>
      <c r="AA2235" s="81"/>
      <c r="AB2235" s="81"/>
      <c r="AC2235" s="86" t="s">
        <v>7580</v>
      </c>
      <c r="AD2235" s="86" t="s">
        <v>7780</v>
      </c>
      <c r="AE2235" s="81" t="b">
        <v>0</v>
      </c>
      <c r="AF2235" s="81">
        <v>10</v>
      </c>
      <c r="AG2235" s="86" t="s">
        <v>7951</v>
      </c>
      <c r="AH2235" s="81" t="b">
        <v>0</v>
      </c>
      <c r="AI2235" s="81" t="s">
        <v>2171</v>
      </c>
      <c r="AJ2235" s="81"/>
      <c r="AK2235" s="86" t="s">
        <v>2084</v>
      </c>
      <c r="AL2235" s="81" t="b">
        <v>0</v>
      </c>
      <c r="AM2235" s="81">
        <v>4</v>
      </c>
      <c r="AN2235" s="86" t="s">
        <v>2084</v>
      </c>
      <c r="AO2235" s="86" t="s">
        <v>2178</v>
      </c>
      <c r="AP2235" s="81" t="b">
        <v>0</v>
      </c>
      <c r="AQ2235" s="86" t="s">
        <v>7780</v>
      </c>
      <c r="AR2235" s="81" t="s">
        <v>179</v>
      </c>
      <c r="AS2235" s="81">
        <v>0</v>
      </c>
      <c r="AT2235" s="81">
        <v>0</v>
      </c>
      <c r="AU2235" s="81"/>
      <c r="AV2235" s="81"/>
      <c r="AW2235" s="81"/>
      <c r="AX2235" s="81"/>
      <c r="AY2235" s="81"/>
      <c r="AZ2235" s="81"/>
      <c r="BA2235" s="81"/>
      <c r="BB2235" s="81"/>
    </row>
    <row r="2236" spans="1:54" x14ac:dyDescent="0.35">
      <c r="A2236" s="66" t="s">
        <v>4965</v>
      </c>
      <c r="B2236" s="66" t="s">
        <v>4946</v>
      </c>
      <c r="C2236" s="67"/>
      <c r="D2236" s="68"/>
      <c r="E2236" s="69"/>
      <c r="F2236" s="70"/>
      <c r="G2236" s="67"/>
      <c r="H2236" s="71"/>
      <c r="I2236" s="72"/>
      <c r="J2236" s="72"/>
      <c r="K2236" s="36"/>
      <c r="L2236" s="79"/>
      <c r="M2236" s="79"/>
      <c r="N2236" s="74"/>
      <c r="O2236" s="81" t="s">
        <v>694</v>
      </c>
      <c r="P2236" s="83">
        <v>44463.752210648148</v>
      </c>
      <c r="Q2236" s="81" t="s">
        <v>5654</v>
      </c>
      <c r="R2236" s="84" t="str">
        <f>HYPERLINK("https://auditoriacidada.org.br/")</f>
        <v>https://auditoriacidada.org.br/</v>
      </c>
      <c r="S2236" s="81" t="s">
        <v>5696</v>
      </c>
      <c r="T2236" s="81"/>
      <c r="U2236" s="81"/>
      <c r="V2236" s="84" t="str">
        <f>HYPERLINK("https://pbs.twimg.com/profile_images/1103359646331486208/iTL5L1vb_normal.jpg")</f>
        <v>https://pbs.twimg.com/profile_images/1103359646331486208/iTL5L1vb_normal.jpg</v>
      </c>
      <c r="W2236" s="83">
        <v>44463.752210648148</v>
      </c>
      <c r="X2236" s="89">
        <v>44463</v>
      </c>
      <c r="Y2236" s="86" t="s">
        <v>6652</v>
      </c>
      <c r="Z2236" s="84" t="str">
        <f>HYPERLINK("https://twitter.com/catiaamorim5/status/1441463237338357763")</f>
        <v>https://twitter.com/catiaamorim5/status/1441463237338357763</v>
      </c>
      <c r="AA2236" s="81"/>
      <c r="AB2236" s="81"/>
      <c r="AC2236" s="86" t="s">
        <v>7577</v>
      </c>
      <c r="AD2236" s="81"/>
      <c r="AE2236" s="81" t="b">
        <v>0</v>
      </c>
      <c r="AF2236" s="81">
        <v>0</v>
      </c>
      <c r="AG2236" s="86" t="s">
        <v>2084</v>
      </c>
      <c r="AH2236" s="81" t="b">
        <v>0</v>
      </c>
      <c r="AI2236" s="81" t="s">
        <v>2171</v>
      </c>
      <c r="AJ2236" s="81"/>
      <c r="AK2236" s="86" t="s">
        <v>2084</v>
      </c>
      <c r="AL2236" s="81" t="b">
        <v>0</v>
      </c>
      <c r="AM2236" s="81">
        <v>4</v>
      </c>
      <c r="AN2236" s="86" t="s">
        <v>7580</v>
      </c>
      <c r="AO2236" s="86" t="s">
        <v>2178</v>
      </c>
      <c r="AP2236" s="81" t="b">
        <v>0</v>
      </c>
      <c r="AQ2236" s="86" t="s">
        <v>7580</v>
      </c>
      <c r="AR2236" s="81" t="s">
        <v>179</v>
      </c>
      <c r="AS2236" s="81">
        <v>0</v>
      </c>
      <c r="AT2236" s="81">
        <v>0</v>
      </c>
      <c r="AU2236" s="81"/>
      <c r="AV2236" s="81"/>
      <c r="AW2236" s="81"/>
      <c r="AX2236" s="81"/>
      <c r="AY2236" s="81"/>
      <c r="AZ2236" s="81"/>
      <c r="BA2236" s="81"/>
      <c r="BB2236" s="81"/>
    </row>
    <row r="2237" spans="1:54" x14ac:dyDescent="0.35">
      <c r="A2237" s="66" t="s">
        <v>4967</v>
      </c>
      <c r="B2237" s="66" t="s">
        <v>4946</v>
      </c>
      <c r="C2237" s="67"/>
      <c r="D2237" s="68"/>
      <c r="E2237" s="69"/>
      <c r="F2237" s="70"/>
      <c r="G2237" s="67"/>
      <c r="H2237" s="71"/>
      <c r="I2237" s="72"/>
      <c r="J2237" s="72"/>
      <c r="K2237" s="36"/>
      <c r="L2237" s="79"/>
      <c r="M2237" s="79"/>
      <c r="N2237" s="74"/>
      <c r="O2237" s="81" t="s">
        <v>694</v>
      </c>
      <c r="P2237" s="83">
        <v>44464.140057870369</v>
      </c>
      <c r="Q2237" s="81" t="s">
        <v>5654</v>
      </c>
      <c r="R2237" s="84" t="str">
        <f>HYPERLINK("https://auditoriacidada.org.br/")</f>
        <v>https://auditoriacidada.org.br/</v>
      </c>
      <c r="S2237" s="81" t="s">
        <v>5696</v>
      </c>
      <c r="T2237" s="81"/>
      <c r="U2237" s="81"/>
      <c r="V2237" s="84" t="str">
        <f>HYPERLINK("https://pbs.twimg.com/profile_images/1399527376242069507/ZhhDd0tB_normal.jpg")</f>
        <v>https://pbs.twimg.com/profile_images/1399527376242069507/ZhhDd0tB_normal.jpg</v>
      </c>
      <c r="W2237" s="83">
        <v>44464.140057870369</v>
      </c>
      <c r="X2237" s="89">
        <v>44464</v>
      </c>
      <c r="Y2237" s="86" t="s">
        <v>6654</v>
      </c>
      <c r="Z2237" s="84" t="str">
        <f>HYPERLINK("https://twitter.com/mariacr64955277/status/1441603789765677056")</f>
        <v>https://twitter.com/mariacr64955277/status/1441603789765677056</v>
      </c>
      <c r="AA2237" s="81"/>
      <c r="AB2237" s="81"/>
      <c r="AC2237" s="86" t="s">
        <v>7579</v>
      </c>
      <c r="AD2237" s="81"/>
      <c r="AE2237" s="81" t="b">
        <v>0</v>
      </c>
      <c r="AF2237" s="81">
        <v>0</v>
      </c>
      <c r="AG2237" s="86" t="s">
        <v>2084</v>
      </c>
      <c r="AH2237" s="81" t="b">
        <v>0</v>
      </c>
      <c r="AI2237" s="81" t="s">
        <v>2171</v>
      </c>
      <c r="AJ2237" s="81"/>
      <c r="AK2237" s="86" t="s">
        <v>2084</v>
      </c>
      <c r="AL2237" s="81" t="b">
        <v>0</v>
      </c>
      <c r="AM2237" s="81">
        <v>4</v>
      </c>
      <c r="AN2237" s="86" t="s">
        <v>7580</v>
      </c>
      <c r="AO2237" s="86" t="s">
        <v>2178</v>
      </c>
      <c r="AP2237" s="81" t="b">
        <v>0</v>
      </c>
      <c r="AQ2237" s="86" t="s">
        <v>7580</v>
      </c>
      <c r="AR2237" s="81" t="s">
        <v>179</v>
      </c>
      <c r="AS2237" s="81">
        <v>0</v>
      </c>
      <c r="AT2237" s="81">
        <v>0</v>
      </c>
      <c r="AU2237" s="81"/>
      <c r="AV2237" s="81"/>
      <c r="AW2237" s="81"/>
      <c r="AX2237" s="81"/>
      <c r="AY2237" s="81"/>
      <c r="AZ2237" s="81"/>
      <c r="BA2237" s="81"/>
      <c r="BB2237" s="81"/>
    </row>
    <row r="2238" spans="1:54" x14ac:dyDescent="0.35">
      <c r="A2238" s="66" t="s">
        <v>4946</v>
      </c>
      <c r="B2238" s="66" t="s">
        <v>4944</v>
      </c>
      <c r="C2238" s="67"/>
      <c r="D2238" s="68"/>
      <c r="E2238" s="69"/>
      <c r="F2238" s="70"/>
      <c r="G2238" s="67"/>
      <c r="H2238" s="71"/>
      <c r="I2238" s="72"/>
      <c r="J2238" s="72"/>
      <c r="K2238" s="36"/>
      <c r="L2238" s="79"/>
      <c r="M2238" s="79"/>
      <c r="N2238" s="74"/>
      <c r="O2238" s="81" t="s">
        <v>693</v>
      </c>
      <c r="P2238" s="83">
        <v>44466.355555555558</v>
      </c>
      <c r="Q2238" s="81" t="s">
        <v>5505</v>
      </c>
      <c r="R2238" s="81"/>
      <c r="S2238" s="81"/>
      <c r="T2238" s="81"/>
      <c r="U2238" s="81"/>
      <c r="V2238" s="84" t="str">
        <f>HYPERLINK("https://pbs.twimg.com/profile_images/1193285207933231104/E0ZewVMF_normal.jpg")</f>
        <v>https://pbs.twimg.com/profile_images/1193285207933231104/E0ZewVMF_normal.jpg</v>
      </c>
      <c r="W2238" s="83">
        <v>44466.355555555558</v>
      </c>
      <c r="X2238" s="89">
        <v>44466</v>
      </c>
      <c r="Y2238" s="86" t="s">
        <v>6621</v>
      </c>
      <c r="Z2238" s="84" t="str">
        <f>HYPERLINK("https://twitter.com/sim_paraiba/status/1442406657078738945")</f>
        <v>https://twitter.com/sim_paraiba/status/1442406657078738945</v>
      </c>
      <c r="AA2238" s="81"/>
      <c r="AB2238" s="81"/>
      <c r="AC2238" s="86" t="s">
        <v>7545</v>
      </c>
      <c r="AD2238" s="81"/>
      <c r="AE2238" s="81" t="b">
        <v>0</v>
      </c>
      <c r="AF2238" s="81">
        <v>0</v>
      </c>
      <c r="AG2238" s="86" t="s">
        <v>2084</v>
      </c>
      <c r="AH2238" s="81" t="b">
        <v>0</v>
      </c>
      <c r="AI2238" s="81" t="s">
        <v>2171</v>
      </c>
      <c r="AJ2238" s="81"/>
      <c r="AK2238" s="86" t="s">
        <v>2084</v>
      </c>
      <c r="AL2238" s="81" t="b">
        <v>0</v>
      </c>
      <c r="AM2238" s="81">
        <v>255</v>
      </c>
      <c r="AN2238" s="86" t="s">
        <v>7543</v>
      </c>
      <c r="AO2238" s="86" t="s">
        <v>2179</v>
      </c>
      <c r="AP2238" s="81" t="b">
        <v>0</v>
      </c>
      <c r="AQ2238" s="86" t="s">
        <v>7543</v>
      </c>
      <c r="AR2238" s="81" t="s">
        <v>179</v>
      </c>
      <c r="AS2238" s="81">
        <v>0</v>
      </c>
      <c r="AT2238" s="81">
        <v>0</v>
      </c>
      <c r="AU2238" s="81"/>
      <c r="AV2238" s="81"/>
      <c r="AW2238" s="81"/>
      <c r="AX2238" s="81"/>
      <c r="AY2238" s="81"/>
      <c r="AZ2238" s="81"/>
      <c r="BA2238" s="81"/>
      <c r="BB2238" s="81"/>
    </row>
    <row r="2239" spans="1:54" x14ac:dyDescent="0.35">
      <c r="A2239" s="66" t="s">
        <v>4963</v>
      </c>
      <c r="B2239" s="66" t="s">
        <v>4946</v>
      </c>
      <c r="C2239" s="67"/>
      <c r="D2239" s="68"/>
      <c r="E2239" s="69"/>
      <c r="F2239" s="70"/>
      <c r="G2239" s="67"/>
      <c r="H2239" s="71"/>
      <c r="I2239" s="72"/>
      <c r="J2239" s="72"/>
      <c r="K2239" s="36"/>
      <c r="L2239" s="79"/>
      <c r="M2239" s="79"/>
      <c r="N2239" s="74"/>
      <c r="O2239" s="81" t="s">
        <v>696</v>
      </c>
      <c r="P2239" s="83">
        <v>44463.598182870373</v>
      </c>
      <c r="Q2239" s="81" t="s">
        <v>5654</v>
      </c>
      <c r="R2239" s="84" t="str">
        <f>HYPERLINK("https://auditoriacidada.org.br/")</f>
        <v>https://auditoriacidada.org.br/</v>
      </c>
      <c r="S2239" s="81" t="s">
        <v>5696</v>
      </c>
      <c r="T2239" s="81"/>
      <c r="U2239" s="81"/>
      <c r="V2239" s="84" t="str">
        <f>HYPERLINK("https://pbs.twimg.com/profile_images/1258569360236576770/7E9EYrtd_normal.jpg")</f>
        <v>https://pbs.twimg.com/profile_images/1258569360236576770/7E9EYrtd_normal.jpg</v>
      </c>
      <c r="W2239" s="83">
        <v>44463.598182870373</v>
      </c>
      <c r="X2239" s="89">
        <v>44463</v>
      </c>
      <c r="Y2239" s="86" t="s">
        <v>6655</v>
      </c>
      <c r="Z2239" s="84" t="str">
        <f>HYPERLINK("https://twitter.com/panchitoblanco1/status/1441407420660604930")</f>
        <v>https://twitter.com/panchitoblanco1/status/1441407420660604930</v>
      </c>
      <c r="AA2239" s="81"/>
      <c r="AB2239" s="81"/>
      <c r="AC2239" s="86" t="s">
        <v>7580</v>
      </c>
      <c r="AD2239" s="86" t="s">
        <v>7780</v>
      </c>
      <c r="AE2239" s="81" t="b">
        <v>0</v>
      </c>
      <c r="AF2239" s="81">
        <v>10</v>
      </c>
      <c r="AG2239" s="86" t="s">
        <v>7951</v>
      </c>
      <c r="AH2239" s="81" t="b">
        <v>0</v>
      </c>
      <c r="AI2239" s="81" t="s">
        <v>2171</v>
      </c>
      <c r="AJ2239" s="81"/>
      <c r="AK2239" s="86" t="s">
        <v>2084</v>
      </c>
      <c r="AL2239" s="81" t="b">
        <v>0</v>
      </c>
      <c r="AM2239" s="81">
        <v>4</v>
      </c>
      <c r="AN2239" s="86" t="s">
        <v>2084</v>
      </c>
      <c r="AO2239" s="86" t="s">
        <v>2178</v>
      </c>
      <c r="AP2239" s="81" t="b">
        <v>0</v>
      </c>
      <c r="AQ2239" s="86" t="s">
        <v>7780</v>
      </c>
      <c r="AR2239" s="81" t="s">
        <v>179</v>
      </c>
      <c r="AS2239" s="81">
        <v>0</v>
      </c>
      <c r="AT2239" s="81">
        <v>0</v>
      </c>
      <c r="AU2239" s="81"/>
      <c r="AV2239" s="81"/>
      <c r="AW2239" s="81"/>
      <c r="AX2239" s="81"/>
      <c r="AY2239" s="81"/>
      <c r="AZ2239" s="81"/>
      <c r="BA2239" s="81"/>
      <c r="BB2239" s="81"/>
    </row>
    <row r="2240" spans="1:54" x14ac:dyDescent="0.35">
      <c r="A2240" s="66" t="s">
        <v>4965</v>
      </c>
      <c r="B2240" s="66" t="s">
        <v>5231</v>
      </c>
      <c r="C2240" s="67"/>
      <c r="D2240" s="68"/>
      <c r="E2240" s="69"/>
      <c r="F2240" s="70"/>
      <c r="G2240" s="67"/>
      <c r="H2240" s="71"/>
      <c r="I2240" s="72"/>
      <c r="J2240" s="72"/>
      <c r="K2240" s="36"/>
      <c r="L2240" s="79"/>
      <c r="M2240" s="79"/>
      <c r="N2240" s="74"/>
      <c r="O2240" s="81" t="s">
        <v>694</v>
      </c>
      <c r="P2240" s="83">
        <v>44463.752210648148</v>
      </c>
      <c r="Q2240" s="81" t="s">
        <v>5654</v>
      </c>
      <c r="R2240" s="84" t="str">
        <f>HYPERLINK("https://auditoriacidada.org.br/")</f>
        <v>https://auditoriacidada.org.br/</v>
      </c>
      <c r="S2240" s="81" t="s">
        <v>5696</v>
      </c>
      <c r="T2240" s="81"/>
      <c r="U2240" s="81"/>
      <c r="V2240" s="84" t="str">
        <f>HYPERLINK("https://pbs.twimg.com/profile_images/1103359646331486208/iTL5L1vb_normal.jpg")</f>
        <v>https://pbs.twimg.com/profile_images/1103359646331486208/iTL5L1vb_normal.jpg</v>
      </c>
      <c r="W2240" s="83">
        <v>44463.752210648148</v>
      </c>
      <c r="X2240" s="89">
        <v>44463</v>
      </c>
      <c r="Y2240" s="86" t="s">
        <v>6652</v>
      </c>
      <c r="Z2240" s="84" t="str">
        <f>HYPERLINK("https://twitter.com/catiaamorim5/status/1441463237338357763")</f>
        <v>https://twitter.com/catiaamorim5/status/1441463237338357763</v>
      </c>
      <c r="AA2240" s="81"/>
      <c r="AB2240" s="81"/>
      <c r="AC2240" s="86" t="s">
        <v>7577</v>
      </c>
      <c r="AD2240" s="81"/>
      <c r="AE2240" s="81" t="b">
        <v>0</v>
      </c>
      <c r="AF2240" s="81">
        <v>0</v>
      </c>
      <c r="AG2240" s="86" t="s">
        <v>2084</v>
      </c>
      <c r="AH2240" s="81" t="b">
        <v>0</v>
      </c>
      <c r="AI2240" s="81" t="s">
        <v>2171</v>
      </c>
      <c r="AJ2240" s="81"/>
      <c r="AK2240" s="86" t="s">
        <v>2084</v>
      </c>
      <c r="AL2240" s="81" t="b">
        <v>0</v>
      </c>
      <c r="AM2240" s="81">
        <v>4</v>
      </c>
      <c r="AN2240" s="86" t="s">
        <v>7580</v>
      </c>
      <c r="AO2240" s="86" t="s">
        <v>2178</v>
      </c>
      <c r="AP2240" s="81" t="b">
        <v>0</v>
      </c>
      <c r="AQ2240" s="86" t="s">
        <v>7580</v>
      </c>
      <c r="AR2240" s="81" t="s">
        <v>179</v>
      </c>
      <c r="AS2240" s="81">
        <v>0</v>
      </c>
      <c r="AT2240" s="81">
        <v>0</v>
      </c>
      <c r="AU2240" s="81"/>
      <c r="AV2240" s="81"/>
      <c r="AW2240" s="81"/>
      <c r="AX2240" s="81"/>
      <c r="AY2240" s="81"/>
      <c r="AZ2240" s="81"/>
      <c r="BA2240" s="81"/>
      <c r="BB2240" s="81"/>
    </row>
    <row r="2241" spans="1:54" x14ac:dyDescent="0.35">
      <c r="A2241" s="66" t="s">
        <v>4967</v>
      </c>
      <c r="B2241" s="66" t="s">
        <v>5231</v>
      </c>
      <c r="C2241" s="67"/>
      <c r="D2241" s="68"/>
      <c r="E2241" s="69"/>
      <c r="F2241" s="70"/>
      <c r="G2241" s="67"/>
      <c r="H2241" s="71"/>
      <c r="I2241" s="72"/>
      <c r="J2241" s="72"/>
      <c r="K2241" s="36"/>
      <c r="L2241" s="79"/>
      <c r="M2241" s="79"/>
      <c r="N2241" s="74"/>
      <c r="O2241" s="81" t="s">
        <v>694</v>
      </c>
      <c r="P2241" s="83">
        <v>44464.140057870369</v>
      </c>
      <c r="Q2241" s="81" t="s">
        <v>5654</v>
      </c>
      <c r="R2241" s="84" t="str">
        <f>HYPERLINK("https://auditoriacidada.org.br/")</f>
        <v>https://auditoriacidada.org.br/</v>
      </c>
      <c r="S2241" s="81" t="s">
        <v>5696</v>
      </c>
      <c r="T2241" s="81"/>
      <c r="U2241" s="81"/>
      <c r="V2241" s="84" t="str">
        <f>HYPERLINK("https://pbs.twimg.com/profile_images/1399527376242069507/ZhhDd0tB_normal.jpg")</f>
        <v>https://pbs.twimg.com/profile_images/1399527376242069507/ZhhDd0tB_normal.jpg</v>
      </c>
      <c r="W2241" s="83">
        <v>44464.140057870369</v>
      </c>
      <c r="X2241" s="89">
        <v>44464</v>
      </c>
      <c r="Y2241" s="86" t="s">
        <v>6654</v>
      </c>
      <c r="Z2241" s="84" t="str">
        <f>HYPERLINK("https://twitter.com/mariacr64955277/status/1441603789765677056")</f>
        <v>https://twitter.com/mariacr64955277/status/1441603789765677056</v>
      </c>
      <c r="AA2241" s="81"/>
      <c r="AB2241" s="81"/>
      <c r="AC2241" s="86" t="s">
        <v>7579</v>
      </c>
      <c r="AD2241" s="81"/>
      <c r="AE2241" s="81" t="b">
        <v>0</v>
      </c>
      <c r="AF2241" s="81">
        <v>0</v>
      </c>
      <c r="AG2241" s="86" t="s">
        <v>2084</v>
      </c>
      <c r="AH2241" s="81" t="b">
        <v>0</v>
      </c>
      <c r="AI2241" s="81" t="s">
        <v>2171</v>
      </c>
      <c r="AJ2241" s="81"/>
      <c r="AK2241" s="86" t="s">
        <v>2084</v>
      </c>
      <c r="AL2241" s="81" t="b">
        <v>0</v>
      </c>
      <c r="AM2241" s="81">
        <v>4</v>
      </c>
      <c r="AN2241" s="86" t="s">
        <v>7580</v>
      </c>
      <c r="AO2241" s="86" t="s">
        <v>2178</v>
      </c>
      <c r="AP2241" s="81" t="b">
        <v>0</v>
      </c>
      <c r="AQ2241" s="86" t="s">
        <v>7580</v>
      </c>
      <c r="AR2241" s="81" t="s">
        <v>179</v>
      </c>
      <c r="AS2241" s="81">
        <v>0</v>
      </c>
      <c r="AT2241" s="81">
        <v>0</v>
      </c>
      <c r="AU2241" s="81"/>
      <c r="AV2241" s="81"/>
      <c r="AW2241" s="81"/>
      <c r="AX2241" s="81"/>
      <c r="AY2241" s="81"/>
      <c r="AZ2241" s="81"/>
      <c r="BA2241" s="81"/>
      <c r="BB2241" s="81"/>
    </row>
    <row r="2242" spans="1:54" x14ac:dyDescent="0.35">
      <c r="A2242" s="66" t="s">
        <v>4963</v>
      </c>
      <c r="B2242" s="66" t="s">
        <v>5231</v>
      </c>
      <c r="C2242" s="67"/>
      <c r="D2242" s="68"/>
      <c r="E2242" s="69"/>
      <c r="F2242" s="70"/>
      <c r="G2242" s="67"/>
      <c r="H2242" s="71"/>
      <c r="I2242" s="72"/>
      <c r="J2242" s="72"/>
      <c r="K2242" s="36"/>
      <c r="L2242" s="79"/>
      <c r="M2242" s="79"/>
      <c r="N2242" s="74"/>
      <c r="O2242" s="81" t="s">
        <v>696</v>
      </c>
      <c r="P2242" s="83">
        <v>44463.598182870373</v>
      </c>
      <c r="Q2242" s="81" t="s">
        <v>5654</v>
      </c>
      <c r="R2242" s="84" t="str">
        <f>HYPERLINK("https://auditoriacidada.org.br/")</f>
        <v>https://auditoriacidada.org.br/</v>
      </c>
      <c r="S2242" s="81" t="s">
        <v>5696</v>
      </c>
      <c r="T2242" s="81"/>
      <c r="U2242" s="81"/>
      <c r="V2242" s="84" t="str">
        <f>HYPERLINK("https://pbs.twimg.com/profile_images/1258569360236576770/7E9EYrtd_normal.jpg")</f>
        <v>https://pbs.twimg.com/profile_images/1258569360236576770/7E9EYrtd_normal.jpg</v>
      </c>
      <c r="W2242" s="83">
        <v>44463.598182870373</v>
      </c>
      <c r="X2242" s="89">
        <v>44463</v>
      </c>
      <c r="Y2242" s="86" t="s">
        <v>6655</v>
      </c>
      <c r="Z2242" s="84" t="str">
        <f>HYPERLINK("https://twitter.com/panchitoblanco1/status/1441407420660604930")</f>
        <v>https://twitter.com/panchitoblanco1/status/1441407420660604930</v>
      </c>
      <c r="AA2242" s="81"/>
      <c r="AB2242" s="81"/>
      <c r="AC2242" s="86" t="s">
        <v>7580</v>
      </c>
      <c r="AD2242" s="86" t="s">
        <v>7780</v>
      </c>
      <c r="AE2242" s="81" t="b">
        <v>0</v>
      </c>
      <c r="AF2242" s="81">
        <v>10</v>
      </c>
      <c r="AG2242" s="86" t="s">
        <v>7951</v>
      </c>
      <c r="AH2242" s="81" t="b">
        <v>0</v>
      </c>
      <c r="AI2242" s="81" t="s">
        <v>2171</v>
      </c>
      <c r="AJ2242" s="81"/>
      <c r="AK2242" s="86" t="s">
        <v>2084</v>
      </c>
      <c r="AL2242" s="81" t="b">
        <v>0</v>
      </c>
      <c r="AM2242" s="81">
        <v>4</v>
      </c>
      <c r="AN2242" s="86" t="s">
        <v>2084</v>
      </c>
      <c r="AO2242" s="86" t="s">
        <v>2178</v>
      </c>
      <c r="AP2242" s="81" t="b">
        <v>0</v>
      </c>
      <c r="AQ2242" s="86" t="s">
        <v>7780</v>
      </c>
      <c r="AR2242" s="81" t="s">
        <v>179</v>
      </c>
      <c r="AS2242" s="81">
        <v>0</v>
      </c>
      <c r="AT2242" s="81">
        <v>0</v>
      </c>
      <c r="AU2242" s="81"/>
      <c r="AV2242" s="81"/>
      <c r="AW2242" s="81"/>
      <c r="AX2242" s="81"/>
      <c r="AY2242" s="81"/>
      <c r="AZ2242" s="81"/>
      <c r="BA2242" s="81"/>
      <c r="BB2242" s="81"/>
    </row>
    <row r="2243" spans="1:54" x14ac:dyDescent="0.35">
      <c r="A2243" s="66" t="s">
        <v>4965</v>
      </c>
      <c r="B2243" s="66" t="s">
        <v>5232</v>
      </c>
      <c r="C2243" s="67"/>
      <c r="D2243" s="68"/>
      <c r="E2243" s="69"/>
      <c r="F2243" s="70"/>
      <c r="G2243" s="67"/>
      <c r="H2243" s="71"/>
      <c r="I2243" s="72"/>
      <c r="J2243" s="72"/>
      <c r="K2243" s="36"/>
      <c r="L2243" s="79"/>
      <c r="M2243" s="79"/>
      <c r="N2243" s="74"/>
      <c r="O2243" s="81" t="s">
        <v>694</v>
      </c>
      <c r="P2243" s="83">
        <v>44463.752210648148</v>
      </c>
      <c r="Q2243" s="81" t="s">
        <v>5654</v>
      </c>
      <c r="R2243" s="84" t="str">
        <f>HYPERLINK("https://auditoriacidada.org.br/")</f>
        <v>https://auditoriacidada.org.br/</v>
      </c>
      <c r="S2243" s="81" t="s">
        <v>5696</v>
      </c>
      <c r="T2243" s="81"/>
      <c r="U2243" s="81"/>
      <c r="V2243" s="84" t="str">
        <f>HYPERLINK("https://pbs.twimg.com/profile_images/1103359646331486208/iTL5L1vb_normal.jpg")</f>
        <v>https://pbs.twimg.com/profile_images/1103359646331486208/iTL5L1vb_normal.jpg</v>
      </c>
      <c r="W2243" s="83">
        <v>44463.752210648148</v>
      </c>
      <c r="X2243" s="89">
        <v>44463</v>
      </c>
      <c r="Y2243" s="86" t="s">
        <v>6652</v>
      </c>
      <c r="Z2243" s="84" t="str">
        <f>HYPERLINK("https://twitter.com/catiaamorim5/status/1441463237338357763")</f>
        <v>https://twitter.com/catiaamorim5/status/1441463237338357763</v>
      </c>
      <c r="AA2243" s="81"/>
      <c r="AB2243" s="81"/>
      <c r="AC2243" s="86" t="s">
        <v>7577</v>
      </c>
      <c r="AD2243" s="81"/>
      <c r="AE2243" s="81" t="b">
        <v>0</v>
      </c>
      <c r="AF2243" s="81">
        <v>0</v>
      </c>
      <c r="AG2243" s="86" t="s">
        <v>2084</v>
      </c>
      <c r="AH2243" s="81" t="b">
        <v>0</v>
      </c>
      <c r="AI2243" s="81" t="s">
        <v>2171</v>
      </c>
      <c r="AJ2243" s="81"/>
      <c r="AK2243" s="86" t="s">
        <v>2084</v>
      </c>
      <c r="AL2243" s="81" t="b">
        <v>0</v>
      </c>
      <c r="AM2243" s="81">
        <v>4</v>
      </c>
      <c r="AN2243" s="86" t="s">
        <v>7580</v>
      </c>
      <c r="AO2243" s="86" t="s">
        <v>2178</v>
      </c>
      <c r="AP2243" s="81" t="b">
        <v>0</v>
      </c>
      <c r="AQ2243" s="86" t="s">
        <v>7580</v>
      </c>
      <c r="AR2243" s="81" t="s">
        <v>179</v>
      </c>
      <c r="AS2243" s="81">
        <v>0</v>
      </c>
      <c r="AT2243" s="81">
        <v>0</v>
      </c>
      <c r="AU2243" s="81"/>
      <c r="AV2243" s="81"/>
      <c r="AW2243" s="81"/>
      <c r="AX2243" s="81"/>
      <c r="AY2243" s="81"/>
      <c r="AZ2243" s="81"/>
      <c r="BA2243" s="81"/>
      <c r="BB2243" s="81"/>
    </row>
    <row r="2244" spans="1:54" x14ac:dyDescent="0.35">
      <c r="A2244" s="66" t="s">
        <v>4967</v>
      </c>
      <c r="B2244" s="66" t="s">
        <v>5232</v>
      </c>
      <c r="C2244" s="67"/>
      <c r="D2244" s="68"/>
      <c r="E2244" s="69"/>
      <c r="F2244" s="70"/>
      <c r="G2244" s="67"/>
      <c r="H2244" s="71"/>
      <c r="I2244" s="72"/>
      <c r="J2244" s="72"/>
      <c r="K2244" s="36"/>
      <c r="L2244" s="79"/>
      <c r="M2244" s="79"/>
      <c r="N2244" s="74"/>
      <c r="O2244" s="81" t="s">
        <v>694</v>
      </c>
      <c r="P2244" s="83">
        <v>44464.140057870369</v>
      </c>
      <c r="Q2244" s="81" t="s">
        <v>5654</v>
      </c>
      <c r="R2244" s="84" t="str">
        <f>HYPERLINK("https://auditoriacidada.org.br/")</f>
        <v>https://auditoriacidada.org.br/</v>
      </c>
      <c r="S2244" s="81" t="s">
        <v>5696</v>
      </c>
      <c r="T2244" s="81"/>
      <c r="U2244" s="81"/>
      <c r="V2244" s="84" t="str">
        <f>HYPERLINK("https://pbs.twimg.com/profile_images/1399527376242069507/ZhhDd0tB_normal.jpg")</f>
        <v>https://pbs.twimg.com/profile_images/1399527376242069507/ZhhDd0tB_normal.jpg</v>
      </c>
      <c r="W2244" s="83">
        <v>44464.140057870369</v>
      </c>
      <c r="X2244" s="89">
        <v>44464</v>
      </c>
      <c r="Y2244" s="86" t="s">
        <v>6654</v>
      </c>
      <c r="Z2244" s="84" t="str">
        <f>HYPERLINK("https://twitter.com/mariacr64955277/status/1441603789765677056")</f>
        <v>https://twitter.com/mariacr64955277/status/1441603789765677056</v>
      </c>
      <c r="AA2244" s="81"/>
      <c r="AB2244" s="81"/>
      <c r="AC2244" s="86" t="s">
        <v>7579</v>
      </c>
      <c r="AD2244" s="81"/>
      <c r="AE2244" s="81" t="b">
        <v>0</v>
      </c>
      <c r="AF2244" s="81">
        <v>0</v>
      </c>
      <c r="AG2244" s="86" t="s">
        <v>2084</v>
      </c>
      <c r="AH2244" s="81" t="b">
        <v>0</v>
      </c>
      <c r="AI2244" s="81" t="s">
        <v>2171</v>
      </c>
      <c r="AJ2244" s="81"/>
      <c r="AK2244" s="86" t="s">
        <v>2084</v>
      </c>
      <c r="AL2244" s="81" t="b">
        <v>0</v>
      </c>
      <c r="AM2244" s="81">
        <v>4</v>
      </c>
      <c r="AN2244" s="86" t="s">
        <v>7580</v>
      </c>
      <c r="AO2244" s="86" t="s">
        <v>2178</v>
      </c>
      <c r="AP2244" s="81" t="b">
        <v>0</v>
      </c>
      <c r="AQ2244" s="86" t="s">
        <v>7580</v>
      </c>
      <c r="AR2244" s="81" t="s">
        <v>179</v>
      </c>
      <c r="AS2244" s="81">
        <v>0</v>
      </c>
      <c r="AT2244" s="81">
        <v>0</v>
      </c>
      <c r="AU2244" s="81"/>
      <c r="AV2244" s="81"/>
      <c r="AW2244" s="81"/>
      <c r="AX2244" s="81"/>
      <c r="AY2244" s="81"/>
      <c r="AZ2244" s="81"/>
      <c r="BA2244" s="81"/>
      <c r="BB2244" s="81"/>
    </row>
    <row r="2245" spans="1:54" x14ac:dyDescent="0.35">
      <c r="A2245" s="66" t="s">
        <v>4963</v>
      </c>
      <c r="B2245" s="66" t="s">
        <v>5232</v>
      </c>
      <c r="C2245" s="67"/>
      <c r="D2245" s="68"/>
      <c r="E2245" s="69"/>
      <c r="F2245" s="70"/>
      <c r="G2245" s="67"/>
      <c r="H2245" s="71"/>
      <c r="I2245" s="72"/>
      <c r="J2245" s="72"/>
      <c r="K2245" s="36"/>
      <c r="L2245" s="79"/>
      <c r="M2245" s="79"/>
      <c r="N2245" s="74"/>
      <c r="O2245" s="81" t="s">
        <v>696</v>
      </c>
      <c r="P2245" s="83">
        <v>44463.598182870373</v>
      </c>
      <c r="Q2245" s="81" t="s">
        <v>5654</v>
      </c>
      <c r="R2245" s="84" t="str">
        <f>HYPERLINK("https://auditoriacidada.org.br/")</f>
        <v>https://auditoriacidada.org.br/</v>
      </c>
      <c r="S2245" s="81" t="s">
        <v>5696</v>
      </c>
      <c r="T2245" s="81"/>
      <c r="U2245" s="81"/>
      <c r="V2245" s="84" t="str">
        <f>HYPERLINK("https://pbs.twimg.com/profile_images/1258569360236576770/7E9EYrtd_normal.jpg")</f>
        <v>https://pbs.twimg.com/profile_images/1258569360236576770/7E9EYrtd_normal.jpg</v>
      </c>
      <c r="W2245" s="83">
        <v>44463.598182870373</v>
      </c>
      <c r="X2245" s="89">
        <v>44463</v>
      </c>
      <c r="Y2245" s="86" t="s">
        <v>6655</v>
      </c>
      <c r="Z2245" s="84" t="str">
        <f>HYPERLINK("https://twitter.com/panchitoblanco1/status/1441407420660604930")</f>
        <v>https://twitter.com/panchitoblanco1/status/1441407420660604930</v>
      </c>
      <c r="AA2245" s="81"/>
      <c r="AB2245" s="81"/>
      <c r="AC2245" s="86" t="s">
        <v>7580</v>
      </c>
      <c r="AD2245" s="86" t="s">
        <v>7780</v>
      </c>
      <c r="AE2245" s="81" t="b">
        <v>0</v>
      </c>
      <c r="AF2245" s="81">
        <v>10</v>
      </c>
      <c r="AG2245" s="86" t="s">
        <v>7951</v>
      </c>
      <c r="AH2245" s="81" t="b">
        <v>0</v>
      </c>
      <c r="AI2245" s="81" t="s">
        <v>2171</v>
      </c>
      <c r="AJ2245" s="81"/>
      <c r="AK2245" s="86" t="s">
        <v>2084</v>
      </c>
      <c r="AL2245" s="81" t="b">
        <v>0</v>
      </c>
      <c r="AM2245" s="81">
        <v>4</v>
      </c>
      <c r="AN2245" s="86" t="s">
        <v>2084</v>
      </c>
      <c r="AO2245" s="86" t="s">
        <v>2178</v>
      </c>
      <c r="AP2245" s="81" t="b">
        <v>0</v>
      </c>
      <c r="AQ2245" s="86" t="s">
        <v>7780</v>
      </c>
      <c r="AR2245" s="81" t="s">
        <v>179</v>
      </c>
      <c r="AS2245" s="81">
        <v>0</v>
      </c>
      <c r="AT2245" s="81">
        <v>0</v>
      </c>
      <c r="AU2245" s="81"/>
      <c r="AV2245" s="81"/>
      <c r="AW2245" s="81"/>
      <c r="AX2245" s="81"/>
      <c r="AY2245" s="81"/>
      <c r="AZ2245" s="81"/>
      <c r="BA2245" s="81"/>
      <c r="BB2245" s="81"/>
    </row>
    <row r="2246" spans="1:54" x14ac:dyDescent="0.35">
      <c r="A2246" s="66" t="s">
        <v>4965</v>
      </c>
      <c r="B2246" s="66" t="s">
        <v>5233</v>
      </c>
      <c r="C2246" s="67"/>
      <c r="D2246" s="68"/>
      <c r="E2246" s="69"/>
      <c r="F2246" s="70"/>
      <c r="G2246" s="67"/>
      <c r="H2246" s="71"/>
      <c r="I2246" s="72"/>
      <c r="J2246" s="72"/>
      <c r="K2246" s="36"/>
      <c r="L2246" s="79"/>
      <c r="M2246" s="79"/>
      <c r="N2246" s="74"/>
      <c r="O2246" s="81" t="s">
        <v>694</v>
      </c>
      <c r="P2246" s="83">
        <v>44463.752210648148</v>
      </c>
      <c r="Q2246" s="81" t="s">
        <v>5654</v>
      </c>
      <c r="R2246" s="84" t="str">
        <f>HYPERLINK("https://auditoriacidada.org.br/")</f>
        <v>https://auditoriacidada.org.br/</v>
      </c>
      <c r="S2246" s="81" t="s">
        <v>5696</v>
      </c>
      <c r="T2246" s="81"/>
      <c r="U2246" s="81"/>
      <c r="V2246" s="84" t="str">
        <f>HYPERLINK("https://pbs.twimg.com/profile_images/1103359646331486208/iTL5L1vb_normal.jpg")</f>
        <v>https://pbs.twimg.com/profile_images/1103359646331486208/iTL5L1vb_normal.jpg</v>
      </c>
      <c r="W2246" s="83">
        <v>44463.752210648148</v>
      </c>
      <c r="X2246" s="89">
        <v>44463</v>
      </c>
      <c r="Y2246" s="86" t="s">
        <v>6652</v>
      </c>
      <c r="Z2246" s="84" t="str">
        <f>HYPERLINK("https://twitter.com/catiaamorim5/status/1441463237338357763")</f>
        <v>https://twitter.com/catiaamorim5/status/1441463237338357763</v>
      </c>
      <c r="AA2246" s="81"/>
      <c r="AB2246" s="81"/>
      <c r="AC2246" s="86" t="s">
        <v>7577</v>
      </c>
      <c r="AD2246" s="81"/>
      <c r="AE2246" s="81" t="b">
        <v>0</v>
      </c>
      <c r="AF2246" s="81">
        <v>0</v>
      </c>
      <c r="AG2246" s="86" t="s">
        <v>2084</v>
      </c>
      <c r="AH2246" s="81" t="b">
        <v>0</v>
      </c>
      <c r="AI2246" s="81" t="s">
        <v>2171</v>
      </c>
      <c r="AJ2246" s="81"/>
      <c r="AK2246" s="86" t="s">
        <v>2084</v>
      </c>
      <c r="AL2246" s="81" t="b">
        <v>0</v>
      </c>
      <c r="AM2246" s="81">
        <v>4</v>
      </c>
      <c r="AN2246" s="86" t="s">
        <v>7580</v>
      </c>
      <c r="AO2246" s="86" t="s">
        <v>2178</v>
      </c>
      <c r="AP2246" s="81" t="b">
        <v>0</v>
      </c>
      <c r="AQ2246" s="86" t="s">
        <v>7580</v>
      </c>
      <c r="AR2246" s="81" t="s">
        <v>179</v>
      </c>
      <c r="AS2246" s="81">
        <v>0</v>
      </c>
      <c r="AT2246" s="81">
        <v>0</v>
      </c>
      <c r="AU2246" s="81"/>
      <c r="AV2246" s="81"/>
      <c r="AW2246" s="81"/>
      <c r="AX2246" s="81"/>
      <c r="AY2246" s="81"/>
      <c r="AZ2246" s="81"/>
      <c r="BA2246" s="81"/>
      <c r="BB2246" s="81"/>
    </row>
    <row r="2247" spans="1:54" x14ac:dyDescent="0.35">
      <c r="A2247" s="66" t="s">
        <v>4967</v>
      </c>
      <c r="B2247" s="66" t="s">
        <v>5233</v>
      </c>
      <c r="C2247" s="67"/>
      <c r="D2247" s="68"/>
      <c r="E2247" s="69"/>
      <c r="F2247" s="70"/>
      <c r="G2247" s="67"/>
      <c r="H2247" s="71"/>
      <c r="I2247" s="72"/>
      <c r="J2247" s="72"/>
      <c r="K2247" s="36"/>
      <c r="L2247" s="79"/>
      <c r="M2247" s="79"/>
      <c r="N2247" s="74"/>
      <c r="O2247" s="81" t="s">
        <v>694</v>
      </c>
      <c r="P2247" s="83">
        <v>44464.140057870369</v>
      </c>
      <c r="Q2247" s="81" t="s">
        <v>5654</v>
      </c>
      <c r="R2247" s="84" t="str">
        <f>HYPERLINK("https://auditoriacidada.org.br/")</f>
        <v>https://auditoriacidada.org.br/</v>
      </c>
      <c r="S2247" s="81" t="s">
        <v>5696</v>
      </c>
      <c r="T2247" s="81"/>
      <c r="U2247" s="81"/>
      <c r="V2247" s="84" t="str">
        <f>HYPERLINK("https://pbs.twimg.com/profile_images/1399527376242069507/ZhhDd0tB_normal.jpg")</f>
        <v>https://pbs.twimg.com/profile_images/1399527376242069507/ZhhDd0tB_normal.jpg</v>
      </c>
      <c r="W2247" s="83">
        <v>44464.140057870369</v>
      </c>
      <c r="X2247" s="89">
        <v>44464</v>
      </c>
      <c r="Y2247" s="86" t="s">
        <v>6654</v>
      </c>
      <c r="Z2247" s="84" t="str">
        <f>HYPERLINK("https://twitter.com/mariacr64955277/status/1441603789765677056")</f>
        <v>https://twitter.com/mariacr64955277/status/1441603789765677056</v>
      </c>
      <c r="AA2247" s="81"/>
      <c r="AB2247" s="81"/>
      <c r="AC2247" s="86" t="s">
        <v>7579</v>
      </c>
      <c r="AD2247" s="81"/>
      <c r="AE2247" s="81" t="b">
        <v>0</v>
      </c>
      <c r="AF2247" s="81">
        <v>0</v>
      </c>
      <c r="AG2247" s="86" t="s">
        <v>2084</v>
      </c>
      <c r="AH2247" s="81" t="b">
        <v>0</v>
      </c>
      <c r="AI2247" s="81" t="s">
        <v>2171</v>
      </c>
      <c r="AJ2247" s="81"/>
      <c r="AK2247" s="86" t="s">
        <v>2084</v>
      </c>
      <c r="AL2247" s="81" t="b">
        <v>0</v>
      </c>
      <c r="AM2247" s="81">
        <v>4</v>
      </c>
      <c r="AN2247" s="86" t="s">
        <v>7580</v>
      </c>
      <c r="AO2247" s="86" t="s">
        <v>2178</v>
      </c>
      <c r="AP2247" s="81" t="b">
        <v>0</v>
      </c>
      <c r="AQ2247" s="86" t="s">
        <v>7580</v>
      </c>
      <c r="AR2247" s="81" t="s">
        <v>179</v>
      </c>
      <c r="AS2247" s="81">
        <v>0</v>
      </c>
      <c r="AT2247" s="81">
        <v>0</v>
      </c>
      <c r="AU2247" s="81"/>
      <c r="AV2247" s="81"/>
      <c r="AW2247" s="81"/>
      <c r="AX2247" s="81"/>
      <c r="AY2247" s="81"/>
      <c r="AZ2247" s="81"/>
      <c r="BA2247" s="81"/>
      <c r="BB2247" s="81"/>
    </row>
    <row r="2248" spans="1:54" x14ac:dyDescent="0.35">
      <c r="A2248" s="66" t="s">
        <v>4963</v>
      </c>
      <c r="B2248" s="66" t="s">
        <v>5233</v>
      </c>
      <c r="C2248" s="67"/>
      <c r="D2248" s="68"/>
      <c r="E2248" s="69"/>
      <c r="F2248" s="70"/>
      <c r="G2248" s="67"/>
      <c r="H2248" s="71"/>
      <c r="I2248" s="72"/>
      <c r="J2248" s="72"/>
      <c r="K2248" s="36"/>
      <c r="L2248" s="79"/>
      <c r="M2248" s="79"/>
      <c r="N2248" s="74"/>
      <c r="O2248" s="81" t="s">
        <v>696</v>
      </c>
      <c r="P2248" s="83">
        <v>44463.598182870373</v>
      </c>
      <c r="Q2248" s="81" t="s">
        <v>5654</v>
      </c>
      <c r="R2248" s="84" t="str">
        <f>HYPERLINK("https://auditoriacidada.org.br/")</f>
        <v>https://auditoriacidada.org.br/</v>
      </c>
      <c r="S2248" s="81" t="s">
        <v>5696</v>
      </c>
      <c r="T2248" s="81"/>
      <c r="U2248" s="81"/>
      <c r="V2248" s="84" t="str">
        <f>HYPERLINK("https://pbs.twimg.com/profile_images/1258569360236576770/7E9EYrtd_normal.jpg")</f>
        <v>https://pbs.twimg.com/profile_images/1258569360236576770/7E9EYrtd_normal.jpg</v>
      </c>
      <c r="W2248" s="83">
        <v>44463.598182870373</v>
      </c>
      <c r="X2248" s="89">
        <v>44463</v>
      </c>
      <c r="Y2248" s="86" t="s">
        <v>6655</v>
      </c>
      <c r="Z2248" s="84" t="str">
        <f>HYPERLINK("https://twitter.com/panchitoblanco1/status/1441407420660604930")</f>
        <v>https://twitter.com/panchitoblanco1/status/1441407420660604930</v>
      </c>
      <c r="AA2248" s="81"/>
      <c r="AB2248" s="81"/>
      <c r="AC2248" s="86" t="s">
        <v>7580</v>
      </c>
      <c r="AD2248" s="86" t="s">
        <v>7780</v>
      </c>
      <c r="AE2248" s="81" t="b">
        <v>0</v>
      </c>
      <c r="AF2248" s="81">
        <v>10</v>
      </c>
      <c r="AG2248" s="86" t="s">
        <v>7951</v>
      </c>
      <c r="AH2248" s="81" t="b">
        <v>0</v>
      </c>
      <c r="AI2248" s="81" t="s">
        <v>2171</v>
      </c>
      <c r="AJ2248" s="81"/>
      <c r="AK2248" s="86" t="s">
        <v>2084</v>
      </c>
      <c r="AL2248" s="81" t="b">
        <v>0</v>
      </c>
      <c r="AM2248" s="81">
        <v>4</v>
      </c>
      <c r="AN2248" s="86" t="s">
        <v>2084</v>
      </c>
      <c r="AO2248" s="86" t="s">
        <v>2178</v>
      </c>
      <c r="AP2248" s="81" t="b">
        <v>0</v>
      </c>
      <c r="AQ2248" s="86" t="s">
        <v>7780</v>
      </c>
      <c r="AR2248" s="81" t="s">
        <v>179</v>
      </c>
      <c r="AS2248" s="81">
        <v>0</v>
      </c>
      <c r="AT2248" s="81">
        <v>0</v>
      </c>
      <c r="AU2248" s="81"/>
      <c r="AV2248" s="81"/>
      <c r="AW2248" s="81"/>
      <c r="AX2248" s="81"/>
      <c r="AY2248" s="81"/>
      <c r="AZ2248" s="81"/>
      <c r="BA2248" s="81"/>
      <c r="BB2248" s="81"/>
    </row>
    <row r="2249" spans="1:54" x14ac:dyDescent="0.35">
      <c r="A2249" s="66" t="s">
        <v>4965</v>
      </c>
      <c r="B2249" s="66" t="s">
        <v>5234</v>
      </c>
      <c r="C2249" s="67"/>
      <c r="D2249" s="68"/>
      <c r="E2249" s="69"/>
      <c r="F2249" s="70"/>
      <c r="G2249" s="67"/>
      <c r="H2249" s="71"/>
      <c r="I2249" s="72"/>
      <c r="J2249" s="72"/>
      <c r="K2249" s="36"/>
      <c r="L2249" s="79"/>
      <c r="M2249" s="79"/>
      <c r="N2249" s="74"/>
      <c r="O2249" s="81" t="s">
        <v>694</v>
      </c>
      <c r="P2249" s="83">
        <v>44463.752210648148</v>
      </c>
      <c r="Q2249" s="81" t="s">
        <v>5654</v>
      </c>
      <c r="R2249" s="84" t="str">
        <f>HYPERLINK("https://auditoriacidada.org.br/")</f>
        <v>https://auditoriacidada.org.br/</v>
      </c>
      <c r="S2249" s="81" t="s">
        <v>5696</v>
      </c>
      <c r="T2249" s="81"/>
      <c r="U2249" s="81"/>
      <c r="V2249" s="84" t="str">
        <f>HYPERLINK("https://pbs.twimg.com/profile_images/1103359646331486208/iTL5L1vb_normal.jpg")</f>
        <v>https://pbs.twimg.com/profile_images/1103359646331486208/iTL5L1vb_normal.jpg</v>
      </c>
      <c r="W2249" s="83">
        <v>44463.752210648148</v>
      </c>
      <c r="X2249" s="89">
        <v>44463</v>
      </c>
      <c r="Y2249" s="86" t="s">
        <v>6652</v>
      </c>
      <c r="Z2249" s="84" t="str">
        <f>HYPERLINK("https://twitter.com/catiaamorim5/status/1441463237338357763")</f>
        <v>https://twitter.com/catiaamorim5/status/1441463237338357763</v>
      </c>
      <c r="AA2249" s="81"/>
      <c r="AB2249" s="81"/>
      <c r="AC2249" s="86" t="s">
        <v>7577</v>
      </c>
      <c r="AD2249" s="81"/>
      <c r="AE2249" s="81" t="b">
        <v>0</v>
      </c>
      <c r="AF2249" s="81">
        <v>0</v>
      </c>
      <c r="AG2249" s="86" t="s">
        <v>2084</v>
      </c>
      <c r="AH2249" s="81" t="b">
        <v>0</v>
      </c>
      <c r="AI2249" s="81" t="s">
        <v>2171</v>
      </c>
      <c r="AJ2249" s="81"/>
      <c r="AK2249" s="86" t="s">
        <v>2084</v>
      </c>
      <c r="AL2249" s="81" t="b">
        <v>0</v>
      </c>
      <c r="AM2249" s="81">
        <v>4</v>
      </c>
      <c r="AN2249" s="86" t="s">
        <v>7580</v>
      </c>
      <c r="AO2249" s="86" t="s">
        <v>2178</v>
      </c>
      <c r="AP2249" s="81" t="b">
        <v>0</v>
      </c>
      <c r="AQ2249" s="86" t="s">
        <v>7580</v>
      </c>
      <c r="AR2249" s="81" t="s">
        <v>179</v>
      </c>
      <c r="AS2249" s="81">
        <v>0</v>
      </c>
      <c r="AT2249" s="81">
        <v>0</v>
      </c>
      <c r="AU2249" s="81"/>
      <c r="AV2249" s="81"/>
      <c r="AW2249" s="81"/>
      <c r="AX2249" s="81"/>
      <c r="AY2249" s="81"/>
      <c r="AZ2249" s="81"/>
      <c r="BA2249" s="81"/>
      <c r="BB2249" s="81"/>
    </row>
    <row r="2250" spans="1:54" x14ac:dyDescent="0.35">
      <c r="A2250" s="66" t="s">
        <v>4967</v>
      </c>
      <c r="B2250" s="66" t="s">
        <v>5234</v>
      </c>
      <c r="C2250" s="67"/>
      <c r="D2250" s="68"/>
      <c r="E2250" s="69"/>
      <c r="F2250" s="70"/>
      <c r="G2250" s="67"/>
      <c r="H2250" s="71"/>
      <c r="I2250" s="72"/>
      <c r="J2250" s="72"/>
      <c r="K2250" s="36"/>
      <c r="L2250" s="79"/>
      <c r="M2250" s="79"/>
      <c r="N2250" s="74"/>
      <c r="O2250" s="81" t="s">
        <v>694</v>
      </c>
      <c r="P2250" s="83">
        <v>44464.140057870369</v>
      </c>
      <c r="Q2250" s="81" t="s">
        <v>5654</v>
      </c>
      <c r="R2250" s="84" t="str">
        <f>HYPERLINK("https://auditoriacidada.org.br/")</f>
        <v>https://auditoriacidada.org.br/</v>
      </c>
      <c r="S2250" s="81" t="s">
        <v>5696</v>
      </c>
      <c r="T2250" s="81"/>
      <c r="U2250" s="81"/>
      <c r="V2250" s="84" t="str">
        <f>HYPERLINK("https://pbs.twimg.com/profile_images/1399527376242069507/ZhhDd0tB_normal.jpg")</f>
        <v>https://pbs.twimg.com/profile_images/1399527376242069507/ZhhDd0tB_normal.jpg</v>
      </c>
      <c r="W2250" s="83">
        <v>44464.140057870369</v>
      </c>
      <c r="X2250" s="89">
        <v>44464</v>
      </c>
      <c r="Y2250" s="86" t="s">
        <v>6654</v>
      </c>
      <c r="Z2250" s="84" t="str">
        <f>HYPERLINK("https://twitter.com/mariacr64955277/status/1441603789765677056")</f>
        <v>https://twitter.com/mariacr64955277/status/1441603789765677056</v>
      </c>
      <c r="AA2250" s="81"/>
      <c r="AB2250" s="81"/>
      <c r="AC2250" s="86" t="s">
        <v>7579</v>
      </c>
      <c r="AD2250" s="81"/>
      <c r="AE2250" s="81" t="b">
        <v>0</v>
      </c>
      <c r="AF2250" s="81">
        <v>0</v>
      </c>
      <c r="AG2250" s="86" t="s">
        <v>2084</v>
      </c>
      <c r="AH2250" s="81" t="b">
        <v>0</v>
      </c>
      <c r="AI2250" s="81" t="s">
        <v>2171</v>
      </c>
      <c r="AJ2250" s="81"/>
      <c r="AK2250" s="86" t="s">
        <v>2084</v>
      </c>
      <c r="AL2250" s="81" t="b">
        <v>0</v>
      </c>
      <c r="AM2250" s="81">
        <v>4</v>
      </c>
      <c r="AN2250" s="86" t="s">
        <v>7580</v>
      </c>
      <c r="AO2250" s="86" t="s">
        <v>2178</v>
      </c>
      <c r="AP2250" s="81" t="b">
        <v>0</v>
      </c>
      <c r="AQ2250" s="86" t="s">
        <v>7580</v>
      </c>
      <c r="AR2250" s="81" t="s">
        <v>179</v>
      </c>
      <c r="AS2250" s="81">
        <v>0</v>
      </c>
      <c r="AT2250" s="81">
        <v>0</v>
      </c>
      <c r="AU2250" s="81"/>
      <c r="AV2250" s="81"/>
      <c r="AW2250" s="81"/>
      <c r="AX2250" s="81"/>
      <c r="AY2250" s="81"/>
      <c r="AZ2250" s="81"/>
      <c r="BA2250" s="81"/>
      <c r="BB2250" s="81"/>
    </row>
    <row r="2251" spans="1:54" x14ac:dyDescent="0.35">
      <c r="A2251" s="66" t="s">
        <v>4963</v>
      </c>
      <c r="B2251" s="66" t="s">
        <v>5234</v>
      </c>
      <c r="C2251" s="67"/>
      <c r="D2251" s="68"/>
      <c r="E2251" s="69"/>
      <c r="F2251" s="70"/>
      <c r="G2251" s="67"/>
      <c r="H2251" s="71"/>
      <c r="I2251" s="72"/>
      <c r="J2251" s="72"/>
      <c r="K2251" s="36"/>
      <c r="L2251" s="79"/>
      <c r="M2251" s="79"/>
      <c r="N2251" s="74"/>
      <c r="O2251" s="81" t="s">
        <v>696</v>
      </c>
      <c r="P2251" s="83">
        <v>44463.598182870373</v>
      </c>
      <c r="Q2251" s="81" t="s">
        <v>5654</v>
      </c>
      <c r="R2251" s="84" t="str">
        <f>HYPERLINK("https://auditoriacidada.org.br/")</f>
        <v>https://auditoriacidada.org.br/</v>
      </c>
      <c r="S2251" s="81" t="s">
        <v>5696</v>
      </c>
      <c r="T2251" s="81"/>
      <c r="U2251" s="81"/>
      <c r="V2251" s="84" t="str">
        <f>HYPERLINK("https://pbs.twimg.com/profile_images/1258569360236576770/7E9EYrtd_normal.jpg")</f>
        <v>https://pbs.twimg.com/profile_images/1258569360236576770/7E9EYrtd_normal.jpg</v>
      </c>
      <c r="W2251" s="83">
        <v>44463.598182870373</v>
      </c>
      <c r="X2251" s="89">
        <v>44463</v>
      </c>
      <c r="Y2251" s="86" t="s">
        <v>6655</v>
      </c>
      <c r="Z2251" s="84" t="str">
        <f>HYPERLINK("https://twitter.com/panchitoblanco1/status/1441407420660604930")</f>
        <v>https://twitter.com/panchitoblanco1/status/1441407420660604930</v>
      </c>
      <c r="AA2251" s="81"/>
      <c r="AB2251" s="81"/>
      <c r="AC2251" s="86" t="s">
        <v>7580</v>
      </c>
      <c r="AD2251" s="86" t="s">
        <v>7780</v>
      </c>
      <c r="AE2251" s="81" t="b">
        <v>0</v>
      </c>
      <c r="AF2251" s="81">
        <v>10</v>
      </c>
      <c r="AG2251" s="86" t="s">
        <v>7951</v>
      </c>
      <c r="AH2251" s="81" t="b">
        <v>0</v>
      </c>
      <c r="AI2251" s="81" t="s">
        <v>2171</v>
      </c>
      <c r="AJ2251" s="81"/>
      <c r="AK2251" s="86" t="s">
        <v>2084</v>
      </c>
      <c r="AL2251" s="81" t="b">
        <v>0</v>
      </c>
      <c r="AM2251" s="81">
        <v>4</v>
      </c>
      <c r="AN2251" s="86" t="s">
        <v>2084</v>
      </c>
      <c r="AO2251" s="86" t="s">
        <v>2178</v>
      </c>
      <c r="AP2251" s="81" t="b">
        <v>0</v>
      </c>
      <c r="AQ2251" s="86" t="s">
        <v>7780</v>
      </c>
      <c r="AR2251" s="81" t="s">
        <v>179</v>
      </c>
      <c r="AS2251" s="81">
        <v>0</v>
      </c>
      <c r="AT2251" s="81">
        <v>0</v>
      </c>
      <c r="AU2251" s="81"/>
      <c r="AV2251" s="81"/>
      <c r="AW2251" s="81"/>
      <c r="AX2251" s="81"/>
      <c r="AY2251" s="81"/>
      <c r="AZ2251" s="81"/>
      <c r="BA2251" s="81"/>
      <c r="BB2251" s="81"/>
    </row>
    <row r="2252" spans="1:54" x14ac:dyDescent="0.35">
      <c r="A2252" s="66" t="s">
        <v>4965</v>
      </c>
      <c r="B2252" s="66" t="s">
        <v>5229</v>
      </c>
      <c r="C2252" s="67"/>
      <c r="D2252" s="68"/>
      <c r="E2252" s="69"/>
      <c r="F2252" s="70"/>
      <c r="G2252" s="67"/>
      <c r="H2252" s="71"/>
      <c r="I2252" s="72"/>
      <c r="J2252" s="72"/>
      <c r="K2252" s="36"/>
      <c r="L2252" s="79"/>
      <c r="M2252" s="79"/>
      <c r="N2252" s="74"/>
      <c r="O2252" s="81" t="s">
        <v>694</v>
      </c>
      <c r="P2252" s="83">
        <v>44463.752210648148</v>
      </c>
      <c r="Q2252" s="81" t="s">
        <v>5654</v>
      </c>
      <c r="R2252" s="84" t="str">
        <f>HYPERLINK("https://auditoriacidada.org.br/")</f>
        <v>https://auditoriacidada.org.br/</v>
      </c>
      <c r="S2252" s="81" t="s">
        <v>5696</v>
      </c>
      <c r="T2252" s="81"/>
      <c r="U2252" s="81"/>
      <c r="V2252" s="84" t="str">
        <f>HYPERLINK("https://pbs.twimg.com/profile_images/1103359646331486208/iTL5L1vb_normal.jpg")</f>
        <v>https://pbs.twimg.com/profile_images/1103359646331486208/iTL5L1vb_normal.jpg</v>
      </c>
      <c r="W2252" s="83">
        <v>44463.752210648148</v>
      </c>
      <c r="X2252" s="89">
        <v>44463</v>
      </c>
      <c r="Y2252" s="86" t="s">
        <v>6652</v>
      </c>
      <c r="Z2252" s="84" t="str">
        <f>HYPERLINK("https://twitter.com/catiaamorim5/status/1441463237338357763")</f>
        <v>https://twitter.com/catiaamorim5/status/1441463237338357763</v>
      </c>
      <c r="AA2252" s="81"/>
      <c r="AB2252" s="81"/>
      <c r="AC2252" s="86" t="s">
        <v>7577</v>
      </c>
      <c r="AD2252" s="81"/>
      <c r="AE2252" s="81" t="b">
        <v>0</v>
      </c>
      <c r="AF2252" s="81">
        <v>0</v>
      </c>
      <c r="AG2252" s="86" t="s">
        <v>2084</v>
      </c>
      <c r="AH2252" s="81" t="b">
        <v>0</v>
      </c>
      <c r="AI2252" s="81" t="s">
        <v>2171</v>
      </c>
      <c r="AJ2252" s="81"/>
      <c r="AK2252" s="86" t="s">
        <v>2084</v>
      </c>
      <c r="AL2252" s="81" t="b">
        <v>0</v>
      </c>
      <c r="AM2252" s="81">
        <v>4</v>
      </c>
      <c r="AN2252" s="86" t="s">
        <v>7580</v>
      </c>
      <c r="AO2252" s="86" t="s">
        <v>2178</v>
      </c>
      <c r="AP2252" s="81" t="b">
        <v>0</v>
      </c>
      <c r="AQ2252" s="86" t="s">
        <v>7580</v>
      </c>
      <c r="AR2252" s="81" t="s">
        <v>179</v>
      </c>
      <c r="AS2252" s="81">
        <v>0</v>
      </c>
      <c r="AT2252" s="81">
        <v>0</v>
      </c>
      <c r="AU2252" s="81"/>
      <c r="AV2252" s="81"/>
      <c r="AW2252" s="81"/>
      <c r="AX2252" s="81"/>
      <c r="AY2252" s="81"/>
      <c r="AZ2252" s="81"/>
      <c r="BA2252" s="81"/>
      <c r="BB2252" s="81"/>
    </row>
    <row r="2253" spans="1:54" x14ac:dyDescent="0.35">
      <c r="A2253" s="66" t="s">
        <v>4965</v>
      </c>
      <c r="B2253" s="66" t="s">
        <v>5235</v>
      </c>
      <c r="C2253" s="67"/>
      <c r="D2253" s="68"/>
      <c r="E2253" s="69"/>
      <c r="F2253" s="70"/>
      <c r="G2253" s="67"/>
      <c r="H2253" s="71"/>
      <c r="I2253" s="72"/>
      <c r="J2253" s="72"/>
      <c r="K2253" s="36"/>
      <c r="L2253" s="79"/>
      <c r="M2253" s="79"/>
      <c r="N2253" s="74"/>
      <c r="O2253" s="81" t="s">
        <v>694</v>
      </c>
      <c r="P2253" s="83">
        <v>44463.752210648148</v>
      </c>
      <c r="Q2253" s="81" t="s">
        <v>5654</v>
      </c>
      <c r="R2253" s="84" t="str">
        <f>HYPERLINK("https://auditoriacidada.org.br/")</f>
        <v>https://auditoriacidada.org.br/</v>
      </c>
      <c r="S2253" s="81" t="s">
        <v>5696</v>
      </c>
      <c r="T2253" s="81"/>
      <c r="U2253" s="81"/>
      <c r="V2253" s="84" t="str">
        <f>HYPERLINK("https://pbs.twimg.com/profile_images/1103359646331486208/iTL5L1vb_normal.jpg")</f>
        <v>https://pbs.twimg.com/profile_images/1103359646331486208/iTL5L1vb_normal.jpg</v>
      </c>
      <c r="W2253" s="83">
        <v>44463.752210648148</v>
      </c>
      <c r="X2253" s="89">
        <v>44463</v>
      </c>
      <c r="Y2253" s="86" t="s">
        <v>6652</v>
      </c>
      <c r="Z2253" s="84" t="str">
        <f>HYPERLINK("https://twitter.com/catiaamorim5/status/1441463237338357763")</f>
        <v>https://twitter.com/catiaamorim5/status/1441463237338357763</v>
      </c>
      <c r="AA2253" s="81"/>
      <c r="AB2253" s="81"/>
      <c r="AC2253" s="86" t="s">
        <v>7577</v>
      </c>
      <c r="AD2253" s="81"/>
      <c r="AE2253" s="81" t="b">
        <v>0</v>
      </c>
      <c r="AF2253" s="81">
        <v>0</v>
      </c>
      <c r="AG2253" s="86" t="s">
        <v>2084</v>
      </c>
      <c r="AH2253" s="81" t="b">
        <v>0</v>
      </c>
      <c r="AI2253" s="81" t="s">
        <v>2171</v>
      </c>
      <c r="AJ2253" s="81"/>
      <c r="AK2253" s="86" t="s">
        <v>2084</v>
      </c>
      <c r="AL2253" s="81" t="b">
        <v>0</v>
      </c>
      <c r="AM2253" s="81">
        <v>4</v>
      </c>
      <c r="AN2253" s="86" t="s">
        <v>7580</v>
      </c>
      <c r="AO2253" s="86" t="s">
        <v>2178</v>
      </c>
      <c r="AP2253" s="81" t="b">
        <v>0</v>
      </c>
      <c r="AQ2253" s="86" t="s">
        <v>7580</v>
      </c>
      <c r="AR2253" s="81" t="s">
        <v>179</v>
      </c>
      <c r="AS2253" s="81">
        <v>0</v>
      </c>
      <c r="AT2253" s="81">
        <v>0</v>
      </c>
      <c r="AU2253" s="81"/>
      <c r="AV2253" s="81"/>
      <c r="AW2253" s="81"/>
      <c r="AX2253" s="81"/>
      <c r="AY2253" s="81"/>
      <c r="AZ2253" s="81"/>
      <c r="BA2253" s="81"/>
      <c r="BB2253" s="81"/>
    </row>
    <row r="2254" spans="1:54" x14ac:dyDescent="0.35">
      <c r="A2254" s="66" t="s">
        <v>4965</v>
      </c>
      <c r="B2254" s="66" t="s">
        <v>5236</v>
      </c>
      <c r="C2254" s="67"/>
      <c r="D2254" s="68"/>
      <c r="E2254" s="69"/>
      <c r="F2254" s="70"/>
      <c r="G2254" s="67"/>
      <c r="H2254" s="71"/>
      <c r="I2254" s="72"/>
      <c r="J2254" s="72"/>
      <c r="K2254" s="36"/>
      <c r="L2254" s="79"/>
      <c r="M2254" s="79"/>
      <c r="N2254" s="74"/>
      <c r="O2254" s="81" t="s">
        <v>694</v>
      </c>
      <c r="P2254" s="83">
        <v>44463.752210648148</v>
      </c>
      <c r="Q2254" s="81" t="s">
        <v>5654</v>
      </c>
      <c r="R2254" s="84" t="str">
        <f>HYPERLINK("https://auditoriacidada.org.br/")</f>
        <v>https://auditoriacidada.org.br/</v>
      </c>
      <c r="S2254" s="81" t="s">
        <v>5696</v>
      </c>
      <c r="T2254" s="81"/>
      <c r="U2254" s="81"/>
      <c r="V2254" s="84" t="str">
        <f>HYPERLINK("https://pbs.twimg.com/profile_images/1103359646331486208/iTL5L1vb_normal.jpg")</f>
        <v>https://pbs.twimg.com/profile_images/1103359646331486208/iTL5L1vb_normal.jpg</v>
      </c>
      <c r="W2254" s="83">
        <v>44463.752210648148</v>
      </c>
      <c r="X2254" s="89">
        <v>44463</v>
      </c>
      <c r="Y2254" s="86" t="s">
        <v>6652</v>
      </c>
      <c r="Z2254" s="84" t="str">
        <f>HYPERLINK("https://twitter.com/catiaamorim5/status/1441463237338357763")</f>
        <v>https://twitter.com/catiaamorim5/status/1441463237338357763</v>
      </c>
      <c r="AA2254" s="81"/>
      <c r="AB2254" s="81"/>
      <c r="AC2254" s="86" t="s">
        <v>7577</v>
      </c>
      <c r="AD2254" s="81"/>
      <c r="AE2254" s="81" t="b">
        <v>0</v>
      </c>
      <c r="AF2254" s="81">
        <v>0</v>
      </c>
      <c r="AG2254" s="86" t="s">
        <v>2084</v>
      </c>
      <c r="AH2254" s="81" t="b">
        <v>0</v>
      </c>
      <c r="AI2254" s="81" t="s">
        <v>2171</v>
      </c>
      <c r="AJ2254" s="81"/>
      <c r="AK2254" s="86" t="s">
        <v>2084</v>
      </c>
      <c r="AL2254" s="81" t="b">
        <v>0</v>
      </c>
      <c r="AM2254" s="81">
        <v>4</v>
      </c>
      <c r="AN2254" s="86" t="s">
        <v>7580</v>
      </c>
      <c r="AO2254" s="86" t="s">
        <v>2178</v>
      </c>
      <c r="AP2254" s="81" t="b">
        <v>0</v>
      </c>
      <c r="AQ2254" s="86" t="s">
        <v>7580</v>
      </c>
      <c r="AR2254" s="81" t="s">
        <v>179</v>
      </c>
      <c r="AS2254" s="81">
        <v>0</v>
      </c>
      <c r="AT2254" s="81">
        <v>0</v>
      </c>
      <c r="AU2254" s="81"/>
      <c r="AV2254" s="81"/>
      <c r="AW2254" s="81"/>
      <c r="AX2254" s="81"/>
      <c r="AY2254" s="81"/>
      <c r="AZ2254" s="81"/>
      <c r="BA2254" s="81"/>
      <c r="BB2254" s="81"/>
    </row>
    <row r="2255" spans="1:54" x14ac:dyDescent="0.35">
      <c r="A2255" s="66" t="s">
        <v>4965</v>
      </c>
      <c r="B2255" s="66" t="s">
        <v>5237</v>
      </c>
      <c r="C2255" s="67"/>
      <c r="D2255" s="68"/>
      <c r="E2255" s="69"/>
      <c r="F2255" s="70"/>
      <c r="G2255" s="67"/>
      <c r="H2255" s="71"/>
      <c r="I2255" s="72"/>
      <c r="J2255" s="72"/>
      <c r="K2255" s="36"/>
      <c r="L2255" s="79"/>
      <c r="M2255" s="79"/>
      <c r="N2255" s="74"/>
      <c r="O2255" s="81" t="s">
        <v>694</v>
      </c>
      <c r="P2255" s="83">
        <v>44463.752210648148</v>
      </c>
      <c r="Q2255" s="81" t="s">
        <v>5654</v>
      </c>
      <c r="R2255" s="84" t="str">
        <f>HYPERLINK("https://auditoriacidada.org.br/")</f>
        <v>https://auditoriacidada.org.br/</v>
      </c>
      <c r="S2255" s="81" t="s">
        <v>5696</v>
      </c>
      <c r="T2255" s="81"/>
      <c r="U2255" s="81"/>
      <c r="V2255" s="84" t="str">
        <f>HYPERLINK("https://pbs.twimg.com/profile_images/1103359646331486208/iTL5L1vb_normal.jpg")</f>
        <v>https://pbs.twimg.com/profile_images/1103359646331486208/iTL5L1vb_normal.jpg</v>
      </c>
      <c r="W2255" s="83">
        <v>44463.752210648148</v>
      </c>
      <c r="X2255" s="89">
        <v>44463</v>
      </c>
      <c r="Y2255" s="86" t="s">
        <v>6652</v>
      </c>
      <c r="Z2255" s="84" t="str">
        <f>HYPERLINK("https://twitter.com/catiaamorim5/status/1441463237338357763")</f>
        <v>https://twitter.com/catiaamorim5/status/1441463237338357763</v>
      </c>
      <c r="AA2255" s="81"/>
      <c r="AB2255" s="81"/>
      <c r="AC2255" s="86" t="s">
        <v>7577</v>
      </c>
      <c r="AD2255" s="81"/>
      <c r="AE2255" s="81" t="b">
        <v>0</v>
      </c>
      <c r="AF2255" s="81">
        <v>0</v>
      </c>
      <c r="AG2255" s="86" t="s">
        <v>2084</v>
      </c>
      <c r="AH2255" s="81" t="b">
        <v>0</v>
      </c>
      <c r="AI2255" s="81" t="s">
        <v>2171</v>
      </c>
      <c r="AJ2255" s="81"/>
      <c r="AK2255" s="86" t="s">
        <v>2084</v>
      </c>
      <c r="AL2255" s="81" t="b">
        <v>0</v>
      </c>
      <c r="AM2255" s="81">
        <v>4</v>
      </c>
      <c r="AN2255" s="86" t="s">
        <v>7580</v>
      </c>
      <c r="AO2255" s="86" t="s">
        <v>2178</v>
      </c>
      <c r="AP2255" s="81" t="b">
        <v>0</v>
      </c>
      <c r="AQ2255" s="86" t="s">
        <v>7580</v>
      </c>
      <c r="AR2255" s="81" t="s">
        <v>179</v>
      </c>
      <c r="AS2255" s="81">
        <v>0</v>
      </c>
      <c r="AT2255" s="81">
        <v>0</v>
      </c>
      <c r="AU2255" s="81"/>
      <c r="AV2255" s="81"/>
      <c r="AW2255" s="81"/>
      <c r="AX2255" s="81"/>
      <c r="AY2255" s="81"/>
      <c r="AZ2255" s="81"/>
      <c r="BA2255" s="81"/>
      <c r="BB2255" s="81"/>
    </row>
    <row r="2256" spans="1:54" x14ac:dyDescent="0.35">
      <c r="A2256" s="66" t="s">
        <v>4965</v>
      </c>
      <c r="B2256" s="66" t="s">
        <v>5238</v>
      </c>
      <c r="C2256" s="67"/>
      <c r="D2256" s="68"/>
      <c r="E2256" s="69"/>
      <c r="F2256" s="70"/>
      <c r="G2256" s="67"/>
      <c r="H2256" s="71"/>
      <c r="I2256" s="72"/>
      <c r="J2256" s="72"/>
      <c r="K2256" s="36"/>
      <c r="L2256" s="79"/>
      <c r="M2256" s="79"/>
      <c r="N2256" s="74"/>
      <c r="O2256" s="81" t="s">
        <v>694</v>
      </c>
      <c r="P2256" s="83">
        <v>44463.752210648148</v>
      </c>
      <c r="Q2256" s="81" t="s">
        <v>5654</v>
      </c>
      <c r="R2256" s="84" t="str">
        <f>HYPERLINK("https://auditoriacidada.org.br/")</f>
        <v>https://auditoriacidada.org.br/</v>
      </c>
      <c r="S2256" s="81" t="s">
        <v>5696</v>
      </c>
      <c r="T2256" s="81"/>
      <c r="U2256" s="81"/>
      <c r="V2256" s="84" t="str">
        <f>HYPERLINK("https://pbs.twimg.com/profile_images/1103359646331486208/iTL5L1vb_normal.jpg")</f>
        <v>https://pbs.twimg.com/profile_images/1103359646331486208/iTL5L1vb_normal.jpg</v>
      </c>
      <c r="W2256" s="83">
        <v>44463.752210648148</v>
      </c>
      <c r="X2256" s="89">
        <v>44463</v>
      </c>
      <c r="Y2256" s="86" t="s">
        <v>6652</v>
      </c>
      <c r="Z2256" s="84" t="str">
        <f>HYPERLINK("https://twitter.com/catiaamorim5/status/1441463237338357763")</f>
        <v>https://twitter.com/catiaamorim5/status/1441463237338357763</v>
      </c>
      <c r="AA2256" s="81"/>
      <c r="AB2256" s="81"/>
      <c r="AC2256" s="86" t="s">
        <v>7577</v>
      </c>
      <c r="AD2256" s="81"/>
      <c r="AE2256" s="81" t="b">
        <v>0</v>
      </c>
      <c r="AF2256" s="81">
        <v>0</v>
      </c>
      <c r="AG2256" s="86" t="s">
        <v>2084</v>
      </c>
      <c r="AH2256" s="81" t="b">
        <v>0</v>
      </c>
      <c r="AI2256" s="81" t="s">
        <v>2171</v>
      </c>
      <c r="AJ2256" s="81"/>
      <c r="AK2256" s="86" t="s">
        <v>2084</v>
      </c>
      <c r="AL2256" s="81" t="b">
        <v>0</v>
      </c>
      <c r="AM2256" s="81">
        <v>4</v>
      </c>
      <c r="AN2256" s="86" t="s">
        <v>7580</v>
      </c>
      <c r="AO2256" s="86" t="s">
        <v>2178</v>
      </c>
      <c r="AP2256" s="81" t="b">
        <v>0</v>
      </c>
      <c r="AQ2256" s="86" t="s">
        <v>7580</v>
      </c>
      <c r="AR2256" s="81" t="s">
        <v>179</v>
      </c>
      <c r="AS2256" s="81">
        <v>0</v>
      </c>
      <c r="AT2256" s="81">
        <v>0</v>
      </c>
      <c r="AU2256" s="81"/>
      <c r="AV2256" s="81"/>
      <c r="AW2256" s="81"/>
      <c r="AX2256" s="81"/>
      <c r="AY2256" s="81"/>
      <c r="AZ2256" s="81"/>
      <c r="BA2256" s="81"/>
      <c r="BB2256" s="81"/>
    </row>
    <row r="2257" spans="1:54" x14ac:dyDescent="0.35">
      <c r="A2257" s="66" t="s">
        <v>4965</v>
      </c>
      <c r="B2257" s="66" t="s">
        <v>5239</v>
      </c>
      <c r="C2257" s="67"/>
      <c r="D2257" s="68"/>
      <c r="E2257" s="69"/>
      <c r="F2257" s="70"/>
      <c r="G2257" s="67"/>
      <c r="H2257" s="71"/>
      <c r="I2257" s="72"/>
      <c r="J2257" s="72"/>
      <c r="K2257" s="36"/>
      <c r="L2257" s="79"/>
      <c r="M2257" s="79"/>
      <c r="N2257" s="74"/>
      <c r="O2257" s="81" t="s">
        <v>694</v>
      </c>
      <c r="P2257" s="83">
        <v>44463.752210648148</v>
      </c>
      <c r="Q2257" s="81" t="s">
        <v>5654</v>
      </c>
      <c r="R2257" s="84" t="str">
        <f>HYPERLINK("https://auditoriacidada.org.br/")</f>
        <v>https://auditoriacidada.org.br/</v>
      </c>
      <c r="S2257" s="81" t="s">
        <v>5696</v>
      </c>
      <c r="T2257" s="81"/>
      <c r="U2257" s="81"/>
      <c r="V2257" s="84" t="str">
        <f>HYPERLINK("https://pbs.twimg.com/profile_images/1103359646331486208/iTL5L1vb_normal.jpg")</f>
        <v>https://pbs.twimg.com/profile_images/1103359646331486208/iTL5L1vb_normal.jpg</v>
      </c>
      <c r="W2257" s="83">
        <v>44463.752210648148</v>
      </c>
      <c r="X2257" s="89">
        <v>44463</v>
      </c>
      <c r="Y2257" s="86" t="s">
        <v>6652</v>
      </c>
      <c r="Z2257" s="84" t="str">
        <f>HYPERLINK("https://twitter.com/catiaamorim5/status/1441463237338357763")</f>
        <v>https://twitter.com/catiaamorim5/status/1441463237338357763</v>
      </c>
      <c r="AA2257" s="81"/>
      <c r="AB2257" s="81"/>
      <c r="AC2257" s="86" t="s">
        <v>7577</v>
      </c>
      <c r="AD2257" s="81"/>
      <c r="AE2257" s="81" t="b">
        <v>0</v>
      </c>
      <c r="AF2257" s="81">
        <v>0</v>
      </c>
      <c r="AG2257" s="86" t="s">
        <v>2084</v>
      </c>
      <c r="AH2257" s="81" t="b">
        <v>0</v>
      </c>
      <c r="AI2257" s="81" t="s">
        <v>2171</v>
      </c>
      <c r="AJ2257" s="81"/>
      <c r="AK2257" s="86" t="s">
        <v>2084</v>
      </c>
      <c r="AL2257" s="81" t="b">
        <v>0</v>
      </c>
      <c r="AM2257" s="81">
        <v>4</v>
      </c>
      <c r="AN2257" s="86" t="s">
        <v>7580</v>
      </c>
      <c r="AO2257" s="86" t="s">
        <v>2178</v>
      </c>
      <c r="AP2257" s="81" t="b">
        <v>0</v>
      </c>
      <c r="AQ2257" s="86" t="s">
        <v>7580</v>
      </c>
      <c r="AR2257" s="81" t="s">
        <v>179</v>
      </c>
      <c r="AS2257" s="81">
        <v>0</v>
      </c>
      <c r="AT2257" s="81">
        <v>0</v>
      </c>
      <c r="AU2257" s="81"/>
      <c r="AV2257" s="81"/>
      <c r="AW2257" s="81"/>
      <c r="AX2257" s="81"/>
      <c r="AY2257" s="81"/>
      <c r="AZ2257" s="81"/>
      <c r="BA2257" s="81"/>
      <c r="BB2257" s="81"/>
    </row>
    <row r="2258" spans="1:54" x14ac:dyDescent="0.35">
      <c r="A2258" s="66" t="s">
        <v>4965</v>
      </c>
      <c r="B2258" s="66" t="s">
        <v>5240</v>
      </c>
      <c r="C2258" s="67"/>
      <c r="D2258" s="68"/>
      <c r="E2258" s="69"/>
      <c r="F2258" s="70"/>
      <c r="G2258" s="67"/>
      <c r="H2258" s="71"/>
      <c r="I2258" s="72"/>
      <c r="J2258" s="72"/>
      <c r="K2258" s="36"/>
      <c r="L2258" s="79"/>
      <c r="M2258" s="79"/>
      <c r="N2258" s="74"/>
      <c r="O2258" s="81" t="s">
        <v>694</v>
      </c>
      <c r="P2258" s="83">
        <v>44463.752210648148</v>
      </c>
      <c r="Q2258" s="81" t="s">
        <v>5654</v>
      </c>
      <c r="R2258" s="84" t="str">
        <f>HYPERLINK("https://auditoriacidada.org.br/")</f>
        <v>https://auditoriacidada.org.br/</v>
      </c>
      <c r="S2258" s="81" t="s">
        <v>5696</v>
      </c>
      <c r="T2258" s="81"/>
      <c r="U2258" s="81"/>
      <c r="V2258" s="84" t="str">
        <f>HYPERLINK("https://pbs.twimg.com/profile_images/1103359646331486208/iTL5L1vb_normal.jpg")</f>
        <v>https://pbs.twimg.com/profile_images/1103359646331486208/iTL5L1vb_normal.jpg</v>
      </c>
      <c r="W2258" s="83">
        <v>44463.752210648148</v>
      </c>
      <c r="X2258" s="89">
        <v>44463</v>
      </c>
      <c r="Y2258" s="86" t="s">
        <v>6652</v>
      </c>
      <c r="Z2258" s="84" t="str">
        <f>HYPERLINK("https://twitter.com/catiaamorim5/status/1441463237338357763")</f>
        <v>https://twitter.com/catiaamorim5/status/1441463237338357763</v>
      </c>
      <c r="AA2258" s="81"/>
      <c r="AB2258" s="81"/>
      <c r="AC2258" s="86" t="s">
        <v>7577</v>
      </c>
      <c r="AD2258" s="81"/>
      <c r="AE2258" s="81" t="b">
        <v>0</v>
      </c>
      <c r="AF2258" s="81">
        <v>0</v>
      </c>
      <c r="AG2258" s="86" t="s">
        <v>2084</v>
      </c>
      <c r="AH2258" s="81" t="b">
        <v>0</v>
      </c>
      <c r="AI2258" s="81" t="s">
        <v>2171</v>
      </c>
      <c r="AJ2258" s="81"/>
      <c r="AK2258" s="86" t="s">
        <v>2084</v>
      </c>
      <c r="AL2258" s="81" t="b">
        <v>0</v>
      </c>
      <c r="AM2258" s="81">
        <v>4</v>
      </c>
      <c r="AN2258" s="86" t="s">
        <v>7580</v>
      </c>
      <c r="AO2258" s="86" t="s">
        <v>2178</v>
      </c>
      <c r="AP2258" s="81" t="b">
        <v>0</v>
      </c>
      <c r="AQ2258" s="86" t="s">
        <v>7580</v>
      </c>
      <c r="AR2258" s="81" t="s">
        <v>179</v>
      </c>
      <c r="AS2258" s="81">
        <v>0</v>
      </c>
      <c r="AT2258" s="81">
        <v>0</v>
      </c>
      <c r="AU2258" s="81"/>
      <c r="AV2258" s="81"/>
      <c r="AW2258" s="81"/>
      <c r="AX2258" s="81"/>
      <c r="AY2258" s="81"/>
      <c r="AZ2258" s="81"/>
      <c r="BA2258" s="81"/>
      <c r="BB2258" s="81"/>
    </row>
    <row r="2259" spans="1:54" x14ac:dyDescent="0.35">
      <c r="A2259" s="66" t="s">
        <v>4965</v>
      </c>
      <c r="B2259" s="66" t="s">
        <v>5241</v>
      </c>
      <c r="C2259" s="67"/>
      <c r="D2259" s="68"/>
      <c r="E2259" s="69"/>
      <c r="F2259" s="70"/>
      <c r="G2259" s="67"/>
      <c r="H2259" s="71"/>
      <c r="I2259" s="72"/>
      <c r="J2259" s="72"/>
      <c r="K2259" s="36"/>
      <c r="L2259" s="79"/>
      <c r="M2259" s="79"/>
      <c r="N2259" s="74"/>
      <c r="O2259" s="81" t="s">
        <v>694</v>
      </c>
      <c r="P2259" s="83">
        <v>44463.752210648148</v>
      </c>
      <c r="Q2259" s="81" t="s">
        <v>5654</v>
      </c>
      <c r="R2259" s="84" t="str">
        <f>HYPERLINK("https://auditoriacidada.org.br/")</f>
        <v>https://auditoriacidada.org.br/</v>
      </c>
      <c r="S2259" s="81" t="s">
        <v>5696</v>
      </c>
      <c r="T2259" s="81"/>
      <c r="U2259" s="81"/>
      <c r="V2259" s="84" t="str">
        <f>HYPERLINK("https://pbs.twimg.com/profile_images/1103359646331486208/iTL5L1vb_normal.jpg")</f>
        <v>https://pbs.twimg.com/profile_images/1103359646331486208/iTL5L1vb_normal.jpg</v>
      </c>
      <c r="W2259" s="83">
        <v>44463.752210648148</v>
      </c>
      <c r="X2259" s="89">
        <v>44463</v>
      </c>
      <c r="Y2259" s="86" t="s">
        <v>6652</v>
      </c>
      <c r="Z2259" s="84" t="str">
        <f>HYPERLINK("https://twitter.com/catiaamorim5/status/1441463237338357763")</f>
        <v>https://twitter.com/catiaamorim5/status/1441463237338357763</v>
      </c>
      <c r="AA2259" s="81"/>
      <c r="AB2259" s="81"/>
      <c r="AC2259" s="86" t="s">
        <v>7577</v>
      </c>
      <c r="AD2259" s="81"/>
      <c r="AE2259" s="81" t="b">
        <v>0</v>
      </c>
      <c r="AF2259" s="81">
        <v>0</v>
      </c>
      <c r="AG2259" s="86" t="s">
        <v>2084</v>
      </c>
      <c r="AH2259" s="81" t="b">
        <v>0</v>
      </c>
      <c r="AI2259" s="81" t="s">
        <v>2171</v>
      </c>
      <c r="AJ2259" s="81"/>
      <c r="AK2259" s="86" t="s">
        <v>2084</v>
      </c>
      <c r="AL2259" s="81" t="b">
        <v>0</v>
      </c>
      <c r="AM2259" s="81">
        <v>4</v>
      </c>
      <c r="AN2259" s="86" t="s">
        <v>7580</v>
      </c>
      <c r="AO2259" s="86" t="s">
        <v>2178</v>
      </c>
      <c r="AP2259" s="81" t="b">
        <v>0</v>
      </c>
      <c r="AQ2259" s="86" t="s">
        <v>7580</v>
      </c>
      <c r="AR2259" s="81" t="s">
        <v>179</v>
      </c>
      <c r="AS2259" s="81">
        <v>0</v>
      </c>
      <c r="AT2259" s="81">
        <v>0</v>
      </c>
      <c r="AU2259" s="81"/>
      <c r="AV2259" s="81"/>
      <c r="AW2259" s="81"/>
      <c r="AX2259" s="81"/>
      <c r="AY2259" s="81"/>
      <c r="AZ2259" s="81"/>
      <c r="BA2259" s="81"/>
      <c r="BB2259" s="81"/>
    </row>
    <row r="2260" spans="1:54" x14ac:dyDescent="0.35">
      <c r="A2260" s="66" t="s">
        <v>4965</v>
      </c>
      <c r="B2260" s="66" t="s">
        <v>5242</v>
      </c>
      <c r="C2260" s="67"/>
      <c r="D2260" s="68"/>
      <c r="E2260" s="69"/>
      <c r="F2260" s="70"/>
      <c r="G2260" s="67"/>
      <c r="H2260" s="71"/>
      <c r="I2260" s="72"/>
      <c r="J2260" s="72"/>
      <c r="K2260" s="36"/>
      <c r="L2260" s="79"/>
      <c r="M2260" s="79"/>
      <c r="N2260" s="74"/>
      <c r="O2260" s="81" t="s">
        <v>694</v>
      </c>
      <c r="P2260" s="83">
        <v>44463.752210648148</v>
      </c>
      <c r="Q2260" s="81" t="s">
        <v>5654</v>
      </c>
      <c r="R2260" s="84" t="str">
        <f>HYPERLINK("https://auditoriacidada.org.br/")</f>
        <v>https://auditoriacidada.org.br/</v>
      </c>
      <c r="S2260" s="81" t="s">
        <v>5696</v>
      </c>
      <c r="T2260" s="81"/>
      <c r="U2260" s="81"/>
      <c r="V2260" s="84" t="str">
        <f>HYPERLINK("https://pbs.twimg.com/profile_images/1103359646331486208/iTL5L1vb_normal.jpg")</f>
        <v>https://pbs.twimg.com/profile_images/1103359646331486208/iTL5L1vb_normal.jpg</v>
      </c>
      <c r="W2260" s="83">
        <v>44463.752210648148</v>
      </c>
      <c r="X2260" s="89">
        <v>44463</v>
      </c>
      <c r="Y2260" s="86" t="s">
        <v>6652</v>
      </c>
      <c r="Z2260" s="84" t="str">
        <f>HYPERLINK("https://twitter.com/catiaamorim5/status/1441463237338357763")</f>
        <v>https://twitter.com/catiaamorim5/status/1441463237338357763</v>
      </c>
      <c r="AA2260" s="81"/>
      <c r="AB2260" s="81"/>
      <c r="AC2260" s="86" t="s">
        <v>7577</v>
      </c>
      <c r="AD2260" s="81"/>
      <c r="AE2260" s="81" t="b">
        <v>0</v>
      </c>
      <c r="AF2260" s="81">
        <v>0</v>
      </c>
      <c r="AG2260" s="86" t="s">
        <v>2084</v>
      </c>
      <c r="AH2260" s="81" t="b">
        <v>0</v>
      </c>
      <c r="AI2260" s="81" t="s">
        <v>2171</v>
      </c>
      <c r="AJ2260" s="81"/>
      <c r="AK2260" s="86" t="s">
        <v>2084</v>
      </c>
      <c r="AL2260" s="81" t="b">
        <v>0</v>
      </c>
      <c r="AM2260" s="81">
        <v>4</v>
      </c>
      <c r="AN2260" s="86" t="s">
        <v>7580</v>
      </c>
      <c r="AO2260" s="86" t="s">
        <v>2178</v>
      </c>
      <c r="AP2260" s="81" t="b">
        <v>0</v>
      </c>
      <c r="AQ2260" s="86" t="s">
        <v>7580</v>
      </c>
      <c r="AR2260" s="81" t="s">
        <v>179</v>
      </c>
      <c r="AS2260" s="81">
        <v>0</v>
      </c>
      <c r="AT2260" s="81">
        <v>0</v>
      </c>
      <c r="AU2260" s="81"/>
      <c r="AV2260" s="81"/>
      <c r="AW2260" s="81"/>
      <c r="AX2260" s="81"/>
      <c r="AY2260" s="81"/>
      <c r="AZ2260" s="81"/>
      <c r="BA2260" s="81"/>
      <c r="BB2260" s="81"/>
    </row>
    <row r="2261" spans="1:54" x14ac:dyDescent="0.35">
      <c r="A2261" s="66" t="s">
        <v>4965</v>
      </c>
      <c r="B2261" s="66" t="s">
        <v>5243</v>
      </c>
      <c r="C2261" s="67"/>
      <c r="D2261" s="68"/>
      <c r="E2261" s="69"/>
      <c r="F2261" s="70"/>
      <c r="G2261" s="67"/>
      <c r="H2261" s="71"/>
      <c r="I2261" s="72"/>
      <c r="J2261" s="72"/>
      <c r="K2261" s="36"/>
      <c r="L2261" s="79"/>
      <c r="M2261" s="79"/>
      <c r="N2261" s="74"/>
      <c r="O2261" s="81" t="s">
        <v>694</v>
      </c>
      <c r="P2261" s="83">
        <v>44463.752210648148</v>
      </c>
      <c r="Q2261" s="81" t="s">
        <v>5654</v>
      </c>
      <c r="R2261" s="84" t="str">
        <f>HYPERLINK("https://auditoriacidada.org.br/")</f>
        <v>https://auditoriacidada.org.br/</v>
      </c>
      <c r="S2261" s="81" t="s">
        <v>5696</v>
      </c>
      <c r="T2261" s="81"/>
      <c r="U2261" s="81"/>
      <c r="V2261" s="84" t="str">
        <f>HYPERLINK("https://pbs.twimg.com/profile_images/1103359646331486208/iTL5L1vb_normal.jpg")</f>
        <v>https://pbs.twimg.com/profile_images/1103359646331486208/iTL5L1vb_normal.jpg</v>
      </c>
      <c r="W2261" s="83">
        <v>44463.752210648148</v>
      </c>
      <c r="X2261" s="89">
        <v>44463</v>
      </c>
      <c r="Y2261" s="86" t="s">
        <v>6652</v>
      </c>
      <c r="Z2261" s="84" t="str">
        <f>HYPERLINK("https://twitter.com/catiaamorim5/status/1441463237338357763")</f>
        <v>https://twitter.com/catiaamorim5/status/1441463237338357763</v>
      </c>
      <c r="AA2261" s="81"/>
      <c r="AB2261" s="81"/>
      <c r="AC2261" s="86" t="s">
        <v>7577</v>
      </c>
      <c r="AD2261" s="81"/>
      <c r="AE2261" s="81" t="b">
        <v>0</v>
      </c>
      <c r="AF2261" s="81">
        <v>0</v>
      </c>
      <c r="AG2261" s="86" t="s">
        <v>2084</v>
      </c>
      <c r="AH2261" s="81" t="b">
        <v>0</v>
      </c>
      <c r="AI2261" s="81" t="s">
        <v>2171</v>
      </c>
      <c r="AJ2261" s="81"/>
      <c r="AK2261" s="86" t="s">
        <v>2084</v>
      </c>
      <c r="AL2261" s="81" t="b">
        <v>0</v>
      </c>
      <c r="AM2261" s="81">
        <v>4</v>
      </c>
      <c r="AN2261" s="86" t="s">
        <v>7580</v>
      </c>
      <c r="AO2261" s="86" t="s">
        <v>2178</v>
      </c>
      <c r="AP2261" s="81" t="b">
        <v>0</v>
      </c>
      <c r="AQ2261" s="86" t="s">
        <v>7580</v>
      </c>
      <c r="AR2261" s="81" t="s">
        <v>179</v>
      </c>
      <c r="AS2261" s="81">
        <v>0</v>
      </c>
      <c r="AT2261" s="81">
        <v>0</v>
      </c>
      <c r="AU2261" s="81"/>
      <c r="AV2261" s="81"/>
      <c r="AW2261" s="81"/>
      <c r="AX2261" s="81"/>
      <c r="AY2261" s="81"/>
      <c r="AZ2261" s="81"/>
      <c r="BA2261" s="81"/>
      <c r="BB2261" s="81"/>
    </row>
    <row r="2262" spans="1:54" x14ac:dyDescent="0.35">
      <c r="A2262" s="66" t="s">
        <v>4965</v>
      </c>
      <c r="B2262" s="66" t="s">
        <v>5244</v>
      </c>
      <c r="C2262" s="67"/>
      <c r="D2262" s="68"/>
      <c r="E2262" s="69"/>
      <c r="F2262" s="70"/>
      <c r="G2262" s="67"/>
      <c r="H2262" s="71"/>
      <c r="I2262" s="72"/>
      <c r="J2262" s="72"/>
      <c r="K2262" s="36"/>
      <c r="L2262" s="79"/>
      <c r="M2262" s="79"/>
      <c r="N2262" s="74"/>
      <c r="O2262" s="81" t="s">
        <v>694</v>
      </c>
      <c r="P2262" s="83">
        <v>44463.752210648148</v>
      </c>
      <c r="Q2262" s="81" t="s">
        <v>5654</v>
      </c>
      <c r="R2262" s="84" t="str">
        <f>HYPERLINK("https://auditoriacidada.org.br/")</f>
        <v>https://auditoriacidada.org.br/</v>
      </c>
      <c r="S2262" s="81" t="s">
        <v>5696</v>
      </c>
      <c r="T2262" s="81"/>
      <c r="U2262" s="81"/>
      <c r="V2262" s="84" t="str">
        <f>HYPERLINK("https://pbs.twimg.com/profile_images/1103359646331486208/iTL5L1vb_normal.jpg")</f>
        <v>https://pbs.twimg.com/profile_images/1103359646331486208/iTL5L1vb_normal.jpg</v>
      </c>
      <c r="W2262" s="83">
        <v>44463.752210648148</v>
      </c>
      <c r="X2262" s="89">
        <v>44463</v>
      </c>
      <c r="Y2262" s="86" t="s">
        <v>6652</v>
      </c>
      <c r="Z2262" s="84" t="str">
        <f>HYPERLINK("https://twitter.com/catiaamorim5/status/1441463237338357763")</f>
        <v>https://twitter.com/catiaamorim5/status/1441463237338357763</v>
      </c>
      <c r="AA2262" s="81"/>
      <c r="AB2262" s="81"/>
      <c r="AC2262" s="86" t="s">
        <v>7577</v>
      </c>
      <c r="AD2262" s="81"/>
      <c r="AE2262" s="81" t="b">
        <v>0</v>
      </c>
      <c r="AF2262" s="81">
        <v>0</v>
      </c>
      <c r="AG2262" s="86" t="s">
        <v>2084</v>
      </c>
      <c r="AH2262" s="81" t="b">
        <v>0</v>
      </c>
      <c r="AI2262" s="81" t="s">
        <v>2171</v>
      </c>
      <c r="AJ2262" s="81"/>
      <c r="AK2262" s="86" t="s">
        <v>2084</v>
      </c>
      <c r="AL2262" s="81" t="b">
        <v>0</v>
      </c>
      <c r="AM2262" s="81">
        <v>4</v>
      </c>
      <c r="AN2262" s="86" t="s">
        <v>7580</v>
      </c>
      <c r="AO2262" s="86" t="s">
        <v>2178</v>
      </c>
      <c r="AP2262" s="81" t="b">
        <v>0</v>
      </c>
      <c r="AQ2262" s="86" t="s">
        <v>7580</v>
      </c>
      <c r="AR2262" s="81" t="s">
        <v>179</v>
      </c>
      <c r="AS2262" s="81">
        <v>0</v>
      </c>
      <c r="AT2262" s="81">
        <v>0</v>
      </c>
      <c r="AU2262" s="81"/>
      <c r="AV2262" s="81"/>
      <c r="AW2262" s="81"/>
      <c r="AX2262" s="81"/>
      <c r="AY2262" s="81"/>
      <c r="AZ2262" s="81"/>
      <c r="BA2262" s="81"/>
      <c r="BB2262" s="81"/>
    </row>
    <row r="2263" spans="1:54" x14ac:dyDescent="0.35">
      <c r="A2263" s="66" t="s">
        <v>4965</v>
      </c>
      <c r="B2263" s="66" t="s">
        <v>5245</v>
      </c>
      <c r="C2263" s="67"/>
      <c r="D2263" s="68"/>
      <c r="E2263" s="69"/>
      <c r="F2263" s="70"/>
      <c r="G2263" s="67"/>
      <c r="H2263" s="71"/>
      <c r="I2263" s="72"/>
      <c r="J2263" s="72"/>
      <c r="K2263" s="36"/>
      <c r="L2263" s="79"/>
      <c r="M2263" s="79"/>
      <c r="N2263" s="74"/>
      <c r="O2263" s="81" t="s">
        <v>694</v>
      </c>
      <c r="P2263" s="83">
        <v>44463.752210648148</v>
      </c>
      <c r="Q2263" s="81" t="s">
        <v>5654</v>
      </c>
      <c r="R2263" s="84" t="str">
        <f>HYPERLINK("https://auditoriacidada.org.br/")</f>
        <v>https://auditoriacidada.org.br/</v>
      </c>
      <c r="S2263" s="81" t="s">
        <v>5696</v>
      </c>
      <c r="T2263" s="81"/>
      <c r="U2263" s="81"/>
      <c r="V2263" s="84" t="str">
        <f>HYPERLINK("https://pbs.twimg.com/profile_images/1103359646331486208/iTL5L1vb_normal.jpg")</f>
        <v>https://pbs.twimg.com/profile_images/1103359646331486208/iTL5L1vb_normal.jpg</v>
      </c>
      <c r="W2263" s="83">
        <v>44463.752210648148</v>
      </c>
      <c r="X2263" s="89">
        <v>44463</v>
      </c>
      <c r="Y2263" s="86" t="s">
        <v>6652</v>
      </c>
      <c r="Z2263" s="84" t="str">
        <f>HYPERLINK("https://twitter.com/catiaamorim5/status/1441463237338357763")</f>
        <v>https://twitter.com/catiaamorim5/status/1441463237338357763</v>
      </c>
      <c r="AA2263" s="81"/>
      <c r="AB2263" s="81"/>
      <c r="AC2263" s="86" t="s">
        <v>7577</v>
      </c>
      <c r="AD2263" s="81"/>
      <c r="AE2263" s="81" t="b">
        <v>0</v>
      </c>
      <c r="AF2263" s="81">
        <v>0</v>
      </c>
      <c r="AG2263" s="86" t="s">
        <v>2084</v>
      </c>
      <c r="AH2263" s="81" t="b">
        <v>0</v>
      </c>
      <c r="AI2263" s="81" t="s">
        <v>2171</v>
      </c>
      <c r="AJ2263" s="81"/>
      <c r="AK2263" s="86" t="s">
        <v>2084</v>
      </c>
      <c r="AL2263" s="81" t="b">
        <v>0</v>
      </c>
      <c r="AM2263" s="81">
        <v>4</v>
      </c>
      <c r="AN2263" s="86" t="s">
        <v>7580</v>
      </c>
      <c r="AO2263" s="86" t="s">
        <v>2178</v>
      </c>
      <c r="AP2263" s="81" t="b">
        <v>0</v>
      </c>
      <c r="AQ2263" s="86" t="s">
        <v>7580</v>
      </c>
      <c r="AR2263" s="81" t="s">
        <v>179</v>
      </c>
      <c r="AS2263" s="81">
        <v>0</v>
      </c>
      <c r="AT2263" s="81">
        <v>0</v>
      </c>
      <c r="AU2263" s="81"/>
      <c r="AV2263" s="81"/>
      <c r="AW2263" s="81"/>
      <c r="AX2263" s="81"/>
      <c r="AY2263" s="81"/>
      <c r="AZ2263" s="81"/>
      <c r="BA2263" s="81"/>
      <c r="BB2263" s="81"/>
    </row>
    <row r="2264" spans="1:54" x14ac:dyDescent="0.35">
      <c r="A2264" s="66" t="s">
        <v>4965</v>
      </c>
      <c r="B2264" s="66" t="s">
        <v>5246</v>
      </c>
      <c r="C2264" s="67"/>
      <c r="D2264" s="68"/>
      <c r="E2264" s="69"/>
      <c r="F2264" s="70"/>
      <c r="G2264" s="67"/>
      <c r="H2264" s="71"/>
      <c r="I2264" s="72"/>
      <c r="J2264" s="72"/>
      <c r="K2264" s="36"/>
      <c r="L2264" s="79"/>
      <c r="M2264" s="79"/>
      <c r="N2264" s="74"/>
      <c r="O2264" s="81" t="s">
        <v>694</v>
      </c>
      <c r="P2264" s="83">
        <v>44463.752210648148</v>
      </c>
      <c r="Q2264" s="81" t="s">
        <v>5654</v>
      </c>
      <c r="R2264" s="84" t="str">
        <f>HYPERLINK("https://auditoriacidada.org.br/")</f>
        <v>https://auditoriacidada.org.br/</v>
      </c>
      <c r="S2264" s="81" t="s">
        <v>5696</v>
      </c>
      <c r="T2264" s="81"/>
      <c r="U2264" s="81"/>
      <c r="V2264" s="84" t="str">
        <f>HYPERLINK("https://pbs.twimg.com/profile_images/1103359646331486208/iTL5L1vb_normal.jpg")</f>
        <v>https://pbs.twimg.com/profile_images/1103359646331486208/iTL5L1vb_normal.jpg</v>
      </c>
      <c r="W2264" s="83">
        <v>44463.752210648148</v>
      </c>
      <c r="X2264" s="89">
        <v>44463</v>
      </c>
      <c r="Y2264" s="86" t="s">
        <v>6652</v>
      </c>
      <c r="Z2264" s="84" t="str">
        <f>HYPERLINK("https://twitter.com/catiaamorim5/status/1441463237338357763")</f>
        <v>https://twitter.com/catiaamorim5/status/1441463237338357763</v>
      </c>
      <c r="AA2264" s="81"/>
      <c r="AB2264" s="81"/>
      <c r="AC2264" s="86" t="s">
        <v>7577</v>
      </c>
      <c r="AD2264" s="81"/>
      <c r="AE2264" s="81" t="b">
        <v>0</v>
      </c>
      <c r="AF2264" s="81">
        <v>0</v>
      </c>
      <c r="AG2264" s="86" t="s">
        <v>2084</v>
      </c>
      <c r="AH2264" s="81" t="b">
        <v>0</v>
      </c>
      <c r="AI2264" s="81" t="s">
        <v>2171</v>
      </c>
      <c r="AJ2264" s="81"/>
      <c r="AK2264" s="86" t="s">
        <v>2084</v>
      </c>
      <c r="AL2264" s="81" t="b">
        <v>0</v>
      </c>
      <c r="AM2264" s="81">
        <v>4</v>
      </c>
      <c r="AN2264" s="86" t="s">
        <v>7580</v>
      </c>
      <c r="AO2264" s="86" t="s">
        <v>2178</v>
      </c>
      <c r="AP2264" s="81" t="b">
        <v>0</v>
      </c>
      <c r="AQ2264" s="86" t="s">
        <v>7580</v>
      </c>
      <c r="AR2264" s="81" t="s">
        <v>179</v>
      </c>
      <c r="AS2264" s="81">
        <v>0</v>
      </c>
      <c r="AT2264" s="81">
        <v>0</v>
      </c>
      <c r="AU2264" s="81"/>
      <c r="AV2264" s="81"/>
      <c r="AW2264" s="81"/>
      <c r="AX2264" s="81"/>
      <c r="AY2264" s="81"/>
      <c r="AZ2264" s="81"/>
      <c r="BA2264" s="81"/>
      <c r="BB2264" s="81"/>
    </row>
    <row r="2265" spans="1:54" x14ac:dyDescent="0.35">
      <c r="A2265" s="66" t="s">
        <v>4965</v>
      </c>
      <c r="B2265" s="66" t="s">
        <v>5247</v>
      </c>
      <c r="C2265" s="67"/>
      <c r="D2265" s="68"/>
      <c r="E2265" s="69"/>
      <c r="F2265" s="70"/>
      <c r="G2265" s="67"/>
      <c r="H2265" s="71"/>
      <c r="I2265" s="72"/>
      <c r="J2265" s="72"/>
      <c r="K2265" s="36"/>
      <c r="L2265" s="79"/>
      <c r="M2265" s="79"/>
      <c r="N2265" s="74"/>
      <c r="O2265" s="81" t="s">
        <v>694</v>
      </c>
      <c r="P2265" s="83">
        <v>44463.752210648148</v>
      </c>
      <c r="Q2265" s="81" t="s">
        <v>5654</v>
      </c>
      <c r="R2265" s="84" t="str">
        <f>HYPERLINK("https://auditoriacidada.org.br/")</f>
        <v>https://auditoriacidada.org.br/</v>
      </c>
      <c r="S2265" s="81" t="s">
        <v>5696</v>
      </c>
      <c r="T2265" s="81"/>
      <c r="U2265" s="81"/>
      <c r="V2265" s="84" t="str">
        <f>HYPERLINK("https://pbs.twimg.com/profile_images/1103359646331486208/iTL5L1vb_normal.jpg")</f>
        <v>https://pbs.twimg.com/profile_images/1103359646331486208/iTL5L1vb_normal.jpg</v>
      </c>
      <c r="W2265" s="83">
        <v>44463.752210648148</v>
      </c>
      <c r="X2265" s="89">
        <v>44463</v>
      </c>
      <c r="Y2265" s="86" t="s">
        <v>6652</v>
      </c>
      <c r="Z2265" s="84" t="str">
        <f>HYPERLINK("https://twitter.com/catiaamorim5/status/1441463237338357763")</f>
        <v>https://twitter.com/catiaamorim5/status/1441463237338357763</v>
      </c>
      <c r="AA2265" s="81"/>
      <c r="AB2265" s="81"/>
      <c r="AC2265" s="86" t="s">
        <v>7577</v>
      </c>
      <c r="AD2265" s="81"/>
      <c r="AE2265" s="81" t="b">
        <v>0</v>
      </c>
      <c r="AF2265" s="81">
        <v>0</v>
      </c>
      <c r="AG2265" s="86" t="s">
        <v>2084</v>
      </c>
      <c r="AH2265" s="81" t="b">
        <v>0</v>
      </c>
      <c r="AI2265" s="81" t="s">
        <v>2171</v>
      </c>
      <c r="AJ2265" s="81"/>
      <c r="AK2265" s="86" t="s">
        <v>2084</v>
      </c>
      <c r="AL2265" s="81" t="b">
        <v>0</v>
      </c>
      <c r="AM2265" s="81">
        <v>4</v>
      </c>
      <c r="AN2265" s="86" t="s">
        <v>7580</v>
      </c>
      <c r="AO2265" s="86" t="s">
        <v>2178</v>
      </c>
      <c r="AP2265" s="81" t="b">
        <v>0</v>
      </c>
      <c r="AQ2265" s="86" t="s">
        <v>7580</v>
      </c>
      <c r="AR2265" s="81" t="s">
        <v>179</v>
      </c>
      <c r="AS2265" s="81">
        <v>0</v>
      </c>
      <c r="AT2265" s="81">
        <v>0</v>
      </c>
      <c r="AU2265" s="81"/>
      <c r="AV2265" s="81"/>
      <c r="AW2265" s="81"/>
      <c r="AX2265" s="81"/>
      <c r="AY2265" s="81"/>
      <c r="AZ2265" s="81"/>
      <c r="BA2265" s="81"/>
      <c r="BB2265" s="81"/>
    </row>
    <row r="2266" spans="1:54" x14ac:dyDescent="0.35">
      <c r="A2266" s="66" t="s">
        <v>4965</v>
      </c>
      <c r="B2266" s="66" t="s">
        <v>5248</v>
      </c>
      <c r="C2266" s="67"/>
      <c r="D2266" s="68"/>
      <c r="E2266" s="69"/>
      <c r="F2266" s="70"/>
      <c r="G2266" s="67"/>
      <c r="H2266" s="71"/>
      <c r="I2266" s="72"/>
      <c r="J2266" s="72"/>
      <c r="K2266" s="36"/>
      <c r="L2266" s="79"/>
      <c r="M2266" s="79"/>
      <c r="N2266" s="74"/>
      <c r="O2266" s="81" t="s">
        <v>694</v>
      </c>
      <c r="P2266" s="83">
        <v>44463.752210648148</v>
      </c>
      <c r="Q2266" s="81" t="s">
        <v>5654</v>
      </c>
      <c r="R2266" s="84" t="str">
        <f>HYPERLINK("https://auditoriacidada.org.br/")</f>
        <v>https://auditoriacidada.org.br/</v>
      </c>
      <c r="S2266" s="81" t="s">
        <v>5696</v>
      </c>
      <c r="T2266" s="81"/>
      <c r="U2266" s="81"/>
      <c r="V2266" s="84" t="str">
        <f>HYPERLINK("https://pbs.twimg.com/profile_images/1103359646331486208/iTL5L1vb_normal.jpg")</f>
        <v>https://pbs.twimg.com/profile_images/1103359646331486208/iTL5L1vb_normal.jpg</v>
      </c>
      <c r="W2266" s="83">
        <v>44463.752210648148</v>
      </c>
      <c r="X2266" s="89">
        <v>44463</v>
      </c>
      <c r="Y2266" s="86" t="s">
        <v>6652</v>
      </c>
      <c r="Z2266" s="84" t="str">
        <f>HYPERLINK("https://twitter.com/catiaamorim5/status/1441463237338357763")</f>
        <v>https://twitter.com/catiaamorim5/status/1441463237338357763</v>
      </c>
      <c r="AA2266" s="81"/>
      <c r="AB2266" s="81"/>
      <c r="AC2266" s="86" t="s">
        <v>7577</v>
      </c>
      <c r="AD2266" s="81"/>
      <c r="AE2266" s="81" t="b">
        <v>0</v>
      </c>
      <c r="AF2266" s="81">
        <v>0</v>
      </c>
      <c r="AG2266" s="86" t="s">
        <v>2084</v>
      </c>
      <c r="AH2266" s="81" t="b">
        <v>0</v>
      </c>
      <c r="AI2266" s="81" t="s">
        <v>2171</v>
      </c>
      <c r="AJ2266" s="81"/>
      <c r="AK2266" s="86" t="s">
        <v>2084</v>
      </c>
      <c r="AL2266" s="81" t="b">
        <v>0</v>
      </c>
      <c r="AM2266" s="81">
        <v>4</v>
      </c>
      <c r="AN2266" s="86" t="s">
        <v>7580</v>
      </c>
      <c r="AO2266" s="86" t="s">
        <v>2178</v>
      </c>
      <c r="AP2266" s="81" t="b">
        <v>0</v>
      </c>
      <c r="AQ2266" s="86" t="s">
        <v>7580</v>
      </c>
      <c r="AR2266" s="81" t="s">
        <v>179</v>
      </c>
      <c r="AS2266" s="81">
        <v>0</v>
      </c>
      <c r="AT2266" s="81">
        <v>0</v>
      </c>
      <c r="AU2266" s="81"/>
      <c r="AV2266" s="81"/>
      <c r="AW2266" s="81"/>
      <c r="AX2266" s="81"/>
      <c r="AY2266" s="81"/>
      <c r="AZ2266" s="81"/>
      <c r="BA2266" s="81"/>
      <c r="BB2266" s="81"/>
    </row>
    <row r="2267" spans="1:54" x14ac:dyDescent="0.35">
      <c r="A2267" s="66" t="s">
        <v>4965</v>
      </c>
      <c r="B2267" s="66" t="s">
        <v>5249</v>
      </c>
      <c r="C2267" s="67"/>
      <c r="D2267" s="68"/>
      <c r="E2267" s="69"/>
      <c r="F2267" s="70"/>
      <c r="G2267" s="67"/>
      <c r="H2267" s="71"/>
      <c r="I2267" s="72"/>
      <c r="J2267" s="72"/>
      <c r="K2267" s="36"/>
      <c r="L2267" s="79"/>
      <c r="M2267" s="79"/>
      <c r="N2267" s="74"/>
      <c r="O2267" s="81" t="s">
        <v>694</v>
      </c>
      <c r="P2267" s="83">
        <v>44463.752210648148</v>
      </c>
      <c r="Q2267" s="81" t="s">
        <v>5654</v>
      </c>
      <c r="R2267" s="84" t="str">
        <f>HYPERLINK("https://auditoriacidada.org.br/")</f>
        <v>https://auditoriacidada.org.br/</v>
      </c>
      <c r="S2267" s="81" t="s">
        <v>5696</v>
      </c>
      <c r="T2267" s="81"/>
      <c r="U2267" s="81"/>
      <c r="V2267" s="84" t="str">
        <f>HYPERLINK("https://pbs.twimg.com/profile_images/1103359646331486208/iTL5L1vb_normal.jpg")</f>
        <v>https://pbs.twimg.com/profile_images/1103359646331486208/iTL5L1vb_normal.jpg</v>
      </c>
      <c r="W2267" s="83">
        <v>44463.752210648148</v>
      </c>
      <c r="X2267" s="89">
        <v>44463</v>
      </c>
      <c r="Y2267" s="86" t="s">
        <v>6652</v>
      </c>
      <c r="Z2267" s="84" t="str">
        <f>HYPERLINK("https://twitter.com/catiaamorim5/status/1441463237338357763")</f>
        <v>https://twitter.com/catiaamorim5/status/1441463237338357763</v>
      </c>
      <c r="AA2267" s="81"/>
      <c r="AB2267" s="81"/>
      <c r="AC2267" s="86" t="s">
        <v>7577</v>
      </c>
      <c r="AD2267" s="81"/>
      <c r="AE2267" s="81" t="b">
        <v>0</v>
      </c>
      <c r="AF2267" s="81">
        <v>0</v>
      </c>
      <c r="AG2267" s="86" t="s">
        <v>2084</v>
      </c>
      <c r="AH2267" s="81" t="b">
        <v>0</v>
      </c>
      <c r="AI2267" s="81" t="s">
        <v>2171</v>
      </c>
      <c r="AJ2267" s="81"/>
      <c r="AK2267" s="86" t="s">
        <v>2084</v>
      </c>
      <c r="AL2267" s="81" t="b">
        <v>0</v>
      </c>
      <c r="AM2267" s="81">
        <v>4</v>
      </c>
      <c r="AN2267" s="86" t="s">
        <v>7580</v>
      </c>
      <c r="AO2267" s="86" t="s">
        <v>2178</v>
      </c>
      <c r="AP2267" s="81" t="b">
        <v>0</v>
      </c>
      <c r="AQ2267" s="86" t="s">
        <v>7580</v>
      </c>
      <c r="AR2267" s="81" t="s">
        <v>179</v>
      </c>
      <c r="AS2267" s="81">
        <v>0</v>
      </c>
      <c r="AT2267" s="81">
        <v>0</v>
      </c>
      <c r="AU2267" s="81"/>
      <c r="AV2267" s="81"/>
      <c r="AW2267" s="81"/>
      <c r="AX2267" s="81"/>
      <c r="AY2267" s="81"/>
      <c r="AZ2267" s="81"/>
      <c r="BA2267" s="81"/>
      <c r="BB2267" s="81"/>
    </row>
    <row r="2268" spans="1:54" x14ac:dyDescent="0.35">
      <c r="A2268" s="66" t="s">
        <v>4965</v>
      </c>
      <c r="B2268" s="66" t="s">
        <v>5250</v>
      </c>
      <c r="C2268" s="67"/>
      <c r="D2268" s="68"/>
      <c r="E2268" s="69"/>
      <c r="F2268" s="70"/>
      <c r="G2268" s="67"/>
      <c r="H2268" s="71"/>
      <c r="I2268" s="72"/>
      <c r="J2268" s="72"/>
      <c r="K2268" s="36"/>
      <c r="L2268" s="79"/>
      <c r="M2268" s="79"/>
      <c r="N2268" s="74"/>
      <c r="O2268" s="81" t="s">
        <v>694</v>
      </c>
      <c r="P2268" s="83">
        <v>44463.752210648148</v>
      </c>
      <c r="Q2268" s="81" t="s">
        <v>5654</v>
      </c>
      <c r="R2268" s="84" t="str">
        <f>HYPERLINK("https://auditoriacidada.org.br/")</f>
        <v>https://auditoriacidada.org.br/</v>
      </c>
      <c r="S2268" s="81" t="s">
        <v>5696</v>
      </c>
      <c r="T2268" s="81"/>
      <c r="U2268" s="81"/>
      <c r="V2268" s="84" t="str">
        <f>HYPERLINK("https://pbs.twimg.com/profile_images/1103359646331486208/iTL5L1vb_normal.jpg")</f>
        <v>https://pbs.twimg.com/profile_images/1103359646331486208/iTL5L1vb_normal.jpg</v>
      </c>
      <c r="W2268" s="83">
        <v>44463.752210648148</v>
      </c>
      <c r="X2268" s="89">
        <v>44463</v>
      </c>
      <c r="Y2268" s="86" t="s">
        <v>6652</v>
      </c>
      <c r="Z2268" s="84" t="str">
        <f>HYPERLINK("https://twitter.com/catiaamorim5/status/1441463237338357763")</f>
        <v>https://twitter.com/catiaamorim5/status/1441463237338357763</v>
      </c>
      <c r="AA2268" s="81"/>
      <c r="AB2268" s="81"/>
      <c r="AC2268" s="86" t="s">
        <v>7577</v>
      </c>
      <c r="AD2268" s="81"/>
      <c r="AE2268" s="81" t="b">
        <v>0</v>
      </c>
      <c r="AF2268" s="81">
        <v>0</v>
      </c>
      <c r="AG2268" s="86" t="s">
        <v>2084</v>
      </c>
      <c r="AH2268" s="81" t="b">
        <v>0</v>
      </c>
      <c r="AI2268" s="81" t="s">
        <v>2171</v>
      </c>
      <c r="AJ2268" s="81"/>
      <c r="AK2268" s="86" t="s">
        <v>2084</v>
      </c>
      <c r="AL2268" s="81" t="b">
        <v>0</v>
      </c>
      <c r="AM2268" s="81">
        <v>4</v>
      </c>
      <c r="AN2268" s="86" t="s">
        <v>7580</v>
      </c>
      <c r="AO2268" s="86" t="s">
        <v>2178</v>
      </c>
      <c r="AP2268" s="81" t="b">
        <v>0</v>
      </c>
      <c r="AQ2268" s="86" t="s">
        <v>7580</v>
      </c>
      <c r="AR2268" s="81" t="s">
        <v>179</v>
      </c>
      <c r="AS2268" s="81">
        <v>0</v>
      </c>
      <c r="AT2268" s="81">
        <v>0</v>
      </c>
      <c r="AU2268" s="81"/>
      <c r="AV2268" s="81"/>
      <c r="AW2268" s="81"/>
      <c r="AX2268" s="81"/>
      <c r="AY2268" s="81"/>
      <c r="AZ2268" s="81"/>
      <c r="BA2268" s="81"/>
      <c r="BB2268" s="81"/>
    </row>
    <row r="2269" spans="1:54" x14ac:dyDescent="0.35">
      <c r="A2269" s="66" t="s">
        <v>4965</v>
      </c>
      <c r="B2269" s="66" t="s">
        <v>5251</v>
      </c>
      <c r="C2269" s="67"/>
      <c r="D2269" s="68"/>
      <c r="E2269" s="69"/>
      <c r="F2269" s="70"/>
      <c r="G2269" s="67"/>
      <c r="H2269" s="71"/>
      <c r="I2269" s="72"/>
      <c r="J2269" s="72"/>
      <c r="K2269" s="36"/>
      <c r="L2269" s="79"/>
      <c r="M2269" s="79"/>
      <c r="N2269" s="74"/>
      <c r="O2269" s="81" t="s">
        <v>694</v>
      </c>
      <c r="P2269" s="83">
        <v>44463.752210648148</v>
      </c>
      <c r="Q2269" s="81" t="s">
        <v>5654</v>
      </c>
      <c r="R2269" s="84" t="str">
        <f>HYPERLINK("https://auditoriacidada.org.br/")</f>
        <v>https://auditoriacidada.org.br/</v>
      </c>
      <c r="S2269" s="81" t="s">
        <v>5696</v>
      </c>
      <c r="T2269" s="81"/>
      <c r="U2269" s="81"/>
      <c r="V2269" s="84" t="str">
        <f>HYPERLINK("https://pbs.twimg.com/profile_images/1103359646331486208/iTL5L1vb_normal.jpg")</f>
        <v>https://pbs.twimg.com/profile_images/1103359646331486208/iTL5L1vb_normal.jpg</v>
      </c>
      <c r="W2269" s="83">
        <v>44463.752210648148</v>
      </c>
      <c r="X2269" s="89">
        <v>44463</v>
      </c>
      <c r="Y2269" s="86" t="s">
        <v>6652</v>
      </c>
      <c r="Z2269" s="84" t="str">
        <f>HYPERLINK("https://twitter.com/catiaamorim5/status/1441463237338357763")</f>
        <v>https://twitter.com/catiaamorim5/status/1441463237338357763</v>
      </c>
      <c r="AA2269" s="81"/>
      <c r="AB2269" s="81"/>
      <c r="AC2269" s="86" t="s">
        <v>7577</v>
      </c>
      <c r="AD2269" s="81"/>
      <c r="AE2269" s="81" t="b">
        <v>0</v>
      </c>
      <c r="AF2269" s="81">
        <v>0</v>
      </c>
      <c r="AG2269" s="86" t="s">
        <v>2084</v>
      </c>
      <c r="AH2269" s="81" t="b">
        <v>0</v>
      </c>
      <c r="AI2269" s="81" t="s">
        <v>2171</v>
      </c>
      <c r="AJ2269" s="81"/>
      <c r="AK2269" s="86" t="s">
        <v>2084</v>
      </c>
      <c r="AL2269" s="81" t="b">
        <v>0</v>
      </c>
      <c r="AM2269" s="81">
        <v>4</v>
      </c>
      <c r="AN2269" s="86" t="s">
        <v>7580</v>
      </c>
      <c r="AO2269" s="86" t="s">
        <v>2178</v>
      </c>
      <c r="AP2269" s="81" t="b">
        <v>0</v>
      </c>
      <c r="AQ2269" s="86" t="s">
        <v>7580</v>
      </c>
      <c r="AR2269" s="81" t="s">
        <v>179</v>
      </c>
      <c r="AS2269" s="81">
        <v>0</v>
      </c>
      <c r="AT2269" s="81">
        <v>0</v>
      </c>
      <c r="AU2269" s="81"/>
      <c r="AV2269" s="81"/>
      <c r="AW2269" s="81"/>
      <c r="AX2269" s="81"/>
      <c r="AY2269" s="81"/>
      <c r="AZ2269" s="81"/>
      <c r="BA2269" s="81"/>
      <c r="BB2269" s="81"/>
    </row>
    <row r="2270" spans="1:54" x14ac:dyDescent="0.35">
      <c r="A2270" s="66" t="s">
        <v>4965</v>
      </c>
      <c r="B2270" s="66" t="s">
        <v>5252</v>
      </c>
      <c r="C2270" s="67"/>
      <c r="D2270" s="68"/>
      <c r="E2270" s="69"/>
      <c r="F2270" s="70"/>
      <c r="G2270" s="67"/>
      <c r="H2270" s="71"/>
      <c r="I2270" s="72"/>
      <c r="J2270" s="72"/>
      <c r="K2270" s="36"/>
      <c r="L2270" s="79"/>
      <c r="M2270" s="79"/>
      <c r="N2270" s="74"/>
      <c r="O2270" s="81" t="s">
        <v>694</v>
      </c>
      <c r="P2270" s="83">
        <v>44463.752210648148</v>
      </c>
      <c r="Q2270" s="81" t="s">
        <v>5654</v>
      </c>
      <c r="R2270" s="84" t="str">
        <f>HYPERLINK("https://auditoriacidada.org.br/")</f>
        <v>https://auditoriacidada.org.br/</v>
      </c>
      <c r="S2270" s="81" t="s">
        <v>5696</v>
      </c>
      <c r="T2270" s="81"/>
      <c r="U2270" s="81"/>
      <c r="V2270" s="84" t="str">
        <f>HYPERLINK("https://pbs.twimg.com/profile_images/1103359646331486208/iTL5L1vb_normal.jpg")</f>
        <v>https://pbs.twimg.com/profile_images/1103359646331486208/iTL5L1vb_normal.jpg</v>
      </c>
      <c r="W2270" s="83">
        <v>44463.752210648148</v>
      </c>
      <c r="X2270" s="89">
        <v>44463</v>
      </c>
      <c r="Y2270" s="86" t="s">
        <v>6652</v>
      </c>
      <c r="Z2270" s="84" t="str">
        <f>HYPERLINK("https://twitter.com/catiaamorim5/status/1441463237338357763")</f>
        <v>https://twitter.com/catiaamorim5/status/1441463237338357763</v>
      </c>
      <c r="AA2270" s="81"/>
      <c r="AB2270" s="81"/>
      <c r="AC2270" s="86" t="s">
        <v>7577</v>
      </c>
      <c r="AD2270" s="81"/>
      <c r="AE2270" s="81" t="b">
        <v>0</v>
      </c>
      <c r="AF2270" s="81">
        <v>0</v>
      </c>
      <c r="AG2270" s="86" t="s">
        <v>2084</v>
      </c>
      <c r="AH2270" s="81" t="b">
        <v>0</v>
      </c>
      <c r="AI2270" s="81" t="s">
        <v>2171</v>
      </c>
      <c r="AJ2270" s="81"/>
      <c r="AK2270" s="86" t="s">
        <v>2084</v>
      </c>
      <c r="AL2270" s="81" t="b">
        <v>0</v>
      </c>
      <c r="AM2270" s="81">
        <v>4</v>
      </c>
      <c r="AN2270" s="86" t="s">
        <v>7580</v>
      </c>
      <c r="AO2270" s="86" t="s">
        <v>2178</v>
      </c>
      <c r="AP2270" s="81" t="b">
        <v>0</v>
      </c>
      <c r="AQ2270" s="86" t="s">
        <v>7580</v>
      </c>
      <c r="AR2270" s="81" t="s">
        <v>179</v>
      </c>
      <c r="AS2270" s="81">
        <v>0</v>
      </c>
      <c r="AT2270" s="81">
        <v>0</v>
      </c>
      <c r="AU2270" s="81"/>
      <c r="AV2270" s="81"/>
      <c r="AW2270" s="81"/>
      <c r="AX2270" s="81"/>
      <c r="AY2270" s="81"/>
      <c r="AZ2270" s="81"/>
      <c r="BA2270" s="81"/>
      <c r="BB2270" s="81"/>
    </row>
    <row r="2271" spans="1:54" x14ac:dyDescent="0.35">
      <c r="A2271" s="66" t="s">
        <v>4965</v>
      </c>
      <c r="B2271" s="66" t="s">
        <v>5253</v>
      </c>
      <c r="C2271" s="67"/>
      <c r="D2271" s="68"/>
      <c r="E2271" s="69"/>
      <c r="F2271" s="70"/>
      <c r="G2271" s="67"/>
      <c r="H2271" s="71"/>
      <c r="I2271" s="72"/>
      <c r="J2271" s="72"/>
      <c r="K2271" s="36"/>
      <c r="L2271" s="79"/>
      <c r="M2271" s="79"/>
      <c r="N2271" s="74"/>
      <c r="O2271" s="81" t="s">
        <v>694</v>
      </c>
      <c r="P2271" s="83">
        <v>44463.752210648148</v>
      </c>
      <c r="Q2271" s="81" t="s">
        <v>5654</v>
      </c>
      <c r="R2271" s="84" t="str">
        <f>HYPERLINK("https://auditoriacidada.org.br/")</f>
        <v>https://auditoriacidada.org.br/</v>
      </c>
      <c r="S2271" s="81" t="s">
        <v>5696</v>
      </c>
      <c r="T2271" s="81"/>
      <c r="U2271" s="81"/>
      <c r="V2271" s="84" t="str">
        <f>HYPERLINK("https://pbs.twimg.com/profile_images/1103359646331486208/iTL5L1vb_normal.jpg")</f>
        <v>https://pbs.twimg.com/profile_images/1103359646331486208/iTL5L1vb_normal.jpg</v>
      </c>
      <c r="W2271" s="83">
        <v>44463.752210648148</v>
      </c>
      <c r="X2271" s="89">
        <v>44463</v>
      </c>
      <c r="Y2271" s="86" t="s">
        <v>6652</v>
      </c>
      <c r="Z2271" s="84" t="str">
        <f>HYPERLINK("https://twitter.com/catiaamorim5/status/1441463237338357763")</f>
        <v>https://twitter.com/catiaamorim5/status/1441463237338357763</v>
      </c>
      <c r="AA2271" s="81"/>
      <c r="AB2271" s="81"/>
      <c r="AC2271" s="86" t="s">
        <v>7577</v>
      </c>
      <c r="AD2271" s="81"/>
      <c r="AE2271" s="81" t="b">
        <v>0</v>
      </c>
      <c r="AF2271" s="81">
        <v>0</v>
      </c>
      <c r="AG2271" s="86" t="s">
        <v>2084</v>
      </c>
      <c r="AH2271" s="81" t="b">
        <v>0</v>
      </c>
      <c r="AI2271" s="81" t="s">
        <v>2171</v>
      </c>
      <c r="AJ2271" s="81"/>
      <c r="AK2271" s="86" t="s">
        <v>2084</v>
      </c>
      <c r="AL2271" s="81" t="b">
        <v>0</v>
      </c>
      <c r="AM2271" s="81">
        <v>4</v>
      </c>
      <c r="AN2271" s="86" t="s">
        <v>7580</v>
      </c>
      <c r="AO2271" s="86" t="s">
        <v>2178</v>
      </c>
      <c r="AP2271" s="81" t="b">
        <v>0</v>
      </c>
      <c r="AQ2271" s="86" t="s">
        <v>7580</v>
      </c>
      <c r="AR2271" s="81" t="s">
        <v>179</v>
      </c>
      <c r="AS2271" s="81">
        <v>0</v>
      </c>
      <c r="AT2271" s="81">
        <v>0</v>
      </c>
      <c r="AU2271" s="81"/>
      <c r="AV2271" s="81"/>
      <c r="AW2271" s="81"/>
      <c r="AX2271" s="81"/>
      <c r="AY2271" s="81"/>
      <c r="AZ2271" s="81"/>
      <c r="BA2271" s="81"/>
      <c r="BB2271" s="81"/>
    </row>
    <row r="2272" spans="1:54" x14ac:dyDescent="0.35">
      <c r="A2272" s="66" t="s">
        <v>4965</v>
      </c>
      <c r="B2272" s="66" t="s">
        <v>5254</v>
      </c>
      <c r="C2272" s="67"/>
      <c r="D2272" s="68"/>
      <c r="E2272" s="69"/>
      <c r="F2272" s="70"/>
      <c r="G2272" s="67"/>
      <c r="H2272" s="71"/>
      <c r="I2272" s="72"/>
      <c r="J2272" s="72"/>
      <c r="K2272" s="36"/>
      <c r="L2272" s="79"/>
      <c r="M2272" s="79"/>
      <c r="N2272" s="74"/>
      <c r="O2272" s="81" t="s">
        <v>694</v>
      </c>
      <c r="P2272" s="83">
        <v>44463.752210648148</v>
      </c>
      <c r="Q2272" s="81" t="s">
        <v>5654</v>
      </c>
      <c r="R2272" s="84" t="str">
        <f>HYPERLINK("https://auditoriacidada.org.br/")</f>
        <v>https://auditoriacidada.org.br/</v>
      </c>
      <c r="S2272" s="81" t="s">
        <v>5696</v>
      </c>
      <c r="T2272" s="81"/>
      <c r="U2272" s="81"/>
      <c r="V2272" s="84" t="str">
        <f>HYPERLINK("https://pbs.twimg.com/profile_images/1103359646331486208/iTL5L1vb_normal.jpg")</f>
        <v>https://pbs.twimg.com/profile_images/1103359646331486208/iTL5L1vb_normal.jpg</v>
      </c>
      <c r="W2272" s="83">
        <v>44463.752210648148</v>
      </c>
      <c r="X2272" s="89">
        <v>44463</v>
      </c>
      <c r="Y2272" s="86" t="s">
        <v>6652</v>
      </c>
      <c r="Z2272" s="84" t="str">
        <f>HYPERLINK("https://twitter.com/catiaamorim5/status/1441463237338357763")</f>
        <v>https://twitter.com/catiaamorim5/status/1441463237338357763</v>
      </c>
      <c r="AA2272" s="81"/>
      <c r="AB2272" s="81"/>
      <c r="AC2272" s="86" t="s">
        <v>7577</v>
      </c>
      <c r="AD2272" s="81"/>
      <c r="AE2272" s="81" t="b">
        <v>0</v>
      </c>
      <c r="AF2272" s="81">
        <v>0</v>
      </c>
      <c r="AG2272" s="86" t="s">
        <v>2084</v>
      </c>
      <c r="AH2272" s="81" t="b">
        <v>0</v>
      </c>
      <c r="AI2272" s="81" t="s">
        <v>2171</v>
      </c>
      <c r="AJ2272" s="81"/>
      <c r="AK2272" s="86" t="s">
        <v>2084</v>
      </c>
      <c r="AL2272" s="81" t="b">
        <v>0</v>
      </c>
      <c r="AM2272" s="81">
        <v>4</v>
      </c>
      <c r="AN2272" s="86" t="s">
        <v>7580</v>
      </c>
      <c r="AO2272" s="86" t="s">
        <v>2178</v>
      </c>
      <c r="AP2272" s="81" t="b">
        <v>0</v>
      </c>
      <c r="AQ2272" s="86" t="s">
        <v>7580</v>
      </c>
      <c r="AR2272" s="81" t="s">
        <v>179</v>
      </c>
      <c r="AS2272" s="81">
        <v>0</v>
      </c>
      <c r="AT2272" s="81">
        <v>0</v>
      </c>
      <c r="AU2272" s="81"/>
      <c r="AV2272" s="81"/>
      <c r="AW2272" s="81"/>
      <c r="AX2272" s="81"/>
      <c r="AY2272" s="81"/>
      <c r="AZ2272" s="81"/>
      <c r="BA2272" s="81"/>
      <c r="BB2272" s="81"/>
    </row>
    <row r="2273" spans="1:54" x14ac:dyDescent="0.35">
      <c r="A2273" s="66" t="s">
        <v>4965</v>
      </c>
      <c r="B2273" s="66" t="s">
        <v>5255</v>
      </c>
      <c r="C2273" s="67"/>
      <c r="D2273" s="68"/>
      <c r="E2273" s="69"/>
      <c r="F2273" s="70"/>
      <c r="G2273" s="67"/>
      <c r="H2273" s="71"/>
      <c r="I2273" s="72"/>
      <c r="J2273" s="72"/>
      <c r="K2273" s="36"/>
      <c r="L2273" s="79"/>
      <c r="M2273" s="79"/>
      <c r="N2273" s="74"/>
      <c r="O2273" s="81" t="s">
        <v>694</v>
      </c>
      <c r="P2273" s="83">
        <v>44463.752210648148</v>
      </c>
      <c r="Q2273" s="81" t="s">
        <v>5654</v>
      </c>
      <c r="R2273" s="84" t="str">
        <f>HYPERLINK("https://auditoriacidada.org.br/")</f>
        <v>https://auditoriacidada.org.br/</v>
      </c>
      <c r="S2273" s="81" t="s">
        <v>5696</v>
      </c>
      <c r="T2273" s="81"/>
      <c r="U2273" s="81"/>
      <c r="V2273" s="84" t="str">
        <f>HYPERLINK("https://pbs.twimg.com/profile_images/1103359646331486208/iTL5L1vb_normal.jpg")</f>
        <v>https://pbs.twimg.com/profile_images/1103359646331486208/iTL5L1vb_normal.jpg</v>
      </c>
      <c r="W2273" s="83">
        <v>44463.752210648148</v>
      </c>
      <c r="X2273" s="89">
        <v>44463</v>
      </c>
      <c r="Y2273" s="86" t="s">
        <v>6652</v>
      </c>
      <c r="Z2273" s="84" t="str">
        <f>HYPERLINK("https://twitter.com/catiaamorim5/status/1441463237338357763")</f>
        <v>https://twitter.com/catiaamorim5/status/1441463237338357763</v>
      </c>
      <c r="AA2273" s="81"/>
      <c r="AB2273" s="81"/>
      <c r="AC2273" s="86" t="s">
        <v>7577</v>
      </c>
      <c r="AD2273" s="81"/>
      <c r="AE2273" s="81" t="b">
        <v>0</v>
      </c>
      <c r="AF2273" s="81">
        <v>0</v>
      </c>
      <c r="AG2273" s="86" t="s">
        <v>2084</v>
      </c>
      <c r="AH2273" s="81" t="b">
        <v>0</v>
      </c>
      <c r="AI2273" s="81" t="s">
        <v>2171</v>
      </c>
      <c r="AJ2273" s="81"/>
      <c r="AK2273" s="86" t="s">
        <v>2084</v>
      </c>
      <c r="AL2273" s="81" t="b">
        <v>0</v>
      </c>
      <c r="AM2273" s="81">
        <v>4</v>
      </c>
      <c r="AN2273" s="86" t="s">
        <v>7580</v>
      </c>
      <c r="AO2273" s="86" t="s">
        <v>2178</v>
      </c>
      <c r="AP2273" s="81" t="b">
        <v>0</v>
      </c>
      <c r="AQ2273" s="86" t="s">
        <v>7580</v>
      </c>
      <c r="AR2273" s="81" t="s">
        <v>179</v>
      </c>
      <c r="AS2273" s="81">
        <v>0</v>
      </c>
      <c r="AT2273" s="81">
        <v>0</v>
      </c>
      <c r="AU2273" s="81"/>
      <c r="AV2273" s="81"/>
      <c r="AW2273" s="81"/>
      <c r="AX2273" s="81"/>
      <c r="AY2273" s="81"/>
      <c r="AZ2273" s="81"/>
      <c r="BA2273" s="81"/>
      <c r="BB2273" s="81"/>
    </row>
    <row r="2274" spans="1:54" x14ac:dyDescent="0.35">
      <c r="A2274" s="66" t="s">
        <v>4965</v>
      </c>
      <c r="B2274" s="66" t="s">
        <v>5256</v>
      </c>
      <c r="C2274" s="67"/>
      <c r="D2274" s="68"/>
      <c r="E2274" s="69"/>
      <c r="F2274" s="70"/>
      <c r="G2274" s="67"/>
      <c r="H2274" s="71"/>
      <c r="I2274" s="72"/>
      <c r="J2274" s="72"/>
      <c r="K2274" s="36"/>
      <c r="L2274" s="79"/>
      <c r="M2274" s="79"/>
      <c r="N2274" s="74"/>
      <c r="O2274" s="81" t="s">
        <v>694</v>
      </c>
      <c r="P2274" s="83">
        <v>44463.752210648148</v>
      </c>
      <c r="Q2274" s="81" t="s">
        <v>5654</v>
      </c>
      <c r="R2274" s="84" t="str">
        <f>HYPERLINK("https://auditoriacidada.org.br/")</f>
        <v>https://auditoriacidada.org.br/</v>
      </c>
      <c r="S2274" s="81" t="s">
        <v>5696</v>
      </c>
      <c r="T2274" s="81"/>
      <c r="U2274" s="81"/>
      <c r="V2274" s="84" t="str">
        <f>HYPERLINK("https://pbs.twimg.com/profile_images/1103359646331486208/iTL5L1vb_normal.jpg")</f>
        <v>https://pbs.twimg.com/profile_images/1103359646331486208/iTL5L1vb_normal.jpg</v>
      </c>
      <c r="W2274" s="83">
        <v>44463.752210648148</v>
      </c>
      <c r="X2274" s="89">
        <v>44463</v>
      </c>
      <c r="Y2274" s="86" t="s">
        <v>6652</v>
      </c>
      <c r="Z2274" s="84" t="str">
        <f>HYPERLINK("https://twitter.com/catiaamorim5/status/1441463237338357763")</f>
        <v>https://twitter.com/catiaamorim5/status/1441463237338357763</v>
      </c>
      <c r="AA2274" s="81"/>
      <c r="AB2274" s="81"/>
      <c r="AC2274" s="86" t="s">
        <v>7577</v>
      </c>
      <c r="AD2274" s="81"/>
      <c r="AE2274" s="81" t="b">
        <v>0</v>
      </c>
      <c r="AF2274" s="81">
        <v>0</v>
      </c>
      <c r="AG2274" s="86" t="s">
        <v>2084</v>
      </c>
      <c r="AH2274" s="81" t="b">
        <v>0</v>
      </c>
      <c r="AI2274" s="81" t="s">
        <v>2171</v>
      </c>
      <c r="AJ2274" s="81"/>
      <c r="AK2274" s="86" t="s">
        <v>2084</v>
      </c>
      <c r="AL2274" s="81" t="b">
        <v>0</v>
      </c>
      <c r="AM2274" s="81">
        <v>4</v>
      </c>
      <c r="AN2274" s="86" t="s">
        <v>7580</v>
      </c>
      <c r="AO2274" s="86" t="s">
        <v>2178</v>
      </c>
      <c r="AP2274" s="81" t="b">
        <v>0</v>
      </c>
      <c r="AQ2274" s="86" t="s">
        <v>7580</v>
      </c>
      <c r="AR2274" s="81" t="s">
        <v>179</v>
      </c>
      <c r="AS2274" s="81">
        <v>0</v>
      </c>
      <c r="AT2274" s="81">
        <v>0</v>
      </c>
      <c r="AU2274" s="81"/>
      <c r="AV2274" s="81"/>
      <c r="AW2274" s="81"/>
      <c r="AX2274" s="81"/>
      <c r="AY2274" s="81"/>
      <c r="AZ2274" s="81"/>
      <c r="BA2274" s="81"/>
      <c r="BB2274" s="81"/>
    </row>
    <row r="2275" spans="1:54" x14ac:dyDescent="0.35">
      <c r="A2275" s="66" t="s">
        <v>4965</v>
      </c>
      <c r="B2275" s="66" t="s">
        <v>5257</v>
      </c>
      <c r="C2275" s="67"/>
      <c r="D2275" s="68"/>
      <c r="E2275" s="69"/>
      <c r="F2275" s="70"/>
      <c r="G2275" s="67"/>
      <c r="H2275" s="71"/>
      <c r="I2275" s="72"/>
      <c r="J2275" s="72"/>
      <c r="K2275" s="36"/>
      <c r="L2275" s="79"/>
      <c r="M2275" s="79"/>
      <c r="N2275" s="74"/>
      <c r="O2275" s="81" t="s">
        <v>694</v>
      </c>
      <c r="P2275" s="83">
        <v>44463.752210648148</v>
      </c>
      <c r="Q2275" s="81" t="s">
        <v>5654</v>
      </c>
      <c r="R2275" s="84" t="str">
        <f>HYPERLINK("https://auditoriacidada.org.br/")</f>
        <v>https://auditoriacidada.org.br/</v>
      </c>
      <c r="S2275" s="81" t="s">
        <v>5696</v>
      </c>
      <c r="T2275" s="81"/>
      <c r="U2275" s="81"/>
      <c r="V2275" s="84" t="str">
        <f>HYPERLINK("https://pbs.twimg.com/profile_images/1103359646331486208/iTL5L1vb_normal.jpg")</f>
        <v>https://pbs.twimg.com/profile_images/1103359646331486208/iTL5L1vb_normal.jpg</v>
      </c>
      <c r="W2275" s="83">
        <v>44463.752210648148</v>
      </c>
      <c r="X2275" s="89">
        <v>44463</v>
      </c>
      <c r="Y2275" s="86" t="s">
        <v>6652</v>
      </c>
      <c r="Z2275" s="84" t="str">
        <f>HYPERLINK("https://twitter.com/catiaamorim5/status/1441463237338357763")</f>
        <v>https://twitter.com/catiaamorim5/status/1441463237338357763</v>
      </c>
      <c r="AA2275" s="81"/>
      <c r="AB2275" s="81"/>
      <c r="AC2275" s="86" t="s">
        <v>7577</v>
      </c>
      <c r="AD2275" s="81"/>
      <c r="AE2275" s="81" t="b">
        <v>0</v>
      </c>
      <c r="AF2275" s="81">
        <v>0</v>
      </c>
      <c r="AG2275" s="86" t="s">
        <v>2084</v>
      </c>
      <c r="AH2275" s="81" t="b">
        <v>0</v>
      </c>
      <c r="AI2275" s="81" t="s">
        <v>2171</v>
      </c>
      <c r="AJ2275" s="81"/>
      <c r="AK2275" s="86" t="s">
        <v>2084</v>
      </c>
      <c r="AL2275" s="81" t="b">
        <v>0</v>
      </c>
      <c r="AM2275" s="81">
        <v>4</v>
      </c>
      <c r="AN2275" s="86" t="s">
        <v>7580</v>
      </c>
      <c r="AO2275" s="86" t="s">
        <v>2178</v>
      </c>
      <c r="AP2275" s="81" t="b">
        <v>0</v>
      </c>
      <c r="AQ2275" s="86" t="s">
        <v>7580</v>
      </c>
      <c r="AR2275" s="81" t="s">
        <v>179</v>
      </c>
      <c r="AS2275" s="81">
        <v>0</v>
      </c>
      <c r="AT2275" s="81">
        <v>0</v>
      </c>
      <c r="AU2275" s="81"/>
      <c r="AV2275" s="81"/>
      <c r="AW2275" s="81"/>
      <c r="AX2275" s="81"/>
      <c r="AY2275" s="81"/>
      <c r="AZ2275" s="81"/>
      <c r="BA2275" s="81"/>
      <c r="BB2275" s="81"/>
    </row>
    <row r="2276" spans="1:54" x14ac:dyDescent="0.35">
      <c r="A2276" s="66" t="s">
        <v>4965</v>
      </c>
      <c r="B2276" s="66" t="s">
        <v>5258</v>
      </c>
      <c r="C2276" s="67"/>
      <c r="D2276" s="68"/>
      <c r="E2276" s="69"/>
      <c r="F2276" s="70"/>
      <c r="G2276" s="67"/>
      <c r="H2276" s="71"/>
      <c r="I2276" s="72"/>
      <c r="J2276" s="72"/>
      <c r="K2276" s="36"/>
      <c r="L2276" s="79"/>
      <c r="M2276" s="79"/>
      <c r="N2276" s="74"/>
      <c r="O2276" s="81" t="s">
        <v>694</v>
      </c>
      <c r="P2276" s="83">
        <v>44463.752210648148</v>
      </c>
      <c r="Q2276" s="81" t="s">
        <v>5654</v>
      </c>
      <c r="R2276" s="84" t="str">
        <f>HYPERLINK("https://auditoriacidada.org.br/")</f>
        <v>https://auditoriacidada.org.br/</v>
      </c>
      <c r="S2276" s="81" t="s">
        <v>5696</v>
      </c>
      <c r="T2276" s="81"/>
      <c r="U2276" s="81"/>
      <c r="V2276" s="84" t="str">
        <f>HYPERLINK("https://pbs.twimg.com/profile_images/1103359646331486208/iTL5L1vb_normal.jpg")</f>
        <v>https://pbs.twimg.com/profile_images/1103359646331486208/iTL5L1vb_normal.jpg</v>
      </c>
      <c r="W2276" s="83">
        <v>44463.752210648148</v>
      </c>
      <c r="X2276" s="89">
        <v>44463</v>
      </c>
      <c r="Y2276" s="86" t="s">
        <v>6652</v>
      </c>
      <c r="Z2276" s="84" t="str">
        <f>HYPERLINK("https://twitter.com/catiaamorim5/status/1441463237338357763")</f>
        <v>https://twitter.com/catiaamorim5/status/1441463237338357763</v>
      </c>
      <c r="AA2276" s="81"/>
      <c r="AB2276" s="81"/>
      <c r="AC2276" s="86" t="s">
        <v>7577</v>
      </c>
      <c r="AD2276" s="81"/>
      <c r="AE2276" s="81" t="b">
        <v>0</v>
      </c>
      <c r="AF2276" s="81">
        <v>0</v>
      </c>
      <c r="AG2276" s="86" t="s">
        <v>2084</v>
      </c>
      <c r="AH2276" s="81" t="b">
        <v>0</v>
      </c>
      <c r="AI2276" s="81" t="s">
        <v>2171</v>
      </c>
      <c r="AJ2276" s="81"/>
      <c r="AK2276" s="86" t="s">
        <v>2084</v>
      </c>
      <c r="AL2276" s="81" t="b">
        <v>0</v>
      </c>
      <c r="AM2276" s="81">
        <v>4</v>
      </c>
      <c r="AN2276" s="86" t="s">
        <v>7580</v>
      </c>
      <c r="AO2276" s="86" t="s">
        <v>2178</v>
      </c>
      <c r="AP2276" s="81" t="b">
        <v>0</v>
      </c>
      <c r="AQ2276" s="86" t="s">
        <v>7580</v>
      </c>
      <c r="AR2276" s="81" t="s">
        <v>179</v>
      </c>
      <c r="AS2276" s="81">
        <v>0</v>
      </c>
      <c r="AT2276" s="81">
        <v>0</v>
      </c>
      <c r="AU2276" s="81"/>
      <c r="AV2276" s="81"/>
      <c r="AW2276" s="81"/>
      <c r="AX2276" s="81"/>
      <c r="AY2276" s="81"/>
      <c r="AZ2276" s="81"/>
      <c r="BA2276" s="81"/>
      <c r="BB2276" s="81"/>
    </row>
    <row r="2277" spans="1:54" x14ac:dyDescent="0.35">
      <c r="A2277" s="66" t="s">
        <v>4965</v>
      </c>
      <c r="B2277" s="66" t="s">
        <v>5259</v>
      </c>
      <c r="C2277" s="67"/>
      <c r="D2277" s="68"/>
      <c r="E2277" s="69"/>
      <c r="F2277" s="70"/>
      <c r="G2277" s="67"/>
      <c r="H2277" s="71"/>
      <c r="I2277" s="72"/>
      <c r="J2277" s="72"/>
      <c r="K2277" s="36"/>
      <c r="L2277" s="79"/>
      <c r="M2277" s="79"/>
      <c r="N2277" s="74"/>
      <c r="O2277" s="81" t="s">
        <v>694</v>
      </c>
      <c r="P2277" s="83">
        <v>44463.752210648148</v>
      </c>
      <c r="Q2277" s="81" t="s">
        <v>5654</v>
      </c>
      <c r="R2277" s="84" t="str">
        <f>HYPERLINK("https://auditoriacidada.org.br/")</f>
        <v>https://auditoriacidada.org.br/</v>
      </c>
      <c r="S2277" s="81" t="s">
        <v>5696</v>
      </c>
      <c r="T2277" s="81"/>
      <c r="U2277" s="81"/>
      <c r="V2277" s="84" t="str">
        <f>HYPERLINK("https://pbs.twimg.com/profile_images/1103359646331486208/iTL5L1vb_normal.jpg")</f>
        <v>https://pbs.twimg.com/profile_images/1103359646331486208/iTL5L1vb_normal.jpg</v>
      </c>
      <c r="W2277" s="83">
        <v>44463.752210648148</v>
      </c>
      <c r="X2277" s="89">
        <v>44463</v>
      </c>
      <c r="Y2277" s="86" t="s">
        <v>6652</v>
      </c>
      <c r="Z2277" s="84" t="str">
        <f>HYPERLINK("https://twitter.com/catiaamorim5/status/1441463237338357763")</f>
        <v>https://twitter.com/catiaamorim5/status/1441463237338357763</v>
      </c>
      <c r="AA2277" s="81"/>
      <c r="AB2277" s="81"/>
      <c r="AC2277" s="86" t="s">
        <v>7577</v>
      </c>
      <c r="AD2277" s="81"/>
      <c r="AE2277" s="81" t="b">
        <v>0</v>
      </c>
      <c r="AF2277" s="81">
        <v>0</v>
      </c>
      <c r="AG2277" s="86" t="s">
        <v>2084</v>
      </c>
      <c r="AH2277" s="81" t="b">
        <v>0</v>
      </c>
      <c r="AI2277" s="81" t="s">
        <v>2171</v>
      </c>
      <c r="AJ2277" s="81"/>
      <c r="AK2277" s="86" t="s">
        <v>2084</v>
      </c>
      <c r="AL2277" s="81" t="b">
        <v>0</v>
      </c>
      <c r="AM2277" s="81">
        <v>4</v>
      </c>
      <c r="AN2277" s="86" t="s">
        <v>7580</v>
      </c>
      <c r="AO2277" s="86" t="s">
        <v>2178</v>
      </c>
      <c r="AP2277" s="81" t="b">
        <v>0</v>
      </c>
      <c r="AQ2277" s="86" t="s">
        <v>7580</v>
      </c>
      <c r="AR2277" s="81" t="s">
        <v>179</v>
      </c>
      <c r="AS2277" s="81">
        <v>0</v>
      </c>
      <c r="AT2277" s="81">
        <v>0</v>
      </c>
      <c r="AU2277" s="81"/>
      <c r="AV2277" s="81"/>
      <c r="AW2277" s="81"/>
      <c r="AX2277" s="81"/>
      <c r="AY2277" s="81"/>
      <c r="AZ2277" s="81"/>
      <c r="BA2277" s="81"/>
      <c r="BB2277" s="81"/>
    </row>
    <row r="2278" spans="1:54" x14ac:dyDescent="0.35">
      <c r="A2278" s="66" t="s">
        <v>4965</v>
      </c>
      <c r="B2278" s="66" t="s">
        <v>5260</v>
      </c>
      <c r="C2278" s="67"/>
      <c r="D2278" s="68"/>
      <c r="E2278" s="69"/>
      <c r="F2278" s="70"/>
      <c r="G2278" s="67"/>
      <c r="H2278" s="71"/>
      <c r="I2278" s="72"/>
      <c r="J2278" s="72"/>
      <c r="K2278" s="36"/>
      <c r="L2278" s="79"/>
      <c r="M2278" s="79"/>
      <c r="N2278" s="74"/>
      <c r="O2278" s="81" t="s">
        <v>694</v>
      </c>
      <c r="P2278" s="83">
        <v>44463.752210648148</v>
      </c>
      <c r="Q2278" s="81" t="s">
        <v>5654</v>
      </c>
      <c r="R2278" s="84" t="str">
        <f>HYPERLINK("https://auditoriacidada.org.br/")</f>
        <v>https://auditoriacidada.org.br/</v>
      </c>
      <c r="S2278" s="81" t="s">
        <v>5696</v>
      </c>
      <c r="T2278" s="81"/>
      <c r="U2278" s="81"/>
      <c r="V2278" s="84" t="str">
        <f>HYPERLINK("https://pbs.twimg.com/profile_images/1103359646331486208/iTL5L1vb_normal.jpg")</f>
        <v>https://pbs.twimg.com/profile_images/1103359646331486208/iTL5L1vb_normal.jpg</v>
      </c>
      <c r="W2278" s="83">
        <v>44463.752210648148</v>
      </c>
      <c r="X2278" s="89">
        <v>44463</v>
      </c>
      <c r="Y2278" s="86" t="s">
        <v>6652</v>
      </c>
      <c r="Z2278" s="84" t="str">
        <f>HYPERLINK("https://twitter.com/catiaamorim5/status/1441463237338357763")</f>
        <v>https://twitter.com/catiaamorim5/status/1441463237338357763</v>
      </c>
      <c r="AA2278" s="81"/>
      <c r="AB2278" s="81"/>
      <c r="AC2278" s="86" t="s">
        <v>7577</v>
      </c>
      <c r="AD2278" s="81"/>
      <c r="AE2278" s="81" t="b">
        <v>0</v>
      </c>
      <c r="AF2278" s="81">
        <v>0</v>
      </c>
      <c r="AG2278" s="86" t="s">
        <v>2084</v>
      </c>
      <c r="AH2278" s="81" t="b">
        <v>0</v>
      </c>
      <c r="AI2278" s="81" t="s">
        <v>2171</v>
      </c>
      <c r="AJ2278" s="81"/>
      <c r="AK2278" s="86" t="s">
        <v>2084</v>
      </c>
      <c r="AL2278" s="81" t="b">
        <v>0</v>
      </c>
      <c r="AM2278" s="81">
        <v>4</v>
      </c>
      <c r="AN2278" s="86" t="s">
        <v>7580</v>
      </c>
      <c r="AO2278" s="86" t="s">
        <v>2178</v>
      </c>
      <c r="AP2278" s="81" t="b">
        <v>0</v>
      </c>
      <c r="AQ2278" s="86" t="s">
        <v>7580</v>
      </c>
      <c r="AR2278" s="81" t="s">
        <v>179</v>
      </c>
      <c r="AS2278" s="81">
        <v>0</v>
      </c>
      <c r="AT2278" s="81">
        <v>0</v>
      </c>
      <c r="AU2278" s="81"/>
      <c r="AV2278" s="81"/>
      <c r="AW2278" s="81"/>
      <c r="AX2278" s="81"/>
      <c r="AY2278" s="81"/>
      <c r="AZ2278" s="81"/>
      <c r="BA2278" s="81"/>
      <c r="BB2278" s="81"/>
    </row>
    <row r="2279" spans="1:54" x14ac:dyDescent="0.35">
      <c r="A2279" s="66" t="s">
        <v>4965</v>
      </c>
      <c r="B2279" s="66" t="s">
        <v>5261</v>
      </c>
      <c r="C2279" s="67"/>
      <c r="D2279" s="68"/>
      <c r="E2279" s="69"/>
      <c r="F2279" s="70"/>
      <c r="G2279" s="67"/>
      <c r="H2279" s="71"/>
      <c r="I2279" s="72"/>
      <c r="J2279" s="72"/>
      <c r="K2279" s="36"/>
      <c r="L2279" s="79"/>
      <c r="M2279" s="79"/>
      <c r="N2279" s="74"/>
      <c r="O2279" s="81" t="s">
        <v>694</v>
      </c>
      <c r="P2279" s="83">
        <v>44463.752210648148</v>
      </c>
      <c r="Q2279" s="81" t="s">
        <v>5654</v>
      </c>
      <c r="R2279" s="84" t="str">
        <f>HYPERLINK("https://auditoriacidada.org.br/")</f>
        <v>https://auditoriacidada.org.br/</v>
      </c>
      <c r="S2279" s="81" t="s">
        <v>5696</v>
      </c>
      <c r="T2279" s="81"/>
      <c r="U2279" s="81"/>
      <c r="V2279" s="84" t="str">
        <f>HYPERLINK("https://pbs.twimg.com/profile_images/1103359646331486208/iTL5L1vb_normal.jpg")</f>
        <v>https://pbs.twimg.com/profile_images/1103359646331486208/iTL5L1vb_normal.jpg</v>
      </c>
      <c r="W2279" s="83">
        <v>44463.752210648148</v>
      </c>
      <c r="X2279" s="89">
        <v>44463</v>
      </c>
      <c r="Y2279" s="86" t="s">
        <v>6652</v>
      </c>
      <c r="Z2279" s="84" t="str">
        <f>HYPERLINK("https://twitter.com/catiaamorim5/status/1441463237338357763")</f>
        <v>https://twitter.com/catiaamorim5/status/1441463237338357763</v>
      </c>
      <c r="AA2279" s="81"/>
      <c r="AB2279" s="81"/>
      <c r="AC2279" s="86" t="s">
        <v>7577</v>
      </c>
      <c r="AD2279" s="81"/>
      <c r="AE2279" s="81" t="b">
        <v>0</v>
      </c>
      <c r="AF2279" s="81">
        <v>0</v>
      </c>
      <c r="AG2279" s="86" t="s">
        <v>2084</v>
      </c>
      <c r="AH2279" s="81" t="b">
        <v>0</v>
      </c>
      <c r="AI2279" s="81" t="s">
        <v>2171</v>
      </c>
      <c r="AJ2279" s="81"/>
      <c r="AK2279" s="86" t="s">
        <v>2084</v>
      </c>
      <c r="AL2279" s="81" t="b">
        <v>0</v>
      </c>
      <c r="AM2279" s="81">
        <v>4</v>
      </c>
      <c r="AN2279" s="86" t="s">
        <v>7580</v>
      </c>
      <c r="AO2279" s="86" t="s">
        <v>2178</v>
      </c>
      <c r="AP2279" s="81" t="b">
        <v>0</v>
      </c>
      <c r="AQ2279" s="86" t="s">
        <v>7580</v>
      </c>
      <c r="AR2279" s="81" t="s">
        <v>179</v>
      </c>
      <c r="AS2279" s="81">
        <v>0</v>
      </c>
      <c r="AT2279" s="81">
        <v>0</v>
      </c>
      <c r="AU2279" s="81"/>
      <c r="AV2279" s="81"/>
      <c r="AW2279" s="81"/>
      <c r="AX2279" s="81"/>
      <c r="AY2279" s="81"/>
      <c r="AZ2279" s="81"/>
      <c r="BA2279" s="81"/>
      <c r="BB2279" s="81"/>
    </row>
    <row r="2280" spans="1:54" x14ac:dyDescent="0.35">
      <c r="A2280" s="66" t="s">
        <v>4965</v>
      </c>
      <c r="B2280" s="66" t="s">
        <v>5262</v>
      </c>
      <c r="C2280" s="67"/>
      <c r="D2280" s="68"/>
      <c r="E2280" s="69"/>
      <c r="F2280" s="70"/>
      <c r="G2280" s="67"/>
      <c r="H2280" s="71"/>
      <c r="I2280" s="72"/>
      <c r="J2280" s="72"/>
      <c r="K2280" s="36"/>
      <c r="L2280" s="79"/>
      <c r="M2280" s="79"/>
      <c r="N2280" s="74"/>
      <c r="O2280" s="81" t="s">
        <v>694</v>
      </c>
      <c r="P2280" s="83">
        <v>44463.752210648148</v>
      </c>
      <c r="Q2280" s="81" t="s">
        <v>5654</v>
      </c>
      <c r="R2280" s="84" t="str">
        <f>HYPERLINK("https://auditoriacidada.org.br/")</f>
        <v>https://auditoriacidada.org.br/</v>
      </c>
      <c r="S2280" s="81" t="s">
        <v>5696</v>
      </c>
      <c r="T2280" s="81"/>
      <c r="U2280" s="81"/>
      <c r="V2280" s="84" t="str">
        <f>HYPERLINK("https://pbs.twimg.com/profile_images/1103359646331486208/iTL5L1vb_normal.jpg")</f>
        <v>https://pbs.twimg.com/profile_images/1103359646331486208/iTL5L1vb_normal.jpg</v>
      </c>
      <c r="W2280" s="83">
        <v>44463.752210648148</v>
      </c>
      <c r="X2280" s="89">
        <v>44463</v>
      </c>
      <c r="Y2280" s="86" t="s">
        <v>6652</v>
      </c>
      <c r="Z2280" s="84" t="str">
        <f>HYPERLINK("https://twitter.com/catiaamorim5/status/1441463237338357763")</f>
        <v>https://twitter.com/catiaamorim5/status/1441463237338357763</v>
      </c>
      <c r="AA2280" s="81"/>
      <c r="AB2280" s="81"/>
      <c r="AC2280" s="86" t="s">
        <v>7577</v>
      </c>
      <c r="AD2280" s="81"/>
      <c r="AE2280" s="81" t="b">
        <v>0</v>
      </c>
      <c r="AF2280" s="81">
        <v>0</v>
      </c>
      <c r="AG2280" s="86" t="s">
        <v>2084</v>
      </c>
      <c r="AH2280" s="81" t="b">
        <v>0</v>
      </c>
      <c r="AI2280" s="81" t="s">
        <v>2171</v>
      </c>
      <c r="AJ2280" s="81"/>
      <c r="AK2280" s="86" t="s">
        <v>2084</v>
      </c>
      <c r="AL2280" s="81" t="b">
        <v>0</v>
      </c>
      <c r="AM2280" s="81">
        <v>4</v>
      </c>
      <c r="AN2280" s="86" t="s">
        <v>7580</v>
      </c>
      <c r="AO2280" s="86" t="s">
        <v>2178</v>
      </c>
      <c r="AP2280" s="81" t="b">
        <v>0</v>
      </c>
      <c r="AQ2280" s="86" t="s">
        <v>7580</v>
      </c>
      <c r="AR2280" s="81" t="s">
        <v>179</v>
      </c>
      <c r="AS2280" s="81">
        <v>0</v>
      </c>
      <c r="AT2280" s="81">
        <v>0</v>
      </c>
      <c r="AU2280" s="81"/>
      <c r="AV2280" s="81"/>
      <c r="AW2280" s="81"/>
      <c r="AX2280" s="81"/>
      <c r="AY2280" s="81"/>
      <c r="AZ2280" s="81"/>
      <c r="BA2280" s="81"/>
      <c r="BB2280" s="81"/>
    </row>
    <row r="2281" spans="1:54" x14ac:dyDescent="0.35">
      <c r="A2281" s="66" t="s">
        <v>4965</v>
      </c>
      <c r="B2281" s="66" t="s">
        <v>5263</v>
      </c>
      <c r="C2281" s="67"/>
      <c r="D2281" s="68"/>
      <c r="E2281" s="69"/>
      <c r="F2281" s="70"/>
      <c r="G2281" s="67"/>
      <c r="H2281" s="71"/>
      <c r="I2281" s="72"/>
      <c r="J2281" s="72"/>
      <c r="K2281" s="36"/>
      <c r="L2281" s="79"/>
      <c r="M2281" s="79"/>
      <c r="N2281" s="74"/>
      <c r="O2281" s="81" t="s">
        <v>694</v>
      </c>
      <c r="P2281" s="83">
        <v>44463.752210648148</v>
      </c>
      <c r="Q2281" s="81" t="s">
        <v>5654</v>
      </c>
      <c r="R2281" s="84" t="str">
        <f>HYPERLINK("https://auditoriacidada.org.br/")</f>
        <v>https://auditoriacidada.org.br/</v>
      </c>
      <c r="S2281" s="81" t="s">
        <v>5696</v>
      </c>
      <c r="T2281" s="81"/>
      <c r="U2281" s="81"/>
      <c r="V2281" s="84" t="str">
        <f>HYPERLINK("https://pbs.twimg.com/profile_images/1103359646331486208/iTL5L1vb_normal.jpg")</f>
        <v>https://pbs.twimg.com/profile_images/1103359646331486208/iTL5L1vb_normal.jpg</v>
      </c>
      <c r="W2281" s="83">
        <v>44463.752210648148</v>
      </c>
      <c r="X2281" s="89">
        <v>44463</v>
      </c>
      <c r="Y2281" s="86" t="s">
        <v>6652</v>
      </c>
      <c r="Z2281" s="84" t="str">
        <f>HYPERLINK("https://twitter.com/catiaamorim5/status/1441463237338357763")</f>
        <v>https://twitter.com/catiaamorim5/status/1441463237338357763</v>
      </c>
      <c r="AA2281" s="81"/>
      <c r="AB2281" s="81"/>
      <c r="AC2281" s="86" t="s">
        <v>7577</v>
      </c>
      <c r="AD2281" s="81"/>
      <c r="AE2281" s="81" t="b">
        <v>0</v>
      </c>
      <c r="AF2281" s="81">
        <v>0</v>
      </c>
      <c r="AG2281" s="86" t="s">
        <v>2084</v>
      </c>
      <c r="AH2281" s="81" t="b">
        <v>0</v>
      </c>
      <c r="AI2281" s="81" t="s">
        <v>2171</v>
      </c>
      <c r="AJ2281" s="81"/>
      <c r="AK2281" s="86" t="s">
        <v>2084</v>
      </c>
      <c r="AL2281" s="81" t="b">
        <v>0</v>
      </c>
      <c r="AM2281" s="81">
        <v>4</v>
      </c>
      <c r="AN2281" s="86" t="s">
        <v>7580</v>
      </c>
      <c r="AO2281" s="86" t="s">
        <v>2178</v>
      </c>
      <c r="AP2281" s="81" t="b">
        <v>0</v>
      </c>
      <c r="AQ2281" s="86" t="s">
        <v>7580</v>
      </c>
      <c r="AR2281" s="81" t="s">
        <v>179</v>
      </c>
      <c r="AS2281" s="81">
        <v>0</v>
      </c>
      <c r="AT2281" s="81">
        <v>0</v>
      </c>
      <c r="AU2281" s="81"/>
      <c r="AV2281" s="81"/>
      <c r="AW2281" s="81"/>
      <c r="AX2281" s="81"/>
      <c r="AY2281" s="81"/>
      <c r="AZ2281" s="81"/>
      <c r="BA2281" s="81"/>
      <c r="BB2281" s="81"/>
    </row>
    <row r="2282" spans="1:54" x14ac:dyDescent="0.35">
      <c r="A2282" s="66" t="s">
        <v>4965</v>
      </c>
      <c r="B2282" s="66" t="s">
        <v>4967</v>
      </c>
      <c r="C2282" s="67"/>
      <c r="D2282" s="68"/>
      <c r="E2282" s="69"/>
      <c r="F2282" s="70"/>
      <c r="G2282" s="67"/>
      <c r="H2282" s="71"/>
      <c r="I2282" s="72"/>
      <c r="J2282" s="72"/>
      <c r="K2282" s="36"/>
      <c r="L2282" s="79"/>
      <c r="M2282" s="79"/>
      <c r="N2282" s="74"/>
      <c r="O2282" s="81" t="s">
        <v>694</v>
      </c>
      <c r="P2282" s="83">
        <v>44463.752210648148</v>
      </c>
      <c r="Q2282" s="81" t="s">
        <v>5654</v>
      </c>
      <c r="R2282" s="84" t="str">
        <f>HYPERLINK("https://auditoriacidada.org.br/")</f>
        <v>https://auditoriacidada.org.br/</v>
      </c>
      <c r="S2282" s="81" t="s">
        <v>5696</v>
      </c>
      <c r="T2282" s="81"/>
      <c r="U2282" s="81"/>
      <c r="V2282" s="84" t="str">
        <f>HYPERLINK("https://pbs.twimg.com/profile_images/1103359646331486208/iTL5L1vb_normal.jpg")</f>
        <v>https://pbs.twimg.com/profile_images/1103359646331486208/iTL5L1vb_normal.jpg</v>
      </c>
      <c r="W2282" s="83">
        <v>44463.752210648148</v>
      </c>
      <c r="X2282" s="89">
        <v>44463</v>
      </c>
      <c r="Y2282" s="86" t="s">
        <v>6652</v>
      </c>
      <c r="Z2282" s="84" t="str">
        <f>HYPERLINK("https://twitter.com/catiaamorim5/status/1441463237338357763")</f>
        <v>https://twitter.com/catiaamorim5/status/1441463237338357763</v>
      </c>
      <c r="AA2282" s="81"/>
      <c r="AB2282" s="81"/>
      <c r="AC2282" s="86" t="s">
        <v>7577</v>
      </c>
      <c r="AD2282" s="81"/>
      <c r="AE2282" s="81" t="b">
        <v>0</v>
      </c>
      <c r="AF2282" s="81">
        <v>0</v>
      </c>
      <c r="AG2282" s="86" t="s">
        <v>2084</v>
      </c>
      <c r="AH2282" s="81" t="b">
        <v>0</v>
      </c>
      <c r="AI2282" s="81" t="s">
        <v>2171</v>
      </c>
      <c r="AJ2282" s="81"/>
      <c r="AK2282" s="86" t="s">
        <v>2084</v>
      </c>
      <c r="AL2282" s="81" t="b">
        <v>0</v>
      </c>
      <c r="AM2282" s="81">
        <v>4</v>
      </c>
      <c r="AN2282" s="86" t="s">
        <v>7580</v>
      </c>
      <c r="AO2282" s="86" t="s">
        <v>2178</v>
      </c>
      <c r="AP2282" s="81" t="b">
        <v>0</v>
      </c>
      <c r="AQ2282" s="86" t="s">
        <v>7580</v>
      </c>
      <c r="AR2282" s="81" t="s">
        <v>179</v>
      </c>
      <c r="AS2282" s="81">
        <v>0</v>
      </c>
      <c r="AT2282" s="81">
        <v>0</v>
      </c>
      <c r="AU2282" s="81"/>
      <c r="AV2282" s="81"/>
      <c r="AW2282" s="81"/>
      <c r="AX2282" s="81"/>
      <c r="AY2282" s="81"/>
      <c r="AZ2282" s="81"/>
      <c r="BA2282" s="81"/>
      <c r="BB2282" s="81"/>
    </row>
    <row r="2283" spans="1:54" x14ac:dyDescent="0.35">
      <c r="A2283" s="66" t="s">
        <v>4965</v>
      </c>
      <c r="B2283" s="66" t="s">
        <v>5264</v>
      </c>
      <c r="C2283" s="67"/>
      <c r="D2283" s="68"/>
      <c r="E2283" s="69"/>
      <c r="F2283" s="70"/>
      <c r="G2283" s="67"/>
      <c r="H2283" s="71"/>
      <c r="I2283" s="72"/>
      <c r="J2283" s="72"/>
      <c r="K2283" s="36"/>
      <c r="L2283" s="79"/>
      <c r="M2283" s="79"/>
      <c r="N2283" s="74"/>
      <c r="O2283" s="81" t="s">
        <v>694</v>
      </c>
      <c r="P2283" s="83">
        <v>44463.752210648148</v>
      </c>
      <c r="Q2283" s="81" t="s">
        <v>5654</v>
      </c>
      <c r="R2283" s="84" t="str">
        <f>HYPERLINK("https://auditoriacidada.org.br/")</f>
        <v>https://auditoriacidada.org.br/</v>
      </c>
      <c r="S2283" s="81" t="s">
        <v>5696</v>
      </c>
      <c r="T2283" s="81"/>
      <c r="U2283" s="81"/>
      <c r="V2283" s="84" t="str">
        <f>HYPERLINK("https://pbs.twimg.com/profile_images/1103359646331486208/iTL5L1vb_normal.jpg")</f>
        <v>https://pbs.twimg.com/profile_images/1103359646331486208/iTL5L1vb_normal.jpg</v>
      </c>
      <c r="W2283" s="83">
        <v>44463.752210648148</v>
      </c>
      <c r="X2283" s="89">
        <v>44463</v>
      </c>
      <c r="Y2283" s="86" t="s">
        <v>6652</v>
      </c>
      <c r="Z2283" s="84" t="str">
        <f>HYPERLINK("https://twitter.com/catiaamorim5/status/1441463237338357763")</f>
        <v>https://twitter.com/catiaamorim5/status/1441463237338357763</v>
      </c>
      <c r="AA2283" s="81"/>
      <c r="AB2283" s="81"/>
      <c r="AC2283" s="86" t="s">
        <v>7577</v>
      </c>
      <c r="AD2283" s="81"/>
      <c r="AE2283" s="81" t="b">
        <v>0</v>
      </c>
      <c r="AF2283" s="81">
        <v>0</v>
      </c>
      <c r="AG2283" s="86" t="s">
        <v>2084</v>
      </c>
      <c r="AH2283" s="81" t="b">
        <v>0</v>
      </c>
      <c r="AI2283" s="81" t="s">
        <v>2171</v>
      </c>
      <c r="AJ2283" s="81"/>
      <c r="AK2283" s="86" t="s">
        <v>2084</v>
      </c>
      <c r="AL2283" s="81" t="b">
        <v>0</v>
      </c>
      <c r="AM2283" s="81">
        <v>4</v>
      </c>
      <c r="AN2283" s="86" t="s">
        <v>7580</v>
      </c>
      <c r="AO2283" s="86" t="s">
        <v>2178</v>
      </c>
      <c r="AP2283" s="81" t="b">
        <v>0</v>
      </c>
      <c r="AQ2283" s="86" t="s">
        <v>7580</v>
      </c>
      <c r="AR2283" s="81" t="s">
        <v>179</v>
      </c>
      <c r="AS2283" s="81">
        <v>0</v>
      </c>
      <c r="AT2283" s="81">
        <v>0</v>
      </c>
      <c r="AU2283" s="81"/>
      <c r="AV2283" s="81"/>
      <c r="AW2283" s="81"/>
      <c r="AX2283" s="81"/>
      <c r="AY2283" s="81"/>
      <c r="AZ2283" s="81"/>
      <c r="BA2283" s="81"/>
      <c r="BB2283" s="81"/>
    </row>
    <row r="2284" spans="1:54" x14ac:dyDescent="0.35">
      <c r="A2284" s="66" t="s">
        <v>4965</v>
      </c>
      <c r="B2284" s="66" t="s">
        <v>5265</v>
      </c>
      <c r="C2284" s="67"/>
      <c r="D2284" s="68"/>
      <c r="E2284" s="69"/>
      <c r="F2284" s="70"/>
      <c r="G2284" s="67"/>
      <c r="H2284" s="71"/>
      <c r="I2284" s="72"/>
      <c r="J2284" s="72"/>
      <c r="K2284" s="36"/>
      <c r="L2284" s="79"/>
      <c r="M2284" s="79"/>
      <c r="N2284" s="74"/>
      <c r="O2284" s="81" t="s">
        <v>694</v>
      </c>
      <c r="P2284" s="83">
        <v>44463.752210648148</v>
      </c>
      <c r="Q2284" s="81" t="s">
        <v>5654</v>
      </c>
      <c r="R2284" s="84" t="str">
        <f>HYPERLINK("https://auditoriacidada.org.br/")</f>
        <v>https://auditoriacidada.org.br/</v>
      </c>
      <c r="S2284" s="81" t="s">
        <v>5696</v>
      </c>
      <c r="T2284" s="81"/>
      <c r="U2284" s="81"/>
      <c r="V2284" s="84" t="str">
        <f>HYPERLINK("https://pbs.twimg.com/profile_images/1103359646331486208/iTL5L1vb_normal.jpg")</f>
        <v>https://pbs.twimg.com/profile_images/1103359646331486208/iTL5L1vb_normal.jpg</v>
      </c>
      <c r="W2284" s="83">
        <v>44463.752210648148</v>
      </c>
      <c r="X2284" s="89">
        <v>44463</v>
      </c>
      <c r="Y2284" s="86" t="s">
        <v>6652</v>
      </c>
      <c r="Z2284" s="84" t="str">
        <f>HYPERLINK("https://twitter.com/catiaamorim5/status/1441463237338357763")</f>
        <v>https://twitter.com/catiaamorim5/status/1441463237338357763</v>
      </c>
      <c r="AA2284" s="81"/>
      <c r="AB2284" s="81"/>
      <c r="AC2284" s="86" t="s">
        <v>7577</v>
      </c>
      <c r="AD2284" s="81"/>
      <c r="AE2284" s="81" t="b">
        <v>0</v>
      </c>
      <c r="AF2284" s="81">
        <v>0</v>
      </c>
      <c r="AG2284" s="86" t="s">
        <v>2084</v>
      </c>
      <c r="AH2284" s="81" t="b">
        <v>0</v>
      </c>
      <c r="AI2284" s="81" t="s">
        <v>2171</v>
      </c>
      <c r="AJ2284" s="81"/>
      <c r="AK2284" s="86" t="s">
        <v>2084</v>
      </c>
      <c r="AL2284" s="81" t="b">
        <v>0</v>
      </c>
      <c r="AM2284" s="81">
        <v>4</v>
      </c>
      <c r="AN2284" s="86" t="s">
        <v>7580</v>
      </c>
      <c r="AO2284" s="86" t="s">
        <v>2178</v>
      </c>
      <c r="AP2284" s="81" t="b">
        <v>0</v>
      </c>
      <c r="AQ2284" s="86" t="s">
        <v>7580</v>
      </c>
      <c r="AR2284" s="81" t="s">
        <v>179</v>
      </c>
      <c r="AS2284" s="81">
        <v>0</v>
      </c>
      <c r="AT2284" s="81">
        <v>0</v>
      </c>
      <c r="AU2284" s="81"/>
      <c r="AV2284" s="81"/>
      <c r="AW2284" s="81"/>
      <c r="AX2284" s="81"/>
      <c r="AY2284" s="81"/>
      <c r="AZ2284" s="81"/>
      <c r="BA2284" s="81"/>
      <c r="BB2284" s="81"/>
    </row>
    <row r="2285" spans="1:54" x14ac:dyDescent="0.35">
      <c r="A2285" s="66" t="s">
        <v>4965</v>
      </c>
      <c r="B2285" s="66" t="s">
        <v>5266</v>
      </c>
      <c r="C2285" s="67"/>
      <c r="D2285" s="68"/>
      <c r="E2285" s="69"/>
      <c r="F2285" s="70"/>
      <c r="G2285" s="67"/>
      <c r="H2285" s="71"/>
      <c r="I2285" s="72"/>
      <c r="J2285" s="72"/>
      <c r="K2285" s="36"/>
      <c r="L2285" s="79"/>
      <c r="M2285" s="79"/>
      <c r="N2285" s="74"/>
      <c r="O2285" s="81" t="s">
        <v>694</v>
      </c>
      <c r="P2285" s="83">
        <v>44463.752210648148</v>
      </c>
      <c r="Q2285" s="81" t="s">
        <v>5654</v>
      </c>
      <c r="R2285" s="84" t="str">
        <f>HYPERLINK("https://auditoriacidada.org.br/")</f>
        <v>https://auditoriacidada.org.br/</v>
      </c>
      <c r="S2285" s="81" t="s">
        <v>5696</v>
      </c>
      <c r="T2285" s="81"/>
      <c r="U2285" s="81"/>
      <c r="V2285" s="84" t="str">
        <f>HYPERLINK("https://pbs.twimg.com/profile_images/1103359646331486208/iTL5L1vb_normal.jpg")</f>
        <v>https://pbs.twimg.com/profile_images/1103359646331486208/iTL5L1vb_normal.jpg</v>
      </c>
      <c r="W2285" s="83">
        <v>44463.752210648148</v>
      </c>
      <c r="X2285" s="89">
        <v>44463</v>
      </c>
      <c r="Y2285" s="86" t="s">
        <v>6652</v>
      </c>
      <c r="Z2285" s="84" t="str">
        <f>HYPERLINK("https://twitter.com/catiaamorim5/status/1441463237338357763")</f>
        <v>https://twitter.com/catiaamorim5/status/1441463237338357763</v>
      </c>
      <c r="AA2285" s="81"/>
      <c r="AB2285" s="81"/>
      <c r="AC2285" s="86" t="s">
        <v>7577</v>
      </c>
      <c r="AD2285" s="81"/>
      <c r="AE2285" s="81" t="b">
        <v>0</v>
      </c>
      <c r="AF2285" s="81">
        <v>0</v>
      </c>
      <c r="AG2285" s="86" t="s">
        <v>2084</v>
      </c>
      <c r="AH2285" s="81" t="b">
        <v>0</v>
      </c>
      <c r="AI2285" s="81" t="s">
        <v>2171</v>
      </c>
      <c r="AJ2285" s="81"/>
      <c r="AK2285" s="86" t="s">
        <v>2084</v>
      </c>
      <c r="AL2285" s="81" t="b">
        <v>0</v>
      </c>
      <c r="AM2285" s="81">
        <v>4</v>
      </c>
      <c r="AN2285" s="86" t="s">
        <v>7580</v>
      </c>
      <c r="AO2285" s="86" t="s">
        <v>2178</v>
      </c>
      <c r="AP2285" s="81" t="b">
        <v>0</v>
      </c>
      <c r="AQ2285" s="86" t="s">
        <v>7580</v>
      </c>
      <c r="AR2285" s="81" t="s">
        <v>179</v>
      </c>
      <c r="AS2285" s="81">
        <v>0</v>
      </c>
      <c r="AT2285" s="81">
        <v>0</v>
      </c>
      <c r="AU2285" s="81"/>
      <c r="AV2285" s="81"/>
      <c r="AW2285" s="81"/>
      <c r="AX2285" s="81"/>
      <c r="AY2285" s="81"/>
      <c r="AZ2285" s="81"/>
      <c r="BA2285" s="81"/>
      <c r="BB2285" s="81"/>
    </row>
    <row r="2286" spans="1:54" x14ac:dyDescent="0.35">
      <c r="A2286" s="66" t="s">
        <v>4965</v>
      </c>
      <c r="B2286" s="66" t="s">
        <v>5267</v>
      </c>
      <c r="C2286" s="67"/>
      <c r="D2286" s="68"/>
      <c r="E2286" s="69"/>
      <c r="F2286" s="70"/>
      <c r="G2286" s="67"/>
      <c r="H2286" s="71"/>
      <c r="I2286" s="72"/>
      <c r="J2286" s="72"/>
      <c r="K2286" s="36"/>
      <c r="L2286" s="79"/>
      <c r="M2286" s="79"/>
      <c r="N2286" s="74"/>
      <c r="O2286" s="81" t="s">
        <v>694</v>
      </c>
      <c r="P2286" s="83">
        <v>44463.752210648148</v>
      </c>
      <c r="Q2286" s="81" t="s">
        <v>5654</v>
      </c>
      <c r="R2286" s="84" t="str">
        <f>HYPERLINK("https://auditoriacidada.org.br/")</f>
        <v>https://auditoriacidada.org.br/</v>
      </c>
      <c r="S2286" s="81" t="s">
        <v>5696</v>
      </c>
      <c r="T2286" s="81"/>
      <c r="U2286" s="81"/>
      <c r="V2286" s="84" t="str">
        <f>HYPERLINK("https://pbs.twimg.com/profile_images/1103359646331486208/iTL5L1vb_normal.jpg")</f>
        <v>https://pbs.twimg.com/profile_images/1103359646331486208/iTL5L1vb_normal.jpg</v>
      </c>
      <c r="W2286" s="83">
        <v>44463.752210648148</v>
      </c>
      <c r="X2286" s="89">
        <v>44463</v>
      </c>
      <c r="Y2286" s="86" t="s">
        <v>6652</v>
      </c>
      <c r="Z2286" s="84" t="str">
        <f>HYPERLINK("https://twitter.com/catiaamorim5/status/1441463237338357763")</f>
        <v>https://twitter.com/catiaamorim5/status/1441463237338357763</v>
      </c>
      <c r="AA2286" s="81"/>
      <c r="AB2286" s="81"/>
      <c r="AC2286" s="86" t="s">
        <v>7577</v>
      </c>
      <c r="AD2286" s="81"/>
      <c r="AE2286" s="81" t="b">
        <v>0</v>
      </c>
      <c r="AF2286" s="81">
        <v>0</v>
      </c>
      <c r="AG2286" s="86" t="s">
        <v>2084</v>
      </c>
      <c r="AH2286" s="81" t="b">
        <v>0</v>
      </c>
      <c r="AI2286" s="81" t="s">
        <v>2171</v>
      </c>
      <c r="AJ2286" s="81"/>
      <c r="AK2286" s="86" t="s">
        <v>2084</v>
      </c>
      <c r="AL2286" s="81" t="b">
        <v>0</v>
      </c>
      <c r="AM2286" s="81">
        <v>4</v>
      </c>
      <c r="AN2286" s="86" t="s">
        <v>7580</v>
      </c>
      <c r="AO2286" s="86" t="s">
        <v>2178</v>
      </c>
      <c r="AP2286" s="81" t="b">
        <v>0</v>
      </c>
      <c r="AQ2286" s="86" t="s">
        <v>7580</v>
      </c>
      <c r="AR2286" s="81" t="s">
        <v>179</v>
      </c>
      <c r="AS2286" s="81">
        <v>0</v>
      </c>
      <c r="AT2286" s="81">
        <v>0</v>
      </c>
      <c r="AU2286" s="81"/>
      <c r="AV2286" s="81"/>
      <c r="AW2286" s="81"/>
      <c r="AX2286" s="81"/>
      <c r="AY2286" s="81"/>
      <c r="AZ2286" s="81"/>
      <c r="BA2286" s="81"/>
      <c r="BB2286" s="81"/>
    </row>
    <row r="2287" spans="1:54" x14ac:dyDescent="0.35">
      <c r="A2287" s="66" t="s">
        <v>4965</v>
      </c>
      <c r="B2287" s="66" t="s">
        <v>5268</v>
      </c>
      <c r="C2287" s="67"/>
      <c r="D2287" s="68"/>
      <c r="E2287" s="69"/>
      <c r="F2287" s="70"/>
      <c r="G2287" s="67"/>
      <c r="H2287" s="71"/>
      <c r="I2287" s="72"/>
      <c r="J2287" s="72"/>
      <c r="K2287" s="36"/>
      <c r="L2287" s="79"/>
      <c r="M2287" s="79"/>
      <c r="N2287" s="74"/>
      <c r="O2287" s="81" t="s">
        <v>694</v>
      </c>
      <c r="P2287" s="83">
        <v>44463.752210648148</v>
      </c>
      <c r="Q2287" s="81" t="s">
        <v>5654</v>
      </c>
      <c r="R2287" s="84" t="str">
        <f>HYPERLINK("https://auditoriacidada.org.br/")</f>
        <v>https://auditoriacidada.org.br/</v>
      </c>
      <c r="S2287" s="81" t="s">
        <v>5696</v>
      </c>
      <c r="T2287" s="81"/>
      <c r="U2287" s="81"/>
      <c r="V2287" s="84" t="str">
        <f>HYPERLINK("https://pbs.twimg.com/profile_images/1103359646331486208/iTL5L1vb_normal.jpg")</f>
        <v>https://pbs.twimg.com/profile_images/1103359646331486208/iTL5L1vb_normal.jpg</v>
      </c>
      <c r="W2287" s="83">
        <v>44463.752210648148</v>
      </c>
      <c r="X2287" s="89">
        <v>44463</v>
      </c>
      <c r="Y2287" s="86" t="s">
        <v>6652</v>
      </c>
      <c r="Z2287" s="84" t="str">
        <f>HYPERLINK("https://twitter.com/catiaamorim5/status/1441463237338357763")</f>
        <v>https://twitter.com/catiaamorim5/status/1441463237338357763</v>
      </c>
      <c r="AA2287" s="81"/>
      <c r="AB2287" s="81"/>
      <c r="AC2287" s="86" t="s">
        <v>7577</v>
      </c>
      <c r="AD2287" s="81"/>
      <c r="AE2287" s="81" t="b">
        <v>0</v>
      </c>
      <c r="AF2287" s="81">
        <v>0</v>
      </c>
      <c r="AG2287" s="86" t="s">
        <v>2084</v>
      </c>
      <c r="AH2287" s="81" t="b">
        <v>0</v>
      </c>
      <c r="AI2287" s="81" t="s">
        <v>2171</v>
      </c>
      <c r="AJ2287" s="81"/>
      <c r="AK2287" s="86" t="s">
        <v>2084</v>
      </c>
      <c r="AL2287" s="81" t="b">
        <v>0</v>
      </c>
      <c r="AM2287" s="81">
        <v>4</v>
      </c>
      <c r="AN2287" s="86" t="s">
        <v>7580</v>
      </c>
      <c r="AO2287" s="86" t="s">
        <v>2178</v>
      </c>
      <c r="AP2287" s="81" t="b">
        <v>0</v>
      </c>
      <c r="AQ2287" s="86" t="s">
        <v>7580</v>
      </c>
      <c r="AR2287" s="81" t="s">
        <v>179</v>
      </c>
      <c r="AS2287" s="81">
        <v>0</v>
      </c>
      <c r="AT2287" s="81">
        <v>0</v>
      </c>
      <c r="AU2287" s="81"/>
      <c r="AV2287" s="81"/>
      <c r="AW2287" s="81"/>
      <c r="AX2287" s="81"/>
      <c r="AY2287" s="81"/>
      <c r="AZ2287" s="81"/>
      <c r="BA2287" s="81"/>
      <c r="BB2287" s="81"/>
    </row>
    <row r="2288" spans="1:54" x14ac:dyDescent="0.35">
      <c r="A2288" s="66" t="s">
        <v>4965</v>
      </c>
      <c r="B2288" s="66" t="s">
        <v>5269</v>
      </c>
      <c r="C2288" s="67"/>
      <c r="D2288" s="68"/>
      <c r="E2288" s="69"/>
      <c r="F2288" s="70"/>
      <c r="G2288" s="67"/>
      <c r="H2288" s="71"/>
      <c r="I2288" s="72"/>
      <c r="J2288" s="72"/>
      <c r="K2288" s="36"/>
      <c r="L2288" s="79"/>
      <c r="M2288" s="79"/>
      <c r="N2288" s="74"/>
      <c r="O2288" s="81" t="s">
        <v>694</v>
      </c>
      <c r="P2288" s="83">
        <v>44463.752210648148</v>
      </c>
      <c r="Q2288" s="81" t="s">
        <v>5654</v>
      </c>
      <c r="R2288" s="84" t="str">
        <f>HYPERLINK("https://auditoriacidada.org.br/")</f>
        <v>https://auditoriacidada.org.br/</v>
      </c>
      <c r="S2288" s="81" t="s">
        <v>5696</v>
      </c>
      <c r="T2288" s="81"/>
      <c r="U2288" s="81"/>
      <c r="V2288" s="84" t="str">
        <f>HYPERLINK("https://pbs.twimg.com/profile_images/1103359646331486208/iTL5L1vb_normal.jpg")</f>
        <v>https://pbs.twimg.com/profile_images/1103359646331486208/iTL5L1vb_normal.jpg</v>
      </c>
      <c r="W2288" s="83">
        <v>44463.752210648148</v>
      </c>
      <c r="X2288" s="89">
        <v>44463</v>
      </c>
      <c r="Y2288" s="86" t="s">
        <v>6652</v>
      </c>
      <c r="Z2288" s="84" t="str">
        <f>HYPERLINK("https://twitter.com/catiaamorim5/status/1441463237338357763")</f>
        <v>https://twitter.com/catiaamorim5/status/1441463237338357763</v>
      </c>
      <c r="AA2288" s="81"/>
      <c r="AB2288" s="81"/>
      <c r="AC2288" s="86" t="s">
        <v>7577</v>
      </c>
      <c r="AD2288" s="81"/>
      <c r="AE2288" s="81" t="b">
        <v>0</v>
      </c>
      <c r="AF2288" s="81">
        <v>0</v>
      </c>
      <c r="AG2288" s="86" t="s">
        <v>2084</v>
      </c>
      <c r="AH2288" s="81" t="b">
        <v>0</v>
      </c>
      <c r="AI2288" s="81" t="s">
        <v>2171</v>
      </c>
      <c r="AJ2288" s="81"/>
      <c r="AK2288" s="86" t="s">
        <v>2084</v>
      </c>
      <c r="AL2288" s="81" t="b">
        <v>0</v>
      </c>
      <c r="AM2288" s="81">
        <v>4</v>
      </c>
      <c r="AN2288" s="86" t="s">
        <v>7580</v>
      </c>
      <c r="AO2288" s="86" t="s">
        <v>2178</v>
      </c>
      <c r="AP2288" s="81" t="b">
        <v>0</v>
      </c>
      <c r="AQ2288" s="86" t="s">
        <v>7580</v>
      </c>
      <c r="AR2288" s="81" t="s">
        <v>179</v>
      </c>
      <c r="AS2288" s="81">
        <v>0</v>
      </c>
      <c r="AT2288" s="81">
        <v>0</v>
      </c>
      <c r="AU2288" s="81"/>
      <c r="AV2288" s="81"/>
      <c r="AW2288" s="81"/>
      <c r="AX2288" s="81"/>
      <c r="AY2288" s="81"/>
      <c r="AZ2288" s="81"/>
      <c r="BA2288" s="81"/>
      <c r="BB2288" s="81"/>
    </row>
    <row r="2289" spans="1:54" x14ac:dyDescent="0.35">
      <c r="A2289" s="66" t="s">
        <v>4965</v>
      </c>
      <c r="B2289" s="66" t="s">
        <v>4963</v>
      </c>
      <c r="C2289" s="67"/>
      <c r="D2289" s="68"/>
      <c r="E2289" s="69"/>
      <c r="F2289" s="70"/>
      <c r="G2289" s="67"/>
      <c r="H2289" s="71"/>
      <c r="I2289" s="72"/>
      <c r="J2289" s="72"/>
      <c r="K2289" s="36"/>
      <c r="L2289" s="79"/>
      <c r="M2289" s="79"/>
      <c r="N2289" s="74"/>
      <c r="O2289" s="81" t="s">
        <v>693</v>
      </c>
      <c r="P2289" s="83">
        <v>44463.752210648148</v>
      </c>
      <c r="Q2289" s="81" t="s">
        <v>5654</v>
      </c>
      <c r="R2289" s="84" t="str">
        <f>HYPERLINK("https://auditoriacidada.org.br/")</f>
        <v>https://auditoriacidada.org.br/</v>
      </c>
      <c r="S2289" s="81" t="s">
        <v>5696</v>
      </c>
      <c r="T2289" s="81"/>
      <c r="U2289" s="81"/>
      <c r="V2289" s="84" t="str">
        <f>HYPERLINK("https://pbs.twimg.com/profile_images/1103359646331486208/iTL5L1vb_normal.jpg")</f>
        <v>https://pbs.twimg.com/profile_images/1103359646331486208/iTL5L1vb_normal.jpg</v>
      </c>
      <c r="W2289" s="83">
        <v>44463.752210648148</v>
      </c>
      <c r="X2289" s="89">
        <v>44463</v>
      </c>
      <c r="Y2289" s="86" t="s">
        <v>6652</v>
      </c>
      <c r="Z2289" s="84" t="str">
        <f>HYPERLINK("https://twitter.com/catiaamorim5/status/1441463237338357763")</f>
        <v>https://twitter.com/catiaamorim5/status/1441463237338357763</v>
      </c>
      <c r="AA2289" s="81"/>
      <c r="AB2289" s="81"/>
      <c r="AC2289" s="86" t="s">
        <v>7577</v>
      </c>
      <c r="AD2289" s="81"/>
      <c r="AE2289" s="81" t="b">
        <v>0</v>
      </c>
      <c r="AF2289" s="81">
        <v>0</v>
      </c>
      <c r="AG2289" s="86" t="s">
        <v>2084</v>
      </c>
      <c r="AH2289" s="81" t="b">
        <v>0</v>
      </c>
      <c r="AI2289" s="81" t="s">
        <v>2171</v>
      </c>
      <c r="AJ2289" s="81"/>
      <c r="AK2289" s="86" t="s">
        <v>2084</v>
      </c>
      <c r="AL2289" s="81" t="b">
        <v>0</v>
      </c>
      <c r="AM2289" s="81">
        <v>4</v>
      </c>
      <c r="AN2289" s="86" t="s">
        <v>7580</v>
      </c>
      <c r="AO2289" s="86" t="s">
        <v>2178</v>
      </c>
      <c r="AP2289" s="81" t="b">
        <v>0</v>
      </c>
      <c r="AQ2289" s="86" t="s">
        <v>7580</v>
      </c>
      <c r="AR2289" s="81" t="s">
        <v>179</v>
      </c>
      <c r="AS2289" s="81">
        <v>0</v>
      </c>
      <c r="AT2289" s="81">
        <v>0</v>
      </c>
      <c r="AU2289" s="81"/>
      <c r="AV2289" s="81"/>
      <c r="AW2289" s="81"/>
      <c r="AX2289" s="81"/>
      <c r="AY2289" s="81"/>
      <c r="AZ2289" s="81"/>
      <c r="BA2289" s="81"/>
      <c r="BB2289" s="81"/>
    </row>
    <row r="2290" spans="1:54" x14ac:dyDescent="0.35">
      <c r="A2290" s="66" t="s">
        <v>4965</v>
      </c>
      <c r="B2290" s="66" t="s">
        <v>5270</v>
      </c>
      <c r="C2290" s="67"/>
      <c r="D2290" s="68"/>
      <c r="E2290" s="69"/>
      <c r="F2290" s="70"/>
      <c r="G2290" s="67"/>
      <c r="H2290" s="71"/>
      <c r="I2290" s="72"/>
      <c r="J2290" s="72"/>
      <c r="K2290" s="36"/>
      <c r="L2290" s="79"/>
      <c r="M2290" s="79"/>
      <c r="N2290" s="74"/>
      <c r="O2290" s="81" t="s">
        <v>695</v>
      </c>
      <c r="P2290" s="83">
        <v>44463.752210648148</v>
      </c>
      <c r="Q2290" s="81" t="s">
        <v>5654</v>
      </c>
      <c r="R2290" s="84" t="str">
        <f>HYPERLINK("https://auditoriacidada.org.br/")</f>
        <v>https://auditoriacidada.org.br/</v>
      </c>
      <c r="S2290" s="81" t="s">
        <v>5696</v>
      </c>
      <c r="T2290" s="81"/>
      <c r="U2290" s="81"/>
      <c r="V2290" s="84" t="str">
        <f>HYPERLINK("https://pbs.twimg.com/profile_images/1103359646331486208/iTL5L1vb_normal.jpg")</f>
        <v>https://pbs.twimg.com/profile_images/1103359646331486208/iTL5L1vb_normal.jpg</v>
      </c>
      <c r="W2290" s="83">
        <v>44463.752210648148</v>
      </c>
      <c r="X2290" s="89">
        <v>44463</v>
      </c>
      <c r="Y2290" s="86" t="s">
        <v>6652</v>
      </c>
      <c r="Z2290" s="84" t="str">
        <f>HYPERLINK("https://twitter.com/catiaamorim5/status/1441463237338357763")</f>
        <v>https://twitter.com/catiaamorim5/status/1441463237338357763</v>
      </c>
      <c r="AA2290" s="81"/>
      <c r="AB2290" s="81"/>
      <c r="AC2290" s="86" t="s">
        <v>7577</v>
      </c>
      <c r="AD2290" s="81"/>
      <c r="AE2290" s="81" t="b">
        <v>0</v>
      </c>
      <c r="AF2290" s="81">
        <v>0</v>
      </c>
      <c r="AG2290" s="86" t="s">
        <v>2084</v>
      </c>
      <c r="AH2290" s="81" t="b">
        <v>0</v>
      </c>
      <c r="AI2290" s="81" t="s">
        <v>2171</v>
      </c>
      <c r="AJ2290" s="81"/>
      <c r="AK2290" s="86" t="s">
        <v>2084</v>
      </c>
      <c r="AL2290" s="81" t="b">
        <v>0</v>
      </c>
      <c r="AM2290" s="81">
        <v>4</v>
      </c>
      <c r="AN2290" s="86" t="s">
        <v>7580</v>
      </c>
      <c r="AO2290" s="86" t="s">
        <v>2178</v>
      </c>
      <c r="AP2290" s="81" t="b">
        <v>0</v>
      </c>
      <c r="AQ2290" s="86" t="s">
        <v>7580</v>
      </c>
      <c r="AR2290" s="81" t="s">
        <v>179</v>
      </c>
      <c r="AS2290" s="81">
        <v>0</v>
      </c>
      <c r="AT2290" s="81">
        <v>0</v>
      </c>
      <c r="AU2290" s="81"/>
      <c r="AV2290" s="81"/>
      <c r="AW2290" s="81"/>
      <c r="AX2290" s="81"/>
      <c r="AY2290" s="81"/>
      <c r="AZ2290" s="81"/>
      <c r="BA2290" s="81"/>
      <c r="BB2290" s="81"/>
    </row>
    <row r="2291" spans="1:54" x14ac:dyDescent="0.35">
      <c r="A2291" s="66" t="s">
        <v>4967</v>
      </c>
      <c r="B2291" s="66" t="s">
        <v>4965</v>
      </c>
      <c r="C2291" s="67"/>
      <c r="D2291" s="68"/>
      <c r="E2291" s="69"/>
      <c r="F2291" s="70"/>
      <c r="G2291" s="67"/>
      <c r="H2291" s="71"/>
      <c r="I2291" s="72"/>
      <c r="J2291" s="72"/>
      <c r="K2291" s="36"/>
      <c r="L2291" s="79"/>
      <c r="M2291" s="79"/>
      <c r="N2291" s="74"/>
      <c r="O2291" s="81" t="s">
        <v>694</v>
      </c>
      <c r="P2291" s="83">
        <v>44464.140057870369</v>
      </c>
      <c r="Q2291" s="81" t="s">
        <v>5654</v>
      </c>
      <c r="R2291" s="84" t="str">
        <f>HYPERLINK("https://auditoriacidada.org.br/")</f>
        <v>https://auditoriacidada.org.br/</v>
      </c>
      <c r="S2291" s="81" t="s">
        <v>5696</v>
      </c>
      <c r="T2291" s="81"/>
      <c r="U2291" s="81"/>
      <c r="V2291" s="84" t="str">
        <f>HYPERLINK("https://pbs.twimg.com/profile_images/1399527376242069507/ZhhDd0tB_normal.jpg")</f>
        <v>https://pbs.twimg.com/profile_images/1399527376242069507/ZhhDd0tB_normal.jpg</v>
      </c>
      <c r="W2291" s="83">
        <v>44464.140057870369</v>
      </c>
      <c r="X2291" s="89">
        <v>44464</v>
      </c>
      <c r="Y2291" s="86" t="s">
        <v>6654</v>
      </c>
      <c r="Z2291" s="84" t="str">
        <f>HYPERLINK("https://twitter.com/mariacr64955277/status/1441603789765677056")</f>
        <v>https://twitter.com/mariacr64955277/status/1441603789765677056</v>
      </c>
      <c r="AA2291" s="81"/>
      <c r="AB2291" s="81"/>
      <c r="AC2291" s="86" t="s">
        <v>7579</v>
      </c>
      <c r="AD2291" s="81"/>
      <c r="AE2291" s="81" t="b">
        <v>0</v>
      </c>
      <c r="AF2291" s="81">
        <v>0</v>
      </c>
      <c r="AG2291" s="86" t="s">
        <v>2084</v>
      </c>
      <c r="AH2291" s="81" t="b">
        <v>0</v>
      </c>
      <c r="AI2291" s="81" t="s">
        <v>2171</v>
      </c>
      <c r="AJ2291" s="81"/>
      <c r="AK2291" s="86" t="s">
        <v>2084</v>
      </c>
      <c r="AL2291" s="81" t="b">
        <v>0</v>
      </c>
      <c r="AM2291" s="81">
        <v>4</v>
      </c>
      <c r="AN2291" s="86" t="s">
        <v>7580</v>
      </c>
      <c r="AO2291" s="86" t="s">
        <v>2178</v>
      </c>
      <c r="AP2291" s="81" t="b">
        <v>0</v>
      </c>
      <c r="AQ2291" s="86" t="s">
        <v>7580</v>
      </c>
      <c r="AR2291" s="81" t="s">
        <v>179</v>
      </c>
      <c r="AS2291" s="81">
        <v>0</v>
      </c>
      <c r="AT2291" s="81">
        <v>0</v>
      </c>
      <c r="AU2291" s="81"/>
      <c r="AV2291" s="81"/>
      <c r="AW2291" s="81"/>
      <c r="AX2291" s="81"/>
      <c r="AY2291" s="81"/>
      <c r="AZ2291" s="81"/>
      <c r="BA2291" s="81"/>
      <c r="BB2291" s="81"/>
    </row>
    <row r="2292" spans="1:54" x14ac:dyDescent="0.35">
      <c r="A2292" s="66" t="s">
        <v>4963</v>
      </c>
      <c r="B2292" s="66" t="s">
        <v>4965</v>
      </c>
      <c r="C2292" s="67"/>
      <c r="D2292" s="68"/>
      <c r="E2292" s="69"/>
      <c r="F2292" s="70"/>
      <c r="G2292" s="67"/>
      <c r="H2292" s="71"/>
      <c r="I2292" s="72"/>
      <c r="J2292" s="72"/>
      <c r="K2292" s="36"/>
      <c r="L2292" s="79"/>
      <c r="M2292" s="79"/>
      <c r="N2292" s="74"/>
      <c r="O2292" s="81" t="s">
        <v>696</v>
      </c>
      <c r="P2292" s="83">
        <v>44463.598182870373</v>
      </c>
      <c r="Q2292" s="81" t="s">
        <v>5654</v>
      </c>
      <c r="R2292" s="84" t="str">
        <f>HYPERLINK("https://auditoriacidada.org.br/")</f>
        <v>https://auditoriacidada.org.br/</v>
      </c>
      <c r="S2292" s="81" t="s">
        <v>5696</v>
      </c>
      <c r="T2292" s="81"/>
      <c r="U2292" s="81"/>
      <c r="V2292" s="84" t="str">
        <f>HYPERLINK("https://pbs.twimg.com/profile_images/1258569360236576770/7E9EYrtd_normal.jpg")</f>
        <v>https://pbs.twimg.com/profile_images/1258569360236576770/7E9EYrtd_normal.jpg</v>
      </c>
      <c r="W2292" s="83">
        <v>44463.598182870373</v>
      </c>
      <c r="X2292" s="89">
        <v>44463</v>
      </c>
      <c r="Y2292" s="86" t="s">
        <v>6655</v>
      </c>
      <c r="Z2292" s="84" t="str">
        <f>HYPERLINK("https://twitter.com/panchitoblanco1/status/1441407420660604930")</f>
        <v>https://twitter.com/panchitoblanco1/status/1441407420660604930</v>
      </c>
      <c r="AA2292" s="81"/>
      <c r="AB2292" s="81"/>
      <c r="AC2292" s="86" t="s">
        <v>7580</v>
      </c>
      <c r="AD2292" s="86" t="s">
        <v>7780</v>
      </c>
      <c r="AE2292" s="81" t="b">
        <v>0</v>
      </c>
      <c r="AF2292" s="81">
        <v>10</v>
      </c>
      <c r="AG2292" s="86" t="s">
        <v>7951</v>
      </c>
      <c r="AH2292" s="81" t="b">
        <v>0</v>
      </c>
      <c r="AI2292" s="81" t="s">
        <v>2171</v>
      </c>
      <c r="AJ2292" s="81"/>
      <c r="AK2292" s="86" t="s">
        <v>2084</v>
      </c>
      <c r="AL2292" s="81" t="b">
        <v>0</v>
      </c>
      <c r="AM2292" s="81">
        <v>4</v>
      </c>
      <c r="AN2292" s="86" t="s">
        <v>2084</v>
      </c>
      <c r="AO2292" s="86" t="s">
        <v>2178</v>
      </c>
      <c r="AP2292" s="81" t="b">
        <v>0</v>
      </c>
      <c r="AQ2292" s="86" t="s">
        <v>7780</v>
      </c>
      <c r="AR2292" s="81" t="s">
        <v>179</v>
      </c>
      <c r="AS2292" s="81">
        <v>0</v>
      </c>
      <c r="AT2292" s="81">
        <v>0</v>
      </c>
      <c r="AU2292" s="81"/>
      <c r="AV2292" s="81"/>
      <c r="AW2292" s="81"/>
      <c r="AX2292" s="81"/>
      <c r="AY2292" s="81"/>
      <c r="AZ2292" s="81"/>
      <c r="BA2292" s="81"/>
      <c r="BB2292" s="81"/>
    </row>
    <row r="2293" spans="1:54" x14ac:dyDescent="0.35">
      <c r="A2293" s="66" t="s">
        <v>4967</v>
      </c>
      <c r="B2293" s="66" t="s">
        <v>5235</v>
      </c>
      <c r="C2293" s="67"/>
      <c r="D2293" s="68"/>
      <c r="E2293" s="69"/>
      <c r="F2293" s="70"/>
      <c r="G2293" s="67"/>
      <c r="H2293" s="71"/>
      <c r="I2293" s="72"/>
      <c r="J2293" s="72"/>
      <c r="K2293" s="36"/>
      <c r="L2293" s="79"/>
      <c r="M2293" s="79"/>
      <c r="N2293" s="74"/>
      <c r="O2293" s="81" t="s">
        <v>694</v>
      </c>
      <c r="P2293" s="83">
        <v>44464.140057870369</v>
      </c>
      <c r="Q2293" s="81" t="s">
        <v>5654</v>
      </c>
      <c r="R2293" s="84" t="str">
        <f>HYPERLINK("https://auditoriacidada.org.br/")</f>
        <v>https://auditoriacidada.org.br/</v>
      </c>
      <c r="S2293" s="81" t="s">
        <v>5696</v>
      </c>
      <c r="T2293" s="81"/>
      <c r="U2293" s="81"/>
      <c r="V2293" s="84" t="str">
        <f>HYPERLINK("https://pbs.twimg.com/profile_images/1399527376242069507/ZhhDd0tB_normal.jpg")</f>
        <v>https://pbs.twimg.com/profile_images/1399527376242069507/ZhhDd0tB_normal.jpg</v>
      </c>
      <c r="W2293" s="83">
        <v>44464.140057870369</v>
      </c>
      <c r="X2293" s="89">
        <v>44464</v>
      </c>
      <c r="Y2293" s="86" t="s">
        <v>6654</v>
      </c>
      <c r="Z2293" s="84" t="str">
        <f>HYPERLINK("https://twitter.com/mariacr64955277/status/1441603789765677056")</f>
        <v>https://twitter.com/mariacr64955277/status/1441603789765677056</v>
      </c>
      <c r="AA2293" s="81"/>
      <c r="AB2293" s="81"/>
      <c r="AC2293" s="86" t="s">
        <v>7579</v>
      </c>
      <c r="AD2293" s="81"/>
      <c r="AE2293" s="81" t="b">
        <v>0</v>
      </c>
      <c r="AF2293" s="81">
        <v>0</v>
      </c>
      <c r="AG2293" s="86" t="s">
        <v>2084</v>
      </c>
      <c r="AH2293" s="81" t="b">
        <v>0</v>
      </c>
      <c r="AI2293" s="81" t="s">
        <v>2171</v>
      </c>
      <c r="AJ2293" s="81"/>
      <c r="AK2293" s="86" t="s">
        <v>2084</v>
      </c>
      <c r="AL2293" s="81" t="b">
        <v>0</v>
      </c>
      <c r="AM2293" s="81">
        <v>4</v>
      </c>
      <c r="AN2293" s="86" t="s">
        <v>7580</v>
      </c>
      <c r="AO2293" s="86" t="s">
        <v>2178</v>
      </c>
      <c r="AP2293" s="81" t="b">
        <v>0</v>
      </c>
      <c r="AQ2293" s="86" t="s">
        <v>7580</v>
      </c>
      <c r="AR2293" s="81" t="s">
        <v>179</v>
      </c>
      <c r="AS2293" s="81">
        <v>0</v>
      </c>
      <c r="AT2293" s="81">
        <v>0</v>
      </c>
      <c r="AU2293" s="81"/>
      <c r="AV2293" s="81"/>
      <c r="AW2293" s="81"/>
      <c r="AX2293" s="81"/>
      <c r="AY2293" s="81"/>
      <c r="AZ2293" s="81"/>
      <c r="BA2293" s="81"/>
      <c r="BB2293" s="81"/>
    </row>
    <row r="2294" spans="1:54" x14ac:dyDescent="0.35">
      <c r="A2294" s="66" t="s">
        <v>4963</v>
      </c>
      <c r="B2294" s="66" t="s">
        <v>5235</v>
      </c>
      <c r="C2294" s="67"/>
      <c r="D2294" s="68"/>
      <c r="E2294" s="69"/>
      <c r="F2294" s="70"/>
      <c r="G2294" s="67"/>
      <c r="H2294" s="71"/>
      <c r="I2294" s="72"/>
      <c r="J2294" s="72"/>
      <c r="K2294" s="36"/>
      <c r="L2294" s="79"/>
      <c r="M2294" s="79"/>
      <c r="N2294" s="74"/>
      <c r="O2294" s="81" t="s">
        <v>696</v>
      </c>
      <c r="P2294" s="83">
        <v>44463.598182870373</v>
      </c>
      <c r="Q2294" s="81" t="s">
        <v>5654</v>
      </c>
      <c r="R2294" s="84" t="str">
        <f>HYPERLINK("https://auditoriacidada.org.br/")</f>
        <v>https://auditoriacidada.org.br/</v>
      </c>
      <c r="S2294" s="81" t="s">
        <v>5696</v>
      </c>
      <c r="T2294" s="81"/>
      <c r="U2294" s="81"/>
      <c r="V2294" s="84" t="str">
        <f>HYPERLINK("https://pbs.twimg.com/profile_images/1258569360236576770/7E9EYrtd_normal.jpg")</f>
        <v>https://pbs.twimg.com/profile_images/1258569360236576770/7E9EYrtd_normal.jpg</v>
      </c>
      <c r="W2294" s="83">
        <v>44463.598182870373</v>
      </c>
      <c r="X2294" s="89">
        <v>44463</v>
      </c>
      <c r="Y2294" s="86" t="s">
        <v>6655</v>
      </c>
      <c r="Z2294" s="84" t="str">
        <f>HYPERLINK("https://twitter.com/panchitoblanco1/status/1441407420660604930")</f>
        <v>https://twitter.com/panchitoblanco1/status/1441407420660604930</v>
      </c>
      <c r="AA2294" s="81"/>
      <c r="AB2294" s="81"/>
      <c r="AC2294" s="86" t="s">
        <v>7580</v>
      </c>
      <c r="AD2294" s="86" t="s">
        <v>7780</v>
      </c>
      <c r="AE2294" s="81" t="b">
        <v>0</v>
      </c>
      <c r="AF2294" s="81">
        <v>10</v>
      </c>
      <c r="AG2294" s="86" t="s">
        <v>7951</v>
      </c>
      <c r="AH2294" s="81" t="b">
        <v>0</v>
      </c>
      <c r="AI2294" s="81" t="s">
        <v>2171</v>
      </c>
      <c r="AJ2294" s="81"/>
      <c r="AK2294" s="86" t="s">
        <v>2084</v>
      </c>
      <c r="AL2294" s="81" t="b">
        <v>0</v>
      </c>
      <c r="AM2294" s="81">
        <v>4</v>
      </c>
      <c r="AN2294" s="86" t="s">
        <v>2084</v>
      </c>
      <c r="AO2294" s="86" t="s">
        <v>2178</v>
      </c>
      <c r="AP2294" s="81" t="b">
        <v>0</v>
      </c>
      <c r="AQ2294" s="86" t="s">
        <v>7780</v>
      </c>
      <c r="AR2294" s="81" t="s">
        <v>179</v>
      </c>
      <c r="AS2294" s="81">
        <v>0</v>
      </c>
      <c r="AT2294" s="81">
        <v>0</v>
      </c>
      <c r="AU2294" s="81"/>
      <c r="AV2294" s="81"/>
      <c r="AW2294" s="81"/>
      <c r="AX2294" s="81"/>
      <c r="AY2294" s="81"/>
      <c r="AZ2294" s="81"/>
      <c r="BA2294" s="81"/>
      <c r="BB2294" s="81"/>
    </row>
    <row r="2295" spans="1:54" x14ac:dyDescent="0.35">
      <c r="A2295" s="66" t="s">
        <v>4967</v>
      </c>
      <c r="B2295" s="66" t="s">
        <v>5236</v>
      </c>
      <c r="C2295" s="67"/>
      <c r="D2295" s="68"/>
      <c r="E2295" s="69"/>
      <c r="F2295" s="70"/>
      <c r="G2295" s="67"/>
      <c r="H2295" s="71"/>
      <c r="I2295" s="72"/>
      <c r="J2295" s="72"/>
      <c r="K2295" s="36"/>
      <c r="L2295" s="79"/>
      <c r="M2295" s="79"/>
      <c r="N2295" s="74"/>
      <c r="O2295" s="81" t="s">
        <v>694</v>
      </c>
      <c r="P2295" s="83">
        <v>44464.140057870369</v>
      </c>
      <c r="Q2295" s="81" t="s">
        <v>5654</v>
      </c>
      <c r="R2295" s="84" t="str">
        <f>HYPERLINK("https://auditoriacidada.org.br/")</f>
        <v>https://auditoriacidada.org.br/</v>
      </c>
      <c r="S2295" s="81" t="s">
        <v>5696</v>
      </c>
      <c r="T2295" s="81"/>
      <c r="U2295" s="81"/>
      <c r="V2295" s="84" t="str">
        <f>HYPERLINK("https://pbs.twimg.com/profile_images/1399527376242069507/ZhhDd0tB_normal.jpg")</f>
        <v>https://pbs.twimg.com/profile_images/1399527376242069507/ZhhDd0tB_normal.jpg</v>
      </c>
      <c r="W2295" s="83">
        <v>44464.140057870369</v>
      </c>
      <c r="X2295" s="89">
        <v>44464</v>
      </c>
      <c r="Y2295" s="86" t="s">
        <v>6654</v>
      </c>
      <c r="Z2295" s="84" t="str">
        <f>HYPERLINK("https://twitter.com/mariacr64955277/status/1441603789765677056")</f>
        <v>https://twitter.com/mariacr64955277/status/1441603789765677056</v>
      </c>
      <c r="AA2295" s="81"/>
      <c r="AB2295" s="81"/>
      <c r="AC2295" s="86" t="s">
        <v>7579</v>
      </c>
      <c r="AD2295" s="81"/>
      <c r="AE2295" s="81" t="b">
        <v>0</v>
      </c>
      <c r="AF2295" s="81">
        <v>0</v>
      </c>
      <c r="AG2295" s="86" t="s">
        <v>2084</v>
      </c>
      <c r="AH2295" s="81" t="b">
        <v>0</v>
      </c>
      <c r="AI2295" s="81" t="s">
        <v>2171</v>
      </c>
      <c r="AJ2295" s="81"/>
      <c r="AK2295" s="86" t="s">
        <v>2084</v>
      </c>
      <c r="AL2295" s="81" t="b">
        <v>0</v>
      </c>
      <c r="AM2295" s="81">
        <v>4</v>
      </c>
      <c r="AN2295" s="86" t="s">
        <v>7580</v>
      </c>
      <c r="AO2295" s="86" t="s">
        <v>2178</v>
      </c>
      <c r="AP2295" s="81" t="b">
        <v>0</v>
      </c>
      <c r="AQ2295" s="86" t="s">
        <v>7580</v>
      </c>
      <c r="AR2295" s="81" t="s">
        <v>179</v>
      </c>
      <c r="AS2295" s="81">
        <v>0</v>
      </c>
      <c r="AT2295" s="81">
        <v>0</v>
      </c>
      <c r="AU2295" s="81"/>
      <c r="AV2295" s="81"/>
      <c r="AW2295" s="81"/>
      <c r="AX2295" s="81"/>
      <c r="AY2295" s="81"/>
      <c r="AZ2295" s="81"/>
      <c r="BA2295" s="81"/>
      <c r="BB2295" s="81"/>
    </row>
    <row r="2296" spans="1:54" x14ac:dyDescent="0.35">
      <c r="A2296" s="66" t="s">
        <v>4963</v>
      </c>
      <c r="B2296" s="66" t="s">
        <v>5236</v>
      </c>
      <c r="C2296" s="67"/>
      <c r="D2296" s="68"/>
      <c r="E2296" s="69"/>
      <c r="F2296" s="70"/>
      <c r="G2296" s="67"/>
      <c r="H2296" s="71"/>
      <c r="I2296" s="72"/>
      <c r="J2296" s="72"/>
      <c r="K2296" s="36"/>
      <c r="L2296" s="79"/>
      <c r="M2296" s="79"/>
      <c r="N2296" s="74"/>
      <c r="O2296" s="81" t="s">
        <v>696</v>
      </c>
      <c r="P2296" s="83">
        <v>44463.598182870373</v>
      </c>
      <c r="Q2296" s="81" t="s">
        <v>5654</v>
      </c>
      <c r="R2296" s="84" t="str">
        <f>HYPERLINK("https://auditoriacidada.org.br/")</f>
        <v>https://auditoriacidada.org.br/</v>
      </c>
      <c r="S2296" s="81" t="s">
        <v>5696</v>
      </c>
      <c r="T2296" s="81"/>
      <c r="U2296" s="81"/>
      <c r="V2296" s="84" t="str">
        <f>HYPERLINK("https://pbs.twimg.com/profile_images/1258569360236576770/7E9EYrtd_normal.jpg")</f>
        <v>https://pbs.twimg.com/profile_images/1258569360236576770/7E9EYrtd_normal.jpg</v>
      </c>
      <c r="W2296" s="83">
        <v>44463.598182870373</v>
      </c>
      <c r="X2296" s="89">
        <v>44463</v>
      </c>
      <c r="Y2296" s="86" t="s">
        <v>6655</v>
      </c>
      <c r="Z2296" s="84" t="str">
        <f>HYPERLINK("https://twitter.com/panchitoblanco1/status/1441407420660604930")</f>
        <v>https://twitter.com/panchitoblanco1/status/1441407420660604930</v>
      </c>
      <c r="AA2296" s="81"/>
      <c r="AB2296" s="81"/>
      <c r="AC2296" s="86" t="s">
        <v>7580</v>
      </c>
      <c r="AD2296" s="86" t="s">
        <v>7780</v>
      </c>
      <c r="AE2296" s="81" t="b">
        <v>0</v>
      </c>
      <c r="AF2296" s="81">
        <v>10</v>
      </c>
      <c r="AG2296" s="86" t="s">
        <v>7951</v>
      </c>
      <c r="AH2296" s="81" t="b">
        <v>0</v>
      </c>
      <c r="AI2296" s="81" t="s">
        <v>2171</v>
      </c>
      <c r="AJ2296" s="81"/>
      <c r="AK2296" s="86" t="s">
        <v>2084</v>
      </c>
      <c r="AL2296" s="81" t="b">
        <v>0</v>
      </c>
      <c r="AM2296" s="81">
        <v>4</v>
      </c>
      <c r="AN2296" s="86" t="s">
        <v>2084</v>
      </c>
      <c r="AO2296" s="86" t="s">
        <v>2178</v>
      </c>
      <c r="AP2296" s="81" t="b">
        <v>0</v>
      </c>
      <c r="AQ2296" s="86" t="s">
        <v>7780</v>
      </c>
      <c r="AR2296" s="81" t="s">
        <v>179</v>
      </c>
      <c r="AS2296" s="81">
        <v>0</v>
      </c>
      <c r="AT2296" s="81">
        <v>0</v>
      </c>
      <c r="AU2296" s="81"/>
      <c r="AV2296" s="81"/>
      <c r="AW2296" s="81"/>
      <c r="AX2296" s="81"/>
      <c r="AY2296" s="81"/>
      <c r="AZ2296" s="81"/>
      <c r="BA2296" s="81"/>
      <c r="BB2296" s="81"/>
    </row>
    <row r="2297" spans="1:54" x14ac:dyDescent="0.35">
      <c r="A2297" s="66" t="s">
        <v>4967</v>
      </c>
      <c r="B2297" s="66" t="s">
        <v>5237</v>
      </c>
      <c r="C2297" s="67"/>
      <c r="D2297" s="68"/>
      <c r="E2297" s="69"/>
      <c r="F2297" s="70"/>
      <c r="G2297" s="67"/>
      <c r="H2297" s="71"/>
      <c r="I2297" s="72"/>
      <c r="J2297" s="72"/>
      <c r="K2297" s="36"/>
      <c r="L2297" s="79"/>
      <c r="M2297" s="79"/>
      <c r="N2297" s="74"/>
      <c r="O2297" s="81" t="s">
        <v>694</v>
      </c>
      <c r="P2297" s="83">
        <v>44464.140057870369</v>
      </c>
      <c r="Q2297" s="81" t="s">
        <v>5654</v>
      </c>
      <c r="R2297" s="84" t="str">
        <f>HYPERLINK("https://auditoriacidada.org.br/")</f>
        <v>https://auditoriacidada.org.br/</v>
      </c>
      <c r="S2297" s="81" t="s">
        <v>5696</v>
      </c>
      <c r="T2297" s="81"/>
      <c r="U2297" s="81"/>
      <c r="V2297" s="84" t="str">
        <f>HYPERLINK("https://pbs.twimg.com/profile_images/1399527376242069507/ZhhDd0tB_normal.jpg")</f>
        <v>https://pbs.twimg.com/profile_images/1399527376242069507/ZhhDd0tB_normal.jpg</v>
      </c>
      <c r="W2297" s="83">
        <v>44464.140057870369</v>
      </c>
      <c r="X2297" s="89">
        <v>44464</v>
      </c>
      <c r="Y2297" s="86" t="s">
        <v>6654</v>
      </c>
      <c r="Z2297" s="84" t="str">
        <f>HYPERLINK("https://twitter.com/mariacr64955277/status/1441603789765677056")</f>
        <v>https://twitter.com/mariacr64955277/status/1441603789765677056</v>
      </c>
      <c r="AA2297" s="81"/>
      <c r="AB2297" s="81"/>
      <c r="AC2297" s="86" t="s">
        <v>7579</v>
      </c>
      <c r="AD2297" s="81"/>
      <c r="AE2297" s="81" t="b">
        <v>0</v>
      </c>
      <c r="AF2297" s="81">
        <v>0</v>
      </c>
      <c r="AG2297" s="86" t="s">
        <v>2084</v>
      </c>
      <c r="AH2297" s="81" t="b">
        <v>0</v>
      </c>
      <c r="AI2297" s="81" t="s">
        <v>2171</v>
      </c>
      <c r="AJ2297" s="81"/>
      <c r="AK2297" s="86" t="s">
        <v>2084</v>
      </c>
      <c r="AL2297" s="81" t="b">
        <v>0</v>
      </c>
      <c r="AM2297" s="81">
        <v>4</v>
      </c>
      <c r="AN2297" s="86" t="s">
        <v>7580</v>
      </c>
      <c r="AO2297" s="86" t="s">
        <v>2178</v>
      </c>
      <c r="AP2297" s="81" t="b">
        <v>0</v>
      </c>
      <c r="AQ2297" s="86" t="s">
        <v>7580</v>
      </c>
      <c r="AR2297" s="81" t="s">
        <v>179</v>
      </c>
      <c r="AS2297" s="81">
        <v>0</v>
      </c>
      <c r="AT2297" s="81">
        <v>0</v>
      </c>
      <c r="AU2297" s="81"/>
      <c r="AV2297" s="81"/>
      <c r="AW2297" s="81"/>
      <c r="AX2297" s="81"/>
      <c r="AY2297" s="81"/>
      <c r="AZ2297" s="81"/>
      <c r="BA2297" s="81"/>
      <c r="BB2297" s="81"/>
    </row>
    <row r="2298" spans="1:54" x14ac:dyDescent="0.35">
      <c r="A2298" s="66" t="s">
        <v>4963</v>
      </c>
      <c r="B2298" s="66" t="s">
        <v>5237</v>
      </c>
      <c r="C2298" s="67"/>
      <c r="D2298" s="68"/>
      <c r="E2298" s="69"/>
      <c r="F2298" s="70"/>
      <c r="G2298" s="67"/>
      <c r="H2298" s="71"/>
      <c r="I2298" s="72"/>
      <c r="J2298" s="72"/>
      <c r="K2298" s="36"/>
      <c r="L2298" s="79"/>
      <c r="M2298" s="79"/>
      <c r="N2298" s="74"/>
      <c r="O2298" s="81" t="s">
        <v>696</v>
      </c>
      <c r="P2298" s="83">
        <v>44463.598182870373</v>
      </c>
      <c r="Q2298" s="81" t="s">
        <v>5654</v>
      </c>
      <c r="R2298" s="84" t="str">
        <f>HYPERLINK("https://auditoriacidada.org.br/")</f>
        <v>https://auditoriacidada.org.br/</v>
      </c>
      <c r="S2298" s="81" t="s">
        <v>5696</v>
      </c>
      <c r="T2298" s="81"/>
      <c r="U2298" s="81"/>
      <c r="V2298" s="84" t="str">
        <f>HYPERLINK("https://pbs.twimg.com/profile_images/1258569360236576770/7E9EYrtd_normal.jpg")</f>
        <v>https://pbs.twimg.com/profile_images/1258569360236576770/7E9EYrtd_normal.jpg</v>
      </c>
      <c r="W2298" s="83">
        <v>44463.598182870373</v>
      </c>
      <c r="X2298" s="89">
        <v>44463</v>
      </c>
      <c r="Y2298" s="86" t="s">
        <v>6655</v>
      </c>
      <c r="Z2298" s="84" t="str">
        <f>HYPERLINK("https://twitter.com/panchitoblanco1/status/1441407420660604930")</f>
        <v>https://twitter.com/panchitoblanco1/status/1441407420660604930</v>
      </c>
      <c r="AA2298" s="81"/>
      <c r="AB2298" s="81"/>
      <c r="AC2298" s="86" t="s">
        <v>7580</v>
      </c>
      <c r="AD2298" s="86" t="s">
        <v>7780</v>
      </c>
      <c r="AE2298" s="81" t="b">
        <v>0</v>
      </c>
      <c r="AF2298" s="81">
        <v>10</v>
      </c>
      <c r="AG2298" s="86" t="s">
        <v>7951</v>
      </c>
      <c r="AH2298" s="81" t="b">
        <v>0</v>
      </c>
      <c r="AI2298" s="81" t="s">
        <v>2171</v>
      </c>
      <c r="AJ2298" s="81"/>
      <c r="AK2298" s="86" t="s">
        <v>2084</v>
      </c>
      <c r="AL2298" s="81" t="b">
        <v>0</v>
      </c>
      <c r="AM2298" s="81">
        <v>4</v>
      </c>
      <c r="AN2298" s="86" t="s">
        <v>2084</v>
      </c>
      <c r="AO2298" s="86" t="s">
        <v>2178</v>
      </c>
      <c r="AP2298" s="81" t="b">
        <v>0</v>
      </c>
      <c r="AQ2298" s="86" t="s">
        <v>7780</v>
      </c>
      <c r="AR2298" s="81" t="s">
        <v>179</v>
      </c>
      <c r="AS2298" s="81">
        <v>0</v>
      </c>
      <c r="AT2298" s="81">
        <v>0</v>
      </c>
      <c r="AU2298" s="81"/>
      <c r="AV2298" s="81"/>
      <c r="AW2298" s="81"/>
      <c r="AX2298" s="81"/>
      <c r="AY2298" s="81"/>
      <c r="AZ2298" s="81"/>
      <c r="BA2298" s="81"/>
      <c r="BB2298" s="81"/>
    </row>
    <row r="2299" spans="1:54" x14ac:dyDescent="0.35">
      <c r="A2299" s="66" t="s">
        <v>4967</v>
      </c>
      <c r="B2299" s="66" t="s">
        <v>5238</v>
      </c>
      <c r="C2299" s="67"/>
      <c r="D2299" s="68"/>
      <c r="E2299" s="69"/>
      <c r="F2299" s="70"/>
      <c r="G2299" s="67"/>
      <c r="H2299" s="71"/>
      <c r="I2299" s="72"/>
      <c r="J2299" s="72"/>
      <c r="K2299" s="36"/>
      <c r="L2299" s="79"/>
      <c r="M2299" s="79"/>
      <c r="N2299" s="74"/>
      <c r="O2299" s="81" t="s">
        <v>694</v>
      </c>
      <c r="P2299" s="83">
        <v>44464.140057870369</v>
      </c>
      <c r="Q2299" s="81" t="s">
        <v>5654</v>
      </c>
      <c r="R2299" s="84" t="str">
        <f>HYPERLINK("https://auditoriacidada.org.br/")</f>
        <v>https://auditoriacidada.org.br/</v>
      </c>
      <c r="S2299" s="81" t="s">
        <v>5696</v>
      </c>
      <c r="T2299" s="81"/>
      <c r="U2299" s="81"/>
      <c r="V2299" s="84" t="str">
        <f>HYPERLINK("https://pbs.twimg.com/profile_images/1399527376242069507/ZhhDd0tB_normal.jpg")</f>
        <v>https://pbs.twimg.com/profile_images/1399527376242069507/ZhhDd0tB_normal.jpg</v>
      </c>
      <c r="W2299" s="83">
        <v>44464.140057870369</v>
      </c>
      <c r="X2299" s="89">
        <v>44464</v>
      </c>
      <c r="Y2299" s="86" t="s">
        <v>6654</v>
      </c>
      <c r="Z2299" s="84" t="str">
        <f>HYPERLINK("https://twitter.com/mariacr64955277/status/1441603789765677056")</f>
        <v>https://twitter.com/mariacr64955277/status/1441603789765677056</v>
      </c>
      <c r="AA2299" s="81"/>
      <c r="AB2299" s="81"/>
      <c r="AC2299" s="86" t="s">
        <v>7579</v>
      </c>
      <c r="AD2299" s="81"/>
      <c r="AE2299" s="81" t="b">
        <v>0</v>
      </c>
      <c r="AF2299" s="81">
        <v>0</v>
      </c>
      <c r="AG2299" s="86" t="s">
        <v>2084</v>
      </c>
      <c r="AH2299" s="81" t="b">
        <v>0</v>
      </c>
      <c r="AI2299" s="81" t="s">
        <v>2171</v>
      </c>
      <c r="AJ2299" s="81"/>
      <c r="AK2299" s="86" t="s">
        <v>2084</v>
      </c>
      <c r="AL2299" s="81" t="b">
        <v>0</v>
      </c>
      <c r="AM2299" s="81">
        <v>4</v>
      </c>
      <c r="AN2299" s="86" t="s">
        <v>7580</v>
      </c>
      <c r="AO2299" s="86" t="s">
        <v>2178</v>
      </c>
      <c r="AP2299" s="81" t="b">
        <v>0</v>
      </c>
      <c r="AQ2299" s="86" t="s">
        <v>7580</v>
      </c>
      <c r="AR2299" s="81" t="s">
        <v>179</v>
      </c>
      <c r="AS2299" s="81">
        <v>0</v>
      </c>
      <c r="AT2299" s="81">
        <v>0</v>
      </c>
      <c r="AU2299" s="81"/>
      <c r="AV2299" s="81"/>
      <c r="AW2299" s="81"/>
      <c r="AX2299" s="81"/>
      <c r="AY2299" s="81"/>
      <c r="AZ2299" s="81"/>
      <c r="BA2299" s="81"/>
      <c r="BB2299" s="81"/>
    </row>
    <row r="2300" spans="1:54" x14ac:dyDescent="0.35">
      <c r="A2300" s="66" t="s">
        <v>4963</v>
      </c>
      <c r="B2300" s="66" t="s">
        <v>5238</v>
      </c>
      <c r="C2300" s="67"/>
      <c r="D2300" s="68"/>
      <c r="E2300" s="69"/>
      <c r="F2300" s="70"/>
      <c r="G2300" s="67"/>
      <c r="H2300" s="71"/>
      <c r="I2300" s="72"/>
      <c r="J2300" s="72"/>
      <c r="K2300" s="36"/>
      <c r="L2300" s="79"/>
      <c r="M2300" s="79"/>
      <c r="N2300" s="74"/>
      <c r="O2300" s="81" t="s">
        <v>696</v>
      </c>
      <c r="P2300" s="83">
        <v>44463.598182870373</v>
      </c>
      <c r="Q2300" s="81" t="s">
        <v>5654</v>
      </c>
      <c r="R2300" s="84" t="str">
        <f>HYPERLINK("https://auditoriacidada.org.br/")</f>
        <v>https://auditoriacidada.org.br/</v>
      </c>
      <c r="S2300" s="81" t="s">
        <v>5696</v>
      </c>
      <c r="T2300" s="81"/>
      <c r="U2300" s="81"/>
      <c r="V2300" s="84" t="str">
        <f>HYPERLINK("https://pbs.twimg.com/profile_images/1258569360236576770/7E9EYrtd_normal.jpg")</f>
        <v>https://pbs.twimg.com/profile_images/1258569360236576770/7E9EYrtd_normal.jpg</v>
      </c>
      <c r="W2300" s="83">
        <v>44463.598182870373</v>
      </c>
      <c r="X2300" s="89">
        <v>44463</v>
      </c>
      <c r="Y2300" s="86" t="s">
        <v>6655</v>
      </c>
      <c r="Z2300" s="84" t="str">
        <f>HYPERLINK("https://twitter.com/panchitoblanco1/status/1441407420660604930")</f>
        <v>https://twitter.com/panchitoblanco1/status/1441407420660604930</v>
      </c>
      <c r="AA2300" s="81"/>
      <c r="AB2300" s="81"/>
      <c r="AC2300" s="86" t="s">
        <v>7580</v>
      </c>
      <c r="AD2300" s="86" t="s">
        <v>7780</v>
      </c>
      <c r="AE2300" s="81" t="b">
        <v>0</v>
      </c>
      <c r="AF2300" s="81">
        <v>10</v>
      </c>
      <c r="AG2300" s="86" t="s">
        <v>7951</v>
      </c>
      <c r="AH2300" s="81" t="b">
        <v>0</v>
      </c>
      <c r="AI2300" s="81" t="s">
        <v>2171</v>
      </c>
      <c r="AJ2300" s="81"/>
      <c r="AK2300" s="86" t="s">
        <v>2084</v>
      </c>
      <c r="AL2300" s="81" t="b">
        <v>0</v>
      </c>
      <c r="AM2300" s="81">
        <v>4</v>
      </c>
      <c r="AN2300" s="86" t="s">
        <v>2084</v>
      </c>
      <c r="AO2300" s="86" t="s">
        <v>2178</v>
      </c>
      <c r="AP2300" s="81" t="b">
        <v>0</v>
      </c>
      <c r="AQ2300" s="86" t="s">
        <v>7780</v>
      </c>
      <c r="AR2300" s="81" t="s">
        <v>179</v>
      </c>
      <c r="AS2300" s="81">
        <v>0</v>
      </c>
      <c r="AT2300" s="81">
        <v>0</v>
      </c>
      <c r="AU2300" s="81"/>
      <c r="AV2300" s="81"/>
      <c r="AW2300" s="81"/>
      <c r="AX2300" s="81"/>
      <c r="AY2300" s="81"/>
      <c r="AZ2300" s="81"/>
      <c r="BA2300" s="81"/>
      <c r="BB2300" s="81"/>
    </row>
    <row r="2301" spans="1:54" x14ac:dyDescent="0.35">
      <c r="A2301" s="66" t="s">
        <v>4967</v>
      </c>
      <c r="B2301" s="66" t="s">
        <v>5239</v>
      </c>
      <c r="C2301" s="67"/>
      <c r="D2301" s="68"/>
      <c r="E2301" s="69"/>
      <c r="F2301" s="70"/>
      <c r="G2301" s="67"/>
      <c r="H2301" s="71"/>
      <c r="I2301" s="72"/>
      <c r="J2301" s="72"/>
      <c r="K2301" s="36"/>
      <c r="L2301" s="79"/>
      <c r="M2301" s="79"/>
      <c r="N2301" s="74"/>
      <c r="O2301" s="81" t="s">
        <v>694</v>
      </c>
      <c r="P2301" s="83">
        <v>44464.140057870369</v>
      </c>
      <c r="Q2301" s="81" t="s">
        <v>5654</v>
      </c>
      <c r="R2301" s="84" t="str">
        <f>HYPERLINK("https://auditoriacidada.org.br/")</f>
        <v>https://auditoriacidada.org.br/</v>
      </c>
      <c r="S2301" s="81" t="s">
        <v>5696</v>
      </c>
      <c r="T2301" s="81"/>
      <c r="U2301" s="81"/>
      <c r="V2301" s="84" t="str">
        <f>HYPERLINK("https://pbs.twimg.com/profile_images/1399527376242069507/ZhhDd0tB_normal.jpg")</f>
        <v>https://pbs.twimg.com/profile_images/1399527376242069507/ZhhDd0tB_normal.jpg</v>
      </c>
      <c r="W2301" s="83">
        <v>44464.140057870369</v>
      </c>
      <c r="X2301" s="89">
        <v>44464</v>
      </c>
      <c r="Y2301" s="86" t="s">
        <v>6654</v>
      </c>
      <c r="Z2301" s="84" t="str">
        <f>HYPERLINK("https://twitter.com/mariacr64955277/status/1441603789765677056")</f>
        <v>https://twitter.com/mariacr64955277/status/1441603789765677056</v>
      </c>
      <c r="AA2301" s="81"/>
      <c r="AB2301" s="81"/>
      <c r="AC2301" s="86" t="s">
        <v>7579</v>
      </c>
      <c r="AD2301" s="81"/>
      <c r="AE2301" s="81" t="b">
        <v>0</v>
      </c>
      <c r="AF2301" s="81">
        <v>0</v>
      </c>
      <c r="AG2301" s="86" t="s">
        <v>2084</v>
      </c>
      <c r="AH2301" s="81" t="b">
        <v>0</v>
      </c>
      <c r="AI2301" s="81" t="s">
        <v>2171</v>
      </c>
      <c r="AJ2301" s="81"/>
      <c r="AK2301" s="86" t="s">
        <v>2084</v>
      </c>
      <c r="AL2301" s="81" t="b">
        <v>0</v>
      </c>
      <c r="AM2301" s="81">
        <v>4</v>
      </c>
      <c r="AN2301" s="86" t="s">
        <v>7580</v>
      </c>
      <c r="AO2301" s="86" t="s">
        <v>2178</v>
      </c>
      <c r="AP2301" s="81" t="b">
        <v>0</v>
      </c>
      <c r="AQ2301" s="86" t="s">
        <v>7580</v>
      </c>
      <c r="AR2301" s="81" t="s">
        <v>179</v>
      </c>
      <c r="AS2301" s="81">
        <v>0</v>
      </c>
      <c r="AT2301" s="81">
        <v>0</v>
      </c>
      <c r="AU2301" s="81"/>
      <c r="AV2301" s="81"/>
      <c r="AW2301" s="81"/>
      <c r="AX2301" s="81"/>
      <c r="AY2301" s="81"/>
      <c r="AZ2301" s="81"/>
      <c r="BA2301" s="81"/>
      <c r="BB2301" s="81"/>
    </row>
    <row r="2302" spans="1:54" x14ac:dyDescent="0.35">
      <c r="A2302" s="66" t="s">
        <v>4963</v>
      </c>
      <c r="B2302" s="66" t="s">
        <v>5239</v>
      </c>
      <c r="C2302" s="67"/>
      <c r="D2302" s="68"/>
      <c r="E2302" s="69"/>
      <c r="F2302" s="70"/>
      <c r="G2302" s="67"/>
      <c r="H2302" s="71"/>
      <c r="I2302" s="72"/>
      <c r="J2302" s="72"/>
      <c r="K2302" s="36"/>
      <c r="L2302" s="79"/>
      <c r="M2302" s="79"/>
      <c r="N2302" s="74"/>
      <c r="O2302" s="81" t="s">
        <v>696</v>
      </c>
      <c r="P2302" s="83">
        <v>44463.598182870373</v>
      </c>
      <c r="Q2302" s="81" t="s">
        <v>5654</v>
      </c>
      <c r="R2302" s="84" t="str">
        <f>HYPERLINK("https://auditoriacidada.org.br/")</f>
        <v>https://auditoriacidada.org.br/</v>
      </c>
      <c r="S2302" s="81" t="s">
        <v>5696</v>
      </c>
      <c r="T2302" s="81"/>
      <c r="U2302" s="81"/>
      <c r="V2302" s="84" t="str">
        <f>HYPERLINK("https://pbs.twimg.com/profile_images/1258569360236576770/7E9EYrtd_normal.jpg")</f>
        <v>https://pbs.twimg.com/profile_images/1258569360236576770/7E9EYrtd_normal.jpg</v>
      </c>
      <c r="W2302" s="83">
        <v>44463.598182870373</v>
      </c>
      <c r="X2302" s="89">
        <v>44463</v>
      </c>
      <c r="Y2302" s="86" t="s">
        <v>6655</v>
      </c>
      <c r="Z2302" s="84" t="str">
        <f>HYPERLINK("https://twitter.com/panchitoblanco1/status/1441407420660604930")</f>
        <v>https://twitter.com/panchitoblanco1/status/1441407420660604930</v>
      </c>
      <c r="AA2302" s="81"/>
      <c r="AB2302" s="81"/>
      <c r="AC2302" s="86" t="s">
        <v>7580</v>
      </c>
      <c r="AD2302" s="86" t="s">
        <v>7780</v>
      </c>
      <c r="AE2302" s="81" t="b">
        <v>0</v>
      </c>
      <c r="AF2302" s="81">
        <v>10</v>
      </c>
      <c r="AG2302" s="86" t="s">
        <v>7951</v>
      </c>
      <c r="AH2302" s="81" t="b">
        <v>0</v>
      </c>
      <c r="AI2302" s="81" t="s">
        <v>2171</v>
      </c>
      <c r="AJ2302" s="81"/>
      <c r="AK2302" s="86" t="s">
        <v>2084</v>
      </c>
      <c r="AL2302" s="81" t="b">
        <v>0</v>
      </c>
      <c r="AM2302" s="81">
        <v>4</v>
      </c>
      <c r="AN2302" s="86" t="s">
        <v>2084</v>
      </c>
      <c r="AO2302" s="86" t="s">
        <v>2178</v>
      </c>
      <c r="AP2302" s="81" t="b">
        <v>0</v>
      </c>
      <c r="AQ2302" s="86" t="s">
        <v>7780</v>
      </c>
      <c r="AR2302" s="81" t="s">
        <v>179</v>
      </c>
      <c r="AS2302" s="81">
        <v>0</v>
      </c>
      <c r="AT2302" s="81">
        <v>0</v>
      </c>
      <c r="AU2302" s="81"/>
      <c r="AV2302" s="81"/>
      <c r="AW2302" s="81"/>
      <c r="AX2302" s="81"/>
      <c r="AY2302" s="81"/>
      <c r="AZ2302" s="81"/>
      <c r="BA2302" s="81"/>
      <c r="BB2302" s="81"/>
    </row>
    <row r="2303" spans="1:54" x14ac:dyDescent="0.35">
      <c r="A2303" s="66" t="s">
        <v>4967</v>
      </c>
      <c r="B2303" s="66" t="s">
        <v>5240</v>
      </c>
      <c r="C2303" s="67"/>
      <c r="D2303" s="68"/>
      <c r="E2303" s="69"/>
      <c r="F2303" s="70"/>
      <c r="G2303" s="67"/>
      <c r="H2303" s="71"/>
      <c r="I2303" s="72"/>
      <c r="J2303" s="72"/>
      <c r="K2303" s="36"/>
      <c r="L2303" s="79"/>
      <c r="M2303" s="79"/>
      <c r="N2303" s="74"/>
      <c r="O2303" s="81" t="s">
        <v>694</v>
      </c>
      <c r="P2303" s="83">
        <v>44464.140057870369</v>
      </c>
      <c r="Q2303" s="81" t="s">
        <v>5654</v>
      </c>
      <c r="R2303" s="84" t="str">
        <f>HYPERLINK("https://auditoriacidada.org.br/")</f>
        <v>https://auditoriacidada.org.br/</v>
      </c>
      <c r="S2303" s="81" t="s">
        <v>5696</v>
      </c>
      <c r="T2303" s="81"/>
      <c r="U2303" s="81"/>
      <c r="V2303" s="84" t="str">
        <f>HYPERLINK("https://pbs.twimg.com/profile_images/1399527376242069507/ZhhDd0tB_normal.jpg")</f>
        <v>https://pbs.twimg.com/profile_images/1399527376242069507/ZhhDd0tB_normal.jpg</v>
      </c>
      <c r="W2303" s="83">
        <v>44464.140057870369</v>
      </c>
      <c r="X2303" s="89">
        <v>44464</v>
      </c>
      <c r="Y2303" s="86" t="s">
        <v>6654</v>
      </c>
      <c r="Z2303" s="84" t="str">
        <f>HYPERLINK("https://twitter.com/mariacr64955277/status/1441603789765677056")</f>
        <v>https://twitter.com/mariacr64955277/status/1441603789765677056</v>
      </c>
      <c r="AA2303" s="81"/>
      <c r="AB2303" s="81"/>
      <c r="AC2303" s="86" t="s">
        <v>7579</v>
      </c>
      <c r="AD2303" s="81"/>
      <c r="AE2303" s="81" t="b">
        <v>0</v>
      </c>
      <c r="AF2303" s="81">
        <v>0</v>
      </c>
      <c r="AG2303" s="86" t="s">
        <v>2084</v>
      </c>
      <c r="AH2303" s="81" t="b">
        <v>0</v>
      </c>
      <c r="AI2303" s="81" t="s">
        <v>2171</v>
      </c>
      <c r="AJ2303" s="81"/>
      <c r="AK2303" s="86" t="s">
        <v>2084</v>
      </c>
      <c r="AL2303" s="81" t="b">
        <v>0</v>
      </c>
      <c r="AM2303" s="81">
        <v>4</v>
      </c>
      <c r="AN2303" s="86" t="s">
        <v>7580</v>
      </c>
      <c r="AO2303" s="86" t="s">
        <v>2178</v>
      </c>
      <c r="AP2303" s="81" t="b">
        <v>0</v>
      </c>
      <c r="AQ2303" s="86" t="s">
        <v>7580</v>
      </c>
      <c r="AR2303" s="81" t="s">
        <v>179</v>
      </c>
      <c r="AS2303" s="81">
        <v>0</v>
      </c>
      <c r="AT2303" s="81">
        <v>0</v>
      </c>
      <c r="AU2303" s="81"/>
      <c r="AV2303" s="81"/>
      <c r="AW2303" s="81"/>
      <c r="AX2303" s="81"/>
      <c r="AY2303" s="81"/>
      <c r="AZ2303" s="81"/>
      <c r="BA2303" s="81"/>
      <c r="BB2303" s="81"/>
    </row>
    <row r="2304" spans="1:54" x14ac:dyDescent="0.35">
      <c r="A2304" s="66" t="s">
        <v>4963</v>
      </c>
      <c r="B2304" s="66" t="s">
        <v>5240</v>
      </c>
      <c r="C2304" s="67"/>
      <c r="D2304" s="68"/>
      <c r="E2304" s="69"/>
      <c r="F2304" s="70"/>
      <c r="G2304" s="67"/>
      <c r="H2304" s="71"/>
      <c r="I2304" s="72"/>
      <c r="J2304" s="72"/>
      <c r="K2304" s="36"/>
      <c r="L2304" s="79"/>
      <c r="M2304" s="79"/>
      <c r="N2304" s="74"/>
      <c r="O2304" s="81" t="s">
        <v>696</v>
      </c>
      <c r="P2304" s="83">
        <v>44463.598182870373</v>
      </c>
      <c r="Q2304" s="81" t="s">
        <v>5654</v>
      </c>
      <c r="R2304" s="84" t="str">
        <f>HYPERLINK("https://auditoriacidada.org.br/")</f>
        <v>https://auditoriacidada.org.br/</v>
      </c>
      <c r="S2304" s="81" t="s">
        <v>5696</v>
      </c>
      <c r="T2304" s="81"/>
      <c r="U2304" s="81"/>
      <c r="V2304" s="84" t="str">
        <f>HYPERLINK("https://pbs.twimg.com/profile_images/1258569360236576770/7E9EYrtd_normal.jpg")</f>
        <v>https://pbs.twimg.com/profile_images/1258569360236576770/7E9EYrtd_normal.jpg</v>
      </c>
      <c r="W2304" s="83">
        <v>44463.598182870373</v>
      </c>
      <c r="X2304" s="89">
        <v>44463</v>
      </c>
      <c r="Y2304" s="86" t="s">
        <v>6655</v>
      </c>
      <c r="Z2304" s="84" t="str">
        <f>HYPERLINK("https://twitter.com/panchitoblanco1/status/1441407420660604930")</f>
        <v>https://twitter.com/panchitoblanco1/status/1441407420660604930</v>
      </c>
      <c r="AA2304" s="81"/>
      <c r="AB2304" s="81"/>
      <c r="AC2304" s="86" t="s">
        <v>7580</v>
      </c>
      <c r="AD2304" s="86" t="s">
        <v>7780</v>
      </c>
      <c r="AE2304" s="81" t="b">
        <v>0</v>
      </c>
      <c r="AF2304" s="81">
        <v>10</v>
      </c>
      <c r="AG2304" s="86" t="s">
        <v>7951</v>
      </c>
      <c r="AH2304" s="81" t="b">
        <v>0</v>
      </c>
      <c r="AI2304" s="81" t="s">
        <v>2171</v>
      </c>
      <c r="AJ2304" s="81"/>
      <c r="AK2304" s="86" t="s">
        <v>2084</v>
      </c>
      <c r="AL2304" s="81" t="b">
        <v>0</v>
      </c>
      <c r="AM2304" s="81">
        <v>4</v>
      </c>
      <c r="AN2304" s="86" t="s">
        <v>2084</v>
      </c>
      <c r="AO2304" s="86" t="s">
        <v>2178</v>
      </c>
      <c r="AP2304" s="81" t="b">
        <v>0</v>
      </c>
      <c r="AQ2304" s="86" t="s">
        <v>7780</v>
      </c>
      <c r="AR2304" s="81" t="s">
        <v>179</v>
      </c>
      <c r="AS2304" s="81">
        <v>0</v>
      </c>
      <c r="AT2304" s="81">
        <v>0</v>
      </c>
      <c r="AU2304" s="81"/>
      <c r="AV2304" s="81"/>
      <c r="AW2304" s="81"/>
      <c r="AX2304" s="81"/>
      <c r="AY2304" s="81"/>
      <c r="AZ2304" s="81"/>
      <c r="BA2304" s="81"/>
      <c r="BB2304" s="81"/>
    </row>
    <row r="2305" spans="1:54" x14ac:dyDescent="0.35">
      <c r="A2305" s="66" t="s">
        <v>4967</v>
      </c>
      <c r="B2305" s="66" t="s">
        <v>5241</v>
      </c>
      <c r="C2305" s="67"/>
      <c r="D2305" s="68"/>
      <c r="E2305" s="69"/>
      <c r="F2305" s="70"/>
      <c r="G2305" s="67"/>
      <c r="H2305" s="71"/>
      <c r="I2305" s="72"/>
      <c r="J2305" s="72"/>
      <c r="K2305" s="36"/>
      <c r="L2305" s="79"/>
      <c r="M2305" s="79"/>
      <c r="N2305" s="74"/>
      <c r="O2305" s="81" t="s">
        <v>694</v>
      </c>
      <c r="P2305" s="83">
        <v>44464.140057870369</v>
      </c>
      <c r="Q2305" s="81" t="s">
        <v>5654</v>
      </c>
      <c r="R2305" s="84" t="str">
        <f>HYPERLINK("https://auditoriacidada.org.br/")</f>
        <v>https://auditoriacidada.org.br/</v>
      </c>
      <c r="S2305" s="81" t="s">
        <v>5696</v>
      </c>
      <c r="T2305" s="81"/>
      <c r="U2305" s="81"/>
      <c r="V2305" s="84" t="str">
        <f>HYPERLINK("https://pbs.twimg.com/profile_images/1399527376242069507/ZhhDd0tB_normal.jpg")</f>
        <v>https://pbs.twimg.com/profile_images/1399527376242069507/ZhhDd0tB_normal.jpg</v>
      </c>
      <c r="W2305" s="83">
        <v>44464.140057870369</v>
      </c>
      <c r="X2305" s="89">
        <v>44464</v>
      </c>
      <c r="Y2305" s="86" t="s">
        <v>6654</v>
      </c>
      <c r="Z2305" s="84" t="str">
        <f>HYPERLINK("https://twitter.com/mariacr64955277/status/1441603789765677056")</f>
        <v>https://twitter.com/mariacr64955277/status/1441603789765677056</v>
      </c>
      <c r="AA2305" s="81"/>
      <c r="AB2305" s="81"/>
      <c r="AC2305" s="86" t="s">
        <v>7579</v>
      </c>
      <c r="AD2305" s="81"/>
      <c r="AE2305" s="81" t="b">
        <v>0</v>
      </c>
      <c r="AF2305" s="81">
        <v>0</v>
      </c>
      <c r="AG2305" s="86" t="s">
        <v>2084</v>
      </c>
      <c r="AH2305" s="81" t="b">
        <v>0</v>
      </c>
      <c r="AI2305" s="81" t="s">
        <v>2171</v>
      </c>
      <c r="AJ2305" s="81"/>
      <c r="AK2305" s="86" t="s">
        <v>2084</v>
      </c>
      <c r="AL2305" s="81" t="b">
        <v>0</v>
      </c>
      <c r="AM2305" s="81">
        <v>4</v>
      </c>
      <c r="AN2305" s="86" t="s">
        <v>7580</v>
      </c>
      <c r="AO2305" s="86" t="s">
        <v>2178</v>
      </c>
      <c r="AP2305" s="81" t="b">
        <v>0</v>
      </c>
      <c r="AQ2305" s="86" t="s">
        <v>7580</v>
      </c>
      <c r="AR2305" s="81" t="s">
        <v>179</v>
      </c>
      <c r="AS2305" s="81">
        <v>0</v>
      </c>
      <c r="AT2305" s="81">
        <v>0</v>
      </c>
      <c r="AU2305" s="81"/>
      <c r="AV2305" s="81"/>
      <c r="AW2305" s="81"/>
      <c r="AX2305" s="81"/>
      <c r="AY2305" s="81"/>
      <c r="AZ2305" s="81"/>
      <c r="BA2305" s="81"/>
      <c r="BB2305" s="81"/>
    </row>
    <row r="2306" spans="1:54" x14ac:dyDescent="0.35">
      <c r="A2306" s="66" t="s">
        <v>4963</v>
      </c>
      <c r="B2306" s="66" t="s">
        <v>5241</v>
      </c>
      <c r="C2306" s="67"/>
      <c r="D2306" s="68"/>
      <c r="E2306" s="69"/>
      <c r="F2306" s="70"/>
      <c r="G2306" s="67"/>
      <c r="H2306" s="71"/>
      <c r="I2306" s="72"/>
      <c r="J2306" s="72"/>
      <c r="K2306" s="36"/>
      <c r="L2306" s="79"/>
      <c r="M2306" s="79"/>
      <c r="N2306" s="74"/>
      <c r="O2306" s="81" t="s">
        <v>696</v>
      </c>
      <c r="P2306" s="83">
        <v>44463.598182870373</v>
      </c>
      <c r="Q2306" s="81" t="s">
        <v>5654</v>
      </c>
      <c r="R2306" s="84" t="str">
        <f>HYPERLINK("https://auditoriacidada.org.br/")</f>
        <v>https://auditoriacidada.org.br/</v>
      </c>
      <c r="S2306" s="81" t="s">
        <v>5696</v>
      </c>
      <c r="T2306" s="81"/>
      <c r="U2306" s="81"/>
      <c r="V2306" s="84" t="str">
        <f>HYPERLINK("https://pbs.twimg.com/profile_images/1258569360236576770/7E9EYrtd_normal.jpg")</f>
        <v>https://pbs.twimg.com/profile_images/1258569360236576770/7E9EYrtd_normal.jpg</v>
      </c>
      <c r="W2306" s="83">
        <v>44463.598182870373</v>
      </c>
      <c r="X2306" s="89">
        <v>44463</v>
      </c>
      <c r="Y2306" s="86" t="s">
        <v>6655</v>
      </c>
      <c r="Z2306" s="84" t="str">
        <f>HYPERLINK("https://twitter.com/panchitoblanco1/status/1441407420660604930")</f>
        <v>https://twitter.com/panchitoblanco1/status/1441407420660604930</v>
      </c>
      <c r="AA2306" s="81"/>
      <c r="AB2306" s="81"/>
      <c r="AC2306" s="86" t="s">
        <v>7580</v>
      </c>
      <c r="AD2306" s="86" t="s">
        <v>7780</v>
      </c>
      <c r="AE2306" s="81" t="b">
        <v>0</v>
      </c>
      <c r="AF2306" s="81">
        <v>10</v>
      </c>
      <c r="AG2306" s="86" t="s">
        <v>7951</v>
      </c>
      <c r="AH2306" s="81" t="b">
        <v>0</v>
      </c>
      <c r="AI2306" s="81" t="s">
        <v>2171</v>
      </c>
      <c r="AJ2306" s="81"/>
      <c r="AK2306" s="86" t="s">
        <v>2084</v>
      </c>
      <c r="AL2306" s="81" t="b">
        <v>0</v>
      </c>
      <c r="AM2306" s="81">
        <v>4</v>
      </c>
      <c r="AN2306" s="86" t="s">
        <v>2084</v>
      </c>
      <c r="AO2306" s="86" t="s">
        <v>2178</v>
      </c>
      <c r="AP2306" s="81" t="b">
        <v>0</v>
      </c>
      <c r="AQ2306" s="86" t="s">
        <v>7780</v>
      </c>
      <c r="AR2306" s="81" t="s">
        <v>179</v>
      </c>
      <c r="AS2306" s="81">
        <v>0</v>
      </c>
      <c r="AT2306" s="81">
        <v>0</v>
      </c>
      <c r="AU2306" s="81"/>
      <c r="AV2306" s="81"/>
      <c r="AW2306" s="81"/>
      <c r="AX2306" s="81"/>
      <c r="AY2306" s="81"/>
      <c r="AZ2306" s="81"/>
      <c r="BA2306" s="81"/>
      <c r="BB2306" s="81"/>
    </row>
    <row r="2307" spans="1:54" x14ac:dyDescent="0.35">
      <c r="A2307" s="66" t="s">
        <v>4967</v>
      </c>
      <c r="B2307" s="66" t="s">
        <v>5242</v>
      </c>
      <c r="C2307" s="67"/>
      <c r="D2307" s="68"/>
      <c r="E2307" s="69"/>
      <c r="F2307" s="70"/>
      <c r="G2307" s="67"/>
      <c r="H2307" s="71"/>
      <c r="I2307" s="72"/>
      <c r="J2307" s="72"/>
      <c r="K2307" s="36"/>
      <c r="L2307" s="79"/>
      <c r="M2307" s="79"/>
      <c r="N2307" s="74"/>
      <c r="O2307" s="81" t="s">
        <v>694</v>
      </c>
      <c r="P2307" s="83">
        <v>44464.140057870369</v>
      </c>
      <c r="Q2307" s="81" t="s">
        <v>5654</v>
      </c>
      <c r="R2307" s="84" t="str">
        <f>HYPERLINK("https://auditoriacidada.org.br/")</f>
        <v>https://auditoriacidada.org.br/</v>
      </c>
      <c r="S2307" s="81" t="s">
        <v>5696</v>
      </c>
      <c r="T2307" s="81"/>
      <c r="U2307" s="81"/>
      <c r="V2307" s="84" t="str">
        <f>HYPERLINK("https://pbs.twimg.com/profile_images/1399527376242069507/ZhhDd0tB_normal.jpg")</f>
        <v>https://pbs.twimg.com/profile_images/1399527376242069507/ZhhDd0tB_normal.jpg</v>
      </c>
      <c r="W2307" s="83">
        <v>44464.140057870369</v>
      </c>
      <c r="X2307" s="89">
        <v>44464</v>
      </c>
      <c r="Y2307" s="86" t="s">
        <v>6654</v>
      </c>
      <c r="Z2307" s="84" t="str">
        <f>HYPERLINK("https://twitter.com/mariacr64955277/status/1441603789765677056")</f>
        <v>https://twitter.com/mariacr64955277/status/1441603789765677056</v>
      </c>
      <c r="AA2307" s="81"/>
      <c r="AB2307" s="81"/>
      <c r="AC2307" s="86" t="s">
        <v>7579</v>
      </c>
      <c r="AD2307" s="81"/>
      <c r="AE2307" s="81" t="b">
        <v>0</v>
      </c>
      <c r="AF2307" s="81">
        <v>0</v>
      </c>
      <c r="AG2307" s="86" t="s">
        <v>2084</v>
      </c>
      <c r="AH2307" s="81" t="b">
        <v>0</v>
      </c>
      <c r="AI2307" s="81" t="s">
        <v>2171</v>
      </c>
      <c r="AJ2307" s="81"/>
      <c r="AK2307" s="86" t="s">
        <v>2084</v>
      </c>
      <c r="AL2307" s="81" t="b">
        <v>0</v>
      </c>
      <c r="AM2307" s="81">
        <v>4</v>
      </c>
      <c r="AN2307" s="86" t="s">
        <v>7580</v>
      </c>
      <c r="AO2307" s="86" t="s">
        <v>2178</v>
      </c>
      <c r="AP2307" s="81" t="b">
        <v>0</v>
      </c>
      <c r="AQ2307" s="86" t="s">
        <v>7580</v>
      </c>
      <c r="AR2307" s="81" t="s">
        <v>179</v>
      </c>
      <c r="AS2307" s="81">
        <v>0</v>
      </c>
      <c r="AT2307" s="81">
        <v>0</v>
      </c>
      <c r="AU2307" s="81"/>
      <c r="AV2307" s="81"/>
      <c r="AW2307" s="81"/>
      <c r="AX2307" s="81"/>
      <c r="AY2307" s="81"/>
      <c r="AZ2307" s="81"/>
      <c r="BA2307" s="81"/>
      <c r="BB2307" s="81"/>
    </row>
    <row r="2308" spans="1:54" x14ac:dyDescent="0.35">
      <c r="A2308" s="66" t="s">
        <v>4963</v>
      </c>
      <c r="B2308" s="66" t="s">
        <v>5242</v>
      </c>
      <c r="C2308" s="67"/>
      <c r="D2308" s="68"/>
      <c r="E2308" s="69"/>
      <c r="F2308" s="70"/>
      <c r="G2308" s="67"/>
      <c r="H2308" s="71"/>
      <c r="I2308" s="72"/>
      <c r="J2308" s="72"/>
      <c r="K2308" s="36"/>
      <c r="L2308" s="79"/>
      <c r="M2308" s="79"/>
      <c r="N2308" s="74"/>
      <c r="O2308" s="81" t="s">
        <v>696</v>
      </c>
      <c r="P2308" s="83">
        <v>44463.598182870373</v>
      </c>
      <c r="Q2308" s="81" t="s">
        <v>5654</v>
      </c>
      <c r="R2308" s="84" t="str">
        <f>HYPERLINK("https://auditoriacidada.org.br/")</f>
        <v>https://auditoriacidada.org.br/</v>
      </c>
      <c r="S2308" s="81" t="s">
        <v>5696</v>
      </c>
      <c r="T2308" s="81"/>
      <c r="U2308" s="81"/>
      <c r="V2308" s="84" t="str">
        <f>HYPERLINK("https://pbs.twimg.com/profile_images/1258569360236576770/7E9EYrtd_normal.jpg")</f>
        <v>https://pbs.twimg.com/profile_images/1258569360236576770/7E9EYrtd_normal.jpg</v>
      </c>
      <c r="W2308" s="83">
        <v>44463.598182870373</v>
      </c>
      <c r="X2308" s="89">
        <v>44463</v>
      </c>
      <c r="Y2308" s="86" t="s">
        <v>6655</v>
      </c>
      <c r="Z2308" s="84" t="str">
        <f>HYPERLINK("https://twitter.com/panchitoblanco1/status/1441407420660604930")</f>
        <v>https://twitter.com/panchitoblanco1/status/1441407420660604930</v>
      </c>
      <c r="AA2308" s="81"/>
      <c r="AB2308" s="81"/>
      <c r="AC2308" s="86" t="s">
        <v>7580</v>
      </c>
      <c r="AD2308" s="86" t="s">
        <v>7780</v>
      </c>
      <c r="AE2308" s="81" t="b">
        <v>0</v>
      </c>
      <c r="AF2308" s="81">
        <v>10</v>
      </c>
      <c r="AG2308" s="86" t="s">
        <v>7951</v>
      </c>
      <c r="AH2308" s="81" t="b">
        <v>0</v>
      </c>
      <c r="AI2308" s="81" t="s">
        <v>2171</v>
      </c>
      <c r="AJ2308" s="81"/>
      <c r="AK2308" s="86" t="s">
        <v>2084</v>
      </c>
      <c r="AL2308" s="81" t="b">
        <v>0</v>
      </c>
      <c r="AM2308" s="81">
        <v>4</v>
      </c>
      <c r="AN2308" s="86" t="s">
        <v>2084</v>
      </c>
      <c r="AO2308" s="86" t="s">
        <v>2178</v>
      </c>
      <c r="AP2308" s="81" t="b">
        <v>0</v>
      </c>
      <c r="AQ2308" s="86" t="s">
        <v>7780</v>
      </c>
      <c r="AR2308" s="81" t="s">
        <v>179</v>
      </c>
      <c r="AS2308" s="81">
        <v>0</v>
      </c>
      <c r="AT2308" s="81">
        <v>0</v>
      </c>
      <c r="AU2308" s="81"/>
      <c r="AV2308" s="81"/>
      <c r="AW2308" s="81"/>
      <c r="AX2308" s="81"/>
      <c r="AY2308" s="81"/>
      <c r="AZ2308" s="81"/>
      <c r="BA2308" s="81"/>
      <c r="BB2308" s="81"/>
    </row>
    <row r="2309" spans="1:54" x14ac:dyDescent="0.35">
      <c r="A2309" s="66" t="s">
        <v>4967</v>
      </c>
      <c r="B2309" s="66" t="s">
        <v>5243</v>
      </c>
      <c r="C2309" s="67"/>
      <c r="D2309" s="68"/>
      <c r="E2309" s="69"/>
      <c r="F2309" s="70"/>
      <c r="G2309" s="67"/>
      <c r="H2309" s="71"/>
      <c r="I2309" s="72"/>
      <c r="J2309" s="72"/>
      <c r="K2309" s="36"/>
      <c r="L2309" s="79"/>
      <c r="M2309" s="79"/>
      <c r="N2309" s="74"/>
      <c r="O2309" s="81" t="s">
        <v>694</v>
      </c>
      <c r="P2309" s="83">
        <v>44464.140057870369</v>
      </c>
      <c r="Q2309" s="81" t="s">
        <v>5654</v>
      </c>
      <c r="R2309" s="84" t="str">
        <f>HYPERLINK("https://auditoriacidada.org.br/")</f>
        <v>https://auditoriacidada.org.br/</v>
      </c>
      <c r="S2309" s="81" t="s">
        <v>5696</v>
      </c>
      <c r="T2309" s="81"/>
      <c r="U2309" s="81"/>
      <c r="V2309" s="84" t="str">
        <f>HYPERLINK("https://pbs.twimg.com/profile_images/1399527376242069507/ZhhDd0tB_normal.jpg")</f>
        <v>https://pbs.twimg.com/profile_images/1399527376242069507/ZhhDd0tB_normal.jpg</v>
      </c>
      <c r="W2309" s="83">
        <v>44464.140057870369</v>
      </c>
      <c r="X2309" s="89">
        <v>44464</v>
      </c>
      <c r="Y2309" s="86" t="s">
        <v>6654</v>
      </c>
      <c r="Z2309" s="84" t="str">
        <f>HYPERLINK("https://twitter.com/mariacr64955277/status/1441603789765677056")</f>
        <v>https://twitter.com/mariacr64955277/status/1441603789765677056</v>
      </c>
      <c r="AA2309" s="81"/>
      <c r="AB2309" s="81"/>
      <c r="AC2309" s="86" t="s">
        <v>7579</v>
      </c>
      <c r="AD2309" s="81"/>
      <c r="AE2309" s="81" t="b">
        <v>0</v>
      </c>
      <c r="AF2309" s="81">
        <v>0</v>
      </c>
      <c r="AG2309" s="86" t="s">
        <v>2084</v>
      </c>
      <c r="AH2309" s="81" t="b">
        <v>0</v>
      </c>
      <c r="AI2309" s="81" t="s">
        <v>2171</v>
      </c>
      <c r="AJ2309" s="81"/>
      <c r="AK2309" s="86" t="s">
        <v>2084</v>
      </c>
      <c r="AL2309" s="81" t="b">
        <v>0</v>
      </c>
      <c r="AM2309" s="81">
        <v>4</v>
      </c>
      <c r="AN2309" s="86" t="s">
        <v>7580</v>
      </c>
      <c r="AO2309" s="86" t="s">
        <v>2178</v>
      </c>
      <c r="AP2309" s="81" t="b">
        <v>0</v>
      </c>
      <c r="AQ2309" s="86" t="s">
        <v>7580</v>
      </c>
      <c r="AR2309" s="81" t="s">
        <v>179</v>
      </c>
      <c r="AS2309" s="81">
        <v>0</v>
      </c>
      <c r="AT2309" s="81">
        <v>0</v>
      </c>
      <c r="AU2309" s="81"/>
      <c r="AV2309" s="81"/>
      <c r="AW2309" s="81"/>
      <c r="AX2309" s="81"/>
      <c r="AY2309" s="81"/>
      <c r="AZ2309" s="81"/>
      <c r="BA2309" s="81"/>
      <c r="BB2309" s="81"/>
    </row>
    <row r="2310" spans="1:54" x14ac:dyDescent="0.35">
      <c r="A2310" s="66" t="s">
        <v>4963</v>
      </c>
      <c r="B2310" s="66" t="s">
        <v>5243</v>
      </c>
      <c r="C2310" s="67"/>
      <c r="D2310" s="68"/>
      <c r="E2310" s="69"/>
      <c r="F2310" s="70"/>
      <c r="G2310" s="67"/>
      <c r="H2310" s="71"/>
      <c r="I2310" s="72"/>
      <c r="J2310" s="72"/>
      <c r="K2310" s="36"/>
      <c r="L2310" s="79"/>
      <c r="M2310" s="79"/>
      <c r="N2310" s="74"/>
      <c r="O2310" s="81" t="s">
        <v>696</v>
      </c>
      <c r="P2310" s="83">
        <v>44463.598182870373</v>
      </c>
      <c r="Q2310" s="81" t="s">
        <v>5654</v>
      </c>
      <c r="R2310" s="84" t="str">
        <f>HYPERLINK("https://auditoriacidada.org.br/")</f>
        <v>https://auditoriacidada.org.br/</v>
      </c>
      <c r="S2310" s="81" t="s">
        <v>5696</v>
      </c>
      <c r="T2310" s="81"/>
      <c r="U2310" s="81"/>
      <c r="V2310" s="84" t="str">
        <f>HYPERLINK("https://pbs.twimg.com/profile_images/1258569360236576770/7E9EYrtd_normal.jpg")</f>
        <v>https://pbs.twimg.com/profile_images/1258569360236576770/7E9EYrtd_normal.jpg</v>
      </c>
      <c r="W2310" s="83">
        <v>44463.598182870373</v>
      </c>
      <c r="X2310" s="89">
        <v>44463</v>
      </c>
      <c r="Y2310" s="86" t="s">
        <v>6655</v>
      </c>
      <c r="Z2310" s="84" t="str">
        <f>HYPERLINK("https://twitter.com/panchitoblanco1/status/1441407420660604930")</f>
        <v>https://twitter.com/panchitoblanco1/status/1441407420660604930</v>
      </c>
      <c r="AA2310" s="81"/>
      <c r="AB2310" s="81"/>
      <c r="AC2310" s="86" t="s">
        <v>7580</v>
      </c>
      <c r="AD2310" s="86" t="s">
        <v>7780</v>
      </c>
      <c r="AE2310" s="81" t="b">
        <v>0</v>
      </c>
      <c r="AF2310" s="81">
        <v>10</v>
      </c>
      <c r="AG2310" s="86" t="s">
        <v>7951</v>
      </c>
      <c r="AH2310" s="81" t="b">
        <v>0</v>
      </c>
      <c r="AI2310" s="81" t="s">
        <v>2171</v>
      </c>
      <c r="AJ2310" s="81"/>
      <c r="AK2310" s="86" t="s">
        <v>2084</v>
      </c>
      <c r="AL2310" s="81" t="b">
        <v>0</v>
      </c>
      <c r="AM2310" s="81">
        <v>4</v>
      </c>
      <c r="AN2310" s="86" t="s">
        <v>2084</v>
      </c>
      <c r="AO2310" s="86" t="s">
        <v>2178</v>
      </c>
      <c r="AP2310" s="81" t="b">
        <v>0</v>
      </c>
      <c r="AQ2310" s="86" t="s">
        <v>7780</v>
      </c>
      <c r="AR2310" s="81" t="s">
        <v>179</v>
      </c>
      <c r="AS2310" s="81">
        <v>0</v>
      </c>
      <c r="AT2310" s="81">
        <v>0</v>
      </c>
      <c r="AU2310" s="81"/>
      <c r="AV2310" s="81"/>
      <c r="AW2310" s="81"/>
      <c r="AX2310" s="81"/>
      <c r="AY2310" s="81"/>
      <c r="AZ2310" s="81"/>
      <c r="BA2310" s="81"/>
      <c r="BB2310" s="81"/>
    </row>
    <row r="2311" spans="1:54" x14ac:dyDescent="0.35">
      <c r="A2311" s="66" t="s">
        <v>4967</v>
      </c>
      <c r="B2311" s="66" t="s">
        <v>5244</v>
      </c>
      <c r="C2311" s="67"/>
      <c r="D2311" s="68"/>
      <c r="E2311" s="69"/>
      <c r="F2311" s="70"/>
      <c r="G2311" s="67"/>
      <c r="H2311" s="71"/>
      <c r="I2311" s="72"/>
      <c r="J2311" s="72"/>
      <c r="K2311" s="36"/>
      <c r="L2311" s="79"/>
      <c r="M2311" s="79"/>
      <c r="N2311" s="74"/>
      <c r="O2311" s="81" t="s">
        <v>694</v>
      </c>
      <c r="P2311" s="83">
        <v>44464.140057870369</v>
      </c>
      <c r="Q2311" s="81" t="s">
        <v>5654</v>
      </c>
      <c r="R2311" s="84" t="str">
        <f>HYPERLINK("https://auditoriacidada.org.br/")</f>
        <v>https://auditoriacidada.org.br/</v>
      </c>
      <c r="S2311" s="81" t="s">
        <v>5696</v>
      </c>
      <c r="T2311" s="81"/>
      <c r="U2311" s="81"/>
      <c r="V2311" s="84" t="str">
        <f>HYPERLINK("https://pbs.twimg.com/profile_images/1399527376242069507/ZhhDd0tB_normal.jpg")</f>
        <v>https://pbs.twimg.com/profile_images/1399527376242069507/ZhhDd0tB_normal.jpg</v>
      </c>
      <c r="W2311" s="83">
        <v>44464.140057870369</v>
      </c>
      <c r="X2311" s="89">
        <v>44464</v>
      </c>
      <c r="Y2311" s="86" t="s">
        <v>6654</v>
      </c>
      <c r="Z2311" s="84" t="str">
        <f>HYPERLINK("https://twitter.com/mariacr64955277/status/1441603789765677056")</f>
        <v>https://twitter.com/mariacr64955277/status/1441603789765677056</v>
      </c>
      <c r="AA2311" s="81"/>
      <c r="AB2311" s="81"/>
      <c r="AC2311" s="86" t="s">
        <v>7579</v>
      </c>
      <c r="AD2311" s="81"/>
      <c r="AE2311" s="81" t="b">
        <v>0</v>
      </c>
      <c r="AF2311" s="81">
        <v>0</v>
      </c>
      <c r="AG2311" s="86" t="s">
        <v>2084</v>
      </c>
      <c r="AH2311" s="81" t="b">
        <v>0</v>
      </c>
      <c r="AI2311" s="81" t="s">
        <v>2171</v>
      </c>
      <c r="AJ2311" s="81"/>
      <c r="AK2311" s="86" t="s">
        <v>2084</v>
      </c>
      <c r="AL2311" s="81" t="b">
        <v>0</v>
      </c>
      <c r="AM2311" s="81">
        <v>4</v>
      </c>
      <c r="AN2311" s="86" t="s">
        <v>7580</v>
      </c>
      <c r="AO2311" s="86" t="s">
        <v>2178</v>
      </c>
      <c r="AP2311" s="81" t="b">
        <v>0</v>
      </c>
      <c r="AQ2311" s="86" t="s">
        <v>7580</v>
      </c>
      <c r="AR2311" s="81" t="s">
        <v>179</v>
      </c>
      <c r="AS2311" s="81">
        <v>0</v>
      </c>
      <c r="AT2311" s="81">
        <v>0</v>
      </c>
      <c r="AU2311" s="81"/>
      <c r="AV2311" s="81"/>
      <c r="AW2311" s="81"/>
      <c r="AX2311" s="81"/>
      <c r="AY2311" s="81"/>
      <c r="AZ2311" s="81"/>
      <c r="BA2311" s="81"/>
      <c r="BB2311" s="81"/>
    </row>
    <row r="2312" spans="1:54" x14ac:dyDescent="0.35">
      <c r="A2312" s="66" t="s">
        <v>4963</v>
      </c>
      <c r="B2312" s="66" t="s">
        <v>5244</v>
      </c>
      <c r="C2312" s="67"/>
      <c r="D2312" s="68"/>
      <c r="E2312" s="69"/>
      <c r="F2312" s="70"/>
      <c r="G2312" s="67"/>
      <c r="H2312" s="71"/>
      <c r="I2312" s="72"/>
      <c r="J2312" s="72"/>
      <c r="K2312" s="36"/>
      <c r="L2312" s="79"/>
      <c r="M2312" s="79"/>
      <c r="N2312" s="74"/>
      <c r="O2312" s="81" t="s">
        <v>696</v>
      </c>
      <c r="P2312" s="83">
        <v>44463.598182870373</v>
      </c>
      <c r="Q2312" s="81" t="s">
        <v>5654</v>
      </c>
      <c r="R2312" s="84" t="str">
        <f>HYPERLINK("https://auditoriacidada.org.br/")</f>
        <v>https://auditoriacidada.org.br/</v>
      </c>
      <c r="S2312" s="81" t="s">
        <v>5696</v>
      </c>
      <c r="T2312" s="81"/>
      <c r="U2312" s="81"/>
      <c r="V2312" s="84" t="str">
        <f>HYPERLINK("https://pbs.twimg.com/profile_images/1258569360236576770/7E9EYrtd_normal.jpg")</f>
        <v>https://pbs.twimg.com/profile_images/1258569360236576770/7E9EYrtd_normal.jpg</v>
      </c>
      <c r="W2312" s="83">
        <v>44463.598182870373</v>
      </c>
      <c r="X2312" s="89">
        <v>44463</v>
      </c>
      <c r="Y2312" s="86" t="s">
        <v>6655</v>
      </c>
      <c r="Z2312" s="84" t="str">
        <f>HYPERLINK("https://twitter.com/panchitoblanco1/status/1441407420660604930")</f>
        <v>https://twitter.com/panchitoblanco1/status/1441407420660604930</v>
      </c>
      <c r="AA2312" s="81"/>
      <c r="AB2312" s="81"/>
      <c r="AC2312" s="86" t="s">
        <v>7580</v>
      </c>
      <c r="AD2312" s="86" t="s">
        <v>7780</v>
      </c>
      <c r="AE2312" s="81" t="b">
        <v>0</v>
      </c>
      <c r="AF2312" s="81">
        <v>10</v>
      </c>
      <c r="AG2312" s="86" t="s">
        <v>7951</v>
      </c>
      <c r="AH2312" s="81" t="b">
        <v>0</v>
      </c>
      <c r="AI2312" s="81" t="s">
        <v>2171</v>
      </c>
      <c r="AJ2312" s="81"/>
      <c r="AK2312" s="86" t="s">
        <v>2084</v>
      </c>
      <c r="AL2312" s="81" t="b">
        <v>0</v>
      </c>
      <c r="AM2312" s="81">
        <v>4</v>
      </c>
      <c r="AN2312" s="86" t="s">
        <v>2084</v>
      </c>
      <c r="AO2312" s="86" t="s">
        <v>2178</v>
      </c>
      <c r="AP2312" s="81" t="b">
        <v>0</v>
      </c>
      <c r="AQ2312" s="86" t="s">
        <v>7780</v>
      </c>
      <c r="AR2312" s="81" t="s">
        <v>179</v>
      </c>
      <c r="AS2312" s="81">
        <v>0</v>
      </c>
      <c r="AT2312" s="81">
        <v>0</v>
      </c>
      <c r="AU2312" s="81"/>
      <c r="AV2312" s="81"/>
      <c r="AW2312" s="81"/>
      <c r="AX2312" s="81"/>
      <c r="AY2312" s="81"/>
      <c r="AZ2312" s="81"/>
      <c r="BA2312" s="81"/>
      <c r="BB2312" s="81"/>
    </row>
    <row r="2313" spans="1:54" x14ac:dyDescent="0.35">
      <c r="A2313" s="66" t="s">
        <v>4967</v>
      </c>
      <c r="B2313" s="66" t="s">
        <v>5245</v>
      </c>
      <c r="C2313" s="67"/>
      <c r="D2313" s="68"/>
      <c r="E2313" s="69"/>
      <c r="F2313" s="70"/>
      <c r="G2313" s="67"/>
      <c r="H2313" s="71"/>
      <c r="I2313" s="72"/>
      <c r="J2313" s="72"/>
      <c r="K2313" s="36"/>
      <c r="L2313" s="79"/>
      <c r="M2313" s="79"/>
      <c r="N2313" s="74"/>
      <c r="O2313" s="81" t="s">
        <v>694</v>
      </c>
      <c r="P2313" s="83">
        <v>44464.140057870369</v>
      </c>
      <c r="Q2313" s="81" t="s">
        <v>5654</v>
      </c>
      <c r="R2313" s="84" t="str">
        <f>HYPERLINK("https://auditoriacidada.org.br/")</f>
        <v>https://auditoriacidada.org.br/</v>
      </c>
      <c r="S2313" s="81" t="s">
        <v>5696</v>
      </c>
      <c r="T2313" s="81"/>
      <c r="U2313" s="81"/>
      <c r="V2313" s="84" t="str">
        <f>HYPERLINK("https://pbs.twimg.com/profile_images/1399527376242069507/ZhhDd0tB_normal.jpg")</f>
        <v>https://pbs.twimg.com/profile_images/1399527376242069507/ZhhDd0tB_normal.jpg</v>
      </c>
      <c r="W2313" s="83">
        <v>44464.140057870369</v>
      </c>
      <c r="X2313" s="89">
        <v>44464</v>
      </c>
      <c r="Y2313" s="86" t="s">
        <v>6654</v>
      </c>
      <c r="Z2313" s="84" t="str">
        <f>HYPERLINK("https://twitter.com/mariacr64955277/status/1441603789765677056")</f>
        <v>https://twitter.com/mariacr64955277/status/1441603789765677056</v>
      </c>
      <c r="AA2313" s="81"/>
      <c r="AB2313" s="81"/>
      <c r="AC2313" s="86" t="s">
        <v>7579</v>
      </c>
      <c r="AD2313" s="81"/>
      <c r="AE2313" s="81" t="b">
        <v>0</v>
      </c>
      <c r="AF2313" s="81">
        <v>0</v>
      </c>
      <c r="AG2313" s="86" t="s">
        <v>2084</v>
      </c>
      <c r="AH2313" s="81" t="b">
        <v>0</v>
      </c>
      <c r="AI2313" s="81" t="s">
        <v>2171</v>
      </c>
      <c r="AJ2313" s="81"/>
      <c r="AK2313" s="86" t="s">
        <v>2084</v>
      </c>
      <c r="AL2313" s="81" t="b">
        <v>0</v>
      </c>
      <c r="AM2313" s="81">
        <v>4</v>
      </c>
      <c r="AN2313" s="86" t="s">
        <v>7580</v>
      </c>
      <c r="AO2313" s="86" t="s">
        <v>2178</v>
      </c>
      <c r="AP2313" s="81" t="b">
        <v>0</v>
      </c>
      <c r="AQ2313" s="86" t="s">
        <v>7580</v>
      </c>
      <c r="AR2313" s="81" t="s">
        <v>179</v>
      </c>
      <c r="AS2313" s="81">
        <v>0</v>
      </c>
      <c r="AT2313" s="81">
        <v>0</v>
      </c>
      <c r="AU2313" s="81"/>
      <c r="AV2313" s="81"/>
      <c r="AW2313" s="81"/>
      <c r="AX2313" s="81"/>
      <c r="AY2313" s="81"/>
      <c r="AZ2313" s="81"/>
      <c r="BA2313" s="81"/>
      <c r="BB2313" s="81"/>
    </row>
    <row r="2314" spans="1:54" x14ac:dyDescent="0.35">
      <c r="A2314" s="66" t="s">
        <v>4963</v>
      </c>
      <c r="B2314" s="66" t="s">
        <v>5245</v>
      </c>
      <c r="C2314" s="67"/>
      <c r="D2314" s="68"/>
      <c r="E2314" s="69"/>
      <c r="F2314" s="70"/>
      <c r="G2314" s="67"/>
      <c r="H2314" s="71"/>
      <c r="I2314" s="72"/>
      <c r="J2314" s="72"/>
      <c r="K2314" s="36"/>
      <c r="L2314" s="79"/>
      <c r="M2314" s="79"/>
      <c r="N2314" s="74"/>
      <c r="O2314" s="81" t="s">
        <v>696</v>
      </c>
      <c r="P2314" s="83">
        <v>44463.598182870373</v>
      </c>
      <c r="Q2314" s="81" t="s">
        <v>5654</v>
      </c>
      <c r="R2314" s="84" t="str">
        <f>HYPERLINK("https://auditoriacidada.org.br/")</f>
        <v>https://auditoriacidada.org.br/</v>
      </c>
      <c r="S2314" s="81" t="s">
        <v>5696</v>
      </c>
      <c r="T2314" s="81"/>
      <c r="U2314" s="81"/>
      <c r="V2314" s="84" t="str">
        <f>HYPERLINK("https://pbs.twimg.com/profile_images/1258569360236576770/7E9EYrtd_normal.jpg")</f>
        <v>https://pbs.twimg.com/profile_images/1258569360236576770/7E9EYrtd_normal.jpg</v>
      </c>
      <c r="W2314" s="83">
        <v>44463.598182870373</v>
      </c>
      <c r="X2314" s="89">
        <v>44463</v>
      </c>
      <c r="Y2314" s="86" t="s">
        <v>6655</v>
      </c>
      <c r="Z2314" s="84" t="str">
        <f>HYPERLINK("https://twitter.com/panchitoblanco1/status/1441407420660604930")</f>
        <v>https://twitter.com/panchitoblanco1/status/1441407420660604930</v>
      </c>
      <c r="AA2314" s="81"/>
      <c r="AB2314" s="81"/>
      <c r="AC2314" s="86" t="s">
        <v>7580</v>
      </c>
      <c r="AD2314" s="86" t="s">
        <v>7780</v>
      </c>
      <c r="AE2314" s="81" t="b">
        <v>0</v>
      </c>
      <c r="AF2314" s="81">
        <v>10</v>
      </c>
      <c r="AG2314" s="86" t="s">
        <v>7951</v>
      </c>
      <c r="AH2314" s="81" t="b">
        <v>0</v>
      </c>
      <c r="AI2314" s="81" t="s">
        <v>2171</v>
      </c>
      <c r="AJ2314" s="81"/>
      <c r="AK2314" s="86" t="s">
        <v>2084</v>
      </c>
      <c r="AL2314" s="81" t="b">
        <v>0</v>
      </c>
      <c r="AM2314" s="81">
        <v>4</v>
      </c>
      <c r="AN2314" s="86" t="s">
        <v>2084</v>
      </c>
      <c r="AO2314" s="86" t="s">
        <v>2178</v>
      </c>
      <c r="AP2314" s="81" t="b">
        <v>0</v>
      </c>
      <c r="AQ2314" s="86" t="s">
        <v>7780</v>
      </c>
      <c r="AR2314" s="81" t="s">
        <v>179</v>
      </c>
      <c r="AS2314" s="81">
        <v>0</v>
      </c>
      <c r="AT2314" s="81">
        <v>0</v>
      </c>
      <c r="AU2314" s="81"/>
      <c r="AV2314" s="81"/>
      <c r="AW2314" s="81"/>
      <c r="AX2314" s="81"/>
      <c r="AY2314" s="81"/>
      <c r="AZ2314" s="81"/>
      <c r="BA2314" s="81"/>
      <c r="BB2314" s="81"/>
    </row>
    <row r="2315" spans="1:54" x14ac:dyDescent="0.35">
      <c r="A2315" s="66" t="s">
        <v>4967</v>
      </c>
      <c r="B2315" s="66" t="s">
        <v>5246</v>
      </c>
      <c r="C2315" s="67"/>
      <c r="D2315" s="68"/>
      <c r="E2315" s="69"/>
      <c r="F2315" s="70"/>
      <c r="G2315" s="67"/>
      <c r="H2315" s="71"/>
      <c r="I2315" s="72"/>
      <c r="J2315" s="72"/>
      <c r="K2315" s="36"/>
      <c r="L2315" s="79"/>
      <c r="M2315" s="79"/>
      <c r="N2315" s="74"/>
      <c r="O2315" s="81" t="s">
        <v>694</v>
      </c>
      <c r="P2315" s="83">
        <v>44464.140057870369</v>
      </c>
      <c r="Q2315" s="81" t="s">
        <v>5654</v>
      </c>
      <c r="R2315" s="84" t="str">
        <f>HYPERLINK("https://auditoriacidada.org.br/")</f>
        <v>https://auditoriacidada.org.br/</v>
      </c>
      <c r="S2315" s="81" t="s">
        <v>5696</v>
      </c>
      <c r="T2315" s="81"/>
      <c r="U2315" s="81"/>
      <c r="V2315" s="84" t="str">
        <f>HYPERLINK("https://pbs.twimg.com/profile_images/1399527376242069507/ZhhDd0tB_normal.jpg")</f>
        <v>https://pbs.twimg.com/profile_images/1399527376242069507/ZhhDd0tB_normal.jpg</v>
      </c>
      <c r="W2315" s="83">
        <v>44464.140057870369</v>
      </c>
      <c r="X2315" s="89">
        <v>44464</v>
      </c>
      <c r="Y2315" s="86" t="s">
        <v>6654</v>
      </c>
      <c r="Z2315" s="84" t="str">
        <f>HYPERLINK("https://twitter.com/mariacr64955277/status/1441603789765677056")</f>
        <v>https://twitter.com/mariacr64955277/status/1441603789765677056</v>
      </c>
      <c r="AA2315" s="81"/>
      <c r="AB2315" s="81"/>
      <c r="AC2315" s="86" t="s">
        <v>7579</v>
      </c>
      <c r="AD2315" s="81"/>
      <c r="AE2315" s="81" t="b">
        <v>0</v>
      </c>
      <c r="AF2315" s="81">
        <v>0</v>
      </c>
      <c r="AG2315" s="86" t="s">
        <v>2084</v>
      </c>
      <c r="AH2315" s="81" t="b">
        <v>0</v>
      </c>
      <c r="AI2315" s="81" t="s">
        <v>2171</v>
      </c>
      <c r="AJ2315" s="81"/>
      <c r="AK2315" s="86" t="s">
        <v>2084</v>
      </c>
      <c r="AL2315" s="81" t="b">
        <v>0</v>
      </c>
      <c r="AM2315" s="81">
        <v>4</v>
      </c>
      <c r="AN2315" s="86" t="s">
        <v>7580</v>
      </c>
      <c r="AO2315" s="86" t="s">
        <v>2178</v>
      </c>
      <c r="AP2315" s="81" t="b">
        <v>0</v>
      </c>
      <c r="AQ2315" s="86" t="s">
        <v>7580</v>
      </c>
      <c r="AR2315" s="81" t="s">
        <v>179</v>
      </c>
      <c r="AS2315" s="81">
        <v>0</v>
      </c>
      <c r="AT2315" s="81">
        <v>0</v>
      </c>
      <c r="AU2315" s="81"/>
      <c r="AV2315" s="81"/>
      <c r="AW2315" s="81"/>
      <c r="AX2315" s="81"/>
      <c r="AY2315" s="81"/>
      <c r="AZ2315" s="81"/>
      <c r="BA2315" s="81"/>
      <c r="BB2315" s="81"/>
    </row>
    <row r="2316" spans="1:54" x14ac:dyDescent="0.35">
      <c r="A2316" s="66" t="s">
        <v>4963</v>
      </c>
      <c r="B2316" s="66" t="s">
        <v>5246</v>
      </c>
      <c r="C2316" s="67"/>
      <c r="D2316" s="68"/>
      <c r="E2316" s="69"/>
      <c r="F2316" s="70"/>
      <c r="G2316" s="67"/>
      <c r="H2316" s="71"/>
      <c r="I2316" s="72"/>
      <c r="J2316" s="72"/>
      <c r="K2316" s="36"/>
      <c r="L2316" s="79"/>
      <c r="M2316" s="79"/>
      <c r="N2316" s="74"/>
      <c r="O2316" s="81" t="s">
        <v>696</v>
      </c>
      <c r="P2316" s="83">
        <v>44463.598182870373</v>
      </c>
      <c r="Q2316" s="81" t="s">
        <v>5654</v>
      </c>
      <c r="R2316" s="84" t="str">
        <f>HYPERLINK("https://auditoriacidada.org.br/")</f>
        <v>https://auditoriacidada.org.br/</v>
      </c>
      <c r="S2316" s="81" t="s">
        <v>5696</v>
      </c>
      <c r="T2316" s="81"/>
      <c r="U2316" s="81"/>
      <c r="V2316" s="84" t="str">
        <f>HYPERLINK("https://pbs.twimg.com/profile_images/1258569360236576770/7E9EYrtd_normal.jpg")</f>
        <v>https://pbs.twimg.com/profile_images/1258569360236576770/7E9EYrtd_normal.jpg</v>
      </c>
      <c r="W2316" s="83">
        <v>44463.598182870373</v>
      </c>
      <c r="X2316" s="89">
        <v>44463</v>
      </c>
      <c r="Y2316" s="86" t="s">
        <v>6655</v>
      </c>
      <c r="Z2316" s="84" t="str">
        <f>HYPERLINK("https://twitter.com/panchitoblanco1/status/1441407420660604930")</f>
        <v>https://twitter.com/panchitoblanco1/status/1441407420660604930</v>
      </c>
      <c r="AA2316" s="81"/>
      <c r="AB2316" s="81"/>
      <c r="AC2316" s="86" t="s">
        <v>7580</v>
      </c>
      <c r="AD2316" s="86" t="s">
        <v>7780</v>
      </c>
      <c r="AE2316" s="81" t="b">
        <v>0</v>
      </c>
      <c r="AF2316" s="81">
        <v>10</v>
      </c>
      <c r="AG2316" s="86" t="s">
        <v>7951</v>
      </c>
      <c r="AH2316" s="81" t="b">
        <v>0</v>
      </c>
      <c r="AI2316" s="81" t="s">
        <v>2171</v>
      </c>
      <c r="AJ2316" s="81"/>
      <c r="AK2316" s="86" t="s">
        <v>2084</v>
      </c>
      <c r="AL2316" s="81" t="b">
        <v>0</v>
      </c>
      <c r="AM2316" s="81">
        <v>4</v>
      </c>
      <c r="AN2316" s="86" t="s">
        <v>2084</v>
      </c>
      <c r="AO2316" s="86" t="s">
        <v>2178</v>
      </c>
      <c r="AP2316" s="81" t="b">
        <v>0</v>
      </c>
      <c r="AQ2316" s="86" t="s">
        <v>7780</v>
      </c>
      <c r="AR2316" s="81" t="s">
        <v>179</v>
      </c>
      <c r="AS2316" s="81">
        <v>0</v>
      </c>
      <c r="AT2316" s="81">
        <v>0</v>
      </c>
      <c r="AU2316" s="81"/>
      <c r="AV2316" s="81"/>
      <c r="AW2316" s="81"/>
      <c r="AX2316" s="81"/>
      <c r="AY2316" s="81"/>
      <c r="AZ2316" s="81"/>
      <c r="BA2316" s="81"/>
      <c r="BB2316" s="81"/>
    </row>
    <row r="2317" spans="1:54" x14ac:dyDescent="0.35">
      <c r="A2317" s="66" t="s">
        <v>4967</v>
      </c>
      <c r="B2317" s="66" t="s">
        <v>5247</v>
      </c>
      <c r="C2317" s="67"/>
      <c r="D2317" s="68"/>
      <c r="E2317" s="69"/>
      <c r="F2317" s="70"/>
      <c r="G2317" s="67"/>
      <c r="H2317" s="71"/>
      <c r="I2317" s="72"/>
      <c r="J2317" s="72"/>
      <c r="K2317" s="36"/>
      <c r="L2317" s="79"/>
      <c r="M2317" s="79"/>
      <c r="N2317" s="74"/>
      <c r="O2317" s="81" t="s">
        <v>694</v>
      </c>
      <c r="P2317" s="83">
        <v>44464.140057870369</v>
      </c>
      <c r="Q2317" s="81" t="s">
        <v>5654</v>
      </c>
      <c r="R2317" s="84" t="str">
        <f>HYPERLINK("https://auditoriacidada.org.br/")</f>
        <v>https://auditoriacidada.org.br/</v>
      </c>
      <c r="S2317" s="81" t="s">
        <v>5696</v>
      </c>
      <c r="T2317" s="81"/>
      <c r="U2317" s="81"/>
      <c r="V2317" s="84" t="str">
        <f>HYPERLINK("https://pbs.twimg.com/profile_images/1399527376242069507/ZhhDd0tB_normal.jpg")</f>
        <v>https://pbs.twimg.com/profile_images/1399527376242069507/ZhhDd0tB_normal.jpg</v>
      </c>
      <c r="W2317" s="83">
        <v>44464.140057870369</v>
      </c>
      <c r="X2317" s="89">
        <v>44464</v>
      </c>
      <c r="Y2317" s="86" t="s">
        <v>6654</v>
      </c>
      <c r="Z2317" s="84" t="str">
        <f>HYPERLINK("https://twitter.com/mariacr64955277/status/1441603789765677056")</f>
        <v>https://twitter.com/mariacr64955277/status/1441603789765677056</v>
      </c>
      <c r="AA2317" s="81"/>
      <c r="AB2317" s="81"/>
      <c r="AC2317" s="86" t="s">
        <v>7579</v>
      </c>
      <c r="AD2317" s="81"/>
      <c r="AE2317" s="81" t="b">
        <v>0</v>
      </c>
      <c r="AF2317" s="81">
        <v>0</v>
      </c>
      <c r="AG2317" s="86" t="s">
        <v>2084</v>
      </c>
      <c r="AH2317" s="81" t="b">
        <v>0</v>
      </c>
      <c r="AI2317" s="81" t="s">
        <v>2171</v>
      </c>
      <c r="AJ2317" s="81"/>
      <c r="AK2317" s="86" t="s">
        <v>2084</v>
      </c>
      <c r="AL2317" s="81" t="b">
        <v>0</v>
      </c>
      <c r="AM2317" s="81">
        <v>4</v>
      </c>
      <c r="AN2317" s="86" t="s">
        <v>7580</v>
      </c>
      <c r="AO2317" s="86" t="s">
        <v>2178</v>
      </c>
      <c r="AP2317" s="81" t="b">
        <v>0</v>
      </c>
      <c r="AQ2317" s="86" t="s">
        <v>7580</v>
      </c>
      <c r="AR2317" s="81" t="s">
        <v>179</v>
      </c>
      <c r="AS2317" s="81">
        <v>0</v>
      </c>
      <c r="AT2317" s="81">
        <v>0</v>
      </c>
      <c r="AU2317" s="81"/>
      <c r="AV2317" s="81"/>
      <c r="AW2317" s="81"/>
      <c r="AX2317" s="81"/>
      <c r="AY2317" s="81"/>
      <c r="AZ2317" s="81"/>
      <c r="BA2317" s="81"/>
      <c r="BB2317" s="81"/>
    </row>
    <row r="2318" spans="1:54" x14ac:dyDescent="0.35">
      <c r="A2318" s="66" t="s">
        <v>4963</v>
      </c>
      <c r="B2318" s="66" t="s">
        <v>5247</v>
      </c>
      <c r="C2318" s="67"/>
      <c r="D2318" s="68"/>
      <c r="E2318" s="69"/>
      <c r="F2318" s="70"/>
      <c r="G2318" s="67"/>
      <c r="H2318" s="71"/>
      <c r="I2318" s="72"/>
      <c r="J2318" s="72"/>
      <c r="K2318" s="36"/>
      <c r="L2318" s="79"/>
      <c r="M2318" s="79"/>
      <c r="N2318" s="74"/>
      <c r="O2318" s="81" t="s">
        <v>696</v>
      </c>
      <c r="P2318" s="83">
        <v>44463.598182870373</v>
      </c>
      <c r="Q2318" s="81" t="s">
        <v>5654</v>
      </c>
      <c r="R2318" s="84" t="str">
        <f>HYPERLINK("https://auditoriacidada.org.br/")</f>
        <v>https://auditoriacidada.org.br/</v>
      </c>
      <c r="S2318" s="81" t="s">
        <v>5696</v>
      </c>
      <c r="T2318" s="81"/>
      <c r="U2318" s="81"/>
      <c r="V2318" s="84" t="str">
        <f>HYPERLINK("https://pbs.twimg.com/profile_images/1258569360236576770/7E9EYrtd_normal.jpg")</f>
        <v>https://pbs.twimg.com/profile_images/1258569360236576770/7E9EYrtd_normal.jpg</v>
      </c>
      <c r="W2318" s="83">
        <v>44463.598182870373</v>
      </c>
      <c r="X2318" s="89">
        <v>44463</v>
      </c>
      <c r="Y2318" s="86" t="s">
        <v>6655</v>
      </c>
      <c r="Z2318" s="84" t="str">
        <f>HYPERLINK("https://twitter.com/panchitoblanco1/status/1441407420660604930")</f>
        <v>https://twitter.com/panchitoblanco1/status/1441407420660604930</v>
      </c>
      <c r="AA2318" s="81"/>
      <c r="AB2318" s="81"/>
      <c r="AC2318" s="86" t="s">
        <v>7580</v>
      </c>
      <c r="AD2318" s="86" t="s">
        <v>7780</v>
      </c>
      <c r="AE2318" s="81" t="b">
        <v>0</v>
      </c>
      <c r="AF2318" s="81">
        <v>10</v>
      </c>
      <c r="AG2318" s="86" t="s">
        <v>7951</v>
      </c>
      <c r="AH2318" s="81" t="b">
        <v>0</v>
      </c>
      <c r="AI2318" s="81" t="s">
        <v>2171</v>
      </c>
      <c r="AJ2318" s="81"/>
      <c r="AK2318" s="86" t="s">
        <v>2084</v>
      </c>
      <c r="AL2318" s="81" t="b">
        <v>0</v>
      </c>
      <c r="AM2318" s="81">
        <v>4</v>
      </c>
      <c r="AN2318" s="86" t="s">
        <v>2084</v>
      </c>
      <c r="AO2318" s="86" t="s">
        <v>2178</v>
      </c>
      <c r="AP2318" s="81" t="b">
        <v>0</v>
      </c>
      <c r="AQ2318" s="86" t="s">
        <v>7780</v>
      </c>
      <c r="AR2318" s="81" t="s">
        <v>179</v>
      </c>
      <c r="AS2318" s="81">
        <v>0</v>
      </c>
      <c r="AT2318" s="81">
        <v>0</v>
      </c>
      <c r="AU2318" s="81"/>
      <c r="AV2318" s="81"/>
      <c r="AW2318" s="81"/>
      <c r="AX2318" s="81"/>
      <c r="AY2318" s="81"/>
      <c r="AZ2318" s="81"/>
      <c r="BA2318" s="81"/>
      <c r="BB2318" s="81"/>
    </row>
    <row r="2319" spans="1:54" x14ac:dyDescent="0.35">
      <c r="A2319" s="66" t="s">
        <v>4967</v>
      </c>
      <c r="B2319" s="66" t="s">
        <v>5248</v>
      </c>
      <c r="C2319" s="67"/>
      <c r="D2319" s="68"/>
      <c r="E2319" s="69"/>
      <c r="F2319" s="70"/>
      <c r="G2319" s="67"/>
      <c r="H2319" s="71"/>
      <c r="I2319" s="72"/>
      <c r="J2319" s="72"/>
      <c r="K2319" s="36"/>
      <c r="L2319" s="79"/>
      <c r="M2319" s="79"/>
      <c r="N2319" s="74"/>
      <c r="O2319" s="81" t="s">
        <v>694</v>
      </c>
      <c r="P2319" s="83">
        <v>44464.140057870369</v>
      </c>
      <c r="Q2319" s="81" t="s">
        <v>5654</v>
      </c>
      <c r="R2319" s="84" t="str">
        <f>HYPERLINK("https://auditoriacidada.org.br/")</f>
        <v>https://auditoriacidada.org.br/</v>
      </c>
      <c r="S2319" s="81" t="s">
        <v>5696</v>
      </c>
      <c r="T2319" s="81"/>
      <c r="U2319" s="81"/>
      <c r="V2319" s="84" t="str">
        <f>HYPERLINK("https://pbs.twimg.com/profile_images/1399527376242069507/ZhhDd0tB_normal.jpg")</f>
        <v>https://pbs.twimg.com/profile_images/1399527376242069507/ZhhDd0tB_normal.jpg</v>
      </c>
      <c r="W2319" s="83">
        <v>44464.140057870369</v>
      </c>
      <c r="X2319" s="89">
        <v>44464</v>
      </c>
      <c r="Y2319" s="86" t="s">
        <v>6654</v>
      </c>
      <c r="Z2319" s="84" t="str">
        <f>HYPERLINK("https://twitter.com/mariacr64955277/status/1441603789765677056")</f>
        <v>https://twitter.com/mariacr64955277/status/1441603789765677056</v>
      </c>
      <c r="AA2319" s="81"/>
      <c r="AB2319" s="81"/>
      <c r="AC2319" s="86" t="s">
        <v>7579</v>
      </c>
      <c r="AD2319" s="81"/>
      <c r="AE2319" s="81" t="b">
        <v>0</v>
      </c>
      <c r="AF2319" s="81">
        <v>0</v>
      </c>
      <c r="AG2319" s="86" t="s">
        <v>2084</v>
      </c>
      <c r="AH2319" s="81" t="b">
        <v>0</v>
      </c>
      <c r="AI2319" s="81" t="s">
        <v>2171</v>
      </c>
      <c r="AJ2319" s="81"/>
      <c r="AK2319" s="86" t="s">
        <v>2084</v>
      </c>
      <c r="AL2319" s="81" t="b">
        <v>0</v>
      </c>
      <c r="AM2319" s="81">
        <v>4</v>
      </c>
      <c r="AN2319" s="86" t="s">
        <v>7580</v>
      </c>
      <c r="AO2319" s="86" t="s">
        <v>2178</v>
      </c>
      <c r="AP2319" s="81" t="b">
        <v>0</v>
      </c>
      <c r="AQ2319" s="86" t="s">
        <v>7580</v>
      </c>
      <c r="AR2319" s="81" t="s">
        <v>179</v>
      </c>
      <c r="AS2319" s="81">
        <v>0</v>
      </c>
      <c r="AT2319" s="81">
        <v>0</v>
      </c>
      <c r="AU2319" s="81"/>
      <c r="AV2319" s="81"/>
      <c r="AW2319" s="81"/>
      <c r="AX2319" s="81"/>
      <c r="AY2319" s="81"/>
      <c r="AZ2319" s="81"/>
      <c r="BA2319" s="81"/>
      <c r="BB2319" s="81"/>
    </row>
    <row r="2320" spans="1:54" x14ac:dyDescent="0.35">
      <c r="A2320" s="66" t="s">
        <v>4963</v>
      </c>
      <c r="B2320" s="66" t="s">
        <v>5248</v>
      </c>
      <c r="C2320" s="67"/>
      <c r="D2320" s="68"/>
      <c r="E2320" s="69"/>
      <c r="F2320" s="70"/>
      <c r="G2320" s="67"/>
      <c r="H2320" s="71"/>
      <c r="I2320" s="72"/>
      <c r="J2320" s="72"/>
      <c r="K2320" s="36"/>
      <c r="L2320" s="79"/>
      <c r="M2320" s="79"/>
      <c r="N2320" s="74"/>
      <c r="O2320" s="81" t="s">
        <v>696</v>
      </c>
      <c r="P2320" s="83">
        <v>44463.598182870373</v>
      </c>
      <c r="Q2320" s="81" t="s">
        <v>5654</v>
      </c>
      <c r="R2320" s="84" t="str">
        <f>HYPERLINK("https://auditoriacidada.org.br/")</f>
        <v>https://auditoriacidada.org.br/</v>
      </c>
      <c r="S2320" s="81" t="s">
        <v>5696</v>
      </c>
      <c r="T2320" s="81"/>
      <c r="U2320" s="81"/>
      <c r="V2320" s="84" t="str">
        <f>HYPERLINK("https://pbs.twimg.com/profile_images/1258569360236576770/7E9EYrtd_normal.jpg")</f>
        <v>https://pbs.twimg.com/profile_images/1258569360236576770/7E9EYrtd_normal.jpg</v>
      </c>
      <c r="W2320" s="83">
        <v>44463.598182870373</v>
      </c>
      <c r="X2320" s="89">
        <v>44463</v>
      </c>
      <c r="Y2320" s="86" t="s">
        <v>6655</v>
      </c>
      <c r="Z2320" s="84" t="str">
        <f>HYPERLINK("https://twitter.com/panchitoblanco1/status/1441407420660604930")</f>
        <v>https://twitter.com/panchitoblanco1/status/1441407420660604930</v>
      </c>
      <c r="AA2320" s="81"/>
      <c r="AB2320" s="81"/>
      <c r="AC2320" s="86" t="s">
        <v>7580</v>
      </c>
      <c r="AD2320" s="86" t="s">
        <v>7780</v>
      </c>
      <c r="AE2320" s="81" t="b">
        <v>0</v>
      </c>
      <c r="AF2320" s="81">
        <v>10</v>
      </c>
      <c r="AG2320" s="86" t="s">
        <v>7951</v>
      </c>
      <c r="AH2320" s="81" t="b">
        <v>0</v>
      </c>
      <c r="AI2320" s="81" t="s">
        <v>2171</v>
      </c>
      <c r="AJ2320" s="81"/>
      <c r="AK2320" s="86" t="s">
        <v>2084</v>
      </c>
      <c r="AL2320" s="81" t="b">
        <v>0</v>
      </c>
      <c r="AM2320" s="81">
        <v>4</v>
      </c>
      <c r="AN2320" s="86" t="s">
        <v>2084</v>
      </c>
      <c r="AO2320" s="86" t="s">
        <v>2178</v>
      </c>
      <c r="AP2320" s="81" t="b">
        <v>0</v>
      </c>
      <c r="AQ2320" s="86" t="s">
        <v>7780</v>
      </c>
      <c r="AR2320" s="81" t="s">
        <v>179</v>
      </c>
      <c r="AS2320" s="81">
        <v>0</v>
      </c>
      <c r="AT2320" s="81">
        <v>0</v>
      </c>
      <c r="AU2320" s="81"/>
      <c r="AV2320" s="81"/>
      <c r="AW2320" s="81"/>
      <c r="AX2320" s="81"/>
      <c r="AY2320" s="81"/>
      <c r="AZ2320" s="81"/>
      <c r="BA2320" s="81"/>
      <c r="BB2320" s="81"/>
    </row>
    <row r="2321" spans="1:54" x14ac:dyDescent="0.35">
      <c r="A2321" s="66" t="s">
        <v>4967</v>
      </c>
      <c r="B2321" s="66" t="s">
        <v>5249</v>
      </c>
      <c r="C2321" s="67"/>
      <c r="D2321" s="68"/>
      <c r="E2321" s="69"/>
      <c r="F2321" s="70"/>
      <c r="G2321" s="67"/>
      <c r="H2321" s="71"/>
      <c r="I2321" s="72"/>
      <c r="J2321" s="72"/>
      <c r="K2321" s="36"/>
      <c r="L2321" s="79"/>
      <c r="M2321" s="79"/>
      <c r="N2321" s="74"/>
      <c r="O2321" s="81" t="s">
        <v>694</v>
      </c>
      <c r="P2321" s="83">
        <v>44464.140057870369</v>
      </c>
      <c r="Q2321" s="81" t="s">
        <v>5654</v>
      </c>
      <c r="R2321" s="84" t="str">
        <f>HYPERLINK("https://auditoriacidada.org.br/")</f>
        <v>https://auditoriacidada.org.br/</v>
      </c>
      <c r="S2321" s="81" t="s">
        <v>5696</v>
      </c>
      <c r="T2321" s="81"/>
      <c r="U2321" s="81"/>
      <c r="V2321" s="84" t="str">
        <f>HYPERLINK("https://pbs.twimg.com/profile_images/1399527376242069507/ZhhDd0tB_normal.jpg")</f>
        <v>https://pbs.twimg.com/profile_images/1399527376242069507/ZhhDd0tB_normal.jpg</v>
      </c>
      <c r="W2321" s="83">
        <v>44464.140057870369</v>
      </c>
      <c r="X2321" s="89">
        <v>44464</v>
      </c>
      <c r="Y2321" s="86" t="s">
        <v>6654</v>
      </c>
      <c r="Z2321" s="84" t="str">
        <f>HYPERLINK("https://twitter.com/mariacr64955277/status/1441603789765677056")</f>
        <v>https://twitter.com/mariacr64955277/status/1441603789765677056</v>
      </c>
      <c r="AA2321" s="81"/>
      <c r="AB2321" s="81"/>
      <c r="AC2321" s="86" t="s">
        <v>7579</v>
      </c>
      <c r="AD2321" s="81"/>
      <c r="AE2321" s="81" t="b">
        <v>0</v>
      </c>
      <c r="AF2321" s="81">
        <v>0</v>
      </c>
      <c r="AG2321" s="86" t="s">
        <v>2084</v>
      </c>
      <c r="AH2321" s="81" t="b">
        <v>0</v>
      </c>
      <c r="AI2321" s="81" t="s">
        <v>2171</v>
      </c>
      <c r="AJ2321" s="81"/>
      <c r="AK2321" s="86" t="s">
        <v>2084</v>
      </c>
      <c r="AL2321" s="81" t="b">
        <v>0</v>
      </c>
      <c r="AM2321" s="81">
        <v>4</v>
      </c>
      <c r="AN2321" s="86" t="s">
        <v>7580</v>
      </c>
      <c r="AO2321" s="86" t="s">
        <v>2178</v>
      </c>
      <c r="AP2321" s="81" t="b">
        <v>0</v>
      </c>
      <c r="AQ2321" s="86" t="s">
        <v>7580</v>
      </c>
      <c r="AR2321" s="81" t="s">
        <v>179</v>
      </c>
      <c r="AS2321" s="81">
        <v>0</v>
      </c>
      <c r="AT2321" s="81">
        <v>0</v>
      </c>
      <c r="AU2321" s="81"/>
      <c r="AV2321" s="81"/>
      <c r="AW2321" s="81"/>
      <c r="AX2321" s="81"/>
      <c r="AY2321" s="81"/>
      <c r="AZ2321" s="81"/>
      <c r="BA2321" s="81"/>
      <c r="BB2321" s="81"/>
    </row>
    <row r="2322" spans="1:54" x14ac:dyDescent="0.35">
      <c r="A2322" s="66" t="s">
        <v>4963</v>
      </c>
      <c r="B2322" s="66" t="s">
        <v>5249</v>
      </c>
      <c r="C2322" s="67"/>
      <c r="D2322" s="68"/>
      <c r="E2322" s="69"/>
      <c r="F2322" s="70"/>
      <c r="G2322" s="67"/>
      <c r="H2322" s="71"/>
      <c r="I2322" s="72"/>
      <c r="J2322" s="72"/>
      <c r="K2322" s="36"/>
      <c r="L2322" s="79"/>
      <c r="M2322" s="79"/>
      <c r="N2322" s="74"/>
      <c r="O2322" s="81" t="s">
        <v>696</v>
      </c>
      <c r="P2322" s="83">
        <v>44463.598182870373</v>
      </c>
      <c r="Q2322" s="81" t="s">
        <v>5654</v>
      </c>
      <c r="R2322" s="84" t="str">
        <f>HYPERLINK("https://auditoriacidada.org.br/")</f>
        <v>https://auditoriacidada.org.br/</v>
      </c>
      <c r="S2322" s="81" t="s">
        <v>5696</v>
      </c>
      <c r="T2322" s="81"/>
      <c r="U2322" s="81"/>
      <c r="V2322" s="84" t="str">
        <f>HYPERLINK("https://pbs.twimg.com/profile_images/1258569360236576770/7E9EYrtd_normal.jpg")</f>
        <v>https://pbs.twimg.com/profile_images/1258569360236576770/7E9EYrtd_normal.jpg</v>
      </c>
      <c r="W2322" s="83">
        <v>44463.598182870373</v>
      </c>
      <c r="X2322" s="89">
        <v>44463</v>
      </c>
      <c r="Y2322" s="86" t="s">
        <v>6655</v>
      </c>
      <c r="Z2322" s="84" t="str">
        <f>HYPERLINK("https://twitter.com/panchitoblanco1/status/1441407420660604930")</f>
        <v>https://twitter.com/panchitoblanco1/status/1441407420660604930</v>
      </c>
      <c r="AA2322" s="81"/>
      <c r="AB2322" s="81"/>
      <c r="AC2322" s="86" t="s">
        <v>7580</v>
      </c>
      <c r="AD2322" s="86" t="s">
        <v>7780</v>
      </c>
      <c r="AE2322" s="81" t="b">
        <v>0</v>
      </c>
      <c r="AF2322" s="81">
        <v>10</v>
      </c>
      <c r="AG2322" s="86" t="s">
        <v>7951</v>
      </c>
      <c r="AH2322" s="81" t="b">
        <v>0</v>
      </c>
      <c r="AI2322" s="81" t="s">
        <v>2171</v>
      </c>
      <c r="AJ2322" s="81"/>
      <c r="AK2322" s="86" t="s">
        <v>2084</v>
      </c>
      <c r="AL2322" s="81" t="b">
        <v>0</v>
      </c>
      <c r="AM2322" s="81">
        <v>4</v>
      </c>
      <c r="AN2322" s="86" t="s">
        <v>2084</v>
      </c>
      <c r="AO2322" s="86" t="s">
        <v>2178</v>
      </c>
      <c r="AP2322" s="81" t="b">
        <v>0</v>
      </c>
      <c r="AQ2322" s="86" t="s">
        <v>7780</v>
      </c>
      <c r="AR2322" s="81" t="s">
        <v>179</v>
      </c>
      <c r="AS2322" s="81">
        <v>0</v>
      </c>
      <c r="AT2322" s="81">
        <v>0</v>
      </c>
      <c r="AU2322" s="81"/>
      <c r="AV2322" s="81"/>
      <c r="AW2322" s="81"/>
      <c r="AX2322" s="81"/>
      <c r="AY2322" s="81"/>
      <c r="AZ2322" s="81"/>
      <c r="BA2322" s="81"/>
      <c r="BB2322" s="81"/>
    </row>
    <row r="2323" spans="1:54" x14ac:dyDescent="0.35">
      <c r="A2323" s="66" t="s">
        <v>4967</v>
      </c>
      <c r="B2323" s="66" t="s">
        <v>5250</v>
      </c>
      <c r="C2323" s="67"/>
      <c r="D2323" s="68"/>
      <c r="E2323" s="69"/>
      <c r="F2323" s="70"/>
      <c r="G2323" s="67"/>
      <c r="H2323" s="71"/>
      <c r="I2323" s="72"/>
      <c r="J2323" s="72"/>
      <c r="K2323" s="36"/>
      <c r="L2323" s="79"/>
      <c r="M2323" s="79"/>
      <c r="N2323" s="74"/>
      <c r="O2323" s="81" t="s">
        <v>694</v>
      </c>
      <c r="P2323" s="83">
        <v>44464.140057870369</v>
      </c>
      <c r="Q2323" s="81" t="s">
        <v>5654</v>
      </c>
      <c r="R2323" s="84" t="str">
        <f>HYPERLINK("https://auditoriacidada.org.br/")</f>
        <v>https://auditoriacidada.org.br/</v>
      </c>
      <c r="S2323" s="81" t="s">
        <v>5696</v>
      </c>
      <c r="T2323" s="81"/>
      <c r="U2323" s="81"/>
      <c r="V2323" s="84" t="str">
        <f>HYPERLINK("https://pbs.twimg.com/profile_images/1399527376242069507/ZhhDd0tB_normal.jpg")</f>
        <v>https://pbs.twimg.com/profile_images/1399527376242069507/ZhhDd0tB_normal.jpg</v>
      </c>
      <c r="W2323" s="83">
        <v>44464.140057870369</v>
      </c>
      <c r="X2323" s="89">
        <v>44464</v>
      </c>
      <c r="Y2323" s="86" t="s">
        <v>6654</v>
      </c>
      <c r="Z2323" s="84" t="str">
        <f>HYPERLINK("https://twitter.com/mariacr64955277/status/1441603789765677056")</f>
        <v>https://twitter.com/mariacr64955277/status/1441603789765677056</v>
      </c>
      <c r="AA2323" s="81"/>
      <c r="AB2323" s="81"/>
      <c r="AC2323" s="86" t="s">
        <v>7579</v>
      </c>
      <c r="AD2323" s="81"/>
      <c r="AE2323" s="81" t="b">
        <v>0</v>
      </c>
      <c r="AF2323" s="81">
        <v>0</v>
      </c>
      <c r="AG2323" s="86" t="s">
        <v>2084</v>
      </c>
      <c r="AH2323" s="81" t="b">
        <v>0</v>
      </c>
      <c r="AI2323" s="81" t="s">
        <v>2171</v>
      </c>
      <c r="AJ2323" s="81"/>
      <c r="AK2323" s="86" t="s">
        <v>2084</v>
      </c>
      <c r="AL2323" s="81" t="b">
        <v>0</v>
      </c>
      <c r="AM2323" s="81">
        <v>4</v>
      </c>
      <c r="AN2323" s="86" t="s">
        <v>7580</v>
      </c>
      <c r="AO2323" s="86" t="s">
        <v>2178</v>
      </c>
      <c r="AP2323" s="81" t="b">
        <v>0</v>
      </c>
      <c r="AQ2323" s="86" t="s">
        <v>7580</v>
      </c>
      <c r="AR2323" s="81" t="s">
        <v>179</v>
      </c>
      <c r="AS2323" s="81">
        <v>0</v>
      </c>
      <c r="AT2323" s="81">
        <v>0</v>
      </c>
      <c r="AU2323" s="81"/>
      <c r="AV2323" s="81"/>
      <c r="AW2323" s="81"/>
      <c r="AX2323" s="81"/>
      <c r="AY2323" s="81"/>
      <c r="AZ2323" s="81"/>
      <c r="BA2323" s="81"/>
      <c r="BB2323" s="81"/>
    </row>
    <row r="2324" spans="1:54" x14ac:dyDescent="0.35">
      <c r="A2324" s="66" t="s">
        <v>4963</v>
      </c>
      <c r="B2324" s="66" t="s">
        <v>5250</v>
      </c>
      <c r="C2324" s="67"/>
      <c r="D2324" s="68"/>
      <c r="E2324" s="69"/>
      <c r="F2324" s="70"/>
      <c r="G2324" s="67"/>
      <c r="H2324" s="71"/>
      <c r="I2324" s="72"/>
      <c r="J2324" s="72"/>
      <c r="K2324" s="36"/>
      <c r="L2324" s="79"/>
      <c r="M2324" s="79"/>
      <c r="N2324" s="74"/>
      <c r="O2324" s="81" t="s">
        <v>696</v>
      </c>
      <c r="P2324" s="83">
        <v>44463.598182870373</v>
      </c>
      <c r="Q2324" s="81" t="s">
        <v>5654</v>
      </c>
      <c r="R2324" s="84" t="str">
        <f>HYPERLINK("https://auditoriacidada.org.br/")</f>
        <v>https://auditoriacidada.org.br/</v>
      </c>
      <c r="S2324" s="81" t="s">
        <v>5696</v>
      </c>
      <c r="T2324" s="81"/>
      <c r="U2324" s="81"/>
      <c r="V2324" s="84" t="str">
        <f>HYPERLINK("https://pbs.twimg.com/profile_images/1258569360236576770/7E9EYrtd_normal.jpg")</f>
        <v>https://pbs.twimg.com/profile_images/1258569360236576770/7E9EYrtd_normal.jpg</v>
      </c>
      <c r="W2324" s="83">
        <v>44463.598182870373</v>
      </c>
      <c r="X2324" s="89">
        <v>44463</v>
      </c>
      <c r="Y2324" s="86" t="s">
        <v>6655</v>
      </c>
      <c r="Z2324" s="84" t="str">
        <f>HYPERLINK("https://twitter.com/panchitoblanco1/status/1441407420660604930")</f>
        <v>https://twitter.com/panchitoblanco1/status/1441407420660604930</v>
      </c>
      <c r="AA2324" s="81"/>
      <c r="AB2324" s="81"/>
      <c r="AC2324" s="86" t="s">
        <v>7580</v>
      </c>
      <c r="AD2324" s="86" t="s">
        <v>7780</v>
      </c>
      <c r="AE2324" s="81" t="b">
        <v>0</v>
      </c>
      <c r="AF2324" s="81">
        <v>10</v>
      </c>
      <c r="AG2324" s="86" t="s">
        <v>7951</v>
      </c>
      <c r="AH2324" s="81" t="b">
        <v>0</v>
      </c>
      <c r="AI2324" s="81" t="s">
        <v>2171</v>
      </c>
      <c r="AJ2324" s="81"/>
      <c r="AK2324" s="86" t="s">
        <v>2084</v>
      </c>
      <c r="AL2324" s="81" t="b">
        <v>0</v>
      </c>
      <c r="AM2324" s="81">
        <v>4</v>
      </c>
      <c r="AN2324" s="86" t="s">
        <v>2084</v>
      </c>
      <c r="AO2324" s="86" t="s">
        <v>2178</v>
      </c>
      <c r="AP2324" s="81" t="b">
        <v>0</v>
      </c>
      <c r="AQ2324" s="86" t="s">
        <v>7780</v>
      </c>
      <c r="AR2324" s="81" t="s">
        <v>179</v>
      </c>
      <c r="AS2324" s="81">
        <v>0</v>
      </c>
      <c r="AT2324" s="81">
        <v>0</v>
      </c>
      <c r="AU2324" s="81"/>
      <c r="AV2324" s="81"/>
      <c r="AW2324" s="81"/>
      <c r="AX2324" s="81"/>
      <c r="AY2324" s="81"/>
      <c r="AZ2324" s="81"/>
      <c r="BA2324" s="81"/>
      <c r="BB2324" s="81"/>
    </row>
    <row r="2325" spans="1:54" x14ac:dyDescent="0.35">
      <c r="A2325" s="66" t="s">
        <v>4967</v>
      </c>
      <c r="B2325" s="66" t="s">
        <v>5251</v>
      </c>
      <c r="C2325" s="67"/>
      <c r="D2325" s="68"/>
      <c r="E2325" s="69"/>
      <c r="F2325" s="70"/>
      <c r="G2325" s="67"/>
      <c r="H2325" s="71"/>
      <c r="I2325" s="72"/>
      <c r="J2325" s="72"/>
      <c r="K2325" s="36"/>
      <c r="L2325" s="79"/>
      <c r="M2325" s="79"/>
      <c r="N2325" s="74"/>
      <c r="O2325" s="81" t="s">
        <v>694</v>
      </c>
      <c r="P2325" s="83">
        <v>44464.140057870369</v>
      </c>
      <c r="Q2325" s="81" t="s">
        <v>5654</v>
      </c>
      <c r="R2325" s="84" t="str">
        <f>HYPERLINK("https://auditoriacidada.org.br/")</f>
        <v>https://auditoriacidada.org.br/</v>
      </c>
      <c r="S2325" s="81" t="s">
        <v>5696</v>
      </c>
      <c r="T2325" s="81"/>
      <c r="U2325" s="81"/>
      <c r="V2325" s="84" t="str">
        <f>HYPERLINK("https://pbs.twimg.com/profile_images/1399527376242069507/ZhhDd0tB_normal.jpg")</f>
        <v>https://pbs.twimg.com/profile_images/1399527376242069507/ZhhDd0tB_normal.jpg</v>
      </c>
      <c r="W2325" s="83">
        <v>44464.140057870369</v>
      </c>
      <c r="X2325" s="89">
        <v>44464</v>
      </c>
      <c r="Y2325" s="86" t="s">
        <v>6654</v>
      </c>
      <c r="Z2325" s="84" t="str">
        <f>HYPERLINK("https://twitter.com/mariacr64955277/status/1441603789765677056")</f>
        <v>https://twitter.com/mariacr64955277/status/1441603789765677056</v>
      </c>
      <c r="AA2325" s="81"/>
      <c r="AB2325" s="81"/>
      <c r="AC2325" s="86" t="s">
        <v>7579</v>
      </c>
      <c r="AD2325" s="81"/>
      <c r="AE2325" s="81" t="b">
        <v>0</v>
      </c>
      <c r="AF2325" s="81">
        <v>0</v>
      </c>
      <c r="AG2325" s="86" t="s">
        <v>2084</v>
      </c>
      <c r="AH2325" s="81" t="b">
        <v>0</v>
      </c>
      <c r="AI2325" s="81" t="s">
        <v>2171</v>
      </c>
      <c r="AJ2325" s="81"/>
      <c r="AK2325" s="86" t="s">
        <v>2084</v>
      </c>
      <c r="AL2325" s="81" t="b">
        <v>0</v>
      </c>
      <c r="AM2325" s="81">
        <v>4</v>
      </c>
      <c r="AN2325" s="86" t="s">
        <v>7580</v>
      </c>
      <c r="AO2325" s="86" t="s">
        <v>2178</v>
      </c>
      <c r="AP2325" s="81" t="b">
        <v>0</v>
      </c>
      <c r="AQ2325" s="86" t="s">
        <v>7580</v>
      </c>
      <c r="AR2325" s="81" t="s">
        <v>179</v>
      </c>
      <c r="AS2325" s="81">
        <v>0</v>
      </c>
      <c r="AT2325" s="81">
        <v>0</v>
      </c>
      <c r="AU2325" s="81"/>
      <c r="AV2325" s="81"/>
      <c r="AW2325" s="81"/>
      <c r="AX2325" s="81"/>
      <c r="AY2325" s="81"/>
      <c r="AZ2325" s="81"/>
      <c r="BA2325" s="81"/>
      <c r="BB2325" s="81"/>
    </row>
    <row r="2326" spans="1:54" x14ac:dyDescent="0.35">
      <c r="A2326" s="66" t="s">
        <v>4963</v>
      </c>
      <c r="B2326" s="66" t="s">
        <v>5251</v>
      </c>
      <c r="C2326" s="67"/>
      <c r="D2326" s="68"/>
      <c r="E2326" s="69"/>
      <c r="F2326" s="70"/>
      <c r="G2326" s="67"/>
      <c r="H2326" s="71"/>
      <c r="I2326" s="72"/>
      <c r="J2326" s="72"/>
      <c r="K2326" s="36"/>
      <c r="L2326" s="79"/>
      <c r="M2326" s="79"/>
      <c r="N2326" s="74"/>
      <c r="O2326" s="81" t="s">
        <v>696</v>
      </c>
      <c r="P2326" s="83">
        <v>44463.598182870373</v>
      </c>
      <c r="Q2326" s="81" t="s">
        <v>5654</v>
      </c>
      <c r="R2326" s="84" t="str">
        <f>HYPERLINK("https://auditoriacidada.org.br/")</f>
        <v>https://auditoriacidada.org.br/</v>
      </c>
      <c r="S2326" s="81" t="s">
        <v>5696</v>
      </c>
      <c r="T2326" s="81"/>
      <c r="U2326" s="81"/>
      <c r="V2326" s="84" t="str">
        <f>HYPERLINK("https://pbs.twimg.com/profile_images/1258569360236576770/7E9EYrtd_normal.jpg")</f>
        <v>https://pbs.twimg.com/profile_images/1258569360236576770/7E9EYrtd_normal.jpg</v>
      </c>
      <c r="W2326" s="83">
        <v>44463.598182870373</v>
      </c>
      <c r="X2326" s="89">
        <v>44463</v>
      </c>
      <c r="Y2326" s="86" t="s">
        <v>6655</v>
      </c>
      <c r="Z2326" s="84" t="str">
        <f>HYPERLINK("https://twitter.com/panchitoblanco1/status/1441407420660604930")</f>
        <v>https://twitter.com/panchitoblanco1/status/1441407420660604930</v>
      </c>
      <c r="AA2326" s="81"/>
      <c r="AB2326" s="81"/>
      <c r="AC2326" s="86" t="s">
        <v>7580</v>
      </c>
      <c r="AD2326" s="86" t="s">
        <v>7780</v>
      </c>
      <c r="AE2326" s="81" t="b">
        <v>0</v>
      </c>
      <c r="AF2326" s="81">
        <v>10</v>
      </c>
      <c r="AG2326" s="86" t="s">
        <v>7951</v>
      </c>
      <c r="AH2326" s="81" t="b">
        <v>0</v>
      </c>
      <c r="AI2326" s="81" t="s">
        <v>2171</v>
      </c>
      <c r="AJ2326" s="81"/>
      <c r="AK2326" s="86" t="s">
        <v>2084</v>
      </c>
      <c r="AL2326" s="81" t="b">
        <v>0</v>
      </c>
      <c r="AM2326" s="81">
        <v>4</v>
      </c>
      <c r="AN2326" s="86" t="s">
        <v>2084</v>
      </c>
      <c r="AO2326" s="86" t="s">
        <v>2178</v>
      </c>
      <c r="AP2326" s="81" t="b">
        <v>0</v>
      </c>
      <c r="AQ2326" s="86" t="s">
        <v>7780</v>
      </c>
      <c r="AR2326" s="81" t="s">
        <v>179</v>
      </c>
      <c r="AS2326" s="81">
        <v>0</v>
      </c>
      <c r="AT2326" s="81">
        <v>0</v>
      </c>
      <c r="AU2326" s="81"/>
      <c r="AV2326" s="81"/>
      <c r="AW2326" s="81"/>
      <c r="AX2326" s="81"/>
      <c r="AY2326" s="81"/>
      <c r="AZ2326" s="81"/>
      <c r="BA2326" s="81"/>
      <c r="BB2326" s="81"/>
    </row>
    <row r="2327" spans="1:54" x14ac:dyDescent="0.35">
      <c r="A2327" s="66" t="s">
        <v>4967</v>
      </c>
      <c r="B2327" s="66" t="s">
        <v>5252</v>
      </c>
      <c r="C2327" s="67"/>
      <c r="D2327" s="68"/>
      <c r="E2327" s="69"/>
      <c r="F2327" s="70"/>
      <c r="G2327" s="67"/>
      <c r="H2327" s="71"/>
      <c r="I2327" s="72"/>
      <c r="J2327" s="72"/>
      <c r="K2327" s="36"/>
      <c r="L2327" s="79"/>
      <c r="M2327" s="79"/>
      <c r="N2327" s="74"/>
      <c r="O2327" s="81" t="s">
        <v>694</v>
      </c>
      <c r="P2327" s="83">
        <v>44464.140057870369</v>
      </c>
      <c r="Q2327" s="81" t="s">
        <v>5654</v>
      </c>
      <c r="R2327" s="84" t="str">
        <f>HYPERLINK("https://auditoriacidada.org.br/")</f>
        <v>https://auditoriacidada.org.br/</v>
      </c>
      <c r="S2327" s="81" t="s">
        <v>5696</v>
      </c>
      <c r="T2327" s="81"/>
      <c r="U2327" s="81"/>
      <c r="V2327" s="84" t="str">
        <f>HYPERLINK("https://pbs.twimg.com/profile_images/1399527376242069507/ZhhDd0tB_normal.jpg")</f>
        <v>https://pbs.twimg.com/profile_images/1399527376242069507/ZhhDd0tB_normal.jpg</v>
      </c>
      <c r="W2327" s="83">
        <v>44464.140057870369</v>
      </c>
      <c r="X2327" s="89">
        <v>44464</v>
      </c>
      <c r="Y2327" s="86" t="s">
        <v>6654</v>
      </c>
      <c r="Z2327" s="84" t="str">
        <f>HYPERLINK("https://twitter.com/mariacr64955277/status/1441603789765677056")</f>
        <v>https://twitter.com/mariacr64955277/status/1441603789765677056</v>
      </c>
      <c r="AA2327" s="81"/>
      <c r="AB2327" s="81"/>
      <c r="AC2327" s="86" t="s">
        <v>7579</v>
      </c>
      <c r="AD2327" s="81"/>
      <c r="AE2327" s="81" t="b">
        <v>0</v>
      </c>
      <c r="AF2327" s="81">
        <v>0</v>
      </c>
      <c r="AG2327" s="86" t="s">
        <v>2084</v>
      </c>
      <c r="AH2327" s="81" t="b">
        <v>0</v>
      </c>
      <c r="AI2327" s="81" t="s">
        <v>2171</v>
      </c>
      <c r="AJ2327" s="81"/>
      <c r="AK2327" s="86" t="s">
        <v>2084</v>
      </c>
      <c r="AL2327" s="81" t="b">
        <v>0</v>
      </c>
      <c r="AM2327" s="81">
        <v>4</v>
      </c>
      <c r="AN2327" s="86" t="s">
        <v>7580</v>
      </c>
      <c r="AO2327" s="86" t="s">
        <v>2178</v>
      </c>
      <c r="AP2327" s="81" t="b">
        <v>0</v>
      </c>
      <c r="AQ2327" s="86" t="s">
        <v>7580</v>
      </c>
      <c r="AR2327" s="81" t="s">
        <v>179</v>
      </c>
      <c r="AS2327" s="81">
        <v>0</v>
      </c>
      <c r="AT2327" s="81">
        <v>0</v>
      </c>
      <c r="AU2327" s="81"/>
      <c r="AV2327" s="81"/>
      <c r="AW2327" s="81"/>
      <c r="AX2327" s="81"/>
      <c r="AY2327" s="81"/>
      <c r="AZ2327" s="81"/>
      <c r="BA2327" s="81"/>
      <c r="BB2327" s="81"/>
    </row>
    <row r="2328" spans="1:54" x14ac:dyDescent="0.35">
      <c r="A2328" s="66" t="s">
        <v>4963</v>
      </c>
      <c r="B2328" s="66" t="s">
        <v>5252</v>
      </c>
      <c r="C2328" s="67"/>
      <c r="D2328" s="68"/>
      <c r="E2328" s="69"/>
      <c r="F2328" s="70"/>
      <c r="G2328" s="67"/>
      <c r="H2328" s="71"/>
      <c r="I2328" s="72"/>
      <c r="J2328" s="72"/>
      <c r="K2328" s="36"/>
      <c r="L2328" s="79"/>
      <c r="M2328" s="79"/>
      <c r="N2328" s="74"/>
      <c r="O2328" s="81" t="s">
        <v>696</v>
      </c>
      <c r="P2328" s="83">
        <v>44463.598182870373</v>
      </c>
      <c r="Q2328" s="81" t="s">
        <v>5654</v>
      </c>
      <c r="R2328" s="84" t="str">
        <f>HYPERLINK("https://auditoriacidada.org.br/")</f>
        <v>https://auditoriacidada.org.br/</v>
      </c>
      <c r="S2328" s="81" t="s">
        <v>5696</v>
      </c>
      <c r="T2328" s="81"/>
      <c r="U2328" s="81"/>
      <c r="V2328" s="84" t="str">
        <f>HYPERLINK("https://pbs.twimg.com/profile_images/1258569360236576770/7E9EYrtd_normal.jpg")</f>
        <v>https://pbs.twimg.com/profile_images/1258569360236576770/7E9EYrtd_normal.jpg</v>
      </c>
      <c r="W2328" s="83">
        <v>44463.598182870373</v>
      </c>
      <c r="X2328" s="89">
        <v>44463</v>
      </c>
      <c r="Y2328" s="86" t="s">
        <v>6655</v>
      </c>
      <c r="Z2328" s="84" t="str">
        <f>HYPERLINK("https://twitter.com/panchitoblanco1/status/1441407420660604930")</f>
        <v>https://twitter.com/panchitoblanco1/status/1441407420660604930</v>
      </c>
      <c r="AA2328" s="81"/>
      <c r="AB2328" s="81"/>
      <c r="AC2328" s="86" t="s">
        <v>7580</v>
      </c>
      <c r="AD2328" s="86" t="s">
        <v>7780</v>
      </c>
      <c r="AE2328" s="81" t="b">
        <v>0</v>
      </c>
      <c r="AF2328" s="81">
        <v>10</v>
      </c>
      <c r="AG2328" s="86" t="s">
        <v>7951</v>
      </c>
      <c r="AH2328" s="81" t="b">
        <v>0</v>
      </c>
      <c r="AI2328" s="81" t="s">
        <v>2171</v>
      </c>
      <c r="AJ2328" s="81"/>
      <c r="AK2328" s="86" t="s">
        <v>2084</v>
      </c>
      <c r="AL2328" s="81" t="b">
        <v>0</v>
      </c>
      <c r="AM2328" s="81">
        <v>4</v>
      </c>
      <c r="AN2328" s="86" t="s">
        <v>2084</v>
      </c>
      <c r="AO2328" s="86" t="s">
        <v>2178</v>
      </c>
      <c r="AP2328" s="81" t="b">
        <v>0</v>
      </c>
      <c r="AQ2328" s="86" t="s">
        <v>7780</v>
      </c>
      <c r="AR2328" s="81" t="s">
        <v>179</v>
      </c>
      <c r="AS2328" s="81">
        <v>0</v>
      </c>
      <c r="AT2328" s="81">
        <v>0</v>
      </c>
      <c r="AU2328" s="81"/>
      <c r="AV2328" s="81"/>
      <c r="AW2328" s="81"/>
      <c r="AX2328" s="81"/>
      <c r="AY2328" s="81"/>
      <c r="AZ2328" s="81"/>
      <c r="BA2328" s="81"/>
      <c r="BB2328" s="81"/>
    </row>
    <row r="2329" spans="1:54" x14ac:dyDescent="0.35">
      <c r="A2329" s="66" t="s">
        <v>4967</v>
      </c>
      <c r="B2329" s="66" t="s">
        <v>5253</v>
      </c>
      <c r="C2329" s="67"/>
      <c r="D2329" s="68"/>
      <c r="E2329" s="69"/>
      <c r="F2329" s="70"/>
      <c r="G2329" s="67"/>
      <c r="H2329" s="71"/>
      <c r="I2329" s="72"/>
      <c r="J2329" s="72"/>
      <c r="K2329" s="36"/>
      <c r="L2329" s="79"/>
      <c r="M2329" s="79"/>
      <c r="N2329" s="74"/>
      <c r="O2329" s="81" t="s">
        <v>694</v>
      </c>
      <c r="P2329" s="83">
        <v>44464.140057870369</v>
      </c>
      <c r="Q2329" s="81" t="s">
        <v>5654</v>
      </c>
      <c r="R2329" s="84" t="str">
        <f>HYPERLINK("https://auditoriacidada.org.br/")</f>
        <v>https://auditoriacidada.org.br/</v>
      </c>
      <c r="S2329" s="81" t="s">
        <v>5696</v>
      </c>
      <c r="T2329" s="81"/>
      <c r="U2329" s="81"/>
      <c r="V2329" s="84" t="str">
        <f>HYPERLINK("https://pbs.twimg.com/profile_images/1399527376242069507/ZhhDd0tB_normal.jpg")</f>
        <v>https://pbs.twimg.com/profile_images/1399527376242069507/ZhhDd0tB_normal.jpg</v>
      </c>
      <c r="W2329" s="83">
        <v>44464.140057870369</v>
      </c>
      <c r="X2329" s="89">
        <v>44464</v>
      </c>
      <c r="Y2329" s="86" t="s">
        <v>6654</v>
      </c>
      <c r="Z2329" s="84" t="str">
        <f>HYPERLINK("https://twitter.com/mariacr64955277/status/1441603789765677056")</f>
        <v>https://twitter.com/mariacr64955277/status/1441603789765677056</v>
      </c>
      <c r="AA2329" s="81"/>
      <c r="AB2329" s="81"/>
      <c r="AC2329" s="86" t="s">
        <v>7579</v>
      </c>
      <c r="AD2329" s="81"/>
      <c r="AE2329" s="81" t="b">
        <v>0</v>
      </c>
      <c r="AF2329" s="81">
        <v>0</v>
      </c>
      <c r="AG2329" s="86" t="s">
        <v>2084</v>
      </c>
      <c r="AH2329" s="81" t="b">
        <v>0</v>
      </c>
      <c r="AI2329" s="81" t="s">
        <v>2171</v>
      </c>
      <c r="AJ2329" s="81"/>
      <c r="AK2329" s="86" t="s">
        <v>2084</v>
      </c>
      <c r="AL2329" s="81" t="b">
        <v>0</v>
      </c>
      <c r="AM2329" s="81">
        <v>4</v>
      </c>
      <c r="AN2329" s="86" t="s">
        <v>7580</v>
      </c>
      <c r="AO2329" s="86" t="s">
        <v>2178</v>
      </c>
      <c r="AP2329" s="81" t="b">
        <v>0</v>
      </c>
      <c r="AQ2329" s="86" t="s">
        <v>7580</v>
      </c>
      <c r="AR2329" s="81" t="s">
        <v>179</v>
      </c>
      <c r="AS2329" s="81">
        <v>0</v>
      </c>
      <c r="AT2329" s="81">
        <v>0</v>
      </c>
      <c r="AU2329" s="81"/>
      <c r="AV2329" s="81"/>
      <c r="AW2329" s="81"/>
      <c r="AX2329" s="81"/>
      <c r="AY2329" s="81"/>
      <c r="AZ2329" s="81"/>
      <c r="BA2329" s="81"/>
      <c r="BB2329" s="81"/>
    </row>
    <row r="2330" spans="1:54" x14ac:dyDescent="0.35">
      <c r="A2330" s="66" t="s">
        <v>4963</v>
      </c>
      <c r="B2330" s="66" t="s">
        <v>5253</v>
      </c>
      <c r="C2330" s="67"/>
      <c r="D2330" s="68"/>
      <c r="E2330" s="69"/>
      <c r="F2330" s="70"/>
      <c r="G2330" s="67"/>
      <c r="H2330" s="71"/>
      <c r="I2330" s="72"/>
      <c r="J2330" s="72"/>
      <c r="K2330" s="36"/>
      <c r="L2330" s="79"/>
      <c r="M2330" s="79"/>
      <c r="N2330" s="74"/>
      <c r="O2330" s="81" t="s">
        <v>696</v>
      </c>
      <c r="P2330" s="83">
        <v>44463.598182870373</v>
      </c>
      <c r="Q2330" s="81" t="s">
        <v>5654</v>
      </c>
      <c r="R2330" s="84" t="str">
        <f>HYPERLINK("https://auditoriacidada.org.br/")</f>
        <v>https://auditoriacidada.org.br/</v>
      </c>
      <c r="S2330" s="81" t="s">
        <v>5696</v>
      </c>
      <c r="T2330" s="81"/>
      <c r="U2330" s="81"/>
      <c r="V2330" s="84" t="str">
        <f>HYPERLINK("https://pbs.twimg.com/profile_images/1258569360236576770/7E9EYrtd_normal.jpg")</f>
        <v>https://pbs.twimg.com/profile_images/1258569360236576770/7E9EYrtd_normal.jpg</v>
      </c>
      <c r="W2330" s="83">
        <v>44463.598182870373</v>
      </c>
      <c r="X2330" s="89">
        <v>44463</v>
      </c>
      <c r="Y2330" s="86" t="s">
        <v>6655</v>
      </c>
      <c r="Z2330" s="84" t="str">
        <f>HYPERLINK("https://twitter.com/panchitoblanco1/status/1441407420660604930")</f>
        <v>https://twitter.com/panchitoblanco1/status/1441407420660604930</v>
      </c>
      <c r="AA2330" s="81"/>
      <c r="AB2330" s="81"/>
      <c r="AC2330" s="86" t="s">
        <v>7580</v>
      </c>
      <c r="AD2330" s="86" t="s">
        <v>7780</v>
      </c>
      <c r="AE2330" s="81" t="b">
        <v>0</v>
      </c>
      <c r="AF2330" s="81">
        <v>10</v>
      </c>
      <c r="AG2330" s="86" t="s">
        <v>7951</v>
      </c>
      <c r="AH2330" s="81" t="b">
        <v>0</v>
      </c>
      <c r="AI2330" s="81" t="s">
        <v>2171</v>
      </c>
      <c r="AJ2330" s="81"/>
      <c r="AK2330" s="86" t="s">
        <v>2084</v>
      </c>
      <c r="AL2330" s="81" t="b">
        <v>0</v>
      </c>
      <c r="AM2330" s="81">
        <v>4</v>
      </c>
      <c r="AN2330" s="86" t="s">
        <v>2084</v>
      </c>
      <c r="AO2330" s="86" t="s">
        <v>2178</v>
      </c>
      <c r="AP2330" s="81" t="b">
        <v>0</v>
      </c>
      <c r="AQ2330" s="86" t="s">
        <v>7780</v>
      </c>
      <c r="AR2330" s="81" t="s">
        <v>179</v>
      </c>
      <c r="AS2330" s="81">
        <v>0</v>
      </c>
      <c r="AT2330" s="81">
        <v>0</v>
      </c>
      <c r="AU2330" s="81"/>
      <c r="AV2330" s="81"/>
      <c r="AW2330" s="81"/>
      <c r="AX2330" s="81"/>
      <c r="AY2330" s="81"/>
      <c r="AZ2330" s="81"/>
      <c r="BA2330" s="81"/>
      <c r="BB2330" s="81"/>
    </row>
    <row r="2331" spans="1:54" x14ac:dyDescent="0.35">
      <c r="A2331" s="66" t="s">
        <v>4967</v>
      </c>
      <c r="B2331" s="66" t="s">
        <v>5254</v>
      </c>
      <c r="C2331" s="67"/>
      <c r="D2331" s="68"/>
      <c r="E2331" s="69"/>
      <c r="F2331" s="70"/>
      <c r="G2331" s="67"/>
      <c r="H2331" s="71"/>
      <c r="I2331" s="72"/>
      <c r="J2331" s="72"/>
      <c r="K2331" s="36"/>
      <c r="L2331" s="79"/>
      <c r="M2331" s="79"/>
      <c r="N2331" s="74"/>
      <c r="O2331" s="81" t="s">
        <v>694</v>
      </c>
      <c r="P2331" s="83">
        <v>44464.140057870369</v>
      </c>
      <c r="Q2331" s="81" t="s">
        <v>5654</v>
      </c>
      <c r="R2331" s="84" t="str">
        <f>HYPERLINK("https://auditoriacidada.org.br/")</f>
        <v>https://auditoriacidada.org.br/</v>
      </c>
      <c r="S2331" s="81" t="s">
        <v>5696</v>
      </c>
      <c r="T2331" s="81"/>
      <c r="U2331" s="81"/>
      <c r="V2331" s="84" t="str">
        <f>HYPERLINK("https://pbs.twimg.com/profile_images/1399527376242069507/ZhhDd0tB_normal.jpg")</f>
        <v>https://pbs.twimg.com/profile_images/1399527376242069507/ZhhDd0tB_normal.jpg</v>
      </c>
      <c r="W2331" s="83">
        <v>44464.140057870369</v>
      </c>
      <c r="X2331" s="89">
        <v>44464</v>
      </c>
      <c r="Y2331" s="86" t="s">
        <v>6654</v>
      </c>
      <c r="Z2331" s="84" t="str">
        <f>HYPERLINK("https://twitter.com/mariacr64955277/status/1441603789765677056")</f>
        <v>https://twitter.com/mariacr64955277/status/1441603789765677056</v>
      </c>
      <c r="AA2331" s="81"/>
      <c r="AB2331" s="81"/>
      <c r="AC2331" s="86" t="s">
        <v>7579</v>
      </c>
      <c r="AD2331" s="81"/>
      <c r="AE2331" s="81" t="b">
        <v>0</v>
      </c>
      <c r="AF2331" s="81">
        <v>0</v>
      </c>
      <c r="AG2331" s="86" t="s">
        <v>2084</v>
      </c>
      <c r="AH2331" s="81" t="b">
        <v>0</v>
      </c>
      <c r="AI2331" s="81" t="s">
        <v>2171</v>
      </c>
      <c r="AJ2331" s="81"/>
      <c r="AK2331" s="86" t="s">
        <v>2084</v>
      </c>
      <c r="AL2331" s="81" t="b">
        <v>0</v>
      </c>
      <c r="AM2331" s="81">
        <v>4</v>
      </c>
      <c r="AN2331" s="86" t="s">
        <v>7580</v>
      </c>
      <c r="AO2331" s="86" t="s">
        <v>2178</v>
      </c>
      <c r="AP2331" s="81" t="b">
        <v>0</v>
      </c>
      <c r="AQ2331" s="86" t="s">
        <v>7580</v>
      </c>
      <c r="AR2331" s="81" t="s">
        <v>179</v>
      </c>
      <c r="AS2331" s="81">
        <v>0</v>
      </c>
      <c r="AT2331" s="81">
        <v>0</v>
      </c>
      <c r="AU2331" s="81"/>
      <c r="AV2331" s="81"/>
      <c r="AW2331" s="81"/>
      <c r="AX2331" s="81"/>
      <c r="AY2331" s="81"/>
      <c r="AZ2331" s="81"/>
      <c r="BA2331" s="81"/>
      <c r="BB2331" s="81"/>
    </row>
    <row r="2332" spans="1:54" x14ac:dyDescent="0.35">
      <c r="A2332" s="66" t="s">
        <v>4963</v>
      </c>
      <c r="B2332" s="66" t="s">
        <v>5254</v>
      </c>
      <c r="C2332" s="67"/>
      <c r="D2332" s="68"/>
      <c r="E2332" s="69"/>
      <c r="F2332" s="70"/>
      <c r="G2332" s="67"/>
      <c r="H2332" s="71"/>
      <c r="I2332" s="72"/>
      <c r="J2332" s="72"/>
      <c r="K2332" s="36"/>
      <c r="L2332" s="79"/>
      <c r="M2332" s="79"/>
      <c r="N2332" s="74"/>
      <c r="O2332" s="81" t="s">
        <v>696</v>
      </c>
      <c r="P2332" s="83">
        <v>44463.598182870373</v>
      </c>
      <c r="Q2332" s="81" t="s">
        <v>5654</v>
      </c>
      <c r="R2332" s="84" t="str">
        <f>HYPERLINK("https://auditoriacidada.org.br/")</f>
        <v>https://auditoriacidada.org.br/</v>
      </c>
      <c r="S2332" s="81" t="s">
        <v>5696</v>
      </c>
      <c r="T2332" s="81"/>
      <c r="U2332" s="81"/>
      <c r="V2332" s="84" t="str">
        <f>HYPERLINK("https://pbs.twimg.com/profile_images/1258569360236576770/7E9EYrtd_normal.jpg")</f>
        <v>https://pbs.twimg.com/profile_images/1258569360236576770/7E9EYrtd_normal.jpg</v>
      </c>
      <c r="W2332" s="83">
        <v>44463.598182870373</v>
      </c>
      <c r="X2332" s="89">
        <v>44463</v>
      </c>
      <c r="Y2332" s="86" t="s">
        <v>6655</v>
      </c>
      <c r="Z2332" s="84" t="str">
        <f>HYPERLINK("https://twitter.com/panchitoblanco1/status/1441407420660604930")</f>
        <v>https://twitter.com/panchitoblanco1/status/1441407420660604930</v>
      </c>
      <c r="AA2332" s="81"/>
      <c r="AB2332" s="81"/>
      <c r="AC2332" s="86" t="s">
        <v>7580</v>
      </c>
      <c r="AD2332" s="86" t="s">
        <v>7780</v>
      </c>
      <c r="AE2332" s="81" t="b">
        <v>0</v>
      </c>
      <c r="AF2332" s="81">
        <v>10</v>
      </c>
      <c r="AG2332" s="86" t="s">
        <v>7951</v>
      </c>
      <c r="AH2332" s="81" t="b">
        <v>0</v>
      </c>
      <c r="AI2332" s="81" t="s">
        <v>2171</v>
      </c>
      <c r="AJ2332" s="81"/>
      <c r="AK2332" s="86" t="s">
        <v>2084</v>
      </c>
      <c r="AL2332" s="81" t="b">
        <v>0</v>
      </c>
      <c r="AM2332" s="81">
        <v>4</v>
      </c>
      <c r="AN2332" s="86" t="s">
        <v>2084</v>
      </c>
      <c r="AO2332" s="86" t="s">
        <v>2178</v>
      </c>
      <c r="AP2332" s="81" t="b">
        <v>0</v>
      </c>
      <c r="AQ2332" s="86" t="s">
        <v>7780</v>
      </c>
      <c r="AR2332" s="81" t="s">
        <v>179</v>
      </c>
      <c r="AS2332" s="81">
        <v>0</v>
      </c>
      <c r="AT2332" s="81">
        <v>0</v>
      </c>
      <c r="AU2332" s="81"/>
      <c r="AV2332" s="81"/>
      <c r="AW2332" s="81"/>
      <c r="AX2332" s="81"/>
      <c r="AY2332" s="81"/>
      <c r="AZ2332" s="81"/>
      <c r="BA2332" s="81"/>
      <c r="BB2332" s="81"/>
    </row>
    <row r="2333" spans="1:54" x14ac:dyDescent="0.35">
      <c r="A2333" s="66" t="s">
        <v>4967</v>
      </c>
      <c r="B2333" s="66" t="s">
        <v>5255</v>
      </c>
      <c r="C2333" s="67"/>
      <c r="D2333" s="68"/>
      <c r="E2333" s="69"/>
      <c r="F2333" s="70"/>
      <c r="G2333" s="67"/>
      <c r="H2333" s="71"/>
      <c r="I2333" s="72"/>
      <c r="J2333" s="72"/>
      <c r="K2333" s="36"/>
      <c r="L2333" s="79"/>
      <c r="M2333" s="79"/>
      <c r="N2333" s="74"/>
      <c r="O2333" s="81" t="s">
        <v>694</v>
      </c>
      <c r="P2333" s="83">
        <v>44464.140057870369</v>
      </c>
      <c r="Q2333" s="81" t="s">
        <v>5654</v>
      </c>
      <c r="R2333" s="84" t="str">
        <f>HYPERLINK("https://auditoriacidada.org.br/")</f>
        <v>https://auditoriacidada.org.br/</v>
      </c>
      <c r="S2333" s="81" t="s">
        <v>5696</v>
      </c>
      <c r="T2333" s="81"/>
      <c r="U2333" s="81"/>
      <c r="V2333" s="84" t="str">
        <f>HYPERLINK("https://pbs.twimg.com/profile_images/1399527376242069507/ZhhDd0tB_normal.jpg")</f>
        <v>https://pbs.twimg.com/profile_images/1399527376242069507/ZhhDd0tB_normal.jpg</v>
      </c>
      <c r="W2333" s="83">
        <v>44464.140057870369</v>
      </c>
      <c r="X2333" s="89">
        <v>44464</v>
      </c>
      <c r="Y2333" s="86" t="s">
        <v>6654</v>
      </c>
      <c r="Z2333" s="84" t="str">
        <f>HYPERLINK("https://twitter.com/mariacr64955277/status/1441603789765677056")</f>
        <v>https://twitter.com/mariacr64955277/status/1441603789765677056</v>
      </c>
      <c r="AA2333" s="81"/>
      <c r="AB2333" s="81"/>
      <c r="AC2333" s="86" t="s">
        <v>7579</v>
      </c>
      <c r="AD2333" s="81"/>
      <c r="AE2333" s="81" t="b">
        <v>0</v>
      </c>
      <c r="AF2333" s="81">
        <v>0</v>
      </c>
      <c r="AG2333" s="86" t="s">
        <v>2084</v>
      </c>
      <c r="AH2333" s="81" t="b">
        <v>0</v>
      </c>
      <c r="AI2333" s="81" t="s">
        <v>2171</v>
      </c>
      <c r="AJ2333" s="81"/>
      <c r="AK2333" s="86" t="s">
        <v>2084</v>
      </c>
      <c r="AL2333" s="81" t="b">
        <v>0</v>
      </c>
      <c r="AM2333" s="81">
        <v>4</v>
      </c>
      <c r="AN2333" s="86" t="s">
        <v>7580</v>
      </c>
      <c r="AO2333" s="86" t="s">
        <v>2178</v>
      </c>
      <c r="AP2333" s="81" t="b">
        <v>0</v>
      </c>
      <c r="AQ2333" s="86" t="s">
        <v>7580</v>
      </c>
      <c r="AR2333" s="81" t="s">
        <v>179</v>
      </c>
      <c r="AS2333" s="81">
        <v>0</v>
      </c>
      <c r="AT2333" s="81">
        <v>0</v>
      </c>
      <c r="AU2333" s="81"/>
      <c r="AV2333" s="81"/>
      <c r="AW2333" s="81"/>
      <c r="AX2333" s="81"/>
      <c r="AY2333" s="81"/>
      <c r="AZ2333" s="81"/>
      <c r="BA2333" s="81"/>
      <c r="BB2333" s="81"/>
    </row>
    <row r="2334" spans="1:54" x14ac:dyDescent="0.35">
      <c r="A2334" s="66" t="s">
        <v>4963</v>
      </c>
      <c r="B2334" s="66" t="s">
        <v>5255</v>
      </c>
      <c r="C2334" s="67"/>
      <c r="D2334" s="68"/>
      <c r="E2334" s="69"/>
      <c r="F2334" s="70"/>
      <c r="G2334" s="67"/>
      <c r="H2334" s="71"/>
      <c r="I2334" s="72"/>
      <c r="J2334" s="72"/>
      <c r="K2334" s="36"/>
      <c r="L2334" s="79"/>
      <c r="M2334" s="79"/>
      <c r="N2334" s="74"/>
      <c r="O2334" s="81" t="s">
        <v>696</v>
      </c>
      <c r="P2334" s="83">
        <v>44463.598182870373</v>
      </c>
      <c r="Q2334" s="81" t="s">
        <v>5654</v>
      </c>
      <c r="R2334" s="84" t="str">
        <f>HYPERLINK("https://auditoriacidada.org.br/")</f>
        <v>https://auditoriacidada.org.br/</v>
      </c>
      <c r="S2334" s="81" t="s">
        <v>5696</v>
      </c>
      <c r="T2334" s="81"/>
      <c r="U2334" s="81"/>
      <c r="V2334" s="84" t="str">
        <f>HYPERLINK("https://pbs.twimg.com/profile_images/1258569360236576770/7E9EYrtd_normal.jpg")</f>
        <v>https://pbs.twimg.com/profile_images/1258569360236576770/7E9EYrtd_normal.jpg</v>
      </c>
      <c r="W2334" s="83">
        <v>44463.598182870373</v>
      </c>
      <c r="X2334" s="89">
        <v>44463</v>
      </c>
      <c r="Y2334" s="86" t="s">
        <v>6655</v>
      </c>
      <c r="Z2334" s="84" t="str">
        <f>HYPERLINK("https://twitter.com/panchitoblanco1/status/1441407420660604930")</f>
        <v>https://twitter.com/panchitoblanco1/status/1441407420660604930</v>
      </c>
      <c r="AA2334" s="81"/>
      <c r="AB2334" s="81"/>
      <c r="AC2334" s="86" t="s">
        <v>7580</v>
      </c>
      <c r="AD2334" s="86" t="s">
        <v>7780</v>
      </c>
      <c r="AE2334" s="81" t="b">
        <v>0</v>
      </c>
      <c r="AF2334" s="81">
        <v>10</v>
      </c>
      <c r="AG2334" s="86" t="s">
        <v>7951</v>
      </c>
      <c r="AH2334" s="81" t="b">
        <v>0</v>
      </c>
      <c r="AI2334" s="81" t="s">
        <v>2171</v>
      </c>
      <c r="AJ2334" s="81"/>
      <c r="AK2334" s="86" t="s">
        <v>2084</v>
      </c>
      <c r="AL2334" s="81" t="b">
        <v>0</v>
      </c>
      <c r="AM2334" s="81">
        <v>4</v>
      </c>
      <c r="AN2334" s="86" t="s">
        <v>2084</v>
      </c>
      <c r="AO2334" s="86" t="s">
        <v>2178</v>
      </c>
      <c r="AP2334" s="81" t="b">
        <v>0</v>
      </c>
      <c r="AQ2334" s="86" t="s">
        <v>7780</v>
      </c>
      <c r="AR2334" s="81" t="s">
        <v>179</v>
      </c>
      <c r="AS2334" s="81">
        <v>0</v>
      </c>
      <c r="AT2334" s="81">
        <v>0</v>
      </c>
      <c r="AU2334" s="81"/>
      <c r="AV2334" s="81"/>
      <c r="AW2334" s="81"/>
      <c r="AX2334" s="81"/>
      <c r="AY2334" s="81"/>
      <c r="AZ2334" s="81"/>
      <c r="BA2334" s="81"/>
      <c r="BB2334" s="81"/>
    </row>
    <row r="2335" spans="1:54" x14ac:dyDescent="0.35">
      <c r="A2335" s="66" t="s">
        <v>4967</v>
      </c>
      <c r="B2335" s="66" t="s">
        <v>5256</v>
      </c>
      <c r="C2335" s="67"/>
      <c r="D2335" s="68"/>
      <c r="E2335" s="69"/>
      <c r="F2335" s="70"/>
      <c r="G2335" s="67"/>
      <c r="H2335" s="71"/>
      <c r="I2335" s="72"/>
      <c r="J2335" s="72"/>
      <c r="K2335" s="36"/>
      <c r="L2335" s="79"/>
      <c r="M2335" s="79"/>
      <c r="N2335" s="74"/>
      <c r="O2335" s="81" t="s">
        <v>694</v>
      </c>
      <c r="P2335" s="83">
        <v>44464.140057870369</v>
      </c>
      <c r="Q2335" s="81" t="s">
        <v>5654</v>
      </c>
      <c r="R2335" s="84" t="str">
        <f>HYPERLINK("https://auditoriacidada.org.br/")</f>
        <v>https://auditoriacidada.org.br/</v>
      </c>
      <c r="S2335" s="81" t="s">
        <v>5696</v>
      </c>
      <c r="T2335" s="81"/>
      <c r="U2335" s="81"/>
      <c r="V2335" s="84" t="str">
        <f>HYPERLINK("https://pbs.twimg.com/profile_images/1399527376242069507/ZhhDd0tB_normal.jpg")</f>
        <v>https://pbs.twimg.com/profile_images/1399527376242069507/ZhhDd0tB_normal.jpg</v>
      </c>
      <c r="W2335" s="83">
        <v>44464.140057870369</v>
      </c>
      <c r="X2335" s="89">
        <v>44464</v>
      </c>
      <c r="Y2335" s="86" t="s">
        <v>6654</v>
      </c>
      <c r="Z2335" s="84" t="str">
        <f>HYPERLINK("https://twitter.com/mariacr64955277/status/1441603789765677056")</f>
        <v>https://twitter.com/mariacr64955277/status/1441603789765677056</v>
      </c>
      <c r="AA2335" s="81"/>
      <c r="AB2335" s="81"/>
      <c r="AC2335" s="86" t="s">
        <v>7579</v>
      </c>
      <c r="AD2335" s="81"/>
      <c r="AE2335" s="81" t="b">
        <v>0</v>
      </c>
      <c r="AF2335" s="81">
        <v>0</v>
      </c>
      <c r="AG2335" s="86" t="s">
        <v>2084</v>
      </c>
      <c r="AH2335" s="81" t="b">
        <v>0</v>
      </c>
      <c r="AI2335" s="81" t="s">
        <v>2171</v>
      </c>
      <c r="AJ2335" s="81"/>
      <c r="AK2335" s="86" t="s">
        <v>2084</v>
      </c>
      <c r="AL2335" s="81" t="b">
        <v>0</v>
      </c>
      <c r="AM2335" s="81">
        <v>4</v>
      </c>
      <c r="AN2335" s="86" t="s">
        <v>7580</v>
      </c>
      <c r="AO2335" s="86" t="s">
        <v>2178</v>
      </c>
      <c r="AP2335" s="81" t="b">
        <v>0</v>
      </c>
      <c r="AQ2335" s="86" t="s">
        <v>7580</v>
      </c>
      <c r="AR2335" s="81" t="s">
        <v>179</v>
      </c>
      <c r="AS2335" s="81">
        <v>0</v>
      </c>
      <c r="AT2335" s="81">
        <v>0</v>
      </c>
      <c r="AU2335" s="81"/>
      <c r="AV2335" s="81"/>
      <c r="AW2335" s="81"/>
      <c r="AX2335" s="81"/>
      <c r="AY2335" s="81"/>
      <c r="AZ2335" s="81"/>
      <c r="BA2335" s="81"/>
      <c r="BB2335" s="81"/>
    </row>
    <row r="2336" spans="1:54" x14ac:dyDescent="0.35">
      <c r="A2336" s="66" t="s">
        <v>4963</v>
      </c>
      <c r="B2336" s="66" t="s">
        <v>5256</v>
      </c>
      <c r="C2336" s="67"/>
      <c r="D2336" s="68"/>
      <c r="E2336" s="69"/>
      <c r="F2336" s="70"/>
      <c r="G2336" s="67"/>
      <c r="H2336" s="71"/>
      <c r="I2336" s="72"/>
      <c r="J2336" s="72"/>
      <c r="K2336" s="36"/>
      <c r="L2336" s="79"/>
      <c r="M2336" s="79"/>
      <c r="N2336" s="74"/>
      <c r="O2336" s="81" t="s">
        <v>696</v>
      </c>
      <c r="P2336" s="83">
        <v>44463.598182870373</v>
      </c>
      <c r="Q2336" s="81" t="s">
        <v>5654</v>
      </c>
      <c r="R2336" s="84" t="str">
        <f>HYPERLINK("https://auditoriacidada.org.br/")</f>
        <v>https://auditoriacidada.org.br/</v>
      </c>
      <c r="S2336" s="81" t="s">
        <v>5696</v>
      </c>
      <c r="T2336" s="81"/>
      <c r="U2336" s="81"/>
      <c r="V2336" s="84" t="str">
        <f>HYPERLINK("https://pbs.twimg.com/profile_images/1258569360236576770/7E9EYrtd_normal.jpg")</f>
        <v>https://pbs.twimg.com/profile_images/1258569360236576770/7E9EYrtd_normal.jpg</v>
      </c>
      <c r="W2336" s="83">
        <v>44463.598182870373</v>
      </c>
      <c r="X2336" s="89">
        <v>44463</v>
      </c>
      <c r="Y2336" s="86" t="s">
        <v>6655</v>
      </c>
      <c r="Z2336" s="84" t="str">
        <f>HYPERLINK("https://twitter.com/panchitoblanco1/status/1441407420660604930")</f>
        <v>https://twitter.com/panchitoblanco1/status/1441407420660604930</v>
      </c>
      <c r="AA2336" s="81"/>
      <c r="AB2336" s="81"/>
      <c r="AC2336" s="86" t="s">
        <v>7580</v>
      </c>
      <c r="AD2336" s="86" t="s">
        <v>7780</v>
      </c>
      <c r="AE2336" s="81" t="b">
        <v>0</v>
      </c>
      <c r="AF2336" s="81">
        <v>10</v>
      </c>
      <c r="AG2336" s="86" t="s">
        <v>7951</v>
      </c>
      <c r="AH2336" s="81" t="b">
        <v>0</v>
      </c>
      <c r="AI2336" s="81" t="s">
        <v>2171</v>
      </c>
      <c r="AJ2336" s="81"/>
      <c r="AK2336" s="86" t="s">
        <v>2084</v>
      </c>
      <c r="AL2336" s="81" t="b">
        <v>0</v>
      </c>
      <c r="AM2336" s="81">
        <v>4</v>
      </c>
      <c r="AN2336" s="86" t="s">
        <v>2084</v>
      </c>
      <c r="AO2336" s="86" t="s">
        <v>2178</v>
      </c>
      <c r="AP2336" s="81" t="b">
        <v>0</v>
      </c>
      <c r="AQ2336" s="86" t="s">
        <v>7780</v>
      </c>
      <c r="AR2336" s="81" t="s">
        <v>179</v>
      </c>
      <c r="AS2336" s="81">
        <v>0</v>
      </c>
      <c r="AT2336" s="81">
        <v>0</v>
      </c>
      <c r="AU2336" s="81"/>
      <c r="AV2336" s="81"/>
      <c r="AW2336" s="81"/>
      <c r="AX2336" s="81"/>
      <c r="AY2336" s="81"/>
      <c r="AZ2336" s="81"/>
      <c r="BA2336" s="81"/>
      <c r="BB2336" s="81"/>
    </row>
    <row r="2337" spans="1:54" x14ac:dyDescent="0.35">
      <c r="A2337" s="66" t="s">
        <v>4967</v>
      </c>
      <c r="B2337" s="66" t="s">
        <v>5257</v>
      </c>
      <c r="C2337" s="67"/>
      <c r="D2337" s="68"/>
      <c r="E2337" s="69"/>
      <c r="F2337" s="70"/>
      <c r="G2337" s="67"/>
      <c r="H2337" s="71"/>
      <c r="I2337" s="72"/>
      <c r="J2337" s="72"/>
      <c r="K2337" s="36"/>
      <c r="L2337" s="79"/>
      <c r="M2337" s="79"/>
      <c r="N2337" s="74"/>
      <c r="O2337" s="81" t="s">
        <v>694</v>
      </c>
      <c r="P2337" s="83">
        <v>44464.140057870369</v>
      </c>
      <c r="Q2337" s="81" t="s">
        <v>5654</v>
      </c>
      <c r="R2337" s="84" t="str">
        <f>HYPERLINK("https://auditoriacidada.org.br/")</f>
        <v>https://auditoriacidada.org.br/</v>
      </c>
      <c r="S2337" s="81" t="s">
        <v>5696</v>
      </c>
      <c r="T2337" s="81"/>
      <c r="U2337" s="81"/>
      <c r="V2337" s="84" t="str">
        <f>HYPERLINK("https://pbs.twimg.com/profile_images/1399527376242069507/ZhhDd0tB_normal.jpg")</f>
        <v>https://pbs.twimg.com/profile_images/1399527376242069507/ZhhDd0tB_normal.jpg</v>
      </c>
      <c r="W2337" s="83">
        <v>44464.140057870369</v>
      </c>
      <c r="X2337" s="89">
        <v>44464</v>
      </c>
      <c r="Y2337" s="86" t="s">
        <v>6654</v>
      </c>
      <c r="Z2337" s="84" t="str">
        <f>HYPERLINK("https://twitter.com/mariacr64955277/status/1441603789765677056")</f>
        <v>https://twitter.com/mariacr64955277/status/1441603789765677056</v>
      </c>
      <c r="AA2337" s="81"/>
      <c r="AB2337" s="81"/>
      <c r="AC2337" s="86" t="s">
        <v>7579</v>
      </c>
      <c r="AD2337" s="81"/>
      <c r="AE2337" s="81" t="b">
        <v>0</v>
      </c>
      <c r="AF2337" s="81">
        <v>0</v>
      </c>
      <c r="AG2337" s="86" t="s">
        <v>2084</v>
      </c>
      <c r="AH2337" s="81" t="b">
        <v>0</v>
      </c>
      <c r="AI2337" s="81" t="s">
        <v>2171</v>
      </c>
      <c r="AJ2337" s="81"/>
      <c r="AK2337" s="86" t="s">
        <v>2084</v>
      </c>
      <c r="AL2337" s="81" t="b">
        <v>0</v>
      </c>
      <c r="AM2337" s="81">
        <v>4</v>
      </c>
      <c r="AN2337" s="86" t="s">
        <v>7580</v>
      </c>
      <c r="AO2337" s="86" t="s">
        <v>2178</v>
      </c>
      <c r="AP2337" s="81" t="b">
        <v>0</v>
      </c>
      <c r="AQ2337" s="86" t="s">
        <v>7580</v>
      </c>
      <c r="AR2337" s="81" t="s">
        <v>179</v>
      </c>
      <c r="AS2337" s="81">
        <v>0</v>
      </c>
      <c r="AT2337" s="81">
        <v>0</v>
      </c>
      <c r="AU2337" s="81"/>
      <c r="AV2337" s="81"/>
      <c r="AW2337" s="81"/>
      <c r="AX2337" s="81"/>
      <c r="AY2337" s="81"/>
      <c r="AZ2337" s="81"/>
      <c r="BA2337" s="81"/>
      <c r="BB2337" s="81"/>
    </row>
    <row r="2338" spans="1:54" x14ac:dyDescent="0.35">
      <c r="A2338" s="66" t="s">
        <v>4963</v>
      </c>
      <c r="B2338" s="66" t="s">
        <v>5257</v>
      </c>
      <c r="C2338" s="67"/>
      <c r="D2338" s="68"/>
      <c r="E2338" s="69"/>
      <c r="F2338" s="70"/>
      <c r="G2338" s="67"/>
      <c r="H2338" s="71"/>
      <c r="I2338" s="72"/>
      <c r="J2338" s="72"/>
      <c r="K2338" s="36"/>
      <c r="L2338" s="79"/>
      <c r="M2338" s="79"/>
      <c r="N2338" s="74"/>
      <c r="O2338" s="81" t="s">
        <v>696</v>
      </c>
      <c r="P2338" s="83">
        <v>44463.598182870373</v>
      </c>
      <c r="Q2338" s="81" t="s">
        <v>5654</v>
      </c>
      <c r="R2338" s="84" t="str">
        <f>HYPERLINK("https://auditoriacidada.org.br/")</f>
        <v>https://auditoriacidada.org.br/</v>
      </c>
      <c r="S2338" s="81" t="s">
        <v>5696</v>
      </c>
      <c r="T2338" s="81"/>
      <c r="U2338" s="81"/>
      <c r="V2338" s="84" t="str">
        <f>HYPERLINK("https://pbs.twimg.com/profile_images/1258569360236576770/7E9EYrtd_normal.jpg")</f>
        <v>https://pbs.twimg.com/profile_images/1258569360236576770/7E9EYrtd_normal.jpg</v>
      </c>
      <c r="W2338" s="83">
        <v>44463.598182870373</v>
      </c>
      <c r="X2338" s="89">
        <v>44463</v>
      </c>
      <c r="Y2338" s="86" t="s">
        <v>6655</v>
      </c>
      <c r="Z2338" s="84" t="str">
        <f>HYPERLINK("https://twitter.com/panchitoblanco1/status/1441407420660604930")</f>
        <v>https://twitter.com/panchitoblanco1/status/1441407420660604930</v>
      </c>
      <c r="AA2338" s="81"/>
      <c r="AB2338" s="81"/>
      <c r="AC2338" s="86" t="s">
        <v>7580</v>
      </c>
      <c r="AD2338" s="86" t="s">
        <v>7780</v>
      </c>
      <c r="AE2338" s="81" t="b">
        <v>0</v>
      </c>
      <c r="AF2338" s="81">
        <v>10</v>
      </c>
      <c r="AG2338" s="86" t="s">
        <v>7951</v>
      </c>
      <c r="AH2338" s="81" t="b">
        <v>0</v>
      </c>
      <c r="AI2338" s="81" t="s">
        <v>2171</v>
      </c>
      <c r="AJ2338" s="81"/>
      <c r="AK2338" s="86" t="s">
        <v>2084</v>
      </c>
      <c r="AL2338" s="81" t="b">
        <v>0</v>
      </c>
      <c r="AM2338" s="81">
        <v>4</v>
      </c>
      <c r="AN2338" s="86" t="s">
        <v>2084</v>
      </c>
      <c r="AO2338" s="86" t="s">
        <v>2178</v>
      </c>
      <c r="AP2338" s="81" t="b">
        <v>0</v>
      </c>
      <c r="AQ2338" s="86" t="s">
        <v>7780</v>
      </c>
      <c r="AR2338" s="81" t="s">
        <v>179</v>
      </c>
      <c r="AS2338" s="81">
        <v>0</v>
      </c>
      <c r="AT2338" s="81">
        <v>0</v>
      </c>
      <c r="AU2338" s="81"/>
      <c r="AV2338" s="81"/>
      <c r="AW2338" s="81"/>
      <c r="AX2338" s="81"/>
      <c r="AY2338" s="81"/>
      <c r="AZ2338" s="81"/>
      <c r="BA2338" s="81"/>
      <c r="BB2338" s="81"/>
    </row>
    <row r="2339" spans="1:54" x14ac:dyDescent="0.35">
      <c r="A2339" s="66" t="s">
        <v>4967</v>
      </c>
      <c r="B2339" s="66" t="s">
        <v>5258</v>
      </c>
      <c r="C2339" s="67"/>
      <c r="D2339" s="68"/>
      <c r="E2339" s="69"/>
      <c r="F2339" s="70"/>
      <c r="G2339" s="67"/>
      <c r="H2339" s="71"/>
      <c r="I2339" s="72"/>
      <c r="J2339" s="72"/>
      <c r="K2339" s="36"/>
      <c r="L2339" s="79"/>
      <c r="M2339" s="79"/>
      <c r="N2339" s="74"/>
      <c r="O2339" s="81" t="s">
        <v>694</v>
      </c>
      <c r="P2339" s="83">
        <v>44464.140057870369</v>
      </c>
      <c r="Q2339" s="81" t="s">
        <v>5654</v>
      </c>
      <c r="R2339" s="84" t="str">
        <f>HYPERLINK("https://auditoriacidada.org.br/")</f>
        <v>https://auditoriacidada.org.br/</v>
      </c>
      <c r="S2339" s="81" t="s">
        <v>5696</v>
      </c>
      <c r="T2339" s="81"/>
      <c r="U2339" s="81"/>
      <c r="V2339" s="84" t="str">
        <f>HYPERLINK("https://pbs.twimg.com/profile_images/1399527376242069507/ZhhDd0tB_normal.jpg")</f>
        <v>https://pbs.twimg.com/profile_images/1399527376242069507/ZhhDd0tB_normal.jpg</v>
      </c>
      <c r="W2339" s="83">
        <v>44464.140057870369</v>
      </c>
      <c r="X2339" s="89">
        <v>44464</v>
      </c>
      <c r="Y2339" s="86" t="s">
        <v>6654</v>
      </c>
      <c r="Z2339" s="84" t="str">
        <f>HYPERLINK("https://twitter.com/mariacr64955277/status/1441603789765677056")</f>
        <v>https://twitter.com/mariacr64955277/status/1441603789765677056</v>
      </c>
      <c r="AA2339" s="81"/>
      <c r="AB2339" s="81"/>
      <c r="AC2339" s="86" t="s">
        <v>7579</v>
      </c>
      <c r="AD2339" s="81"/>
      <c r="AE2339" s="81" t="b">
        <v>0</v>
      </c>
      <c r="AF2339" s="81">
        <v>0</v>
      </c>
      <c r="AG2339" s="86" t="s">
        <v>2084</v>
      </c>
      <c r="AH2339" s="81" t="b">
        <v>0</v>
      </c>
      <c r="AI2339" s="81" t="s">
        <v>2171</v>
      </c>
      <c r="AJ2339" s="81"/>
      <c r="AK2339" s="86" t="s">
        <v>2084</v>
      </c>
      <c r="AL2339" s="81" t="b">
        <v>0</v>
      </c>
      <c r="AM2339" s="81">
        <v>4</v>
      </c>
      <c r="AN2339" s="86" t="s">
        <v>7580</v>
      </c>
      <c r="AO2339" s="86" t="s">
        <v>2178</v>
      </c>
      <c r="AP2339" s="81" t="b">
        <v>0</v>
      </c>
      <c r="AQ2339" s="86" t="s">
        <v>7580</v>
      </c>
      <c r="AR2339" s="81" t="s">
        <v>179</v>
      </c>
      <c r="AS2339" s="81">
        <v>0</v>
      </c>
      <c r="AT2339" s="81">
        <v>0</v>
      </c>
      <c r="AU2339" s="81"/>
      <c r="AV2339" s="81"/>
      <c r="AW2339" s="81"/>
      <c r="AX2339" s="81"/>
      <c r="AY2339" s="81"/>
      <c r="AZ2339" s="81"/>
      <c r="BA2339" s="81"/>
      <c r="BB2339" s="81"/>
    </row>
    <row r="2340" spans="1:54" x14ac:dyDescent="0.35">
      <c r="A2340" s="66" t="s">
        <v>4963</v>
      </c>
      <c r="B2340" s="66" t="s">
        <v>5258</v>
      </c>
      <c r="C2340" s="67"/>
      <c r="D2340" s="68"/>
      <c r="E2340" s="69"/>
      <c r="F2340" s="70"/>
      <c r="G2340" s="67"/>
      <c r="H2340" s="71"/>
      <c r="I2340" s="72"/>
      <c r="J2340" s="72"/>
      <c r="K2340" s="36"/>
      <c r="L2340" s="79"/>
      <c r="M2340" s="79"/>
      <c r="N2340" s="74"/>
      <c r="O2340" s="81" t="s">
        <v>696</v>
      </c>
      <c r="P2340" s="83">
        <v>44463.598182870373</v>
      </c>
      <c r="Q2340" s="81" t="s">
        <v>5654</v>
      </c>
      <c r="R2340" s="84" t="str">
        <f>HYPERLINK("https://auditoriacidada.org.br/")</f>
        <v>https://auditoriacidada.org.br/</v>
      </c>
      <c r="S2340" s="81" t="s">
        <v>5696</v>
      </c>
      <c r="T2340" s="81"/>
      <c r="U2340" s="81"/>
      <c r="V2340" s="84" t="str">
        <f>HYPERLINK("https://pbs.twimg.com/profile_images/1258569360236576770/7E9EYrtd_normal.jpg")</f>
        <v>https://pbs.twimg.com/profile_images/1258569360236576770/7E9EYrtd_normal.jpg</v>
      </c>
      <c r="W2340" s="83">
        <v>44463.598182870373</v>
      </c>
      <c r="X2340" s="89">
        <v>44463</v>
      </c>
      <c r="Y2340" s="86" t="s">
        <v>6655</v>
      </c>
      <c r="Z2340" s="84" t="str">
        <f>HYPERLINK("https://twitter.com/panchitoblanco1/status/1441407420660604930")</f>
        <v>https://twitter.com/panchitoblanco1/status/1441407420660604930</v>
      </c>
      <c r="AA2340" s="81"/>
      <c r="AB2340" s="81"/>
      <c r="AC2340" s="86" t="s">
        <v>7580</v>
      </c>
      <c r="AD2340" s="86" t="s">
        <v>7780</v>
      </c>
      <c r="AE2340" s="81" t="b">
        <v>0</v>
      </c>
      <c r="AF2340" s="81">
        <v>10</v>
      </c>
      <c r="AG2340" s="86" t="s">
        <v>7951</v>
      </c>
      <c r="AH2340" s="81" t="b">
        <v>0</v>
      </c>
      <c r="AI2340" s="81" t="s">
        <v>2171</v>
      </c>
      <c r="AJ2340" s="81"/>
      <c r="AK2340" s="86" t="s">
        <v>2084</v>
      </c>
      <c r="AL2340" s="81" t="b">
        <v>0</v>
      </c>
      <c r="AM2340" s="81">
        <v>4</v>
      </c>
      <c r="AN2340" s="86" t="s">
        <v>2084</v>
      </c>
      <c r="AO2340" s="86" t="s">
        <v>2178</v>
      </c>
      <c r="AP2340" s="81" t="b">
        <v>0</v>
      </c>
      <c r="AQ2340" s="86" t="s">
        <v>7780</v>
      </c>
      <c r="AR2340" s="81" t="s">
        <v>179</v>
      </c>
      <c r="AS2340" s="81">
        <v>0</v>
      </c>
      <c r="AT2340" s="81">
        <v>0</v>
      </c>
      <c r="AU2340" s="81"/>
      <c r="AV2340" s="81"/>
      <c r="AW2340" s="81"/>
      <c r="AX2340" s="81"/>
      <c r="AY2340" s="81"/>
      <c r="AZ2340" s="81"/>
      <c r="BA2340" s="81"/>
      <c r="BB2340" s="81"/>
    </row>
    <row r="2341" spans="1:54" x14ac:dyDescent="0.35">
      <c r="A2341" s="66" t="s">
        <v>4967</v>
      </c>
      <c r="B2341" s="66" t="s">
        <v>5259</v>
      </c>
      <c r="C2341" s="67"/>
      <c r="D2341" s="68"/>
      <c r="E2341" s="69"/>
      <c r="F2341" s="70"/>
      <c r="G2341" s="67"/>
      <c r="H2341" s="71"/>
      <c r="I2341" s="72"/>
      <c r="J2341" s="72"/>
      <c r="K2341" s="36"/>
      <c r="L2341" s="79"/>
      <c r="M2341" s="79"/>
      <c r="N2341" s="74"/>
      <c r="O2341" s="81" t="s">
        <v>694</v>
      </c>
      <c r="P2341" s="83">
        <v>44464.140057870369</v>
      </c>
      <c r="Q2341" s="81" t="s">
        <v>5654</v>
      </c>
      <c r="R2341" s="84" t="str">
        <f>HYPERLINK("https://auditoriacidada.org.br/")</f>
        <v>https://auditoriacidada.org.br/</v>
      </c>
      <c r="S2341" s="81" t="s">
        <v>5696</v>
      </c>
      <c r="T2341" s="81"/>
      <c r="U2341" s="81"/>
      <c r="V2341" s="84" t="str">
        <f>HYPERLINK("https://pbs.twimg.com/profile_images/1399527376242069507/ZhhDd0tB_normal.jpg")</f>
        <v>https://pbs.twimg.com/profile_images/1399527376242069507/ZhhDd0tB_normal.jpg</v>
      </c>
      <c r="W2341" s="83">
        <v>44464.140057870369</v>
      </c>
      <c r="X2341" s="89">
        <v>44464</v>
      </c>
      <c r="Y2341" s="86" t="s">
        <v>6654</v>
      </c>
      <c r="Z2341" s="84" t="str">
        <f>HYPERLINK("https://twitter.com/mariacr64955277/status/1441603789765677056")</f>
        <v>https://twitter.com/mariacr64955277/status/1441603789765677056</v>
      </c>
      <c r="AA2341" s="81"/>
      <c r="AB2341" s="81"/>
      <c r="AC2341" s="86" t="s">
        <v>7579</v>
      </c>
      <c r="AD2341" s="81"/>
      <c r="AE2341" s="81" t="b">
        <v>0</v>
      </c>
      <c r="AF2341" s="81">
        <v>0</v>
      </c>
      <c r="AG2341" s="86" t="s">
        <v>2084</v>
      </c>
      <c r="AH2341" s="81" t="b">
        <v>0</v>
      </c>
      <c r="AI2341" s="81" t="s">
        <v>2171</v>
      </c>
      <c r="AJ2341" s="81"/>
      <c r="AK2341" s="86" t="s">
        <v>2084</v>
      </c>
      <c r="AL2341" s="81" t="b">
        <v>0</v>
      </c>
      <c r="AM2341" s="81">
        <v>4</v>
      </c>
      <c r="AN2341" s="86" t="s">
        <v>7580</v>
      </c>
      <c r="AO2341" s="86" t="s">
        <v>2178</v>
      </c>
      <c r="AP2341" s="81" t="b">
        <v>0</v>
      </c>
      <c r="AQ2341" s="86" t="s">
        <v>7580</v>
      </c>
      <c r="AR2341" s="81" t="s">
        <v>179</v>
      </c>
      <c r="AS2341" s="81">
        <v>0</v>
      </c>
      <c r="AT2341" s="81">
        <v>0</v>
      </c>
      <c r="AU2341" s="81"/>
      <c r="AV2341" s="81"/>
      <c r="AW2341" s="81"/>
      <c r="AX2341" s="81"/>
      <c r="AY2341" s="81"/>
      <c r="AZ2341" s="81"/>
      <c r="BA2341" s="81"/>
      <c r="BB2341" s="81"/>
    </row>
    <row r="2342" spans="1:54" x14ac:dyDescent="0.35">
      <c r="A2342" s="66" t="s">
        <v>4963</v>
      </c>
      <c r="B2342" s="66" t="s">
        <v>5259</v>
      </c>
      <c r="C2342" s="67"/>
      <c r="D2342" s="68"/>
      <c r="E2342" s="69"/>
      <c r="F2342" s="70"/>
      <c r="G2342" s="67"/>
      <c r="H2342" s="71"/>
      <c r="I2342" s="72"/>
      <c r="J2342" s="72"/>
      <c r="K2342" s="36"/>
      <c r="L2342" s="79"/>
      <c r="M2342" s="79"/>
      <c r="N2342" s="74"/>
      <c r="O2342" s="81" t="s">
        <v>696</v>
      </c>
      <c r="P2342" s="83">
        <v>44463.598182870373</v>
      </c>
      <c r="Q2342" s="81" t="s">
        <v>5654</v>
      </c>
      <c r="R2342" s="84" t="str">
        <f>HYPERLINK("https://auditoriacidada.org.br/")</f>
        <v>https://auditoriacidada.org.br/</v>
      </c>
      <c r="S2342" s="81" t="s">
        <v>5696</v>
      </c>
      <c r="T2342" s="81"/>
      <c r="U2342" s="81"/>
      <c r="V2342" s="84" t="str">
        <f>HYPERLINK("https://pbs.twimg.com/profile_images/1258569360236576770/7E9EYrtd_normal.jpg")</f>
        <v>https://pbs.twimg.com/profile_images/1258569360236576770/7E9EYrtd_normal.jpg</v>
      </c>
      <c r="W2342" s="83">
        <v>44463.598182870373</v>
      </c>
      <c r="X2342" s="89">
        <v>44463</v>
      </c>
      <c r="Y2342" s="86" t="s">
        <v>6655</v>
      </c>
      <c r="Z2342" s="84" t="str">
        <f>HYPERLINK("https://twitter.com/panchitoblanco1/status/1441407420660604930")</f>
        <v>https://twitter.com/panchitoblanco1/status/1441407420660604930</v>
      </c>
      <c r="AA2342" s="81"/>
      <c r="AB2342" s="81"/>
      <c r="AC2342" s="86" t="s">
        <v>7580</v>
      </c>
      <c r="AD2342" s="86" t="s">
        <v>7780</v>
      </c>
      <c r="AE2342" s="81" t="b">
        <v>0</v>
      </c>
      <c r="AF2342" s="81">
        <v>10</v>
      </c>
      <c r="AG2342" s="86" t="s">
        <v>7951</v>
      </c>
      <c r="AH2342" s="81" t="b">
        <v>0</v>
      </c>
      <c r="AI2342" s="81" t="s">
        <v>2171</v>
      </c>
      <c r="AJ2342" s="81"/>
      <c r="AK2342" s="86" t="s">
        <v>2084</v>
      </c>
      <c r="AL2342" s="81" t="b">
        <v>0</v>
      </c>
      <c r="AM2342" s="81">
        <v>4</v>
      </c>
      <c r="AN2342" s="86" t="s">
        <v>2084</v>
      </c>
      <c r="AO2342" s="86" t="s">
        <v>2178</v>
      </c>
      <c r="AP2342" s="81" t="b">
        <v>0</v>
      </c>
      <c r="AQ2342" s="86" t="s">
        <v>7780</v>
      </c>
      <c r="AR2342" s="81" t="s">
        <v>179</v>
      </c>
      <c r="AS2342" s="81">
        <v>0</v>
      </c>
      <c r="AT2342" s="81">
        <v>0</v>
      </c>
      <c r="AU2342" s="81"/>
      <c r="AV2342" s="81"/>
      <c r="AW2342" s="81"/>
      <c r="AX2342" s="81"/>
      <c r="AY2342" s="81"/>
      <c r="AZ2342" s="81"/>
      <c r="BA2342" s="81"/>
      <c r="BB2342" s="81"/>
    </row>
    <row r="2343" spans="1:54" x14ac:dyDescent="0.35">
      <c r="A2343" s="66" t="s">
        <v>4967</v>
      </c>
      <c r="B2343" s="66" t="s">
        <v>5260</v>
      </c>
      <c r="C2343" s="67"/>
      <c r="D2343" s="68"/>
      <c r="E2343" s="69"/>
      <c r="F2343" s="70"/>
      <c r="G2343" s="67"/>
      <c r="H2343" s="71"/>
      <c r="I2343" s="72"/>
      <c r="J2343" s="72"/>
      <c r="K2343" s="36"/>
      <c r="L2343" s="79"/>
      <c r="M2343" s="79"/>
      <c r="N2343" s="74"/>
      <c r="O2343" s="81" t="s">
        <v>694</v>
      </c>
      <c r="P2343" s="83">
        <v>44464.140057870369</v>
      </c>
      <c r="Q2343" s="81" t="s">
        <v>5654</v>
      </c>
      <c r="R2343" s="84" t="str">
        <f>HYPERLINK("https://auditoriacidada.org.br/")</f>
        <v>https://auditoriacidada.org.br/</v>
      </c>
      <c r="S2343" s="81" t="s">
        <v>5696</v>
      </c>
      <c r="T2343" s="81"/>
      <c r="U2343" s="81"/>
      <c r="V2343" s="84" t="str">
        <f>HYPERLINK("https://pbs.twimg.com/profile_images/1399527376242069507/ZhhDd0tB_normal.jpg")</f>
        <v>https://pbs.twimg.com/profile_images/1399527376242069507/ZhhDd0tB_normal.jpg</v>
      </c>
      <c r="W2343" s="83">
        <v>44464.140057870369</v>
      </c>
      <c r="X2343" s="89">
        <v>44464</v>
      </c>
      <c r="Y2343" s="86" t="s">
        <v>6654</v>
      </c>
      <c r="Z2343" s="84" t="str">
        <f>HYPERLINK("https://twitter.com/mariacr64955277/status/1441603789765677056")</f>
        <v>https://twitter.com/mariacr64955277/status/1441603789765677056</v>
      </c>
      <c r="AA2343" s="81"/>
      <c r="AB2343" s="81"/>
      <c r="AC2343" s="86" t="s">
        <v>7579</v>
      </c>
      <c r="AD2343" s="81"/>
      <c r="AE2343" s="81" t="b">
        <v>0</v>
      </c>
      <c r="AF2343" s="81">
        <v>0</v>
      </c>
      <c r="AG2343" s="86" t="s">
        <v>2084</v>
      </c>
      <c r="AH2343" s="81" t="b">
        <v>0</v>
      </c>
      <c r="AI2343" s="81" t="s">
        <v>2171</v>
      </c>
      <c r="AJ2343" s="81"/>
      <c r="AK2343" s="86" t="s">
        <v>2084</v>
      </c>
      <c r="AL2343" s="81" t="b">
        <v>0</v>
      </c>
      <c r="AM2343" s="81">
        <v>4</v>
      </c>
      <c r="AN2343" s="86" t="s">
        <v>7580</v>
      </c>
      <c r="AO2343" s="86" t="s">
        <v>2178</v>
      </c>
      <c r="AP2343" s="81" t="b">
        <v>0</v>
      </c>
      <c r="AQ2343" s="86" t="s">
        <v>7580</v>
      </c>
      <c r="AR2343" s="81" t="s">
        <v>179</v>
      </c>
      <c r="AS2343" s="81">
        <v>0</v>
      </c>
      <c r="AT2343" s="81">
        <v>0</v>
      </c>
      <c r="AU2343" s="81"/>
      <c r="AV2343" s="81"/>
      <c r="AW2343" s="81"/>
      <c r="AX2343" s="81"/>
      <c r="AY2343" s="81"/>
      <c r="AZ2343" s="81"/>
      <c r="BA2343" s="81"/>
      <c r="BB2343" s="81"/>
    </row>
    <row r="2344" spans="1:54" x14ac:dyDescent="0.35">
      <c r="A2344" s="66" t="s">
        <v>4963</v>
      </c>
      <c r="B2344" s="66" t="s">
        <v>5260</v>
      </c>
      <c r="C2344" s="67"/>
      <c r="D2344" s="68"/>
      <c r="E2344" s="69"/>
      <c r="F2344" s="70"/>
      <c r="G2344" s="67"/>
      <c r="H2344" s="71"/>
      <c r="I2344" s="72"/>
      <c r="J2344" s="72"/>
      <c r="K2344" s="36"/>
      <c r="L2344" s="79"/>
      <c r="M2344" s="79"/>
      <c r="N2344" s="74"/>
      <c r="O2344" s="81" t="s">
        <v>696</v>
      </c>
      <c r="P2344" s="83">
        <v>44463.598182870373</v>
      </c>
      <c r="Q2344" s="81" t="s">
        <v>5654</v>
      </c>
      <c r="R2344" s="84" t="str">
        <f>HYPERLINK("https://auditoriacidada.org.br/")</f>
        <v>https://auditoriacidada.org.br/</v>
      </c>
      <c r="S2344" s="81" t="s">
        <v>5696</v>
      </c>
      <c r="T2344" s="81"/>
      <c r="U2344" s="81"/>
      <c r="V2344" s="84" t="str">
        <f>HYPERLINK("https://pbs.twimg.com/profile_images/1258569360236576770/7E9EYrtd_normal.jpg")</f>
        <v>https://pbs.twimg.com/profile_images/1258569360236576770/7E9EYrtd_normal.jpg</v>
      </c>
      <c r="W2344" s="83">
        <v>44463.598182870373</v>
      </c>
      <c r="X2344" s="89">
        <v>44463</v>
      </c>
      <c r="Y2344" s="86" t="s">
        <v>6655</v>
      </c>
      <c r="Z2344" s="84" t="str">
        <f>HYPERLINK("https://twitter.com/panchitoblanco1/status/1441407420660604930")</f>
        <v>https://twitter.com/panchitoblanco1/status/1441407420660604930</v>
      </c>
      <c r="AA2344" s="81"/>
      <c r="AB2344" s="81"/>
      <c r="AC2344" s="86" t="s">
        <v>7580</v>
      </c>
      <c r="AD2344" s="86" t="s">
        <v>7780</v>
      </c>
      <c r="AE2344" s="81" t="b">
        <v>0</v>
      </c>
      <c r="AF2344" s="81">
        <v>10</v>
      </c>
      <c r="AG2344" s="86" t="s">
        <v>7951</v>
      </c>
      <c r="AH2344" s="81" t="b">
        <v>0</v>
      </c>
      <c r="AI2344" s="81" t="s">
        <v>2171</v>
      </c>
      <c r="AJ2344" s="81"/>
      <c r="AK2344" s="86" t="s">
        <v>2084</v>
      </c>
      <c r="AL2344" s="81" t="b">
        <v>0</v>
      </c>
      <c r="AM2344" s="81">
        <v>4</v>
      </c>
      <c r="AN2344" s="86" t="s">
        <v>2084</v>
      </c>
      <c r="AO2344" s="86" t="s">
        <v>2178</v>
      </c>
      <c r="AP2344" s="81" t="b">
        <v>0</v>
      </c>
      <c r="AQ2344" s="86" t="s">
        <v>7780</v>
      </c>
      <c r="AR2344" s="81" t="s">
        <v>179</v>
      </c>
      <c r="AS2344" s="81">
        <v>0</v>
      </c>
      <c r="AT2344" s="81">
        <v>0</v>
      </c>
      <c r="AU2344" s="81"/>
      <c r="AV2344" s="81"/>
      <c r="AW2344" s="81"/>
      <c r="AX2344" s="81"/>
      <c r="AY2344" s="81"/>
      <c r="AZ2344" s="81"/>
      <c r="BA2344" s="81"/>
      <c r="BB2344" s="81"/>
    </row>
    <row r="2345" spans="1:54" x14ac:dyDescent="0.35">
      <c r="A2345" s="66" t="s">
        <v>4967</v>
      </c>
      <c r="B2345" s="66" t="s">
        <v>5261</v>
      </c>
      <c r="C2345" s="67"/>
      <c r="D2345" s="68"/>
      <c r="E2345" s="69"/>
      <c r="F2345" s="70"/>
      <c r="G2345" s="67"/>
      <c r="H2345" s="71"/>
      <c r="I2345" s="72"/>
      <c r="J2345" s="72"/>
      <c r="K2345" s="36"/>
      <c r="L2345" s="79"/>
      <c r="M2345" s="79"/>
      <c r="N2345" s="74"/>
      <c r="O2345" s="81" t="s">
        <v>694</v>
      </c>
      <c r="P2345" s="83">
        <v>44464.140057870369</v>
      </c>
      <c r="Q2345" s="81" t="s">
        <v>5654</v>
      </c>
      <c r="R2345" s="84" t="str">
        <f>HYPERLINK("https://auditoriacidada.org.br/")</f>
        <v>https://auditoriacidada.org.br/</v>
      </c>
      <c r="S2345" s="81" t="s">
        <v>5696</v>
      </c>
      <c r="T2345" s="81"/>
      <c r="U2345" s="81"/>
      <c r="V2345" s="84" t="str">
        <f>HYPERLINK("https://pbs.twimg.com/profile_images/1399527376242069507/ZhhDd0tB_normal.jpg")</f>
        <v>https://pbs.twimg.com/profile_images/1399527376242069507/ZhhDd0tB_normal.jpg</v>
      </c>
      <c r="W2345" s="83">
        <v>44464.140057870369</v>
      </c>
      <c r="X2345" s="89">
        <v>44464</v>
      </c>
      <c r="Y2345" s="86" t="s">
        <v>6654</v>
      </c>
      <c r="Z2345" s="84" t="str">
        <f>HYPERLINK("https://twitter.com/mariacr64955277/status/1441603789765677056")</f>
        <v>https://twitter.com/mariacr64955277/status/1441603789765677056</v>
      </c>
      <c r="AA2345" s="81"/>
      <c r="AB2345" s="81"/>
      <c r="AC2345" s="86" t="s">
        <v>7579</v>
      </c>
      <c r="AD2345" s="81"/>
      <c r="AE2345" s="81" t="b">
        <v>0</v>
      </c>
      <c r="AF2345" s="81">
        <v>0</v>
      </c>
      <c r="AG2345" s="86" t="s">
        <v>2084</v>
      </c>
      <c r="AH2345" s="81" t="b">
        <v>0</v>
      </c>
      <c r="AI2345" s="81" t="s">
        <v>2171</v>
      </c>
      <c r="AJ2345" s="81"/>
      <c r="AK2345" s="86" t="s">
        <v>2084</v>
      </c>
      <c r="AL2345" s="81" t="b">
        <v>0</v>
      </c>
      <c r="AM2345" s="81">
        <v>4</v>
      </c>
      <c r="AN2345" s="86" t="s">
        <v>7580</v>
      </c>
      <c r="AO2345" s="86" t="s">
        <v>2178</v>
      </c>
      <c r="AP2345" s="81" t="b">
        <v>0</v>
      </c>
      <c r="AQ2345" s="86" t="s">
        <v>7580</v>
      </c>
      <c r="AR2345" s="81" t="s">
        <v>179</v>
      </c>
      <c r="AS2345" s="81">
        <v>0</v>
      </c>
      <c r="AT2345" s="81">
        <v>0</v>
      </c>
      <c r="AU2345" s="81"/>
      <c r="AV2345" s="81"/>
      <c r="AW2345" s="81"/>
      <c r="AX2345" s="81"/>
      <c r="AY2345" s="81"/>
      <c r="AZ2345" s="81"/>
      <c r="BA2345" s="81"/>
      <c r="BB2345" s="81"/>
    </row>
    <row r="2346" spans="1:54" x14ac:dyDescent="0.35">
      <c r="A2346" s="66" t="s">
        <v>4963</v>
      </c>
      <c r="B2346" s="66" t="s">
        <v>5261</v>
      </c>
      <c r="C2346" s="67"/>
      <c r="D2346" s="68"/>
      <c r="E2346" s="69"/>
      <c r="F2346" s="70"/>
      <c r="G2346" s="67"/>
      <c r="H2346" s="71"/>
      <c r="I2346" s="72"/>
      <c r="J2346" s="72"/>
      <c r="K2346" s="36"/>
      <c r="L2346" s="79"/>
      <c r="M2346" s="79"/>
      <c r="N2346" s="74"/>
      <c r="O2346" s="81" t="s">
        <v>696</v>
      </c>
      <c r="P2346" s="83">
        <v>44463.598182870373</v>
      </c>
      <c r="Q2346" s="81" t="s">
        <v>5654</v>
      </c>
      <c r="R2346" s="84" t="str">
        <f>HYPERLINK("https://auditoriacidada.org.br/")</f>
        <v>https://auditoriacidada.org.br/</v>
      </c>
      <c r="S2346" s="81" t="s">
        <v>5696</v>
      </c>
      <c r="T2346" s="81"/>
      <c r="U2346" s="81"/>
      <c r="V2346" s="84" t="str">
        <f>HYPERLINK("https://pbs.twimg.com/profile_images/1258569360236576770/7E9EYrtd_normal.jpg")</f>
        <v>https://pbs.twimg.com/profile_images/1258569360236576770/7E9EYrtd_normal.jpg</v>
      </c>
      <c r="W2346" s="83">
        <v>44463.598182870373</v>
      </c>
      <c r="X2346" s="89">
        <v>44463</v>
      </c>
      <c r="Y2346" s="86" t="s">
        <v>6655</v>
      </c>
      <c r="Z2346" s="84" t="str">
        <f>HYPERLINK("https://twitter.com/panchitoblanco1/status/1441407420660604930")</f>
        <v>https://twitter.com/panchitoblanco1/status/1441407420660604930</v>
      </c>
      <c r="AA2346" s="81"/>
      <c r="AB2346" s="81"/>
      <c r="AC2346" s="86" t="s">
        <v>7580</v>
      </c>
      <c r="AD2346" s="86" t="s">
        <v>7780</v>
      </c>
      <c r="AE2346" s="81" t="b">
        <v>0</v>
      </c>
      <c r="AF2346" s="81">
        <v>10</v>
      </c>
      <c r="AG2346" s="86" t="s">
        <v>7951</v>
      </c>
      <c r="AH2346" s="81" t="b">
        <v>0</v>
      </c>
      <c r="AI2346" s="81" t="s">
        <v>2171</v>
      </c>
      <c r="AJ2346" s="81"/>
      <c r="AK2346" s="86" t="s">
        <v>2084</v>
      </c>
      <c r="AL2346" s="81" t="b">
        <v>0</v>
      </c>
      <c r="AM2346" s="81">
        <v>4</v>
      </c>
      <c r="AN2346" s="86" t="s">
        <v>2084</v>
      </c>
      <c r="AO2346" s="86" t="s">
        <v>2178</v>
      </c>
      <c r="AP2346" s="81" t="b">
        <v>0</v>
      </c>
      <c r="AQ2346" s="86" t="s">
        <v>7780</v>
      </c>
      <c r="AR2346" s="81" t="s">
        <v>179</v>
      </c>
      <c r="AS2346" s="81">
        <v>0</v>
      </c>
      <c r="AT2346" s="81">
        <v>0</v>
      </c>
      <c r="AU2346" s="81"/>
      <c r="AV2346" s="81"/>
      <c r="AW2346" s="81"/>
      <c r="AX2346" s="81"/>
      <c r="AY2346" s="81"/>
      <c r="AZ2346" s="81"/>
      <c r="BA2346" s="81"/>
      <c r="BB2346" s="81"/>
    </row>
    <row r="2347" spans="1:54" x14ac:dyDescent="0.35">
      <c r="A2347" s="66" t="s">
        <v>4967</v>
      </c>
      <c r="B2347" s="66" t="s">
        <v>5262</v>
      </c>
      <c r="C2347" s="67"/>
      <c r="D2347" s="68"/>
      <c r="E2347" s="69"/>
      <c r="F2347" s="70"/>
      <c r="G2347" s="67"/>
      <c r="H2347" s="71"/>
      <c r="I2347" s="72"/>
      <c r="J2347" s="72"/>
      <c r="K2347" s="36"/>
      <c r="L2347" s="79"/>
      <c r="M2347" s="79"/>
      <c r="N2347" s="74"/>
      <c r="O2347" s="81" t="s">
        <v>694</v>
      </c>
      <c r="P2347" s="83">
        <v>44464.140057870369</v>
      </c>
      <c r="Q2347" s="81" t="s">
        <v>5654</v>
      </c>
      <c r="R2347" s="84" t="str">
        <f>HYPERLINK("https://auditoriacidada.org.br/")</f>
        <v>https://auditoriacidada.org.br/</v>
      </c>
      <c r="S2347" s="81" t="s">
        <v>5696</v>
      </c>
      <c r="T2347" s="81"/>
      <c r="U2347" s="81"/>
      <c r="V2347" s="84" t="str">
        <f>HYPERLINK("https://pbs.twimg.com/profile_images/1399527376242069507/ZhhDd0tB_normal.jpg")</f>
        <v>https://pbs.twimg.com/profile_images/1399527376242069507/ZhhDd0tB_normal.jpg</v>
      </c>
      <c r="W2347" s="83">
        <v>44464.140057870369</v>
      </c>
      <c r="X2347" s="89">
        <v>44464</v>
      </c>
      <c r="Y2347" s="86" t="s">
        <v>6654</v>
      </c>
      <c r="Z2347" s="84" t="str">
        <f>HYPERLINK("https://twitter.com/mariacr64955277/status/1441603789765677056")</f>
        <v>https://twitter.com/mariacr64955277/status/1441603789765677056</v>
      </c>
      <c r="AA2347" s="81"/>
      <c r="AB2347" s="81"/>
      <c r="AC2347" s="86" t="s">
        <v>7579</v>
      </c>
      <c r="AD2347" s="81"/>
      <c r="AE2347" s="81" t="b">
        <v>0</v>
      </c>
      <c r="AF2347" s="81">
        <v>0</v>
      </c>
      <c r="AG2347" s="86" t="s">
        <v>2084</v>
      </c>
      <c r="AH2347" s="81" t="b">
        <v>0</v>
      </c>
      <c r="AI2347" s="81" t="s">
        <v>2171</v>
      </c>
      <c r="AJ2347" s="81"/>
      <c r="AK2347" s="86" t="s">
        <v>2084</v>
      </c>
      <c r="AL2347" s="81" t="b">
        <v>0</v>
      </c>
      <c r="AM2347" s="81">
        <v>4</v>
      </c>
      <c r="AN2347" s="86" t="s">
        <v>7580</v>
      </c>
      <c r="AO2347" s="86" t="s">
        <v>2178</v>
      </c>
      <c r="AP2347" s="81" t="b">
        <v>0</v>
      </c>
      <c r="AQ2347" s="86" t="s">
        <v>7580</v>
      </c>
      <c r="AR2347" s="81" t="s">
        <v>179</v>
      </c>
      <c r="AS2347" s="81">
        <v>0</v>
      </c>
      <c r="AT2347" s="81">
        <v>0</v>
      </c>
      <c r="AU2347" s="81"/>
      <c r="AV2347" s="81"/>
      <c r="AW2347" s="81"/>
      <c r="AX2347" s="81"/>
      <c r="AY2347" s="81"/>
      <c r="AZ2347" s="81"/>
      <c r="BA2347" s="81"/>
      <c r="BB2347" s="81"/>
    </row>
    <row r="2348" spans="1:54" x14ac:dyDescent="0.35">
      <c r="A2348" s="66" t="s">
        <v>4963</v>
      </c>
      <c r="B2348" s="66" t="s">
        <v>5262</v>
      </c>
      <c r="C2348" s="67"/>
      <c r="D2348" s="68"/>
      <c r="E2348" s="69"/>
      <c r="F2348" s="70"/>
      <c r="G2348" s="67"/>
      <c r="H2348" s="71"/>
      <c r="I2348" s="72"/>
      <c r="J2348" s="72"/>
      <c r="K2348" s="36"/>
      <c r="L2348" s="79"/>
      <c r="M2348" s="79"/>
      <c r="N2348" s="74"/>
      <c r="O2348" s="81" t="s">
        <v>696</v>
      </c>
      <c r="P2348" s="83">
        <v>44463.598182870373</v>
      </c>
      <c r="Q2348" s="81" t="s">
        <v>5654</v>
      </c>
      <c r="R2348" s="84" t="str">
        <f>HYPERLINK("https://auditoriacidada.org.br/")</f>
        <v>https://auditoriacidada.org.br/</v>
      </c>
      <c r="S2348" s="81" t="s">
        <v>5696</v>
      </c>
      <c r="T2348" s="81"/>
      <c r="U2348" s="81"/>
      <c r="V2348" s="84" t="str">
        <f>HYPERLINK("https://pbs.twimg.com/profile_images/1258569360236576770/7E9EYrtd_normal.jpg")</f>
        <v>https://pbs.twimg.com/profile_images/1258569360236576770/7E9EYrtd_normal.jpg</v>
      </c>
      <c r="W2348" s="83">
        <v>44463.598182870373</v>
      </c>
      <c r="X2348" s="89">
        <v>44463</v>
      </c>
      <c r="Y2348" s="86" t="s">
        <v>6655</v>
      </c>
      <c r="Z2348" s="84" t="str">
        <f>HYPERLINK("https://twitter.com/panchitoblanco1/status/1441407420660604930")</f>
        <v>https://twitter.com/panchitoblanco1/status/1441407420660604930</v>
      </c>
      <c r="AA2348" s="81"/>
      <c r="AB2348" s="81"/>
      <c r="AC2348" s="86" t="s">
        <v>7580</v>
      </c>
      <c r="AD2348" s="86" t="s">
        <v>7780</v>
      </c>
      <c r="AE2348" s="81" t="b">
        <v>0</v>
      </c>
      <c r="AF2348" s="81">
        <v>10</v>
      </c>
      <c r="AG2348" s="86" t="s">
        <v>7951</v>
      </c>
      <c r="AH2348" s="81" t="b">
        <v>0</v>
      </c>
      <c r="AI2348" s="81" t="s">
        <v>2171</v>
      </c>
      <c r="AJ2348" s="81"/>
      <c r="AK2348" s="86" t="s">
        <v>2084</v>
      </c>
      <c r="AL2348" s="81" t="b">
        <v>0</v>
      </c>
      <c r="AM2348" s="81">
        <v>4</v>
      </c>
      <c r="AN2348" s="86" t="s">
        <v>2084</v>
      </c>
      <c r="AO2348" s="86" t="s">
        <v>2178</v>
      </c>
      <c r="AP2348" s="81" t="b">
        <v>0</v>
      </c>
      <c r="AQ2348" s="86" t="s">
        <v>7780</v>
      </c>
      <c r="AR2348" s="81" t="s">
        <v>179</v>
      </c>
      <c r="AS2348" s="81">
        <v>0</v>
      </c>
      <c r="AT2348" s="81">
        <v>0</v>
      </c>
      <c r="AU2348" s="81"/>
      <c r="AV2348" s="81"/>
      <c r="AW2348" s="81"/>
      <c r="AX2348" s="81"/>
      <c r="AY2348" s="81"/>
      <c r="AZ2348" s="81"/>
      <c r="BA2348" s="81"/>
      <c r="BB2348" s="81"/>
    </row>
    <row r="2349" spans="1:54" x14ac:dyDescent="0.35">
      <c r="A2349" s="66" t="s">
        <v>4967</v>
      </c>
      <c r="B2349" s="66" t="s">
        <v>5263</v>
      </c>
      <c r="C2349" s="67"/>
      <c r="D2349" s="68"/>
      <c r="E2349" s="69"/>
      <c r="F2349" s="70"/>
      <c r="G2349" s="67"/>
      <c r="H2349" s="71"/>
      <c r="I2349" s="72"/>
      <c r="J2349" s="72"/>
      <c r="K2349" s="36"/>
      <c r="L2349" s="79"/>
      <c r="M2349" s="79"/>
      <c r="N2349" s="74"/>
      <c r="O2349" s="81" t="s">
        <v>694</v>
      </c>
      <c r="P2349" s="83">
        <v>44464.140057870369</v>
      </c>
      <c r="Q2349" s="81" t="s">
        <v>5654</v>
      </c>
      <c r="R2349" s="84" t="str">
        <f>HYPERLINK("https://auditoriacidada.org.br/")</f>
        <v>https://auditoriacidada.org.br/</v>
      </c>
      <c r="S2349" s="81" t="s">
        <v>5696</v>
      </c>
      <c r="T2349" s="81"/>
      <c r="U2349" s="81"/>
      <c r="V2349" s="84" t="str">
        <f>HYPERLINK("https://pbs.twimg.com/profile_images/1399527376242069507/ZhhDd0tB_normal.jpg")</f>
        <v>https://pbs.twimg.com/profile_images/1399527376242069507/ZhhDd0tB_normal.jpg</v>
      </c>
      <c r="W2349" s="83">
        <v>44464.140057870369</v>
      </c>
      <c r="X2349" s="89">
        <v>44464</v>
      </c>
      <c r="Y2349" s="86" t="s">
        <v>6654</v>
      </c>
      <c r="Z2349" s="84" t="str">
        <f>HYPERLINK("https://twitter.com/mariacr64955277/status/1441603789765677056")</f>
        <v>https://twitter.com/mariacr64955277/status/1441603789765677056</v>
      </c>
      <c r="AA2349" s="81"/>
      <c r="AB2349" s="81"/>
      <c r="AC2349" s="86" t="s">
        <v>7579</v>
      </c>
      <c r="AD2349" s="81"/>
      <c r="AE2349" s="81" t="b">
        <v>0</v>
      </c>
      <c r="AF2349" s="81">
        <v>0</v>
      </c>
      <c r="AG2349" s="86" t="s">
        <v>2084</v>
      </c>
      <c r="AH2349" s="81" t="b">
        <v>0</v>
      </c>
      <c r="AI2349" s="81" t="s">
        <v>2171</v>
      </c>
      <c r="AJ2349" s="81"/>
      <c r="AK2349" s="86" t="s">
        <v>2084</v>
      </c>
      <c r="AL2349" s="81" t="b">
        <v>0</v>
      </c>
      <c r="AM2349" s="81">
        <v>4</v>
      </c>
      <c r="AN2349" s="86" t="s">
        <v>7580</v>
      </c>
      <c r="AO2349" s="86" t="s">
        <v>2178</v>
      </c>
      <c r="AP2349" s="81" t="b">
        <v>0</v>
      </c>
      <c r="AQ2349" s="86" t="s">
        <v>7580</v>
      </c>
      <c r="AR2349" s="81" t="s">
        <v>179</v>
      </c>
      <c r="AS2349" s="81">
        <v>0</v>
      </c>
      <c r="AT2349" s="81">
        <v>0</v>
      </c>
      <c r="AU2349" s="81"/>
      <c r="AV2349" s="81"/>
      <c r="AW2349" s="81"/>
      <c r="AX2349" s="81"/>
      <c r="AY2349" s="81"/>
      <c r="AZ2349" s="81"/>
      <c r="BA2349" s="81"/>
      <c r="BB2349" s="81"/>
    </row>
    <row r="2350" spans="1:54" x14ac:dyDescent="0.35">
      <c r="A2350" s="66" t="s">
        <v>4963</v>
      </c>
      <c r="B2350" s="66" t="s">
        <v>5263</v>
      </c>
      <c r="C2350" s="67"/>
      <c r="D2350" s="68"/>
      <c r="E2350" s="69"/>
      <c r="F2350" s="70"/>
      <c r="G2350" s="67"/>
      <c r="H2350" s="71"/>
      <c r="I2350" s="72"/>
      <c r="J2350" s="72"/>
      <c r="K2350" s="36"/>
      <c r="L2350" s="79"/>
      <c r="M2350" s="79"/>
      <c r="N2350" s="74"/>
      <c r="O2350" s="81" t="s">
        <v>696</v>
      </c>
      <c r="P2350" s="83">
        <v>44463.598182870373</v>
      </c>
      <c r="Q2350" s="81" t="s">
        <v>5654</v>
      </c>
      <c r="R2350" s="84" t="str">
        <f>HYPERLINK("https://auditoriacidada.org.br/")</f>
        <v>https://auditoriacidada.org.br/</v>
      </c>
      <c r="S2350" s="81" t="s">
        <v>5696</v>
      </c>
      <c r="T2350" s="81"/>
      <c r="U2350" s="81"/>
      <c r="V2350" s="84" t="str">
        <f>HYPERLINK("https://pbs.twimg.com/profile_images/1258569360236576770/7E9EYrtd_normal.jpg")</f>
        <v>https://pbs.twimg.com/profile_images/1258569360236576770/7E9EYrtd_normal.jpg</v>
      </c>
      <c r="W2350" s="83">
        <v>44463.598182870373</v>
      </c>
      <c r="X2350" s="89">
        <v>44463</v>
      </c>
      <c r="Y2350" s="86" t="s">
        <v>6655</v>
      </c>
      <c r="Z2350" s="84" t="str">
        <f>HYPERLINK("https://twitter.com/panchitoblanco1/status/1441407420660604930")</f>
        <v>https://twitter.com/panchitoblanco1/status/1441407420660604930</v>
      </c>
      <c r="AA2350" s="81"/>
      <c r="AB2350" s="81"/>
      <c r="AC2350" s="86" t="s">
        <v>7580</v>
      </c>
      <c r="AD2350" s="86" t="s">
        <v>7780</v>
      </c>
      <c r="AE2350" s="81" t="b">
        <v>0</v>
      </c>
      <c r="AF2350" s="81">
        <v>10</v>
      </c>
      <c r="AG2350" s="86" t="s">
        <v>7951</v>
      </c>
      <c r="AH2350" s="81" t="b">
        <v>0</v>
      </c>
      <c r="AI2350" s="81" t="s">
        <v>2171</v>
      </c>
      <c r="AJ2350" s="81"/>
      <c r="AK2350" s="86" t="s">
        <v>2084</v>
      </c>
      <c r="AL2350" s="81" t="b">
        <v>0</v>
      </c>
      <c r="AM2350" s="81">
        <v>4</v>
      </c>
      <c r="AN2350" s="86" t="s">
        <v>2084</v>
      </c>
      <c r="AO2350" s="86" t="s">
        <v>2178</v>
      </c>
      <c r="AP2350" s="81" t="b">
        <v>0</v>
      </c>
      <c r="AQ2350" s="86" t="s">
        <v>7780</v>
      </c>
      <c r="AR2350" s="81" t="s">
        <v>179</v>
      </c>
      <c r="AS2350" s="81">
        <v>0</v>
      </c>
      <c r="AT2350" s="81">
        <v>0</v>
      </c>
      <c r="AU2350" s="81"/>
      <c r="AV2350" s="81"/>
      <c r="AW2350" s="81"/>
      <c r="AX2350" s="81"/>
      <c r="AY2350" s="81"/>
      <c r="AZ2350" s="81"/>
      <c r="BA2350" s="81"/>
      <c r="BB2350" s="81"/>
    </row>
    <row r="2351" spans="1:54" x14ac:dyDescent="0.35">
      <c r="A2351" s="66" t="s">
        <v>4967</v>
      </c>
      <c r="B2351" s="66" t="s">
        <v>5229</v>
      </c>
      <c r="C2351" s="67"/>
      <c r="D2351" s="68"/>
      <c r="E2351" s="69"/>
      <c r="F2351" s="70"/>
      <c r="G2351" s="67"/>
      <c r="H2351" s="71"/>
      <c r="I2351" s="72"/>
      <c r="J2351" s="72"/>
      <c r="K2351" s="36"/>
      <c r="L2351" s="79"/>
      <c r="M2351" s="79"/>
      <c r="N2351" s="74"/>
      <c r="O2351" s="81" t="s">
        <v>694</v>
      </c>
      <c r="P2351" s="83">
        <v>44464.140057870369</v>
      </c>
      <c r="Q2351" s="81" t="s">
        <v>5654</v>
      </c>
      <c r="R2351" s="84" t="str">
        <f>HYPERLINK("https://auditoriacidada.org.br/")</f>
        <v>https://auditoriacidada.org.br/</v>
      </c>
      <c r="S2351" s="81" t="s">
        <v>5696</v>
      </c>
      <c r="T2351" s="81"/>
      <c r="U2351" s="81"/>
      <c r="V2351" s="84" t="str">
        <f>HYPERLINK("https://pbs.twimg.com/profile_images/1399527376242069507/ZhhDd0tB_normal.jpg")</f>
        <v>https://pbs.twimg.com/profile_images/1399527376242069507/ZhhDd0tB_normal.jpg</v>
      </c>
      <c r="W2351" s="83">
        <v>44464.140057870369</v>
      </c>
      <c r="X2351" s="89">
        <v>44464</v>
      </c>
      <c r="Y2351" s="86" t="s">
        <v>6654</v>
      </c>
      <c r="Z2351" s="84" t="str">
        <f>HYPERLINK("https://twitter.com/mariacr64955277/status/1441603789765677056")</f>
        <v>https://twitter.com/mariacr64955277/status/1441603789765677056</v>
      </c>
      <c r="AA2351" s="81"/>
      <c r="AB2351" s="81"/>
      <c r="AC2351" s="86" t="s">
        <v>7579</v>
      </c>
      <c r="AD2351" s="81"/>
      <c r="AE2351" s="81" t="b">
        <v>0</v>
      </c>
      <c r="AF2351" s="81">
        <v>0</v>
      </c>
      <c r="AG2351" s="86" t="s">
        <v>2084</v>
      </c>
      <c r="AH2351" s="81" t="b">
        <v>0</v>
      </c>
      <c r="AI2351" s="81" t="s">
        <v>2171</v>
      </c>
      <c r="AJ2351" s="81"/>
      <c r="AK2351" s="86" t="s">
        <v>2084</v>
      </c>
      <c r="AL2351" s="81" t="b">
        <v>0</v>
      </c>
      <c r="AM2351" s="81">
        <v>4</v>
      </c>
      <c r="AN2351" s="86" t="s">
        <v>7580</v>
      </c>
      <c r="AO2351" s="86" t="s">
        <v>2178</v>
      </c>
      <c r="AP2351" s="81" t="b">
        <v>0</v>
      </c>
      <c r="AQ2351" s="86" t="s">
        <v>7580</v>
      </c>
      <c r="AR2351" s="81" t="s">
        <v>179</v>
      </c>
      <c r="AS2351" s="81">
        <v>0</v>
      </c>
      <c r="AT2351" s="81">
        <v>0</v>
      </c>
      <c r="AU2351" s="81"/>
      <c r="AV2351" s="81"/>
      <c r="AW2351" s="81"/>
      <c r="AX2351" s="81"/>
      <c r="AY2351" s="81"/>
      <c r="AZ2351" s="81"/>
      <c r="BA2351" s="81"/>
      <c r="BB2351" s="81"/>
    </row>
    <row r="2352" spans="1:54" x14ac:dyDescent="0.35">
      <c r="A2352" s="66" t="s">
        <v>4967</v>
      </c>
      <c r="B2352" s="66" t="s">
        <v>5264</v>
      </c>
      <c r="C2352" s="67"/>
      <c r="D2352" s="68"/>
      <c r="E2352" s="69"/>
      <c r="F2352" s="70"/>
      <c r="G2352" s="67"/>
      <c r="H2352" s="71"/>
      <c r="I2352" s="72"/>
      <c r="J2352" s="72"/>
      <c r="K2352" s="36"/>
      <c r="L2352" s="79"/>
      <c r="M2352" s="79"/>
      <c r="N2352" s="74"/>
      <c r="O2352" s="81" t="s">
        <v>694</v>
      </c>
      <c r="P2352" s="83">
        <v>44464.140057870369</v>
      </c>
      <c r="Q2352" s="81" t="s">
        <v>5654</v>
      </c>
      <c r="R2352" s="84" t="str">
        <f>HYPERLINK("https://auditoriacidada.org.br/")</f>
        <v>https://auditoriacidada.org.br/</v>
      </c>
      <c r="S2352" s="81" t="s">
        <v>5696</v>
      </c>
      <c r="T2352" s="81"/>
      <c r="U2352" s="81"/>
      <c r="V2352" s="84" t="str">
        <f>HYPERLINK("https://pbs.twimg.com/profile_images/1399527376242069507/ZhhDd0tB_normal.jpg")</f>
        <v>https://pbs.twimg.com/profile_images/1399527376242069507/ZhhDd0tB_normal.jpg</v>
      </c>
      <c r="W2352" s="83">
        <v>44464.140057870369</v>
      </c>
      <c r="X2352" s="89">
        <v>44464</v>
      </c>
      <c r="Y2352" s="86" t="s">
        <v>6654</v>
      </c>
      <c r="Z2352" s="84" t="str">
        <f>HYPERLINK("https://twitter.com/mariacr64955277/status/1441603789765677056")</f>
        <v>https://twitter.com/mariacr64955277/status/1441603789765677056</v>
      </c>
      <c r="AA2352" s="81"/>
      <c r="AB2352" s="81"/>
      <c r="AC2352" s="86" t="s">
        <v>7579</v>
      </c>
      <c r="AD2352" s="81"/>
      <c r="AE2352" s="81" t="b">
        <v>0</v>
      </c>
      <c r="AF2352" s="81">
        <v>0</v>
      </c>
      <c r="AG2352" s="86" t="s">
        <v>2084</v>
      </c>
      <c r="AH2352" s="81" t="b">
        <v>0</v>
      </c>
      <c r="AI2352" s="81" t="s">
        <v>2171</v>
      </c>
      <c r="AJ2352" s="81"/>
      <c r="AK2352" s="86" t="s">
        <v>2084</v>
      </c>
      <c r="AL2352" s="81" t="b">
        <v>0</v>
      </c>
      <c r="AM2352" s="81">
        <v>4</v>
      </c>
      <c r="AN2352" s="86" t="s">
        <v>7580</v>
      </c>
      <c r="AO2352" s="86" t="s">
        <v>2178</v>
      </c>
      <c r="AP2352" s="81" t="b">
        <v>0</v>
      </c>
      <c r="AQ2352" s="86" t="s">
        <v>7580</v>
      </c>
      <c r="AR2352" s="81" t="s">
        <v>179</v>
      </c>
      <c r="AS2352" s="81">
        <v>0</v>
      </c>
      <c r="AT2352" s="81">
        <v>0</v>
      </c>
      <c r="AU2352" s="81"/>
      <c r="AV2352" s="81"/>
      <c r="AW2352" s="81"/>
      <c r="AX2352" s="81"/>
      <c r="AY2352" s="81"/>
      <c r="AZ2352" s="81"/>
      <c r="BA2352" s="81"/>
      <c r="BB2352" s="81"/>
    </row>
    <row r="2353" spans="1:54" x14ac:dyDescent="0.35">
      <c r="A2353" s="66" t="s">
        <v>4967</v>
      </c>
      <c r="B2353" s="66" t="s">
        <v>5265</v>
      </c>
      <c r="C2353" s="67"/>
      <c r="D2353" s="68"/>
      <c r="E2353" s="69"/>
      <c r="F2353" s="70"/>
      <c r="G2353" s="67"/>
      <c r="H2353" s="71"/>
      <c r="I2353" s="72"/>
      <c r="J2353" s="72"/>
      <c r="K2353" s="36"/>
      <c r="L2353" s="79"/>
      <c r="M2353" s="79"/>
      <c r="N2353" s="74"/>
      <c r="O2353" s="81" t="s">
        <v>694</v>
      </c>
      <c r="P2353" s="83">
        <v>44464.140057870369</v>
      </c>
      <c r="Q2353" s="81" t="s">
        <v>5654</v>
      </c>
      <c r="R2353" s="84" t="str">
        <f>HYPERLINK("https://auditoriacidada.org.br/")</f>
        <v>https://auditoriacidada.org.br/</v>
      </c>
      <c r="S2353" s="81" t="s">
        <v>5696</v>
      </c>
      <c r="T2353" s="81"/>
      <c r="U2353" s="81"/>
      <c r="V2353" s="84" t="str">
        <f>HYPERLINK("https://pbs.twimg.com/profile_images/1399527376242069507/ZhhDd0tB_normal.jpg")</f>
        <v>https://pbs.twimg.com/profile_images/1399527376242069507/ZhhDd0tB_normal.jpg</v>
      </c>
      <c r="W2353" s="83">
        <v>44464.140057870369</v>
      </c>
      <c r="X2353" s="89">
        <v>44464</v>
      </c>
      <c r="Y2353" s="86" t="s">
        <v>6654</v>
      </c>
      <c r="Z2353" s="84" t="str">
        <f>HYPERLINK("https://twitter.com/mariacr64955277/status/1441603789765677056")</f>
        <v>https://twitter.com/mariacr64955277/status/1441603789765677056</v>
      </c>
      <c r="AA2353" s="81"/>
      <c r="AB2353" s="81"/>
      <c r="AC2353" s="86" t="s">
        <v>7579</v>
      </c>
      <c r="AD2353" s="81"/>
      <c r="AE2353" s="81" t="b">
        <v>0</v>
      </c>
      <c r="AF2353" s="81">
        <v>0</v>
      </c>
      <c r="AG2353" s="86" t="s">
        <v>2084</v>
      </c>
      <c r="AH2353" s="81" t="b">
        <v>0</v>
      </c>
      <c r="AI2353" s="81" t="s">
        <v>2171</v>
      </c>
      <c r="AJ2353" s="81"/>
      <c r="AK2353" s="86" t="s">
        <v>2084</v>
      </c>
      <c r="AL2353" s="81" t="b">
        <v>0</v>
      </c>
      <c r="AM2353" s="81">
        <v>4</v>
      </c>
      <c r="AN2353" s="86" t="s">
        <v>7580</v>
      </c>
      <c r="AO2353" s="86" t="s">
        <v>2178</v>
      </c>
      <c r="AP2353" s="81" t="b">
        <v>0</v>
      </c>
      <c r="AQ2353" s="86" t="s">
        <v>7580</v>
      </c>
      <c r="AR2353" s="81" t="s">
        <v>179</v>
      </c>
      <c r="AS2353" s="81">
        <v>0</v>
      </c>
      <c r="AT2353" s="81">
        <v>0</v>
      </c>
      <c r="AU2353" s="81"/>
      <c r="AV2353" s="81"/>
      <c r="AW2353" s="81"/>
      <c r="AX2353" s="81"/>
      <c r="AY2353" s="81"/>
      <c r="AZ2353" s="81"/>
      <c r="BA2353" s="81"/>
      <c r="BB2353" s="81"/>
    </row>
    <row r="2354" spans="1:54" x14ac:dyDescent="0.35">
      <c r="A2354" s="66" t="s">
        <v>4967</v>
      </c>
      <c r="B2354" s="66" t="s">
        <v>5266</v>
      </c>
      <c r="C2354" s="67"/>
      <c r="D2354" s="68"/>
      <c r="E2354" s="69"/>
      <c r="F2354" s="70"/>
      <c r="G2354" s="67"/>
      <c r="H2354" s="71"/>
      <c r="I2354" s="72"/>
      <c r="J2354" s="72"/>
      <c r="K2354" s="36"/>
      <c r="L2354" s="79"/>
      <c r="M2354" s="79"/>
      <c r="N2354" s="74"/>
      <c r="O2354" s="81" t="s">
        <v>694</v>
      </c>
      <c r="P2354" s="83">
        <v>44464.140057870369</v>
      </c>
      <c r="Q2354" s="81" t="s">
        <v>5654</v>
      </c>
      <c r="R2354" s="84" t="str">
        <f>HYPERLINK("https://auditoriacidada.org.br/")</f>
        <v>https://auditoriacidada.org.br/</v>
      </c>
      <c r="S2354" s="81" t="s">
        <v>5696</v>
      </c>
      <c r="T2354" s="81"/>
      <c r="U2354" s="81"/>
      <c r="V2354" s="84" t="str">
        <f>HYPERLINK("https://pbs.twimg.com/profile_images/1399527376242069507/ZhhDd0tB_normal.jpg")</f>
        <v>https://pbs.twimg.com/profile_images/1399527376242069507/ZhhDd0tB_normal.jpg</v>
      </c>
      <c r="W2354" s="83">
        <v>44464.140057870369</v>
      </c>
      <c r="X2354" s="89">
        <v>44464</v>
      </c>
      <c r="Y2354" s="86" t="s">
        <v>6654</v>
      </c>
      <c r="Z2354" s="84" t="str">
        <f>HYPERLINK("https://twitter.com/mariacr64955277/status/1441603789765677056")</f>
        <v>https://twitter.com/mariacr64955277/status/1441603789765677056</v>
      </c>
      <c r="AA2354" s="81"/>
      <c r="AB2354" s="81"/>
      <c r="AC2354" s="86" t="s">
        <v>7579</v>
      </c>
      <c r="AD2354" s="81"/>
      <c r="AE2354" s="81" t="b">
        <v>0</v>
      </c>
      <c r="AF2354" s="81">
        <v>0</v>
      </c>
      <c r="AG2354" s="86" t="s">
        <v>2084</v>
      </c>
      <c r="AH2354" s="81" t="b">
        <v>0</v>
      </c>
      <c r="AI2354" s="81" t="s">
        <v>2171</v>
      </c>
      <c r="AJ2354" s="81"/>
      <c r="AK2354" s="86" t="s">
        <v>2084</v>
      </c>
      <c r="AL2354" s="81" t="b">
        <v>0</v>
      </c>
      <c r="AM2354" s="81">
        <v>4</v>
      </c>
      <c r="AN2354" s="86" t="s">
        <v>7580</v>
      </c>
      <c r="AO2354" s="86" t="s">
        <v>2178</v>
      </c>
      <c r="AP2354" s="81" t="b">
        <v>0</v>
      </c>
      <c r="AQ2354" s="86" t="s">
        <v>7580</v>
      </c>
      <c r="AR2354" s="81" t="s">
        <v>179</v>
      </c>
      <c r="AS2354" s="81">
        <v>0</v>
      </c>
      <c r="AT2354" s="81">
        <v>0</v>
      </c>
      <c r="AU2354" s="81"/>
      <c r="AV2354" s="81"/>
      <c r="AW2354" s="81"/>
      <c r="AX2354" s="81"/>
      <c r="AY2354" s="81"/>
      <c r="AZ2354" s="81"/>
      <c r="BA2354" s="81"/>
      <c r="BB2354" s="81"/>
    </row>
    <row r="2355" spans="1:54" x14ac:dyDescent="0.35">
      <c r="A2355" s="66" t="s">
        <v>4967</v>
      </c>
      <c r="B2355" s="66" t="s">
        <v>5267</v>
      </c>
      <c r="C2355" s="67"/>
      <c r="D2355" s="68"/>
      <c r="E2355" s="69"/>
      <c r="F2355" s="70"/>
      <c r="G2355" s="67"/>
      <c r="H2355" s="71"/>
      <c r="I2355" s="72"/>
      <c r="J2355" s="72"/>
      <c r="K2355" s="36"/>
      <c r="L2355" s="79"/>
      <c r="M2355" s="79"/>
      <c r="N2355" s="74"/>
      <c r="O2355" s="81" t="s">
        <v>694</v>
      </c>
      <c r="P2355" s="83">
        <v>44464.140057870369</v>
      </c>
      <c r="Q2355" s="81" t="s">
        <v>5654</v>
      </c>
      <c r="R2355" s="84" t="str">
        <f>HYPERLINK("https://auditoriacidada.org.br/")</f>
        <v>https://auditoriacidada.org.br/</v>
      </c>
      <c r="S2355" s="81" t="s">
        <v>5696</v>
      </c>
      <c r="T2355" s="81"/>
      <c r="U2355" s="81"/>
      <c r="V2355" s="84" t="str">
        <f>HYPERLINK("https://pbs.twimg.com/profile_images/1399527376242069507/ZhhDd0tB_normal.jpg")</f>
        <v>https://pbs.twimg.com/profile_images/1399527376242069507/ZhhDd0tB_normal.jpg</v>
      </c>
      <c r="W2355" s="83">
        <v>44464.140057870369</v>
      </c>
      <c r="X2355" s="89">
        <v>44464</v>
      </c>
      <c r="Y2355" s="86" t="s">
        <v>6654</v>
      </c>
      <c r="Z2355" s="84" t="str">
        <f>HYPERLINK("https://twitter.com/mariacr64955277/status/1441603789765677056")</f>
        <v>https://twitter.com/mariacr64955277/status/1441603789765677056</v>
      </c>
      <c r="AA2355" s="81"/>
      <c r="AB2355" s="81"/>
      <c r="AC2355" s="86" t="s">
        <v>7579</v>
      </c>
      <c r="AD2355" s="81"/>
      <c r="AE2355" s="81" t="b">
        <v>0</v>
      </c>
      <c r="AF2355" s="81">
        <v>0</v>
      </c>
      <c r="AG2355" s="86" t="s">
        <v>2084</v>
      </c>
      <c r="AH2355" s="81" t="b">
        <v>0</v>
      </c>
      <c r="AI2355" s="81" t="s">
        <v>2171</v>
      </c>
      <c r="AJ2355" s="81"/>
      <c r="AK2355" s="86" t="s">
        <v>2084</v>
      </c>
      <c r="AL2355" s="81" t="b">
        <v>0</v>
      </c>
      <c r="AM2355" s="81">
        <v>4</v>
      </c>
      <c r="AN2355" s="86" t="s">
        <v>7580</v>
      </c>
      <c r="AO2355" s="86" t="s">
        <v>2178</v>
      </c>
      <c r="AP2355" s="81" t="b">
        <v>0</v>
      </c>
      <c r="AQ2355" s="86" t="s">
        <v>7580</v>
      </c>
      <c r="AR2355" s="81" t="s">
        <v>179</v>
      </c>
      <c r="AS2355" s="81">
        <v>0</v>
      </c>
      <c r="AT2355" s="81">
        <v>0</v>
      </c>
      <c r="AU2355" s="81"/>
      <c r="AV2355" s="81"/>
      <c r="AW2355" s="81"/>
      <c r="AX2355" s="81"/>
      <c r="AY2355" s="81"/>
      <c r="AZ2355" s="81"/>
      <c r="BA2355" s="81"/>
      <c r="BB2355" s="81"/>
    </row>
    <row r="2356" spans="1:54" x14ac:dyDescent="0.35">
      <c r="A2356" s="66" t="s">
        <v>4967</v>
      </c>
      <c r="B2356" s="66" t="s">
        <v>5268</v>
      </c>
      <c r="C2356" s="67"/>
      <c r="D2356" s="68"/>
      <c r="E2356" s="69"/>
      <c r="F2356" s="70"/>
      <c r="G2356" s="67"/>
      <c r="H2356" s="71"/>
      <c r="I2356" s="72"/>
      <c r="J2356" s="72"/>
      <c r="K2356" s="36"/>
      <c r="L2356" s="79"/>
      <c r="M2356" s="79"/>
      <c r="N2356" s="74"/>
      <c r="O2356" s="81" t="s">
        <v>694</v>
      </c>
      <c r="P2356" s="83">
        <v>44464.140057870369</v>
      </c>
      <c r="Q2356" s="81" t="s">
        <v>5654</v>
      </c>
      <c r="R2356" s="84" t="str">
        <f>HYPERLINK("https://auditoriacidada.org.br/")</f>
        <v>https://auditoriacidada.org.br/</v>
      </c>
      <c r="S2356" s="81" t="s">
        <v>5696</v>
      </c>
      <c r="T2356" s="81"/>
      <c r="U2356" s="81"/>
      <c r="V2356" s="84" t="str">
        <f>HYPERLINK("https://pbs.twimg.com/profile_images/1399527376242069507/ZhhDd0tB_normal.jpg")</f>
        <v>https://pbs.twimg.com/profile_images/1399527376242069507/ZhhDd0tB_normal.jpg</v>
      </c>
      <c r="W2356" s="83">
        <v>44464.140057870369</v>
      </c>
      <c r="X2356" s="89">
        <v>44464</v>
      </c>
      <c r="Y2356" s="86" t="s">
        <v>6654</v>
      </c>
      <c r="Z2356" s="84" t="str">
        <f>HYPERLINK("https://twitter.com/mariacr64955277/status/1441603789765677056")</f>
        <v>https://twitter.com/mariacr64955277/status/1441603789765677056</v>
      </c>
      <c r="AA2356" s="81"/>
      <c r="AB2356" s="81"/>
      <c r="AC2356" s="86" t="s">
        <v>7579</v>
      </c>
      <c r="AD2356" s="81"/>
      <c r="AE2356" s="81" t="b">
        <v>0</v>
      </c>
      <c r="AF2356" s="81">
        <v>0</v>
      </c>
      <c r="AG2356" s="86" t="s">
        <v>2084</v>
      </c>
      <c r="AH2356" s="81" t="b">
        <v>0</v>
      </c>
      <c r="AI2356" s="81" t="s">
        <v>2171</v>
      </c>
      <c r="AJ2356" s="81"/>
      <c r="AK2356" s="86" t="s">
        <v>2084</v>
      </c>
      <c r="AL2356" s="81" t="b">
        <v>0</v>
      </c>
      <c r="AM2356" s="81">
        <v>4</v>
      </c>
      <c r="AN2356" s="86" t="s">
        <v>7580</v>
      </c>
      <c r="AO2356" s="86" t="s">
        <v>2178</v>
      </c>
      <c r="AP2356" s="81" t="b">
        <v>0</v>
      </c>
      <c r="AQ2356" s="86" t="s">
        <v>7580</v>
      </c>
      <c r="AR2356" s="81" t="s">
        <v>179</v>
      </c>
      <c r="AS2356" s="81">
        <v>0</v>
      </c>
      <c r="AT2356" s="81">
        <v>0</v>
      </c>
      <c r="AU2356" s="81"/>
      <c r="AV2356" s="81"/>
      <c r="AW2356" s="81"/>
      <c r="AX2356" s="81"/>
      <c r="AY2356" s="81"/>
      <c r="AZ2356" s="81"/>
      <c r="BA2356" s="81"/>
      <c r="BB2356" s="81"/>
    </row>
    <row r="2357" spans="1:54" x14ac:dyDescent="0.35">
      <c r="A2357" s="66" t="s">
        <v>4967</v>
      </c>
      <c r="B2357" s="66" t="s">
        <v>5269</v>
      </c>
      <c r="C2357" s="67"/>
      <c r="D2357" s="68"/>
      <c r="E2357" s="69"/>
      <c r="F2357" s="70"/>
      <c r="G2357" s="67"/>
      <c r="H2357" s="71"/>
      <c r="I2357" s="72"/>
      <c r="J2357" s="72"/>
      <c r="K2357" s="36"/>
      <c r="L2357" s="79"/>
      <c r="M2357" s="79"/>
      <c r="N2357" s="74"/>
      <c r="O2357" s="81" t="s">
        <v>694</v>
      </c>
      <c r="P2357" s="83">
        <v>44464.140057870369</v>
      </c>
      <c r="Q2357" s="81" t="s">
        <v>5654</v>
      </c>
      <c r="R2357" s="84" t="str">
        <f>HYPERLINK("https://auditoriacidada.org.br/")</f>
        <v>https://auditoriacidada.org.br/</v>
      </c>
      <c r="S2357" s="81" t="s">
        <v>5696</v>
      </c>
      <c r="T2357" s="81"/>
      <c r="U2357" s="81"/>
      <c r="V2357" s="84" t="str">
        <f>HYPERLINK("https://pbs.twimg.com/profile_images/1399527376242069507/ZhhDd0tB_normal.jpg")</f>
        <v>https://pbs.twimg.com/profile_images/1399527376242069507/ZhhDd0tB_normal.jpg</v>
      </c>
      <c r="W2357" s="83">
        <v>44464.140057870369</v>
      </c>
      <c r="X2357" s="89">
        <v>44464</v>
      </c>
      <c r="Y2357" s="86" t="s">
        <v>6654</v>
      </c>
      <c r="Z2357" s="84" t="str">
        <f>HYPERLINK("https://twitter.com/mariacr64955277/status/1441603789765677056")</f>
        <v>https://twitter.com/mariacr64955277/status/1441603789765677056</v>
      </c>
      <c r="AA2357" s="81"/>
      <c r="AB2357" s="81"/>
      <c r="AC2357" s="86" t="s">
        <v>7579</v>
      </c>
      <c r="AD2357" s="81"/>
      <c r="AE2357" s="81" t="b">
        <v>0</v>
      </c>
      <c r="AF2357" s="81">
        <v>0</v>
      </c>
      <c r="AG2357" s="86" t="s">
        <v>2084</v>
      </c>
      <c r="AH2357" s="81" t="b">
        <v>0</v>
      </c>
      <c r="AI2357" s="81" t="s">
        <v>2171</v>
      </c>
      <c r="AJ2357" s="81"/>
      <c r="AK2357" s="86" t="s">
        <v>2084</v>
      </c>
      <c r="AL2357" s="81" t="b">
        <v>0</v>
      </c>
      <c r="AM2357" s="81">
        <v>4</v>
      </c>
      <c r="AN2357" s="86" t="s">
        <v>7580</v>
      </c>
      <c r="AO2357" s="86" t="s">
        <v>2178</v>
      </c>
      <c r="AP2357" s="81" t="b">
        <v>0</v>
      </c>
      <c r="AQ2357" s="86" t="s">
        <v>7580</v>
      </c>
      <c r="AR2357" s="81" t="s">
        <v>179</v>
      </c>
      <c r="AS2357" s="81">
        <v>0</v>
      </c>
      <c r="AT2357" s="81">
        <v>0</v>
      </c>
      <c r="AU2357" s="81"/>
      <c r="AV2357" s="81"/>
      <c r="AW2357" s="81"/>
      <c r="AX2357" s="81"/>
      <c r="AY2357" s="81"/>
      <c r="AZ2357" s="81"/>
      <c r="BA2357" s="81"/>
      <c r="BB2357" s="81"/>
    </row>
    <row r="2358" spans="1:54" x14ac:dyDescent="0.35">
      <c r="A2358" s="66" t="s">
        <v>4967</v>
      </c>
      <c r="B2358" s="66" t="s">
        <v>4963</v>
      </c>
      <c r="C2358" s="67"/>
      <c r="D2358" s="68"/>
      <c r="E2358" s="69"/>
      <c r="F2358" s="70"/>
      <c r="G2358" s="67"/>
      <c r="H2358" s="71"/>
      <c r="I2358" s="72"/>
      <c r="J2358" s="72"/>
      <c r="K2358" s="36"/>
      <c r="L2358" s="79"/>
      <c r="M2358" s="79"/>
      <c r="N2358" s="74"/>
      <c r="O2358" s="81" t="s">
        <v>693</v>
      </c>
      <c r="P2358" s="83">
        <v>44464.140057870369</v>
      </c>
      <c r="Q2358" s="81" t="s">
        <v>5654</v>
      </c>
      <c r="R2358" s="84" t="str">
        <f>HYPERLINK("https://auditoriacidada.org.br/")</f>
        <v>https://auditoriacidada.org.br/</v>
      </c>
      <c r="S2358" s="81" t="s">
        <v>5696</v>
      </c>
      <c r="T2358" s="81"/>
      <c r="U2358" s="81"/>
      <c r="V2358" s="84" t="str">
        <f>HYPERLINK("https://pbs.twimg.com/profile_images/1399527376242069507/ZhhDd0tB_normal.jpg")</f>
        <v>https://pbs.twimg.com/profile_images/1399527376242069507/ZhhDd0tB_normal.jpg</v>
      </c>
      <c r="W2358" s="83">
        <v>44464.140057870369</v>
      </c>
      <c r="X2358" s="89">
        <v>44464</v>
      </c>
      <c r="Y2358" s="86" t="s">
        <v>6654</v>
      </c>
      <c r="Z2358" s="84" t="str">
        <f>HYPERLINK("https://twitter.com/mariacr64955277/status/1441603789765677056")</f>
        <v>https://twitter.com/mariacr64955277/status/1441603789765677056</v>
      </c>
      <c r="AA2358" s="81"/>
      <c r="AB2358" s="81"/>
      <c r="AC2358" s="86" t="s">
        <v>7579</v>
      </c>
      <c r="AD2358" s="81"/>
      <c r="AE2358" s="81" t="b">
        <v>0</v>
      </c>
      <c r="AF2358" s="81">
        <v>0</v>
      </c>
      <c r="AG2358" s="86" t="s">
        <v>2084</v>
      </c>
      <c r="AH2358" s="81" t="b">
        <v>0</v>
      </c>
      <c r="AI2358" s="81" t="s">
        <v>2171</v>
      </c>
      <c r="AJ2358" s="81"/>
      <c r="AK2358" s="86" t="s">
        <v>2084</v>
      </c>
      <c r="AL2358" s="81" t="b">
        <v>0</v>
      </c>
      <c r="AM2358" s="81">
        <v>4</v>
      </c>
      <c r="AN2358" s="86" t="s">
        <v>7580</v>
      </c>
      <c r="AO2358" s="86" t="s">
        <v>2178</v>
      </c>
      <c r="AP2358" s="81" t="b">
        <v>0</v>
      </c>
      <c r="AQ2358" s="86" t="s">
        <v>7580</v>
      </c>
      <c r="AR2358" s="81" t="s">
        <v>179</v>
      </c>
      <c r="AS2358" s="81">
        <v>0</v>
      </c>
      <c r="AT2358" s="81">
        <v>0</v>
      </c>
      <c r="AU2358" s="81"/>
      <c r="AV2358" s="81"/>
      <c r="AW2358" s="81"/>
      <c r="AX2358" s="81"/>
      <c r="AY2358" s="81"/>
      <c r="AZ2358" s="81"/>
      <c r="BA2358" s="81"/>
      <c r="BB2358" s="81"/>
    </row>
    <row r="2359" spans="1:54" x14ac:dyDescent="0.35">
      <c r="A2359" s="66" t="s">
        <v>4967</v>
      </c>
      <c r="B2359" s="66" t="s">
        <v>5270</v>
      </c>
      <c r="C2359" s="67"/>
      <c r="D2359" s="68"/>
      <c r="E2359" s="69"/>
      <c r="F2359" s="70"/>
      <c r="G2359" s="67"/>
      <c r="H2359" s="71"/>
      <c r="I2359" s="72"/>
      <c r="J2359" s="72"/>
      <c r="K2359" s="36"/>
      <c r="L2359" s="79"/>
      <c r="M2359" s="79"/>
      <c r="N2359" s="74"/>
      <c r="O2359" s="81" t="s">
        <v>695</v>
      </c>
      <c r="P2359" s="83">
        <v>44464.140057870369</v>
      </c>
      <c r="Q2359" s="81" t="s">
        <v>5654</v>
      </c>
      <c r="R2359" s="84" t="str">
        <f>HYPERLINK("https://auditoriacidada.org.br/")</f>
        <v>https://auditoriacidada.org.br/</v>
      </c>
      <c r="S2359" s="81" t="s">
        <v>5696</v>
      </c>
      <c r="T2359" s="81"/>
      <c r="U2359" s="81"/>
      <c r="V2359" s="84" t="str">
        <f>HYPERLINK("https://pbs.twimg.com/profile_images/1399527376242069507/ZhhDd0tB_normal.jpg")</f>
        <v>https://pbs.twimg.com/profile_images/1399527376242069507/ZhhDd0tB_normal.jpg</v>
      </c>
      <c r="W2359" s="83">
        <v>44464.140057870369</v>
      </c>
      <c r="X2359" s="89">
        <v>44464</v>
      </c>
      <c r="Y2359" s="86" t="s">
        <v>6654</v>
      </c>
      <c r="Z2359" s="84" t="str">
        <f>HYPERLINK("https://twitter.com/mariacr64955277/status/1441603789765677056")</f>
        <v>https://twitter.com/mariacr64955277/status/1441603789765677056</v>
      </c>
      <c r="AA2359" s="81"/>
      <c r="AB2359" s="81"/>
      <c r="AC2359" s="86" t="s">
        <v>7579</v>
      </c>
      <c r="AD2359" s="81"/>
      <c r="AE2359" s="81" t="b">
        <v>0</v>
      </c>
      <c r="AF2359" s="81">
        <v>0</v>
      </c>
      <c r="AG2359" s="86" t="s">
        <v>2084</v>
      </c>
      <c r="AH2359" s="81" t="b">
        <v>0</v>
      </c>
      <c r="AI2359" s="81" t="s">
        <v>2171</v>
      </c>
      <c r="AJ2359" s="81"/>
      <c r="AK2359" s="86" t="s">
        <v>2084</v>
      </c>
      <c r="AL2359" s="81" t="b">
        <v>0</v>
      </c>
      <c r="AM2359" s="81">
        <v>4</v>
      </c>
      <c r="AN2359" s="86" t="s">
        <v>7580</v>
      </c>
      <c r="AO2359" s="86" t="s">
        <v>2178</v>
      </c>
      <c r="AP2359" s="81" t="b">
        <v>0</v>
      </c>
      <c r="AQ2359" s="86" t="s">
        <v>7580</v>
      </c>
      <c r="AR2359" s="81" t="s">
        <v>179</v>
      </c>
      <c r="AS2359" s="81">
        <v>0</v>
      </c>
      <c r="AT2359" s="81">
        <v>0</v>
      </c>
      <c r="AU2359" s="81"/>
      <c r="AV2359" s="81"/>
      <c r="AW2359" s="81"/>
      <c r="AX2359" s="81"/>
      <c r="AY2359" s="81"/>
      <c r="AZ2359" s="81"/>
      <c r="BA2359" s="81"/>
      <c r="BB2359" s="81"/>
    </row>
    <row r="2360" spans="1:54" x14ac:dyDescent="0.35">
      <c r="A2360" s="66" t="s">
        <v>4963</v>
      </c>
      <c r="B2360" s="66" t="s">
        <v>4967</v>
      </c>
      <c r="C2360" s="67"/>
      <c r="D2360" s="68"/>
      <c r="E2360" s="69"/>
      <c r="F2360" s="70"/>
      <c r="G2360" s="67"/>
      <c r="H2360" s="71"/>
      <c r="I2360" s="72"/>
      <c r="J2360" s="72"/>
      <c r="K2360" s="36"/>
      <c r="L2360" s="79"/>
      <c r="M2360" s="79"/>
      <c r="N2360" s="74"/>
      <c r="O2360" s="81" t="s">
        <v>696</v>
      </c>
      <c r="P2360" s="83">
        <v>44463.598182870373</v>
      </c>
      <c r="Q2360" s="81" t="s">
        <v>5654</v>
      </c>
      <c r="R2360" s="84" t="str">
        <f>HYPERLINK("https://auditoriacidada.org.br/")</f>
        <v>https://auditoriacidada.org.br/</v>
      </c>
      <c r="S2360" s="81" t="s">
        <v>5696</v>
      </c>
      <c r="T2360" s="81"/>
      <c r="U2360" s="81"/>
      <c r="V2360" s="84" t="str">
        <f>HYPERLINK("https://pbs.twimg.com/profile_images/1258569360236576770/7E9EYrtd_normal.jpg")</f>
        <v>https://pbs.twimg.com/profile_images/1258569360236576770/7E9EYrtd_normal.jpg</v>
      </c>
      <c r="W2360" s="83">
        <v>44463.598182870373</v>
      </c>
      <c r="X2360" s="89">
        <v>44463</v>
      </c>
      <c r="Y2360" s="86" t="s">
        <v>6655</v>
      </c>
      <c r="Z2360" s="84" t="str">
        <f>HYPERLINK("https://twitter.com/panchitoblanco1/status/1441407420660604930")</f>
        <v>https://twitter.com/panchitoblanco1/status/1441407420660604930</v>
      </c>
      <c r="AA2360" s="81"/>
      <c r="AB2360" s="81"/>
      <c r="AC2360" s="86" t="s">
        <v>7580</v>
      </c>
      <c r="AD2360" s="86" t="s">
        <v>7780</v>
      </c>
      <c r="AE2360" s="81" t="b">
        <v>0</v>
      </c>
      <c r="AF2360" s="81">
        <v>10</v>
      </c>
      <c r="AG2360" s="86" t="s">
        <v>7951</v>
      </c>
      <c r="AH2360" s="81" t="b">
        <v>0</v>
      </c>
      <c r="AI2360" s="81" t="s">
        <v>2171</v>
      </c>
      <c r="AJ2360" s="81"/>
      <c r="AK2360" s="86" t="s">
        <v>2084</v>
      </c>
      <c r="AL2360" s="81" t="b">
        <v>0</v>
      </c>
      <c r="AM2360" s="81">
        <v>4</v>
      </c>
      <c r="AN2360" s="86" t="s">
        <v>2084</v>
      </c>
      <c r="AO2360" s="86" t="s">
        <v>2178</v>
      </c>
      <c r="AP2360" s="81" t="b">
        <v>0</v>
      </c>
      <c r="AQ2360" s="86" t="s">
        <v>7780</v>
      </c>
      <c r="AR2360" s="81" t="s">
        <v>179</v>
      </c>
      <c r="AS2360" s="81">
        <v>0</v>
      </c>
      <c r="AT2360" s="81">
        <v>0</v>
      </c>
      <c r="AU2360" s="81"/>
      <c r="AV2360" s="81"/>
      <c r="AW2360" s="81"/>
      <c r="AX2360" s="81"/>
      <c r="AY2360" s="81"/>
      <c r="AZ2360" s="81"/>
      <c r="BA2360" s="81"/>
      <c r="BB2360" s="81"/>
    </row>
    <row r="2361" spans="1:54" x14ac:dyDescent="0.35">
      <c r="A2361" s="66" t="s">
        <v>4963</v>
      </c>
      <c r="B2361" s="66" t="s">
        <v>5264</v>
      </c>
      <c r="C2361" s="67"/>
      <c r="D2361" s="68"/>
      <c r="E2361" s="69"/>
      <c r="F2361" s="70"/>
      <c r="G2361" s="67"/>
      <c r="H2361" s="71"/>
      <c r="I2361" s="72"/>
      <c r="J2361" s="72"/>
      <c r="K2361" s="36"/>
      <c r="L2361" s="79"/>
      <c r="M2361" s="79"/>
      <c r="N2361" s="74"/>
      <c r="O2361" s="81" t="s">
        <v>696</v>
      </c>
      <c r="P2361" s="83">
        <v>44463.598182870373</v>
      </c>
      <c r="Q2361" s="81" t="s">
        <v>5654</v>
      </c>
      <c r="R2361" s="84" t="str">
        <f>HYPERLINK("https://auditoriacidada.org.br/")</f>
        <v>https://auditoriacidada.org.br/</v>
      </c>
      <c r="S2361" s="81" t="s">
        <v>5696</v>
      </c>
      <c r="T2361" s="81"/>
      <c r="U2361" s="81"/>
      <c r="V2361" s="84" t="str">
        <f>HYPERLINK("https://pbs.twimg.com/profile_images/1258569360236576770/7E9EYrtd_normal.jpg")</f>
        <v>https://pbs.twimg.com/profile_images/1258569360236576770/7E9EYrtd_normal.jpg</v>
      </c>
      <c r="W2361" s="83">
        <v>44463.598182870373</v>
      </c>
      <c r="X2361" s="89">
        <v>44463</v>
      </c>
      <c r="Y2361" s="86" t="s">
        <v>6655</v>
      </c>
      <c r="Z2361" s="84" t="str">
        <f>HYPERLINK("https://twitter.com/panchitoblanco1/status/1441407420660604930")</f>
        <v>https://twitter.com/panchitoblanco1/status/1441407420660604930</v>
      </c>
      <c r="AA2361" s="81"/>
      <c r="AB2361" s="81"/>
      <c r="AC2361" s="86" t="s">
        <v>7580</v>
      </c>
      <c r="AD2361" s="86" t="s">
        <v>7780</v>
      </c>
      <c r="AE2361" s="81" t="b">
        <v>0</v>
      </c>
      <c r="AF2361" s="81">
        <v>10</v>
      </c>
      <c r="AG2361" s="86" t="s">
        <v>7951</v>
      </c>
      <c r="AH2361" s="81" t="b">
        <v>0</v>
      </c>
      <c r="AI2361" s="81" t="s">
        <v>2171</v>
      </c>
      <c r="AJ2361" s="81"/>
      <c r="AK2361" s="86" t="s">
        <v>2084</v>
      </c>
      <c r="AL2361" s="81" t="b">
        <v>0</v>
      </c>
      <c r="AM2361" s="81">
        <v>4</v>
      </c>
      <c r="AN2361" s="86" t="s">
        <v>2084</v>
      </c>
      <c r="AO2361" s="86" t="s">
        <v>2178</v>
      </c>
      <c r="AP2361" s="81" t="b">
        <v>0</v>
      </c>
      <c r="AQ2361" s="86" t="s">
        <v>7780</v>
      </c>
      <c r="AR2361" s="81" t="s">
        <v>179</v>
      </c>
      <c r="AS2361" s="81">
        <v>0</v>
      </c>
      <c r="AT2361" s="81">
        <v>0</v>
      </c>
      <c r="AU2361" s="81"/>
      <c r="AV2361" s="81"/>
      <c r="AW2361" s="81"/>
      <c r="AX2361" s="81"/>
      <c r="AY2361" s="81"/>
      <c r="AZ2361" s="81"/>
      <c r="BA2361" s="81"/>
      <c r="BB2361" s="81"/>
    </row>
    <row r="2362" spans="1:54" x14ac:dyDescent="0.35">
      <c r="A2362" s="66" t="s">
        <v>4963</v>
      </c>
      <c r="B2362" s="66" t="s">
        <v>5265</v>
      </c>
      <c r="C2362" s="67"/>
      <c r="D2362" s="68"/>
      <c r="E2362" s="69"/>
      <c r="F2362" s="70"/>
      <c r="G2362" s="67"/>
      <c r="H2362" s="71"/>
      <c r="I2362" s="72"/>
      <c r="J2362" s="72"/>
      <c r="K2362" s="36"/>
      <c r="L2362" s="79"/>
      <c r="M2362" s="79"/>
      <c r="N2362" s="74"/>
      <c r="O2362" s="81" t="s">
        <v>696</v>
      </c>
      <c r="P2362" s="83">
        <v>44463.598182870373</v>
      </c>
      <c r="Q2362" s="81" t="s">
        <v>5654</v>
      </c>
      <c r="R2362" s="84" t="str">
        <f>HYPERLINK("https://auditoriacidada.org.br/")</f>
        <v>https://auditoriacidada.org.br/</v>
      </c>
      <c r="S2362" s="81" t="s">
        <v>5696</v>
      </c>
      <c r="T2362" s="81"/>
      <c r="U2362" s="81"/>
      <c r="V2362" s="84" t="str">
        <f>HYPERLINK("https://pbs.twimg.com/profile_images/1258569360236576770/7E9EYrtd_normal.jpg")</f>
        <v>https://pbs.twimg.com/profile_images/1258569360236576770/7E9EYrtd_normal.jpg</v>
      </c>
      <c r="W2362" s="83">
        <v>44463.598182870373</v>
      </c>
      <c r="X2362" s="89">
        <v>44463</v>
      </c>
      <c r="Y2362" s="86" t="s">
        <v>6655</v>
      </c>
      <c r="Z2362" s="84" t="str">
        <f>HYPERLINK("https://twitter.com/panchitoblanco1/status/1441407420660604930")</f>
        <v>https://twitter.com/panchitoblanco1/status/1441407420660604930</v>
      </c>
      <c r="AA2362" s="81"/>
      <c r="AB2362" s="81"/>
      <c r="AC2362" s="86" t="s">
        <v>7580</v>
      </c>
      <c r="AD2362" s="86" t="s">
        <v>7780</v>
      </c>
      <c r="AE2362" s="81" t="b">
        <v>0</v>
      </c>
      <c r="AF2362" s="81">
        <v>10</v>
      </c>
      <c r="AG2362" s="86" t="s">
        <v>7951</v>
      </c>
      <c r="AH2362" s="81" t="b">
        <v>0</v>
      </c>
      <c r="AI2362" s="81" t="s">
        <v>2171</v>
      </c>
      <c r="AJ2362" s="81"/>
      <c r="AK2362" s="86" t="s">
        <v>2084</v>
      </c>
      <c r="AL2362" s="81" t="b">
        <v>0</v>
      </c>
      <c r="AM2362" s="81">
        <v>4</v>
      </c>
      <c r="AN2362" s="86" t="s">
        <v>2084</v>
      </c>
      <c r="AO2362" s="86" t="s">
        <v>2178</v>
      </c>
      <c r="AP2362" s="81" t="b">
        <v>0</v>
      </c>
      <c r="AQ2362" s="86" t="s">
        <v>7780</v>
      </c>
      <c r="AR2362" s="81" t="s">
        <v>179</v>
      </c>
      <c r="AS2362" s="81">
        <v>0</v>
      </c>
      <c r="AT2362" s="81">
        <v>0</v>
      </c>
      <c r="AU2362" s="81"/>
      <c r="AV2362" s="81"/>
      <c r="AW2362" s="81"/>
      <c r="AX2362" s="81"/>
      <c r="AY2362" s="81"/>
      <c r="AZ2362" s="81"/>
      <c r="BA2362" s="81"/>
      <c r="BB2362" s="81"/>
    </row>
    <row r="2363" spans="1:54" x14ac:dyDescent="0.35">
      <c r="A2363" s="66" t="s">
        <v>4963</v>
      </c>
      <c r="B2363" s="66" t="s">
        <v>5266</v>
      </c>
      <c r="C2363" s="67"/>
      <c r="D2363" s="68"/>
      <c r="E2363" s="69"/>
      <c r="F2363" s="70"/>
      <c r="G2363" s="67"/>
      <c r="H2363" s="71"/>
      <c r="I2363" s="72"/>
      <c r="J2363" s="72"/>
      <c r="K2363" s="36"/>
      <c r="L2363" s="79"/>
      <c r="M2363" s="79"/>
      <c r="N2363" s="74"/>
      <c r="O2363" s="81" t="s">
        <v>696</v>
      </c>
      <c r="P2363" s="83">
        <v>44463.598182870373</v>
      </c>
      <c r="Q2363" s="81" t="s">
        <v>5654</v>
      </c>
      <c r="R2363" s="84" t="str">
        <f>HYPERLINK("https://auditoriacidada.org.br/")</f>
        <v>https://auditoriacidada.org.br/</v>
      </c>
      <c r="S2363" s="81" t="s">
        <v>5696</v>
      </c>
      <c r="T2363" s="81"/>
      <c r="U2363" s="81"/>
      <c r="V2363" s="84" t="str">
        <f>HYPERLINK("https://pbs.twimg.com/profile_images/1258569360236576770/7E9EYrtd_normal.jpg")</f>
        <v>https://pbs.twimg.com/profile_images/1258569360236576770/7E9EYrtd_normal.jpg</v>
      </c>
      <c r="W2363" s="83">
        <v>44463.598182870373</v>
      </c>
      <c r="X2363" s="89">
        <v>44463</v>
      </c>
      <c r="Y2363" s="86" t="s">
        <v>6655</v>
      </c>
      <c r="Z2363" s="84" t="str">
        <f>HYPERLINK("https://twitter.com/panchitoblanco1/status/1441407420660604930")</f>
        <v>https://twitter.com/panchitoblanco1/status/1441407420660604930</v>
      </c>
      <c r="AA2363" s="81"/>
      <c r="AB2363" s="81"/>
      <c r="AC2363" s="86" t="s">
        <v>7580</v>
      </c>
      <c r="AD2363" s="86" t="s">
        <v>7780</v>
      </c>
      <c r="AE2363" s="81" t="b">
        <v>0</v>
      </c>
      <c r="AF2363" s="81">
        <v>10</v>
      </c>
      <c r="AG2363" s="86" t="s">
        <v>7951</v>
      </c>
      <c r="AH2363" s="81" t="b">
        <v>0</v>
      </c>
      <c r="AI2363" s="81" t="s">
        <v>2171</v>
      </c>
      <c r="AJ2363" s="81"/>
      <c r="AK2363" s="86" t="s">
        <v>2084</v>
      </c>
      <c r="AL2363" s="81" t="b">
        <v>0</v>
      </c>
      <c r="AM2363" s="81">
        <v>4</v>
      </c>
      <c r="AN2363" s="86" t="s">
        <v>2084</v>
      </c>
      <c r="AO2363" s="86" t="s">
        <v>2178</v>
      </c>
      <c r="AP2363" s="81" t="b">
        <v>0</v>
      </c>
      <c r="AQ2363" s="86" t="s">
        <v>7780</v>
      </c>
      <c r="AR2363" s="81" t="s">
        <v>179</v>
      </c>
      <c r="AS2363" s="81">
        <v>0</v>
      </c>
      <c r="AT2363" s="81">
        <v>0</v>
      </c>
      <c r="AU2363" s="81"/>
      <c r="AV2363" s="81"/>
      <c r="AW2363" s="81"/>
      <c r="AX2363" s="81"/>
      <c r="AY2363" s="81"/>
      <c r="AZ2363" s="81"/>
      <c r="BA2363" s="81"/>
      <c r="BB2363" s="81"/>
    </row>
    <row r="2364" spans="1:54" x14ac:dyDescent="0.35">
      <c r="A2364" s="66" t="s">
        <v>4963</v>
      </c>
      <c r="B2364" s="66" t="s">
        <v>5267</v>
      </c>
      <c r="C2364" s="67"/>
      <c r="D2364" s="68"/>
      <c r="E2364" s="69"/>
      <c r="F2364" s="70"/>
      <c r="G2364" s="67"/>
      <c r="H2364" s="71"/>
      <c r="I2364" s="72"/>
      <c r="J2364" s="72"/>
      <c r="K2364" s="36"/>
      <c r="L2364" s="79"/>
      <c r="M2364" s="79"/>
      <c r="N2364" s="74"/>
      <c r="O2364" s="81" t="s">
        <v>696</v>
      </c>
      <c r="P2364" s="83">
        <v>44463.598182870373</v>
      </c>
      <c r="Q2364" s="81" t="s">
        <v>5654</v>
      </c>
      <c r="R2364" s="84" t="str">
        <f>HYPERLINK("https://auditoriacidada.org.br/")</f>
        <v>https://auditoriacidada.org.br/</v>
      </c>
      <c r="S2364" s="81" t="s">
        <v>5696</v>
      </c>
      <c r="T2364" s="81"/>
      <c r="U2364" s="81"/>
      <c r="V2364" s="84" t="str">
        <f>HYPERLINK("https://pbs.twimg.com/profile_images/1258569360236576770/7E9EYrtd_normal.jpg")</f>
        <v>https://pbs.twimg.com/profile_images/1258569360236576770/7E9EYrtd_normal.jpg</v>
      </c>
      <c r="W2364" s="83">
        <v>44463.598182870373</v>
      </c>
      <c r="X2364" s="89">
        <v>44463</v>
      </c>
      <c r="Y2364" s="86" t="s">
        <v>6655</v>
      </c>
      <c r="Z2364" s="84" t="str">
        <f>HYPERLINK("https://twitter.com/panchitoblanco1/status/1441407420660604930")</f>
        <v>https://twitter.com/panchitoblanco1/status/1441407420660604930</v>
      </c>
      <c r="AA2364" s="81"/>
      <c r="AB2364" s="81"/>
      <c r="AC2364" s="86" t="s">
        <v>7580</v>
      </c>
      <c r="AD2364" s="86" t="s">
        <v>7780</v>
      </c>
      <c r="AE2364" s="81" t="b">
        <v>0</v>
      </c>
      <c r="AF2364" s="81">
        <v>10</v>
      </c>
      <c r="AG2364" s="86" t="s">
        <v>7951</v>
      </c>
      <c r="AH2364" s="81" t="b">
        <v>0</v>
      </c>
      <c r="AI2364" s="81" t="s">
        <v>2171</v>
      </c>
      <c r="AJ2364" s="81"/>
      <c r="AK2364" s="86" t="s">
        <v>2084</v>
      </c>
      <c r="AL2364" s="81" t="b">
        <v>0</v>
      </c>
      <c r="AM2364" s="81">
        <v>4</v>
      </c>
      <c r="AN2364" s="86" t="s">
        <v>2084</v>
      </c>
      <c r="AO2364" s="86" t="s">
        <v>2178</v>
      </c>
      <c r="AP2364" s="81" t="b">
        <v>0</v>
      </c>
      <c r="AQ2364" s="86" t="s">
        <v>7780</v>
      </c>
      <c r="AR2364" s="81" t="s">
        <v>179</v>
      </c>
      <c r="AS2364" s="81">
        <v>0</v>
      </c>
      <c r="AT2364" s="81">
        <v>0</v>
      </c>
      <c r="AU2364" s="81"/>
      <c r="AV2364" s="81"/>
      <c r="AW2364" s="81"/>
      <c r="AX2364" s="81"/>
      <c r="AY2364" s="81"/>
      <c r="AZ2364" s="81"/>
      <c r="BA2364" s="81"/>
      <c r="BB2364" s="81"/>
    </row>
    <row r="2365" spans="1:54" x14ac:dyDescent="0.35">
      <c r="A2365" s="66" t="s">
        <v>4963</v>
      </c>
      <c r="B2365" s="66" t="s">
        <v>5268</v>
      </c>
      <c r="C2365" s="67"/>
      <c r="D2365" s="68"/>
      <c r="E2365" s="69"/>
      <c r="F2365" s="70"/>
      <c r="G2365" s="67"/>
      <c r="H2365" s="71"/>
      <c r="I2365" s="72"/>
      <c r="J2365" s="72"/>
      <c r="K2365" s="36"/>
      <c r="L2365" s="79"/>
      <c r="M2365" s="79"/>
      <c r="N2365" s="74"/>
      <c r="O2365" s="81" t="s">
        <v>696</v>
      </c>
      <c r="P2365" s="83">
        <v>44463.598182870373</v>
      </c>
      <c r="Q2365" s="81" t="s">
        <v>5654</v>
      </c>
      <c r="R2365" s="84" t="str">
        <f>HYPERLINK("https://auditoriacidada.org.br/")</f>
        <v>https://auditoriacidada.org.br/</v>
      </c>
      <c r="S2365" s="81" t="s">
        <v>5696</v>
      </c>
      <c r="T2365" s="81"/>
      <c r="U2365" s="81"/>
      <c r="V2365" s="84" t="str">
        <f>HYPERLINK("https://pbs.twimg.com/profile_images/1258569360236576770/7E9EYrtd_normal.jpg")</f>
        <v>https://pbs.twimg.com/profile_images/1258569360236576770/7E9EYrtd_normal.jpg</v>
      </c>
      <c r="W2365" s="83">
        <v>44463.598182870373</v>
      </c>
      <c r="X2365" s="89">
        <v>44463</v>
      </c>
      <c r="Y2365" s="86" t="s">
        <v>6655</v>
      </c>
      <c r="Z2365" s="84" t="str">
        <f>HYPERLINK("https://twitter.com/panchitoblanco1/status/1441407420660604930")</f>
        <v>https://twitter.com/panchitoblanco1/status/1441407420660604930</v>
      </c>
      <c r="AA2365" s="81"/>
      <c r="AB2365" s="81"/>
      <c r="AC2365" s="86" t="s">
        <v>7580</v>
      </c>
      <c r="AD2365" s="86" t="s">
        <v>7780</v>
      </c>
      <c r="AE2365" s="81" t="b">
        <v>0</v>
      </c>
      <c r="AF2365" s="81">
        <v>10</v>
      </c>
      <c r="AG2365" s="86" t="s">
        <v>7951</v>
      </c>
      <c r="AH2365" s="81" t="b">
        <v>0</v>
      </c>
      <c r="AI2365" s="81" t="s">
        <v>2171</v>
      </c>
      <c r="AJ2365" s="81"/>
      <c r="AK2365" s="86" t="s">
        <v>2084</v>
      </c>
      <c r="AL2365" s="81" t="b">
        <v>0</v>
      </c>
      <c r="AM2365" s="81">
        <v>4</v>
      </c>
      <c r="AN2365" s="86" t="s">
        <v>2084</v>
      </c>
      <c r="AO2365" s="86" t="s">
        <v>2178</v>
      </c>
      <c r="AP2365" s="81" t="b">
        <v>0</v>
      </c>
      <c r="AQ2365" s="86" t="s">
        <v>7780</v>
      </c>
      <c r="AR2365" s="81" t="s">
        <v>179</v>
      </c>
      <c r="AS2365" s="81">
        <v>0</v>
      </c>
      <c r="AT2365" s="81">
        <v>0</v>
      </c>
      <c r="AU2365" s="81"/>
      <c r="AV2365" s="81"/>
      <c r="AW2365" s="81"/>
      <c r="AX2365" s="81"/>
      <c r="AY2365" s="81"/>
      <c r="AZ2365" s="81"/>
      <c r="BA2365" s="81"/>
      <c r="BB2365" s="81"/>
    </row>
    <row r="2366" spans="1:54" x14ac:dyDescent="0.35">
      <c r="A2366" s="66" t="s">
        <v>4963</v>
      </c>
      <c r="B2366" s="66" t="s">
        <v>5269</v>
      </c>
      <c r="C2366" s="67"/>
      <c r="D2366" s="68"/>
      <c r="E2366" s="69"/>
      <c r="F2366" s="70"/>
      <c r="G2366" s="67"/>
      <c r="H2366" s="71"/>
      <c r="I2366" s="72"/>
      <c r="J2366" s="72"/>
      <c r="K2366" s="36"/>
      <c r="L2366" s="79"/>
      <c r="M2366" s="79"/>
      <c r="N2366" s="74"/>
      <c r="O2366" s="81" t="s">
        <v>696</v>
      </c>
      <c r="P2366" s="83">
        <v>44463.598182870373</v>
      </c>
      <c r="Q2366" s="81" t="s">
        <v>5654</v>
      </c>
      <c r="R2366" s="84" t="str">
        <f>HYPERLINK("https://auditoriacidada.org.br/")</f>
        <v>https://auditoriacidada.org.br/</v>
      </c>
      <c r="S2366" s="81" t="s">
        <v>5696</v>
      </c>
      <c r="T2366" s="81"/>
      <c r="U2366" s="81"/>
      <c r="V2366" s="84" t="str">
        <f>HYPERLINK("https://pbs.twimg.com/profile_images/1258569360236576770/7E9EYrtd_normal.jpg")</f>
        <v>https://pbs.twimg.com/profile_images/1258569360236576770/7E9EYrtd_normal.jpg</v>
      </c>
      <c r="W2366" s="83">
        <v>44463.598182870373</v>
      </c>
      <c r="X2366" s="89">
        <v>44463</v>
      </c>
      <c r="Y2366" s="86" t="s">
        <v>6655</v>
      </c>
      <c r="Z2366" s="84" t="str">
        <f>HYPERLINK("https://twitter.com/panchitoblanco1/status/1441407420660604930")</f>
        <v>https://twitter.com/panchitoblanco1/status/1441407420660604930</v>
      </c>
      <c r="AA2366" s="81"/>
      <c r="AB2366" s="81"/>
      <c r="AC2366" s="86" t="s">
        <v>7580</v>
      </c>
      <c r="AD2366" s="86" t="s">
        <v>7780</v>
      </c>
      <c r="AE2366" s="81" t="b">
        <v>0</v>
      </c>
      <c r="AF2366" s="81">
        <v>10</v>
      </c>
      <c r="AG2366" s="86" t="s">
        <v>7951</v>
      </c>
      <c r="AH2366" s="81" t="b">
        <v>0</v>
      </c>
      <c r="AI2366" s="81" t="s">
        <v>2171</v>
      </c>
      <c r="AJ2366" s="81"/>
      <c r="AK2366" s="86" t="s">
        <v>2084</v>
      </c>
      <c r="AL2366" s="81" t="b">
        <v>0</v>
      </c>
      <c r="AM2366" s="81">
        <v>4</v>
      </c>
      <c r="AN2366" s="86" t="s">
        <v>2084</v>
      </c>
      <c r="AO2366" s="86" t="s">
        <v>2178</v>
      </c>
      <c r="AP2366" s="81" t="b">
        <v>0</v>
      </c>
      <c r="AQ2366" s="86" t="s">
        <v>7780</v>
      </c>
      <c r="AR2366" s="81" t="s">
        <v>179</v>
      </c>
      <c r="AS2366" s="81">
        <v>0</v>
      </c>
      <c r="AT2366" s="81">
        <v>0</v>
      </c>
      <c r="AU2366" s="81"/>
      <c r="AV2366" s="81"/>
      <c r="AW2366" s="81"/>
      <c r="AX2366" s="81"/>
      <c r="AY2366" s="81"/>
      <c r="AZ2366" s="81"/>
      <c r="BA2366" s="81"/>
      <c r="BB2366" s="81"/>
    </row>
    <row r="2367" spans="1:54" x14ac:dyDescent="0.35">
      <c r="A2367" s="66" t="s">
        <v>4963</v>
      </c>
      <c r="B2367" s="66" t="s">
        <v>5270</v>
      </c>
      <c r="C2367" s="67"/>
      <c r="D2367" s="68"/>
      <c r="E2367" s="69"/>
      <c r="F2367" s="70"/>
      <c r="G2367" s="67"/>
      <c r="H2367" s="71"/>
      <c r="I2367" s="72"/>
      <c r="J2367" s="72"/>
      <c r="K2367" s="36"/>
      <c r="L2367" s="79"/>
      <c r="M2367" s="79"/>
      <c r="N2367" s="74"/>
      <c r="O2367" s="81" t="s">
        <v>695</v>
      </c>
      <c r="P2367" s="83">
        <v>44463.598182870373</v>
      </c>
      <c r="Q2367" s="81" t="s">
        <v>5654</v>
      </c>
      <c r="R2367" s="84" t="str">
        <f>HYPERLINK("https://auditoriacidada.org.br/")</f>
        <v>https://auditoriacidada.org.br/</v>
      </c>
      <c r="S2367" s="81" t="s">
        <v>5696</v>
      </c>
      <c r="T2367" s="81"/>
      <c r="U2367" s="81"/>
      <c r="V2367" s="84" t="str">
        <f>HYPERLINK("https://pbs.twimg.com/profile_images/1258569360236576770/7E9EYrtd_normal.jpg")</f>
        <v>https://pbs.twimg.com/profile_images/1258569360236576770/7E9EYrtd_normal.jpg</v>
      </c>
      <c r="W2367" s="83">
        <v>44463.598182870373</v>
      </c>
      <c r="X2367" s="89">
        <v>44463</v>
      </c>
      <c r="Y2367" s="86" t="s">
        <v>6655</v>
      </c>
      <c r="Z2367" s="84" t="str">
        <f>HYPERLINK("https://twitter.com/panchitoblanco1/status/1441407420660604930")</f>
        <v>https://twitter.com/panchitoblanco1/status/1441407420660604930</v>
      </c>
      <c r="AA2367" s="81"/>
      <c r="AB2367" s="81"/>
      <c r="AC2367" s="86" t="s">
        <v>7580</v>
      </c>
      <c r="AD2367" s="86" t="s">
        <v>7780</v>
      </c>
      <c r="AE2367" s="81" t="b">
        <v>0</v>
      </c>
      <c r="AF2367" s="81">
        <v>10</v>
      </c>
      <c r="AG2367" s="86" t="s">
        <v>7951</v>
      </c>
      <c r="AH2367" s="81" t="b">
        <v>0</v>
      </c>
      <c r="AI2367" s="81" t="s">
        <v>2171</v>
      </c>
      <c r="AJ2367" s="81"/>
      <c r="AK2367" s="86" t="s">
        <v>2084</v>
      </c>
      <c r="AL2367" s="81" t="b">
        <v>0</v>
      </c>
      <c r="AM2367" s="81">
        <v>4</v>
      </c>
      <c r="AN2367" s="86" t="s">
        <v>2084</v>
      </c>
      <c r="AO2367" s="86" t="s">
        <v>2178</v>
      </c>
      <c r="AP2367" s="81" t="b">
        <v>0</v>
      </c>
      <c r="AQ2367" s="86" t="s">
        <v>7780</v>
      </c>
      <c r="AR2367" s="81" t="s">
        <v>179</v>
      </c>
      <c r="AS2367" s="81">
        <v>0</v>
      </c>
      <c r="AT2367" s="81">
        <v>0</v>
      </c>
      <c r="AU2367" s="81"/>
      <c r="AV2367" s="81"/>
      <c r="AW2367" s="81"/>
      <c r="AX2367" s="81"/>
      <c r="AY2367" s="81"/>
      <c r="AZ2367" s="81"/>
      <c r="BA2367" s="81"/>
      <c r="BB2367" s="81"/>
    </row>
    <row r="2368" spans="1:54" x14ac:dyDescent="0.35">
      <c r="A2368" s="66" t="s">
        <v>4963</v>
      </c>
      <c r="B2368" s="66" t="s">
        <v>5032</v>
      </c>
      <c r="C2368" s="67"/>
      <c r="D2368" s="68"/>
      <c r="E2368" s="69"/>
      <c r="F2368" s="70"/>
      <c r="G2368" s="67"/>
      <c r="H2368" s="71"/>
      <c r="I2368" s="72"/>
      <c r="J2368" s="72"/>
      <c r="K2368" s="36"/>
      <c r="L2368" s="79"/>
      <c r="M2368" s="79"/>
      <c r="N2368" s="74"/>
      <c r="O2368" s="81" t="s">
        <v>695</v>
      </c>
      <c r="P2368" s="83">
        <v>44465.594930555555</v>
      </c>
      <c r="Q2368" s="81" t="s">
        <v>5655</v>
      </c>
      <c r="R2368" s="81"/>
      <c r="S2368" s="81"/>
      <c r="T2368" s="81"/>
      <c r="U2368" s="81"/>
      <c r="V2368" s="84" t="str">
        <f>HYPERLINK("https://pbs.twimg.com/profile_images/1258569360236576770/7E9EYrtd_normal.jpg")</f>
        <v>https://pbs.twimg.com/profile_images/1258569360236576770/7E9EYrtd_normal.jpg</v>
      </c>
      <c r="W2368" s="83">
        <v>44465.594930555555</v>
      </c>
      <c r="X2368" s="89">
        <v>44465</v>
      </c>
      <c r="Y2368" s="86" t="s">
        <v>6656</v>
      </c>
      <c r="Z2368" s="84" t="str">
        <f>HYPERLINK("https://twitter.com/panchitoblanco1/status/1442131015577841668")</f>
        <v>https://twitter.com/panchitoblanco1/status/1442131015577841668</v>
      </c>
      <c r="AA2368" s="81"/>
      <c r="AB2368" s="81"/>
      <c r="AC2368" s="86" t="s">
        <v>7581</v>
      </c>
      <c r="AD2368" s="86" t="s">
        <v>7781</v>
      </c>
      <c r="AE2368" s="81" t="b">
        <v>0</v>
      </c>
      <c r="AF2368" s="81">
        <v>0</v>
      </c>
      <c r="AG2368" s="86" t="s">
        <v>7952</v>
      </c>
      <c r="AH2368" s="81" t="b">
        <v>0</v>
      </c>
      <c r="AI2368" s="81" t="s">
        <v>2171</v>
      </c>
      <c r="AJ2368" s="81"/>
      <c r="AK2368" s="86" t="s">
        <v>2084</v>
      </c>
      <c r="AL2368" s="81" t="b">
        <v>0</v>
      </c>
      <c r="AM2368" s="81">
        <v>0</v>
      </c>
      <c r="AN2368" s="86" t="s">
        <v>2084</v>
      </c>
      <c r="AO2368" s="86" t="s">
        <v>2178</v>
      </c>
      <c r="AP2368" s="81" t="b">
        <v>0</v>
      </c>
      <c r="AQ2368" s="86" t="s">
        <v>7781</v>
      </c>
      <c r="AR2368" s="81" t="s">
        <v>179</v>
      </c>
      <c r="AS2368" s="81">
        <v>0</v>
      </c>
      <c r="AT2368" s="81">
        <v>0</v>
      </c>
      <c r="AU2368" s="81"/>
      <c r="AV2368" s="81"/>
      <c r="AW2368" s="81"/>
      <c r="AX2368" s="81"/>
      <c r="AY2368" s="81"/>
      <c r="AZ2368" s="81"/>
      <c r="BA2368" s="81"/>
      <c r="BB2368" s="81"/>
    </row>
    <row r="2369" spans="1:54" x14ac:dyDescent="0.35">
      <c r="A2369" s="66" t="s">
        <v>4963</v>
      </c>
      <c r="B2369" s="66" t="s">
        <v>5229</v>
      </c>
      <c r="C2369" s="67"/>
      <c r="D2369" s="68"/>
      <c r="E2369" s="69"/>
      <c r="F2369" s="70"/>
      <c r="G2369" s="67"/>
      <c r="H2369" s="71"/>
      <c r="I2369" s="72"/>
      <c r="J2369" s="72"/>
      <c r="K2369" s="36"/>
      <c r="L2369" s="79"/>
      <c r="M2369" s="79"/>
      <c r="N2369" s="74"/>
      <c r="O2369" s="81" t="s">
        <v>696</v>
      </c>
      <c r="P2369" s="83">
        <v>44463.598182870373</v>
      </c>
      <c r="Q2369" s="81" t="s">
        <v>5654</v>
      </c>
      <c r="R2369" s="84" t="str">
        <f>HYPERLINK("https://auditoriacidada.org.br/")</f>
        <v>https://auditoriacidada.org.br/</v>
      </c>
      <c r="S2369" s="81" t="s">
        <v>5696</v>
      </c>
      <c r="T2369" s="81"/>
      <c r="U2369" s="81"/>
      <c r="V2369" s="84" t="str">
        <f>HYPERLINK("https://pbs.twimg.com/profile_images/1258569360236576770/7E9EYrtd_normal.jpg")</f>
        <v>https://pbs.twimg.com/profile_images/1258569360236576770/7E9EYrtd_normal.jpg</v>
      </c>
      <c r="W2369" s="83">
        <v>44463.598182870373</v>
      </c>
      <c r="X2369" s="89">
        <v>44463</v>
      </c>
      <c r="Y2369" s="86" t="s">
        <v>6655</v>
      </c>
      <c r="Z2369" s="84" t="str">
        <f>HYPERLINK("https://twitter.com/panchitoblanco1/status/1441407420660604930")</f>
        <v>https://twitter.com/panchitoblanco1/status/1441407420660604930</v>
      </c>
      <c r="AA2369" s="81"/>
      <c r="AB2369" s="81"/>
      <c r="AC2369" s="86" t="s">
        <v>7580</v>
      </c>
      <c r="AD2369" s="86" t="s">
        <v>7780</v>
      </c>
      <c r="AE2369" s="81" t="b">
        <v>0</v>
      </c>
      <c r="AF2369" s="81">
        <v>10</v>
      </c>
      <c r="AG2369" s="86" t="s">
        <v>7951</v>
      </c>
      <c r="AH2369" s="81" t="b">
        <v>0</v>
      </c>
      <c r="AI2369" s="81" t="s">
        <v>2171</v>
      </c>
      <c r="AJ2369" s="81"/>
      <c r="AK2369" s="86" t="s">
        <v>2084</v>
      </c>
      <c r="AL2369" s="81" t="b">
        <v>0</v>
      </c>
      <c r="AM2369" s="81">
        <v>4</v>
      </c>
      <c r="AN2369" s="86" t="s">
        <v>2084</v>
      </c>
      <c r="AO2369" s="86" t="s">
        <v>2178</v>
      </c>
      <c r="AP2369" s="81" t="b">
        <v>0</v>
      </c>
      <c r="AQ2369" s="86" t="s">
        <v>7780</v>
      </c>
      <c r="AR2369" s="81" t="s">
        <v>179</v>
      </c>
      <c r="AS2369" s="81">
        <v>0</v>
      </c>
      <c r="AT2369" s="81">
        <v>0</v>
      </c>
      <c r="AU2369" s="81"/>
      <c r="AV2369" s="81"/>
      <c r="AW2369" s="81"/>
      <c r="AX2369" s="81"/>
      <c r="AY2369" s="81"/>
      <c r="AZ2369" s="81"/>
      <c r="BA2369" s="81"/>
      <c r="BB2369" s="81"/>
    </row>
    <row r="2370" spans="1:54" x14ac:dyDescent="0.35">
      <c r="A2370" s="66" t="s">
        <v>4963</v>
      </c>
      <c r="B2370" s="66" t="s">
        <v>5229</v>
      </c>
      <c r="C2370" s="67"/>
      <c r="D2370" s="68"/>
      <c r="E2370" s="69"/>
      <c r="F2370" s="70"/>
      <c r="G2370" s="67"/>
      <c r="H2370" s="71"/>
      <c r="I2370" s="72"/>
      <c r="J2370" s="72"/>
      <c r="K2370" s="36"/>
      <c r="L2370" s="79"/>
      <c r="M2370" s="79"/>
      <c r="N2370" s="74"/>
      <c r="O2370" s="81" t="s">
        <v>696</v>
      </c>
      <c r="P2370" s="83">
        <v>44466.679074074076</v>
      </c>
      <c r="Q2370" s="81" t="s">
        <v>5656</v>
      </c>
      <c r="R2370" s="84" t="str">
        <f>HYPERLINK("https://auditoriacidada.org.br/")</f>
        <v>https://auditoriacidada.org.br/</v>
      </c>
      <c r="S2370" s="81" t="s">
        <v>5696</v>
      </c>
      <c r="T2370" s="81"/>
      <c r="U2370" s="81"/>
      <c r="V2370" s="84" t="str">
        <f>HYPERLINK("https://pbs.twimg.com/profile_images/1258569360236576770/7E9EYrtd_normal.jpg")</f>
        <v>https://pbs.twimg.com/profile_images/1258569360236576770/7E9EYrtd_normal.jpg</v>
      </c>
      <c r="W2370" s="83">
        <v>44466.679074074076</v>
      </c>
      <c r="X2370" s="89">
        <v>44466</v>
      </c>
      <c r="Y2370" s="86" t="s">
        <v>6657</v>
      </c>
      <c r="Z2370" s="84" t="str">
        <f>HYPERLINK("https://twitter.com/panchitoblanco1/status/1442523895987245056")</f>
        <v>https://twitter.com/panchitoblanco1/status/1442523895987245056</v>
      </c>
      <c r="AA2370" s="81"/>
      <c r="AB2370" s="81"/>
      <c r="AC2370" s="86" t="s">
        <v>7582</v>
      </c>
      <c r="AD2370" s="86" t="s">
        <v>7782</v>
      </c>
      <c r="AE2370" s="81" t="b">
        <v>0</v>
      </c>
      <c r="AF2370" s="81">
        <v>0</v>
      </c>
      <c r="AG2370" s="86" t="s">
        <v>7953</v>
      </c>
      <c r="AH2370" s="81" t="b">
        <v>0</v>
      </c>
      <c r="AI2370" s="81" t="s">
        <v>2171</v>
      </c>
      <c r="AJ2370" s="81"/>
      <c r="AK2370" s="86" t="s">
        <v>2084</v>
      </c>
      <c r="AL2370" s="81" t="b">
        <v>0</v>
      </c>
      <c r="AM2370" s="81">
        <v>0</v>
      </c>
      <c r="AN2370" s="86" t="s">
        <v>2084</v>
      </c>
      <c r="AO2370" s="86" t="s">
        <v>2178</v>
      </c>
      <c r="AP2370" s="81" t="b">
        <v>0</v>
      </c>
      <c r="AQ2370" s="86" t="s">
        <v>7782</v>
      </c>
      <c r="AR2370" s="81" t="s">
        <v>179</v>
      </c>
      <c r="AS2370" s="81">
        <v>0</v>
      </c>
      <c r="AT2370" s="81">
        <v>0</v>
      </c>
      <c r="AU2370" s="81"/>
      <c r="AV2370" s="81"/>
      <c r="AW2370" s="81"/>
      <c r="AX2370" s="81"/>
      <c r="AY2370" s="81"/>
      <c r="AZ2370" s="81"/>
      <c r="BA2370" s="81"/>
      <c r="BB2370" s="81"/>
    </row>
    <row r="2371" spans="1:54" x14ac:dyDescent="0.35">
      <c r="A2371" s="66" t="s">
        <v>4963</v>
      </c>
      <c r="B2371" s="66" t="s">
        <v>4979</v>
      </c>
      <c r="C2371" s="67"/>
      <c r="D2371" s="68"/>
      <c r="E2371" s="69"/>
      <c r="F2371" s="70"/>
      <c r="G2371" s="67"/>
      <c r="H2371" s="71"/>
      <c r="I2371" s="72"/>
      <c r="J2371" s="72"/>
      <c r="K2371" s="36"/>
      <c r="L2371" s="79"/>
      <c r="M2371" s="79"/>
      <c r="N2371" s="74"/>
      <c r="O2371" s="81" t="s">
        <v>695</v>
      </c>
      <c r="P2371" s="83">
        <v>44459.954282407409</v>
      </c>
      <c r="Q2371" s="81" t="s">
        <v>5304</v>
      </c>
      <c r="R2371" s="81"/>
      <c r="S2371" s="81"/>
      <c r="T2371" s="81"/>
      <c r="U2371" s="81"/>
      <c r="V2371" s="84" t="str">
        <f>HYPERLINK("https://pbs.twimg.com/profile_images/1258569360236576770/7E9EYrtd_normal.jpg")</f>
        <v>https://pbs.twimg.com/profile_images/1258569360236576770/7E9EYrtd_normal.jpg</v>
      </c>
      <c r="W2371" s="83">
        <v>44459.954282407409</v>
      </c>
      <c r="X2371" s="89">
        <v>44459</v>
      </c>
      <c r="Y2371" s="86" t="s">
        <v>6658</v>
      </c>
      <c r="Z2371" s="84" t="str">
        <f>HYPERLINK("https://twitter.com/panchitoblanco1/status/1440086913210216458")</f>
        <v>https://twitter.com/panchitoblanco1/status/1440086913210216458</v>
      </c>
      <c r="AA2371" s="81"/>
      <c r="AB2371" s="81"/>
      <c r="AC2371" s="86" t="s">
        <v>7583</v>
      </c>
      <c r="AD2371" s="86" t="s">
        <v>7783</v>
      </c>
      <c r="AE2371" s="81" t="b">
        <v>0</v>
      </c>
      <c r="AF2371" s="81">
        <v>5</v>
      </c>
      <c r="AG2371" s="86" t="s">
        <v>7953</v>
      </c>
      <c r="AH2371" s="81" t="b">
        <v>0</v>
      </c>
      <c r="AI2371" s="81" t="s">
        <v>2171</v>
      </c>
      <c r="AJ2371" s="81"/>
      <c r="AK2371" s="86" t="s">
        <v>2084</v>
      </c>
      <c r="AL2371" s="81" t="b">
        <v>0</v>
      </c>
      <c r="AM2371" s="81">
        <v>2</v>
      </c>
      <c r="AN2371" s="86" t="s">
        <v>2084</v>
      </c>
      <c r="AO2371" s="86" t="s">
        <v>2178</v>
      </c>
      <c r="AP2371" s="81" t="b">
        <v>0</v>
      </c>
      <c r="AQ2371" s="86" t="s">
        <v>7783</v>
      </c>
      <c r="AR2371" s="81" t="s">
        <v>179</v>
      </c>
      <c r="AS2371" s="81">
        <v>0</v>
      </c>
      <c r="AT2371" s="81">
        <v>0</v>
      </c>
      <c r="AU2371" s="81"/>
      <c r="AV2371" s="81"/>
      <c r="AW2371" s="81"/>
      <c r="AX2371" s="81"/>
      <c r="AY2371" s="81"/>
      <c r="AZ2371" s="81"/>
      <c r="BA2371" s="81"/>
      <c r="BB2371" s="81"/>
    </row>
    <row r="2372" spans="1:54" x14ac:dyDescent="0.35">
      <c r="A2372" s="66" t="s">
        <v>4963</v>
      </c>
      <c r="B2372" s="66" t="s">
        <v>4979</v>
      </c>
      <c r="C2372" s="67"/>
      <c r="D2372" s="68"/>
      <c r="E2372" s="69"/>
      <c r="F2372" s="70"/>
      <c r="G2372" s="67"/>
      <c r="H2372" s="71"/>
      <c r="I2372" s="72"/>
      <c r="J2372" s="72"/>
      <c r="K2372" s="36"/>
      <c r="L2372" s="79"/>
      <c r="M2372" s="79"/>
      <c r="N2372" s="74"/>
      <c r="O2372" s="81" t="s">
        <v>695</v>
      </c>
      <c r="P2372" s="83">
        <v>44466.661863425928</v>
      </c>
      <c r="Q2372" s="81" t="s">
        <v>5657</v>
      </c>
      <c r="R2372" s="81"/>
      <c r="S2372" s="81"/>
      <c r="T2372" s="81"/>
      <c r="U2372" s="81"/>
      <c r="V2372" s="84" t="str">
        <f>HYPERLINK("https://pbs.twimg.com/profile_images/1258569360236576770/7E9EYrtd_normal.jpg")</f>
        <v>https://pbs.twimg.com/profile_images/1258569360236576770/7E9EYrtd_normal.jpg</v>
      </c>
      <c r="W2372" s="83">
        <v>44466.661863425928</v>
      </c>
      <c r="X2372" s="89">
        <v>44466</v>
      </c>
      <c r="Y2372" s="86" t="s">
        <v>6659</v>
      </c>
      <c r="Z2372" s="84" t="str">
        <f>HYPERLINK("https://twitter.com/panchitoblanco1/status/1442517661183795205")</f>
        <v>https://twitter.com/panchitoblanco1/status/1442517661183795205</v>
      </c>
      <c r="AA2372" s="81"/>
      <c r="AB2372" s="81"/>
      <c r="AC2372" s="86" t="s">
        <v>7584</v>
      </c>
      <c r="AD2372" s="86" t="s">
        <v>7784</v>
      </c>
      <c r="AE2372" s="81" t="b">
        <v>0</v>
      </c>
      <c r="AF2372" s="81">
        <v>3</v>
      </c>
      <c r="AG2372" s="86" t="s">
        <v>7953</v>
      </c>
      <c r="AH2372" s="81" t="b">
        <v>0</v>
      </c>
      <c r="AI2372" s="81" t="s">
        <v>2171</v>
      </c>
      <c r="AJ2372" s="81"/>
      <c r="AK2372" s="86" t="s">
        <v>2084</v>
      </c>
      <c r="AL2372" s="81" t="b">
        <v>0</v>
      </c>
      <c r="AM2372" s="81">
        <v>1</v>
      </c>
      <c r="AN2372" s="86" t="s">
        <v>2084</v>
      </c>
      <c r="AO2372" s="86" t="s">
        <v>2178</v>
      </c>
      <c r="AP2372" s="81" t="b">
        <v>0</v>
      </c>
      <c r="AQ2372" s="86" t="s">
        <v>7784</v>
      </c>
      <c r="AR2372" s="81" t="s">
        <v>179</v>
      </c>
      <c r="AS2372" s="81">
        <v>0</v>
      </c>
      <c r="AT2372" s="81">
        <v>0</v>
      </c>
      <c r="AU2372" s="81"/>
      <c r="AV2372" s="81"/>
      <c r="AW2372" s="81"/>
      <c r="AX2372" s="81"/>
      <c r="AY2372" s="81"/>
      <c r="AZ2372" s="81"/>
      <c r="BA2372" s="81"/>
      <c r="BB2372" s="81"/>
    </row>
    <row r="2373" spans="1:54" x14ac:dyDescent="0.35">
      <c r="A2373" s="66" t="s">
        <v>4963</v>
      </c>
      <c r="B2373" s="66" t="s">
        <v>4979</v>
      </c>
      <c r="C2373" s="67"/>
      <c r="D2373" s="68"/>
      <c r="E2373" s="69"/>
      <c r="F2373" s="70"/>
      <c r="G2373" s="67"/>
      <c r="H2373" s="71"/>
      <c r="I2373" s="72"/>
      <c r="J2373" s="72"/>
      <c r="K2373" s="36"/>
      <c r="L2373" s="79"/>
      <c r="M2373" s="79"/>
      <c r="N2373" s="74"/>
      <c r="O2373" s="81" t="s">
        <v>695</v>
      </c>
      <c r="P2373" s="83">
        <v>44466.670115740744</v>
      </c>
      <c r="Q2373" s="81" t="s">
        <v>5657</v>
      </c>
      <c r="R2373" s="81"/>
      <c r="S2373" s="81"/>
      <c r="T2373" s="81"/>
      <c r="U2373" s="81"/>
      <c r="V2373" s="84" t="str">
        <f>HYPERLINK("https://pbs.twimg.com/profile_images/1258569360236576770/7E9EYrtd_normal.jpg")</f>
        <v>https://pbs.twimg.com/profile_images/1258569360236576770/7E9EYrtd_normal.jpg</v>
      </c>
      <c r="W2373" s="83">
        <v>44466.670115740744</v>
      </c>
      <c r="X2373" s="89">
        <v>44466</v>
      </c>
      <c r="Y2373" s="86" t="s">
        <v>1013</v>
      </c>
      <c r="Z2373" s="84" t="str">
        <f>HYPERLINK("https://twitter.com/panchitoblanco1/status/1442520649554173954")</f>
        <v>https://twitter.com/panchitoblanco1/status/1442520649554173954</v>
      </c>
      <c r="AA2373" s="81"/>
      <c r="AB2373" s="81"/>
      <c r="AC2373" s="86" t="s">
        <v>7585</v>
      </c>
      <c r="AD2373" s="81"/>
      <c r="AE2373" s="81" t="b">
        <v>0</v>
      </c>
      <c r="AF2373" s="81">
        <v>0</v>
      </c>
      <c r="AG2373" s="86" t="s">
        <v>2084</v>
      </c>
      <c r="AH2373" s="81" t="b">
        <v>0</v>
      </c>
      <c r="AI2373" s="81" t="s">
        <v>2171</v>
      </c>
      <c r="AJ2373" s="81"/>
      <c r="AK2373" s="86" t="s">
        <v>2084</v>
      </c>
      <c r="AL2373" s="81" t="b">
        <v>0</v>
      </c>
      <c r="AM2373" s="81">
        <v>1</v>
      </c>
      <c r="AN2373" s="86" t="s">
        <v>7584</v>
      </c>
      <c r="AO2373" s="86" t="s">
        <v>2178</v>
      </c>
      <c r="AP2373" s="81" t="b">
        <v>0</v>
      </c>
      <c r="AQ2373" s="86" t="s">
        <v>7584</v>
      </c>
      <c r="AR2373" s="81" t="s">
        <v>179</v>
      </c>
      <c r="AS2373" s="81">
        <v>0</v>
      </c>
      <c r="AT2373" s="81">
        <v>0</v>
      </c>
      <c r="AU2373" s="81"/>
      <c r="AV2373" s="81"/>
      <c r="AW2373" s="81"/>
      <c r="AX2373" s="81"/>
      <c r="AY2373" s="81"/>
      <c r="AZ2373" s="81"/>
      <c r="BA2373" s="81"/>
      <c r="BB2373" s="81"/>
    </row>
    <row r="2374" spans="1:54" x14ac:dyDescent="0.35">
      <c r="A2374" s="66" t="s">
        <v>4963</v>
      </c>
      <c r="B2374" s="66" t="s">
        <v>4979</v>
      </c>
      <c r="C2374" s="67"/>
      <c r="D2374" s="68"/>
      <c r="E2374" s="69"/>
      <c r="F2374" s="70"/>
      <c r="G2374" s="67"/>
      <c r="H2374" s="71"/>
      <c r="I2374" s="72"/>
      <c r="J2374" s="72"/>
      <c r="K2374" s="36"/>
      <c r="L2374" s="79"/>
      <c r="M2374" s="79"/>
      <c r="N2374" s="74"/>
      <c r="O2374" s="81" t="s">
        <v>695</v>
      </c>
      <c r="P2374" s="83">
        <v>44466.679074074076</v>
      </c>
      <c r="Q2374" s="81" t="s">
        <v>5656</v>
      </c>
      <c r="R2374" s="84" t="str">
        <f>HYPERLINK("https://auditoriacidada.org.br/")</f>
        <v>https://auditoriacidada.org.br/</v>
      </c>
      <c r="S2374" s="81" t="s">
        <v>5696</v>
      </c>
      <c r="T2374" s="81"/>
      <c r="U2374" s="81"/>
      <c r="V2374" s="84" t="str">
        <f>HYPERLINK("https://pbs.twimg.com/profile_images/1258569360236576770/7E9EYrtd_normal.jpg")</f>
        <v>https://pbs.twimg.com/profile_images/1258569360236576770/7E9EYrtd_normal.jpg</v>
      </c>
      <c r="W2374" s="83">
        <v>44466.679074074076</v>
      </c>
      <c r="X2374" s="89">
        <v>44466</v>
      </c>
      <c r="Y2374" s="86" t="s">
        <v>6657</v>
      </c>
      <c r="Z2374" s="84" t="str">
        <f>HYPERLINK("https://twitter.com/panchitoblanco1/status/1442523895987245056")</f>
        <v>https://twitter.com/panchitoblanco1/status/1442523895987245056</v>
      </c>
      <c r="AA2374" s="81"/>
      <c r="AB2374" s="81"/>
      <c r="AC2374" s="86" t="s">
        <v>7582</v>
      </c>
      <c r="AD2374" s="86" t="s">
        <v>7782</v>
      </c>
      <c r="AE2374" s="81" t="b">
        <v>0</v>
      </c>
      <c r="AF2374" s="81">
        <v>0</v>
      </c>
      <c r="AG2374" s="86" t="s">
        <v>7953</v>
      </c>
      <c r="AH2374" s="81" t="b">
        <v>0</v>
      </c>
      <c r="AI2374" s="81" t="s">
        <v>2171</v>
      </c>
      <c r="AJ2374" s="81"/>
      <c r="AK2374" s="86" t="s">
        <v>2084</v>
      </c>
      <c r="AL2374" s="81" t="b">
        <v>0</v>
      </c>
      <c r="AM2374" s="81">
        <v>0</v>
      </c>
      <c r="AN2374" s="86" t="s">
        <v>2084</v>
      </c>
      <c r="AO2374" s="86" t="s">
        <v>2178</v>
      </c>
      <c r="AP2374" s="81" t="b">
        <v>0</v>
      </c>
      <c r="AQ2374" s="86" t="s">
        <v>7782</v>
      </c>
      <c r="AR2374" s="81" t="s">
        <v>179</v>
      </c>
      <c r="AS2374" s="81">
        <v>0</v>
      </c>
      <c r="AT2374" s="81">
        <v>0</v>
      </c>
      <c r="AU2374" s="81"/>
      <c r="AV2374" s="81"/>
      <c r="AW2374" s="81"/>
      <c r="AX2374" s="81"/>
      <c r="AY2374" s="81"/>
      <c r="AZ2374" s="81"/>
      <c r="BA2374" s="81"/>
      <c r="BB2374" s="81"/>
    </row>
    <row r="2375" spans="1:54" x14ac:dyDescent="0.35">
      <c r="A2375" s="66" t="s">
        <v>4963</v>
      </c>
      <c r="B2375" s="66" t="s">
        <v>5171</v>
      </c>
      <c r="C2375" s="67"/>
      <c r="D2375" s="68"/>
      <c r="E2375" s="69"/>
      <c r="F2375" s="70"/>
      <c r="G2375" s="67"/>
      <c r="H2375" s="71"/>
      <c r="I2375" s="72"/>
      <c r="J2375" s="72"/>
      <c r="K2375" s="36"/>
      <c r="L2375" s="79"/>
      <c r="M2375" s="79"/>
      <c r="N2375" s="74"/>
      <c r="O2375" s="81" t="s">
        <v>695</v>
      </c>
      <c r="P2375" s="83">
        <v>44466.930590277778</v>
      </c>
      <c r="Q2375" s="81" t="s">
        <v>5577</v>
      </c>
      <c r="R2375" s="81"/>
      <c r="S2375" s="81"/>
      <c r="T2375" s="81"/>
      <c r="U2375" s="81"/>
      <c r="V2375" s="84" t="str">
        <f>HYPERLINK("https://pbs.twimg.com/profile_images/1258569360236576770/7E9EYrtd_normal.jpg")</f>
        <v>https://pbs.twimg.com/profile_images/1258569360236576770/7E9EYrtd_normal.jpg</v>
      </c>
      <c r="W2375" s="83">
        <v>44466.930590277778</v>
      </c>
      <c r="X2375" s="89">
        <v>44466</v>
      </c>
      <c r="Y2375" s="86" t="s">
        <v>6663</v>
      </c>
      <c r="Z2375" s="84" t="str">
        <f>HYPERLINK("https://twitter.com/panchitoblanco1/status/1442615043712032768")</f>
        <v>https://twitter.com/panchitoblanco1/status/1442615043712032768</v>
      </c>
      <c r="AA2375" s="81"/>
      <c r="AB2375" s="81"/>
      <c r="AC2375" s="86" t="s">
        <v>7589</v>
      </c>
      <c r="AD2375" s="86" t="s">
        <v>7788</v>
      </c>
      <c r="AE2375" s="81" t="b">
        <v>0</v>
      </c>
      <c r="AF2375" s="81">
        <v>8</v>
      </c>
      <c r="AG2375" s="86" t="s">
        <v>7957</v>
      </c>
      <c r="AH2375" s="81" t="b">
        <v>0</v>
      </c>
      <c r="AI2375" s="81" t="s">
        <v>2171</v>
      </c>
      <c r="AJ2375" s="81"/>
      <c r="AK2375" s="86" t="s">
        <v>2084</v>
      </c>
      <c r="AL2375" s="81" t="b">
        <v>0</v>
      </c>
      <c r="AM2375" s="81">
        <v>3</v>
      </c>
      <c r="AN2375" s="86" t="s">
        <v>2084</v>
      </c>
      <c r="AO2375" s="86" t="s">
        <v>2178</v>
      </c>
      <c r="AP2375" s="81" t="b">
        <v>0</v>
      </c>
      <c r="AQ2375" s="86" t="s">
        <v>7788</v>
      </c>
      <c r="AR2375" s="81" t="s">
        <v>179</v>
      </c>
      <c r="AS2375" s="81">
        <v>0</v>
      </c>
      <c r="AT2375" s="81">
        <v>0</v>
      </c>
      <c r="AU2375" s="81"/>
      <c r="AV2375" s="81"/>
      <c r="AW2375" s="81"/>
      <c r="AX2375" s="81"/>
      <c r="AY2375" s="81"/>
      <c r="AZ2375" s="81"/>
      <c r="BA2375" s="81"/>
      <c r="BB2375" s="81"/>
    </row>
    <row r="2376" spans="1:54" x14ac:dyDescent="0.35">
      <c r="A2376" s="66" t="s">
        <v>4963</v>
      </c>
      <c r="B2376" s="66" t="s">
        <v>5271</v>
      </c>
      <c r="C2376" s="67"/>
      <c r="D2376" s="68"/>
      <c r="E2376" s="69"/>
      <c r="F2376" s="70"/>
      <c r="G2376" s="67"/>
      <c r="H2376" s="71"/>
      <c r="I2376" s="72"/>
      <c r="J2376" s="72"/>
      <c r="K2376" s="36"/>
      <c r="L2376" s="79"/>
      <c r="M2376" s="79"/>
      <c r="N2376" s="74"/>
      <c r="O2376" s="81" t="s">
        <v>695</v>
      </c>
      <c r="P2376" s="83">
        <v>44468.119756944441</v>
      </c>
      <c r="Q2376" s="81" t="s">
        <v>5661</v>
      </c>
      <c r="R2376" s="81"/>
      <c r="S2376" s="81"/>
      <c r="T2376" s="81"/>
      <c r="U2376" s="81"/>
      <c r="V2376" s="84" t="str">
        <f>HYPERLINK("https://pbs.twimg.com/profile_images/1258569360236576770/7E9EYrtd_normal.jpg")</f>
        <v>https://pbs.twimg.com/profile_images/1258569360236576770/7E9EYrtd_normal.jpg</v>
      </c>
      <c r="W2376" s="83">
        <v>44468.119756944441</v>
      </c>
      <c r="X2376" s="89">
        <v>44468</v>
      </c>
      <c r="Y2376" s="86" t="s">
        <v>6664</v>
      </c>
      <c r="Z2376" s="84" t="str">
        <f>HYPERLINK("https://twitter.com/panchitoblanco1/status/1443045982443343875")</f>
        <v>https://twitter.com/panchitoblanco1/status/1443045982443343875</v>
      </c>
      <c r="AA2376" s="81"/>
      <c r="AB2376" s="81"/>
      <c r="AC2376" s="86" t="s">
        <v>7590</v>
      </c>
      <c r="AD2376" s="86" t="s">
        <v>7789</v>
      </c>
      <c r="AE2376" s="81" t="b">
        <v>0</v>
      </c>
      <c r="AF2376" s="81">
        <v>3</v>
      </c>
      <c r="AG2376" s="86" t="s">
        <v>7958</v>
      </c>
      <c r="AH2376" s="81" t="b">
        <v>0</v>
      </c>
      <c r="AI2376" s="81" t="s">
        <v>2171</v>
      </c>
      <c r="AJ2376" s="81"/>
      <c r="AK2376" s="86" t="s">
        <v>2084</v>
      </c>
      <c r="AL2376" s="81" t="b">
        <v>0</v>
      </c>
      <c r="AM2376" s="81">
        <v>0</v>
      </c>
      <c r="AN2376" s="86" t="s">
        <v>2084</v>
      </c>
      <c r="AO2376" s="86" t="s">
        <v>2178</v>
      </c>
      <c r="AP2376" s="81" t="b">
        <v>0</v>
      </c>
      <c r="AQ2376" s="86" t="s">
        <v>7789</v>
      </c>
      <c r="AR2376" s="81" t="s">
        <v>179</v>
      </c>
      <c r="AS2376" s="81">
        <v>0</v>
      </c>
      <c r="AT2376" s="81">
        <v>0</v>
      </c>
      <c r="AU2376" s="81"/>
      <c r="AV2376" s="81"/>
      <c r="AW2376" s="81"/>
      <c r="AX2376" s="81"/>
      <c r="AY2376" s="81"/>
      <c r="AZ2376" s="81"/>
      <c r="BA2376" s="81"/>
      <c r="BB2376" s="81"/>
    </row>
    <row r="2377" spans="1:54" x14ac:dyDescent="0.35">
      <c r="A2377" s="66" t="s">
        <v>4963</v>
      </c>
      <c r="B2377" s="66" t="s">
        <v>5117</v>
      </c>
      <c r="C2377" s="67"/>
      <c r="D2377" s="68"/>
      <c r="E2377" s="69"/>
      <c r="F2377" s="70"/>
      <c r="G2377" s="67"/>
      <c r="H2377" s="71"/>
      <c r="I2377" s="72"/>
      <c r="J2377" s="72"/>
      <c r="K2377" s="36"/>
      <c r="L2377" s="79"/>
      <c r="M2377" s="79"/>
      <c r="N2377" s="74"/>
      <c r="O2377" s="81" t="s">
        <v>695</v>
      </c>
      <c r="P2377" s="83">
        <v>44466.730902777781</v>
      </c>
      <c r="Q2377" s="81" t="s">
        <v>5659</v>
      </c>
      <c r="R2377" s="81"/>
      <c r="S2377" s="81"/>
      <c r="T2377" s="81"/>
      <c r="U2377" s="81"/>
      <c r="V2377" s="84" t="str">
        <f>HYPERLINK("https://pbs.twimg.com/profile_images/1258569360236576770/7E9EYrtd_normal.jpg")</f>
        <v>https://pbs.twimg.com/profile_images/1258569360236576770/7E9EYrtd_normal.jpg</v>
      </c>
      <c r="W2377" s="83">
        <v>44466.730902777781</v>
      </c>
      <c r="X2377" s="89">
        <v>44466</v>
      </c>
      <c r="Y2377" s="86" t="s">
        <v>6661</v>
      </c>
      <c r="Z2377" s="84" t="str">
        <f>HYPERLINK("https://twitter.com/panchitoblanco1/status/1442542678332301313")</f>
        <v>https://twitter.com/panchitoblanco1/status/1442542678332301313</v>
      </c>
      <c r="AA2377" s="81"/>
      <c r="AB2377" s="81"/>
      <c r="AC2377" s="86" t="s">
        <v>7587</v>
      </c>
      <c r="AD2377" s="86" t="s">
        <v>7786</v>
      </c>
      <c r="AE2377" s="81" t="b">
        <v>0</v>
      </c>
      <c r="AF2377" s="81">
        <v>0</v>
      </c>
      <c r="AG2377" s="86" t="s">
        <v>7955</v>
      </c>
      <c r="AH2377" s="81" t="b">
        <v>0</v>
      </c>
      <c r="AI2377" s="81" t="s">
        <v>2171</v>
      </c>
      <c r="AJ2377" s="81"/>
      <c r="AK2377" s="86" t="s">
        <v>2084</v>
      </c>
      <c r="AL2377" s="81" t="b">
        <v>0</v>
      </c>
      <c r="AM2377" s="81">
        <v>0</v>
      </c>
      <c r="AN2377" s="86" t="s">
        <v>2084</v>
      </c>
      <c r="AO2377" s="86" t="s">
        <v>2178</v>
      </c>
      <c r="AP2377" s="81" t="b">
        <v>0</v>
      </c>
      <c r="AQ2377" s="86" t="s">
        <v>7786</v>
      </c>
      <c r="AR2377" s="81" t="s">
        <v>179</v>
      </c>
      <c r="AS2377" s="81">
        <v>0</v>
      </c>
      <c r="AT2377" s="81">
        <v>0</v>
      </c>
      <c r="AU2377" s="81"/>
      <c r="AV2377" s="81"/>
      <c r="AW2377" s="81"/>
      <c r="AX2377" s="81"/>
      <c r="AY2377" s="81"/>
      <c r="AZ2377" s="81"/>
      <c r="BA2377" s="81"/>
      <c r="BB2377" s="81"/>
    </row>
    <row r="2378" spans="1:54" x14ac:dyDescent="0.35">
      <c r="A2378" s="66" t="s">
        <v>4963</v>
      </c>
      <c r="B2378" s="66" t="s">
        <v>5117</v>
      </c>
      <c r="C2378" s="67"/>
      <c r="D2378" s="68"/>
      <c r="E2378" s="69"/>
      <c r="F2378" s="70"/>
      <c r="G2378" s="67"/>
      <c r="H2378" s="71"/>
      <c r="I2378" s="72"/>
      <c r="J2378" s="72"/>
      <c r="K2378" s="36"/>
      <c r="L2378" s="79"/>
      <c r="M2378" s="79"/>
      <c r="N2378" s="74"/>
      <c r="O2378" s="81" t="s">
        <v>695</v>
      </c>
      <c r="P2378" s="83">
        <v>44468.596712962964</v>
      </c>
      <c r="Q2378" s="81" t="s">
        <v>12803</v>
      </c>
      <c r="R2378" s="81"/>
      <c r="S2378" s="81"/>
      <c r="T2378" s="81"/>
      <c r="U2378" s="81"/>
      <c r="V2378" s="84" t="str">
        <f>HYPERLINK("https://pbs.twimg.com/profile_images/1258569360236576770/7E9EYrtd_normal.jpg")</f>
        <v>https://pbs.twimg.com/profile_images/1258569360236576770/7E9EYrtd_normal.jpg</v>
      </c>
      <c r="W2378" s="83">
        <v>44468.596712962964</v>
      </c>
      <c r="X2378" s="89">
        <v>44468</v>
      </c>
      <c r="Y2378" s="86" t="s">
        <v>12992</v>
      </c>
      <c r="Z2378" s="84" t="str">
        <f>HYPERLINK("https://twitter.com/panchitoblanco1/status/1443218826871640064")</f>
        <v>https://twitter.com/panchitoblanco1/status/1443218826871640064</v>
      </c>
      <c r="AA2378" s="81"/>
      <c r="AB2378" s="81"/>
      <c r="AC2378" s="86" t="s">
        <v>13229</v>
      </c>
      <c r="AD2378" s="86" t="s">
        <v>13382</v>
      </c>
      <c r="AE2378" s="81" t="b">
        <v>0</v>
      </c>
      <c r="AF2378" s="81">
        <v>7</v>
      </c>
      <c r="AG2378" s="86" t="s">
        <v>7955</v>
      </c>
      <c r="AH2378" s="81" t="b">
        <v>0</v>
      </c>
      <c r="AI2378" s="81" t="s">
        <v>2171</v>
      </c>
      <c r="AJ2378" s="81"/>
      <c r="AK2378" s="86" t="s">
        <v>2084</v>
      </c>
      <c r="AL2378" s="81" t="b">
        <v>0</v>
      </c>
      <c r="AM2378" s="81">
        <v>0</v>
      </c>
      <c r="AN2378" s="86" t="s">
        <v>2084</v>
      </c>
      <c r="AO2378" s="86" t="s">
        <v>2178</v>
      </c>
      <c r="AP2378" s="81" t="b">
        <v>0</v>
      </c>
      <c r="AQ2378" s="86" t="s">
        <v>13382</v>
      </c>
      <c r="AR2378" s="81" t="s">
        <v>179</v>
      </c>
      <c r="AS2378" s="81">
        <v>0</v>
      </c>
      <c r="AT2378" s="81">
        <v>0</v>
      </c>
      <c r="AU2378" s="81"/>
      <c r="AV2378" s="81"/>
      <c r="AW2378" s="81"/>
      <c r="AX2378" s="81"/>
      <c r="AY2378" s="81"/>
      <c r="AZ2378" s="81"/>
      <c r="BA2378" s="81"/>
      <c r="BB2378" s="81"/>
    </row>
    <row r="2379" spans="1:54" x14ac:dyDescent="0.35">
      <c r="A2379" s="66" t="s">
        <v>4963</v>
      </c>
      <c r="B2379" s="66" t="s">
        <v>5028</v>
      </c>
      <c r="C2379" s="67"/>
      <c r="D2379" s="68"/>
      <c r="E2379" s="69"/>
      <c r="F2379" s="70"/>
      <c r="G2379" s="67"/>
      <c r="H2379" s="71"/>
      <c r="I2379" s="72"/>
      <c r="J2379" s="72"/>
      <c r="K2379" s="36"/>
      <c r="L2379" s="79"/>
      <c r="M2379" s="79"/>
      <c r="N2379" s="74"/>
      <c r="O2379" s="81" t="s">
        <v>695</v>
      </c>
      <c r="P2379" s="83">
        <v>44466.695879629631</v>
      </c>
      <c r="Q2379" s="81" t="s">
        <v>5658</v>
      </c>
      <c r="R2379" s="81"/>
      <c r="S2379" s="81"/>
      <c r="T2379" s="81"/>
      <c r="U2379" s="81"/>
      <c r="V2379" s="84" t="str">
        <f>HYPERLINK("https://pbs.twimg.com/profile_images/1258569360236576770/7E9EYrtd_normal.jpg")</f>
        <v>https://pbs.twimg.com/profile_images/1258569360236576770/7E9EYrtd_normal.jpg</v>
      </c>
      <c r="W2379" s="83">
        <v>44466.695879629631</v>
      </c>
      <c r="X2379" s="89">
        <v>44466</v>
      </c>
      <c r="Y2379" s="86" t="s">
        <v>6660</v>
      </c>
      <c r="Z2379" s="84" t="str">
        <f>HYPERLINK("https://twitter.com/panchitoblanco1/status/1442529988259966986")</f>
        <v>https://twitter.com/panchitoblanco1/status/1442529988259966986</v>
      </c>
      <c r="AA2379" s="81"/>
      <c r="AB2379" s="81"/>
      <c r="AC2379" s="86" t="s">
        <v>7586</v>
      </c>
      <c r="AD2379" s="86" t="s">
        <v>7785</v>
      </c>
      <c r="AE2379" s="81" t="b">
        <v>0</v>
      </c>
      <c r="AF2379" s="81">
        <v>0</v>
      </c>
      <c r="AG2379" s="86" t="s">
        <v>7954</v>
      </c>
      <c r="AH2379" s="81" t="b">
        <v>0</v>
      </c>
      <c r="AI2379" s="81" t="s">
        <v>2171</v>
      </c>
      <c r="AJ2379" s="81"/>
      <c r="AK2379" s="86" t="s">
        <v>2084</v>
      </c>
      <c r="AL2379" s="81" t="b">
        <v>0</v>
      </c>
      <c r="AM2379" s="81">
        <v>0</v>
      </c>
      <c r="AN2379" s="86" t="s">
        <v>2084</v>
      </c>
      <c r="AO2379" s="86" t="s">
        <v>2178</v>
      </c>
      <c r="AP2379" s="81" t="b">
        <v>0</v>
      </c>
      <c r="AQ2379" s="86" t="s">
        <v>7785</v>
      </c>
      <c r="AR2379" s="81" t="s">
        <v>179</v>
      </c>
      <c r="AS2379" s="81">
        <v>0</v>
      </c>
      <c r="AT2379" s="81">
        <v>0</v>
      </c>
      <c r="AU2379" s="81"/>
      <c r="AV2379" s="81"/>
      <c r="AW2379" s="81"/>
      <c r="AX2379" s="81"/>
      <c r="AY2379" s="81"/>
      <c r="AZ2379" s="81"/>
      <c r="BA2379" s="81"/>
      <c r="BB2379" s="81"/>
    </row>
    <row r="2380" spans="1:54" x14ac:dyDescent="0.35">
      <c r="A2380" s="66" t="s">
        <v>4963</v>
      </c>
      <c r="B2380" s="66" t="s">
        <v>5028</v>
      </c>
      <c r="C2380" s="67"/>
      <c r="D2380" s="68"/>
      <c r="E2380" s="69"/>
      <c r="F2380" s="70"/>
      <c r="G2380" s="67"/>
      <c r="H2380" s="71"/>
      <c r="I2380" s="72"/>
      <c r="J2380" s="72"/>
      <c r="K2380" s="36"/>
      <c r="L2380" s="79"/>
      <c r="M2380" s="79"/>
      <c r="N2380" s="74"/>
      <c r="O2380" s="81" t="s">
        <v>695</v>
      </c>
      <c r="P2380" s="83">
        <v>44468.778437499997</v>
      </c>
      <c r="Q2380" s="81" t="s">
        <v>12804</v>
      </c>
      <c r="R2380" s="81"/>
      <c r="S2380" s="81"/>
      <c r="T2380" s="81"/>
      <c r="U2380" s="81"/>
      <c r="V2380" s="84" t="str">
        <f>HYPERLINK("https://pbs.twimg.com/profile_images/1258569360236576770/7E9EYrtd_normal.jpg")</f>
        <v>https://pbs.twimg.com/profile_images/1258569360236576770/7E9EYrtd_normal.jpg</v>
      </c>
      <c r="W2380" s="83">
        <v>44468.778437499997</v>
      </c>
      <c r="X2380" s="89">
        <v>44468</v>
      </c>
      <c r="Y2380" s="86" t="s">
        <v>12993</v>
      </c>
      <c r="Z2380" s="84" t="str">
        <f>HYPERLINK("https://twitter.com/panchitoblanco1/status/1443284681286377480")</f>
        <v>https://twitter.com/panchitoblanco1/status/1443284681286377480</v>
      </c>
      <c r="AA2380" s="81"/>
      <c r="AB2380" s="81"/>
      <c r="AC2380" s="86" t="s">
        <v>13230</v>
      </c>
      <c r="AD2380" s="86" t="s">
        <v>13383</v>
      </c>
      <c r="AE2380" s="81" t="b">
        <v>0</v>
      </c>
      <c r="AF2380" s="81">
        <v>3</v>
      </c>
      <c r="AG2380" s="86" t="s">
        <v>7954</v>
      </c>
      <c r="AH2380" s="81" t="b">
        <v>0</v>
      </c>
      <c r="AI2380" s="81" t="s">
        <v>2171</v>
      </c>
      <c r="AJ2380" s="81"/>
      <c r="AK2380" s="86" t="s">
        <v>2084</v>
      </c>
      <c r="AL2380" s="81" t="b">
        <v>0</v>
      </c>
      <c r="AM2380" s="81">
        <v>0</v>
      </c>
      <c r="AN2380" s="86" t="s">
        <v>2084</v>
      </c>
      <c r="AO2380" s="86" t="s">
        <v>2178</v>
      </c>
      <c r="AP2380" s="81" t="b">
        <v>0</v>
      </c>
      <c r="AQ2380" s="86" t="s">
        <v>13383</v>
      </c>
      <c r="AR2380" s="81" t="s">
        <v>179</v>
      </c>
      <c r="AS2380" s="81">
        <v>0</v>
      </c>
      <c r="AT2380" s="81">
        <v>0</v>
      </c>
      <c r="AU2380" s="81"/>
      <c r="AV2380" s="81"/>
      <c r="AW2380" s="81"/>
      <c r="AX2380" s="81"/>
      <c r="AY2380" s="81"/>
      <c r="AZ2380" s="81"/>
      <c r="BA2380" s="81"/>
      <c r="BB2380" s="81"/>
    </row>
    <row r="2381" spans="1:54" x14ac:dyDescent="0.35">
      <c r="A2381" s="66" t="s">
        <v>4963</v>
      </c>
      <c r="B2381" s="66" t="s">
        <v>4963</v>
      </c>
      <c r="C2381" s="67"/>
      <c r="D2381" s="68"/>
      <c r="E2381" s="69"/>
      <c r="F2381" s="70"/>
      <c r="G2381" s="67"/>
      <c r="H2381" s="71"/>
      <c r="I2381" s="72"/>
      <c r="J2381" s="72"/>
      <c r="K2381" s="36"/>
      <c r="L2381" s="79"/>
      <c r="M2381" s="79"/>
      <c r="N2381" s="74"/>
      <c r="O2381" s="81" t="s">
        <v>693</v>
      </c>
      <c r="P2381" s="83">
        <v>44466.670115740744</v>
      </c>
      <c r="Q2381" s="81" t="s">
        <v>5657</v>
      </c>
      <c r="R2381" s="81"/>
      <c r="S2381" s="81"/>
      <c r="T2381" s="81"/>
      <c r="U2381" s="81"/>
      <c r="V2381" s="84" t="str">
        <f>HYPERLINK("https://pbs.twimg.com/profile_images/1258569360236576770/7E9EYrtd_normal.jpg")</f>
        <v>https://pbs.twimg.com/profile_images/1258569360236576770/7E9EYrtd_normal.jpg</v>
      </c>
      <c r="W2381" s="83">
        <v>44466.670115740744</v>
      </c>
      <c r="X2381" s="89">
        <v>44466</v>
      </c>
      <c r="Y2381" s="86" t="s">
        <v>1013</v>
      </c>
      <c r="Z2381" s="84" t="str">
        <f>HYPERLINK("https://twitter.com/panchitoblanco1/status/1442520649554173954")</f>
        <v>https://twitter.com/panchitoblanco1/status/1442520649554173954</v>
      </c>
      <c r="AA2381" s="81"/>
      <c r="AB2381" s="81"/>
      <c r="AC2381" s="86" t="s">
        <v>7585</v>
      </c>
      <c r="AD2381" s="81"/>
      <c r="AE2381" s="81" t="b">
        <v>0</v>
      </c>
      <c r="AF2381" s="81">
        <v>0</v>
      </c>
      <c r="AG2381" s="86" t="s">
        <v>2084</v>
      </c>
      <c r="AH2381" s="81" t="b">
        <v>0</v>
      </c>
      <c r="AI2381" s="81" t="s">
        <v>2171</v>
      </c>
      <c r="AJ2381" s="81"/>
      <c r="AK2381" s="86" t="s">
        <v>2084</v>
      </c>
      <c r="AL2381" s="81" t="b">
        <v>0</v>
      </c>
      <c r="AM2381" s="81">
        <v>1</v>
      </c>
      <c r="AN2381" s="86" t="s">
        <v>7584</v>
      </c>
      <c r="AO2381" s="86" t="s">
        <v>2178</v>
      </c>
      <c r="AP2381" s="81" t="b">
        <v>0</v>
      </c>
      <c r="AQ2381" s="86" t="s">
        <v>7584</v>
      </c>
      <c r="AR2381" s="81" t="s">
        <v>179</v>
      </c>
      <c r="AS2381" s="81">
        <v>0</v>
      </c>
      <c r="AT2381" s="81">
        <v>0</v>
      </c>
      <c r="AU2381" s="81"/>
      <c r="AV2381" s="81"/>
      <c r="AW2381" s="81"/>
      <c r="AX2381" s="81"/>
      <c r="AY2381" s="81"/>
      <c r="AZ2381" s="81"/>
      <c r="BA2381" s="81"/>
      <c r="BB2381" s="81"/>
    </row>
    <row r="2382" spans="1:54" x14ac:dyDescent="0.35">
      <c r="A2382" s="66" t="s">
        <v>4963</v>
      </c>
      <c r="B2382" s="66" t="s">
        <v>4987</v>
      </c>
      <c r="C2382" s="67"/>
      <c r="D2382" s="68"/>
      <c r="E2382" s="69"/>
      <c r="F2382" s="70"/>
      <c r="G2382" s="67"/>
      <c r="H2382" s="71"/>
      <c r="I2382" s="72"/>
      <c r="J2382" s="72"/>
      <c r="K2382" s="36"/>
      <c r="L2382" s="79"/>
      <c r="M2382" s="79"/>
      <c r="N2382" s="74"/>
      <c r="O2382" s="81" t="s">
        <v>695</v>
      </c>
      <c r="P2382" s="83">
        <v>44466.742291666669</v>
      </c>
      <c r="Q2382" s="81" t="s">
        <v>5660</v>
      </c>
      <c r="R2382" s="81"/>
      <c r="S2382" s="81"/>
      <c r="T2382" s="81"/>
      <c r="U2382" s="81"/>
      <c r="V2382" s="84" t="str">
        <f>HYPERLINK("https://pbs.twimg.com/profile_images/1258569360236576770/7E9EYrtd_normal.jpg")</f>
        <v>https://pbs.twimg.com/profile_images/1258569360236576770/7E9EYrtd_normal.jpg</v>
      </c>
      <c r="W2382" s="83">
        <v>44466.742291666669</v>
      </c>
      <c r="X2382" s="89">
        <v>44466</v>
      </c>
      <c r="Y2382" s="86" t="s">
        <v>6662</v>
      </c>
      <c r="Z2382" s="84" t="str">
        <f>HYPERLINK("https://twitter.com/panchitoblanco1/status/1442546807309963266")</f>
        <v>https://twitter.com/panchitoblanco1/status/1442546807309963266</v>
      </c>
      <c r="AA2382" s="81"/>
      <c r="AB2382" s="81"/>
      <c r="AC2382" s="86" t="s">
        <v>7588</v>
      </c>
      <c r="AD2382" s="86" t="s">
        <v>7787</v>
      </c>
      <c r="AE2382" s="81" t="b">
        <v>0</v>
      </c>
      <c r="AF2382" s="81">
        <v>0</v>
      </c>
      <c r="AG2382" s="86" t="s">
        <v>7956</v>
      </c>
      <c r="AH2382" s="81" t="b">
        <v>0</v>
      </c>
      <c r="AI2382" s="81" t="s">
        <v>2171</v>
      </c>
      <c r="AJ2382" s="81"/>
      <c r="AK2382" s="86" t="s">
        <v>2084</v>
      </c>
      <c r="AL2382" s="81" t="b">
        <v>0</v>
      </c>
      <c r="AM2382" s="81">
        <v>0</v>
      </c>
      <c r="AN2382" s="86" t="s">
        <v>2084</v>
      </c>
      <c r="AO2382" s="86" t="s">
        <v>2178</v>
      </c>
      <c r="AP2382" s="81" t="b">
        <v>0</v>
      </c>
      <c r="AQ2382" s="86" t="s">
        <v>7787</v>
      </c>
      <c r="AR2382" s="81" t="s">
        <v>179</v>
      </c>
      <c r="AS2382" s="81">
        <v>0</v>
      </c>
      <c r="AT2382" s="81">
        <v>0</v>
      </c>
      <c r="AU2382" s="81"/>
      <c r="AV2382" s="81"/>
      <c r="AW2382" s="81"/>
      <c r="AX2382" s="81"/>
      <c r="AY2382" s="81"/>
      <c r="AZ2382" s="81"/>
      <c r="BA2382" s="81"/>
      <c r="BB2382" s="81"/>
    </row>
    <row r="2383" spans="1:54" x14ac:dyDescent="0.35">
      <c r="A2383" s="66" t="s">
        <v>4963</v>
      </c>
      <c r="B2383" s="66" t="s">
        <v>4963</v>
      </c>
      <c r="C2383" s="67"/>
      <c r="D2383" s="68"/>
      <c r="E2383" s="69"/>
      <c r="F2383" s="70"/>
      <c r="G2383" s="67"/>
      <c r="H2383" s="71"/>
      <c r="I2383" s="72"/>
      <c r="J2383" s="72"/>
      <c r="K2383" s="36"/>
      <c r="L2383" s="79"/>
      <c r="M2383" s="79"/>
      <c r="N2383" s="74"/>
      <c r="O2383" s="81" t="s">
        <v>179</v>
      </c>
      <c r="P2383" s="83">
        <v>44467.089942129627</v>
      </c>
      <c r="Q2383" s="81" t="s">
        <v>5662</v>
      </c>
      <c r="R2383" s="81"/>
      <c r="S2383" s="81"/>
      <c r="T2383" s="81"/>
      <c r="U2383" s="81"/>
      <c r="V2383" s="84" t="str">
        <f>HYPERLINK("https://pbs.twimg.com/profile_images/1258569360236576770/7E9EYrtd_normal.jpg")</f>
        <v>https://pbs.twimg.com/profile_images/1258569360236576770/7E9EYrtd_normal.jpg</v>
      </c>
      <c r="W2383" s="83">
        <v>44467.089942129627</v>
      </c>
      <c r="X2383" s="89">
        <v>44467</v>
      </c>
      <c r="Y2383" s="86" t="s">
        <v>6665</v>
      </c>
      <c r="Z2383" s="84" t="str">
        <f>HYPERLINK("https://twitter.com/panchitoblanco1/status/1442672792613294082")</f>
        <v>https://twitter.com/panchitoblanco1/status/1442672792613294082</v>
      </c>
      <c r="AA2383" s="81"/>
      <c r="AB2383" s="81"/>
      <c r="AC2383" s="86" t="s">
        <v>7591</v>
      </c>
      <c r="AD2383" s="86" t="s">
        <v>7790</v>
      </c>
      <c r="AE2383" s="81" t="b">
        <v>0</v>
      </c>
      <c r="AF2383" s="81">
        <v>1</v>
      </c>
      <c r="AG2383" s="86" t="s">
        <v>7959</v>
      </c>
      <c r="AH2383" s="81" t="b">
        <v>0</v>
      </c>
      <c r="AI2383" s="81" t="s">
        <v>2171</v>
      </c>
      <c r="AJ2383" s="81"/>
      <c r="AK2383" s="86" t="s">
        <v>2084</v>
      </c>
      <c r="AL2383" s="81" t="b">
        <v>0</v>
      </c>
      <c r="AM2383" s="81">
        <v>0</v>
      </c>
      <c r="AN2383" s="86" t="s">
        <v>2084</v>
      </c>
      <c r="AO2383" s="86" t="s">
        <v>2178</v>
      </c>
      <c r="AP2383" s="81" t="b">
        <v>0</v>
      </c>
      <c r="AQ2383" s="86" t="s">
        <v>7790</v>
      </c>
      <c r="AR2383" s="81" t="s">
        <v>179</v>
      </c>
      <c r="AS2383" s="81">
        <v>0</v>
      </c>
      <c r="AT2383" s="81">
        <v>0</v>
      </c>
      <c r="AU2383" s="81"/>
      <c r="AV2383" s="81"/>
      <c r="AW2383" s="81"/>
      <c r="AX2383" s="81"/>
      <c r="AY2383" s="81"/>
      <c r="AZ2383" s="81"/>
      <c r="BA2383" s="81"/>
      <c r="BB2383" s="81"/>
    </row>
    <row r="2384" spans="1:54" x14ac:dyDescent="0.35">
      <c r="A2384" s="66" t="s">
        <v>4963</v>
      </c>
      <c r="B2384" s="66" t="s">
        <v>4963</v>
      </c>
      <c r="C2384" s="67"/>
      <c r="D2384" s="68"/>
      <c r="E2384" s="69"/>
      <c r="F2384" s="70"/>
      <c r="G2384" s="67"/>
      <c r="H2384" s="71"/>
      <c r="I2384" s="72"/>
      <c r="J2384" s="72"/>
      <c r="K2384" s="36"/>
      <c r="L2384" s="79"/>
      <c r="M2384" s="79"/>
      <c r="N2384" s="74"/>
      <c r="O2384" s="81" t="s">
        <v>179</v>
      </c>
      <c r="P2384" s="83">
        <v>44468.576215277775</v>
      </c>
      <c r="Q2384" s="81" t="s">
        <v>12782</v>
      </c>
      <c r="R2384" s="84" t="str">
        <f>HYPERLINK("https://twitter.com/emanuel_xiii/status/1443072880359653382")</f>
        <v>https://twitter.com/emanuel_xiii/status/1443072880359653382</v>
      </c>
      <c r="S2384" s="81" t="s">
        <v>936</v>
      </c>
      <c r="T2384" s="81"/>
      <c r="U2384" s="81"/>
      <c r="V2384" s="84" t="str">
        <f>HYPERLINK("https://pbs.twimg.com/profile_images/1258569360236576770/7E9EYrtd_normal.jpg")</f>
        <v>https://pbs.twimg.com/profile_images/1258569360236576770/7E9EYrtd_normal.jpg</v>
      </c>
      <c r="W2384" s="83">
        <v>44468.576215277775</v>
      </c>
      <c r="X2384" s="89">
        <v>44468</v>
      </c>
      <c r="Y2384" s="86" t="s">
        <v>12994</v>
      </c>
      <c r="Z2384" s="84" t="str">
        <f>HYPERLINK("https://twitter.com/panchitoblanco1/status/1443211397278617601")</f>
        <v>https://twitter.com/panchitoblanco1/status/1443211397278617601</v>
      </c>
      <c r="AA2384" s="81"/>
      <c r="AB2384" s="81"/>
      <c r="AC2384" s="86" t="s">
        <v>13231</v>
      </c>
      <c r="AD2384" s="81"/>
      <c r="AE2384" s="81" t="b">
        <v>0</v>
      </c>
      <c r="AF2384" s="81">
        <v>1</v>
      </c>
      <c r="AG2384" s="86" t="s">
        <v>2084</v>
      </c>
      <c r="AH2384" s="81" t="b">
        <v>1</v>
      </c>
      <c r="AI2384" s="81" t="s">
        <v>2171</v>
      </c>
      <c r="AJ2384" s="81"/>
      <c r="AK2384" s="86" t="s">
        <v>13438</v>
      </c>
      <c r="AL2384" s="81" t="b">
        <v>0</v>
      </c>
      <c r="AM2384" s="81">
        <v>1</v>
      </c>
      <c r="AN2384" s="86" t="s">
        <v>2084</v>
      </c>
      <c r="AO2384" s="86" t="s">
        <v>2178</v>
      </c>
      <c r="AP2384" s="81" t="b">
        <v>0</v>
      </c>
      <c r="AQ2384" s="86" t="s">
        <v>13231</v>
      </c>
      <c r="AR2384" s="81" t="s">
        <v>179</v>
      </c>
      <c r="AS2384" s="81">
        <v>0</v>
      </c>
      <c r="AT2384" s="81">
        <v>0</v>
      </c>
      <c r="AU2384" s="81"/>
      <c r="AV2384" s="81"/>
      <c r="AW2384" s="81"/>
      <c r="AX2384" s="81"/>
      <c r="AY2384" s="81"/>
      <c r="AZ2384" s="81"/>
      <c r="BA2384" s="81"/>
      <c r="BB2384" s="81"/>
    </row>
    <row r="2385" spans="1:54" x14ac:dyDescent="0.35">
      <c r="A2385" s="66" t="s">
        <v>12581</v>
      </c>
      <c r="B2385" s="66" t="s">
        <v>12590</v>
      </c>
      <c r="C2385" s="67"/>
      <c r="D2385" s="68"/>
      <c r="E2385" s="69"/>
      <c r="F2385" s="70"/>
      <c r="G2385" s="67"/>
      <c r="H2385" s="71"/>
      <c r="I2385" s="72"/>
      <c r="J2385" s="72"/>
      <c r="K2385" s="36"/>
      <c r="L2385" s="79"/>
      <c r="M2385" s="79"/>
      <c r="N2385" s="74"/>
      <c r="O2385" s="81" t="s">
        <v>693</v>
      </c>
      <c r="P2385" s="83">
        <v>44468.786886574075</v>
      </c>
      <c r="Q2385" s="81" t="s">
        <v>12783</v>
      </c>
      <c r="R2385" s="84" t="str">
        <f>HYPERLINK("https://noticias.adventistas.org/pt/coluna/heron-santana/jesus-cristo-na-pos-modernidade/")</f>
        <v>https://noticias.adventistas.org/pt/coluna/heron-santana/jesus-cristo-na-pos-modernidade/</v>
      </c>
      <c r="S2385" s="81" t="s">
        <v>5733</v>
      </c>
      <c r="T2385" s="81"/>
      <c r="U2385" s="84" t="str">
        <f>HYPERLINK("https://pbs.twimg.com/media/FAdU-vXXEAwhmcS.jpg")</f>
        <v>https://pbs.twimg.com/media/FAdU-vXXEAwhmcS.jpg</v>
      </c>
      <c r="V2385" s="84" t="str">
        <f>HYPERLINK("https://pbs.twimg.com/media/FAdU-vXXEAwhmcS.jpg")</f>
        <v>https://pbs.twimg.com/media/FAdU-vXXEAwhmcS.jpg</v>
      </c>
      <c r="W2385" s="83">
        <v>44468.786886574075</v>
      </c>
      <c r="X2385" s="89">
        <v>44468</v>
      </c>
      <c r="Y2385" s="86" t="s">
        <v>12995</v>
      </c>
      <c r="Z2385" s="84" t="str">
        <f>HYPERLINK("https://twitter.com/ester12897249/status/1443287742243381259")</f>
        <v>https://twitter.com/ester12897249/status/1443287742243381259</v>
      </c>
      <c r="AA2385" s="81"/>
      <c r="AB2385" s="81"/>
      <c r="AC2385" s="86" t="s">
        <v>13232</v>
      </c>
      <c r="AD2385" s="81"/>
      <c r="AE2385" s="81" t="b">
        <v>0</v>
      </c>
      <c r="AF2385" s="81">
        <v>0</v>
      </c>
      <c r="AG2385" s="86" t="s">
        <v>2084</v>
      </c>
      <c r="AH2385" s="81" t="b">
        <v>0</v>
      </c>
      <c r="AI2385" s="81" t="s">
        <v>2171</v>
      </c>
      <c r="AJ2385" s="81"/>
      <c r="AK2385" s="86" t="s">
        <v>2084</v>
      </c>
      <c r="AL2385" s="81" t="b">
        <v>0</v>
      </c>
      <c r="AM2385" s="81">
        <v>6</v>
      </c>
      <c r="AN2385" s="86" t="s">
        <v>13250</v>
      </c>
      <c r="AO2385" s="86" t="s">
        <v>2178</v>
      </c>
      <c r="AP2385" s="81" t="b">
        <v>0</v>
      </c>
      <c r="AQ2385" s="86" t="s">
        <v>13250</v>
      </c>
      <c r="AR2385" s="81" t="s">
        <v>179</v>
      </c>
      <c r="AS2385" s="81">
        <v>0</v>
      </c>
      <c r="AT2385" s="81">
        <v>0</v>
      </c>
      <c r="AU2385" s="81"/>
      <c r="AV2385" s="81"/>
      <c r="AW2385" s="81"/>
      <c r="AX2385" s="81"/>
      <c r="AY2385" s="81"/>
      <c r="AZ2385" s="81"/>
      <c r="BA2385" s="81"/>
      <c r="BB2385" s="81"/>
    </row>
    <row r="2386" spans="1:54" x14ac:dyDescent="0.35">
      <c r="A2386" s="66" t="s">
        <v>12582</v>
      </c>
      <c r="B2386" s="66" t="s">
        <v>12582</v>
      </c>
      <c r="C2386" s="67"/>
      <c r="D2386" s="68"/>
      <c r="E2386" s="69"/>
      <c r="F2386" s="70"/>
      <c r="G2386" s="67"/>
      <c r="H2386" s="71"/>
      <c r="I2386" s="72"/>
      <c r="J2386" s="72"/>
      <c r="K2386" s="36"/>
      <c r="L2386" s="79"/>
      <c r="M2386" s="79"/>
      <c r="N2386" s="74"/>
      <c r="O2386" s="81" t="s">
        <v>179</v>
      </c>
      <c r="P2386" s="83">
        <v>44468.787476851852</v>
      </c>
      <c r="Q2386" s="81" t="s">
        <v>12805</v>
      </c>
      <c r="R2386" s="84" t="str">
        <f>HYPERLINK("https://www.gov.br/anvisa/pt-br/assuntos/noticias-anvisa/2021/alerta-sobre-casos-raros-de-sindrome-de-guillain-barre-pos-vacinacao")</f>
        <v>https://www.gov.br/anvisa/pt-br/assuntos/noticias-anvisa/2021/alerta-sobre-casos-raros-de-sindrome-de-guillain-barre-pos-vacinacao</v>
      </c>
      <c r="S2386" s="81" t="s">
        <v>5686</v>
      </c>
      <c r="T2386" s="81"/>
      <c r="U2386" s="81"/>
      <c r="V2386" s="84" t="str">
        <f>HYPERLINK("https://pbs.twimg.com/profile_images/782739139892477952/el54ODtU_normal.jpg")</f>
        <v>https://pbs.twimg.com/profile_images/782739139892477952/el54ODtU_normal.jpg</v>
      </c>
      <c r="W2386" s="83">
        <v>44468.787476851852</v>
      </c>
      <c r="X2386" s="89">
        <v>44468</v>
      </c>
      <c r="Y2386" s="86" t="s">
        <v>12996</v>
      </c>
      <c r="Z2386" s="84" t="str">
        <f>HYPERLINK("https://twitter.com/jarodrigues88/status/1443287957075550211")</f>
        <v>https://twitter.com/jarodrigues88/status/1443287957075550211</v>
      </c>
      <c r="AA2386" s="81"/>
      <c r="AB2386" s="81"/>
      <c r="AC2386" s="86" t="s">
        <v>13233</v>
      </c>
      <c r="AD2386" s="86" t="s">
        <v>13384</v>
      </c>
      <c r="AE2386" s="81" t="b">
        <v>0</v>
      </c>
      <c r="AF2386" s="81">
        <v>10</v>
      </c>
      <c r="AG2386" s="86" t="s">
        <v>13423</v>
      </c>
      <c r="AH2386" s="81" t="b">
        <v>0</v>
      </c>
      <c r="AI2386" s="81" t="s">
        <v>2171</v>
      </c>
      <c r="AJ2386" s="81"/>
      <c r="AK2386" s="86" t="s">
        <v>2084</v>
      </c>
      <c r="AL2386" s="81" t="b">
        <v>0</v>
      </c>
      <c r="AM2386" s="81">
        <v>0</v>
      </c>
      <c r="AN2386" s="86" t="s">
        <v>2084</v>
      </c>
      <c r="AO2386" s="86" t="s">
        <v>2179</v>
      </c>
      <c r="AP2386" s="81" t="b">
        <v>0</v>
      </c>
      <c r="AQ2386" s="86" t="s">
        <v>13384</v>
      </c>
      <c r="AR2386" s="81" t="s">
        <v>179</v>
      </c>
      <c r="AS2386" s="81">
        <v>0</v>
      </c>
      <c r="AT2386" s="81">
        <v>0</v>
      </c>
      <c r="AU2386" s="81"/>
      <c r="AV2386" s="81"/>
      <c r="AW2386" s="81"/>
      <c r="AX2386" s="81"/>
      <c r="AY2386" s="81"/>
      <c r="AZ2386" s="81"/>
      <c r="BA2386" s="81"/>
      <c r="BB2386" s="81"/>
    </row>
    <row r="2387" spans="1:54" x14ac:dyDescent="0.35">
      <c r="A2387" s="66" t="s">
        <v>12583</v>
      </c>
      <c r="B2387" s="66" t="s">
        <v>12664</v>
      </c>
      <c r="C2387" s="67"/>
      <c r="D2387" s="68"/>
      <c r="E2387" s="69"/>
      <c r="F2387" s="70"/>
      <c r="G2387" s="67"/>
      <c r="H2387" s="71"/>
      <c r="I2387" s="72"/>
      <c r="J2387" s="72"/>
      <c r="K2387" s="36"/>
      <c r="L2387" s="79"/>
      <c r="M2387" s="79"/>
      <c r="N2387" s="74"/>
      <c r="O2387" s="81" t="s">
        <v>693</v>
      </c>
      <c r="P2387" s="83">
        <v>44468.787395833337</v>
      </c>
      <c r="Q2387" s="81" t="s">
        <v>12800</v>
      </c>
      <c r="R2387" s="81"/>
      <c r="S2387" s="81"/>
      <c r="T2387" s="86" t="s">
        <v>314</v>
      </c>
      <c r="U2387" s="84" t="str">
        <f>HYPERLINK("https://pbs.twimg.com/media/FAeE8WOVQAIxGko.jpg")</f>
        <v>https://pbs.twimg.com/media/FAeE8WOVQAIxGko.jpg</v>
      </c>
      <c r="V2387" s="84" t="str">
        <f>HYPERLINK("https://pbs.twimg.com/media/FAeE8WOVQAIxGko.jpg")</f>
        <v>https://pbs.twimg.com/media/FAeE8WOVQAIxGko.jpg</v>
      </c>
      <c r="W2387" s="83">
        <v>44468.787395833337</v>
      </c>
      <c r="X2387" s="89">
        <v>44468</v>
      </c>
      <c r="Y2387" s="86" t="s">
        <v>12997</v>
      </c>
      <c r="Z2387" s="84" t="str">
        <f>HYPERLINK("https://twitter.com/aliaisyin/status/1443287929040769024")</f>
        <v>https://twitter.com/aliaisyin/status/1443287929040769024</v>
      </c>
      <c r="AA2387" s="81"/>
      <c r="AB2387" s="81"/>
      <c r="AC2387" s="86" t="s">
        <v>13234</v>
      </c>
      <c r="AD2387" s="81"/>
      <c r="AE2387" s="81" t="b">
        <v>0</v>
      </c>
      <c r="AF2387" s="81">
        <v>0</v>
      </c>
      <c r="AG2387" s="86" t="s">
        <v>2084</v>
      </c>
      <c r="AH2387" s="81" t="b">
        <v>0</v>
      </c>
      <c r="AI2387" s="81" t="s">
        <v>2168</v>
      </c>
      <c r="AJ2387" s="81"/>
      <c r="AK2387" s="86" t="s">
        <v>2084</v>
      </c>
      <c r="AL2387" s="81" t="b">
        <v>0</v>
      </c>
      <c r="AM2387" s="81">
        <v>31</v>
      </c>
      <c r="AN2387" s="86" t="s">
        <v>13353</v>
      </c>
      <c r="AO2387" s="86" t="s">
        <v>2179</v>
      </c>
      <c r="AP2387" s="81" t="b">
        <v>0</v>
      </c>
      <c r="AQ2387" s="86" t="s">
        <v>13353</v>
      </c>
      <c r="AR2387" s="81" t="s">
        <v>179</v>
      </c>
      <c r="AS2387" s="81">
        <v>0</v>
      </c>
      <c r="AT2387" s="81">
        <v>0</v>
      </c>
      <c r="AU2387" s="81"/>
      <c r="AV2387" s="81"/>
      <c r="AW2387" s="81"/>
      <c r="AX2387" s="81"/>
      <c r="AY2387" s="81"/>
      <c r="AZ2387" s="81"/>
      <c r="BA2387" s="81"/>
      <c r="BB2387" s="81"/>
    </row>
    <row r="2388" spans="1:54" x14ac:dyDescent="0.35">
      <c r="A2388" s="66" t="s">
        <v>12583</v>
      </c>
      <c r="B2388" s="66" t="s">
        <v>12664</v>
      </c>
      <c r="C2388" s="67"/>
      <c r="D2388" s="68"/>
      <c r="E2388" s="69"/>
      <c r="F2388" s="70"/>
      <c r="G2388" s="67"/>
      <c r="H2388" s="71"/>
      <c r="I2388" s="72"/>
      <c r="J2388" s="72"/>
      <c r="K2388" s="36"/>
      <c r="L2388" s="79"/>
      <c r="M2388" s="79"/>
      <c r="N2388" s="74"/>
      <c r="O2388" s="81" t="s">
        <v>693</v>
      </c>
      <c r="P2388" s="83">
        <v>44468.787499999999</v>
      </c>
      <c r="Q2388" s="81" t="s">
        <v>12799</v>
      </c>
      <c r="R2388" s="81"/>
      <c r="S2388" s="81"/>
      <c r="T2388" s="86" t="s">
        <v>314</v>
      </c>
      <c r="U2388" s="84" t="str">
        <f>HYPERLINK("https://pbs.twimg.com/media/FAeEF_8UcAAAgih.jpg")</f>
        <v>https://pbs.twimg.com/media/FAeEF_8UcAAAgih.jpg</v>
      </c>
      <c r="V2388" s="84" t="str">
        <f>HYPERLINK("https://pbs.twimg.com/media/FAeEF_8UcAAAgih.jpg")</f>
        <v>https://pbs.twimg.com/media/FAeEF_8UcAAAgih.jpg</v>
      </c>
      <c r="W2388" s="83">
        <v>44468.787499999999</v>
      </c>
      <c r="X2388" s="89">
        <v>44468</v>
      </c>
      <c r="Y2388" s="86" t="s">
        <v>12998</v>
      </c>
      <c r="Z2388" s="84" t="str">
        <f>HYPERLINK("https://twitter.com/aliaisyin/status/1443287963622789121")</f>
        <v>https://twitter.com/aliaisyin/status/1443287963622789121</v>
      </c>
      <c r="AA2388" s="81"/>
      <c r="AB2388" s="81"/>
      <c r="AC2388" s="86" t="s">
        <v>13235</v>
      </c>
      <c r="AD2388" s="81"/>
      <c r="AE2388" s="81" t="b">
        <v>0</v>
      </c>
      <c r="AF2388" s="81">
        <v>0</v>
      </c>
      <c r="AG2388" s="86" t="s">
        <v>2084</v>
      </c>
      <c r="AH2388" s="81" t="b">
        <v>0</v>
      </c>
      <c r="AI2388" s="81" t="s">
        <v>2168</v>
      </c>
      <c r="AJ2388" s="81"/>
      <c r="AK2388" s="86" t="s">
        <v>2084</v>
      </c>
      <c r="AL2388" s="81" t="b">
        <v>0</v>
      </c>
      <c r="AM2388" s="81">
        <v>42</v>
      </c>
      <c r="AN2388" s="86" t="s">
        <v>13352</v>
      </c>
      <c r="AO2388" s="86" t="s">
        <v>2179</v>
      </c>
      <c r="AP2388" s="81" t="b">
        <v>0</v>
      </c>
      <c r="AQ2388" s="86" t="s">
        <v>13352</v>
      </c>
      <c r="AR2388" s="81" t="s">
        <v>179</v>
      </c>
      <c r="AS2388" s="81">
        <v>0</v>
      </c>
      <c r="AT2388" s="81">
        <v>0</v>
      </c>
      <c r="AU2388" s="81"/>
      <c r="AV2388" s="81"/>
      <c r="AW2388" s="81"/>
      <c r="AX2388" s="81"/>
      <c r="AY2388" s="81"/>
      <c r="AZ2388" s="81"/>
      <c r="BA2388" s="81"/>
      <c r="BB2388" s="81"/>
    </row>
    <row r="2389" spans="1:54" x14ac:dyDescent="0.35">
      <c r="A2389" s="66" t="s">
        <v>12583</v>
      </c>
      <c r="B2389" s="66" t="s">
        <v>12664</v>
      </c>
      <c r="C2389" s="67"/>
      <c r="D2389" s="68"/>
      <c r="E2389" s="69"/>
      <c r="F2389" s="70"/>
      <c r="G2389" s="67"/>
      <c r="H2389" s="71"/>
      <c r="I2389" s="72"/>
      <c r="J2389" s="72"/>
      <c r="K2389" s="36"/>
      <c r="L2389" s="79"/>
      <c r="M2389" s="79"/>
      <c r="N2389" s="74"/>
      <c r="O2389" s="81" t="s">
        <v>693</v>
      </c>
      <c r="P2389" s="83">
        <v>44468.787638888891</v>
      </c>
      <c r="Q2389" s="81" t="s">
        <v>12801</v>
      </c>
      <c r="R2389" s="81"/>
      <c r="S2389" s="81"/>
      <c r="T2389" s="86" t="s">
        <v>314</v>
      </c>
      <c r="U2389" s="84" t="str">
        <f>HYPERLINK("https://pbs.twimg.com/media/FAeDNwSUcAI4G5e.jpg")</f>
        <v>https://pbs.twimg.com/media/FAeDNwSUcAI4G5e.jpg</v>
      </c>
      <c r="V2389" s="84" t="str">
        <f>HYPERLINK("https://pbs.twimg.com/media/FAeDNwSUcAI4G5e.jpg")</f>
        <v>https://pbs.twimg.com/media/FAeDNwSUcAI4G5e.jpg</v>
      </c>
      <c r="W2389" s="83">
        <v>44468.787638888891</v>
      </c>
      <c r="X2389" s="89">
        <v>44468</v>
      </c>
      <c r="Y2389" s="86" t="s">
        <v>12999</v>
      </c>
      <c r="Z2389" s="84" t="str">
        <f>HYPERLINK("https://twitter.com/aliaisyin/status/1443288014927523842")</f>
        <v>https://twitter.com/aliaisyin/status/1443288014927523842</v>
      </c>
      <c r="AA2389" s="81"/>
      <c r="AB2389" s="81"/>
      <c r="AC2389" s="86" t="s">
        <v>13236</v>
      </c>
      <c r="AD2389" s="81"/>
      <c r="AE2389" s="81" t="b">
        <v>0</v>
      </c>
      <c r="AF2389" s="81">
        <v>0</v>
      </c>
      <c r="AG2389" s="86" t="s">
        <v>2084</v>
      </c>
      <c r="AH2389" s="81" t="b">
        <v>0</v>
      </c>
      <c r="AI2389" s="81" t="s">
        <v>2168</v>
      </c>
      <c r="AJ2389" s="81"/>
      <c r="AK2389" s="86" t="s">
        <v>2084</v>
      </c>
      <c r="AL2389" s="81" t="b">
        <v>0</v>
      </c>
      <c r="AM2389" s="81">
        <v>3</v>
      </c>
      <c r="AN2389" s="86" t="s">
        <v>13351</v>
      </c>
      <c r="AO2389" s="86" t="s">
        <v>2179</v>
      </c>
      <c r="AP2389" s="81" t="b">
        <v>0</v>
      </c>
      <c r="AQ2389" s="86" t="s">
        <v>13351</v>
      </c>
      <c r="AR2389" s="81" t="s">
        <v>179</v>
      </c>
      <c r="AS2389" s="81">
        <v>0</v>
      </c>
      <c r="AT2389" s="81">
        <v>0</v>
      </c>
      <c r="AU2389" s="81"/>
      <c r="AV2389" s="81"/>
      <c r="AW2389" s="81"/>
      <c r="AX2389" s="81"/>
      <c r="AY2389" s="81"/>
      <c r="AZ2389" s="81"/>
      <c r="BA2389" s="81"/>
      <c r="BB2389" s="81"/>
    </row>
    <row r="2390" spans="1:54" x14ac:dyDescent="0.35">
      <c r="A2390" s="66" t="s">
        <v>12584</v>
      </c>
      <c r="B2390" s="66" t="s">
        <v>5210</v>
      </c>
      <c r="C2390" s="67"/>
      <c r="D2390" s="68"/>
      <c r="E2390" s="69"/>
      <c r="F2390" s="70"/>
      <c r="G2390" s="67"/>
      <c r="H2390" s="71"/>
      <c r="I2390" s="72"/>
      <c r="J2390" s="72"/>
      <c r="K2390" s="36"/>
      <c r="L2390" s="79"/>
      <c r="M2390" s="79"/>
      <c r="N2390" s="74"/>
      <c r="O2390" s="81" t="s">
        <v>694</v>
      </c>
      <c r="P2390" s="83">
        <v>44468.792164351849</v>
      </c>
      <c r="Q2390" s="81" t="s">
        <v>12806</v>
      </c>
      <c r="R2390" s="84" t="str">
        <f>HYPERLINK("https://byq6z.app.goo.gl/AZgEv")</f>
        <v>https://byq6z.app.goo.gl/AZgEv</v>
      </c>
      <c r="S2390" s="81" t="s">
        <v>5759</v>
      </c>
      <c r="T2390" s="81"/>
      <c r="U2390" s="81"/>
      <c r="V2390" s="84" t="str">
        <f>HYPERLINK("https://pbs.twimg.com/profile_images/981964368815579144/KDsAo5NW_normal.jpg")</f>
        <v>https://pbs.twimg.com/profile_images/981964368815579144/KDsAo5NW_normal.jpg</v>
      </c>
      <c r="W2390" s="83">
        <v>44468.792164351849</v>
      </c>
      <c r="X2390" s="89">
        <v>44468</v>
      </c>
      <c r="Y2390" s="86" t="s">
        <v>13000</v>
      </c>
      <c r="Z2390" s="84" t="str">
        <f>HYPERLINK("https://twitter.com/bibliotecaippur/status/1443289656762802193")</f>
        <v>https://twitter.com/bibliotecaippur/status/1443289656762802193</v>
      </c>
      <c r="AA2390" s="81"/>
      <c r="AB2390" s="81"/>
      <c r="AC2390" s="86" t="s">
        <v>13237</v>
      </c>
      <c r="AD2390" s="81"/>
      <c r="AE2390" s="81" t="b">
        <v>0</v>
      </c>
      <c r="AF2390" s="81">
        <v>0</v>
      </c>
      <c r="AG2390" s="86" t="s">
        <v>2084</v>
      </c>
      <c r="AH2390" s="81" t="b">
        <v>0</v>
      </c>
      <c r="AI2390" s="81" t="s">
        <v>2171</v>
      </c>
      <c r="AJ2390" s="81"/>
      <c r="AK2390" s="86" t="s">
        <v>2084</v>
      </c>
      <c r="AL2390" s="81" t="b">
        <v>0</v>
      </c>
      <c r="AM2390" s="81">
        <v>8</v>
      </c>
      <c r="AN2390" s="86" t="s">
        <v>13265</v>
      </c>
      <c r="AO2390" s="86" t="s">
        <v>2181</v>
      </c>
      <c r="AP2390" s="81" t="b">
        <v>0</v>
      </c>
      <c r="AQ2390" s="86" t="s">
        <v>13265</v>
      </c>
      <c r="AR2390" s="81" t="s">
        <v>179</v>
      </c>
      <c r="AS2390" s="81">
        <v>0</v>
      </c>
      <c r="AT2390" s="81">
        <v>0</v>
      </c>
      <c r="AU2390" s="81"/>
      <c r="AV2390" s="81"/>
      <c r="AW2390" s="81"/>
      <c r="AX2390" s="81"/>
      <c r="AY2390" s="81"/>
      <c r="AZ2390" s="81"/>
      <c r="BA2390" s="81"/>
      <c r="BB2390" s="81"/>
    </row>
    <row r="2391" spans="1:54" x14ac:dyDescent="0.35">
      <c r="A2391" s="66" t="s">
        <v>12584</v>
      </c>
      <c r="B2391" s="66" t="s">
        <v>4953</v>
      </c>
      <c r="C2391" s="67"/>
      <c r="D2391" s="68"/>
      <c r="E2391" s="69"/>
      <c r="F2391" s="70"/>
      <c r="G2391" s="67"/>
      <c r="H2391" s="71"/>
      <c r="I2391" s="72"/>
      <c r="J2391" s="72"/>
      <c r="K2391" s="36"/>
      <c r="L2391" s="79"/>
      <c r="M2391" s="79"/>
      <c r="N2391" s="74"/>
      <c r="O2391" s="81" t="s">
        <v>694</v>
      </c>
      <c r="P2391" s="83">
        <v>44468.792164351849</v>
      </c>
      <c r="Q2391" s="81" t="s">
        <v>12806</v>
      </c>
      <c r="R2391" s="84" t="str">
        <f>HYPERLINK("https://byq6z.app.goo.gl/AZgEv")</f>
        <v>https://byq6z.app.goo.gl/AZgEv</v>
      </c>
      <c r="S2391" s="81" t="s">
        <v>5759</v>
      </c>
      <c r="T2391" s="81"/>
      <c r="U2391" s="81"/>
      <c r="V2391" s="84" t="str">
        <f>HYPERLINK("https://pbs.twimg.com/profile_images/981964368815579144/KDsAo5NW_normal.jpg")</f>
        <v>https://pbs.twimg.com/profile_images/981964368815579144/KDsAo5NW_normal.jpg</v>
      </c>
      <c r="W2391" s="83">
        <v>44468.792164351849</v>
      </c>
      <c r="X2391" s="89">
        <v>44468</v>
      </c>
      <c r="Y2391" s="86" t="s">
        <v>13000</v>
      </c>
      <c r="Z2391" s="84" t="str">
        <f>HYPERLINK("https://twitter.com/bibliotecaippur/status/1443289656762802193")</f>
        <v>https://twitter.com/bibliotecaippur/status/1443289656762802193</v>
      </c>
      <c r="AA2391" s="81"/>
      <c r="AB2391" s="81"/>
      <c r="AC2391" s="86" t="s">
        <v>13237</v>
      </c>
      <c r="AD2391" s="81"/>
      <c r="AE2391" s="81" t="b">
        <v>0</v>
      </c>
      <c r="AF2391" s="81">
        <v>0</v>
      </c>
      <c r="AG2391" s="86" t="s">
        <v>2084</v>
      </c>
      <c r="AH2391" s="81" t="b">
        <v>0</v>
      </c>
      <c r="AI2391" s="81" t="s">
        <v>2171</v>
      </c>
      <c r="AJ2391" s="81"/>
      <c r="AK2391" s="86" t="s">
        <v>2084</v>
      </c>
      <c r="AL2391" s="81" t="b">
        <v>0</v>
      </c>
      <c r="AM2391" s="81">
        <v>8</v>
      </c>
      <c r="AN2391" s="86" t="s">
        <v>13265</v>
      </c>
      <c r="AO2391" s="86" t="s">
        <v>2181</v>
      </c>
      <c r="AP2391" s="81" t="b">
        <v>0</v>
      </c>
      <c r="AQ2391" s="86" t="s">
        <v>13265</v>
      </c>
      <c r="AR2391" s="81" t="s">
        <v>179</v>
      </c>
      <c r="AS2391" s="81">
        <v>0</v>
      </c>
      <c r="AT2391" s="81">
        <v>0</v>
      </c>
      <c r="AU2391" s="81"/>
      <c r="AV2391" s="81"/>
      <c r="AW2391" s="81"/>
      <c r="AX2391" s="81"/>
      <c r="AY2391" s="81"/>
      <c r="AZ2391" s="81"/>
      <c r="BA2391" s="81"/>
      <c r="BB2391" s="81"/>
    </row>
    <row r="2392" spans="1:54" x14ac:dyDescent="0.35">
      <c r="A2392" s="66" t="s">
        <v>12584</v>
      </c>
      <c r="B2392" s="66" t="s">
        <v>5211</v>
      </c>
      <c r="C2392" s="67"/>
      <c r="D2392" s="68"/>
      <c r="E2392" s="69"/>
      <c r="F2392" s="70"/>
      <c r="G2392" s="67"/>
      <c r="H2392" s="71"/>
      <c r="I2392" s="72"/>
      <c r="J2392" s="72"/>
      <c r="K2392" s="36"/>
      <c r="L2392" s="79"/>
      <c r="M2392" s="79"/>
      <c r="N2392" s="74"/>
      <c r="O2392" s="81" t="s">
        <v>694</v>
      </c>
      <c r="P2392" s="83">
        <v>44468.792164351849</v>
      </c>
      <c r="Q2392" s="81" t="s">
        <v>12806</v>
      </c>
      <c r="R2392" s="84" t="str">
        <f>HYPERLINK("https://byq6z.app.goo.gl/AZgEv")</f>
        <v>https://byq6z.app.goo.gl/AZgEv</v>
      </c>
      <c r="S2392" s="81" t="s">
        <v>5759</v>
      </c>
      <c r="T2392" s="81"/>
      <c r="U2392" s="81"/>
      <c r="V2392" s="84" t="str">
        <f>HYPERLINK("https://pbs.twimg.com/profile_images/981964368815579144/KDsAo5NW_normal.jpg")</f>
        <v>https://pbs.twimg.com/profile_images/981964368815579144/KDsAo5NW_normal.jpg</v>
      </c>
      <c r="W2392" s="83">
        <v>44468.792164351849</v>
      </c>
      <c r="X2392" s="89">
        <v>44468</v>
      </c>
      <c r="Y2392" s="86" t="s">
        <v>13000</v>
      </c>
      <c r="Z2392" s="84" t="str">
        <f>HYPERLINK("https://twitter.com/bibliotecaippur/status/1443289656762802193")</f>
        <v>https://twitter.com/bibliotecaippur/status/1443289656762802193</v>
      </c>
      <c r="AA2392" s="81"/>
      <c r="AB2392" s="81"/>
      <c r="AC2392" s="86" t="s">
        <v>13237</v>
      </c>
      <c r="AD2392" s="81"/>
      <c r="AE2392" s="81" t="b">
        <v>0</v>
      </c>
      <c r="AF2392" s="81">
        <v>0</v>
      </c>
      <c r="AG2392" s="86" t="s">
        <v>2084</v>
      </c>
      <c r="AH2392" s="81" t="b">
        <v>0</v>
      </c>
      <c r="AI2392" s="81" t="s">
        <v>2171</v>
      </c>
      <c r="AJ2392" s="81"/>
      <c r="AK2392" s="86" t="s">
        <v>2084</v>
      </c>
      <c r="AL2392" s="81" t="b">
        <v>0</v>
      </c>
      <c r="AM2392" s="81">
        <v>8</v>
      </c>
      <c r="AN2392" s="86" t="s">
        <v>13265</v>
      </c>
      <c r="AO2392" s="86" t="s">
        <v>2181</v>
      </c>
      <c r="AP2392" s="81" t="b">
        <v>0</v>
      </c>
      <c r="AQ2392" s="86" t="s">
        <v>13265</v>
      </c>
      <c r="AR2392" s="81" t="s">
        <v>179</v>
      </c>
      <c r="AS2392" s="81">
        <v>0</v>
      </c>
      <c r="AT2392" s="81">
        <v>0</v>
      </c>
      <c r="AU2392" s="81"/>
      <c r="AV2392" s="81"/>
      <c r="AW2392" s="81"/>
      <c r="AX2392" s="81"/>
      <c r="AY2392" s="81"/>
      <c r="AZ2392" s="81"/>
      <c r="BA2392" s="81"/>
      <c r="BB2392" s="81"/>
    </row>
    <row r="2393" spans="1:54" x14ac:dyDescent="0.35">
      <c r="A2393" s="66" t="s">
        <v>12584</v>
      </c>
      <c r="B2393" s="66" t="s">
        <v>5212</v>
      </c>
      <c r="C2393" s="67"/>
      <c r="D2393" s="68"/>
      <c r="E2393" s="69"/>
      <c r="F2393" s="70"/>
      <c r="G2393" s="67"/>
      <c r="H2393" s="71"/>
      <c r="I2393" s="72"/>
      <c r="J2393" s="72"/>
      <c r="K2393" s="36"/>
      <c r="L2393" s="79"/>
      <c r="M2393" s="79"/>
      <c r="N2393" s="74"/>
      <c r="O2393" s="81" t="s">
        <v>694</v>
      </c>
      <c r="P2393" s="83">
        <v>44468.792164351849</v>
      </c>
      <c r="Q2393" s="81" t="s">
        <v>12806</v>
      </c>
      <c r="R2393" s="84" t="str">
        <f>HYPERLINK("https://byq6z.app.goo.gl/AZgEv")</f>
        <v>https://byq6z.app.goo.gl/AZgEv</v>
      </c>
      <c r="S2393" s="81" t="s">
        <v>5759</v>
      </c>
      <c r="T2393" s="81"/>
      <c r="U2393" s="81"/>
      <c r="V2393" s="84" t="str">
        <f>HYPERLINK("https://pbs.twimg.com/profile_images/981964368815579144/KDsAo5NW_normal.jpg")</f>
        <v>https://pbs.twimg.com/profile_images/981964368815579144/KDsAo5NW_normal.jpg</v>
      </c>
      <c r="W2393" s="83">
        <v>44468.792164351849</v>
      </c>
      <c r="X2393" s="89">
        <v>44468</v>
      </c>
      <c r="Y2393" s="86" t="s">
        <v>13000</v>
      </c>
      <c r="Z2393" s="84" t="str">
        <f>HYPERLINK("https://twitter.com/bibliotecaippur/status/1443289656762802193")</f>
        <v>https://twitter.com/bibliotecaippur/status/1443289656762802193</v>
      </c>
      <c r="AA2393" s="81"/>
      <c r="AB2393" s="81"/>
      <c r="AC2393" s="86" t="s">
        <v>13237</v>
      </c>
      <c r="AD2393" s="81"/>
      <c r="AE2393" s="81" t="b">
        <v>0</v>
      </c>
      <c r="AF2393" s="81">
        <v>0</v>
      </c>
      <c r="AG2393" s="86" t="s">
        <v>2084</v>
      </c>
      <c r="AH2393" s="81" t="b">
        <v>0</v>
      </c>
      <c r="AI2393" s="81" t="s">
        <v>2171</v>
      </c>
      <c r="AJ2393" s="81"/>
      <c r="AK2393" s="86" t="s">
        <v>2084</v>
      </c>
      <c r="AL2393" s="81" t="b">
        <v>0</v>
      </c>
      <c r="AM2393" s="81">
        <v>8</v>
      </c>
      <c r="AN2393" s="86" t="s">
        <v>13265</v>
      </c>
      <c r="AO2393" s="86" t="s">
        <v>2181</v>
      </c>
      <c r="AP2393" s="81" t="b">
        <v>0</v>
      </c>
      <c r="AQ2393" s="86" t="s">
        <v>13265</v>
      </c>
      <c r="AR2393" s="81" t="s">
        <v>179</v>
      </c>
      <c r="AS2393" s="81">
        <v>0</v>
      </c>
      <c r="AT2393" s="81">
        <v>0</v>
      </c>
      <c r="AU2393" s="81"/>
      <c r="AV2393" s="81"/>
      <c r="AW2393" s="81"/>
      <c r="AX2393" s="81"/>
      <c r="AY2393" s="81"/>
      <c r="AZ2393" s="81"/>
      <c r="BA2393" s="81"/>
      <c r="BB2393" s="81"/>
    </row>
    <row r="2394" spans="1:54" x14ac:dyDescent="0.35">
      <c r="A2394" s="66" t="s">
        <v>12584</v>
      </c>
      <c r="B2394" s="66" t="s">
        <v>4952</v>
      </c>
      <c r="C2394" s="67"/>
      <c r="D2394" s="68"/>
      <c r="E2394" s="69"/>
      <c r="F2394" s="70"/>
      <c r="G2394" s="67"/>
      <c r="H2394" s="71"/>
      <c r="I2394" s="72"/>
      <c r="J2394" s="72"/>
      <c r="K2394" s="36"/>
      <c r="L2394" s="79"/>
      <c r="M2394" s="79"/>
      <c r="N2394" s="74"/>
      <c r="O2394" s="81" t="s">
        <v>693</v>
      </c>
      <c r="P2394" s="83">
        <v>44468.792164351849</v>
      </c>
      <c r="Q2394" s="81" t="s">
        <v>12806</v>
      </c>
      <c r="R2394" s="84" t="str">
        <f>HYPERLINK("https://byq6z.app.goo.gl/AZgEv")</f>
        <v>https://byq6z.app.goo.gl/AZgEv</v>
      </c>
      <c r="S2394" s="81" t="s">
        <v>5759</v>
      </c>
      <c r="T2394" s="81"/>
      <c r="U2394" s="81"/>
      <c r="V2394" s="84" t="str">
        <f>HYPERLINK("https://pbs.twimg.com/profile_images/981964368815579144/KDsAo5NW_normal.jpg")</f>
        <v>https://pbs.twimg.com/profile_images/981964368815579144/KDsAo5NW_normal.jpg</v>
      </c>
      <c r="W2394" s="83">
        <v>44468.792164351849</v>
      </c>
      <c r="X2394" s="89">
        <v>44468</v>
      </c>
      <c r="Y2394" s="86" t="s">
        <v>13000</v>
      </c>
      <c r="Z2394" s="84" t="str">
        <f>HYPERLINK("https://twitter.com/bibliotecaippur/status/1443289656762802193")</f>
        <v>https://twitter.com/bibliotecaippur/status/1443289656762802193</v>
      </c>
      <c r="AA2394" s="81"/>
      <c r="AB2394" s="81"/>
      <c r="AC2394" s="86" t="s">
        <v>13237</v>
      </c>
      <c r="AD2394" s="81"/>
      <c r="AE2394" s="81" t="b">
        <v>0</v>
      </c>
      <c r="AF2394" s="81">
        <v>0</v>
      </c>
      <c r="AG2394" s="86" t="s">
        <v>2084</v>
      </c>
      <c r="AH2394" s="81" t="b">
        <v>0</v>
      </c>
      <c r="AI2394" s="81" t="s">
        <v>2171</v>
      </c>
      <c r="AJ2394" s="81"/>
      <c r="AK2394" s="86" t="s">
        <v>2084</v>
      </c>
      <c r="AL2394" s="81" t="b">
        <v>0</v>
      </c>
      <c r="AM2394" s="81">
        <v>8</v>
      </c>
      <c r="AN2394" s="86" t="s">
        <v>13265</v>
      </c>
      <c r="AO2394" s="86" t="s">
        <v>2181</v>
      </c>
      <c r="AP2394" s="81" t="b">
        <v>0</v>
      </c>
      <c r="AQ2394" s="86" t="s">
        <v>13265</v>
      </c>
      <c r="AR2394" s="81" t="s">
        <v>179</v>
      </c>
      <c r="AS2394" s="81">
        <v>0</v>
      </c>
      <c r="AT2394" s="81">
        <v>0</v>
      </c>
      <c r="AU2394" s="81"/>
      <c r="AV2394" s="81"/>
      <c r="AW2394" s="81"/>
      <c r="AX2394" s="81"/>
      <c r="AY2394" s="81"/>
      <c r="AZ2394" s="81"/>
      <c r="BA2394" s="81"/>
      <c r="BB2394" s="81"/>
    </row>
    <row r="2395" spans="1:54" x14ac:dyDescent="0.35">
      <c r="A2395" s="66" t="s">
        <v>12585</v>
      </c>
      <c r="B2395" s="66" t="s">
        <v>5210</v>
      </c>
      <c r="C2395" s="67"/>
      <c r="D2395" s="68"/>
      <c r="E2395" s="69"/>
      <c r="F2395" s="70"/>
      <c r="G2395" s="67"/>
      <c r="H2395" s="71"/>
      <c r="I2395" s="72"/>
      <c r="J2395" s="72"/>
      <c r="K2395" s="36"/>
      <c r="L2395" s="79"/>
      <c r="M2395" s="79"/>
      <c r="N2395" s="74"/>
      <c r="O2395" s="81" t="s">
        <v>694</v>
      </c>
      <c r="P2395" s="83">
        <v>44468.79378472222</v>
      </c>
      <c r="Q2395" s="81" t="s">
        <v>12806</v>
      </c>
      <c r="R2395" s="84" t="str">
        <f>HYPERLINK("https://byq6z.app.goo.gl/AZgEv")</f>
        <v>https://byq6z.app.goo.gl/AZgEv</v>
      </c>
      <c r="S2395" s="81" t="s">
        <v>5759</v>
      </c>
      <c r="T2395" s="81"/>
      <c r="U2395" s="81"/>
      <c r="V2395" s="84" t="str">
        <f>HYPERLINK("https://pbs.twimg.com/profile_images/1303090274055475203/YV2QaeYk_normal.jpg")</f>
        <v>https://pbs.twimg.com/profile_images/1303090274055475203/YV2QaeYk_normal.jpg</v>
      </c>
      <c r="W2395" s="83">
        <v>44468.79378472222</v>
      </c>
      <c r="X2395" s="89">
        <v>44468</v>
      </c>
      <c r="Y2395" s="86" t="s">
        <v>13001</v>
      </c>
      <c r="Z2395" s="84" t="str">
        <f>HYPERLINK("https://twitter.com/marcinhaboar/status/1443290243155861504")</f>
        <v>https://twitter.com/marcinhaboar/status/1443290243155861504</v>
      </c>
      <c r="AA2395" s="81"/>
      <c r="AB2395" s="81"/>
      <c r="AC2395" s="86" t="s">
        <v>13238</v>
      </c>
      <c r="AD2395" s="81"/>
      <c r="AE2395" s="81" t="b">
        <v>0</v>
      </c>
      <c r="AF2395" s="81">
        <v>0</v>
      </c>
      <c r="AG2395" s="86" t="s">
        <v>2084</v>
      </c>
      <c r="AH2395" s="81" t="b">
        <v>0</v>
      </c>
      <c r="AI2395" s="81" t="s">
        <v>2171</v>
      </c>
      <c r="AJ2395" s="81"/>
      <c r="AK2395" s="86" t="s">
        <v>2084</v>
      </c>
      <c r="AL2395" s="81" t="b">
        <v>0</v>
      </c>
      <c r="AM2395" s="81">
        <v>8</v>
      </c>
      <c r="AN2395" s="86" t="s">
        <v>13265</v>
      </c>
      <c r="AO2395" s="86" t="s">
        <v>2181</v>
      </c>
      <c r="AP2395" s="81" t="b">
        <v>0</v>
      </c>
      <c r="AQ2395" s="86" t="s">
        <v>13265</v>
      </c>
      <c r="AR2395" s="81" t="s">
        <v>179</v>
      </c>
      <c r="AS2395" s="81">
        <v>0</v>
      </c>
      <c r="AT2395" s="81">
        <v>0</v>
      </c>
      <c r="AU2395" s="81"/>
      <c r="AV2395" s="81"/>
      <c r="AW2395" s="81"/>
      <c r="AX2395" s="81"/>
      <c r="AY2395" s="81"/>
      <c r="AZ2395" s="81"/>
      <c r="BA2395" s="81"/>
      <c r="BB2395" s="81"/>
    </row>
    <row r="2396" spans="1:54" x14ac:dyDescent="0.35">
      <c r="A2396" s="66" t="s">
        <v>12585</v>
      </c>
      <c r="B2396" s="66" t="s">
        <v>4953</v>
      </c>
      <c r="C2396" s="67"/>
      <c r="D2396" s="68"/>
      <c r="E2396" s="69"/>
      <c r="F2396" s="70"/>
      <c r="G2396" s="67"/>
      <c r="H2396" s="71"/>
      <c r="I2396" s="72"/>
      <c r="J2396" s="72"/>
      <c r="K2396" s="36"/>
      <c r="L2396" s="79"/>
      <c r="M2396" s="79"/>
      <c r="N2396" s="74"/>
      <c r="O2396" s="81" t="s">
        <v>694</v>
      </c>
      <c r="P2396" s="83">
        <v>44468.79378472222</v>
      </c>
      <c r="Q2396" s="81" t="s">
        <v>12806</v>
      </c>
      <c r="R2396" s="84" t="str">
        <f>HYPERLINK("https://byq6z.app.goo.gl/AZgEv")</f>
        <v>https://byq6z.app.goo.gl/AZgEv</v>
      </c>
      <c r="S2396" s="81" t="s">
        <v>5759</v>
      </c>
      <c r="T2396" s="81"/>
      <c r="U2396" s="81"/>
      <c r="V2396" s="84" t="str">
        <f>HYPERLINK("https://pbs.twimg.com/profile_images/1303090274055475203/YV2QaeYk_normal.jpg")</f>
        <v>https://pbs.twimg.com/profile_images/1303090274055475203/YV2QaeYk_normal.jpg</v>
      </c>
      <c r="W2396" s="83">
        <v>44468.79378472222</v>
      </c>
      <c r="X2396" s="89">
        <v>44468</v>
      </c>
      <c r="Y2396" s="86" t="s">
        <v>13001</v>
      </c>
      <c r="Z2396" s="84" t="str">
        <f>HYPERLINK("https://twitter.com/marcinhaboar/status/1443290243155861504")</f>
        <v>https://twitter.com/marcinhaboar/status/1443290243155861504</v>
      </c>
      <c r="AA2396" s="81"/>
      <c r="AB2396" s="81"/>
      <c r="AC2396" s="86" t="s">
        <v>13238</v>
      </c>
      <c r="AD2396" s="81"/>
      <c r="AE2396" s="81" t="b">
        <v>0</v>
      </c>
      <c r="AF2396" s="81">
        <v>0</v>
      </c>
      <c r="AG2396" s="86" t="s">
        <v>2084</v>
      </c>
      <c r="AH2396" s="81" t="b">
        <v>0</v>
      </c>
      <c r="AI2396" s="81" t="s">
        <v>2171</v>
      </c>
      <c r="AJ2396" s="81"/>
      <c r="AK2396" s="86" t="s">
        <v>2084</v>
      </c>
      <c r="AL2396" s="81" t="b">
        <v>0</v>
      </c>
      <c r="AM2396" s="81">
        <v>8</v>
      </c>
      <c r="AN2396" s="86" t="s">
        <v>13265</v>
      </c>
      <c r="AO2396" s="86" t="s">
        <v>2181</v>
      </c>
      <c r="AP2396" s="81" t="b">
        <v>0</v>
      </c>
      <c r="AQ2396" s="86" t="s">
        <v>13265</v>
      </c>
      <c r="AR2396" s="81" t="s">
        <v>179</v>
      </c>
      <c r="AS2396" s="81">
        <v>0</v>
      </c>
      <c r="AT2396" s="81">
        <v>0</v>
      </c>
      <c r="AU2396" s="81"/>
      <c r="AV2396" s="81"/>
      <c r="AW2396" s="81"/>
      <c r="AX2396" s="81"/>
      <c r="AY2396" s="81"/>
      <c r="AZ2396" s="81"/>
      <c r="BA2396" s="81"/>
      <c r="BB2396" s="81"/>
    </row>
    <row r="2397" spans="1:54" x14ac:dyDescent="0.35">
      <c r="A2397" s="66" t="s">
        <v>12585</v>
      </c>
      <c r="B2397" s="66" t="s">
        <v>5211</v>
      </c>
      <c r="C2397" s="67"/>
      <c r="D2397" s="68"/>
      <c r="E2397" s="69"/>
      <c r="F2397" s="70"/>
      <c r="G2397" s="67"/>
      <c r="H2397" s="71"/>
      <c r="I2397" s="72"/>
      <c r="J2397" s="72"/>
      <c r="K2397" s="36"/>
      <c r="L2397" s="79"/>
      <c r="M2397" s="79"/>
      <c r="N2397" s="74"/>
      <c r="O2397" s="81" t="s">
        <v>694</v>
      </c>
      <c r="P2397" s="83">
        <v>44468.79378472222</v>
      </c>
      <c r="Q2397" s="81" t="s">
        <v>12806</v>
      </c>
      <c r="R2397" s="84" t="str">
        <f>HYPERLINK("https://byq6z.app.goo.gl/AZgEv")</f>
        <v>https://byq6z.app.goo.gl/AZgEv</v>
      </c>
      <c r="S2397" s="81" t="s">
        <v>5759</v>
      </c>
      <c r="T2397" s="81"/>
      <c r="U2397" s="81"/>
      <c r="V2397" s="84" t="str">
        <f>HYPERLINK("https://pbs.twimg.com/profile_images/1303090274055475203/YV2QaeYk_normal.jpg")</f>
        <v>https://pbs.twimg.com/profile_images/1303090274055475203/YV2QaeYk_normal.jpg</v>
      </c>
      <c r="W2397" s="83">
        <v>44468.79378472222</v>
      </c>
      <c r="X2397" s="89">
        <v>44468</v>
      </c>
      <c r="Y2397" s="86" t="s">
        <v>13001</v>
      </c>
      <c r="Z2397" s="84" t="str">
        <f>HYPERLINK("https://twitter.com/marcinhaboar/status/1443290243155861504")</f>
        <v>https://twitter.com/marcinhaboar/status/1443290243155861504</v>
      </c>
      <c r="AA2397" s="81"/>
      <c r="AB2397" s="81"/>
      <c r="AC2397" s="86" t="s">
        <v>13238</v>
      </c>
      <c r="AD2397" s="81"/>
      <c r="AE2397" s="81" t="b">
        <v>0</v>
      </c>
      <c r="AF2397" s="81">
        <v>0</v>
      </c>
      <c r="AG2397" s="86" t="s">
        <v>2084</v>
      </c>
      <c r="AH2397" s="81" t="b">
        <v>0</v>
      </c>
      <c r="AI2397" s="81" t="s">
        <v>2171</v>
      </c>
      <c r="AJ2397" s="81"/>
      <c r="AK2397" s="86" t="s">
        <v>2084</v>
      </c>
      <c r="AL2397" s="81" t="b">
        <v>0</v>
      </c>
      <c r="AM2397" s="81">
        <v>8</v>
      </c>
      <c r="AN2397" s="86" t="s">
        <v>13265</v>
      </c>
      <c r="AO2397" s="86" t="s">
        <v>2181</v>
      </c>
      <c r="AP2397" s="81" t="b">
        <v>0</v>
      </c>
      <c r="AQ2397" s="86" t="s">
        <v>13265</v>
      </c>
      <c r="AR2397" s="81" t="s">
        <v>179</v>
      </c>
      <c r="AS2397" s="81">
        <v>0</v>
      </c>
      <c r="AT2397" s="81">
        <v>0</v>
      </c>
      <c r="AU2397" s="81"/>
      <c r="AV2397" s="81"/>
      <c r="AW2397" s="81"/>
      <c r="AX2397" s="81"/>
      <c r="AY2397" s="81"/>
      <c r="AZ2397" s="81"/>
      <c r="BA2397" s="81"/>
      <c r="BB2397" s="81"/>
    </row>
    <row r="2398" spans="1:54" x14ac:dyDescent="0.35">
      <c r="A2398" s="66" t="s">
        <v>12585</v>
      </c>
      <c r="B2398" s="66" t="s">
        <v>5212</v>
      </c>
      <c r="C2398" s="67"/>
      <c r="D2398" s="68"/>
      <c r="E2398" s="69"/>
      <c r="F2398" s="70"/>
      <c r="G2398" s="67"/>
      <c r="H2398" s="71"/>
      <c r="I2398" s="72"/>
      <c r="J2398" s="72"/>
      <c r="K2398" s="36"/>
      <c r="L2398" s="79"/>
      <c r="M2398" s="79"/>
      <c r="N2398" s="74"/>
      <c r="O2398" s="81" t="s">
        <v>694</v>
      </c>
      <c r="P2398" s="83">
        <v>44468.79378472222</v>
      </c>
      <c r="Q2398" s="81" t="s">
        <v>12806</v>
      </c>
      <c r="R2398" s="84" t="str">
        <f>HYPERLINK("https://byq6z.app.goo.gl/AZgEv")</f>
        <v>https://byq6z.app.goo.gl/AZgEv</v>
      </c>
      <c r="S2398" s="81" t="s">
        <v>5759</v>
      </c>
      <c r="T2398" s="81"/>
      <c r="U2398" s="81"/>
      <c r="V2398" s="84" t="str">
        <f>HYPERLINK("https://pbs.twimg.com/profile_images/1303090274055475203/YV2QaeYk_normal.jpg")</f>
        <v>https://pbs.twimg.com/profile_images/1303090274055475203/YV2QaeYk_normal.jpg</v>
      </c>
      <c r="W2398" s="83">
        <v>44468.79378472222</v>
      </c>
      <c r="X2398" s="89">
        <v>44468</v>
      </c>
      <c r="Y2398" s="86" t="s">
        <v>13001</v>
      </c>
      <c r="Z2398" s="84" t="str">
        <f>HYPERLINK("https://twitter.com/marcinhaboar/status/1443290243155861504")</f>
        <v>https://twitter.com/marcinhaboar/status/1443290243155861504</v>
      </c>
      <c r="AA2398" s="81"/>
      <c r="AB2398" s="81"/>
      <c r="AC2398" s="86" t="s">
        <v>13238</v>
      </c>
      <c r="AD2398" s="81"/>
      <c r="AE2398" s="81" t="b">
        <v>0</v>
      </c>
      <c r="AF2398" s="81">
        <v>0</v>
      </c>
      <c r="AG2398" s="86" t="s">
        <v>2084</v>
      </c>
      <c r="AH2398" s="81" t="b">
        <v>0</v>
      </c>
      <c r="AI2398" s="81" t="s">
        <v>2171</v>
      </c>
      <c r="AJ2398" s="81"/>
      <c r="AK2398" s="86" t="s">
        <v>2084</v>
      </c>
      <c r="AL2398" s="81" t="b">
        <v>0</v>
      </c>
      <c r="AM2398" s="81">
        <v>8</v>
      </c>
      <c r="AN2398" s="86" t="s">
        <v>13265</v>
      </c>
      <c r="AO2398" s="86" t="s">
        <v>2181</v>
      </c>
      <c r="AP2398" s="81" t="b">
        <v>0</v>
      </c>
      <c r="AQ2398" s="86" t="s">
        <v>13265</v>
      </c>
      <c r="AR2398" s="81" t="s">
        <v>179</v>
      </c>
      <c r="AS2398" s="81">
        <v>0</v>
      </c>
      <c r="AT2398" s="81">
        <v>0</v>
      </c>
      <c r="AU2398" s="81"/>
      <c r="AV2398" s="81"/>
      <c r="AW2398" s="81"/>
      <c r="AX2398" s="81"/>
      <c r="AY2398" s="81"/>
      <c r="AZ2398" s="81"/>
      <c r="BA2398" s="81"/>
      <c r="BB2398" s="81"/>
    </row>
    <row r="2399" spans="1:54" x14ac:dyDescent="0.35">
      <c r="A2399" s="66" t="s">
        <v>12585</v>
      </c>
      <c r="B2399" s="66" t="s">
        <v>4952</v>
      </c>
      <c r="C2399" s="67"/>
      <c r="D2399" s="68"/>
      <c r="E2399" s="69"/>
      <c r="F2399" s="70"/>
      <c r="G2399" s="67"/>
      <c r="H2399" s="71"/>
      <c r="I2399" s="72"/>
      <c r="J2399" s="72"/>
      <c r="K2399" s="36"/>
      <c r="L2399" s="79"/>
      <c r="M2399" s="79"/>
      <c r="N2399" s="74"/>
      <c r="O2399" s="81" t="s">
        <v>693</v>
      </c>
      <c r="P2399" s="83">
        <v>44468.79378472222</v>
      </c>
      <c r="Q2399" s="81" t="s">
        <v>12806</v>
      </c>
      <c r="R2399" s="84" t="str">
        <f>HYPERLINK("https://byq6z.app.goo.gl/AZgEv")</f>
        <v>https://byq6z.app.goo.gl/AZgEv</v>
      </c>
      <c r="S2399" s="81" t="s">
        <v>5759</v>
      </c>
      <c r="T2399" s="81"/>
      <c r="U2399" s="81"/>
      <c r="V2399" s="84" t="str">
        <f>HYPERLINK("https://pbs.twimg.com/profile_images/1303090274055475203/YV2QaeYk_normal.jpg")</f>
        <v>https://pbs.twimg.com/profile_images/1303090274055475203/YV2QaeYk_normal.jpg</v>
      </c>
      <c r="W2399" s="83">
        <v>44468.79378472222</v>
      </c>
      <c r="X2399" s="89">
        <v>44468</v>
      </c>
      <c r="Y2399" s="86" t="s">
        <v>13001</v>
      </c>
      <c r="Z2399" s="84" t="str">
        <f>HYPERLINK("https://twitter.com/marcinhaboar/status/1443290243155861504")</f>
        <v>https://twitter.com/marcinhaboar/status/1443290243155861504</v>
      </c>
      <c r="AA2399" s="81"/>
      <c r="AB2399" s="81"/>
      <c r="AC2399" s="86" t="s">
        <v>13238</v>
      </c>
      <c r="AD2399" s="81"/>
      <c r="AE2399" s="81" t="b">
        <v>0</v>
      </c>
      <c r="AF2399" s="81">
        <v>0</v>
      </c>
      <c r="AG2399" s="86" t="s">
        <v>2084</v>
      </c>
      <c r="AH2399" s="81" t="b">
        <v>0</v>
      </c>
      <c r="AI2399" s="81" t="s">
        <v>2171</v>
      </c>
      <c r="AJ2399" s="81"/>
      <c r="AK2399" s="86" t="s">
        <v>2084</v>
      </c>
      <c r="AL2399" s="81" t="b">
        <v>0</v>
      </c>
      <c r="AM2399" s="81">
        <v>8</v>
      </c>
      <c r="AN2399" s="86" t="s">
        <v>13265</v>
      </c>
      <c r="AO2399" s="86" t="s">
        <v>2181</v>
      </c>
      <c r="AP2399" s="81" t="b">
        <v>0</v>
      </c>
      <c r="AQ2399" s="86" t="s">
        <v>13265</v>
      </c>
      <c r="AR2399" s="81" t="s">
        <v>179</v>
      </c>
      <c r="AS2399" s="81">
        <v>0</v>
      </c>
      <c r="AT2399" s="81">
        <v>0</v>
      </c>
      <c r="AU2399" s="81"/>
      <c r="AV2399" s="81"/>
      <c r="AW2399" s="81"/>
      <c r="AX2399" s="81"/>
      <c r="AY2399" s="81"/>
      <c r="AZ2399" s="81"/>
      <c r="BA2399" s="81"/>
      <c r="BB2399" s="81"/>
    </row>
    <row r="2400" spans="1:54" x14ac:dyDescent="0.35">
      <c r="A2400" s="66" t="s">
        <v>4937</v>
      </c>
      <c r="B2400" s="66" t="s">
        <v>5210</v>
      </c>
      <c r="C2400" s="67"/>
      <c r="D2400" s="68"/>
      <c r="E2400" s="69"/>
      <c r="F2400" s="70"/>
      <c r="G2400" s="67"/>
      <c r="H2400" s="71"/>
      <c r="I2400" s="72"/>
      <c r="J2400" s="72"/>
      <c r="K2400" s="36"/>
      <c r="L2400" s="79"/>
      <c r="M2400" s="79"/>
      <c r="N2400" s="74"/>
      <c r="O2400" s="81" t="s">
        <v>696</v>
      </c>
      <c r="P2400" s="83">
        <v>44467.717418981483</v>
      </c>
      <c r="Q2400" s="81" t="s">
        <v>5630</v>
      </c>
      <c r="R2400" s="84" t="str">
        <f>HYPERLINK("https://byq6z.app.goo.gl/NzREi")</f>
        <v>https://byq6z.app.goo.gl/NzREi</v>
      </c>
      <c r="S2400" s="81" t="s">
        <v>5759</v>
      </c>
      <c r="T2400" s="81"/>
      <c r="U2400" s="81"/>
      <c r="V2400" s="84" t="str">
        <f>HYPERLINK("https://pbs.twimg.com/profile_images/1429632276606951426/cph6gg0j_normal.jpg")</f>
        <v>https://pbs.twimg.com/profile_images/1429632276606951426/cph6gg0j_normal.jpg</v>
      </c>
      <c r="W2400" s="83">
        <v>44467.717418981483</v>
      </c>
      <c r="X2400" s="89">
        <v>44467</v>
      </c>
      <c r="Y2400" s="86" t="s">
        <v>6609</v>
      </c>
      <c r="Z2400" s="84" t="str">
        <f>HYPERLINK("https://twitter.com/gustavobarreto_/status/1442900181536575488")</f>
        <v>https://twitter.com/gustavobarreto_/status/1442900181536575488</v>
      </c>
      <c r="AA2400" s="81"/>
      <c r="AB2400" s="81"/>
      <c r="AC2400" s="86" t="s">
        <v>7533</v>
      </c>
      <c r="AD2400" s="81"/>
      <c r="AE2400" s="81" t="b">
        <v>0</v>
      </c>
      <c r="AF2400" s="81">
        <v>0</v>
      </c>
      <c r="AG2400" s="86" t="s">
        <v>2084</v>
      </c>
      <c r="AH2400" s="81" t="b">
        <v>0</v>
      </c>
      <c r="AI2400" s="81" t="s">
        <v>2171</v>
      </c>
      <c r="AJ2400" s="81"/>
      <c r="AK2400" s="86" t="s">
        <v>2084</v>
      </c>
      <c r="AL2400" s="81" t="b">
        <v>0</v>
      </c>
      <c r="AM2400" s="81">
        <v>0</v>
      </c>
      <c r="AN2400" s="86" t="s">
        <v>2084</v>
      </c>
      <c r="AO2400" s="86" t="s">
        <v>7989</v>
      </c>
      <c r="AP2400" s="81" t="b">
        <v>0</v>
      </c>
      <c r="AQ2400" s="86" t="s">
        <v>7533</v>
      </c>
      <c r="AR2400" s="81" t="s">
        <v>179</v>
      </c>
      <c r="AS2400" s="81">
        <v>0</v>
      </c>
      <c r="AT2400" s="81">
        <v>0</v>
      </c>
      <c r="AU2400" s="81"/>
      <c r="AV2400" s="81"/>
      <c r="AW2400" s="81"/>
      <c r="AX2400" s="81"/>
      <c r="AY2400" s="81"/>
      <c r="AZ2400" s="81"/>
      <c r="BA2400" s="81"/>
      <c r="BB2400" s="81"/>
    </row>
    <row r="2401" spans="1:54" x14ac:dyDescent="0.35">
      <c r="A2401" s="66" t="s">
        <v>4937</v>
      </c>
      <c r="B2401" s="66" t="s">
        <v>4953</v>
      </c>
      <c r="C2401" s="67"/>
      <c r="D2401" s="68"/>
      <c r="E2401" s="69"/>
      <c r="F2401" s="70"/>
      <c r="G2401" s="67"/>
      <c r="H2401" s="71"/>
      <c r="I2401" s="72"/>
      <c r="J2401" s="72"/>
      <c r="K2401" s="36"/>
      <c r="L2401" s="79"/>
      <c r="M2401" s="79"/>
      <c r="N2401" s="74"/>
      <c r="O2401" s="81" t="s">
        <v>696</v>
      </c>
      <c r="P2401" s="83">
        <v>44467.717418981483</v>
      </c>
      <c r="Q2401" s="81" t="s">
        <v>5630</v>
      </c>
      <c r="R2401" s="84" t="str">
        <f>HYPERLINK("https://byq6z.app.goo.gl/NzREi")</f>
        <v>https://byq6z.app.goo.gl/NzREi</v>
      </c>
      <c r="S2401" s="81" t="s">
        <v>5759</v>
      </c>
      <c r="T2401" s="81"/>
      <c r="U2401" s="81"/>
      <c r="V2401" s="84" t="str">
        <f>HYPERLINK("https://pbs.twimg.com/profile_images/1429632276606951426/cph6gg0j_normal.jpg")</f>
        <v>https://pbs.twimg.com/profile_images/1429632276606951426/cph6gg0j_normal.jpg</v>
      </c>
      <c r="W2401" s="83">
        <v>44467.717418981483</v>
      </c>
      <c r="X2401" s="89">
        <v>44467</v>
      </c>
      <c r="Y2401" s="86" t="s">
        <v>6609</v>
      </c>
      <c r="Z2401" s="84" t="str">
        <f>HYPERLINK("https://twitter.com/gustavobarreto_/status/1442900181536575488")</f>
        <v>https://twitter.com/gustavobarreto_/status/1442900181536575488</v>
      </c>
      <c r="AA2401" s="81"/>
      <c r="AB2401" s="81"/>
      <c r="AC2401" s="86" t="s">
        <v>7533</v>
      </c>
      <c r="AD2401" s="81"/>
      <c r="AE2401" s="81" t="b">
        <v>0</v>
      </c>
      <c r="AF2401" s="81">
        <v>0</v>
      </c>
      <c r="AG2401" s="86" t="s">
        <v>2084</v>
      </c>
      <c r="AH2401" s="81" t="b">
        <v>0</v>
      </c>
      <c r="AI2401" s="81" t="s">
        <v>2171</v>
      </c>
      <c r="AJ2401" s="81"/>
      <c r="AK2401" s="86" t="s">
        <v>2084</v>
      </c>
      <c r="AL2401" s="81" t="b">
        <v>0</v>
      </c>
      <c r="AM2401" s="81">
        <v>0</v>
      </c>
      <c r="AN2401" s="86" t="s">
        <v>2084</v>
      </c>
      <c r="AO2401" s="86" t="s">
        <v>7989</v>
      </c>
      <c r="AP2401" s="81" t="b">
        <v>0</v>
      </c>
      <c r="AQ2401" s="86" t="s">
        <v>7533</v>
      </c>
      <c r="AR2401" s="81" t="s">
        <v>179</v>
      </c>
      <c r="AS2401" s="81">
        <v>0</v>
      </c>
      <c r="AT2401" s="81">
        <v>0</v>
      </c>
      <c r="AU2401" s="81"/>
      <c r="AV2401" s="81"/>
      <c r="AW2401" s="81"/>
      <c r="AX2401" s="81"/>
      <c r="AY2401" s="81"/>
      <c r="AZ2401" s="81"/>
      <c r="BA2401" s="81"/>
      <c r="BB2401" s="81"/>
    </row>
    <row r="2402" spans="1:54" x14ac:dyDescent="0.35">
      <c r="A2402" s="66" t="s">
        <v>4937</v>
      </c>
      <c r="B2402" s="66" t="s">
        <v>5211</v>
      </c>
      <c r="C2402" s="67"/>
      <c r="D2402" s="68"/>
      <c r="E2402" s="69"/>
      <c r="F2402" s="70"/>
      <c r="G2402" s="67"/>
      <c r="H2402" s="71"/>
      <c r="I2402" s="72"/>
      <c r="J2402" s="72"/>
      <c r="K2402" s="36"/>
      <c r="L2402" s="79"/>
      <c r="M2402" s="79"/>
      <c r="N2402" s="74"/>
      <c r="O2402" s="81" t="s">
        <v>696</v>
      </c>
      <c r="P2402" s="83">
        <v>44467.717418981483</v>
      </c>
      <c r="Q2402" s="81" t="s">
        <v>5630</v>
      </c>
      <c r="R2402" s="84" t="str">
        <f>HYPERLINK("https://byq6z.app.goo.gl/NzREi")</f>
        <v>https://byq6z.app.goo.gl/NzREi</v>
      </c>
      <c r="S2402" s="81" t="s">
        <v>5759</v>
      </c>
      <c r="T2402" s="81"/>
      <c r="U2402" s="81"/>
      <c r="V2402" s="84" t="str">
        <f>HYPERLINK("https://pbs.twimg.com/profile_images/1429632276606951426/cph6gg0j_normal.jpg")</f>
        <v>https://pbs.twimg.com/profile_images/1429632276606951426/cph6gg0j_normal.jpg</v>
      </c>
      <c r="W2402" s="83">
        <v>44467.717418981483</v>
      </c>
      <c r="X2402" s="89">
        <v>44467</v>
      </c>
      <c r="Y2402" s="86" t="s">
        <v>6609</v>
      </c>
      <c r="Z2402" s="84" t="str">
        <f>HYPERLINK("https://twitter.com/gustavobarreto_/status/1442900181536575488")</f>
        <v>https://twitter.com/gustavobarreto_/status/1442900181536575488</v>
      </c>
      <c r="AA2402" s="81"/>
      <c r="AB2402" s="81"/>
      <c r="AC2402" s="86" t="s">
        <v>7533</v>
      </c>
      <c r="AD2402" s="81"/>
      <c r="AE2402" s="81" t="b">
        <v>0</v>
      </c>
      <c r="AF2402" s="81">
        <v>0</v>
      </c>
      <c r="AG2402" s="86" t="s">
        <v>2084</v>
      </c>
      <c r="AH2402" s="81" t="b">
        <v>0</v>
      </c>
      <c r="AI2402" s="81" t="s">
        <v>2171</v>
      </c>
      <c r="AJ2402" s="81"/>
      <c r="AK2402" s="86" t="s">
        <v>2084</v>
      </c>
      <c r="AL2402" s="81" t="b">
        <v>0</v>
      </c>
      <c r="AM2402" s="81">
        <v>0</v>
      </c>
      <c r="AN2402" s="86" t="s">
        <v>2084</v>
      </c>
      <c r="AO2402" s="86" t="s">
        <v>7989</v>
      </c>
      <c r="AP2402" s="81" t="b">
        <v>0</v>
      </c>
      <c r="AQ2402" s="86" t="s">
        <v>7533</v>
      </c>
      <c r="AR2402" s="81" t="s">
        <v>179</v>
      </c>
      <c r="AS2402" s="81">
        <v>0</v>
      </c>
      <c r="AT2402" s="81">
        <v>0</v>
      </c>
      <c r="AU2402" s="81"/>
      <c r="AV2402" s="81"/>
      <c r="AW2402" s="81"/>
      <c r="AX2402" s="81"/>
      <c r="AY2402" s="81"/>
      <c r="AZ2402" s="81"/>
      <c r="BA2402" s="81"/>
      <c r="BB2402" s="81"/>
    </row>
    <row r="2403" spans="1:54" x14ac:dyDescent="0.35">
      <c r="A2403" s="66" t="s">
        <v>4937</v>
      </c>
      <c r="B2403" s="66" t="s">
        <v>5212</v>
      </c>
      <c r="C2403" s="67"/>
      <c r="D2403" s="68"/>
      <c r="E2403" s="69"/>
      <c r="F2403" s="70"/>
      <c r="G2403" s="67"/>
      <c r="H2403" s="71"/>
      <c r="I2403" s="72"/>
      <c r="J2403" s="72"/>
      <c r="K2403" s="36"/>
      <c r="L2403" s="79"/>
      <c r="M2403" s="79"/>
      <c r="N2403" s="74"/>
      <c r="O2403" s="81" t="s">
        <v>696</v>
      </c>
      <c r="P2403" s="83">
        <v>44467.717418981483</v>
      </c>
      <c r="Q2403" s="81" t="s">
        <v>5630</v>
      </c>
      <c r="R2403" s="84" t="str">
        <f>HYPERLINK("https://byq6z.app.goo.gl/NzREi")</f>
        <v>https://byq6z.app.goo.gl/NzREi</v>
      </c>
      <c r="S2403" s="81" t="s">
        <v>5759</v>
      </c>
      <c r="T2403" s="81"/>
      <c r="U2403" s="81"/>
      <c r="V2403" s="84" t="str">
        <f>HYPERLINK("https://pbs.twimg.com/profile_images/1429632276606951426/cph6gg0j_normal.jpg")</f>
        <v>https://pbs.twimg.com/profile_images/1429632276606951426/cph6gg0j_normal.jpg</v>
      </c>
      <c r="W2403" s="83">
        <v>44467.717418981483</v>
      </c>
      <c r="X2403" s="89">
        <v>44467</v>
      </c>
      <c r="Y2403" s="86" t="s">
        <v>6609</v>
      </c>
      <c r="Z2403" s="84" t="str">
        <f>HYPERLINK("https://twitter.com/gustavobarreto_/status/1442900181536575488")</f>
        <v>https://twitter.com/gustavobarreto_/status/1442900181536575488</v>
      </c>
      <c r="AA2403" s="81"/>
      <c r="AB2403" s="81"/>
      <c r="AC2403" s="86" t="s">
        <v>7533</v>
      </c>
      <c r="AD2403" s="81"/>
      <c r="AE2403" s="81" t="b">
        <v>0</v>
      </c>
      <c r="AF2403" s="81">
        <v>0</v>
      </c>
      <c r="AG2403" s="86" t="s">
        <v>2084</v>
      </c>
      <c r="AH2403" s="81" t="b">
        <v>0</v>
      </c>
      <c r="AI2403" s="81" t="s">
        <v>2171</v>
      </c>
      <c r="AJ2403" s="81"/>
      <c r="AK2403" s="86" t="s">
        <v>2084</v>
      </c>
      <c r="AL2403" s="81" t="b">
        <v>0</v>
      </c>
      <c r="AM2403" s="81">
        <v>0</v>
      </c>
      <c r="AN2403" s="86" t="s">
        <v>2084</v>
      </c>
      <c r="AO2403" s="86" t="s">
        <v>7989</v>
      </c>
      <c r="AP2403" s="81" t="b">
        <v>0</v>
      </c>
      <c r="AQ2403" s="86" t="s">
        <v>7533</v>
      </c>
      <c r="AR2403" s="81" t="s">
        <v>179</v>
      </c>
      <c r="AS2403" s="81">
        <v>0</v>
      </c>
      <c r="AT2403" s="81">
        <v>0</v>
      </c>
      <c r="AU2403" s="81"/>
      <c r="AV2403" s="81"/>
      <c r="AW2403" s="81"/>
      <c r="AX2403" s="81"/>
      <c r="AY2403" s="81"/>
      <c r="AZ2403" s="81"/>
      <c r="BA2403" s="81"/>
      <c r="BB2403" s="81"/>
    </row>
    <row r="2404" spans="1:54" x14ac:dyDescent="0.35">
      <c r="A2404" s="66" t="s">
        <v>4937</v>
      </c>
      <c r="B2404" s="66" t="s">
        <v>5210</v>
      </c>
      <c r="C2404" s="67"/>
      <c r="D2404" s="68"/>
      <c r="E2404" s="69"/>
      <c r="F2404" s="70"/>
      <c r="G2404" s="67"/>
      <c r="H2404" s="71"/>
      <c r="I2404" s="72"/>
      <c r="J2404" s="72"/>
      <c r="K2404" s="36"/>
      <c r="L2404" s="79"/>
      <c r="M2404" s="79"/>
      <c r="N2404" s="74"/>
      <c r="O2404" s="81" t="s">
        <v>696</v>
      </c>
      <c r="P2404" s="83">
        <v>44468.794548611113</v>
      </c>
      <c r="Q2404" s="81" t="s">
        <v>12807</v>
      </c>
      <c r="R2404" s="84" t="str">
        <f>HYPERLINK("https://byq6z.app.goo.gl/AZgEv")</f>
        <v>https://byq6z.app.goo.gl/AZgEv</v>
      </c>
      <c r="S2404" s="81" t="s">
        <v>5759</v>
      </c>
      <c r="T2404" s="81"/>
      <c r="U2404" s="81"/>
      <c r="V2404" s="84" t="str">
        <f>HYPERLINK("https://pbs.twimg.com/profile_images/1429632276606951426/cph6gg0j_normal.jpg")</f>
        <v>https://pbs.twimg.com/profile_images/1429632276606951426/cph6gg0j_normal.jpg</v>
      </c>
      <c r="W2404" s="83">
        <v>44468.794548611113</v>
      </c>
      <c r="X2404" s="89">
        <v>44468</v>
      </c>
      <c r="Y2404" s="86" t="s">
        <v>13002</v>
      </c>
      <c r="Z2404" s="84" t="str">
        <f>HYPERLINK("https://twitter.com/gustavobarreto_/status/1443290521267494915")</f>
        <v>https://twitter.com/gustavobarreto_/status/1443290521267494915</v>
      </c>
      <c r="AA2404" s="81"/>
      <c r="AB2404" s="81"/>
      <c r="AC2404" s="86" t="s">
        <v>13239</v>
      </c>
      <c r="AD2404" s="81"/>
      <c r="AE2404" s="81" t="b">
        <v>0</v>
      </c>
      <c r="AF2404" s="81">
        <v>0</v>
      </c>
      <c r="AG2404" s="86" t="s">
        <v>2084</v>
      </c>
      <c r="AH2404" s="81" t="b">
        <v>0</v>
      </c>
      <c r="AI2404" s="81" t="s">
        <v>2171</v>
      </c>
      <c r="AJ2404" s="81"/>
      <c r="AK2404" s="86" t="s">
        <v>2084</v>
      </c>
      <c r="AL2404" s="81" t="b">
        <v>0</v>
      </c>
      <c r="AM2404" s="81">
        <v>0</v>
      </c>
      <c r="AN2404" s="86" t="s">
        <v>2084</v>
      </c>
      <c r="AO2404" s="86" t="s">
        <v>7989</v>
      </c>
      <c r="AP2404" s="81" t="b">
        <v>0</v>
      </c>
      <c r="AQ2404" s="86" t="s">
        <v>13239</v>
      </c>
      <c r="AR2404" s="81" t="s">
        <v>179</v>
      </c>
      <c r="AS2404" s="81">
        <v>0</v>
      </c>
      <c r="AT2404" s="81">
        <v>0</v>
      </c>
      <c r="AU2404" s="81"/>
      <c r="AV2404" s="81"/>
      <c r="AW2404" s="81"/>
      <c r="AX2404" s="81"/>
      <c r="AY2404" s="81"/>
      <c r="AZ2404" s="81"/>
      <c r="BA2404" s="81"/>
      <c r="BB2404" s="81"/>
    </row>
    <row r="2405" spans="1:54" x14ac:dyDescent="0.35">
      <c r="A2405" s="66" t="s">
        <v>4937</v>
      </c>
      <c r="B2405" s="66" t="s">
        <v>4953</v>
      </c>
      <c r="C2405" s="67"/>
      <c r="D2405" s="68"/>
      <c r="E2405" s="69"/>
      <c r="F2405" s="70"/>
      <c r="G2405" s="67"/>
      <c r="H2405" s="71"/>
      <c r="I2405" s="72"/>
      <c r="J2405" s="72"/>
      <c r="K2405" s="36"/>
      <c r="L2405" s="79"/>
      <c r="M2405" s="79"/>
      <c r="N2405" s="74"/>
      <c r="O2405" s="81" t="s">
        <v>696</v>
      </c>
      <c r="P2405" s="83">
        <v>44468.794548611113</v>
      </c>
      <c r="Q2405" s="81" t="s">
        <v>12807</v>
      </c>
      <c r="R2405" s="84" t="str">
        <f>HYPERLINK("https://byq6z.app.goo.gl/AZgEv")</f>
        <v>https://byq6z.app.goo.gl/AZgEv</v>
      </c>
      <c r="S2405" s="81" t="s">
        <v>5759</v>
      </c>
      <c r="T2405" s="81"/>
      <c r="U2405" s="81"/>
      <c r="V2405" s="84" t="str">
        <f>HYPERLINK("https://pbs.twimg.com/profile_images/1429632276606951426/cph6gg0j_normal.jpg")</f>
        <v>https://pbs.twimg.com/profile_images/1429632276606951426/cph6gg0j_normal.jpg</v>
      </c>
      <c r="W2405" s="83">
        <v>44468.794548611113</v>
      </c>
      <c r="X2405" s="89">
        <v>44468</v>
      </c>
      <c r="Y2405" s="86" t="s">
        <v>13002</v>
      </c>
      <c r="Z2405" s="84" t="str">
        <f>HYPERLINK("https://twitter.com/gustavobarreto_/status/1443290521267494915")</f>
        <v>https://twitter.com/gustavobarreto_/status/1443290521267494915</v>
      </c>
      <c r="AA2405" s="81"/>
      <c r="AB2405" s="81"/>
      <c r="AC2405" s="86" t="s">
        <v>13239</v>
      </c>
      <c r="AD2405" s="81"/>
      <c r="AE2405" s="81" t="b">
        <v>0</v>
      </c>
      <c r="AF2405" s="81">
        <v>0</v>
      </c>
      <c r="AG2405" s="86" t="s">
        <v>2084</v>
      </c>
      <c r="AH2405" s="81" t="b">
        <v>0</v>
      </c>
      <c r="AI2405" s="81" t="s">
        <v>2171</v>
      </c>
      <c r="AJ2405" s="81"/>
      <c r="AK2405" s="86" t="s">
        <v>2084</v>
      </c>
      <c r="AL2405" s="81" t="b">
        <v>0</v>
      </c>
      <c r="AM2405" s="81">
        <v>0</v>
      </c>
      <c r="AN2405" s="86" t="s">
        <v>2084</v>
      </c>
      <c r="AO2405" s="86" t="s">
        <v>7989</v>
      </c>
      <c r="AP2405" s="81" t="b">
        <v>0</v>
      </c>
      <c r="AQ2405" s="86" t="s">
        <v>13239</v>
      </c>
      <c r="AR2405" s="81" t="s">
        <v>179</v>
      </c>
      <c r="AS2405" s="81">
        <v>0</v>
      </c>
      <c r="AT2405" s="81">
        <v>0</v>
      </c>
      <c r="AU2405" s="81"/>
      <c r="AV2405" s="81"/>
      <c r="AW2405" s="81"/>
      <c r="AX2405" s="81"/>
      <c r="AY2405" s="81"/>
      <c r="AZ2405" s="81"/>
      <c r="BA2405" s="81"/>
      <c r="BB2405" s="81"/>
    </row>
    <row r="2406" spans="1:54" x14ac:dyDescent="0.35">
      <c r="A2406" s="66" t="s">
        <v>4937</v>
      </c>
      <c r="B2406" s="66" t="s">
        <v>5211</v>
      </c>
      <c r="C2406" s="67"/>
      <c r="D2406" s="68"/>
      <c r="E2406" s="69"/>
      <c r="F2406" s="70"/>
      <c r="G2406" s="67"/>
      <c r="H2406" s="71"/>
      <c r="I2406" s="72"/>
      <c r="J2406" s="72"/>
      <c r="K2406" s="36"/>
      <c r="L2406" s="79"/>
      <c r="M2406" s="79"/>
      <c r="N2406" s="74"/>
      <c r="O2406" s="81" t="s">
        <v>696</v>
      </c>
      <c r="P2406" s="83">
        <v>44468.794548611113</v>
      </c>
      <c r="Q2406" s="81" t="s">
        <v>12807</v>
      </c>
      <c r="R2406" s="84" t="str">
        <f>HYPERLINK("https://byq6z.app.goo.gl/AZgEv")</f>
        <v>https://byq6z.app.goo.gl/AZgEv</v>
      </c>
      <c r="S2406" s="81" t="s">
        <v>5759</v>
      </c>
      <c r="T2406" s="81"/>
      <c r="U2406" s="81"/>
      <c r="V2406" s="84" t="str">
        <f>HYPERLINK("https://pbs.twimg.com/profile_images/1429632276606951426/cph6gg0j_normal.jpg")</f>
        <v>https://pbs.twimg.com/profile_images/1429632276606951426/cph6gg0j_normal.jpg</v>
      </c>
      <c r="W2406" s="83">
        <v>44468.794548611113</v>
      </c>
      <c r="X2406" s="89">
        <v>44468</v>
      </c>
      <c r="Y2406" s="86" t="s">
        <v>13002</v>
      </c>
      <c r="Z2406" s="84" t="str">
        <f>HYPERLINK("https://twitter.com/gustavobarreto_/status/1443290521267494915")</f>
        <v>https://twitter.com/gustavobarreto_/status/1443290521267494915</v>
      </c>
      <c r="AA2406" s="81"/>
      <c r="AB2406" s="81"/>
      <c r="AC2406" s="86" t="s">
        <v>13239</v>
      </c>
      <c r="AD2406" s="81"/>
      <c r="AE2406" s="81" t="b">
        <v>0</v>
      </c>
      <c r="AF2406" s="81">
        <v>0</v>
      </c>
      <c r="AG2406" s="86" t="s">
        <v>2084</v>
      </c>
      <c r="AH2406" s="81" t="b">
        <v>0</v>
      </c>
      <c r="AI2406" s="81" t="s">
        <v>2171</v>
      </c>
      <c r="AJ2406" s="81"/>
      <c r="AK2406" s="86" t="s">
        <v>2084</v>
      </c>
      <c r="AL2406" s="81" t="b">
        <v>0</v>
      </c>
      <c r="AM2406" s="81">
        <v>0</v>
      </c>
      <c r="AN2406" s="86" t="s">
        <v>2084</v>
      </c>
      <c r="AO2406" s="86" t="s">
        <v>7989</v>
      </c>
      <c r="AP2406" s="81" t="b">
        <v>0</v>
      </c>
      <c r="AQ2406" s="86" t="s">
        <v>13239</v>
      </c>
      <c r="AR2406" s="81" t="s">
        <v>179</v>
      </c>
      <c r="AS2406" s="81">
        <v>0</v>
      </c>
      <c r="AT2406" s="81">
        <v>0</v>
      </c>
      <c r="AU2406" s="81"/>
      <c r="AV2406" s="81"/>
      <c r="AW2406" s="81"/>
      <c r="AX2406" s="81"/>
      <c r="AY2406" s="81"/>
      <c r="AZ2406" s="81"/>
      <c r="BA2406" s="81"/>
      <c r="BB2406" s="81"/>
    </row>
    <row r="2407" spans="1:54" x14ac:dyDescent="0.35">
      <c r="A2407" s="66" t="s">
        <v>4937</v>
      </c>
      <c r="B2407" s="66" t="s">
        <v>5212</v>
      </c>
      <c r="C2407" s="67"/>
      <c r="D2407" s="68"/>
      <c r="E2407" s="69"/>
      <c r="F2407" s="70"/>
      <c r="G2407" s="67"/>
      <c r="H2407" s="71"/>
      <c r="I2407" s="72"/>
      <c r="J2407" s="72"/>
      <c r="K2407" s="36"/>
      <c r="L2407" s="79"/>
      <c r="M2407" s="79"/>
      <c r="N2407" s="74"/>
      <c r="O2407" s="81" t="s">
        <v>696</v>
      </c>
      <c r="P2407" s="83">
        <v>44468.794548611113</v>
      </c>
      <c r="Q2407" s="81" t="s">
        <v>12807</v>
      </c>
      <c r="R2407" s="84" t="str">
        <f>HYPERLINK("https://byq6z.app.goo.gl/AZgEv")</f>
        <v>https://byq6z.app.goo.gl/AZgEv</v>
      </c>
      <c r="S2407" s="81" t="s">
        <v>5759</v>
      </c>
      <c r="T2407" s="81"/>
      <c r="U2407" s="81"/>
      <c r="V2407" s="84" t="str">
        <f>HYPERLINK("https://pbs.twimg.com/profile_images/1429632276606951426/cph6gg0j_normal.jpg")</f>
        <v>https://pbs.twimg.com/profile_images/1429632276606951426/cph6gg0j_normal.jpg</v>
      </c>
      <c r="W2407" s="83">
        <v>44468.794548611113</v>
      </c>
      <c r="X2407" s="89">
        <v>44468</v>
      </c>
      <c r="Y2407" s="86" t="s">
        <v>13002</v>
      </c>
      <c r="Z2407" s="84" t="str">
        <f>HYPERLINK("https://twitter.com/gustavobarreto_/status/1443290521267494915")</f>
        <v>https://twitter.com/gustavobarreto_/status/1443290521267494915</v>
      </c>
      <c r="AA2407" s="81"/>
      <c r="AB2407" s="81"/>
      <c r="AC2407" s="86" t="s">
        <v>13239</v>
      </c>
      <c r="AD2407" s="81"/>
      <c r="AE2407" s="81" t="b">
        <v>0</v>
      </c>
      <c r="AF2407" s="81">
        <v>0</v>
      </c>
      <c r="AG2407" s="86" t="s">
        <v>2084</v>
      </c>
      <c r="AH2407" s="81" t="b">
        <v>0</v>
      </c>
      <c r="AI2407" s="81" t="s">
        <v>2171</v>
      </c>
      <c r="AJ2407" s="81"/>
      <c r="AK2407" s="86" t="s">
        <v>2084</v>
      </c>
      <c r="AL2407" s="81" t="b">
        <v>0</v>
      </c>
      <c r="AM2407" s="81">
        <v>0</v>
      </c>
      <c r="AN2407" s="86" t="s">
        <v>2084</v>
      </c>
      <c r="AO2407" s="86" t="s">
        <v>7989</v>
      </c>
      <c r="AP2407" s="81" t="b">
        <v>0</v>
      </c>
      <c r="AQ2407" s="86" t="s">
        <v>13239</v>
      </c>
      <c r="AR2407" s="81" t="s">
        <v>179</v>
      </c>
      <c r="AS2407" s="81">
        <v>0</v>
      </c>
      <c r="AT2407" s="81">
        <v>0</v>
      </c>
      <c r="AU2407" s="81"/>
      <c r="AV2407" s="81"/>
      <c r="AW2407" s="81"/>
      <c r="AX2407" s="81"/>
      <c r="AY2407" s="81"/>
      <c r="AZ2407" s="81"/>
      <c r="BA2407" s="81"/>
      <c r="BB2407" s="81"/>
    </row>
    <row r="2408" spans="1:54" x14ac:dyDescent="0.35">
      <c r="A2408" s="66" t="s">
        <v>12586</v>
      </c>
      <c r="B2408" s="66" t="s">
        <v>12664</v>
      </c>
      <c r="C2408" s="67"/>
      <c r="D2408" s="68"/>
      <c r="E2408" s="69"/>
      <c r="F2408" s="70"/>
      <c r="G2408" s="67"/>
      <c r="H2408" s="71"/>
      <c r="I2408" s="72"/>
      <c r="J2408" s="72"/>
      <c r="K2408" s="36"/>
      <c r="L2408" s="79"/>
      <c r="M2408" s="79"/>
      <c r="N2408" s="74"/>
      <c r="O2408" s="81" t="s">
        <v>693</v>
      </c>
      <c r="P2408" s="83">
        <v>44468.794872685183</v>
      </c>
      <c r="Q2408" s="81" t="s">
        <v>12799</v>
      </c>
      <c r="R2408" s="81"/>
      <c r="S2408" s="81"/>
      <c r="T2408" s="86" t="s">
        <v>314</v>
      </c>
      <c r="U2408" s="84" t="str">
        <f>HYPERLINK("https://pbs.twimg.com/media/FAeEF_8UcAAAgih.jpg")</f>
        <v>https://pbs.twimg.com/media/FAeEF_8UcAAAgih.jpg</v>
      </c>
      <c r="V2408" s="84" t="str">
        <f>HYPERLINK("https://pbs.twimg.com/media/FAeEF_8UcAAAgih.jpg")</f>
        <v>https://pbs.twimg.com/media/FAeEF_8UcAAAgih.jpg</v>
      </c>
      <c r="W2408" s="83">
        <v>44468.794872685183</v>
      </c>
      <c r="X2408" s="89">
        <v>44468</v>
      </c>
      <c r="Y2408" s="86" t="s">
        <v>13003</v>
      </c>
      <c r="Z2408" s="84" t="str">
        <f>HYPERLINK("https://twitter.com/modemoodmove/status/1443290635411226631")</f>
        <v>https://twitter.com/modemoodmove/status/1443290635411226631</v>
      </c>
      <c r="AA2408" s="81"/>
      <c r="AB2408" s="81"/>
      <c r="AC2408" s="86" t="s">
        <v>13240</v>
      </c>
      <c r="AD2408" s="81"/>
      <c r="AE2408" s="81" t="b">
        <v>0</v>
      </c>
      <c r="AF2408" s="81">
        <v>0</v>
      </c>
      <c r="AG2408" s="86" t="s">
        <v>2084</v>
      </c>
      <c r="AH2408" s="81" t="b">
        <v>0</v>
      </c>
      <c r="AI2408" s="81" t="s">
        <v>2168</v>
      </c>
      <c r="AJ2408" s="81"/>
      <c r="AK2408" s="86" t="s">
        <v>2084</v>
      </c>
      <c r="AL2408" s="81" t="b">
        <v>0</v>
      </c>
      <c r="AM2408" s="81">
        <v>42</v>
      </c>
      <c r="AN2408" s="86" t="s">
        <v>13352</v>
      </c>
      <c r="AO2408" s="86" t="s">
        <v>2179</v>
      </c>
      <c r="AP2408" s="81" t="b">
        <v>0</v>
      </c>
      <c r="AQ2408" s="86" t="s">
        <v>13352</v>
      </c>
      <c r="AR2408" s="81" t="s">
        <v>179</v>
      </c>
      <c r="AS2408" s="81">
        <v>0</v>
      </c>
      <c r="AT2408" s="81">
        <v>0</v>
      </c>
      <c r="AU2408" s="81"/>
      <c r="AV2408" s="81"/>
      <c r="AW2408" s="81"/>
      <c r="AX2408" s="81"/>
      <c r="AY2408" s="81"/>
      <c r="AZ2408" s="81"/>
      <c r="BA2408" s="81"/>
      <c r="BB2408" s="81"/>
    </row>
    <row r="2409" spans="1:54" x14ac:dyDescent="0.35">
      <c r="A2409" s="66" t="s">
        <v>12586</v>
      </c>
      <c r="B2409" s="66" t="s">
        <v>12664</v>
      </c>
      <c r="C2409" s="67"/>
      <c r="D2409" s="68"/>
      <c r="E2409" s="69"/>
      <c r="F2409" s="70"/>
      <c r="G2409" s="67"/>
      <c r="H2409" s="71"/>
      <c r="I2409" s="72"/>
      <c r="J2409" s="72"/>
      <c r="K2409" s="36"/>
      <c r="L2409" s="79"/>
      <c r="M2409" s="79"/>
      <c r="N2409" s="74"/>
      <c r="O2409" s="81" t="s">
        <v>693</v>
      </c>
      <c r="P2409" s="83">
        <v>44468.794976851852</v>
      </c>
      <c r="Q2409" s="81" t="s">
        <v>12800</v>
      </c>
      <c r="R2409" s="81"/>
      <c r="S2409" s="81"/>
      <c r="T2409" s="86" t="s">
        <v>314</v>
      </c>
      <c r="U2409" s="84" t="str">
        <f>HYPERLINK("https://pbs.twimg.com/media/FAeE8WOVQAIxGko.jpg")</f>
        <v>https://pbs.twimg.com/media/FAeE8WOVQAIxGko.jpg</v>
      </c>
      <c r="V2409" s="84" t="str">
        <f>HYPERLINK("https://pbs.twimg.com/media/FAeE8WOVQAIxGko.jpg")</f>
        <v>https://pbs.twimg.com/media/FAeE8WOVQAIxGko.jpg</v>
      </c>
      <c r="W2409" s="83">
        <v>44468.794976851852</v>
      </c>
      <c r="X2409" s="89">
        <v>44468</v>
      </c>
      <c r="Y2409" s="86" t="s">
        <v>1252</v>
      </c>
      <c r="Z2409" s="84" t="str">
        <f>HYPERLINK("https://twitter.com/modemoodmove/status/1443290673889697795")</f>
        <v>https://twitter.com/modemoodmove/status/1443290673889697795</v>
      </c>
      <c r="AA2409" s="81"/>
      <c r="AB2409" s="81"/>
      <c r="AC2409" s="86" t="s">
        <v>13241</v>
      </c>
      <c r="AD2409" s="81"/>
      <c r="AE2409" s="81" t="b">
        <v>0</v>
      </c>
      <c r="AF2409" s="81">
        <v>0</v>
      </c>
      <c r="AG2409" s="86" t="s">
        <v>2084</v>
      </c>
      <c r="AH2409" s="81" t="b">
        <v>0</v>
      </c>
      <c r="AI2409" s="81" t="s">
        <v>2168</v>
      </c>
      <c r="AJ2409" s="81"/>
      <c r="AK2409" s="86" t="s">
        <v>2084</v>
      </c>
      <c r="AL2409" s="81" t="b">
        <v>0</v>
      </c>
      <c r="AM2409" s="81">
        <v>31</v>
      </c>
      <c r="AN2409" s="86" t="s">
        <v>13353</v>
      </c>
      <c r="AO2409" s="86" t="s">
        <v>2179</v>
      </c>
      <c r="AP2409" s="81" t="b">
        <v>0</v>
      </c>
      <c r="AQ2409" s="86" t="s">
        <v>13353</v>
      </c>
      <c r="AR2409" s="81" t="s">
        <v>179</v>
      </c>
      <c r="AS2409" s="81">
        <v>0</v>
      </c>
      <c r="AT2409" s="81">
        <v>0</v>
      </c>
      <c r="AU2409" s="81"/>
      <c r="AV2409" s="81"/>
      <c r="AW2409" s="81"/>
      <c r="AX2409" s="81"/>
      <c r="AY2409" s="81"/>
      <c r="AZ2409" s="81"/>
      <c r="BA2409" s="81"/>
      <c r="BB2409" s="81"/>
    </row>
    <row r="2410" spans="1:54" x14ac:dyDescent="0.35">
      <c r="A2410" s="66" t="s">
        <v>12587</v>
      </c>
      <c r="B2410" s="66" t="s">
        <v>5210</v>
      </c>
      <c r="C2410" s="67"/>
      <c r="D2410" s="68"/>
      <c r="E2410" s="69"/>
      <c r="F2410" s="70"/>
      <c r="G2410" s="67"/>
      <c r="H2410" s="71"/>
      <c r="I2410" s="72"/>
      <c r="J2410" s="72"/>
      <c r="K2410" s="36"/>
      <c r="L2410" s="79"/>
      <c r="M2410" s="79"/>
      <c r="N2410" s="74"/>
      <c r="O2410" s="81" t="s">
        <v>694</v>
      </c>
      <c r="P2410" s="83">
        <v>44468.797592592593</v>
      </c>
      <c r="Q2410" s="81" t="s">
        <v>12806</v>
      </c>
      <c r="R2410" s="84" t="str">
        <f>HYPERLINK("https://byq6z.app.goo.gl/AZgEv")</f>
        <v>https://byq6z.app.goo.gl/AZgEv</v>
      </c>
      <c r="S2410" s="81" t="s">
        <v>5759</v>
      </c>
      <c r="T2410" s="81"/>
      <c r="U2410" s="81"/>
      <c r="V2410" s="84" t="str">
        <f>HYPERLINK("https://pbs.twimg.com/profile_images/1234537487218946049/w23lKdva_normal.jpg")</f>
        <v>https://pbs.twimg.com/profile_images/1234537487218946049/w23lKdva_normal.jpg</v>
      </c>
      <c r="W2410" s="83">
        <v>44468.797592592593</v>
      </c>
      <c r="X2410" s="89">
        <v>44468</v>
      </c>
      <c r="Y2410" s="86" t="s">
        <v>13004</v>
      </c>
      <c r="Z2410" s="84" t="str">
        <f>HYPERLINK("https://twitter.com/bianchi_jc/status/1443291624046579722")</f>
        <v>https://twitter.com/bianchi_jc/status/1443291624046579722</v>
      </c>
      <c r="AA2410" s="81"/>
      <c r="AB2410" s="81"/>
      <c r="AC2410" s="86" t="s">
        <v>13242</v>
      </c>
      <c r="AD2410" s="81"/>
      <c r="AE2410" s="81" t="b">
        <v>0</v>
      </c>
      <c r="AF2410" s="81">
        <v>0</v>
      </c>
      <c r="AG2410" s="86" t="s">
        <v>2084</v>
      </c>
      <c r="AH2410" s="81" t="b">
        <v>0</v>
      </c>
      <c r="AI2410" s="81" t="s">
        <v>2171</v>
      </c>
      <c r="AJ2410" s="81"/>
      <c r="AK2410" s="86" t="s">
        <v>2084</v>
      </c>
      <c r="AL2410" s="81" t="b">
        <v>0</v>
      </c>
      <c r="AM2410" s="81">
        <v>8</v>
      </c>
      <c r="AN2410" s="86" t="s">
        <v>13265</v>
      </c>
      <c r="AO2410" s="86" t="s">
        <v>2181</v>
      </c>
      <c r="AP2410" s="81" t="b">
        <v>0</v>
      </c>
      <c r="AQ2410" s="86" t="s">
        <v>13265</v>
      </c>
      <c r="AR2410" s="81" t="s">
        <v>179</v>
      </c>
      <c r="AS2410" s="81">
        <v>0</v>
      </c>
      <c r="AT2410" s="81">
        <v>0</v>
      </c>
      <c r="AU2410" s="81"/>
      <c r="AV2410" s="81"/>
      <c r="AW2410" s="81"/>
      <c r="AX2410" s="81"/>
      <c r="AY2410" s="81"/>
      <c r="AZ2410" s="81"/>
      <c r="BA2410" s="81"/>
      <c r="BB2410" s="81"/>
    </row>
    <row r="2411" spans="1:54" x14ac:dyDescent="0.35">
      <c r="A2411" s="66" t="s">
        <v>12587</v>
      </c>
      <c r="B2411" s="66" t="s">
        <v>4953</v>
      </c>
      <c r="C2411" s="67"/>
      <c r="D2411" s="68"/>
      <c r="E2411" s="69"/>
      <c r="F2411" s="70"/>
      <c r="G2411" s="67"/>
      <c r="H2411" s="71"/>
      <c r="I2411" s="72"/>
      <c r="J2411" s="72"/>
      <c r="K2411" s="36"/>
      <c r="L2411" s="79"/>
      <c r="M2411" s="79"/>
      <c r="N2411" s="74"/>
      <c r="O2411" s="81" t="s">
        <v>694</v>
      </c>
      <c r="P2411" s="83">
        <v>44468.797592592593</v>
      </c>
      <c r="Q2411" s="81" t="s">
        <v>12806</v>
      </c>
      <c r="R2411" s="84" t="str">
        <f>HYPERLINK("https://byq6z.app.goo.gl/AZgEv")</f>
        <v>https://byq6z.app.goo.gl/AZgEv</v>
      </c>
      <c r="S2411" s="81" t="s">
        <v>5759</v>
      </c>
      <c r="T2411" s="81"/>
      <c r="U2411" s="81"/>
      <c r="V2411" s="84" t="str">
        <f>HYPERLINK("https://pbs.twimg.com/profile_images/1234537487218946049/w23lKdva_normal.jpg")</f>
        <v>https://pbs.twimg.com/profile_images/1234537487218946049/w23lKdva_normal.jpg</v>
      </c>
      <c r="W2411" s="83">
        <v>44468.797592592593</v>
      </c>
      <c r="X2411" s="89">
        <v>44468</v>
      </c>
      <c r="Y2411" s="86" t="s">
        <v>13004</v>
      </c>
      <c r="Z2411" s="84" t="str">
        <f>HYPERLINK("https://twitter.com/bianchi_jc/status/1443291624046579722")</f>
        <v>https://twitter.com/bianchi_jc/status/1443291624046579722</v>
      </c>
      <c r="AA2411" s="81"/>
      <c r="AB2411" s="81"/>
      <c r="AC2411" s="86" t="s">
        <v>13242</v>
      </c>
      <c r="AD2411" s="81"/>
      <c r="AE2411" s="81" t="b">
        <v>0</v>
      </c>
      <c r="AF2411" s="81">
        <v>0</v>
      </c>
      <c r="AG2411" s="86" t="s">
        <v>2084</v>
      </c>
      <c r="AH2411" s="81" t="b">
        <v>0</v>
      </c>
      <c r="AI2411" s="81" t="s">
        <v>2171</v>
      </c>
      <c r="AJ2411" s="81"/>
      <c r="AK2411" s="86" t="s">
        <v>2084</v>
      </c>
      <c r="AL2411" s="81" t="b">
        <v>0</v>
      </c>
      <c r="AM2411" s="81">
        <v>8</v>
      </c>
      <c r="AN2411" s="86" t="s">
        <v>13265</v>
      </c>
      <c r="AO2411" s="86" t="s">
        <v>2181</v>
      </c>
      <c r="AP2411" s="81" t="b">
        <v>0</v>
      </c>
      <c r="AQ2411" s="86" t="s">
        <v>13265</v>
      </c>
      <c r="AR2411" s="81" t="s">
        <v>179</v>
      </c>
      <c r="AS2411" s="81">
        <v>0</v>
      </c>
      <c r="AT2411" s="81">
        <v>0</v>
      </c>
      <c r="AU2411" s="81"/>
      <c r="AV2411" s="81"/>
      <c r="AW2411" s="81"/>
      <c r="AX2411" s="81"/>
      <c r="AY2411" s="81"/>
      <c r="AZ2411" s="81"/>
      <c r="BA2411" s="81"/>
      <c r="BB2411" s="81"/>
    </row>
    <row r="2412" spans="1:54" x14ac:dyDescent="0.35">
      <c r="A2412" s="66" t="s">
        <v>12587</v>
      </c>
      <c r="B2412" s="66" t="s">
        <v>5211</v>
      </c>
      <c r="C2412" s="67"/>
      <c r="D2412" s="68"/>
      <c r="E2412" s="69"/>
      <c r="F2412" s="70"/>
      <c r="G2412" s="67"/>
      <c r="H2412" s="71"/>
      <c r="I2412" s="72"/>
      <c r="J2412" s="72"/>
      <c r="K2412" s="36"/>
      <c r="L2412" s="79"/>
      <c r="M2412" s="79"/>
      <c r="N2412" s="74"/>
      <c r="O2412" s="81" t="s">
        <v>694</v>
      </c>
      <c r="P2412" s="83">
        <v>44468.797592592593</v>
      </c>
      <c r="Q2412" s="81" t="s">
        <v>12806</v>
      </c>
      <c r="R2412" s="84" t="str">
        <f>HYPERLINK("https://byq6z.app.goo.gl/AZgEv")</f>
        <v>https://byq6z.app.goo.gl/AZgEv</v>
      </c>
      <c r="S2412" s="81" t="s">
        <v>5759</v>
      </c>
      <c r="T2412" s="81"/>
      <c r="U2412" s="81"/>
      <c r="V2412" s="84" t="str">
        <f>HYPERLINK("https://pbs.twimg.com/profile_images/1234537487218946049/w23lKdva_normal.jpg")</f>
        <v>https://pbs.twimg.com/profile_images/1234537487218946049/w23lKdva_normal.jpg</v>
      </c>
      <c r="W2412" s="83">
        <v>44468.797592592593</v>
      </c>
      <c r="X2412" s="89">
        <v>44468</v>
      </c>
      <c r="Y2412" s="86" t="s">
        <v>13004</v>
      </c>
      <c r="Z2412" s="84" t="str">
        <f>HYPERLINK("https://twitter.com/bianchi_jc/status/1443291624046579722")</f>
        <v>https://twitter.com/bianchi_jc/status/1443291624046579722</v>
      </c>
      <c r="AA2412" s="81"/>
      <c r="AB2412" s="81"/>
      <c r="AC2412" s="86" t="s">
        <v>13242</v>
      </c>
      <c r="AD2412" s="81"/>
      <c r="AE2412" s="81" t="b">
        <v>0</v>
      </c>
      <c r="AF2412" s="81">
        <v>0</v>
      </c>
      <c r="AG2412" s="86" t="s">
        <v>2084</v>
      </c>
      <c r="AH2412" s="81" t="b">
        <v>0</v>
      </c>
      <c r="AI2412" s="81" t="s">
        <v>2171</v>
      </c>
      <c r="AJ2412" s="81"/>
      <c r="AK2412" s="86" t="s">
        <v>2084</v>
      </c>
      <c r="AL2412" s="81" t="b">
        <v>0</v>
      </c>
      <c r="AM2412" s="81">
        <v>8</v>
      </c>
      <c r="AN2412" s="86" t="s">
        <v>13265</v>
      </c>
      <c r="AO2412" s="86" t="s">
        <v>2181</v>
      </c>
      <c r="AP2412" s="81" t="b">
        <v>0</v>
      </c>
      <c r="AQ2412" s="86" t="s">
        <v>13265</v>
      </c>
      <c r="AR2412" s="81" t="s">
        <v>179</v>
      </c>
      <c r="AS2412" s="81">
        <v>0</v>
      </c>
      <c r="AT2412" s="81">
        <v>0</v>
      </c>
      <c r="AU2412" s="81"/>
      <c r="AV2412" s="81"/>
      <c r="AW2412" s="81"/>
      <c r="AX2412" s="81"/>
      <c r="AY2412" s="81"/>
      <c r="AZ2412" s="81"/>
      <c r="BA2412" s="81"/>
      <c r="BB2412" s="81"/>
    </row>
    <row r="2413" spans="1:54" x14ac:dyDescent="0.35">
      <c r="A2413" s="66" t="s">
        <v>12587</v>
      </c>
      <c r="B2413" s="66" t="s">
        <v>5212</v>
      </c>
      <c r="C2413" s="67"/>
      <c r="D2413" s="68"/>
      <c r="E2413" s="69"/>
      <c r="F2413" s="70"/>
      <c r="G2413" s="67"/>
      <c r="H2413" s="71"/>
      <c r="I2413" s="72"/>
      <c r="J2413" s="72"/>
      <c r="K2413" s="36"/>
      <c r="L2413" s="79"/>
      <c r="M2413" s="79"/>
      <c r="N2413" s="74"/>
      <c r="O2413" s="81" t="s">
        <v>694</v>
      </c>
      <c r="P2413" s="83">
        <v>44468.797592592593</v>
      </c>
      <c r="Q2413" s="81" t="s">
        <v>12806</v>
      </c>
      <c r="R2413" s="84" t="str">
        <f>HYPERLINK("https://byq6z.app.goo.gl/AZgEv")</f>
        <v>https://byq6z.app.goo.gl/AZgEv</v>
      </c>
      <c r="S2413" s="81" t="s">
        <v>5759</v>
      </c>
      <c r="T2413" s="81"/>
      <c r="U2413" s="81"/>
      <c r="V2413" s="84" t="str">
        <f>HYPERLINK("https://pbs.twimg.com/profile_images/1234537487218946049/w23lKdva_normal.jpg")</f>
        <v>https://pbs.twimg.com/profile_images/1234537487218946049/w23lKdva_normal.jpg</v>
      </c>
      <c r="W2413" s="83">
        <v>44468.797592592593</v>
      </c>
      <c r="X2413" s="89">
        <v>44468</v>
      </c>
      <c r="Y2413" s="86" t="s">
        <v>13004</v>
      </c>
      <c r="Z2413" s="84" t="str">
        <f>HYPERLINK("https://twitter.com/bianchi_jc/status/1443291624046579722")</f>
        <v>https://twitter.com/bianchi_jc/status/1443291624046579722</v>
      </c>
      <c r="AA2413" s="81"/>
      <c r="AB2413" s="81"/>
      <c r="AC2413" s="86" t="s">
        <v>13242</v>
      </c>
      <c r="AD2413" s="81"/>
      <c r="AE2413" s="81" t="b">
        <v>0</v>
      </c>
      <c r="AF2413" s="81">
        <v>0</v>
      </c>
      <c r="AG2413" s="86" t="s">
        <v>2084</v>
      </c>
      <c r="AH2413" s="81" t="b">
        <v>0</v>
      </c>
      <c r="AI2413" s="81" t="s">
        <v>2171</v>
      </c>
      <c r="AJ2413" s="81"/>
      <c r="AK2413" s="86" t="s">
        <v>2084</v>
      </c>
      <c r="AL2413" s="81" t="b">
        <v>0</v>
      </c>
      <c r="AM2413" s="81">
        <v>8</v>
      </c>
      <c r="AN2413" s="86" t="s">
        <v>13265</v>
      </c>
      <c r="AO2413" s="86" t="s">
        <v>2181</v>
      </c>
      <c r="AP2413" s="81" t="b">
        <v>0</v>
      </c>
      <c r="AQ2413" s="86" t="s">
        <v>13265</v>
      </c>
      <c r="AR2413" s="81" t="s">
        <v>179</v>
      </c>
      <c r="AS2413" s="81">
        <v>0</v>
      </c>
      <c r="AT2413" s="81">
        <v>0</v>
      </c>
      <c r="AU2413" s="81"/>
      <c r="AV2413" s="81"/>
      <c r="AW2413" s="81"/>
      <c r="AX2413" s="81"/>
      <c r="AY2413" s="81"/>
      <c r="AZ2413" s="81"/>
      <c r="BA2413" s="81"/>
      <c r="BB2413" s="81"/>
    </row>
    <row r="2414" spans="1:54" x14ac:dyDescent="0.35">
      <c r="A2414" s="66" t="s">
        <v>12587</v>
      </c>
      <c r="B2414" s="66" t="s">
        <v>4952</v>
      </c>
      <c r="C2414" s="67"/>
      <c r="D2414" s="68"/>
      <c r="E2414" s="69"/>
      <c r="F2414" s="70"/>
      <c r="G2414" s="67"/>
      <c r="H2414" s="71"/>
      <c r="I2414" s="72"/>
      <c r="J2414" s="72"/>
      <c r="K2414" s="36"/>
      <c r="L2414" s="79"/>
      <c r="M2414" s="79"/>
      <c r="N2414" s="74"/>
      <c r="O2414" s="81" t="s">
        <v>693</v>
      </c>
      <c r="P2414" s="83">
        <v>44468.797592592593</v>
      </c>
      <c r="Q2414" s="81" t="s">
        <v>12806</v>
      </c>
      <c r="R2414" s="84" t="str">
        <f>HYPERLINK("https://byq6z.app.goo.gl/AZgEv")</f>
        <v>https://byq6z.app.goo.gl/AZgEv</v>
      </c>
      <c r="S2414" s="81" t="s">
        <v>5759</v>
      </c>
      <c r="T2414" s="81"/>
      <c r="U2414" s="81"/>
      <c r="V2414" s="84" t="str">
        <f>HYPERLINK("https://pbs.twimg.com/profile_images/1234537487218946049/w23lKdva_normal.jpg")</f>
        <v>https://pbs.twimg.com/profile_images/1234537487218946049/w23lKdva_normal.jpg</v>
      </c>
      <c r="W2414" s="83">
        <v>44468.797592592593</v>
      </c>
      <c r="X2414" s="89">
        <v>44468</v>
      </c>
      <c r="Y2414" s="86" t="s">
        <v>13004</v>
      </c>
      <c r="Z2414" s="84" t="str">
        <f>HYPERLINK("https://twitter.com/bianchi_jc/status/1443291624046579722")</f>
        <v>https://twitter.com/bianchi_jc/status/1443291624046579722</v>
      </c>
      <c r="AA2414" s="81"/>
      <c r="AB2414" s="81"/>
      <c r="AC2414" s="86" t="s">
        <v>13242</v>
      </c>
      <c r="AD2414" s="81"/>
      <c r="AE2414" s="81" t="b">
        <v>0</v>
      </c>
      <c r="AF2414" s="81">
        <v>0</v>
      </c>
      <c r="AG2414" s="86" t="s">
        <v>2084</v>
      </c>
      <c r="AH2414" s="81" t="b">
        <v>0</v>
      </c>
      <c r="AI2414" s="81" t="s">
        <v>2171</v>
      </c>
      <c r="AJ2414" s="81"/>
      <c r="AK2414" s="86" t="s">
        <v>2084</v>
      </c>
      <c r="AL2414" s="81" t="b">
        <v>0</v>
      </c>
      <c r="AM2414" s="81">
        <v>8</v>
      </c>
      <c r="AN2414" s="86" t="s">
        <v>13265</v>
      </c>
      <c r="AO2414" s="86" t="s">
        <v>2181</v>
      </c>
      <c r="AP2414" s="81" t="b">
        <v>0</v>
      </c>
      <c r="AQ2414" s="86" t="s">
        <v>13265</v>
      </c>
      <c r="AR2414" s="81" t="s">
        <v>179</v>
      </c>
      <c r="AS2414" s="81">
        <v>0</v>
      </c>
      <c r="AT2414" s="81">
        <v>0</v>
      </c>
      <c r="AU2414" s="81"/>
      <c r="AV2414" s="81"/>
      <c r="AW2414" s="81"/>
      <c r="AX2414" s="81"/>
      <c r="AY2414" s="81"/>
      <c r="AZ2414" s="81"/>
      <c r="BA2414" s="81"/>
      <c r="BB2414" s="81"/>
    </row>
    <row r="2415" spans="1:54" x14ac:dyDescent="0.35">
      <c r="A2415" s="66" t="s">
        <v>12588</v>
      </c>
      <c r="B2415" s="66" t="s">
        <v>5210</v>
      </c>
      <c r="C2415" s="67"/>
      <c r="D2415" s="68"/>
      <c r="E2415" s="69"/>
      <c r="F2415" s="70"/>
      <c r="G2415" s="67"/>
      <c r="H2415" s="71"/>
      <c r="I2415" s="72"/>
      <c r="J2415" s="72"/>
      <c r="K2415" s="36"/>
      <c r="L2415" s="79"/>
      <c r="M2415" s="79"/>
      <c r="N2415" s="74"/>
      <c r="O2415" s="81" t="s">
        <v>694</v>
      </c>
      <c r="P2415" s="83">
        <v>44468.812442129631</v>
      </c>
      <c r="Q2415" s="81" t="s">
        <v>12806</v>
      </c>
      <c r="R2415" s="84" t="str">
        <f>HYPERLINK("https://byq6z.app.goo.gl/AZgEv")</f>
        <v>https://byq6z.app.goo.gl/AZgEv</v>
      </c>
      <c r="S2415" s="81" t="s">
        <v>5759</v>
      </c>
      <c r="T2415" s="81"/>
      <c r="U2415" s="81"/>
      <c r="V2415" s="84" t="str">
        <f>HYPERLINK("https://pbs.twimg.com/profile_images/1435043193863688196/mCH9_BWo_normal.jpg")</f>
        <v>https://pbs.twimg.com/profile_images/1435043193863688196/mCH9_BWo_normal.jpg</v>
      </c>
      <c r="W2415" s="83">
        <v>44468.812442129631</v>
      </c>
      <c r="X2415" s="89">
        <v>44468</v>
      </c>
      <c r="Y2415" s="86" t="s">
        <v>13005</v>
      </c>
      <c r="Z2415" s="84" t="str">
        <f>HYPERLINK("https://twitter.com/gio73568992/status/1443297005636358146")</f>
        <v>https://twitter.com/gio73568992/status/1443297005636358146</v>
      </c>
      <c r="AA2415" s="81"/>
      <c r="AB2415" s="81"/>
      <c r="AC2415" s="86" t="s">
        <v>13243</v>
      </c>
      <c r="AD2415" s="81"/>
      <c r="AE2415" s="81" t="b">
        <v>0</v>
      </c>
      <c r="AF2415" s="81">
        <v>0</v>
      </c>
      <c r="AG2415" s="86" t="s">
        <v>2084</v>
      </c>
      <c r="AH2415" s="81" t="b">
        <v>0</v>
      </c>
      <c r="AI2415" s="81" t="s">
        <v>2171</v>
      </c>
      <c r="AJ2415" s="81"/>
      <c r="AK2415" s="86" t="s">
        <v>2084</v>
      </c>
      <c r="AL2415" s="81" t="b">
        <v>0</v>
      </c>
      <c r="AM2415" s="81">
        <v>8</v>
      </c>
      <c r="AN2415" s="86" t="s">
        <v>13265</v>
      </c>
      <c r="AO2415" s="86" t="s">
        <v>2178</v>
      </c>
      <c r="AP2415" s="81" t="b">
        <v>0</v>
      </c>
      <c r="AQ2415" s="86" t="s">
        <v>13265</v>
      </c>
      <c r="AR2415" s="81" t="s">
        <v>179</v>
      </c>
      <c r="AS2415" s="81">
        <v>0</v>
      </c>
      <c r="AT2415" s="81">
        <v>0</v>
      </c>
      <c r="AU2415" s="81"/>
      <c r="AV2415" s="81"/>
      <c r="AW2415" s="81"/>
      <c r="AX2415" s="81"/>
      <c r="AY2415" s="81"/>
      <c r="AZ2415" s="81"/>
      <c r="BA2415" s="81"/>
      <c r="BB2415" s="81"/>
    </row>
    <row r="2416" spans="1:54" x14ac:dyDescent="0.35">
      <c r="A2416" s="66" t="s">
        <v>12588</v>
      </c>
      <c r="B2416" s="66" t="s">
        <v>4953</v>
      </c>
      <c r="C2416" s="67"/>
      <c r="D2416" s="68"/>
      <c r="E2416" s="69"/>
      <c r="F2416" s="70"/>
      <c r="G2416" s="67"/>
      <c r="H2416" s="71"/>
      <c r="I2416" s="72"/>
      <c r="J2416" s="72"/>
      <c r="K2416" s="36"/>
      <c r="L2416" s="79"/>
      <c r="M2416" s="79"/>
      <c r="N2416" s="74"/>
      <c r="O2416" s="81" t="s">
        <v>694</v>
      </c>
      <c r="P2416" s="83">
        <v>44468.812442129631</v>
      </c>
      <c r="Q2416" s="81" t="s">
        <v>12806</v>
      </c>
      <c r="R2416" s="84" t="str">
        <f>HYPERLINK("https://byq6z.app.goo.gl/AZgEv")</f>
        <v>https://byq6z.app.goo.gl/AZgEv</v>
      </c>
      <c r="S2416" s="81" t="s">
        <v>5759</v>
      </c>
      <c r="T2416" s="81"/>
      <c r="U2416" s="81"/>
      <c r="V2416" s="84" t="str">
        <f>HYPERLINK("https://pbs.twimg.com/profile_images/1435043193863688196/mCH9_BWo_normal.jpg")</f>
        <v>https://pbs.twimg.com/profile_images/1435043193863688196/mCH9_BWo_normal.jpg</v>
      </c>
      <c r="W2416" s="83">
        <v>44468.812442129631</v>
      </c>
      <c r="X2416" s="89">
        <v>44468</v>
      </c>
      <c r="Y2416" s="86" t="s">
        <v>13005</v>
      </c>
      <c r="Z2416" s="84" t="str">
        <f>HYPERLINK("https://twitter.com/gio73568992/status/1443297005636358146")</f>
        <v>https://twitter.com/gio73568992/status/1443297005636358146</v>
      </c>
      <c r="AA2416" s="81"/>
      <c r="AB2416" s="81"/>
      <c r="AC2416" s="86" t="s">
        <v>13243</v>
      </c>
      <c r="AD2416" s="81"/>
      <c r="AE2416" s="81" t="b">
        <v>0</v>
      </c>
      <c r="AF2416" s="81">
        <v>0</v>
      </c>
      <c r="AG2416" s="86" t="s">
        <v>2084</v>
      </c>
      <c r="AH2416" s="81" t="b">
        <v>0</v>
      </c>
      <c r="AI2416" s="81" t="s">
        <v>2171</v>
      </c>
      <c r="AJ2416" s="81"/>
      <c r="AK2416" s="86" t="s">
        <v>2084</v>
      </c>
      <c r="AL2416" s="81" t="b">
        <v>0</v>
      </c>
      <c r="AM2416" s="81">
        <v>8</v>
      </c>
      <c r="AN2416" s="86" t="s">
        <v>13265</v>
      </c>
      <c r="AO2416" s="86" t="s">
        <v>2178</v>
      </c>
      <c r="AP2416" s="81" t="b">
        <v>0</v>
      </c>
      <c r="AQ2416" s="86" t="s">
        <v>13265</v>
      </c>
      <c r="AR2416" s="81" t="s">
        <v>179</v>
      </c>
      <c r="AS2416" s="81">
        <v>0</v>
      </c>
      <c r="AT2416" s="81">
        <v>0</v>
      </c>
      <c r="AU2416" s="81"/>
      <c r="AV2416" s="81"/>
      <c r="AW2416" s="81"/>
      <c r="AX2416" s="81"/>
      <c r="AY2416" s="81"/>
      <c r="AZ2416" s="81"/>
      <c r="BA2416" s="81"/>
      <c r="BB2416" s="81"/>
    </row>
    <row r="2417" spans="1:54" x14ac:dyDescent="0.35">
      <c r="A2417" s="66" t="s">
        <v>12588</v>
      </c>
      <c r="B2417" s="66" t="s">
        <v>5211</v>
      </c>
      <c r="C2417" s="67"/>
      <c r="D2417" s="68"/>
      <c r="E2417" s="69"/>
      <c r="F2417" s="70"/>
      <c r="G2417" s="67"/>
      <c r="H2417" s="71"/>
      <c r="I2417" s="72"/>
      <c r="J2417" s="72"/>
      <c r="K2417" s="36"/>
      <c r="L2417" s="79"/>
      <c r="M2417" s="79"/>
      <c r="N2417" s="74"/>
      <c r="O2417" s="81" t="s">
        <v>694</v>
      </c>
      <c r="P2417" s="83">
        <v>44468.812442129631</v>
      </c>
      <c r="Q2417" s="81" t="s">
        <v>12806</v>
      </c>
      <c r="R2417" s="84" t="str">
        <f>HYPERLINK("https://byq6z.app.goo.gl/AZgEv")</f>
        <v>https://byq6z.app.goo.gl/AZgEv</v>
      </c>
      <c r="S2417" s="81" t="s">
        <v>5759</v>
      </c>
      <c r="T2417" s="81"/>
      <c r="U2417" s="81"/>
      <c r="V2417" s="84" t="str">
        <f>HYPERLINK("https://pbs.twimg.com/profile_images/1435043193863688196/mCH9_BWo_normal.jpg")</f>
        <v>https://pbs.twimg.com/profile_images/1435043193863688196/mCH9_BWo_normal.jpg</v>
      </c>
      <c r="W2417" s="83">
        <v>44468.812442129631</v>
      </c>
      <c r="X2417" s="89">
        <v>44468</v>
      </c>
      <c r="Y2417" s="86" t="s">
        <v>13005</v>
      </c>
      <c r="Z2417" s="84" t="str">
        <f>HYPERLINK("https://twitter.com/gio73568992/status/1443297005636358146")</f>
        <v>https://twitter.com/gio73568992/status/1443297005636358146</v>
      </c>
      <c r="AA2417" s="81"/>
      <c r="AB2417" s="81"/>
      <c r="AC2417" s="86" t="s">
        <v>13243</v>
      </c>
      <c r="AD2417" s="81"/>
      <c r="AE2417" s="81" t="b">
        <v>0</v>
      </c>
      <c r="AF2417" s="81">
        <v>0</v>
      </c>
      <c r="AG2417" s="86" t="s">
        <v>2084</v>
      </c>
      <c r="AH2417" s="81" t="b">
        <v>0</v>
      </c>
      <c r="AI2417" s="81" t="s">
        <v>2171</v>
      </c>
      <c r="AJ2417" s="81"/>
      <c r="AK2417" s="86" t="s">
        <v>2084</v>
      </c>
      <c r="AL2417" s="81" t="b">
        <v>0</v>
      </c>
      <c r="AM2417" s="81">
        <v>8</v>
      </c>
      <c r="AN2417" s="86" t="s">
        <v>13265</v>
      </c>
      <c r="AO2417" s="86" t="s">
        <v>2178</v>
      </c>
      <c r="AP2417" s="81" t="b">
        <v>0</v>
      </c>
      <c r="AQ2417" s="86" t="s">
        <v>13265</v>
      </c>
      <c r="AR2417" s="81" t="s">
        <v>179</v>
      </c>
      <c r="AS2417" s="81">
        <v>0</v>
      </c>
      <c r="AT2417" s="81">
        <v>0</v>
      </c>
      <c r="AU2417" s="81"/>
      <c r="AV2417" s="81"/>
      <c r="AW2417" s="81"/>
      <c r="AX2417" s="81"/>
      <c r="AY2417" s="81"/>
      <c r="AZ2417" s="81"/>
      <c r="BA2417" s="81"/>
      <c r="BB2417" s="81"/>
    </row>
    <row r="2418" spans="1:54" x14ac:dyDescent="0.35">
      <c r="A2418" s="66" t="s">
        <v>12588</v>
      </c>
      <c r="B2418" s="66" t="s">
        <v>5212</v>
      </c>
      <c r="C2418" s="67"/>
      <c r="D2418" s="68"/>
      <c r="E2418" s="69"/>
      <c r="F2418" s="70"/>
      <c r="G2418" s="67"/>
      <c r="H2418" s="71"/>
      <c r="I2418" s="72"/>
      <c r="J2418" s="72"/>
      <c r="K2418" s="36"/>
      <c r="L2418" s="79"/>
      <c r="M2418" s="79"/>
      <c r="N2418" s="74"/>
      <c r="O2418" s="81" t="s">
        <v>694</v>
      </c>
      <c r="P2418" s="83">
        <v>44468.812442129631</v>
      </c>
      <c r="Q2418" s="81" t="s">
        <v>12806</v>
      </c>
      <c r="R2418" s="84" t="str">
        <f>HYPERLINK("https://byq6z.app.goo.gl/AZgEv")</f>
        <v>https://byq6z.app.goo.gl/AZgEv</v>
      </c>
      <c r="S2418" s="81" t="s">
        <v>5759</v>
      </c>
      <c r="T2418" s="81"/>
      <c r="U2418" s="81"/>
      <c r="V2418" s="84" t="str">
        <f>HYPERLINK("https://pbs.twimg.com/profile_images/1435043193863688196/mCH9_BWo_normal.jpg")</f>
        <v>https://pbs.twimg.com/profile_images/1435043193863688196/mCH9_BWo_normal.jpg</v>
      </c>
      <c r="W2418" s="83">
        <v>44468.812442129631</v>
      </c>
      <c r="X2418" s="89">
        <v>44468</v>
      </c>
      <c r="Y2418" s="86" t="s">
        <v>13005</v>
      </c>
      <c r="Z2418" s="84" t="str">
        <f>HYPERLINK("https://twitter.com/gio73568992/status/1443297005636358146")</f>
        <v>https://twitter.com/gio73568992/status/1443297005636358146</v>
      </c>
      <c r="AA2418" s="81"/>
      <c r="AB2418" s="81"/>
      <c r="AC2418" s="86" t="s">
        <v>13243</v>
      </c>
      <c r="AD2418" s="81"/>
      <c r="AE2418" s="81" t="b">
        <v>0</v>
      </c>
      <c r="AF2418" s="81">
        <v>0</v>
      </c>
      <c r="AG2418" s="86" t="s">
        <v>2084</v>
      </c>
      <c r="AH2418" s="81" t="b">
        <v>0</v>
      </c>
      <c r="AI2418" s="81" t="s">
        <v>2171</v>
      </c>
      <c r="AJ2418" s="81"/>
      <c r="AK2418" s="86" t="s">
        <v>2084</v>
      </c>
      <c r="AL2418" s="81" t="b">
        <v>0</v>
      </c>
      <c r="AM2418" s="81">
        <v>8</v>
      </c>
      <c r="AN2418" s="86" t="s">
        <v>13265</v>
      </c>
      <c r="AO2418" s="86" t="s">
        <v>2178</v>
      </c>
      <c r="AP2418" s="81" t="b">
        <v>0</v>
      </c>
      <c r="AQ2418" s="86" t="s">
        <v>13265</v>
      </c>
      <c r="AR2418" s="81" t="s">
        <v>179</v>
      </c>
      <c r="AS2418" s="81">
        <v>0</v>
      </c>
      <c r="AT2418" s="81">
        <v>0</v>
      </c>
      <c r="AU2418" s="81"/>
      <c r="AV2418" s="81"/>
      <c r="AW2418" s="81"/>
      <c r="AX2418" s="81"/>
      <c r="AY2418" s="81"/>
      <c r="AZ2418" s="81"/>
      <c r="BA2418" s="81"/>
      <c r="BB2418" s="81"/>
    </row>
    <row r="2419" spans="1:54" x14ac:dyDescent="0.35">
      <c r="A2419" s="66" t="s">
        <v>12588</v>
      </c>
      <c r="B2419" s="66" t="s">
        <v>4952</v>
      </c>
      <c r="C2419" s="67"/>
      <c r="D2419" s="68"/>
      <c r="E2419" s="69"/>
      <c r="F2419" s="70"/>
      <c r="G2419" s="67"/>
      <c r="H2419" s="71"/>
      <c r="I2419" s="72"/>
      <c r="J2419" s="72"/>
      <c r="K2419" s="36"/>
      <c r="L2419" s="79"/>
      <c r="M2419" s="79"/>
      <c r="N2419" s="74"/>
      <c r="O2419" s="81" t="s">
        <v>693</v>
      </c>
      <c r="P2419" s="83">
        <v>44468.812442129631</v>
      </c>
      <c r="Q2419" s="81" t="s">
        <v>12806</v>
      </c>
      <c r="R2419" s="84" t="str">
        <f>HYPERLINK("https://byq6z.app.goo.gl/AZgEv")</f>
        <v>https://byq6z.app.goo.gl/AZgEv</v>
      </c>
      <c r="S2419" s="81" t="s">
        <v>5759</v>
      </c>
      <c r="T2419" s="81"/>
      <c r="U2419" s="81"/>
      <c r="V2419" s="84" t="str">
        <f>HYPERLINK("https://pbs.twimg.com/profile_images/1435043193863688196/mCH9_BWo_normal.jpg")</f>
        <v>https://pbs.twimg.com/profile_images/1435043193863688196/mCH9_BWo_normal.jpg</v>
      </c>
      <c r="W2419" s="83">
        <v>44468.812442129631</v>
      </c>
      <c r="X2419" s="89">
        <v>44468</v>
      </c>
      <c r="Y2419" s="86" t="s">
        <v>13005</v>
      </c>
      <c r="Z2419" s="84" t="str">
        <f>HYPERLINK("https://twitter.com/gio73568992/status/1443297005636358146")</f>
        <v>https://twitter.com/gio73568992/status/1443297005636358146</v>
      </c>
      <c r="AA2419" s="81"/>
      <c r="AB2419" s="81"/>
      <c r="AC2419" s="86" t="s">
        <v>13243</v>
      </c>
      <c r="AD2419" s="81"/>
      <c r="AE2419" s="81" t="b">
        <v>0</v>
      </c>
      <c r="AF2419" s="81">
        <v>0</v>
      </c>
      <c r="AG2419" s="86" t="s">
        <v>2084</v>
      </c>
      <c r="AH2419" s="81" t="b">
        <v>0</v>
      </c>
      <c r="AI2419" s="81" t="s">
        <v>2171</v>
      </c>
      <c r="AJ2419" s="81"/>
      <c r="AK2419" s="86" t="s">
        <v>2084</v>
      </c>
      <c r="AL2419" s="81" t="b">
        <v>0</v>
      </c>
      <c r="AM2419" s="81">
        <v>8</v>
      </c>
      <c r="AN2419" s="86" t="s">
        <v>13265</v>
      </c>
      <c r="AO2419" s="86" t="s">
        <v>2178</v>
      </c>
      <c r="AP2419" s="81" t="b">
        <v>0</v>
      </c>
      <c r="AQ2419" s="86" t="s">
        <v>13265</v>
      </c>
      <c r="AR2419" s="81" t="s">
        <v>179</v>
      </c>
      <c r="AS2419" s="81">
        <v>0</v>
      </c>
      <c r="AT2419" s="81">
        <v>0</v>
      </c>
      <c r="AU2419" s="81"/>
      <c r="AV2419" s="81"/>
      <c r="AW2419" s="81"/>
      <c r="AX2419" s="81"/>
      <c r="AY2419" s="81"/>
      <c r="AZ2419" s="81"/>
      <c r="BA2419" s="81"/>
      <c r="BB2419" s="81"/>
    </row>
    <row r="2420" spans="1:54" x14ac:dyDescent="0.35">
      <c r="A2420" s="66" t="s">
        <v>4294</v>
      </c>
      <c r="B2420" s="66" t="s">
        <v>4294</v>
      </c>
      <c r="C2420" s="67"/>
      <c r="D2420" s="68"/>
      <c r="E2420" s="69"/>
      <c r="F2420" s="70"/>
      <c r="G2420" s="67"/>
      <c r="H2420" s="71"/>
      <c r="I2420" s="72"/>
      <c r="J2420" s="72"/>
      <c r="K2420" s="36"/>
      <c r="L2420" s="79"/>
      <c r="M2420" s="79"/>
      <c r="N2420" s="74"/>
      <c r="O2420" s="81" t="s">
        <v>179</v>
      </c>
      <c r="P2420" s="83">
        <v>44461.484016203707</v>
      </c>
      <c r="Q2420" s="81" t="s">
        <v>5334</v>
      </c>
      <c r="R2420" s="84" t="str">
        <f>HYPERLINK("https://tvi24.iol.pt/politica/jeronimo-de-sousa/autarquicas-jeronimo-defende-que-apoios-tem-de-continuar-no-pos-pandemia?utm_source=twitter&amp;utm_medium=social&amp;utm_campaign=ed-tvi24")</f>
        <v>https://tvi24.iol.pt/politica/jeronimo-de-sousa/autarquicas-jeronimo-defende-que-apoios-tem-de-continuar-no-pos-pandemia?utm_source=twitter&amp;utm_medium=social&amp;utm_campaign=ed-tvi24</v>
      </c>
      <c r="S2420" s="81" t="s">
        <v>5705</v>
      </c>
      <c r="T2420" s="81"/>
      <c r="U2420" s="81"/>
      <c r="V2420" s="84" t="str">
        <f>HYPERLINK("https://pbs.twimg.com/profile_images/1366413028946812936/Mco07dO0_normal.jpg")</f>
        <v>https://pbs.twimg.com/profile_images/1366413028946812936/Mco07dO0_normal.jpg</v>
      </c>
      <c r="W2420" s="83">
        <v>44461.484016203707</v>
      </c>
      <c r="X2420" s="89">
        <v>44461</v>
      </c>
      <c r="Y2420" s="86" t="s">
        <v>5921</v>
      </c>
      <c r="Z2420" s="84" t="str">
        <f>HYPERLINK("https://twitter.com/tvi24pt/status/1440641272125943813")</f>
        <v>https://twitter.com/tvi24pt/status/1440641272125943813</v>
      </c>
      <c r="AA2420" s="81"/>
      <c r="AB2420" s="81"/>
      <c r="AC2420" s="86" t="s">
        <v>6823</v>
      </c>
      <c r="AD2420" s="81"/>
      <c r="AE2420" s="81" t="b">
        <v>0</v>
      </c>
      <c r="AF2420" s="81">
        <v>2</v>
      </c>
      <c r="AG2420" s="86" t="s">
        <v>2084</v>
      </c>
      <c r="AH2420" s="81" t="b">
        <v>0</v>
      </c>
      <c r="AI2420" s="81" t="s">
        <v>2171</v>
      </c>
      <c r="AJ2420" s="81"/>
      <c r="AK2420" s="86" t="s">
        <v>2084</v>
      </c>
      <c r="AL2420" s="81" t="b">
        <v>0</v>
      </c>
      <c r="AM2420" s="81">
        <v>0</v>
      </c>
      <c r="AN2420" s="86" t="s">
        <v>2084</v>
      </c>
      <c r="AO2420" s="86" t="s">
        <v>7976</v>
      </c>
      <c r="AP2420" s="81" t="b">
        <v>0</v>
      </c>
      <c r="AQ2420" s="86" t="s">
        <v>6823</v>
      </c>
      <c r="AR2420" s="81" t="s">
        <v>179</v>
      </c>
      <c r="AS2420" s="81">
        <v>0</v>
      </c>
      <c r="AT2420" s="81">
        <v>0</v>
      </c>
      <c r="AU2420" s="81"/>
      <c r="AV2420" s="81"/>
      <c r="AW2420" s="81"/>
      <c r="AX2420" s="81"/>
      <c r="AY2420" s="81"/>
      <c r="AZ2420" s="81"/>
      <c r="BA2420" s="81"/>
      <c r="BB2420" s="81"/>
    </row>
    <row r="2421" spans="1:54" x14ac:dyDescent="0.35">
      <c r="A2421" s="66" t="s">
        <v>4294</v>
      </c>
      <c r="B2421" s="66" t="s">
        <v>4294</v>
      </c>
      <c r="C2421" s="67"/>
      <c r="D2421" s="68"/>
      <c r="E2421" s="69"/>
      <c r="F2421" s="70"/>
      <c r="G2421" s="67"/>
      <c r="H2421" s="71"/>
      <c r="I2421" s="72"/>
      <c r="J2421" s="72"/>
      <c r="K2421" s="36"/>
      <c r="L2421" s="79"/>
      <c r="M2421" s="79"/>
      <c r="N2421" s="74"/>
      <c r="O2421" s="81" t="s">
        <v>179</v>
      </c>
      <c r="P2421" s="83">
        <v>44468.545624999999</v>
      </c>
      <c r="Q2421" s="81" t="s">
        <v>12808</v>
      </c>
      <c r="R2421" s="84" t="str">
        <f>HYPERLINK("https://tvi24.iol.pt/politica/autarquicas2021/pcp-rejeita-acordos-pos-eleicoes-autarquicas?utm_source=twitter&amp;utm_medium=social&amp;utm_campaign=ed-tvi24")</f>
        <v>https://tvi24.iol.pt/politica/autarquicas2021/pcp-rejeita-acordos-pos-eleicoes-autarquicas?utm_source=twitter&amp;utm_medium=social&amp;utm_campaign=ed-tvi24</v>
      </c>
      <c r="S2421" s="81" t="s">
        <v>5705</v>
      </c>
      <c r="T2421" s="81"/>
      <c r="U2421" s="81"/>
      <c r="V2421" s="84" t="str">
        <f>HYPERLINK("https://pbs.twimg.com/profile_images/1366413028946812936/Mco07dO0_normal.jpg")</f>
        <v>https://pbs.twimg.com/profile_images/1366413028946812936/Mco07dO0_normal.jpg</v>
      </c>
      <c r="W2421" s="83">
        <v>44468.545624999999</v>
      </c>
      <c r="X2421" s="89">
        <v>44468</v>
      </c>
      <c r="Y2421" s="86" t="s">
        <v>13006</v>
      </c>
      <c r="Z2421" s="84" t="str">
        <f>HYPERLINK("https://twitter.com/tvi24pt/status/1443200311984893974")</f>
        <v>https://twitter.com/tvi24pt/status/1443200311984893974</v>
      </c>
      <c r="AA2421" s="81"/>
      <c r="AB2421" s="81"/>
      <c r="AC2421" s="86" t="s">
        <v>13244</v>
      </c>
      <c r="AD2421" s="81"/>
      <c r="AE2421" s="81" t="b">
        <v>0</v>
      </c>
      <c r="AF2421" s="81">
        <v>1</v>
      </c>
      <c r="AG2421" s="86" t="s">
        <v>2084</v>
      </c>
      <c r="AH2421" s="81" t="b">
        <v>0</v>
      </c>
      <c r="AI2421" s="81" t="s">
        <v>2171</v>
      </c>
      <c r="AJ2421" s="81"/>
      <c r="AK2421" s="86" t="s">
        <v>2084</v>
      </c>
      <c r="AL2421" s="81" t="b">
        <v>0</v>
      </c>
      <c r="AM2421" s="81">
        <v>0</v>
      </c>
      <c r="AN2421" s="86" t="s">
        <v>2084</v>
      </c>
      <c r="AO2421" s="86" t="s">
        <v>7976</v>
      </c>
      <c r="AP2421" s="81" t="b">
        <v>0</v>
      </c>
      <c r="AQ2421" s="86" t="s">
        <v>13244</v>
      </c>
      <c r="AR2421" s="81" t="s">
        <v>179</v>
      </c>
      <c r="AS2421" s="81">
        <v>0</v>
      </c>
      <c r="AT2421" s="81">
        <v>0</v>
      </c>
      <c r="AU2421" s="81"/>
      <c r="AV2421" s="81"/>
      <c r="AW2421" s="81"/>
      <c r="AX2421" s="81"/>
      <c r="AY2421" s="81"/>
      <c r="AZ2421" s="81"/>
      <c r="BA2421" s="81"/>
      <c r="BB2421" s="81"/>
    </row>
    <row r="2422" spans="1:54" x14ac:dyDescent="0.35">
      <c r="A2422" s="66" t="s">
        <v>4294</v>
      </c>
      <c r="B2422" s="66" t="s">
        <v>4294</v>
      </c>
      <c r="C2422" s="67"/>
      <c r="D2422" s="68"/>
      <c r="E2422" s="69"/>
      <c r="F2422" s="70"/>
      <c r="G2422" s="67"/>
      <c r="H2422" s="71"/>
      <c r="I2422" s="72"/>
      <c r="J2422" s="72"/>
      <c r="K2422" s="36"/>
      <c r="L2422" s="79"/>
      <c r="M2422" s="79"/>
      <c r="N2422" s="74"/>
      <c r="O2422" s="81" t="s">
        <v>179</v>
      </c>
      <c r="P2422" s="83">
        <v>44468.819756944446</v>
      </c>
      <c r="Q2422" s="81" t="s">
        <v>12809</v>
      </c>
      <c r="R2422" s="84" t="str">
        <f>HYPERLINK("https://tvi24.iol.pt/videos/perda-de-bola-em-transicao-e-lewandowski-bisa-pos-claro/6154bf370cf29ea8606c2145?utm_source=twitter&amp;utm_medium=social&amp;utm_campaign=ed-tvi24")</f>
        <v>https://tvi24.iol.pt/videos/perda-de-bola-em-transicao-e-lewandowski-bisa-pos-claro/6154bf370cf29ea8606c2145?utm_source=twitter&amp;utm_medium=social&amp;utm_campaign=ed-tvi24</v>
      </c>
      <c r="S2422" s="81" t="s">
        <v>5705</v>
      </c>
      <c r="T2422" s="81"/>
      <c r="U2422" s="81"/>
      <c r="V2422" s="84" t="str">
        <f>HYPERLINK("https://pbs.twimg.com/profile_images/1366413028946812936/Mco07dO0_normal.jpg")</f>
        <v>https://pbs.twimg.com/profile_images/1366413028946812936/Mco07dO0_normal.jpg</v>
      </c>
      <c r="W2422" s="83">
        <v>44468.819756944446</v>
      </c>
      <c r="X2422" s="89">
        <v>44468</v>
      </c>
      <c r="Y2422" s="86" t="s">
        <v>13007</v>
      </c>
      <c r="Z2422" s="84" t="str">
        <f>HYPERLINK("https://twitter.com/tvi24pt/status/1443299653664092161")</f>
        <v>https://twitter.com/tvi24pt/status/1443299653664092161</v>
      </c>
      <c r="AA2422" s="81"/>
      <c r="AB2422" s="81"/>
      <c r="AC2422" s="86" t="s">
        <v>13245</v>
      </c>
      <c r="AD2422" s="81"/>
      <c r="AE2422" s="81" t="b">
        <v>0</v>
      </c>
      <c r="AF2422" s="81">
        <v>1</v>
      </c>
      <c r="AG2422" s="86" t="s">
        <v>2084</v>
      </c>
      <c r="AH2422" s="81" t="b">
        <v>0</v>
      </c>
      <c r="AI2422" s="81" t="s">
        <v>2171</v>
      </c>
      <c r="AJ2422" s="81"/>
      <c r="AK2422" s="86" t="s">
        <v>2084</v>
      </c>
      <c r="AL2422" s="81" t="b">
        <v>0</v>
      </c>
      <c r="AM2422" s="81">
        <v>0</v>
      </c>
      <c r="AN2422" s="86" t="s">
        <v>2084</v>
      </c>
      <c r="AO2422" s="86" t="s">
        <v>7976</v>
      </c>
      <c r="AP2422" s="81" t="b">
        <v>0</v>
      </c>
      <c r="AQ2422" s="86" t="s">
        <v>13245</v>
      </c>
      <c r="AR2422" s="81" t="s">
        <v>179</v>
      </c>
      <c r="AS2422" s="81">
        <v>0</v>
      </c>
      <c r="AT2422" s="81">
        <v>0</v>
      </c>
      <c r="AU2422" s="81"/>
      <c r="AV2422" s="81"/>
      <c r="AW2422" s="81"/>
      <c r="AX2422" s="81"/>
      <c r="AY2422" s="81"/>
      <c r="AZ2422" s="81"/>
      <c r="BA2422" s="81"/>
      <c r="BB2422" s="81"/>
    </row>
    <row r="2423" spans="1:54" x14ac:dyDescent="0.35">
      <c r="A2423" s="66" t="s">
        <v>4295</v>
      </c>
      <c r="B2423" s="66" t="s">
        <v>4295</v>
      </c>
      <c r="C2423" s="67"/>
      <c r="D2423" s="68"/>
      <c r="E2423" s="69"/>
      <c r="F2423" s="70"/>
      <c r="G2423" s="67"/>
      <c r="H2423" s="71"/>
      <c r="I2423" s="72"/>
      <c r="J2423" s="72"/>
      <c r="K2423" s="36"/>
      <c r="L2423" s="79"/>
      <c r="M2423" s="79"/>
      <c r="N2423" s="74"/>
      <c r="O2423" s="81" t="s">
        <v>179</v>
      </c>
      <c r="P2423" s="83">
        <v>44461.484027777777</v>
      </c>
      <c r="Q2423" s="81" t="s">
        <v>5335</v>
      </c>
      <c r="R2423" s="84" t="str">
        <f>HYPERLINK("https://tvi24.iol.pt/politica/jeronimo-de-sousa/autarquicas-jeronimo-defende-que-apoios-tem-de-continuar-no-pos-pandemia?utm_source=twitter&amp;utm_medium=social&amp;utm_campaign=ed-tvi24ultimas")</f>
        <v>https://tvi24.iol.pt/politica/jeronimo-de-sousa/autarquicas-jeronimo-defende-que-apoios-tem-de-continuar-no-pos-pandemia?utm_source=twitter&amp;utm_medium=social&amp;utm_campaign=ed-tvi24ultimas</v>
      </c>
      <c r="S2423" s="81" t="s">
        <v>5705</v>
      </c>
      <c r="T2423" s="81"/>
      <c r="U2423" s="81"/>
      <c r="V2423" s="84" t="str">
        <f>HYPERLINK("https://pbs.twimg.com/profile_images/1366413337056182273/MwyDpJGX_normal.jpg")</f>
        <v>https://pbs.twimg.com/profile_images/1366413337056182273/MwyDpJGX_normal.jpg</v>
      </c>
      <c r="W2423" s="83">
        <v>44461.484027777777</v>
      </c>
      <c r="X2423" s="89">
        <v>44461</v>
      </c>
      <c r="Y2423" s="86" t="s">
        <v>5922</v>
      </c>
      <c r="Z2423" s="84" t="str">
        <f>HYPERLINK("https://twitter.com/tvi24ultimas/status/1440641275338756101")</f>
        <v>https://twitter.com/tvi24ultimas/status/1440641275338756101</v>
      </c>
      <c r="AA2423" s="81"/>
      <c r="AB2423" s="81"/>
      <c r="AC2423" s="86" t="s">
        <v>6824</v>
      </c>
      <c r="AD2423" s="81"/>
      <c r="AE2423" s="81" t="b">
        <v>0</v>
      </c>
      <c r="AF2423" s="81">
        <v>2</v>
      </c>
      <c r="AG2423" s="86" t="s">
        <v>2084</v>
      </c>
      <c r="AH2423" s="81" t="b">
        <v>0</v>
      </c>
      <c r="AI2423" s="81" t="s">
        <v>2171</v>
      </c>
      <c r="AJ2423" s="81"/>
      <c r="AK2423" s="86" t="s">
        <v>2084</v>
      </c>
      <c r="AL2423" s="81" t="b">
        <v>0</v>
      </c>
      <c r="AM2423" s="81">
        <v>0</v>
      </c>
      <c r="AN2423" s="86" t="s">
        <v>2084</v>
      </c>
      <c r="AO2423" s="86" t="s">
        <v>7976</v>
      </c>
      <c r="AP2423" s="81" t="b">
        <v>0</v>
      </c>
      <c r="AQ2423" s="86" t="s">
        <v>6824</v>
      </c>
      <c r="AR2423" s="81" t="s">
        <v>179</v>
      </c>
      <c r="AS2423" s="81">
        <v>0</v>
      </c>
      <c r="AT2423" s="81">
        <v>0</v>
      </c>
      <c r="AU2423" s="81"/>
      <c r="AV2423" s="81"/>
      <c r="AW2423" s="81"/>
      <c r="AX2423" s="81"/>
      <c r="AY2423" s="81"/>
      <c r="AZ2423" s="81"/>
      <c r="BA2423" s="81"/>
      <c r="BB2423" s="81"/>
    </row>
    <row r="2424" spans="1:54" x14ac:dyDescent="0.35">
      <c r="A2424" s="66" t="s">
        <v>4295</v>
      </c>
      <c r="B2424" s="66" t="s">
        <v>4295</v>
      </c>
      <c r="C2424" s="67"/>
      <c r="D2424" s="68"/>
      <c r="E2424" s="69"/>
      <c r="F2424" s="70"/>
      <c r="G2424" s="67"/>
      <c r="H2424" s="71"/>
      <c r="I2424" s="72"/>
      <c r="J2424" s="72"/>
      <c r="K2424" s="36"/>
      <c r="L2424" s="79"/>
      <c r="M2424" s="79"/>
      <c r="N2424" s="74"/>
      <c r="O2424" s="81" t="s">
        <v>179</v>
      </c>
      <c r="P2424" s="83">
        <v>44468.545624999999</v>
      </c>
      <c r="Q2424" s="81" t="s">
        <v>12810</v>
      </c>
      <c r="R2424" s="84" t="str">
        <f>HYPERLINK("https://tvi24.iol.pt/politica/autarquicas2021/pcp-rejeita-acordos-pos-eleicoes-autarquicas?utm_source=twitter&amp;utm_medium=social&amp;utm_campaign=ed-tvi24ultimas")</f>
        <v>https://tvi24.iol.pt/politica/autarquicas2021/pcp-rejeita-acordos-pos-eleicoes-autarquicas?utm_source=twitter&amp;utm_medium=social&amp;utm_campaign=ed-tvi24ultimas</v>
      </c>
      <c r="S2424" s="81" t="s">
        <v>5705</v>
      </c>
      <c r="T2424" s="81"/>
      <c r="U2424" s="81"/>
      <c r="V2424" s="84" t="str">
        <f>HYPERLINK("https://pbs.twimg.com/profile_images/1366413337056182273/MwyDpJGX_normal.jpg")</f>
        <v>https://pbs.twimg.com/profile_images/1366413337056182273/MwyDpJGX_normal.jpg</v>
      </c>
      <c r="W2424" s="83">
        <v>44468.545624999999</v>
      </c>
      <c r="X2424" s="89">
        <v>44468</v>
      </c>
      <c r="Y2424" s="86" t="s">
        <v>13006</v>
      </c>
      <c r="Z2424" s="84" t="str">
        <f>HYPERLINK("https://twitter.com/tvi24ultimas/status/1443200314140766213")</f>
        <v>https://twitter.com/tvi24ultimas/status/1443200314140766213</v>
      </c>
      <c r="AA2424" s="81"/>
      <c r="AB2424" s="81"/>
      <c r="AC2424" s="86" t="s">
        <v>13246</v>
      </c>
      <c r="AD2424" s="81"/>
      <c r="AE2424" s="81" t="b">
        <v>0</v>
      </c>
      <c r="AF2424" s="81">
        <v>0</v>
      </c>
      <c r="AG2424" s="86" t="s">
        <v>2084</v>
      </c>
      <c r="AH2424" s="81" t="b">
        <v>0</v>
      </c>
      <c r="AI2424" s="81" t="s">
        <v>2171</v>
      </c>
      <c r="AJ2424" s="81"/>
      <c r="AK2424" s="86" t="s">
        <v>2084</v>
      </c>
      <c r="AL2424" s="81" t="b">
        <v>0</v>
      </c>
      <c r="AM2424" s="81">
        <v>0</v>
      </c>
      <c r="AN2424" s="86" t="s">
        <v>2084</v>
      </c>
      <c r="AO2424" s="86" t="s">
        <v>7976</v>
      </c>
      <c r="AP2424" s="81" t="b">
        <v>0</v>
      </c>
      <c r="AQ2424" s="86" t="s">
        <v>13246</v>
      </c>
      <c r="AR2424" s="81" t="s">
        <v>179</v>
      </c>
      <c r="AS2424" s="81">
        <v>0</v>
      </c>
      <c r="AT2424" s="81">
        <v>0</v>
      </c>
      <c r="AU2424" s="81"/>
      <c r="AV2424" s="81"/>
      <c r="AW2424" s="81"/>
      <c r="AX2424" s="81"/>
      <c r="AY2424" s="81"/>
      <c r="AZ2424" s="81"/>
      <c r="BA2424" s="81"/>
      <c r="BB2424" s="81"/>
    </row>
    <row r="2425" spans="1:54" x14ac:dyDescent="0.35">
      <c r="A2425" s="66" t="s">
        <v>4295</v>
      </c>
      <c r="B2425" s="66" t="s">
        <v>4295</v>
      </c>
      <c r="C2425" s="67"/>
      <c r="D2425" s="68"/>
      <c r="E2425" s="69"/>
      <c r="F2425" s="70"/>
      <c r="G2425" s="67"/>
      <c r="H2425" s="71"/>
      <c r="I2425" s="72"/>
      <c r="J2425" s="72"/>
      <c r="K2425" s="36"/>
      <c r="L2425" s="79"/>
      <c r="M2425" s="79"/>
      <c r="N2425" s="74"/>
      <c r="O2425" s="81" t="s">
        <v>179</v>
      </c>
      <c r="P2425" s="83">
        <v>44468.819756944446</v>
      </c>
      <c r="Q2425" s="81" t="s">
        <v>12811</v>
      </c>
      <c r="R2425" s="84" t="str">
        <f>HYPERLINK("https://tvi24.iol.pt/videos/perda-de-bola-em-transicao-e-lewandowski-bisa-pos-claro/6154bf370cf29ea8606c2145?utm_source=twitter&amp;utm_medium=social&amp;utm_campaign=ed-tvi24ultimas")</f>
        <v>https://tvi24.iol.pt/videos/perda-de-bola-em-transicao-e-lewandowski-bisa-pos-claro/6154bf370cf29ea8606c2145?utm_source=twitter&amp;utm_medium=social&amp;utm_campaign=ed-tvi24ultimas</v>
      </c>
      <c r="S2425" s="81" t="s">
        <v>5705</v>
      </c>
      <c r="T2425" s="81"/>
      <c r="U2425" s="81"/>
      <c r="V2425" s="84" t="str">
        <f>HYPERLINK("https://pbs.twimg.com/profile_images/1366413337056182273/MwyDpJGX_normal.jpg")</f>
        <v>https://pbs.twimg.com/profile_images/1366413337056182273/MwyDpJGX_normal.jpg</v>
      </c>
      <c r="W2425" s="83">
        <v>44468.819756944446</v>
      </c>
      <c r="X2425" s="89">
        <v>44468</v>
      </c>
      <c r="Y2425" s="86" t="s">
        <v>13007</v>
      </c>
      <c r="Z2425" s="84" t="str">
        <f>HYPERLINK("https://twitter.com/tvi24ultimas/status/1443299655555616781")</f>
        <v>https://twitter.com/tvi24ultimas/status/1443299655555616781</v>
      </c>
      <c r="AA2425" s="81"/>
      <c r="AB2425" s="81"/>
      <c r="AC2425" s="86" t="s">
        <v>13247</v>
      </c>
      <c r="AD2425" s="81"/>
      <c r="AE2425" s="81" t="b">
        <v>0</v>
      </c>
      <c r="AF2425" s="81">
        <v>2</v>
      </c>
      <c r="AG2425" s="86" t="s">
        <v>2084</v>
      </c>
      <c r="AH2425" s="81" t="b">
        <v>0</v>
      </c>
      <c r="AI2425" s="81" t="s">
        <v>2171</v>
      </c>
      <c r="AJ2425" s="81"/>
      <c r="AK2425" s="86" t="s">
        <v>2084</v>
      </c>
      <c r="AL2425" s="81" t="b">
        <v>0</v>
      </c>
      <c r="AM2425" s="81">
        <v>0</v>
      </c>
      <c r="AN2425" s="86" t="s">
        <v>2084</v>
      </c>
      <c r="AO2425" s="86" t="s">
        <v>7976</v>
      </c>
      <c r="AP2425" s="81" t="b">
        <v>0</v>
      </c>
      <c r="AQ2425" s="86" t="s">
        <v>13247</v>
      </c>
      <c r="AR2425" s="81" t="s">
        <v>179</v>
      </c>
      <c r="AS2425" s="81">
        <v>0</v>
      </c>
      <c r="AT2425" s="81">
        <v>0</v>
      </c>
      <c r="AU2425" s="81"/>
      <c r="AV2425" s="81"/>
      <c r="AW2425" s="81"/>
      <c r="AX2425" s="81"/>
      <c r="AY2425" s="81"/>
      <c r="AZ2425" s="81"/>
      <c r="BA2425" s="81"/>
      <c r="BB2425" s="81"/>
    </row>
    <row r="2426" spans="1:54" x14ac:dyDescent="0.35">
      <c r="A2426" s="66" t="s">
        <v>4719</v>
      </c>
      <c r="B2426" s="66" t="s">
        <v>4719</v>
      </c>
      <c r="C2426" s="67"/>
      <c r="D2426" s="68"/>
      <c r="E2426" s="69"/>
      <c r="F2426" s="70"/>
      <c r="G2426" s="67"/>
      <c r="H2426" s="71"/>
      <c r="I2426" s="72"/>
      <c r="J2426" s="72"/>
      <c r="K2426" s="36"/>
      <c r="L2426" s="79"/>
      <c r="M2426" s="79"/>
      <c r="N2426" s="74"/>
      <c r="O2426" s="81" t="s">
        <v>179</v>
      </c>
      <c r="P2426" s="83">
        <v>44465.840428240743</v>
      </c>
      <c r="Q2426" s="81" t="s">
        <v>5523</v>
      </c>
      <c r="R2426" s="84" t="str">
        <f>HYPERLINK("https://maisfutebol.iol.pt/sp-braga/liga/carlos-carvalhal-a-equipa-pos-se-atras-e-pos-se-a-jeito?utm_campaign=auto-tw&amp;utm_source=twitter&amp;utm_medium=social")</f>
        <v>https://maisfutebol.iol.pt/sp-braga/liga/carlos-carvalhal-a-equipa-pos-se-atras-e-pos-se-a-jeito?utm_campaign=auto-tw&amp;utm_source=twitter&amp;utm_medium=social</v>
      </c>
      <c r="S2426" s="81" t="s">
        <v>5705</v>
      </c>
      <c r="T2426" s="81"/>
      <c r="U2426" s="84" t="str">
        <f>HYPERLINK("https://pbs.twimg.com/media/FAPLbk3VkAIdVbj.jpg")</f>
        <v>https://pbs.twimg.com/media/FAPLbk3VkAIdVbj.jpg</v>
      </c>
      <c r="V2426" s="84" t="str">
        <f>HYPERLINK("https://pbs.twimg.com/media/FAPLbk3VkAIdVbj.jpg")</f>
        <v>https://pbs.twimg.com/media/FAPLbk3VkAIdVbj.jpg</v>
      </c>
      <c r="W2426" s="83">
        <v>44465.840428240743</v>
      </c>
      <c r="X2426" s="89">
        <v>44465</v>
      </c>
      <c r="Y2426" s="86" t="s">
        <v>6364</v>
      </c>
      <c r="Z2426" s="84" t="str">
        <f>HYPERLINK("https://twitter.com/maisfutebol/status/1442219981211521030")</f>
        <v>https://twitter.com/maisfutebol/status/1442219981211521030</v>
      </c>
      <c r="AA2426" s="81"/>
      <c r="AB2426" s="81"/>
      <c r="AC2426" s="86" t="s">
        <v>7279</v>
      </c>
      <c r="AD2426" s="81"/>
      <c r="AE2426" s="81" t="b">
        <v>0</v>
      </c>
      <c r="AF2426" s="81">
        <v>7</v>
      </c>
      <c r="AG2426" s="86" t="s">
        <v>2084</v>
      </c>
      <c r="AH2426" s="81" t="b">
        <v>0</v>
      </c>
      <c r="AI2426" s="81" t="s">
        <v>2171</v>
      </c>
      <c r="AJ2426" s="81"/>
      <c r="AK2426" s="86" t="s">
        <v>2084</v>
      </c>
      <c r="AL2426" s="81" t="b">
        <v>0</v>
      </c>
      <c r="AM2426" s="81">
        <v>1</v>
      </c>
      <c r="AN2426" s="86" t="s">
        <v>2084</v>
      </c>
      <c r="AO2426" s="86" t="s">
        <v>7986</v>
      </c>
      <c r="AP2426" s="81" t="b">
        <v>0</v>
      </c>
      <c r="AQ2426" s="86" t="s">
        <v>7279</v>
      </c>
      <c r="AR2426" s="81" t="s">
        <v>179</v>
      </c>
      <c r="AS2426" s="81">
        <v>0</v>
      </c>
      <c r="AT2426" s="81">
        <v>0</v>
      </c>
      <c r="AU2426" s="81"/>
      <c r="AV2426" s="81"/>
      <c r="AW2426" s="81"/>
      <c r="AX2426" s="81"/>
      <c r="AY2426" s="81"/>
      <c r="AZ2426" s="81"/>
      <c r="BA2426" s="81"/>
      <c r="BB2426" s="81"/>
    </row>
    <row r="2427" spans="1:54" x14ac:dyDescent="0.35">
      <c r="A2427" s="66" t="s">
        <v>4719</v>
      </c>
      <c r="B2427" s="66" t="s">
        <v>4719</v>
      </c>
      <c r="C2427" s="67"/>
      <c r="D2427" s="68"/>
      <c r="E2427" s="69"/>
      <c r="F2427" s="70"/>
      <c r="G2427" s="67"/>
      <c r="H2427" s="71"/>
      <c r="I2427" s="72"/>
      <c r="J2427" s="72"/>
      <c r="K2427" s="36"/>
      <c r="L2427" s="79"/>
      <c r="M2427" s="79"/>
      <c r="N2427" s="74"/>
      <c r="O2427" s="81" t="s">
        <v>179</v>
      </c>
      <c r="P2427" s="83">
        <v>44468.823645833334</v>
      </c>
      <c r="Q2427" s="81" t="s">
        <v>12812</v>
      </c>
      <c r="R2427" s="84" t="str">
        <f>HYPERLINK("https://maisfutebol.iol.pt/videos/6154bf370cf29ea8606c2145/perda-de-bola-em-transicao-e-lewandowski-bisa-pos-claro?utm_source=Twitter&amp;utm_medium=social&amp;utm_campaign=ed-maisfutebol")</f>
        <v>https://maisfutebol.iol.pt/videos/6154bf370cf29ea8606c2145/perda-de-bola-em-transicao-e-lewandowski-bisa-pos-claro?utm_source=Twitter&amp;utm_medium=social&amp;utm_campaign=ed-maisfutebol</v>
      </c>
      <c r="S2427" s="81" t="s">
        <v>5705</v>
      </c>
      <c r="T2427" s="81"/>
      <c r="U2427" s="81"/>
      <c r="V2427" s="84" t="str">
        <f>HYPERLINK("https://pbs.twimg.com/profile_images/1350052687962902530/R0y7eyp-_normal.jpg")</f>
        <v>https://pbs.twimg.com/profile_images/1350052687962902530/R0y7eyp-_normal.jpg</v>
      </c>
      <c r="W2427" s="83">
        <v>44468.823645833334</v>
      </c>
      <c r="X2427" s="89">
        <v>44468</v>
      </c>
      <c r="Y2427" s="86" t="s">
        <v>13008</v>
      </c>
      <c r="Z2427" s="84" t="str">
        <f>HYPERLINK("https://twitter.com/maisfutebol/status/1443301064468570113")</f>
        <v>https://twitter.com/maisfutebol/status/1443301064468570113</v>
      </c>
      <c r="AA2427" s="81"/>
      <c r="AB2427" s="81"/>
      <c r="AC2427" s="86" t="s">
        <v>13248</v>
      </c>
      <c r="AD2427" s="81"/>
      <c r="AE2427" s="81" t="b">
        <v>0</v>
      </c>
      <c r="AF2427" s="81">
        <v>12</v>
      </c>
      <c r="AG2427" s="86" t="s">
        <v>2084</v>
      </c>
      <c r="AH2427" s="81" t="b">
        <v>0</v>
      </c>
      <c r="AI2427" s="81" t="s">
        <v>2171</v>
      </c>
      <c r="AJ2427" s="81"/>
      <c r="AK2427" s="86" t="s">
        <v>2084</v>
      </c>
      <c r="AL2427" s="81" t="b">
        <v>0</v>
      </c>
      <c r="AM2427" s="81">
        <v>0</v>
      </c>
      <c r="AN2427" s="86" t="s">
        <v>2084</v>
      </c>
      <c r="AO2427" s="86" t="s">
        <v>7976</v>
      </c>
      <c r="AP2427" s="81" t="b">
        <v>0</v>
      </c>
      <c r="AQ2427" s="86" t="s">
        <v>13248</v>
      </c>
      <c r="AR2427" s="81" t="s">
        <v>179</v>
      </c>
      <c r="AS2427" s="81">
        <v>0</v>
      </c>
      <c r="AT2427" s="81">
        <v>0</v>
      </c>
      <c r="AU2427" s="81"/>
      <c r="AV2427" s="81"/>
      <c r="AW2427" s="81"/>
      <c r="AX2427" s="81"/>
      <c r="AY2427" s="81"/>
      <c r="AZ2427" s="81"/>
      <c r="BA2427" s="81"/>
      <c r="BB2427" s="81"/>
    </row>
    <row r="2428" spans="1:54" x14ac:dyDescent="0.35">
      <c r="A2428" s="66" t="s">
        <v>12589</v>
      </c>
      <c r="B2428" s="66" t="s">
        <v>12706</v>
      </c>
      <c r="C2428" s="67"/>
      <c r="D2428" s="68"/>
      <c r="E2428" s="69"/>
      <c r="F2428" s="70"/>
      <c r="G2428" s="67"/>
      <c r="H2428" s="71"/>
      <c r="I2428" s="72"/>
      <c r="J2428" s="72"/>
      <c r="K2428" s="36"/>
      <c r="L2428" s="79"/>
      <c r="M2428" s="79"/>
      <c r="N2428" s="74"/>
      <c r="O2428" s="81" t="s">
        <v>696</v>
      </c>
      <c r="P2428" s="83">
        <v>44468.835682870369</v>
      </c>
      <c r="Q2428" s="81" t="s">
        <v>12813</v>
      </c>
      <c r="R2428" s="81"/>
      <c r="S2428" s="81"/>
      <c r="T2428" s="81"/>
      <c r="U2428" s="81"/>
      <c r="V2428" s="84" t="str">
        <f>HYPERLINK("https://pbs.twimg.com/profile_images/1227387007/eu_normal.JPG")</f>
        <v>https://pbs.twimg.com/profile_images/1227387007/eu_normal.JPG</v>
      </c>
      <c r="W2428" s="83">
        <v>44468.835682870369</v>
      </c>
      <c r="X2428" s="89">
        <v>44468</v>
      </c>
      <c r="Y2428" s="86" t="s">
        <v>13009</v>
      </c>
      <c r="Z2428" s="84" t="str">
        <f>HYPERLINK("https://twitter.com/marciomanoo/status/1443305425609318410")</f>
        <v>https://twitter.com/marciomanoo/status/1443305425609318410</v>
      </c>
      <c r="AA2428" s="81"/>
      <c r="AB2428" s="81"/>
      <c r="AC2428" s="86" t="s">
        <v>13249</v>
      </c>
      <c r="AD2428" s="86" t="s">
        <v>13385</v>
      </c>
      <c r="AE2428" s="81" t="b">
        <v>0</v>
      </c>
      <c r="AF2428" s="81">
        <v>1</v>
      </c>
      <c r="AG2428" s="86" t="s">
        <v>13424</v>
      </c>
      <c r="AH2428" s="81" t="b">
        <v>0</v>
      </c>
      <c r="AI2428" s="81" t="s">
        <v>2171</v>
      </c>
      <c r="AJ2428" s="81"/>
      <c r="AK2428" s="86" t="s">
        <v>2084</v>
      </c>
      <c r="AL2428" s="81" t="b">
        <v>0</v>
      </c>
      <c r="AM2428" s="81">
        <v>0</v>
      </c>
      <c r="AN2428" s="86" t="s">
        <v>2084</v>
      </c>
      <c r="AO2428" s="86" t="s">
        <v>2181</v>
      </c>
      <c r="AP2428" s="81" t="b">
        <v>0</v>
      </c>
      <c r="AQ2428" s="86" t="s">
        <v>13385</v>
      </c>
      <c r="AR2428" s="81" t="s">
        <v>179</v>
      </c>
      <c r="AS2428" s="81">
        <v>0</v>
      </c>
      <c r="AT2428" s="81">
        <v>0</v>
      </c>
      <c r="AU2428" s="81"/>
      <c r="AV2428" s="81"/>
      <c r="AW2428" s="81"/>
      <c r="AX2428" s="81"/>
      <c r="AY2428" s="81"/>
      <c r="AZ2428" s="81"/>
      <c r="BA2428" s="81"/>
      <c r="BB2428" s="81"/>
    </row>
    <row r="2429" spans="1:54" x14ac:dyDescent="0.35">
      <c r="A2429" s="66" t="s">
        <v>12589</v>
      </c>
      <c r="B2429" s="66" t="s">
        <v>12707</v>
      </c>
      <c r="C2429" s="67"/>
      <c r="D2429" s="68"/>
      <c r="E2429" s="69"/>
      <c r="F2429" s="70"/>
      <c r="G2429" s="67"/>
      <c r="H2429" s="71"/>
      <c r="I2429" s="72"/>
      <c r="J2429" s="72"/>
      <c r="K2429" s="36"/>
      <c r="L2429" s="79"/>
      <c r="M2429" s="79"/>
      <c r="N2429" s="74"/>
      <c r="O2429" s="81" t="s">
        <v>696</v>
      </c>
      <c r="P2429" s="83">
        <v>44468.835682870369</v>
      </c>
      <c r="Q2429" s="81" t="s">
        <v>12813</v>
      </c>
      <c r="R2429" s="81"/>
      <c r="S2429" s="81"/>
      <c r="T2429" s="81"/>
      <c r="U2429" s="81"/>
      <c r="V2429" s="84" t="str">
        <f>HYPERLINK("https://pbs.twimg.com/profile_images/1227387007/eu_normal.JPG")</f>
        <v>https://pbs.twimg.com/profile_images/1227387007/eu_normal.JPG</v>
      </c>
      <c r="W2429" s="83">
        <v>44468.835682870369</v>
      </c>
      <c r="X2429" s="89">
        <v>44468</v>
      </c>
      <c r="Y2429" s="86" t="s">
        <v>13009</v>
      </c>
      <c r="Z2429" s="84" t="str">
        <f>HYPERLINK("https://twitter.com/marciomanoo/status/1443305425609318410")</f>
        <v>https://twitter.com/marciomanoo/status/1443305425609318410</v>
      </c>
      <c r="AA2429" s="81"/>
      <c r="AB2429" s="81"/>
      <c r="AC2429" s="86" t="s">
        <v>13249</v>
      </c>
      <c r="AD2429" s="86" t="s">
        <v>13385</v>
      </c>
      <c r="AE2429" s="81" t="b">
        <v>0</v>
      </c>
      <c r="AF2429" s="81">
        <v>1</v>
      </c>
      <c r="AG2429" s="86" t="s">
        <v>13424</v>
      </c>
      <c r="AH2429" s="81" t="b">
        <v>0</v>
      </c>
      <c r="AI2429" s="81" t="s">
        <v>2171</v>
      </c>
      <c r="AJ2429" s="81"/>
      <c r="AK2429" s="86" t="s">
        <v>2084</v>
      </c>
      <c r="AL2429" s="81" t="b">
        <v>0</v>
      </c>
      <c r="AM2429" s="81">
        <v>0</v>
      </c>
      <c r="AN2429" s="86" t="s">
        <v>2084</v>
      </c>
      <c r="AO2429" s="86" t="s">
        <v>2181</v>
      </c>
      <c r="AP2429" s="81" t="b">
        <v>0</v>
      </c>
      <c r="AQ2429" s="86" t="s">
        <v>13385</v>
      </c>
      <c r="AR2429" s="81" t="s">
        <v>179</v>
      </c>
      <c r="AS2429" s="81">
        <v>0</v>
      </c>
      <c r="AT2429" s="81">
        <v>0</v>
      </c>
      <c r="AU2429" s="81"/>
      <c r="AV2429" s="81"/>
      <c r="AW2429" s="81"/>
      <c r="AX2429" s="81"/>
      <c r="AY2429" s="81"/>
      <c r="AZ2429" s="81"/>
      <c r="BA2429" s="81"/>
      <c r="BB2429" s="81"/>
    </row>
    <row r="2430" spans="1:54" x14ac:dyDescent="0.35">
      <c r="A2430" s="66" t="s">
        <v>12589</v>
      </c>
      <c r="B2430" s="66" t="s">
        <v>12708</v>
      </c>
      <c r="C2430" s="67"/>
      <c r="D2430" s="68"/>
      <c r="E2430" s="69"/>
      <c r="F2430" s="70"/>
      <c r="G2430" s="67"/>
      <c r="H2430" s="71"/>
      <c r="I2430" s="72"/>
      <c r="J2430" s="72"/>
      <c r="K2430" s="36"/>
      <c r="L2430" s="79"/>
      <c r="M2430" s="79"/>
      <c r="N2430" s="74"/>
      <c r="O2430" s="81" t="s">
        <v>696</v>
      </c>
      <c r="P2430" s="83">
        <v>44468.835682870369</v>
      </c>
      <c r="Q2430" s="81" t="s">
        <v>12813</v>
      </c>
      <c r="R2430" s="81"/>
      <c r="S2430" s="81"/>
      <c r="T2430" s="81"/>
      <c r="U2430" s="81"/>
      <c r="V2430" s="84" t="str">
        <f>HYPERLINK("https://pbs.twimg.com/profile_images/1227387007/eu_normal.JPG")</f>
        <v>https://pbs.twimg.com/profile_images/1227387007/eu_normal.JPG</v>
      </c>
      <c r="W2430" s="83">
        <v>44468.835682870369</v>
      </c>
      <c r="X2430" s="89">
        <v>44468</v>
      </c>
      <c r="Y2430" s="86" t="s">
        <v>13009</v>
      </c>
      <c r="Z2430" s="84" t="str">
        <f>HYPERLINK("https://twitter.com/marciomanoo/status/1443305425609318410")</f>
        <v>https://twitter.com/marciomanoo/status/1443305425609318410</v>
      </c>
      <c r="AA2430" s="81"/>
      <c r="AB2430" s="81"/>
      <c r="AC2430" s="86" t="s">
        <v>13249</v>
      </c>
      <c r="AD2430" s="86" t="s">
        <v>13385</v>
      </c>
      <c r="AE2430" s="81" t="b">
        <v>0</v>
      </c>
      <c r="AF2430" s="81">
        <v>1</v>
      </c>
      <c r="AG2430" s="86" t="s">
        <v>13424</v>
      </c>
      <c r="AH2430" s="81" t="b">
        <v>0</v>
      </c>
      <c r="AI2430" s="81" t="s">
        <v>2171</v>
      </c>
      <c r="AJ2430" s="81"/>
      <c r="AK2430" s="86" t="s">
        <v>2084</v>
      </c>
      <c r="AL2430" s="81" t="b">
        <v>0</v>
      </c>
      <c r="AM2430" s="81">
        <v>0</v>
      </c>
      <c r="AN2430" s="86" t="s">
        <v>2084</v>
      </c>
      <c r="AO2430" s="86" t="s">
        <v>2181</v>
      </c>
      <c r="AP2430" s="81" t="b">
        <v>0</v>
      </c>
      <c r="AQ2430" s="86" t="s">
        <v>13385</v>
      </c>
      <c r="AR2430" s="81" t="s">
        <v>179</v>
      </c>
      <c r="AS2430" s="81">
        <v>0</v>
      </c>
      <c r="AT2430" s="81">
        <v>0</v>
      </c>
      <c r="AU2430" s="81"/>
      <c r="AV2430" s="81"/>
      <c r="AW2430" s="81"/>
      <c r="AX2430" s="81"/>
      <c r="AY2430" s="81"/>
      <c r="AZ2430" s="81"/>
      <c r="BA2430" s="81"/>
      <c r="BB2430" s="81"/>
    </row>
    <row r="2431" spans="1:54" x14ac:dyDescent="0.35">
      <c r="A2431" s="66" t="s">
        <v>12589</v>
      </c>
      <c r="B2431" s="66" t="s">
        <v>12709</v>
      </c>
      <c r="C2431" s="67"/>
      <c r="D2431" s="68"/>
      <c r="E2431" s="69"/>
      <c r="F2431" s="70"/>
      <c r="G2431" s="67"/>
      <c r="H2431" s="71"/>
      <c r="I2431" s="72"/>
      <c r="J2431" s="72"/>
      <c r="K2431" s="36"/>
      <c r="L2431" s="79"/>
      <c r="M2431" s="79"/>
      <c r="N2431" s="74"/>
      <c r="O2431" s="81" t="s">
        <v>695</v>
      </c>
      <c r="P2431" s="83">
        <v>44468.835682870369</v>
      </c>
      <c r="Q2431" s="81" t="s">
        <v>12813</v>
      </c>
      <c r="R2431" s="81"/>
      <c r="S2431" s="81"/>
      <c r="T2431" s="81"/>
      <c r="U2431" s="81"/>
      <c r="V2431" s="84" t="str">
        <f>HYPERLINK("https://pbs.twimg.com/profile_images/1227387007/eu_normal.JPG")</f>
        <v>https://pbs.twimg.com/profile_images/1227387007/eu_normal.JPG</v>
      </c>
      <c r="W2431" s="83">
        <v>44468.835682870369</v>
      </c>
      <c r="X2431" s="89">
        <v>44468</v>
      </c>
      <c r="Y2431" s="86" t="s">
        <v>13009</v>
      </c>
      <c r="Z2431" s="84" t="str">
        <f>HYPERLINK("https://twitter.com/marciomanoo/status/1443305425609318410")</f>
        <v>https://twitter.com/marciomanoo/status/1443305425609318410</v>
      </c>
      <c r="AA2431" s="81"/>
      <c r="AB2431" s="81"/>
      <c r="AC2431" s="86" t="s">
        <v>13249</v>
      </c>
      <c r="AD2431" s="86" t="s">
        <v>13385</v>
      </c>
      <c r="AE2431" s="81" t="b">
        <v>0</v>
      </c>
      <c r="AF2431" s="81">
        <v>1</v>
      </c>
      <c r="AG2431" s="86" t="s">
        <v>13424</v>
      </c>
      <c r="AH2431" s="81" t="b">
        <v>0</v>
      </c>
      <c r="AI2431" s="81" t="s">
        <v>2171</v>
      </c>
      <c r="AJ2431" s="81"/>
      <c r="AK2431" s="86" t="s">
        <v>2084</v>
      </c>
      <c r="AL2431" s="81" t="b">
        <v>0</v>
      </c>
      <c r="AM2431" s="81">
        <v>0</v>
      </c>
      <c r="AN2431" s="86" t="s">
        <v>2084</v>
      </c>
      <c r="AO2431" s="86" t="s">
        <v>2181</v>
      </c>
      <c r="AP2431" s="81" t="b">
        <v>0</v>
      </c>
      <c r="AQ2431" s="86" t="s">
        <v>13385</v>
      </c>
      <c r="AR2431" s="81" t="s">
        <v>179</v>
      </c>
      <c r="AS2431" s="81">
        <v>0</v>
      </c>
      <c r="AT2431" s="81">
        <v>0</v>
      </c>
      <c r="AU2431" s="81"/>
      <c r="AV2431" s="81"/>
      <c r="AW2431" s="81"/>
      <c r="AX2431" s="81"/>
      <c r="AY2431" s="81"/>
      <c r="AZ2431" s="81"/>
      <c r="BA2431" s="81"/>
      <c r="BB2431" s="81"/>
    </row>
    <row r="2432" spans="1:54" x14ac:dyDescent="0.35">
      <c r="A2432" s="66" t="s">
        <v>12589</v>
      </c>
      <c r="B2432" s="66" t="s">
        <v>12710</v>
      </c>
      <c r="C2432" s="67"/>
      <c r="D2432" s="68"/>
      <c r="E2432" s="69"/>
      <c r="F2432" s="70"/>
      <c r="G2432" s="67"/>
      <c r="H2432" s="71"/>
      <c r="I2432" s="72"/>
      <c r="J2432" s="72"/>
      <c r="K2432" s="36"/>
      <c r="L2432" s="79"/>
      <c r="M2432" s="79"/>
      <c r="N2432" s="74"/>
      <c r="O2432" s="81" t="s">
        <v>696</v>
      </c>
      <c r="P2432" s="83">
        <v>44468.835682870369</v>
      </c>
      <c r="Q2432" s="81" t="s">
        <v>12813</v>
      </c>
      <c r="R2432" s="81"/>
      <c r="S2432" s="81"/>
      <c r="T2432" s="81"/>
      <c r="U2432" s="81"/>
      <c r="V2432" s="84" t="str">
        <f>HYPERLINK("https://pbs.twimg.com/profile_images/1227387007/eu_normal.JPG")</f>
        <v>https://pbs.twimg.com/profile_images/1227387007/eu_normal.JPG</v>
      </c>
      <c r="W2432" s="83">
        <v>44468.835682870369</v>
      </c>
      <c r="X2432" s="89">
        <v>44468</v>
      </c>
      <c r="Y2432" s="86" t="s">
        <v>13009</v>
      </c>
      <c r="Z2432" s="84" t="str">
        <f>HYPERLINK("https://twitter.com/marciomanoo/status/1443305425609318410")</f>
        <v>https://twitter.com/marciomanoo/status/1443305425609318410</v>
      </c>
      <c r="AA2432" s="81"/>
      <c r="AB2432" s="81"/>
      <c r="AC2432" s="86" t="s">
        <v>13249</v>
      </c>
      <c r="AD2432" s="86" t="s">
        <v>13385</v>
      </c>
      <c r="AE2432" s="81" t="b">
        <v>0</v>
      </c>
      <c r="AF2432" s="81">
        <v>1</v>
      </c>
      <c r="AG2432" s="86" t="s">
        <v>13424</v>
      </c>
      <c r="AH2432" s="81" t="b">
        <v>0</v>
      </c>
      <c r="AI2432" s="81" t="s">
        <v>2171</v>
      </c>
      <c r="AJ2432" s="81"/>
      <c r="AK2432" s="86" t="s">
        <v>2084</v>
      </c>
      <c r="AL2432" s="81" t="b">
        <v>0</v>
      </c>
      <c r="AM2432" s="81">
        <v>0</v>
      </c>
      <c r="AN2432" s="86" t="s">
        <v>2084</v>
      </c>
      <c r="AO2432" s="86" t="s">
        <v>2181</v>
      </c>
      <c r="AP2432" s="81" t="b">
        <v>0</v>
      </c>
      <c r="AQ2432" s="86" t="s">
        <v>13385</v>
      </c>
      <c r="AR2432" s="81" t="s">
        <v>179</v>
      </c>
      <c r="AS2432" s="81">
        <v>0</v>
      </c>
      <c r="AT2432" s="81">
        <v>0</v>
      </c>
      <c r="AU2432" s="81"/>
      <c r="AV2432" s="81"/>
      <c r="AW2432" s="81"/>
      <c r="AX2432" s="81"/>
      <c r="AY2432" s="81"/>
      <c r="AZ2432" s="81"/>
      <c r="BA2432" s="81"/>
      <c r="BB2432" s="81"/>
    </row>
    <row r="2433" spans="1:54" x14ac:dyDescent="0.35">
      <c r="A2433" s="66" t="s">
        <v>12590</v>
      </c>
      <c r="B2433" s="66" t="s">
        <v>12590</v>
      </c>
      <c r="C2433" s="67"/>
      <c r="D2433" s="68"/>
      <c r="E2433" s="69"/>
      <c r="F2433" s="70"/>
      <c r="G2433" s="67"/>
      <c r="H2433" s="71"/>
      <c r="I2433" s="72"/>
      <c r="J2433" s="72"/>
      <c r="K2433" s="36"/>
      <c r="L2433" s="79"/>
      <c r="M2433" s="79"/>
      <c r="N2433" s="74"/>
      <c r="O2433" s="81" t="s">
        <v>179</v>
      </c>
      <c r="P2433" s="83">
        <v>44468.587939814817</v>
      </c>
      <c r="Q2433" s="81" t="s">
        <v>12783</v>
      </c>
      <c r="R2433" s="84" t="str">
        <f>HYPERLINK("https://noticias.adventistas.org/pt/coluna/heron-santana/jesus-cristo-na-pos-modernidade/")</f>
        <v>https://noticias.adventistas.org/pt/coluna/heron-santana/jesus-cristo-na-pos-modernidade/</v>
      </c>
      <c r="S2433" s="81" t="s">
        <v>5733</v>
      </c>
      <c r="T2433" s="81"/>
      <c r="U2433" s="84" t="str">
        <f>HYPERLINK("https://pbs.twimg.com/media/FAdU-vXXEAwhmcS.jpg")</f>
        <v>https://pbs.twimg.com/media/FAdU-vXXEAwhmcS.jpg</v>
      </c>
      <c r="V2433" s="84" t="str">
        <f>HYPERLINK("https://pbs.twimg.com/media/FAdU-vXXEAwhmcS.jpg")</f>
        <v>https://pbs.twimg.com/media/FAdU-vXXEAwhmcS.jpg</v>
      </c>
      <c r="W2433" s="83">
        <v>44468.587939814817</v>
      </c>
      <c r="X2433" s="89">
        <v>44468</v>
      </c>
      <c r="Y2433" s="86" t="s">
        <v>13010</v>
      </c>
      <c r="Z2433" s="84" t="str">
        <f>HYPERLINK("https://twitter.com/iasd/status/1443215645894717442")</f>
        <v>https://twitter.com/iasd/status/1443215645894717442</v>
      </c>
      <c r="AA2433" s="81"/>
      <c r="AB2433" s="81"/>
      <c r="AC2433" s="86" t="s">
        <v>13250</v>
      </c>
      <c r="AD2433" s="81"/>
      <c r="AE2433" s="81" t="b">
        <v>0</v>
      </c>
      <c r="AF2433" s="81">
        <v>32</v>
      </c>
      <c r="AG2433" s="86" t="s">
        <v>2084</v>
      </c>
      <c r="AH2433" s="81" t="b">
        <v>0</v>
      </c>
      <c r="AI2433" s="81" t="s">
        <v>2171</v>
      </c>
      <c r="AJ2433" s="81"/>
      <c r="AK2433" s="86" t="s">
        <v>2084</v>
      </c>
      <c r="AL2433" s="81" t="b">
        <v>0</v>
      </c>
      <c r="AM2433" s="81">
        <v>6</v>
      </c>
      <c r="AN2433" s="86" t="s">
        <v>2084</v>
      </c>
      <c r="AO2433" s="86" t="s">
        <v>2189</v>
      </c>
      <c r="AP2433" s="81" t="b">
        <v>0</v>
      </c>
      <c r="AQ2433" s="86" t="s">
        <v>13250</v>
      </c>
      <c r="AR2433" s="81" t="s">
        <v>179</v>
      </c>
      <c r="AS2433" s="81">
        <v>0</v>
      </c>
      <c r="AT2433" s="81">
        <v>0</v>
      </c>
      <c r="AU2433" s="81"/>
      <c r="AV2433" s="81"/>
      <c r="AW2433" s="81"/>
      <c r="AX2433" s="81"/>
      <c r="AY2433" s="81"/>
      <c r="AZ2433" s="81"/>
      <c r="BA2433" s="81"/>
      <c r="BB2433" s="81"/>
    </row>
    <row r="2434" spans="1:54" x14ac:dyDescent="0.35">
      <c r="A2434" s="66" t="s">
        <v>12591</v>
      </c>
      <c r="B2434" s="66" t="s">
        <v>12590</v>
      </c>
      <c r="C2434" s="67"/>
      <c r="D2434" s="68"/>
      <c r="E2434" s="69"/>
      <c r="F2434" s="70"/>
      <c r="G2434" s="67"/>
      <c r="H2434" s="71"/>
      <c r="I2434" s="72"/>
      <c r="J2434" s="72"/>
      <c r="K2434" s="36"/>
      <c r="L2434" s="79"/>
      <c r="M2434" s="79"/>
      <c r="N2434" s="74"/>
      <c r="O2434" s="81" t="s">
        <v>693</v>
      </c>
      <c r="P2434" s="83">
        <v>44468.836967592593</v>
      </c>
      <c r="Q2434" s="81" t="s">
        <v>12783</v>
      </c>
      <c r="R2434" s="84" t="str">
        <f>HYPERLINK("https://noticias.adventistas.org/pt/coluna/heron-santana/jesus-cristo-na-pos-modernidade/")</f>
        <v>https://noticias.adventistas.org/pt/coluna/heron-santana/jesus-cristo-na-pos-modernidade/</v>
      </c>
      <c r="S2434" s="81" t="s">
        <v>5733</v>
      </c>
      <c r="T2434" s="81"/>
      <c r="U2434" s="84" t="str">
        <f>HYPERLINK("https://pbs.twimg.com/media/FAdU-vXXEAwhmcS.jpg")</f>
        <v>https://pbs.twimg.com/media/FAdU-vXXEAwhmcS.jpg</v>
      </c>
      <c r="V2434" s="84" t="str">
        <f>HYPERLINK("https://pbs.twimg.com/media/FAdU-vXXEAwhmcS.jpg")</f>
        <v>https://pbs.twimg.com/media/FAdU-vXXEAwhmcS.jpg</v>
      </c>
      <c r="W2434" s="83">
        <v>44468.836967592593</v>
      </c>
      <c r="X2434" s="89">
        <v>44468</v>
      </c>
      <c r="Y2434" s="86" t="s">
        <v>13011</v>
      </c>
      <c r="Z2434" s="84" t="str">
        <f>HYPERLINK("https://twitter.com/valdenizo07/status/1443305891747483655")</f>
        <v>https://twitter.com/valdenizo07/status/1443305891747483655</v>
      </c>
      <c r="AA2434" s="81"/>
      <c r="AB2434" s="81"/>
      <c r="AC2434" s="86" t="s">
        <v>13251</v>
      </c>
      <c r="AD2434" s="81"/>
      <c r="AE2434" s="81" t="b">
        <v>0</v>
      </c>
      <c r="AF2434" s="81">
        <v>0</v>
      </c>
      <c r="AG2434" s="86" t="s">
        <v>2084</v>
      </c>
      <c r="AH2434" s="81" t="b">
        <v>0</v>
      </c>
      <c r="AI2434" s="81" t="s">
        <v>2171</v>
      </c>
      <c r="AJ2434" s="81"/>
      <c r="AK2434" s="86" t="s">
        <v>2084</v>
      </c>
      <c r="AL2434" s="81" t="b">
        <v>0</v>
      </c>
      <c r="AM2434" s="81">
        <v>6</v>
      </c>
      <c r="AN2434" s="86" t="s">
        <v>13250</v>
      </c>
      <c r="AO2434" s="86" t="s">
        <v>2178</v>
      </c>
      <c r="AP2434" s="81" t="b">
        <v>0</v>
      </c>
      <c r="AQ2434" s="86" t="s">
        <v>13250</v>
      </c>
      <c r="AR2434" s="81" t="s">
        <v>179</v>
      </c>
      <c r="AS2434" s="81">
        <v>0</v>
      </c>
      <c r="AT2434" s="81">
        <v>0</v>
      </c>
      <c r="AU2434" s="81"/>
      <c r="AV2434" s="81"/>
      <c r="AW2434" s="81"/>
      <c r="AX2434" s="81"/>
      <c r="AY2434" s="81"/>
      <c r="AZ2434" s="81"/>
      <c r="BA2434" s="81"/>
      <c r="BB2434" s="81"/>
    </row>
    <row r="2435" spans="1:54" x14ac:dyDescent="0.35">
      <c r="A2435" s="66" t="s">
        <v>12592</v>
      </c>
      <c r="B2435" s="66" t="s">
        <v>12618</v>
      </c>
      <c r="C2435" s="67"/>
      <c r="D2435" s="68"/>
      <c r="E2435" s="69"/>
      <c r="F2435" s="70"/>
      <c r="G2435" s="67"/>
      <c r="H2435" s="71"/>
      <c r="I2435" s="72"/>
      <c r="J2435" s="72"/>
      <c r="K2435" s="36"/>
      <c r="L2435" s="79"/>
      <c r="M2435" s="79"/>
      <c r="N2435" s="74"/>
      <c r="O2435" s="81" t="s">
        <v>693</v>
      </c>
      <c r="P2435" s="83">
        <v>44468.844872685186</v>
      </c>
      <c r="Q2435" s="81" t="s">
        <v>12814</v>
      </c>
      <c r="R2435" s="81"/>
      <c r="S2435" s="81"/>
      <c r="T2435" s="81"/>
      <c r="U2435" s="84" t="str">
        <f>HYPERLINK("https://pbs.twimg.com/media/FAepjIZXoAIjGFI.jpg")</f>
        <v>https://pbs.twimg.com/media/FAepjIZXoAIjGFI.jpg</v>
      </c>
      <c r="V2435" s="84" t="str">
        <f>HYPERLINK("https://pbs.twimg.com/media/FAepjIZXoAIjGFI.jpg")</f>
        <v>https://pbs.twimg.com/media/FAepjIZXoAIjGFI.jpg</v>
      </c>
      <c r="W2435" s="83">
        <v>44468.844872685186</v>
      </c>
      <c r="X2435" s="89">
        <v>44468</v>
      </c>
      <c r="Y2435" s="86" t="s">
        <v>13012</v>
      </c>
      <c r="Z2435" s="84" t="str">
        <f>HYPERLINK("https://twitter.com/soyrach/status/1443308754775183366")</f>
        <v>https://twitter.com/soyrach/status/1443308754775183366</v>
      </c>
      <c r="AA2435" s="81"/>
      <c r="AB2435" s="81"/>
      <c r="AC2435" s="86" t="s">
        <v>13252</v>
      </c>
      <c r="AD2435" s="81"/>
      <c r="AE2435" s="81" t="b">
        <v>0</v>
      </c>
      <c r="AF2435" s="81">
        <v>0</v>
      </c>
      <c r="AG2435" s="86" t="s">
        <v>2084</v>
      </c>
      <c r="AH2435" s="81" t="b">
        <v>0</v>
      </c>
      <c r="AI2435" s="81" t="s">
        <v>2171</v>
      </c>
      <c r="AJ2435" s="81"/>
      <c r="AK2435" s="86" t="s">
        <v>2084</v>
      </c>
      <c r="AL2435" s="81" t="b">
        <v>0</v>
      </c>
      <c r="AM2435" s="81">
        <v>12</v>
      </c>
      <c r="AN2435" s="86" t="s">
        <v>13288</v>
      </c>
      <c r="AO2435" s="86" t="s">
        <v>2181</v>
      </c>
      <c r="AP2435" s="81" t="b">
        <v>0</v>
      </c>
      <c r="AQ2435" s="86" t="s">
        <v>13288</v>
      </c>
      <c r="AR2435" s="81" t="s">
        <v>179</v>
      </c>
      <c r="AS2435" s="81">
        <v>0</v>
      </c>
      <c r="AT2435" s="81">
        <v>0</v>
      </c>
      <c r="AU2435" s="81"/>
      <c r="AV2435" s="81"/>
      <c r="AW2435" s="81"/>
      <c r="AX2435" s="81"/>
      <c r="AY2435" s="81"/>
      <c r="AZ2435" s="81"/>
      <c r="BA2435" s="81"/>
      <c r="BB2435" s="81"/>
    </row>
    <row r="2436" spans="1:54" x14ac:dyDescent="0.35">
      <c r="A2436" s="66" t="s">
        <v>12593</v>
      </c>
      <c r="B2436" s="66" t="s">
        <v>12618</v>
      </c>
      <c r="C2436" s="67"/>
      <c r="D2436" s="68"/>
      <c r="E2436" s="69"/>
      <c r="F2436" s="70"/>
      <c r="G2436" s="67"/>
      <c r="H2436" s="71"/>
      <c r="I2436" s="72"/>
      <c r="J2436" s="72"/>
      <c r="K2436" s="36"/>
      <c r="L2436" s="79"/>
      <c r="M2436" s="79"/>
      <c r="N2436" s="74"/>
      <c r="O2436" s="81" t="s">
        <v>693</v>
      </c>
      <c r="P2436" s="83">
        <v>44468.84579861111</v>
      </c>
      <c r="Q2436" s="81" t="s">
        <v>12814</v>
      </c>
      <c r="R2436" s="81"/>
      <c r="S2436" s="81"/>
      <c r="T2436" s="81"/>
      <c r="U2436" s="84" t="str">
        <f>HYPERLINK("https://pbs.twimg.com/media/FAepjIZXoAIjGFI.jpg")</f>
        <v>https://pbs.twimg.com/media/FAepjIZXoAIjGFI.jpg</v>
      </c>
      <c r="V2436" s="84" t="str">
        <f>HYPERLINK("https://pbs.twimg.com/media/FAepjIZXoAIjGFI.jpg")</f>
        <v>https://pbs.twimg.com/media/FAepjIZXoAIjGFI.jpg</v>
      </c>
      <c r="W2436" s="83">
        <v>44468.84579861111</v>
      </c>
      <c r="X2436" s="89">
        <v>44468</v>
      </c>
      <c r="Y2436" s="86" t="s">
        <v>13013</v>
      </c>
      <c r="Z2436" s="84" t="str">
        <f>HYPERLINK("https://twitter.com/biabionica/status/1443309092580347907")</f>
        <v>https://twitter.com/biabionica/status/1443309092580347907</v>
      </c>
      <c r="AA2436" s="81"/>
      <c r="AB2436" s="81"/>
      <c r="AC2436" s="86" t="s">
        <v>13253</v>
      </c>
      <c r="AD2436" s="81"/>
      <c r="AE2436" s="81" t="b">
        <v>0</v>
      </c>
      <c r="AF2436" s="81">
        <v>0</v>
      </c>
      <c r="AG2436" s="86" t="s">
        <v>2084</v>
      </c>
      <c r="AH2436" s="81" t="b">
        <v>0</v>
      </c>
      <c r="AI2436" s="81" t="s">
        <v>2171</v>
      </c>
      <c r="AJ2436" s="81"/>
      <c r="AK2436" s="86" t="s">
        <v>2084</v>
      </c>
      <c r="AL2436" s="81" t="b">
        <v>0</v>
      </c>
      <c r="AM2436" s="81">
        <v>12</v>
      </c>
      <c r="AN2436" s="86" t="s">
        <v>13288</v>
      </c>
      <c r="AO2436" s="86" t="s">
        <v>2181</v>
      </c>
      <c r="AP2436" s="81" t="b">
        <v>0</v>
      </c>
      <c r="AQ2436" s="86" t="s">
        <v>13288</v>
      </c>
      <c r="AR2436" s="81" t="s">
        <v>179</v>
      </c>
      <c r="AS2436" s="81">
        <v>0</v>
      </c>
      <c r="AT2436" s="81">
        <v>0</v>
      </c>
      <c r="AU2436" s="81"/>
      <c r="AV2436" s="81"/>
      <c r="AW2436" s="81"/>
      <c r="AX2436" s="81"/>
      <c r="AY2436" s="81"/>
      <c r="AZ2436" s="81"/>
      <c r="BA2436" s="81"/>
      <c r="BB2436" s="81"/>
    </row>
    <row r="2437" spans="1:54" x14ac:dyDescent="0.35">
      <c r="A2437" s="66" t="s">
        <v>12594</v>
      </c>
      <c r="B2437" s="66" t="s">
        <v>12618</v>
      </c>
      <c r="C2437" s="67"/>
      <c r="D2437" s="68"/>
      <c r="E2437" s="69"/>
      <c r="F2437" s="70"/>
      <c r="G2437" s="67"/>
      <c r="H2437" s="71"/>
      <c r="I2437" s="72"/>
      <c r="J2437" s="72"/>
      <c r="K2437" s="36"/>
      <c r="L2437" s="79"/>
      <c r="M2437" s="79"/>
      <c r="N2437" s="74"/>
      <c r="O2437" s="81" t="s">
        <v>693</v>
      </c>
      <c r="P2437" s="83">
        <v>44468.848356481481</v>
      </c>
      <c r="Q2437" s="81" t="s">
        <v>12814</v>
      </c>
      <c r="R2437" s="81"/>
      <c r="S2437" s="81"/>
      <c r="T2437" s="81"/>
      <c r="U2437" s="84" t="str">
        <f>HYPERLINK("https://pbs.twimg.com/media/FAepjIZXoAIjGFI.jpg")</f>
        <v>https://pbs.twimg.com/media/FAepjIZXoAIjGFI.jpg</v>
      </c>
      <c r="V2437" s="84" t="str">
        <f>HYPERLINK("https://pbs.twimg.com/media/FAepjIZXoAIjGFI.jpg")</f>
        <v>https://pbs.twimg.com/media/FAepjIZXoAIjGFI.jpg</v>
      </c>
      <c r="W2437" s="83">
        <v>44468.848356481481</v>
      </c>
      <c r="X2437" s="89">
        <v>44468</v>
      </c>
      <c r="Y2437" s="86" t="s">
        <v>13014</v>
      </c>
      <c r="Z2437" s="84" t="str">
        <f>HYPERLINK("https://twitter.com/ficaramsabendo/status/1443310017755717632")</f>
        <v>https://twitter.com/ficaramsabendo/status/1443310017755717632</v>
      </c>
      <c r="AA2437" s="81"/>
      <c r="AB2437" s="81"/>
      <c r="AC2437" s="86" t="s">
        <v>13254</v>
      </c>
      <c r="AD2437" s="81"/>
      <c r="AE2437" s="81" t="b">
        <v>0</v>
      </c>
      <c r="AF2437" s="81">
        <v>0</v>
      </c>
      <c r="AG2437" s="86" t="s">
        <v>2084</v>
      </c>
      <c r="AH2437" s="81" t="b">
        <v>0</v>
      </c>
      <c r="AI2437" s="81" t="s">
        <v>2171</v>
      </c>
      <c r="AJ2437" s="81"/>
      <c r="AK2437" s="86" t="s">
        <v>2084</v>
      </c>
      <c r="AL2437" s="81" t="b">
        <v>0</v>
      </c>
      <c r="AM2437" s="81">
        <v>12</v>
      </c>
      <c r="AN2437" s="86" t="s">
        <v>13288</v>
      </c>
      <c r="AO2437" s="86" t="s">
        <v>13445</v>
      </c>
      <c r="AP2437" s="81" t="b">
        <v>0</v>
      </c>
      <c r="AQ2437" s="86" t="s">
        <v>13288</v>
      </c>
      <c r="AR2437" s="81" t="s">
        <v>179</v>
      </c>
      <c r="AS2437" s="81">
        <v>0</v>
      </c>
      <c r="AT2437" s="81">
        <v>0</v>
      </c>
      <c r="AU2437" s="81"/>
      <c r="AV2437" s="81"/>
      <c r="AW2437" s="81"/>
      <c r="AX2437" s="81"/>
      <c r="AY2437" s="81"/>
      <c r="AZ2437" s="81"/>
      <c r="BA2437" s="81"/>
      <c r="BB2437" s="81"/>
    </row>
    <row r="2438" spans="1:54" x14ac:dyDescent="0.35">
      <c r="A2438" s="66" t="s">
        <v>4627</v>
      </c>
      <c r="B2438" s="66" t="s">
        <v>4944</v>
      </c>
      <c r="C2438" s="67"/>
      <c r="D2438" s="68"/>
      <c r="E2438" s="69"/>
      <c r="F2438" s="70"/>
      <c r="G2438" s="67"/>
      <c r="H2438" s="71"/>
      <c r="I2438" s="72"/>
      <c r="J2438" s="72"/>
      <c r="K2438" s="36"/>
      <c r="L2438" s="79"/>
      <c r="M2438" s="79"/>
      <c r="N2438" s="74"/>
      <c r="O2438" s="81" t="s">
        <v>693</v>
      </c>
      <c r="P2438" s="83">
        <v>44465.601655092592</v>
      </c>
      <c r="Q2438" s="81" t="s">
        <v>5505</v>
      </c>
      <c r="R2438" s="81"/>
      <c r="S2438" s="81"/>
      <c r="T2438" s="81"/>
      <c r="U2438" s="81"/>
      <c r="V2438" s="84" t="str">
        <f>HYPERLINK("https://pbs.twimg.com/profile_images/1375037922202824704/Z-KXga9A_normal.jpg")</f>
        <v>https://pbs.twimg.com/profile_images/1375037922202824704/Z-KXga9A_normal.jpg</v>
      </c>
      <c r="W2438" s="83">
        <v>44465.601655092592</v>
      </c>
      <c r="X2438" s="89">
        <v>44465</v>
      </c>
      <c r="Y2438" s="86" t="s">
        <v>6273</v>
      </c>
      <c r="Z2438" s="84" t="str">
        <f>HYPERLINK("https://twitter.com/somel62/status/1442133451407306756")</f>
        <v>https://twitter.com/somel62/status/1442133451407306756</v>
      </c>
      <c r="AA2438" s="81"/>
      <c r="AB2438" s="81"/>
      <c r="AC2438" s="86" t="s">
        <v>7187</v>
      </c>
      <c r="AD2438" s="81"/>
      <c r="AE2438" s="81" t="b">
        <v>0</v>
      </c>
      <c r="AF2438" s="81">
        <v>0</v>
      </c>
      <c r="AG2438" s="86" t="s">
        <v>2084</v>
      </c>
      <c r="AH2438" s="81" t="b">
        <v>0</v>
      </c>
      <c r="AI2438" s="81" t="s">
        <v>2171</v>
      </c>
      <c r="AJ2438" s="81"/>
      <c r="AK2438" s="86" t="s">
        <v>2084</v>
      </c>
      <c r="AL2438" s="81" t="b">
        <v>0</v>
      </c>
      <c r="AM2438" s="81">
        <v>255</v>
      </c>
      <c r="AN2438" s="86" t="s">
        <v>7543</v>
      </c>
      <c r="AO2438" s="86" t="s">
        <v>2178</v>
      </c>
      <c r="AP2438" s="81" t="b">
        <v>0</v>
      </c>
      <c r="AQ2438" s="86" t="s">
        <v>7543</v>
      </c>
      <c r="AR2438" s="81" t="s">
        <v>179</v>
      </c>
      <c r="AS2438" s="81">
        <v>0</v>
      </c>
      <c r="AT2438" s="81">
        <v>0</v>
      </c>
      <c r="AU2438" s="81"/>
      <c r="AV2438" s="81"/>
      <c r="AW2438" s="81"/>
      <c r="AX2438" s="81"/>
      <c r="AY2438" s="81"/>
      <c r="AZ2438" s="81"/>
      <c r="BA2438" s="81"/>
      <c r="BB2438" s="81"/>
    </row>
    <row r="2439" spans="1:54" x14ac:dyDescent="0.35">
      <c r="A2439" s="66" t="s">
        <v>4627</v>
      </c>
      <c r="B2439" s="66" t="s">
        <v>12618</v>
      </c>
      <c r="C2439" s="67"/>
      <c r="D2439" s="68"/>
      <c r="E2439" s="69"/>
      <c r="F2439" s="70"/>
      <c r="G2439" s="67"/>
      <c r="H2439" s="71"/>
      <c r="I2439" s="72"/>
      <c r="J2439" s="72"/>
      <c r="K2439" s="36"/>
      <c r="L2439" s="79"/>
      <c r="M2439" s="79"/>
      <c r="N2439" s="74"/>
      <c r="O2439" s="81" t="s">
        <v>693</v>
      </c>
      <c r="P2439" s="83">
        <v>44468.848449074074</v>
      </c>
      <c r="Q2439" s="81" t="s">
        <v>12814</v>
      </c>
      <c r="R2439" s="81"/>
      <c r="S2439" s="81"/>
      <c r="T2439" s="81"/>
      <c r="U2439" s="84" t="str">
        <f>HYPERLINK("https://pbs.twimg.com/media/FAepjIZXoAIjGFI.jpg")</f>
        <v>https://pbs.twimg.com/media/FAepjIZXoAIjGFI.jpg</v>
      </c>
      <c r="V2439" s="84" t="str">
        <f>HYPERLINK("https://pbs.twimg.com/media/FAepjIZXoAIjGFI.jpg")</f>
        <v>https://pbs.twimg.com/media/FAepjIZXoAIjGFI.jpg</v>
      </c>
      <c r="W2439" s="83">
        <v>44468.848449074074</v>
      </c>
      <c r="X2439" s="89">
        <v>44468</v>
      </c>
      <c r="Y2439" s="86" t="s">
        <v>13015</v>
      </c>
      <c r="Z2439" s="84" t="str">
        <f>HYPERLINK("https://twitter.com/somel62/status/1443310053109469187")</f>
        <v>https://twitter.com/somel62/status/1443310053109469187</v>
      </c>
      <c r="AA2439" s="81"/>
      <c r="AB2439" s="81"/>
      <c r="AC2439" s="86" t="s">
        <v>13255</v>
      </c>
      <c r="AD2439" s="81"/>
      <c r="AE2439" s="81" t="b">
        <v>0</v>
      </c>
      <c r="AF2439" s="81">
        <v>0</v>
      </c>
      <c r="AG2439" s="86" t="s">
        <v>2084</v>
      </c>
      <c r="AH2439" s="81" t="b">
        <v>0</v>
      </c>
      <c r="AI2439" s="81" t="s">
        <v>2171</v>
      </c>
      <c r="AJ2439" s="81"/>
      <c r="AK2439" s="86" t="s">
        <v>2084</v>
      </c>
      <c r="AL2439" s="81" t="b">
        <v>0</v>
      </c>
      <c r="AM2439" s="81">
        <v>12</v>
      </c>
      <c r="AN2439" s="86" t="s">
        <v>13288</v>
      </c>
      <c r="AO2439" s="86" t="s">
        <v>2178</v>
      </c>
      <c r="AP2439" s="81" t="b">
        <v>0</v>
      </c>
      <c r="AQ2439" s="86" t="s">
        <v>13288</v>
      </c>
      <c r="AR2439" s="81" t="s">
        <v>179</v>
      </c>
      <c r="AS2439" s="81">
        <v>0</v>
      </c>
      <c r="AT2439" s="81">
        <v>0</v>
      </c>
      <c r="AU2439" s="81"/>
      <c r="AV2439" s="81"/>
      <c r="AW2439" s="81"/>
      <c r="AX2439" s="81"/>
      <c r="AY2439" s="81"/>
      <c r="AZ2439" s="81"/>
      <c r="BA2439" s="81"/>
      <c r="BB2439" s="81"/>
    </row>
    <row r="2440" spans="1:54" x14ac:dyDescent="0.35">
      <c r="A2440" s="66" t="s">
        <v>12595</v>
      </c>
      <c r="B2440" s="66" t="s">
        <v>4977</v>
      </c>
      <c r="C2440" s="67"/>
      <c r="D2440" s="68"/>
      <c r="E2440" s="69"/>
      <c r="F2440" s="70"/>
      <c r="G2440" s="67"/>
      <c r="H2440" s="71"/>
      <c r="I2440" s="72"/>
      <c r="J2440" s="72"/>
      <c r="K2440" s="36"/>
      <c r="L2440" s="79"/>
      <c r="M2440" s="79"/>
      <c r="N2440" s="74"/>
      <c r="O2440" s="81" t="s">
        <v>695</v>
      </c>
      <c r="P2440" s="83">
        <v>44468.851319444446</v>
      </c>
      <c r="Q2440" s="81" t="s">
        <v>12815</v>
      </c>
      <c r="R2440" s="81"/>
      <c r="S2440" s="81"/>
      <c r="T2440" s="81"/>
      <c r="U2440" s="81"/>
      <c r="V2440" s="84" t="str">
        <f>HYPERLINK("https://pbs.twimg.com/profile_images/1144545697859026945/Lga-X2jN_normal.jpg")</f>
        <v>https://pbs.twimg.com/profile_images/1144545697859026945/Lga-X2jN_normal.jpg</v>
      </c>
      <c r="W2440" s="83">
        <v>44468.851319444446</v>
      </c>
      <c r="X2440" s="89">
        <v>44468</v>
      </c>
      <c r="Y2440" s="86" t="s">
        <v>13016</v>
      </c>
      <c r="Z2440" s="84" t="str">
        <f>HYPERLINK("https://twitter.com/edi33850787/status/1443311093351428097")</f>
        <v>https://twitter.com/edi33850787/status/1443311093351428097</v>
      </c>
      <c r="AA2440" s="81"/>
      <c r="AB2440" s="81"/>
      <c r="AC2440" s="86" t="s">
        <v>13256</v>
      </c>
      <c r="AD2440" s="86" t="s">
        <v>13386</v>
      </c>
      <c r="AE2440" s="81" t="b">
        <v>0</v>
      </c>
      <c r="AF2440" s="81">
        <v>0</v>
      </c>
      <c r="AG2440" s="86" t="s">
        <v>7791</v>
      </c>
      <c r="AH2440" s="81" t="b">
        <v>0</v>
      </c>
      <c r="AI2440" s="81" t="s">
        <v>2171</v>
      </c>
      <c r="AJ2440" s="81"/>
      <c r="AK2440" s="86" t="s">
        <v>2084</v>
      </c>
      <c r="AL2440" s="81" t="b">
        <v>0</v>
      </c>
      <c r="AM2440" s="81">
        <v>0</v>
      </c>
      <c r="AN2440" s="86" t="s">
        <v>2084</v>
      </c>
      <c r="AO2440" s="86" t="s">
        <v>2178</v>
      </c>
      <c r="AP2440" s="81" t="b">
        <v>0</v>
      </c>
      <c r="AQ2440" s="86" t="s">
        <v>13386</v>
      </c>
      <c r="AR2440" s="81" t="s">
        <v>179</v>
      </c>
      <c r="AS2440" s="81">
        <v>0</v>
      </c>
      <c r="AT2440" s="81">
        <v>0</v>
      </c>
      <c r="AU2440" s="81"/>
      <c r="AV2440" s="81"/>
      <c r="AW2440" s="81"/>
      <c r="AX2440" s="81"/>
      <c r="AY2440" s="81"/>
      <c r="AZ2440" s="81"/>
      <c r="BA2440" s="81"/>
      <c r="BB2440" s="81"/>
    </row>
    <row r="2441" spans="1:54" x14ac:dyDescent="0.35">
      <c r="A2441" s="66" t="s">
        <v>12596</v>
      </c>
      <c r="B2441" s="66" t="s">
        <v>12618</v>
      </c>
      <c r="C2441" s="67"/>
      <c r="D2441" s="68"/>
      <c r="E2441" s="69"/>
      <c r="F2441" s="70"/>
      <c r="G2441" s="67"/>
      <c r="H2441" s="71"/>
      <c r="I2441" s="72"/>
      <c r="J2441" s="72"/>
      <c r="K2441" s="36"/>
      <c r="L2441" s="79"/>
      <c r="M2441" s="79"/>
      <c r="N2441" s="74"/>
      <c r="O2441" s="81" t="s">
        <v>693</v>
      </c>
      <c r="P2441" s="83">
        <v>44468.851793981485</v>
      </c>
      <c r="Q2441" s="81" t="s">
        <v>12814</v>
      </c>
      <c r="R2441" s="81"/>
      <c r="S2441" s="81"/>
      <c r="T2441" s="81"/>
      <c r="U2441" s="84" t="str">
        <f>HYPERLINK("https://pbs.twimg.com/media/FAepjIZXoAIjGFI.jpg")</f>
        <v>https://pbs.twimg.com/media/FAepjIZXoAIjGFI.jpg</v>
      </c>
      <c r="V2441" s="84" t="str">
        <f>HYPERLINK("https://pbs.twimg.com/media/FAepjIZXoAIjGFI.jpg")</f>
        <v>https://pbs.twimg.com/media/FAepjIZXoAIjGFI.jpg</v>
      </c>
      <c r="W2441" s="83">
        <v>44468.851793981485</v>
      </c>
      <c r="X2441" s="89">
        <v>44468</v>
      </c>
      <c r="Y2441" s="86" t="s">
        <v>13017</v>
      </c>
      <c r="Z2441" s="84" t="str">
        <f>HYPERLINK("https://twitter.com/gyomsi/status/1443311263627546637")</f>
        <v>https://twitter.com/gyomsi/status/1443311263627546637</v>
      </c>
      <c r="AA2441" s="81"/>
      <c r="AB2441" s="81"/>
      <c r="AC2441" s="86" t="s">
        <v>13257</v>
      </c>
      <c r="AD2441" s="81"/>
      <c r="AE2441" s="81" t="b">
        <v>0</v>
      </c>
      <c r="AF2441" s="81">
        <v>0</v>
      </c>
      <c r="AG2441" s="86" t="s">
        <v>2084</v>
      </c>
      <c r="AH2441" s="81" t="b">
        <v>0</v>
      </c>
      <c r="AI2441" s="81" t="s">
        <v>2171</v>
      </c>
      <c r="AJ2441" s="81"/>
      <c r="AK2441" s="86" t="s">
        <v>2084</v>
      </c>
      <c r="AL2441" s="81" t="b">
        <v>0</v>
      </c>
      <c r="AM2441" s="81">
        <v>12</v>
      </c>
      <c r="AN2441" s="86" t="s">
        <v>13288</v>
      </c>
      <c r="AO2441" s="86" t="s">
        <v>2178</v>
      </c>
      <c r="AP2441" s="81" t="b">
        <v>0</v>
      </c>
      <c r="AQ2441" s="86" t="s">
        <v>13288</v>
      </c>
      <c r="AR2441" s="81" t="s">
        <v>179</v>
      </c>
      <c r="AS2441" s="81">
        <v>0</v>
      </c>
      <c r="AT2441" s="81">
        <v>0</v>
      </c>
      <c r="AU2441" s="81"/>
      <c r="AV2441" s="81"/>
      <c r="AW2441" s="81"/>
      <c r="AX2441" s="81"/>
      <c r="AY2441" s="81"/>
      <c r="AZ2441" s="81"/>
      <c r="BA2441" s="81"/>
      <c r="BB2441" s="81"/>
    </row>
    <row r="2442" spans="1:54" x14ac:dyDescent="0.35">
      <c r="A2442" s="66" t="s">
        <v>12597</v>
      </c>
      <c r="B2442" s="66" t="s">
        <v>12618</v>
      </c>
      <c r="C2442" s="67"/>
      <c r="D2442" s="68"/>
      <c r="E2442" s="69"/>
      <c r="F2442" s="70"/>
      <c r="G2442" s="67"/>
      <c r="H2442" s="71"/>
      <c r="I2442" s="72"/>
      <c r="J2442" s="72"/>
      <c r="K2442" s="36"/>
      <c r="L2442" s="79"/>
      <c r="M2442" s="79"/>
      <c r="N2442" s="74"/>
      <c r="O2442" s="81" t="s">
        <v>693</v>
      </c>
      <c r="P2442" s="83">
        <v>44468.864421296297</v>
      </c>
      <c r="Q2442" s="81" t="s">
        <v>12814</v>
      </c>
      <c r="R2442" s="81"/>
      <c r="S2442" s="81"/>
      <c r="T2442" s="81"/>
      <c r="U2442" s="84" t="str">
        <f>HYPERLINK("https://pbs.twimg.com/media/FAepjIZXoAIjGFI.jpg")</f>
        <v>https://pbs.twimg.com/media/FAepjIZXoAIjGFI.jpg</v>
      </c>
      <c r="V2442" s="84" t="str">
        <f>HYPERLINK("https://pbs.twimg.com/media/FAepjIZXoAIjGFI.jpg")</f>
        <v>https://pbs.twimg.com/media/FAepjIZXoAIjGFI.jpg</v>
      </c>
      <c r="W2442" s="83">
        <v>44468.864421296297</v>
      </c>
      <c r="X2442" s="89">
        <v>44468</v>
      </c>
      <c r="Y2442" s="86" t="s">
        <v>13018</v>
      </c>
      <c r="Z2442" s="84" t="str">
        <f>HYPERLINK("https://twitter.com/cristin11420887/status/1443315840150130691")</f>
        <v>https://twitter.com/cristin11420887/status/1443315840150130691</v>
      </c>
      <c r="AA2442" s="81"/>
      <c r="AB2442" s="81"/>
      <c r="AC2442" s="86" t="s">
        <v>13258</v>
      </c>
      <c r="AD2442" s="81"/>
      <c r="AE2442" s="81" t="b">
        <v>0</v>
      </c>
      <c r="AF2442" s="81">
        <v>0</v>
      </c>
      <c r="AG2442" s="86" t="s">
        <v>2084</v>
      </c>
      <c r="AH2442" s="81" t="b">
        <v>0</v>
      </c>
      <c r="AI2442" s="81" t="s">
        <v>2171</v>
      </c>
      <c r="AJ2442" s="81"/>
      <c r="AK2442" s="86" t="s">
        <v>2084</v>
      </c>
      <c r="AL2442" s="81" t="b">
        <v>0</v>
      </c>
      <c r="AM2442" s="81">
        <v>12</v>
      </c>
      <c r="AN2442" s="86" t="s">
        <v>13288</v>
      </c>
      <c r="AO2442" s="86" t="s">
        <v>2178</v>
      </c>
      <c r="AP2442" s="81" t="b">
        <v>0</v>
      </c>
      <c r="AQ2442" s="86" t="s">
        <v>13288</v>
      </c>
      <c r="AR2442" s="81" t="s">
        <v>179</v>
      </c>
      <c r="AS2442" s="81">
        <v>0</v>
      </c>
      <c r="AT2442" s="81">
        <v>0</v>
      </c>
      <c r="AU2442" s="81"/>
      <c r="AV2442" s="81"/>
      <c r="AW2442" s="81"/>
      <c r="AX2442" s="81"/>
      <c r="AY2442" s="81"/>
      <c r="AZ2442" s="81"/>
      <c r="BA2442" s="81"/>
      <c r="BB2442" s="81"/>
    </row>
    <row r="2443" spans="1:54" x14ac:dyDescent="0.35">
      <c r="A2443" s="66" t="s">
        <v>4944</v>
      </c>
      <c r="B2443" s="66" t="s">
        <v>4944</v>
      </c>
      <c r="C2443" s="67"/>
      <c r="D2443" s="68"/>
      <c r="E2443" s="69"/>
      <c r="F2443" s="70"/>
      <c r="G2443" s="67"/>
      <c r="H2443" s="71"/>
      <c r="I2443" s="72"/>
      <c r="J2443" s="72"/>
      <c r="K2443" s="36"/>
      <c r="L2443" s="79"/>
      <c r="M2443" s="79"/>
      <c r="N2443" s="74"/>
      <c r="O2443" s="81" t="s">
        <v>179</v>
      </c>
      <c r="P2443" s="83">
        <v>44465.522210648145</v>
      </c>
      <c r="Q2443" s="81" t="s">
        <v>5505</v>
      </c>
      <c r="R2443" s="81"/>
      <c r="S2443" s="81"/>
      <c r="T2443" s="81"/>
      <c r="U2443" s="81"/>
      <c r="V2443" s="84" t="str">
        <f>HYPERLINK("https://pbs.twimg.com/profile_images/1314755689844215808/qcwdExbN_normal.jpg")</f>
        <v>https://pbs.twimg.com/profile_images/1314755689844215808/qcwdExbN_normal.jpg</v>
      </c>
      <c r="W2443" s="83">
        <v>44465.522210648145</v>
      </c>
      <c r="X2443" s="89">
        <v>44465</v>
      </c>
      <c r="Y2443" s="86" t="s">
        <v>6619</v>
      </c>
      <c r="Z2443" s="84" t="str">
        <f>HYPERLINK("https://twitter.com/johallack/status/1442104662774136835")</f>
        <v>https://twitter.com/johallack/status/1442104662774136835</v>
      </c>
      <c r="AA2443" s="81"/>
      <c r="AB2443" s="81"/>
      <c r="AC2443" s="86" t="s">
        <v>7543</v>
      </c>
      <c r="AD2443" s="81"/>
      <c r="AE2443" s="81" t="b">
        <v>0</v>
      </c>
      <c r="AF2443" s="81">
        <v>2370</v>
      </c>
      <c r="AG2443" s="86" t="s">
        <v>2084</v>
      </c>
      <c r="AH2443" s="81" t="b">
        <v>0</v>
      </c>
      <c r="AI2443" s="81" t="s">
        <v>2171</v>
      </c>
      <c r="AJ2443" s="81"/>
      <c r="AK2443" s="86" t="s">
        <v>2084</v>
      </c>
      <c r="AL2443" s="81" t="b">
        <v>0</v>
      </c>
      <c r="AM2443" s="81">
        <v>255</v>
      </c>
      <c r="AN2443" s="86" t="s">
        <v>2084</v>
      </c>
      <c r="AO2443" s="86" t="s">
        <v>2178</v>
      </c>
      <c r="AP2443" s="81" t="b">
        <v>0</v>
      </c>
      <c r="AQ2443" s="86" t="s">
        <v>7543</v>
      </c>
      <c r="AR2443" s="81" t="s">
        <v>179</v>
      </c>
      <c r="AS2443" s="81">
        <v>0</v>
      </c>
      <c r="AT2443" s="81">
        <v>0</v>
      </c>
      <c r="AU2443" s="81"/>
      <c r="AV2443" s="81"/>
      <c r="AW2443" s="81"/>
      <c r="AX2443" s="81"/>
      <c r="AY2443" s="81"/>
      <c r="AZ2443" s="81"/>
      <c r="BA2443" s="81"/>
      <c r="BB2443" s="81"/>
    </row>
    <row r="2444" spans="1:54" x14ac:dyDescent="0.35">
      <c r="A2444" s="66" t="s">
        <v>4605</v>
      </c>
      <c r="B2444" s="66" t="s">
        <v>4944</v>
      </c>
      <c r="C2444" s="67"/>
      <c r="D2444" s="68"/>
      <c r="E2444" s="69"/>
      <c r="F2444" s="70"/>
      <c r="G2444" s="67"/>
      <c r="H2444" s="71"/>
      <c r="I2444" s="72"/>
      <c r="J2444" s="72"/>
      <c r="K2444" s="36"/>
      <c r="L2444" s="79"/>
      <c r="M2444" s="79"/>
      <c r="N2444" s="74"/>
      <c r="O2444" s="81" t="s">
        <v>693</v>
      </c>
      <c r="P2444" s="83">
        <v>44465.572881944441</v>
      </c>
      <c r="Q2444" s="81" t="s">
        <v>5505</v>
      </c>
      <c r="R2444" s="81"/>
      <c r="S2444" s="81"/>
      <c r="T2444" s="81"/>
      <c r="U2444" s="81"/>
      <c r="V2444" s="84" t="str">
        <f>HYPERLINK("https://pbs.twimg.com/profile_images/1229563164032933889/RuR219hW_normal.jpg")</f>
        <v>https://pbs.twimg.com/profile_images/1229563164032933889/RuR219hW_normal.jpg</v>
      </c>
      <c r="W2444" s="83">
        <v>44465.572881944441</v>
      </c>
      <c r="X2444" s="89">
        <v>44465</v>
      </c>
      <c r="Y2444" s="86" t="s">
        <v>6252</v>
      </c>
      <c r="Z2444" s="84" t="str">
        <f>HYPERLINK("https://twitter.com/lvitorporto/status/1442123026368274432")</f>
        <v>https://twitter.com/lvitorporto/status/1442123026368274432</v>
      </c>
      <c r="AA2444" s="81"/>
      <c r="AB2444" s="81"/>
      <c r="AC2444" s="86" t="s">
        <v>7165</v>
      </c>
      <c r="AD2444" s="81"/>
      <c r="AE2444" s="81" t="b">
        <v>0</v>
      </c>
      <c r="AF2444" s="81">
        <v>0</v>
      </c>
      <c r="AG2444" s="86" t="s">
        <v>2084</v>
      </c>
      <c r="AH2444" s="81" t="b">
        <v>0</v>
      </c>
      <c r="AI2444" s="81" t="s">
        <v>2171</v>
      </c>
      <c r="AJ2444" s="81"/>
      <c r="AK2444" s="86" t="s">
        <v>2084</v>
      </c>
      <c r="AL2444" s="81" t="b">
        <v>0</v>
      </c>
      <c r="AM2444" s="81">
        <v>255</v>
      </c>
      <c r="AN2444" s="86" t="s">
        <v>7543</v>
      </c>
      <c r="AO2444" s="86" t="s">
        <v>2178</v>
      </c>
      <c r="AP2444" s="81" t="b">
        <v>0</v>
      </c>
      <c r="AQ2444" s="86" t="s">
        <v>7543</v>
      </c>
      <c r="AR2444" s="81" t="s">
        <v>179</v>
      </c>
      <c r="AS2444" s="81">
        <v>0</v>
      </c>
      <c r="AT2444" s="81">
        <v>0</v>
      </c>
      <c r="AU2444" s="81"/>
      <c r="AV2444" s="81"/>
      <c r="AW2444" s="81"/>
      <c r="AX2444" s="81"/>
      <c r="AY2444" s="81"/>
      <c r="AZ2444" s="81"/>
      <c r="BA2444" s="81"/>
      <c r="BB2444" s="81"/>
    </row>
    <row r="2445" spans="1:54" x14ac:dyDescent="0.35">
      <c r="A2445" s="66" t="s">
        <v>4605</v>
      </c>
      <c r="B2445" s="66" t="s">
        <v>12618</v>
      </c>
      <c r="C2445" s="67"/>
      <c r="D2445" s="68"/>
      <c r="E2445" s="69"/>
      <c r="F2445" s="70"/>
      <c r="G2445" s="67"/>
      <c r="H2445" s="71"/>
      <c r="I2445" s="72"/>
      <c r="J2445" s="72"/>
      <c r="K2445" s="36"/>
      <c r="L2445" s="79"/>
      <c r="M2445" s="79"/>
      <c r="N2445" s="74"/>
      <c r="O2445" s="81" t="s">
        <v>693</v>
      </c>
      <c r="P2445" s="83">
        <v>44468.869467592594</v>
      </c>
      <c r="Q2445" s="81" t="s">
        <v>12814</v>
      </c>
      <c r="R2445" s="81"/>
      <c r="S2445" s="81"/>
      <c r="T2445" s="81"/>
      <c r="U2445" s="84" t="str">
        <f>HYPERLINK("https://pbs.twimg.com/media/FAepjIZXoAIjGFI.jpg")</f>
        <v>https://pbs.twimg.com/media/FAepjIZXoAIjGFI.jpg</v>
      </c>
      <c r="V2445" s="84" t="str">
        <f>HYPERLINK("https://pbs.twimg.com/media/FAepjIZXoAIjGFI.jpg")</f>
        <v>https://pbs.twimg.com/media/FAepjIZXoAIjGFI.jpg</v>
      </c>
      <c r="W2445" s="83">
        <v>44468.869467592594</v>
      </c>
      <c r="X2445" s="89">
        <v>44468</v>
      </c>
      <c r="Y2445" s="86" t="s">
        <v>13019</v>
      </c>
      <c r="Z2445" s="84" t="str">
        <f>HYPERLINK("https://twitter.com/lvitorporto/status/1443317669218996241")</f>
        <v>https://twitter.com/lvitorporto/status/1443317669218996241</v>
      </c>
      <c r="AA2445" s="81"/>
      <c r="AB2445" s="81"/>
      <c r="AC2445" s="86" t="s">
        <v>13259</v>
      </c>
      <c r="AD2445" s="81"/>
      <c r="AE2445" s="81" t="b">
        <v>0</v>
      </c>
      <c r="AF2445" s="81">
        <v>0</v>
      </c>
      <c r="AG2445" s="86" t="s">
        <v>2084</v>
      </c>
      <c r="AH2445" s="81" t="b">
        <v>0</v>
      </c>
      <c r="AI2445" s="81" t="s">
        <v>2171</v>
      </c>
      <c r="AJ2445" s="81"/>
      <c r="AK2445" s="86" t="s">
        <v>2084</v>
      </c>
      <c r="AL2445" s="81" t="b">
        <v>0</v>
      </c>
      <c r="AM2445" s="81">
        <v>12</v>
      </c>
      <c r="AN2445" s="86" t="s">
        <v>13288</v>
      </c>
      <c r="AO2445" s="86" t="s">
        <v>2178</v>
      </c>
      <c r="AP2445" s="81" t="b">
        <v>0</v>
      </c>
      <c r="AQ2445" s="86" t="s">
        <v>13288</v>
      </c>
      <c r="AR2445" s="81" t="s">
        <v>179</v>
      </c>
      <c r="AS2445" s="81">
        <v>0</v>
      </c>
      <c r="AT2445" s="81">
        <v>0</v>
      </c>
      <c r="AU2445" s="81"/>
      <c r="AV2445" s="81"/>
      <c r="AW2445" s="81"/>
      <c r="AX2445" s="81"/>
      <c r="AY2445" s="81"/>
      <c r="AZ2445" s="81"/>
      <c r="BA2445" s="81"/>
      <c r="BB2445" s="81"/>
    </row>
    <row r="2446" spans="1:54" x14ac:dyDescent="0.35">
      <c r="A2446" s="66" t="s">
        <v>12598</v>
      </c>
      <c r="B2446" s="66" t="s">
        <v>12618</v>
      </c>
      <c r="C2446" s="67"/>
      <c r="D2446" s="68"/>
      <c r="E2446" s="69"/>
      <c r="F2446" s="70"/>
      <c r="G2446" s="67"/>
      <c r="H2446" s="71"/>
      <c r="I2446" s="72"/>
      <c r="J2446" s="72"/>
      <c r="K2446" s="36"/>
      <c r="L2446" s="79"/>
      <c r="M2446" s="79"/>
      <c r="N2446" s="74"/>
      <c r="O2446" s="81" t="s">
        <v>693</v>
      </c>
      <c r="P2446" s="83">
        <v>44468.871979166666</v>
      </c>
      <c r="Q2446" s="81" t="s">
        <v>12814</v>
      </c>
      <c r="R2446" s="81"/>
      <c r="S2446" s="81"/>
      <c r="T2446" s="81"/>
      <c r="U2446" s="84" t="str">
        <f>HYPERLINK("https://pbs.twimg.com/media/FAepjIZXoAIjGFI.jpg")</f>
        <v>https://pbs.twimg.com/media/FAepjIZXoAIjGFI.jpg</v>
      </c>
      <c r="V2446" s="84" t="str">
        <f>HYPERLINK("https://pbs.twimg.com/media/FAepjIZXoAIjGFI.jpg")</f>
        <v>https://pbs.twimg.com/media/FAepjIZXoAIjGFI.jpg</v>
      </c>
      <c r="W2446" s="83">
        <v>44468.871979166666</v>
      </c>
      <c r="X2446" s="89">
        <v>44468</v>
      </c>
      <c r="Y2446" s="86" t="s">
        <v>13020</v>
      </c>
      <c r="Z2446" s="84" t="str">
        <f>HYPERLINK("https://twitter.com/joaoboscorocha/status/1443318580565745668")</f>
        <v>https://twitter.com/joaoboscorocha/status/1443318580565745668</v>
      </c>
      <c r="AA2446" s="81"/>
      <c r="AB2446" s="81"/>
      <c r="AC2446" s="86" t="s">
        <v>13260</v>
      </c>
      <c r="AD2446" s="81"/>
      <c r="AE2446" s="81" t="b">
        <v>0</v>
      </c>
      <c r="AF2446" s="81">
        <v>0</v>
      </c>
      <c r="AG2446" s="86" t="s">
        <v>2084</v>
      </c>
      <c r="AH2446" s="81" t="b">
        <v>0</v>
      </c>
      <c r="AI2446" s="81" t="s">
        <v>2171</v>
      </c>
      <c r="AJ2446" s="81"/>
      <c r="AK2446" s="86" t="s">
        <v>2084</v>
      </c>
      <c r="AL2446" s="81" t="b">
        <v>0</v>
      </c>
      <c r="AM2446" s="81">
        <v>12</v>
      </c>
      <c r="AN2446" s="86" t="s">
        <v>13288</v>
      </c>
      <c r="AO2446" s="86" t="s">
        <v>2178</v>
      </c>
      <c r="AP2446" s="81" t="b">
        <v>0</v>
      </c>
      <c r="AQ2446" s="86" t="s">
        <v>13288</v>
      </c>
      <c r="AR2446" s="81" t="s">
        <v>179</v>
      </c>
      <c r="AS2446" s="81">
        <v>0</v>
      </c>
      <c r="AT2446" s="81">
        <v>0</v>
      </c>
      <c r="AU2446" s="81"/>
      <c r="AV2446" s="81"/>
      <c r="AW2446" s="81"/>
      <c r="AX2446" s="81"/>
      <c r="AY2446" s="81"/>
      <c r="AZ2446" s="81"/>
      <c r="BA2446" s="81"/>
      <c r="BB2446" s="81"/>
    </row>
    <row r="2447" spans="1:54" x14ac:dyDescent="0.35">
      <c r="A2447" s="66" t="s">
        <v>12599</v>
      </c>
      <c r="B2447" s="66" t="s">
        <v>12711</v>
      </c>
      <c r="C2447" s="67"/>
      <c r="D2447" s="68"/>
      <c r="E2447" s="69"/>
      <c r="F2447" s="70"/>
      <c r="G2447" s="67"/>
      <c r="H2447" s="71"/>
      <c r="I2447" s="72"/>
      <c r="J2447" s="72"/>
      <c r="K2447" s="36"/>
      <c r="L2447" s="79"/>
      <c r="M2447" s="79"/>
      <c r="N2447" s="74"/>
      <c r="O2447" s="81" t="s">
        <v>696</v>
      </c>
      <c r="P2447" s="83">
        <v>44468.884618055556</v>
      </c>
      <c r="Q2447" s="81" t="s">
        <v>12816</v>
      </c>
      <c r="R2447" s="81"/>
      <c r="S2447" s="81"/>
      <c r="T2447" s="81"/>
      <c r="U2447" s="81"/>
      <c r="V2447" s="84" t="str">
        <f>HYPERLINK("https://abs.twimg.com/sticky/default_profile_images/default_profile_normal.png")</f>
        <v>https://abs.twimg.com/sticky/default_profile_images/default_profile_normal.png</v>
      </c>
      <c r="W2447" s="83">
        <v>44468.884618055556</v>
      </c>
      <c r="X2447" s="89">
        <v>44468</v>
      </c>
      <c r="Y2447" s="86" t="s">
        <v>13021</v>
      </c>
      <c r="Z2447" s="84" t="str">
        <f>HYPERLINK("https://twitter.com/mjq20983/status/1443323160791748608")</f>
        <v>https://twitter.com/mjq20983/status/1443323160791748608</v>
      </c>
      <c r="AA2447" s="81"/>
      <c r="AB2447" s="81"/>
      <c r="AC2447" s="86" t="s">
        <v>13261</v>
      </c>
      <c r="AD2447" s="86" t="s">
        <v>13387</v>
      </c>
      <c r="AE2447" s="81" t="b">
        <v>0</v>
      </c>
      <c r="AF2447" s="81">
        <v>3</v>
      </c>
      <c r="AG2447" s="86" t="s">
        <v>13425</v>
      </c>
      <c r="AH2447" s="81" t="b">
        <v>0</v>
      </c>
      <c r="AI2447" s="81" t="s">
        <v>2171</v>
      </c>
      <c r="AJ2447" s="81"/>
      <c r="AK2447" s="86" t="s">
        <v>2084</v>
      </c>
      <c r="AL2447" s="81" t="b">
        <v>0</v>
      </c>
      <c r="AM2447" s="81">
        <v>0</v>
      </c>
      <c r="AN2447" s="86" t="s">
        <v>2084</v>
      </c>
      <c r="AO2447" s="86" t="s">
        <v>2178</v>
      </c>
      <c r="AP2447" s="81" t="b">
        <v>0</v>
      </c>
      <c r="AQ2447" s="86" t="s">
        <v>13387</v>
      </c>
      <c r="AR2447" s="81" t="s">
        <v>179</v>
      </c>
      <c r="AS2447" s="81">
        <v>0</v>
      </c>
      <c r="AT2447" s="81">
        <v>0</v>
      </c>
      <c r="AU2447" s="81"/>
      <c r="AV2447" s="81"/>
      <c r="AW2447" s="81"/>
      <c r="AX2447" s="81"/>
      <c r="AY2447" s="81"/>
      <c r="AZ2447" s="81"/>
      <c r="BA2447" s="81"/>
      <c r="BB2447" s="81"/>
    </row>
    <row r="2448" spans="1:54" x14ac:dyDescent="0.35">
      <c r="A2448" s="66" t="s">
        <v>12599</v>
      </c>
      <c r="B2448" s="66" t="s">
        <v>12712</v>
      </c>
      <c r="C2448" s="67"/>
      <c r="D2448" s="68"/>
      <c r="E2448" s="69"/>
      <c r="F2448" s="70"/>
      <c r="G2448" s="67"/>
      <c r="H2448" s="71"/>
      <c r="I2448" s="72"/>
      <c r="J2448" s="72"/>
      <c r="K2448" s="36"/>
      <c r="L2448" s="79"/>
      <c r="M2448" s="79"/>
      <c r="N2448" s="74"/>
      <c r="O2448" s="81" t="s">
        <v>696</v>
      </c>
      <c r="P2448" s="83">
        <v>44468.884618055556</v>
      </c>
      <c r="Q2448" s="81" t="s">
        <v>12816</v>
      </c>
      <c r="R2448" s="81"/>
      <c r="S2448" s="81"/>
      <c r="T2448" s="81"/>
      <c r="U2448" s="81"/>
      <c r="V2448" s="84" t="str">
        <f>HYPERLINK("https://abs.twimg.com/sticky/default_profile_images/default_profile_normal.png")</f>
        <v>https://abs.twimg.com/sticky/default_profile_images/default_profile_normal.png</v>
      </c>
      <c r="W2448" s="83">
        <v>44468.884618055556</v>
      </c>
      <c r="X2448" s="89">
        <v>44468</v>
      </c>
      <c r="Y2448" s="86" t="s">
        <v>13021</v>
      </c>
      <c r="Z2448" s="84" t="str">
        <f>HYPERLINK("https://twitter.com/mjq20983/status/1443323160791748608")</f>
        <v>https://twitter.com/mjq20983/status/1443323160791748608</v>
      </c>
      <c r="AA2448" s="81"/>
      <c r="AB2448" s="81"/>
      <c r="AC2448" s="86" t="s">
        <v>13261</v>
      </c>
      <c r="AD2448" s="86" t="s">
        <v>13387</v>
      </c>
      <c r="AE2448" s="81" t="b">
        <v>0</v>
      </c>
      <c r="AF2448" s="81">
        <v>3</v>
      </c>
      <c r="AG2448" s="86" t="s">
        <v>13425</v>
      </c>
      <c r="AH2448" s="81" t="b">
        <v>0</v>
      </c>
      <c r="AI2448" s="81" t="s">
        <v>2171</v>
      </c>
      <c r="AJ2448" s="81"/>
      <c r="AK2448" s="86" t="s">
        <v>2084</v>
      </c>
      <c r="AL2448" s="81" t="b">
        <v>0</v>
      </c>
      <c r="AM2448" s="81">
        <v>0</v>
      </c>
      <c r="AN2448" s="86" t="s">
        <v>2084</v>
      </c>
      <c r="AO2448" s="86" t="s">
        <v>2178</v>
      </c>
      <c r="AP2448" s="81" t="b">
        <v>0</v>
      </c>
      <c r="AQ2448" s="86" t="s">
        <v>13387</v>
      </c>
      <c r="AR2448" s="81" t="s">
        <v>179</v>
      </c>
      <c r="AS2448" s="81">
        <v>0</v>
      </c>
      <c r="AT2448" s="81">
        <v>0</v>
      </c>
      <c r="AU2448" s="81"/>
      <c r="AV2448" s="81"/>
      <c r="AW2448" s="81"/>
      <c r="AX2448" s="81"/>
      <c r="AY2448" s="81"/>
      <c r="AZ2448" s="81"/>
      <c r="BA2448" s="81"/>
      <c r="BB2448" s="81"/>
    </row>
    <row r="2449" spans="1:54" x14ac:dyDescent="0.35">
      <c r="A2449" s="66" t="s">
        <v>12599</v>
      </c>
      <c r="B2449" s="66" t="s">
        <v>12713</v>
      </c>
      <c r="C2449" s="67"/>
      <c r="D2449" s="68"/>
      <c r="E2449" s="69"/>
      <c r="F2449" s="70"/>
      <c r="G2449" s="67"/>
      <c r="H2449" s="71"/>
      <c r="I2449" s="72"/>
      <c r="J2449" s="72"/>
      <c r="K2449" s="36"/>
      <c r="L2449" s="79"/>
      <c r="M2449" s="79"/>
      <c r="N2449" s="74"/>
      <c r="O2449" s="81" t="s">
        <v>696</v>
      </c>
      <c r="P2449" s="83">
        <v>44468.884618055556</v>
      </c>
      <c r="Q2449" s="81" t="s">
        <v>12816</v>
      </c>
      <c r="R2449" s="81"/>
      <c r="S2449" s="81"/>
      <c r="T2449" s="81"/>
      <c r="U2449" s="81"/>
      <c r="V2449" s="84" t="str">
        <f>HYPERLINK("https://abs.twimg.com/sticky/default_profile_images/default_profile_normal.png")</f>
        <v>https://abs.twimg.com/sticky/default_profile_images/default_profile_normal.png</v>
      </c>
      <c r="W2449" s="83">
        <v>44468.884618055556</v>
      </c>
      <c r="X2449" s="89">
        <v>44468</v>
      </c>
      <c r="Y2449" s="86" t="s">
        <v>13021</v>
      </c>
      <c r="Z2449" s="84" t="str">
        <f>HYPERLINK("https://twitter.com/mjq20983/status/1443323160791748608")</f>
        <v>https://twitter.com/mjq20983/status/1443323160791748608</v>
      </c>
      <c r="AA2449" s="81"/>
      <c r="AB2449" s="81"/>
      <c r="AC2449" s="86" t="s">
        <v>13261</v>
      </c>
      <c r="AD2449" s="86" t="s">
        <v>13387</v>
      </c>
      <c r="AE2449" s="81" t="b">
        <v>0</v>
      </c>
      <c r="AF2449" s="81">
        <v>3</v>
      </c>
      <c r="AG2449" s="86" t="s">
        <v>13425</v>
      </c>
      <c r="AH2449" s="81" t="b">
        <v>0</v>
      </c>
      <c r="AI2449" s="81" t="s">
        <v>2171</v>
      </c>
      <c r="AJ2449" s="81"/>
      <c r="AK2449" s="86" t="s">
        <v>2084</v>
      </c>
      <c r="AL2449" s="81" t="b">
        <v>0</v>
      </c>
      <c r="AM2449" s="81">
        <v>0</v>
      </c>
      <c r="AN2449" s="86" t="s">
        <v>2084</v>
      </c>
      <c r="AO2449" s="86" t="s">
        <v>2178</v>
      </c>
      <c r="AP2449" s="81" t="b">
        <v>0</v>
      </c>
      <c r="AQ2449" s="86" t="s">
        <v>13387</v>
      </c>
      <c r="AR2449" s="81" t="s">
        <v>179</v>
      </c>
      <c r="AS2449" s="81">
        <v>0</v>
      </c>
      <c r="AT2449" s="81">
        <v>0</v>
      </c>
      <c r="AU2449" s="81"/>
      <c r="AV2449" s="81"/>
      <c r="AW2449" s="81"/>
      <c r="AX2449" s="81"/>
      <c r="AY2449" s="81"/>
      <c r="AZ2449" s="81"/>
      <c r="BA2449" s="81"/>
      <c r="BB2449" s="81"/>
    </row>
    <row r="2450" spans="1:54" x14ac:dyDescent="0.35">
      <c r="A2450" s="66" t="s">
        <v>12599</v>
      </c>
      <c r="B2450" s="66" t="s">
        <v>12714</v>
      </c>
      <c r="C2450" s="67"/>
      <c r="D2450" s="68"/>
      <c r="E2450" s="69"/>
      <c r="F2450" s="70"/>
      <c r="G2450" s="67"/>
      <c r="H2450" s="71"/>
      <c r="I2450" s="72"/>
      <c r="J2450" s="72"/>
      <c r="K2450" s="36"/>
      <c r="L2450" s="79"/>
      <c r="M2450" s="79"/>
      <c r="N2450" s="74"/>
      <c r="O2450" s="81" t="s">
        <v>695</v>
      </c>
      <c r="P2450" s="83">
        <v>44468.884618055556</v>
      </c>
      <c r="Q2450" s="81" t="s">
        <v>12816</v>
      </c>
      <c r="R2450" s="81"/>
      <c r="S2450" s="81"/>
      <c r="T2450" s="81"/>
      <c r="U2450" s="81"/>
      <c r="V2450" s="84" t="str">
        <f>HYPERLINK("https://abs.twimg.com/sticky/default_profile_images/default_profile_normal.png")</f>
        <v>https://abs.twimg.com/sticky/default_profile_images/default_profile_normal.png</v>
      </c>
      <c r="W2450" s="83">
        <v>44468.884618055556</v>
      </c>
      <c r="X2450" s="89">
        <v>44468</v>
      </c>
      <c r="Y2450" s="86" t="s">
        <v>13021</v>
      </c>
      <c r="Z2450" s="84" t="str">
        <f>HYPERLINK("https://twitter.com/mjq20983/status/1443323160791748608")</f>
        <v>https://twitter.com/mjq20983/status/1443323160791748608</v>
      </c>
      <c r="AA2450" s="81"/>
      <c r="AB2450" s="81"/>
      <c r="AC2450" s="86" t="s">
        <v>13261</v>
      </c>
      <c r="AD2450" s="86" t="s">
        <v>13387</v>
      </c>
      <c r="AE2450" s="81" t="b">
        <v>0</v>
      </c>
      <c r="AF2450" s="81">
        <v>3</v>
      </c>
      <c r="AG2450" s="86" t="s">
        <v>13425</v>
      </c>
      <c r="AH2450" s="81" t="b">
        <v>0</v>
      </c>
      <c r="AI2450" s="81" t="s">
        <v>2171</v>
      </c>
      <c r="AJ2450" s="81"/>
      <c r="AK2450" s="86" t="s">
        <v>2084</v>
      </c>
      <c r="AL2450" s="81" t="b">
        <v>0</v>
      </c>
      <c r="AM2450" s="81">
        <v>0</v>
      </c>
      <c r="AN2450" s="86" t="s">
        <v>2084</v>
      </c>
      <c r="AO2450" s="86" t="s">
        <v>2178</v>
      </c>
      <c r="AP2450" s="81" t="b">
        <v>0</v>
      </c>
      <c r="AQ2450" s="86" t="s">
        <v>13387</v>
      </c>
      <c r="AR2450" s="81" t="s">
        <v>179</v>
      </c>
      <c r="AS2450" s="81">
        <v>0</v>
      </c>
      <c r="AT2450" s="81">
        <v>0</v>
      </c>
      <c r="AU2450" s="81"/>
      <c r="AV2450" s="81"/>
      <c r="AW2450" s="81"/>
      <c r="AX2450" s="81"/>
      <c r="AY2450" s="81"/>
      <c r="AZ2450" s="81"/>
      <c r="BA2450" s="81"/>
      <c r="BB2450" s="81"/>
    </row>
    <row r="2451" spans="1:54" x14ac:dyDescent="0.35">
      <c r="A2451" s="66" t="s">
        <v>12600</v>
      </c>
      <c r="B2451" s="66" t="s">
        <v>12618</v>
      </c>
      <c r="C2451" s="67"/>
      <c r="D2451" s="68"/>
      <c r="E2451" s="69"/>
      <c r="F2451" s="70"/>
      <c r="G2451" s="67"/>
      <c r="H2451" s="71"/>
      <c r="I2451" s="72"/>
      <c r="J2451" s="72"/>
      <c r="K2451" s="36"/>
      <c r="L2451" s="79"/>
      <c r="M2451" s="79"/>
      <c r="N2451" s="74"/>
      <c r="O2451" s="81" t="s">
        <v>693</v>
      </c>
      <c r="P2451" s="83">
        <v>44468.886342592596</v>
      </c>
      <c r="Q2451" s="81" t="s">
        <v>12814</v>
      </c>
      <c r="R2451" s="81"/>
      <c r="S2451" s="81"/>
      <c r="T2451" s="81"/>
      <c r="U2451" s="84" t="str">
        <f>HYPERLINK("https://pbs.twimg.com/media/FAepjIZXoAIjGFI.jpg")</f>
        <v>https://pbs.twimg.com/media/FAepjIZXoAIjGFI.jpg</v>
      </c>
      <c r="V2451" s="84" t="str">
        <f>HYPERLINK("https://pbs.twimg.com/media/FAepjIZXoAIjGFI.jpg")</f>
        <v>https://pbs.twimg.com/media/FAepjIZXoAIjGFI.jpg</v>
      </c>
      <c r="W2451" s="83">
        <v>44468.886342592596</v>
      </c>
      <c r="X2451" s="89">
        <v>44468</v>
      </c>
      <c r="Y2451" s="86" t="s">
        <v>13022</v>
      </c>
      <c r="Z2451" s="84" t="str">
        <f>HYPERLINK("https://twitter.com/karl92s/status/1443323783994089476")</f>
        <v>https://twitter.com/karl92s/status/1443323783994089476</v>
      </c>
      <c r="AA2451" s="81"/>
      <c r="AB2451" s="81"/>
      <c r="AC2451" s="86" t="s">
        <v>13262</v>
      </c>
      <c r="AD2451" s="81"/>
      <c r="AE2451" s="81" t="b">
        <v>0</v>
      </c>
      <c r="AF2451" s="81">
        <v>0</v>
      </c>
      <c r="AG2451" s="86" t="s">
        <v>2084</v>
      </c>
      <c r="AH2451" s="81" t="b">
        <v>0</v>
      </c>
      <c r="AI2451" s="81" t="s">
        <v>2171</v>
      </c>
      <c r="AJ2451" s="81"/>
      <c r="AK2451" s="86" t="s">
        <v>2084</v>
      </c>
      <c r="AL2451" s="81" t="b">
        <v>0</v>
      </c>
      <c r="AM2451" s="81">
        <v>12</v>
      </c>
      <c r="AN2451" s="86" t="s">
        <v>13288</v>
      </c>
      <c r="AO2451" s="86" t="s">
        <v>2178</v>
      </c>
      <c r="AP2451" s="81" t="b">
        <v>0</v>
      </c>
      <c r="AQ2451" s="86" t="s">
        <v>13288</v>
      </c>
      <c r="AR2451" s="81" t="s">
        <v>179</v>
      </c>
      <c r="AS2451" s="81">
        <v>0</v>
      </c>
      <c r="AT2451" s="81">
        <v>0</v>
      </c>
      <c r="AU2451" s="81"/>
      <c r="AV2451" s="81"/>
      <c r="AW2451" s="81"/>
      <c r="AX2451" s="81"/>
      <c r="AY2451" s="81"/>
      <c r="AZ2451" s="81"/>
      <c r="BA2451" s="81"/>
      <c r="BB2451" s="81"/>
    </row>
    <row r="2452" spans="1:54" x14ac:dyDescent="0.35">
      <c r="A2452" s="66" t="s">
        <v>12601</v>
      </c>
      <c r="B2452" s="66" t="s">
        <v>12601</v>
      </c>
      <c r="C2452" s="67"/>
      <c r="D2452" s="68"/>
      <c r="E2452" s="69"/>
      <c r="F2452" s="70"/>
      <c r="G2452" s="67"/>
      <c r="H2452" s="71"/>
      <c r="I2452" s="72"/>
      <c r="J2452" s="72"/>
      <c r="K2452" s="36"/>
      <c r="L2452" s="79"/>
      <c r="M2452" s="79"/>
      <c r="N2452" s="74"/>
      <c r="O2452" s="81" t="s">
        <v>179</v>
      </c>
      <c r="P2452" s="83">
        <v>44468.905810185184</v>
      </c>
      <c r="Q2452" s="81" t="s">
        <v>12817</v>
      </c>
      <c r="R2452" s="84" t="str">
        <f>HYPERLINK("https://sicnoticias.pt/especiais/autarquicas/2021-09-29-Chega-expulsa-autarcas-que-fizerem-acordos-com-PS-ou-CDU-1a034979")</f>
        <v>https://sicnoticias.pt/especiais/autarquicas/2021-09-29-Chega-expulsa-autarcas-que-fizerem-acordos-com-PS-ou-CDU-1a034979</v>
      </c>
      <c r="S2452" s="81" t="s">
        <v>5707</v>
      </c>
      <c r="T2452" s="81"/>
      <c r="U2452" s="81"/>
      <c r="V2452" s="84" t="str">
        <f>HYPERLINK("https://pbs.twimg.com/profile_images/1349033081370521600/cClQV83k_normal.jpg")</f>
        <v>https://pbs.twimg.com/profile_images/1349033081370521600/cClQV83k_normal.jpg</v>
      </c>
      <c r="W2452" s="83">
        <v>44468.905810185184</v>
      </c>
      <c r="X2452" s="89">
        <v>44468</v>
      </c>
      <c r="Y2452" s="86" t="s">
        <v>13023</v>
      </c>
      <c r="Z2452" s="84" t="str">
        <f>HYPERLINK("https://twitter.com/nmbaudelaire/status/1443330837848772614")</f>
        <v>https://twitter.com/nmbaudelaire/status/1443330837848772614</v>
      </c>
      <c r="AA2452" s="81"/>
      <c r="AB2452" s="81"/>
      <c r="AC2452" s="86" t="s">
        <v>13263</v>
      </c>
      <c r="AD2452" s="81"/>
      <c r="AE2452" s="81" t="b">
        <v>0</v>
      </c>
      <c r="AF2452" s="81">
        <v>0</v>
      </c>
      <c r="AG2452" s="86" t="s">
        <v>2084</v>
      </c>
      <c r="AH2452" s="81" t="b">
        <v>0</v>
      </c>
      <c r="AI2452" s="81" t="s">
        <v>2168</v>
      </c>
      <c r="AJ2452" s="81"/>
      <c r="AK2452" s="86" t="s">
        <v>2084</v>
      </c>
      <c r="AL2452" s="81" t="b">
        <v>0</v>
      </c>
      <c r="AM2452" s="81">
        <v>0</v>
      </c>
      <c r="AN2452" s="86" t="s">
        <v>2084</v>
      </c>
      <c r="AO2452" s="86" t="s">
        <v>2181</v>
      </c>
      <c r="AP2452" s="81" t="b">
        <v>0</v>
      </c>
      <c r="AQ2452" s="86" t="s">
        <v>13263</v>
      </c>
      <c r="AR2452" s="81" t="s">
        <v>179</v>
      </c>
      <c r="AS2452" s="81">
        <v>0</v>
      </c>
      <c r="AT2452" s="81">
        <v>0</v>
      </c>
      <c r="AU2452" s="81"/>
      <c r="AV2452" s="81"/>
      <c r="AW2452" s="81"/>
      <c r="AX2452" s="81"/>
      <c r="AY2452" s="81"/>
      <c r="AZ2452" s="81"/>
      <c r="BA2452" s="81"/>
      <c r="BB2452" s="81"/>
    </row>
    <row r="2453" spans="1:54" x14ac:dyDescent="0.35">
      <c r="A2453" s="66" t="s">
        <v>12602</v>
      </c>
      <c r="B2453" s="66" t="s">
        <v>12715</v>
      </c>
      <c r="C2453" s="67"/>
      <c r="D2453" s="68"/>
      <c r="E2453" s="69"/>
      <c r="F2453" s="70"/>
      <c r="G2453" s="67"/>
      <c r="H2453" s="71"/>
      <c r="I2453" s="72"/>
      <c r="J2453" s="72"/>
      <c r="K2453" s="36"/>
      <c r="L2453" s="79"/>
      <c r="M2453" s="79"/>
      <c r="N2453" s="74"/>
      <c r="O2453" s="81" t="s">
        <v>695</v>
      </c>
      <c r="P2453" s="83">
        <v>44468.918796296297</v>
      </c>
      <c r="Q2453" s="81" t="s">
        <v>12818</v>
      </c>
      <c r="R2453" s="81"/>
      <c r="S2453" s="81"/>
      <c r="T2453" s="81"/>
      <c r="U2453" s="81"/>
      <c r="V2453" s="84" t="str">
        <f>HYPERLINK("https://pbs.twimg.com/profile_images/1247563353410633729/llELIVLr_normal.jpg")</f>
        <v>https://pbs.twimg.com/profile_images/1247563353410633729/llELIVLr_normal.jpg</v>
      </c>
      <c r="W2453" s="83">
        <v>44468.918796296297</v>
      </c>
      <c r="X2453" s="89">
        <v>44468</v>
      </c>
      <c r="Y2453" s="86" t="s">
        <v>13024</v>
      </c>
      <c r="Z2453" s="84" t="str">
        <f>HYPERLINK("https://twitter.com/marcsure00/status/1443335547007688706")</f>
        <v>https://twitter.com/marcsure00/status/1443335547007688706</v>
      </c>
      <c r="AA2453" s="81"/>
      <c r="AB2453" s="81"/>
      <c r="AC2453" s="86" t="s">
        <v>13264</v>
      </c>
      <c r="AD2453" s="86" t="s">
        <v>13388</v>
      </c>
      <c r="AE2453" s="81" t="b">
        <v>0</v>
      </c>
      <c r="AF2453" s="81">
        <v>0</v>
      </c>
      <c r="AG2453" s="86" t="s">
        <v>13426</v>
      </c>
      <c r="AH2453" s="81" t="b">
        <v>0</v>
      </c>
      <c r="AI2453" s="81" t="s">
        <v>2171</v>
      </c>
      <c r="AJ2453" s="81"/>
      <c r="AK2453" s="86" t="s">
        <v>2084</v>
      </c>
      <c r="AL2453" s="81" t="b">
        <v>0</v>
      </c>
      <c r="AM2453" s="81">
        <v>0</v>
      </c>
      <c r="AN2453" s="86" t="s">
        <v>2084</v>
      </c>
      <c r="AO2453" s="86" t="s">
        <v>2178</v>
      </c>
      <c r="AP2453" s="81" t="b">
        <v>0</v>
      </c>
      <c r="AQ2453" s="86" t="s">
        <v>13388</v>
      </c>
      <c r="AR2453" s="81" t="s">
        <v>179</v>
      </c>
      <c r="AS2453" s="81">
        <v>0</v>
      </c>
      <c r="AT2453" s="81">
        <v>0</v>
      </c>
      <c r="AU2453" s="81"/>
      <c r="AV2453" s="81"/>
      <c r="AW2453" s="81"/>
      <c r="AX2453" s="81"/>
      <c r="AY2453" s="81"/>
      <c r="AZ2453" s="81"/>
      <c r="BA2453" s="81"/>
      <c r="BB2453" s="81"/>
    </row>
    <row r="2454" spans="1:54" x14ac:dyDescent="0.35">
      <c r="A2454" s="66" t="s">
        <v>4952</v>
      </c>
      <c r="B2454" s="66" t="s">
        <v>5210</v>
      </c>
      <c r="C2454" s="67"/>
      <c r="D2454" s="68"/>
      <c r="E2454" s="69"/>
      <c r="F2454" s="70"/>
      <c r="G2454" s="67"/>
      <c r="H2454" s="71"/>
      <c r="I2454" s="72"/>
      <c r="J2454" s="72"/>
      <c r="K2454" s="36"/>
      <c r="L2454" s="79"/>
      <c r="M2454" s="79"/>
      <c r="N2454" s="74"/>
      <c r="O2454" s="81" t="s">
        <v>696</v>
      </c>
      <c r="P2454" s="83">
        <v>44467.714189814818</v>
      </c>
      <c r="Q2454" s="81" t="s">
        <v>5631</v>
      </c>
      <c r="R2454" s="84" t="str">
        <f>HYPERLINK("https://byq6z.app.goo.gl/NzREi")</f>
        <v>https://byq6z.app.goo.gl/NzREi</v>
      </c>
      <c r="S2454" s="81" t="s">
        <v>5759</v>
      </c>
      <c r="T2454" s="81"/>
      <c r="U2454" s="81"/>
      <c r="V2454" s="84" t="str">
        <f>HYPERLINK("https://pbs.twimg.com/profile_images/1115699942788599808/cZWLlTUX_normal.png")</f>
        <v>https://pbs.twimg.com/profile_images/1115699942788599808/cZWLlTUX_normal.png</v>
      </c>
      <c r="W2454" s="83">
        <v>44467.714189814818</v>
      </c>
      <c r="X2454" s="89">
        <v>44467</v>
      </c>
      <c r="Y2454" s="86" t="s">
        <v>6630</v>
      </c>
      <c r="Z2454" s="84" t="str">
        <f>HYPERLINK("https://twitter.com/onubrasil/status/1442899008398135302")</f>
        <v>https://twitter.com/onubrasil/status/1442899008398135302</v>
      </c>
      <c r="AA2454" s="81"/>
      <c r="AB2454" s="81"/>
      <c r="AC2454" s="86" t="s">
        <v>7554</v>
      </c>
      <c r="AD2454" s="81"/>
      <c r="AE2454" s="81" t="b">
        <v>0</v>
      </c>
      <c r="AF2454" s="81">
        <v>26</v>
      </c>
      <c r="AG2454" s="86" t="s">
        <v>2084</v>
      </c>
      <c r="AH2454" s="81" t="b">
        <v>0</v>
      </c>
      <c r="AI2454" s="81" t="s">
        <v>2171</v>
      </c>
      <c r="AJ2454" s="81"/>
      <c r="AK2454" s="86" t="s">
        <v>2084</v>
      </c>
      <c r="AL2454" s="81" t="b">
        <v>0</v>
      </c>
      <c r="AM2454" s="81">
        <v>5</v>
      </c>
      <c r="AN2454" s="86" t="s">
        <v>2084</v>
      </c>
      <c r="AO2454" s="86" t="s">
        <v>7989</v>
      </c>
      <c r="AP2454" s="81" t="b">
        <v>0</v>
      </c>
      <c r="AQ2454" s="86" t="s">
        <v>7554</v>
      </c>
      <c r="AR2454" s="81" t="s">
        <v>179</v>
      </c>
      <c r="AS2454" s="81">
        <v>0</v>
      </c>
      <c r="AT2454" s="81">
        <v>0</v>
      </c>
      <c r="AU2454" s="81"/>
      <c r="AV2454" s="81"/>
      <c r="AW2454" s="81"/>
      <c r="AX2454" s="81"/>
      <c r="AY2454" s="81"/>
      <c r="AZ2454" s="81"/>
      <c r="BA2454" s="81"/>
      <c r="BB2454" s="81"/>
    </row>
    <row r="2455" spans="1:54" x14ac:dyDescent="0.35">
      <c r="A2455" s="66" t="s">
        <v>4952</v>
      </c>
      <c r="B2455" s="66" t="s">
        <v>5210</v>
      </c>
      <c r="C2455" s="67"/>
      <c r="D2455" s="68"/>
      <c r="E2455" s="69"/>
      <c r="F2455" s="70"/>
      <c r="G2455" s="67"/>
      <c r="H2455" s="71"/>
      <c r="I2455" s="72"/>
      <c r="J2455" s="72"/>
      <c r="K2455" s="36"/>
      <c r="L2455" s="79"/>
      <c r="M2455" s="79"/>
      <c r="N2455" s="74"/>
      <c r="O2455" s="81" t="s">
        <v>696</v>
      </c>
      <c r="P2455" s="83">
        <v>44468.791550925926</v>
      </c>
      <c r="Q2455" s="81" t="s">
        <v>12806</v>
      </c>
      <c r="R2455" s="84" t="str">
        <f>HYPERLINK("https://byq6z.app.goo.gl/AZgEv")</f>
        <v>https://byq6z.app.goo.gl/AZgEv</v>
      </c>
      <c r="S2455" s="81" t="s">
        <v>5759</v>
      </c>
      <c r="T2455" s="81"/>
      <c r="U2455" s="81"/>
      <c r="V2455" s="84" t="str">
        <f>HYPERLINK("https://pbs.twimg.com/profile_images/1115699942788599808/cZWLlTUX_normal.png")</f>
        <v>https://pbs.twimg.com/profile_images/1115699942788599808/cZWLlTUX_normal.png</v>
      </c>
      <c r="W2455" s="83">
        <v>44468.791550925926</v>
      </c>
      <c r="X2455" s="89">
        <v>44468</v>
      </c>
      <c r="Y2455" s="86" t="s">
        <v>13025</v>
      </c>
      <c r="Z2455" s="84" t="str">
        <f>HYPERLINK("https://twitter.com/onubrasil/status/1443289431620919296")</f>
        <v>https://twitter.com/onubrasil/status/1443289431620919296</v>
      </c>
      <c r="AA2455" s="81"/>
      <c r="AB2455" s="81"/>
      <c r="AC2455" s="86" t="s">
        <v>13265</v>
      </c>
      <c r="AD2455" s="81"/>
      <c r="AE2455" s="81" t="b">
        <v>0</v>
      </c>
      <c r="AF2455" s="81">
        <v>19</v>
      </c>
      <c r="AG2455" s="86" t="s">
        <v>2084</v>
      </c>
      <c r="AH2455" s="81" t="b">
        <v>0</v>
      </c>
      <c r="AI2455" s="81" t="s">
        <v>2171</v>
      </c>
      <c r="AJ2455" s="81"/>
      <c r="AK2455" s="86" t="s">
        <v>2084</v>
      </c>
      <c r="AL2455" s="81" t="b">
        <v>0</v>
      </c>
      <c r="AM2455" s="81">
        <v>8</v>
      </c>
      <c r="AN2455" s="86" t="s">
        <v>2084</v>
      </c>
      <c r="AO2455" s="86" t="s">
        <v>7989</v>
      </c>
      <c r="AP2455" s="81" t="b">
        <v>0</v>
      </c>
      <c r="AQ2455" s="86" t="s">
        <v>13265</v>
      </c>
      <c r="AR2455" s="81" t="s">
        <v>179</v>
      </c>
      <c r="AS2455" s="81">
        <v>0</v>
      </c>
      <c r="AT2455" s="81">
        <v>0</v>
      </c>
      <c r="AU2455" s="81"/>
      <c r="AV2455" s="81"/>
      <c r="AW2455" s="81"/>
      <c r="AX2455" s="81"/>
      <c r="AY2455" s="81"/>
      <c r="AZ2455" s="81"/>
      <c r="BA2455" s="81"/>
      <c r="BB2455" s="81"/>
    </row>
    <row r="2456" spans="1:54" x14ac:dyDescent="0.35">
      <c r="A2456" s="66" t="s">
        <v>4953</v>
      </c>
      <c r="B2456" s="66" t="s">
        <v>5210</v>
      </c>
      <c r="C2456" s="67"/>
      <c r="D2456" s="68"/>
      <c r="E2456" s="69"/>
      <c r="F2456" s="70"/>
      <c r="G2456" s="67"/>
      <c r="H2456" s="71"/>
      <c r="I2456" s="72"/>
      <c r="J2456" s="72"/>
      <c r="K2456" s="36"/>
      <c r="L2456" s="79"/>
      <c r="M2456" s="79"/>
      <c r="N2456" s="74"/>
      <c r="O2456" s="81" t="s">
        <v>694</v>
      </c>
      <c r="P2456" s="83">
        <v>44467.721053240741</v>
      </c>
      <c r="Q2456" s="81" t="s">
        <v>5631</v>
      </c>
      <c r="R2456" s="84" t="str">
        <f>HYPERLINK("https://byq6z.app.goo.gl/NzREi")</f>
        <v>https://byq6z.app.goo.gl/NzREi</v>
      </c>
      <c r="S2456" s="81" t="s">
        <v>5759</v>
      </c>
      <c r="T2456" s="81"/>
      <c r="U2456" s="81"/>
      <c r="V2456" s="84" t="str">
        <f>HYPERLINK("https://pbs.twimg.com/profile_images/1069613367470497793/UEGre87N_normal.jpg")</f>
        <v>https://pbs.twimg.com/profile_images/1069613367470497793/UEGre87N_normal.jpg</v>
      </c>
      <c r="W2456" s="83">
        <v>44467.721053240741</v>
      </c>
      <c r="X2456" s="89">
        <v>44467</v>
      </c>
      <c r="Y2456" s="86" t="s">
        <v>6631</v>
      </c>
      <c r="Z2456" s="84" t="str">
        <f>HYPERLINK("https://twitter.com/unicefbrasil/status/1442901499412054016")</f>
        <v>https://twitter.com/unicefbrasil/status/1442901499412054016</v>
      </c>
      <c r="AA2456" s="81"/>
      <c r="AB2456" s="81"/>
      <c r="AC2456" s="86" t="s">
        <v>7555</v>
      </c>
      <c r="AD2456" s="81"/>
      <c r="AE2456" s="81" t="b">
        <v>0</v>
      </c>
      <c r="AF2456" s="81">
        <v>0</v>
      </c>
      <c r="AG2456" s="86" t="s">
        <v>2084</v>
      </c>
      <c r="AH2456" s="81" t="b">
        <v>0</v>
      </c>
      <c r="AI2456" s="81" t="s">
        <v>2171</v>
      </c>
      <c r="AJ2456" s="81"/>
      <c r="AK2456" s="86" t="s">
        <v>2084</v>
      </c>
      <c r="AL2456" s="81" t="b">
        <v>0</v>
      </c>
      <c r="AM2456" s="81">
        <v>5</v>
      </c>
      <c r="AN2456" s="86" t="s">
        <v>7554</v>
      </c>
      <c r="AO2456" s="86" t="s">
        <v>2181</v>
      </c>
      <c r="AP2456" s="81" t="b">
        <v>0</v>
      </c>
      <c r="AQ2456" s="86" t="s">
        <v>7554</v>
      </c>
      <c r="AR2456" s="81" t="s">
        <v>179</v>
      </c>
      <c r="AS2456" s="81">
        <v>0</v>
      </c>
      <c r="AT2456" s="81">
        <v>0</v>
      </c>
      <c r="AU2456" s="81"/>
      <c r="AV2456" s="81"/>
      <c r="AW2456" s="81"/>
      <c r="AX2456" s="81"/>
      <c r="AY2456" s="81"/>
      <c r="AZ2456" s="81"/>
      <c r="BA2456" s="81"/>
      <c r="BB2456" s="81"/>
    </row>
    <row r="2457" spans="1:54" x14ac:dyDescent="0.35">
      <c r="A2457" s="66" t="s">
        <v>4953</v>
      </c>
      <c r="B2457" s="66" t="s">
        <v>5210</v>
      </c>
      <c r="C2457" s="67"/>
      <c r="D2457" s="68"/>
      <c r="E2457" s="69"/>
      <c r="F2457" s="70"/>
      <c r="G2457" s="67"/>
      <c r="H2457" s="71"/>
      <c r="I2457" s="72"/>
      <c r="J2457" s="72"/>
      <c r="K2457" s="36"/>
      <c r="L2457" s="79"/>
      <c r="M2457" s="79"/>
      <c r="N2457" s="74"/>
      <c r="O2457" s="81" t="s">
        <v>694</v>
      </c>
      <c r="P2457" s="83">
        <v>44468.88925925926</v>
      </c>
      <c r="Q2457" s="81" t="s">
        <v>12806</v>
      </c>
      <c r="R2457" s="84" t="str">
        <f>HYPERLINK("https://byq6z.app.goo.gl/AZgEv")</f>
        <v>https://byq6z.app.goo.gl/AZgEv</v>
      </c>
      <c r="S2457" s="81" t="s">
        <v>5759</v>
      </c>
      <c r="T2457" s="81"/>
      <c r="U2457" s="81"/>
      <c r="V2457" s="84" t="str">
        <f>HYPERLINK("https://pbs.twimg.com/profile_images/1069613367470497793/UEGre87N_normal.jpg")</f>
        <v>https://pbs.twimg.com/profile_images/1069613367470497793/UEGre87N_normal.jpg</v>
      </c>
      <c r="W2457" s="83">
        <v>44468.88925925926</v>
      </c>
      <c r="X2457" s="89">
        <v>44468</v>
      </c>
      <c r="Y2457" s="86" t="s">
        <v>13026</v>
      </c>
      <c r="Z2457" s="84" t="str">
        <f>HYPERLINK("https://twitter.com/unicefbrasil/status/1443324840958627842")</f>
        <v>https://twitter.com/unicefbrasil/status/1443324840958627842</v>
      </c>
      <c r="AA2457" s="81"/>
      <c r="AB2457" s="81"/>
      <c r="AC2457" s="86" t="s">
        <v>13266</v>
      </c>
      <c r="AD2457" s="81"/>
      <c r="AE2457" s="81" t="b">
        <v>0</v>
      </c>
      <c r="AF2457" s="81">
        <v>0</v>
      </c>
      <c r="AG2457" s="86" t="s">
        <v>2084</v>
      </c>
      <c r="AH2457" s="81" t="b">
        <v>0</v>
      </c>
      <c r="AI2457" s="81" t="s">
        <v>2171</v>
      </c>
      <c r="AJ2457" s="81"/>
      <c r="AK2457" s="86" t="s">
        <v>2084</v>
      </c>
      <c r="AL2457" s="81" t="b">
        <v>0</v>
      </c>
      <c r="AM2457" s="81">
        <v>8</v>
      </c>
      <c r="AN2457" s="86" t="s">
        <v>13265</v>
      </c>
      <c r="AO2457" s="86" t="s">
        <v>2181</v>
      </c>
      <c r="AP2457" s="81" t="b">
        <v>0</v>
      </c>
      <c r="AQ2457" s="86" t="s">
        <v>13265</v>
      </c>
      <c r="AR2457" s="81" t="s">
        <v>179</v>
      </c>
      <c r="AS2457" s="81">
        <v>0</v>
      </c>
      <c r="AT2457" s="81">
        <v>0</v>
      </c>
      <c r="AU2457" s="81"/>
      <c r="AV2457" s="81"/>
      <c r="AW2457" s="81"/>
      <c r="AX2457" s="81"/>
      <c r="AY2457" s="81"/>
      <c r="AZ2457" s="81"/>
      <c r="BA2457" s="81"/>
      <c r="BB2457" s="81"/>
    </row>
    <row r="2458" spans="1:54" x14ac:dyDescent="0.35">
      <c r="A2458" s="66" t="s">
        <v>12603</v>
      </c>
      <c r="B2458" s="66" t="s">
        <v>5210</v>
      </c>
      <c r="C2458" s="67"/>
      <c r="D2458" s="68"/>
      <c r="E2458" s="69"/>
      <c r="F2458" s="70"/>
      <c r="G2458" s="67"/>
      <c r="H2458" s="71"/>
      <c r="I2458" s="72"/>
      <c r="J2458" s="72"/>
      <c r="K2458" s="36"/>
      <c r="L2458" s="79"/>
      <c r="M2458" s="79"/>
      <c r="N2458" s="74"/>
      <c r="O2458" s="81" t="s">
        <v>694</v>
      </c>
      <c r="P2458" s="83">
        <v>44468.924143518518</v>
      </c>
      <c r="Q2458" s="81" t="s">
        <v>12806</v>
      </c>
      <c r="R2458" s="84" t="str">
        <f>HYPERLINK("https://byq6z.app.goo.gl/AZgEv")</f>
        <v>https://byq6z.app.goo.gl/AZgEv</v>
      </c>
      <c r="S2458" s="81" t="s">
        <v>5759</v>
      </c>
      <c r="T2458" s="81"/>
      <c r="U2458" s="81"/>
      <c r="V2458" s="84" t="str">
        <f>HYPERLINK("https://pbs.twimg.com/profile_images/1230301451/Angela_normal.JPG")</f>
        <v>https://pbs.twimg.com/profile_images/1230301451/Angela_normal.JPG</v>
      </c>
      <c r="W2458" s="83">
        <v>44468.924143518518</v>
      </c>
      <c r="X2458" s="89">
        <v>44468</v>
      </c>
      <c r="Y2458" s="86" t="s">
        <v>13027</v>
      </c>
      <c r="Z2458" s="84" t="str">
        <f>HYPERLINK("https://twitter.com/angelarosane/status/1443337484180631554")</f>
        <v>https://twitter.com/angelarosane/status/1443337484180631554</v>
      </c>
      <c r="AA2458" s="81"/>
      <c r="AB2458" s="81"/>
      <c r="AC2458" s="86" t="s">
        <v>13267</v>
      </c>
      <c r="AD2458" s="81"/>
      <c r="AE2458" s="81" t="b">
        <v>0</v>
      </c>
      <c r="AF2458" s="81">
        <v>0</v>
      </c>
      <c r="AG2458" s="86" t="s">
        <v>2084</v>
      </c>
      <c r="AH2458" s="81" t="b">
        <v>0</v>
      </c>
      <c r="AI2458" s="81" t="s">
        <v>2171</v>
      </c>
      <c r="AJ2458" s="81"/>
      <c r="AK2458" s="86" t="s">
        <v>2084</v>
      </c>
      <c r="AL2458" s="81" t="b">
        <v>0</v>
      </c>
      <c r="AM2458" s="81">
        <v>8</v>
      </c>
      <c r="AN2458" s="86" t="s">
        <v>13265</v>
      </c>
      <c r="AO2458" s="86" t="s">
        <v>2178</v>
      </c>
      <c r="AP2458" s="81" t="b">
        <v>0</v>
      </c>
      <c r="AQ2458" s="86" t="s">
        <v>13265</v>
      </c>
      <c r="AR2458" s="81" t="s">
        <v>179</v>
      </c>
      <c r="AS2458" s="81">
        <v>0</v>
      </c>
      <c r="AT2458" s="81">
        <v>0</v>
      </c>
      <c r="AU2458" s="81"/>
      <c r="AV2458" s="81"/>
      <c r="AW2458" s="81"/>
      <c r="AX2458" s="81"/>
      <c r="AY2458" s="81"/>
      <c r="AZ2458" s="81"/>
      <c r="BA2458" s="81"/>
      <c r="BB2458" s="81"/>
    </row>
    <row r="2459" spans="1:54" x14ac:dyDescent="0.35">
      <c r="A2459" s="66" t="s">
        <v>4952</v>
      </c>
      <c r="B2459" s="66" t="s">
        <v>4953</v>
      </c>
      <c r="C2459" s="67"/>
      <c r="D2459" s="68"/>
      <c r="E2459" s="69"/>
      <c r="F2459" s="70"/>
      <c r="G2459" s="67"/>
      <c r="H2459" s="71"/>
      <c r="I2459" s="72"/>
      <c r="J2459" s="72"/>
      <c r="K2459" s="36"/>
      <c r="L2459" s="79"/>
      <c r="M2459" s="79"/>
      <c r="N2459" s="74"/>
      <c r="O2459" s="81" t="s">
        <v>696</v>
      </c>
      <c r="P2459" s="83">
        <v>44467.714189814818</v>
      </c>
      <c r="Q2459" s="81" t="s">
        <v>5631</v>
      </c>
      <c r="R2459" s="84" t="str">
        <f>HYPERLINK("https://byq6z.app.goo.gl/NzREi")</f>
        <v>https://byq6z.app.goo.gl/NzREi</v>
      </c>
      <c r="S2459" s="81" t="s">
        <v>5759</v>
      </c>
      <c r="T2459" s="81"/>
      <c r="U2459" s="81"/>
      <c r="V2459" s="84" t="str">
        <f>HYPERLINK("https://pbs.twimg.com/profile_images/1115699942788599808/cZWLlTUX_normal.png")</f>
        <v>https://pbs.twimg.com/profile_images/1115699942788599808/cZWLlTUX_normal.png</v>
      </c>
      <c r="W2459" s="83">
        <v>44467.714189814818</v>
      </c>
      <c r="X2459" s="89">
        <v>44467</v>
      </c>
      <c r="Y2459" s="86" t="s">
        <v>6630</v>
      </c>
      <c r="Z2459" s="84" t="str">
        <f>HYPERLINK("https://twitter.com/onubrasil/status/1442899008398135302")</f>
        <v>https://twitter.com/onubrasil/status/1442899008398135302</v>
      </c>
      <c r="AA2459" s="81"/>
      <c r="AB2459" s="81"/>
      <c r="AC2459" s="86" t="s">
        <v>7554</v>
      </c>
      <c r="AD2459" s="81"/>
      <c r="AE2459" s="81" t="b">
        <v>0</v>
      </c>
      <c r="AF2459" s="81">
        <v>26</v>
      </c>
      <c r="AG2459" s="86" t="s">
        <v>2084</v>
      </c>
      <c r="AH2459" s="81" t="b">
        <v>0</v>
      </c>
      <c r="AI2459" s="81" t="s">
        <v>2171</v>
      </c>
      <c r="AJ2459" s="81"/>
      <c r="AK2459" s="86" t="s">
        <v>2084</v>
      </c>
      <c r="AL2459" s="81" t="b">
        <v>0</v>
      </c>
      <c r="AM2459" s="81">
        <v>5</v>
      </c>
      <c r="AN2459" s="86" t="s">
        <v>2084</v>
      </c>
      <c r="AO2459" s="86" t="s">
        <v>7989</v>
      </c>
      <c r="AP2459" s="81" t="b">
        <v>0</v>
      </c>
      <c r="AQ2459" s="86" t="s">
        <v>7554</v>
      </c>
      <c r="AR2459" s="81" t="s">
        <v>179</v>
      </c>
      <c r="AS2459" s="81">
        <v>0</v>
      </c>
      <c r="AT2459" s="81">
        <v>0</v>
      </c>
      <c r="AU2459" s="81"/>
      <c r="AV2459" s="81"/>
      <c r="AW2459" s="81"/>
      <c r="AX2459" s="81"/>
      <c r="AY2459" s="81"/>
      <c r="AZ2459" s="81"/>
      <c r="BA2459" s="81"/>
      <c r="BB2459" s="81"/>
    </row>
    <row r="2460" spans="1:54" x14ac:dyDescent="0.35">
      <c r="A2460" s="66" t="s">
        <v>4952</v>
      </c>
      <c r="B2460" s="66" t="s">
        <v>4953</v>
      </c>
      <c r="C2460" s="67"/>
      <c r="D2460" s="68"/>
      <c r="E2460" s="69"/>
      <c r="F2460" s="70"/>
      <c r="G2460" s="67"/>
      <c r="H2460" s="71"/>
      <c r="I2460" s="72"/>
      <c r="J2460" s="72"/>
      <c r="K2460" s="36"/>
      <c r="L2460" s="79"/>
      <c r="M2460" s="79"/>
      <c r="N2460" s="74"/>
      <c r="O2460" s="81" t="s">
        <v>696</v>
      </c>
      <c r="P2460" s="83">
        <v>44468.791550925926</v>
      </c>
      <c r="Q2460" s="81" t="s">
        <v>12806</v>
      </c>
      <c r="R2460" s="84" t="str">
        <f>HYPERLINK("https://byq6z.app.goo.gl/AZgEv")</f>
        <v>https://byq6z.app.goo.gl/AZgEv</v>
      </c>
      <c r="S2460" s="81" t="s">
        <v>5759</v>
      </c>
      <c r="T2460" s="81"/>
      <c r="U2460" s="81"/>
      <c r="V2460" s="84" t="str">
        <f>HYPERLINK("https://pbs.twimg.com/profile_images/1115699942788599808/cZWLlTUX_normal.png")</f>
        <v>https://pbs.twimg.com/profile_images/1115699942788599808/cZWLlTUX_normal.png</v>
      </c>
      <c r="W2460" s="83">
        <v>44468.791550925926</v>
      </c>
      <c r="X2460" s="89">
        <v>44468</v>
      </c>
      <c r="Y2460" s="86" t="s">
        <v>13025</v>
      </c>
      <c r="Z2460" s="84" t="str">
        <f>HYPERLINK("https://twitter.com/onubrasil/status/1443289431620919296")</f>
        <v>https://twitter.com/onubrasil/status/1443289431620919296</v>
      </c>
      <c r="AA2460" s="81"/>
      <c r="AB2460" s="81"/>
      <c r="AC2460" s="86" t="s">
        <v>13265</v>
      </c>
      <c r="AD2460" s="81"/>
      <c r="AE2460" s="81" t="b">
        <v>0</v>
      </c>
      <c r="AF2460" s="81">
        <v>19</v>
      </c>
      <c r="AG2460" s="86" t="s">
        <v>2084</v>
      </c>
      <c r="AH2460" s="81" t="b">
        <v>0</v>
      </c>
      <c r="AI2460" s="81" t="s">
        <v>2171</v>
      </c>
      <c r="AJ2460" s="81"/>
      <c r="AK2460" s="86" t="s">
        <v>2084</v>
      </c>
      <c r="AL2460" s="81" t="b">
        <v>0</v>
      </c>
      <c r="AM2460" s="81">
        <v>8</v>
      </c>
      <c r="AN2460" s="86" t="s">
        <v>2084</v>
      </c>
      <c r="AO2460" s="86" t="s">
        <v>7989</v>
      </c>
      <c r="AP2460" s="81" t="b">
        <v>0</v>
      </c>
      <c r="AQ2460" s="86" t="s">
        <v>13265</v>
      </c>
      <c r="AR2460" s="81" t="s">
        <v>179</v>
      </c>
      <c r="AS2460" s="81">
        <v>0</v>
      </c>
      <c r="AT2460" s="81">
        <v>0</v>
      </c>
      <c r="AU2460" s="81"/>
      <c r="AV2460" s="81"/>
      <c r="AW2460" s="81"/>
      <c r="AX2460" s="81"/>
      <c r="AY2460" s="81"/>
      <c r="AZ2460" s="81"/>
      <c r="BA2460" s="81"/>
      <c r="BB2460" s="81"/>
    </row>
    <row r="2461" spans="1:54" x14ac:dyDescent="0.35">
      <c r="A2461" s="66" t="s">
        <v>4953</v>
      </c>
      <c r="B2461" s="66" t="s">
        <v>5211</v>
      </c>
      <c r="C2461" s="67"/>
      <c r="D2461" s="68"/>
      <c r="E2461" s="69"/>
      <c r="F2461" s="70"/>
      <c r="G2461" s="67"/>
      <c r="H2461" s="71"/>
      <c r="I2461" s="72"/>
      <c r="J2461" s="72"/>
      <c r="K2461" s="36"/>
      <c r="L2461" s="79"/>
      <c r="M2461" s="79"/>
      <c r="N2461" s="74"/>
      <c r="O2461" s="81" t="s">
        <v>694</v>
      </c>
      <c r="P2461" s="83">
        <v>44467.721053240741</v>
      </c>
      <c r="Q2461" s="81" t="s">
        <v>5631</v>
      </c>
      <c r="R2461" s="84" t="str">
        <f>HYPERLINK("https://byq6z.app.goo.gl/NzREi")</f>
        <v>https://byq6z.app.goo.gl/NzREi</v>
      </c>
      <c r="S2461" s="81" t="s">
        <v>5759</v>
      </c>
      <c r="T2461" s="81"/>
      <c r="U2461" s="81"/>
      <c r="V2461" s="84" t="str">
        <f>HYPERLINK("https://pbs.twimg.com/profile_images/1069613367470497793/UEGre87N_normal.jpg")</f>
        <v>https://pbs.twimg.com/profile_images/1069613367470497793/UEGre87N_normal.jpg</v>
      </c>
      <c r="W2461" s="83">
        <v>44467.721053240741</v>
      </c>
      <c r="X2461" s="89">
        <v>44467</v>
      </c>
      <c r="Y2461" s="86" t="s">
        <v>6631</v>
      </c>
      <c r="Z2461" s="84" t="str">
        <f>HYPERLINK("https://twitter.com/unicefbrasil/status/1442901499412054016")</f>
        <v>https://twitter.com/unicefbrasil/status/1442901499412054016</v>
      </c>
      <c r="AA2461" s="81"/>
      <c r="AB2461" s="81"/>
      <c r="AC2461" s="86" t="s">
        <v>7555</v>
      </c>
      <c r="AD2461" s="81"/>
      <c r="AE2461" s="81" t="b">
        <v>0</v>
      </c>
      <c r="AF2461" s="81">
        <v>0</v>
      </c>
      <c r="AG2461" s="86" t="s">
        <v>2084</v>
      </c>
      <c r="AH2461" s="81" t="b">
        <v>0</v>
      </c>
      <c r="AI2461" s="81" t="s">
        <v>2171</v>
      </c>
      <c r="AJ2461" s="81"/>
      <c r="AK2461" s="86" t="s">
        <v>2084</v>
      </c>
      <c r="AL2461" s="81" t="b">
        <v>0</v>
      </c>
      <c r="AM2461" s="81">
        <v>5</v>
      </c>
      <c r="AN2461" s="86" t="s">
        <v>7554</v>
      </c>
      <c r="AO2461" s="86" t="s">
        <v>2181</v>
      </c>
      <c r="AP2461" s="81" t="b">
        <v>0</v>
      </c>
      <c r="AQ2461" s="86" t="s">
        <v>7554</v>
      </c>
      <c r="AR2461" s="81" t="s">
        <v>179</v>
      </c>
      <c r="AS2461" s="81">
        <v>0</v>
      </c>
      <c r="AT2461" s="81">
        <v>0</v>
      </c>
      <c r="AU2461" s="81"/>
      <c r="AV2461" s="81"/>
      <c r="AW2461" s="81"/>
      <c r="AX2461" s="81"/>
      <c r="AY2461" s="81"/>
      <c r="AZ2461" s="81"/>
      <c r="BA2461" s="81"/>
      <c r="BB2461" s="81"/>
    </row>
    <row r="2462" spans="1:54" x14ac:dyDescent="0.35">
      <c r="A2462" s="66" t="s">
        <v>4953</v>
      </c>
      <c r="B2462" s="66" t="s">
        <v>5212</v>
      </c>
      <c r="C2462" s="67"/>
      <c r="D2462" s="68"/>
      <c r="E2462" s="69"/>
      <c r="F2462" s="70"/>
      <c r="G2462" s="67"/>
      <c r="H2462" s="71"/>
      <c r="I2462" s="72"/>
      <c r="J2462" s="72"/>
      <c r="K2462" s="36"/>
      <c r="L2462" s="79"/>
      <c r="M2462" s="79"/>
      <c r="N2462" s="74"/>
      <c r="O2462" s="81" t="s">
        <v>694</v>
      </c>
      <c r="P2462" s="83">
        <v>44467.721053240741</v>
      </c>
      <c r="Q2462" s="81" t="s">
        <v>5631</v>
      </c>
      <c r="R2462" s="84" t="str">
        <f>HYPERLINK("https://byq6z.app.goo.gl/NzREi")</f>
        <v>https://byq6z.app.goo.gl/NzREi</v>
      </c>
      <c r="S2462" s="81" t="s">
        <v>5759</v>
      </c>
      <c r="T2462" s="81"/>
      <c r="U2462" s="81"/>
      <c r="V2462" s="84" t="str">
        <f>HYPERLINK("https://pbs.twimg.com/profile_images/1069613367470497793/UEGre87N_normal.jpg")</f>
        <v>https://pbs.twimg.com/profile_images/1069613367470497793/UEGre87N_normal.jpg</v>
      </c>
      <c r="W2462" s="83">
        <v>44467.721053240741</v>
      </c>
      <c r="X2462" s="89">
        <v>44467</v>
      </c>
      <c r="Y2462" s="86" t="s">
        <v>6631</v>
      </c>
      <c r="Z2462" s="84" t="str">
        <f>HYPERLINK("https://twitter.com/unicefbrasil/status/1442901499412054016")</f>
        <v>https://twitter.com/unicefbrasil/status/1442901499412054016</v>
      </c>
      <c r="AA2462" s="81"/>
      <c r="AB2462" s="81"/>
      <c r="AC2462" s="86" t="s">
        <v>7555</v>
      </c>
      <c r="AD2462" s="81"/>
      <c r="AE2462" s="81" t="b">
        <v>0</v>
      </c>
      <c r="AF2462" s="81">
        <v>0</v>
      </c>
      <c r="AG2462" s="86" t="s">
        <v>2084</v>
      </c>
      <c r="AH2462" s="81" t="b">
        <v>0</v>
      </c>
      <c r="AI2462" s="81" t="s">
        <v>2171</v>
      </c>
      <c r="AJ2462" s="81"/>
      <c r="AK2462" s="86" t="s">
        <v>2084</v>
      </c>
      <c r="AL2462" s="81" t="b">
        <v>0</v>
      </c>
      <c r="AM2462" s="81">
        <v>5</v>
      </c>
      <c r="AN2462" s="86" t="s">
        <v>7554</v>
      </c>
      <c r="AO2462" s="86" t="s">
        <v>2181</v>
      </c>
      <c r="AP2462" s="81" t="b">
        <v>0</v>
      </c>
      <c r="AQ2462" s="86" t="s">
        <v>7554</v>
      </c>
      <c r="AR2462" s="81" t="s">
        <v>179</v>
      </c>
      <c r="AS2462" s="81">
        <v>0</v>
      </c>
      <c r="AT2462" s="81">
        <v>0</v>
      </c>
      <c r="AU2462" s="81"/>
      <c r="AV2462" s="81"/>
      <c r="AW2462" s="81"/>
      <c r="AX2462" s="81"/>
      <c r="AY2462" s="81"/>
      <c r="AZ2462" s="81"/>
      <c r="BA2462" s="81"/>
      <c r="BB2462" s="81"/>
    </row>
    <row r="2463" spans="1:54" x14ac:dyDescent="0.35">
      <c r="A2463" s="66" t="s">
        <v>4953</v>
      </c>
      <c r="B2463" s="66" t="s">
        <v>4952</v>
      </c>
      <c r="C2463" s="67"/>
      <c r="D2463" s="68"/>
      <c r="E2463" s="69"/>
      <c r="F2463" s="70"/>
      <c r="G2463" s="67"/>
      <c r="H2463" s="71"/>
      <c r="I2463" s="72"/>
      <c r="J2463" s="72"/>
      <c r="K2463" s="36"/>
      <c r="L2463" s="79"/>
      <c r="M2463" s="79"/>
      <c r="N2463" s="74"/>
      <c r="O2463" s="81" t="s">
        <v>693</v>
      </c>
      <c r="P2463" s="83">
        <v>44467.721053240741</v>
      </c>
      <c r="Q2463" s="81" t="s">
        <v>5631</v>
      </c>
      <c r="R2463" s="84" t="str">
        <f>HYPERLINK("https://byq6z.app.goo.gl/NzREi")</f>
        <v>https://byq6z.app.goo.gl/NzREi</v>
      </c>
      <c r="S2463" s="81" t="s">
        <v>5759</v>
      </c>
      <c r="T2463" s="81"/>
      <c r="U2463" s="81"/>
      <c r="V2463" s="84" t="str">
        <f>HYPERLINK("https://pbs.twimg.com/profile_images/1069613367470497793/UEGre87N_normal.jpg")</f>
        <v>https://pbs.twimg.com/profile_images/1069613367470497793/UEGre87N_normal.jpg</v>
      </c>
      <c r="W2463" s="83">
        <v>44467.721053240741</v>
      </c>
      <c r="X2463" s="89">
        <v>44467</v>
      </c>
      <c r="Y2463" s="86" t="s">
        <v>6631</v>
      </c>
      <c r="Z2463" s="84" t="str">
        <f>HYPERLINK("https://twitter.com/unicefbrasil/status/1442901499412054016")</f>
        <v>https://twitter.com/unicefbrasil/status/1442901499412054016</v>
      </c>
      <c r="AA2463" s="81"/>
      <c r="AB2463" s="81"/>
      <c r="AC2463" s="86" t="s">
        <v>7555</v>
      </c>
      <c r="AD2463" s="81"/>
      <c r="AE2463" s="81" t="b">
        <v>0</v>
      </c>
      <c r="AF2463" s="81">
        <v>0</v>
      </c>
      <c r="AG2463" s="86" t="s">
        <v>2084</v>
      </c>
      <c r="AH2463" s="81" t="b">
        <v>0</v>
      </c>
      <c r="AI2463" s="81" t="s">
        <v>2171</v>
      </c>
      <c r="AJ2463" s="81"/>
      <c r="AK2463" s="86" t="s">
        <v>2084</v>
      </c>
      <c r="AL2463" s="81" t="b">
        <v>0</v>
      </c>
      <c r="AM2463" s="81">
        <v>5</v>
      </c>
      <c r="AN2463" s="86" t="s">
        <v>7554</v>
      </c>
      <c r="AO2463" s="86" t="s">
        <v>2181</v>
      </c>
      <c r="AP2463" s="81" t="b">
        <v>0</v>
      </c>
      <c r="AQ2463" s="86" t="s">
        <v>7554</v>
      </c>
      <c r="AR2463" s="81" t="s">
        <v>179</v>
      </c>
      <c r="AS2463" s="81">
        <v>0</v>
      </c>
      <c r="AT2463" s="81">
        <v>0</v>
      </c>
      <c r="AU2463" s="81"/>
      <c r="AV2463" s="81"/>
      <c r="AW2463" s="81"/>
      <c r="AX2463" s="81"/>
      <c r="AY2463" s="81"/>
      <c r="AZ2463" s="81"/>
      <c r="BA2463" s="81"/>
      <c r="BB2463" s="81"/>
    </row>
    <row r="2464" spans="1:54" x14ac:dyDescent="0.35">
      <c r="A2464" s="66" t="s">
        <v>4953</v>
      </c>
      <c r="B2464" s="66" t="s">
        <v>5211</v>
      </c>
      <c r="C2464" s="67"/>
      <c r="D2464" s="68"/>
      <c r="E2464" s="69"/>
      <c r="F2464" s="70"/>
      <c r="G2464" s="67"/>
      <c r="H2464" s="71"/>
      <c r="I2464" s="72"/>
      <c r="J2464" s="72"/>
      <c r="K2464" s="36"/>
      <c r="L2464" s="79"/>
      <c r="M2464" s="79"/>
      <c r="N2464" s="74"/>
      <c r="O2464" s="81" t="s">
        <v>694</v>
      </c>
      <c r="P2464" s="83">
        <v>44468.88925925926</v>
      </c>
      <c r="Q2464" s="81" t="s">
        <v>12806</v>
      </c>
      <c r="R2464" s="84" t="str">
        <f>HYPERLINK("https://byq6z.app.goo.gl/AZgEv")</f>
        <v>https://byq6z.app.goo.gl/AZgEv</v>
      </c>
      <c r="S2464" s="81" t="s">
        <v>5759</v>
      </c>
      <c r="T2464" s="81"/>
      <c r="U2464" s="81"/>
      <c r="V2464" s="84" t="str">
        <f>HYPERLINK("https://pbs.twimg.com/profile_images/1069613367470497793/UEGre87N_normal.jpg")</f>
        <v>https://pbs.twimg.com/profile_images/1069613367470497793/UEGre87N_normal.jpg</v>
      </c>
      <c r="W2464" s="83">
        <v>44468.88925925926</v>
      </c>
      <c r="X2464" s="89">
        <v>44468</v>
      </c>
      <c r="Y2464" s="86" t="s">
        <v>13026</v>
      </c>
      <c r="Z2464" s="84" t="str">
        <f>HYPERLINK("https://twitter.com/unicefbrasil/status/1443324840958627842")</f>
        <v>https://twitter.com/unicefbrasil/status/1443324840958627842</v>
      </c>
      <c r="AA2464" s="81"/>
      <c r="AB2464" s="81"/>
      <c r="AC2464" s="86" t="s">
        <v>13266</v>
      </c>
      <c r="AD2464" s="81"/>
      <c r="AE2464" s="81" t="b">
        <v>0</v>
      </c>
      <c r="AF2464" s="81">
        <v>0</v>
      </c>
      <c r="AG2464" s="86" t="s">
        <v>2084</v>
      </c>
      <c r="AH2464" s="81" t="b">
        <v>0</v>
      </c>
      <c r="AI2464" s="81" t="s">
        <v>2171</v>
      </c>
      <c r="AJ2464" s="81"/>
      <c r="AK2464" s="86" t="s">
        <v>2084</v>
      </c>
      <c r="AL2464" s="81" t="b">
        <v>0</v>
      </c>
      <c r="AM2464" s="81">
        <v>8</v>
      </c>
      <c r="AN2464" s="86" t="s">
        <v>13265</v>
      </c>
      <c r="AO2464" s="86" t="s">
        <v>2181</v>
      </c>
      <c r="AP2464" s="81" t="b">
        <v>0</v>
      </c>
      <c r="AQ2464" s="86" t="s">
        <v>13265</v>
      </c>
      <c r="AR2464" s="81" t="s">
        <v>179</v>
      </c>
      <c r="AS2464" s="81">
        <v>0</v>
      </c>
      <c r="AT2464" s="81">
        <v>0</v>
      </c>
      <c r="AU2464" s="81"/>
      <c r="AV2464" s="81"/>
      <c r="AW2464" s="81"/>
      <c r="AX2464" s="81"/>
      <c r="AY2464" s="81"/>
      <c r="AZ2464" s="81"/>
      <c r="BA2464" s="81"/>
      <c r="BB2464" s="81"/>
    </row>
    <row r="2465" spans="1:54" x14ac:dyDescent="0.35">
      <c r="A2465" s="66" t="s">
        <v>4953</v>
      </c>
      <c r="B2465" s="66" t="s">
        <v>5212</v>
      </c>
      <c r="C2465" s="67"/>
      <c r="D2465" s="68"/>
      <c r="E2465" s="69"/>
      <c r="F2465" s="70"/>
      <c r="G2465" s="67"/>
      <c r="H2465" s="71"/>
      <c r="I2465" s="72"/>
      <c r="J2465" s="72"/>
      <c r="K2465" s="36"/>
      <c r="L2465" s="79"/>
      <c r="M2465" s="79"/>
      <c r="N2465" s="74"/>
      <c r="O2465" s="81" t="s">
        <v>694</v>
      </c>
      <c r="P2465" s="83">
        <v>44468.88925925926</v>
      </c>
      <c r="Q2465" s="81" t="s">
        <v>12806</v>
      </c>
      <c r="R2465" s="84" t="str">
        <f>HYPERLINK("https://byq6z.app.goo.gl/AZgEv")</f>
        <v>https://byq6z.app.goo.gl/AZgEv</v>
      </c>
      <c r="S2465" s="81" t="s">
        <v>5759</v>
      </c>
      <c r="T2465" s="81"/>
      <c r="U2465" s="81"/>
      <c r="V2465" s="84" t="str">
        <f>HYPERLINK("https://pbs.twimg.com/profile_images/1069613367470497793/UEGre87N_normal.jpg")</f>
        <v>https://pbs.twimg.com/profile_images/1069613367470497793/UEGre87N_normal.jpg</v>
      </c>
      <c r="W2465" s="83">
        <v>44468.88925925926</v>
      </c>
      <c r="X2465" s="89">
        <v>44468</v>
      </c>
      <c r="Y2465" s="86" t="s">
        <v>13026</v>
      </c>
      <c r="Z2465" s="84" t="str">
        <f>HYPERLINK("https://twitter.com/unicefbrasil/status/1443324840958627842")</f>
        <v>https://twitter.com/unicefbrasil/status/1443324840958627842</v>
      </c>
      <c r="AA2465" s="81"/>
      <c r="AB2465" s="81"/>
      <c r="AC2465" s="86" t="s">
        <v>13266</v>
      </c>
      <c r="AD2465" s="81"/>
      <c r="AE2465" s="81" t="b">
        <v>0</v>
      </c>
      <c r="AF2465" s="81">
        <v>0</v>
      </c>
      <c r="AG2465" s="86" t="s">
        <v>2084</v>
      </c>
      <c r="AH2465" s="81" t="b">
        <v>0</v>
      </c>
      <c r="AI2465" s="81" t="s">
        <v>2171</v>
      </c>
      <c r="AJ2465" s="81"/>
      <c r="AK2465" s="86" t="s">
        <v>2084</v>
      </c>
      <c r="AL2465" s="81" t="b">
        <v>0</v>
      </c>
      <c r="AM2465" s="81">
        <v>8</v>
      </c>
      <c r="AN2465" s="86" t="s">
        <v>13265</v>
      </c>
      <c r="AO2465" s="86" t="s">
        <v>2181</v>
      </c>
      <c r="AP2465" s="81" t="b">
        <v>0</v>
      </c>
      <c r="AQ2465" s="86" t="s">
        <v>13265</v>
      </c>
      <c r="AR2465" s="81" t="s">
        <v>179</v>
      </c>
      <c r="AS2465" s="81">
        <v>0</v>
      </c>
      <c r="AT2465" s="81">
        <v>0</v>
      </c>
      <c r="AU2465" s="81"/>
      <c r="AV2465" s="81"/>
      <c r="AW2465" s="81"/>
      <c r="AX2465" s="81"/>
      <c r="AY2465" s="81"/>
      <c r="AZ2465" s="81"/>
      <c r="BA2465" s="81"/>
      <c r="BB2465" s="81"/>
    </row>
    <row r="2466" spans="1:54" x14ac:dyDescent="0.35">
      <c r="A2466" s="66" t="s">
        <v>4953</v>
      </c>
      <c r="B2466" s="66" t="s">
        <v>4952</v>
      </c>
      <c r="C2466" s="67"/>
      <c r="D2466" s="68"/>
      <c r="E2466" s="69"/>
      <c r="F2466" s="70"/>
      <c r="G2466" s="67"/>
      <c r="H2466" s="71"/>
      <c r="I2466" s="72"/>
      <c r="J2466" s="72"/>
      <c r="K2466" s="36"/>
      <c r="L2466" s="79"/>
      <c r="M2466" s="79"/>
      <c r="N2466" s="74"/>
      <c r="O2466" s="81" t="s">
        <v>693</v>
      </c>
      <c r="P2466" s="83">
        <v>44468.88925925926</v>
      </c>
      <c r="Q2466" s="81" t="s">
        <v>12806</v>
      </c>
      <c r="R2466" s="84" t="str">
        <f>HYPERLINK("https://byq6z.app.goo.gl/AZgEv")</f>
        <v>https://byq6z.app.goo.gl/AZgEv</v>
      </c>
      <c r="S2466" s="81" t="s">
        <v>5759</v>
      </c>
      <c r="T2466" s="81"/>
      <c r="U2466" s="81"/>
      <c r="V2466" s="84" t="str">
        <f>HYPERLINK("https://pbs.twimg.com/profile_images/1069613367470497793/UEGre87N_normal.jpg")</f>
        <v>https://pbs.twimg.com/profile_images/1069613367470497793/UEGre87N_normal.jpg</v>
      </c>
      <c r="W2466" s="83">
        <v>44468.88925925926</v>
      </c>
      <c r="X2466" s="89">
        <v>44468</v>
      </c>
      <c r="Y2466" s="86" t="s">
        <v>13026</v>
      </c>
      <c r="Z2466" s="84" t="str">
        <f>HYPERLINK("https://twitter.com/unicefbrasil/status/1443324840958627842")</f>
        <v>https://twitter.com/unicefbrasil/status/1443324840958627842</v>
      </c>
      <c r="AA2466" s="81"/>
      <c r="AB2466" s="81"/>
      <c r="AC2466" s="86" t="s">
        <v>13266</v>
      </c>
      <c r="AD2466" s="81"/>
      <c r="AE2466" s="81" t="b">
        <v>0</v>
      </c>
      <c r="AF2466" s="81">
        <v>0</v>
      </c>
      <c r="AG2466" s="86" t="s">
        <v>2084</v>
      </c>
      <c r="AH2466" s="81" t="b">
        <v>0</v>
      </c>
      <c r="AI2466" s="81" t="s">
        <v>2171</v>
      </c>
      <c r="AJ2466" s="81"/>
      <c r="AK2466" s="86" t="s">
        <v>2084</v>
      </c>
      <c r="AL2466" s="81" t="b">
        <v>0</v>
      </c>
      <c r="AM2466" s="81">
        <v>8</v>
      </c>
      <c r="AN2466" s="86" t="s">
        <v>13265</v>
      </c>
      <c r="AO2466" s="86" t="s">
        <v>2181</v>
      </c>
      <c r="AP2466" s="81" t="b">
        <v>0</v>
      </c>
      <c r="AQ2466" s="86" t="s">
        <v>13265</v>
      </c>
      <c r="AR2466" s="81" t="s">
        <v>179</v>
      </c>
      <c r="AS2466" s="81">
        <v>0</v>
      </c>
      <c r="AT2466" s="81">
        <v>0</v>
      </c>
      <c r="AU2466" s="81"/>
      <c r="AV2466" s="81"/>
      <c r="AW2466" s="81"/>
      <c r="AX2466" s="81"/>
      <c r="AY2466" s="81"/>
      <c r="AZ2466" s="81"/>
      <c r="BA2466" s="81"/>
      <c r="BB2466" s="81"/>
    </row>
    <row r="2467" spans="1:54" x14ac:dyDescent="0.35">
      <c r="A2467" s="66" t="s">
        <v>12603</v>
      </c>
      <c r="B2467" s="66" t="s">
        <v>4953</v>
      </c>
      <c r="C2467" s="67"/>
      <c r="D2467" s="68"/>
      <c r="E2467" s="69"/>
      <c r="F2467" s="70"/>
      <c r="G2467" s="67"/>
      <c r="H2467" s="71"/>
      <c r="I2467" s="72"/>
      <c r="J2467" s="72"/>
      <c r="K2467" s="36"/>
      <c r="L2467" s="79"/>
      <c r="M2467" s="79"/>
      <c r="N2467" s="74"/>
      <c r="O2467" s="81" t="s">
        <v>694</v>
      </c>
      <c r="P2467" s="83">
        <v>44468.924143518518</v>
      </c>
      <c r="Q2467" s="81" t="s">
        <v>12806</v>
      </c>
      <c r="R2467" s="84" t="str">
        <f>HYPERLINK("https://byq6z.app.goo.gl/AZgEv")</f>
        <v>https://byq6z.app.goo.gl/AZgEv</v>
      </c>
      <c r="S2467" s="81" t="s">
        <v>5759</v>
      </c>
      <c r="T2467" s="81"/>
      <c r="U2467" s="81"/>
      <c r="V2467" s="84" t="str">
        <f>HYPERLINK("https://pbs.twimg.com/profile_images/1230301451/Angela_normal.JPG")</f>
        <v>https://pbs.twimg.com/profile_images/1230301451/Angela_normal.JPG</v>
      </c>
      <c r="W2467" s="83">
        <v>44468.924143518518</v>
      </c>
      <c r="X2467" s="89">
        <v>44468</v>
      </c>
      <c r="Y2467" s="86" t="s">
        <v>13027</v>
      </c>
      <c r="Z2467" s="84" t="str">
        <f>HYPERLINK("https://twitter.com/angelarosane/status/1443337484180631554")</f>
        <v>https://twitter.com/angelarosane/status/1443337484180631554</v>
      </c>
      <c r="AA2467" s="81"/>
      <c r="AB2467" s="81"/>
      <c r="AC2467" s="86" t="s">
        <v>13267</v>
      </c>
      <c r="AD2467" s="81"/>
      <c r="AE2467" s="81" t="b">
        <v>0</v>
      </c>
      <c r="AF2467" s="81">
        <v>0</v>
      </c>
      <c r="AG2467" s="86" t="s">
        <v>2084</v>
      </c>
      <c r="AH2467" s="81" t="b">
        <v>0</v>
      </c>
      <c r="AI2467" s="81" t="s">
        <v>2171</v>
      </c>
      <c r="AJ2467" s="81"/>
      <c r="AK2467" s="86" t="s">
        <v>2084</v>
      </c>
      <c r="AL2467" s="81" t="b">
        <v>0</v>
      </c>
      <c r="AM2467" s="81">
        <v>8</v>
      </c>
      <c r="AN2467" s="86" t="s">
        <v>13265</v>
      </c>
      <c r="AO2467" s="86" t="s">
        <v>2178</v>
      </c>
      <c r="AP2467" s="81" t="b">
        <v>0</v>
      </c>
      <c r="AQ2467" s="86" t="s">
        <v>13265</v>
      </c>
      <c r="AR2467" s="81" t="s">
        <v>179</v>
      </c>
      <c r="AS2467" s="81">
        <v>0</v>
      </c>
      <c r="AT2467" s="81">
        <v>0</v>
      </c>
      <c r="AU2467" s="81"/>
      <c r="AV2467" s="81"/>
      <c r="AW2467" s="81"/>
      <c r="AX2467" s="81"/>
      <c r="AY2467" s="81"/>
      <c r="AZ2467" s="81"/>
      <c r="BA2467" s="81"/>
      <c r="BB2467" s="81"/>
    </row>
    <row r="2468" spans="1:54" x14ac:dyDescent="0.35">
      <c r="A2468" s="66" t="s">
        <v>4952</v>
      </c>
      <c r="B2468" s="66" t="s">
        <v>5211</v>
      </c>
      <c r="C2468" s="67"/>
      <c r="D2468" s="68"/>
      <c r="E2468" s="69"/>
      <c r="F2468" s="70"/>
      <c r="G2468" s="67"/>
      <c r="H2468" s="71"/>
      <c r="I2468" s="72"/>
      <c r="J2468" s="72"/>
      <c r="K2468" s="36"/>
      <c r="L2468" s="79"/>
      <c r="M2468" s="79"/>
      <c r="N2468" s="74"/>
      <c r="O2468" s="81" t="s">
        <v>696</v>
      </c>
      <c r="P2468" s="83">
        <v>44467.714189814818</v>
      </c>
      <c r="Q2468" s="81" t="s">
        <v>5631</v>
      </c>
      <c r="R2468" s="84" t="str">
        <f>HYPERLINK("https://byq6z.app.goo.gl/NzREi")</f>
        <v>https://byq6z.app.goo.gl/NzREi</v>
      </c>
      <c r="S2468" s="81" t="s">
        <v>5759</v>
      </c>
      <c r="T2468" s="81"/>
      <c r="U2468" s="81"/>
      <c r="V2468" s="84" t="str">
        <f>HYPERLINK("https://pbs.twimg.com/profile_images/1115699942788599808/cZWLlTUX_normal.png")</f>
        <v>https://pbs.twimg.com/profile_images/1115699942788599808/cZWLlTUX_normal.png</v>
      </c>
      <c r="W2468" s="83">
        <v>44467.714189814818</v>
      </c>
      <c r="X2468" s="89">
        <v>44467</v>
      </c>
      <c r="Y2468" s="86" t="s">
        <v>6630</v>
      </c>
      <c r="Z2468" s="84" t="str">
        <f>HYPERLINK("https://twitter.com/onubrasil/status/1442899008398135302")</f>
        <v>https://twitter.com/onubrasil/status/1442899008398135302</v>
      </c>
      <c r="AA2468" s="81"/>
      <c r="AB2468" s="81"/>
      <c r="AC2468" s="86" t="s">
        <v>7554</v>
      </c>
      <c r="AD2468" s="81"/>
      <c r="AE2468" s="81" t="b">
        <v>0</v>
      </c>
      <c r="AF2468" s="81">
        <v>26</v>
      </c>
      <c r="AG2468" s="86" t="s">
        <v>2084</v>
      </c>
      <c r="AH2468" s="81" t="b">
        <v>0</v>
      </c>
      <c r="AI2468" s="81" t="s">
        <v>2171</v>
      </c>
      <c r="AJ2468" s="81"/>
      <c r="AK2468" s="86" t="s">
        <v>2084</v>
      </c>
      <c r="AL2468" s="81" t="b">
        <v>0</v>
      </c>
      <c r="AM2468" s="81">
        <v>5</v>
      </c>
      <c r="AN2468" s="86" t="s">
        <v>2084</v>
      </c>
      <c r="AO2468" s="86" t="s">
        <v>7989</v>
      </c>
      <c r="AP2468" s="81" t="b">
        <v>0</v>
      </c>
      <c r="AQ2468" s="86" t="s">
        <v>7554</v>
      </c>
      <c r="AR2468" s="81" t="s">
        <v>179</v>
      </c>
      <c r="AS2468" s="81">
        <v>0</v>
      </c>
      <c r="AT2468" s="81">
        <v>0</v>
      </c>
      <c r="AU2468" s="81"/>
      <c r="AV2468" s="81"/>
      <c r="AW2468" s="81"/>
      <c r="AX2468" s="81"/>
      <c r="AY2468" s="81"/>
      <c r="AZ2468" s="81"/>
      <c r="BA2468" s="81"/>
      <c r="BB2468" s="81"/>
    </row>
    <row r="2469" spans="1:54" x14ac:dyDescent="0.35">
      <c r="A2469" s="66" t="s">
        <v>4952</v>
      </c>
      <c r="B2469" s="66" t="s">
        <v>5211</v>
      </c>
      <c r="C2469" s="67"/>
      <c r="D2469" s="68"/>
      <c r="E2469" s="69"/>
      <c r="F2469" s="70"/>
      <c r="G2469" s="67"/>
      <c r="H2469" s="71"/>
      <c r="I2469" s="72"/>
      <c r="J2469" s="72"/>
      <c r="K2469" s="36"/>
      <c r="L2469" s="79"/>
      <c r="M2469" s="79"/>
      <c r="N2469" s="74"/>
      <c r="O2469" s="81" t="s">
        <v>696</v>
      </c>
      <c r="P2469" s="83">
        <v>44468.791550925926</v>
      </c>
      <c r="Q2469" s="81" t="s">
        <v>12806</v>
      </c>
      <c r="R2469" s="84" t="str">
        <f>HYPERLINK("https://byq6z.app.goo.gl/AZgEv")</f>
        <v>https://byq6z.app.goo.gl/AZgEv</v>
      </c>
      <c r="S2469" s="81" t="s">
        <v>5759</v>
      </c>
      <c r="T2469" s="81"/>
      <c r="U2469" s="81"/>
      <c r="V2469" s="84" t="str">
        <f>HYPERLINK("https://pbs.twimg.com/profile_images/1115699942788599808/cZWLlTUX_normal.png")</f>
        <v>https://pbs.twimg.com/profile_images/1115699942788599808/cZWLlTUX_normal.png</v>
      </c>
      <c r="W2469" s="83">
        <v>44468.791550925926</v>
      </c>
      <c r="X2469" s="89">
        <v>44468</v>
      </c>
      <c r="Y2469" s="86" t="s">
        <v>13025</v>
      </c>
      <c r="Z2469" s="84" t="str">
        <f>HYPERLINK("https://twitter.com/onubrasil/status/1443289431620919296")</f>
        <v>https://twitter.com/onubrasil/status/1443289431620919296</v>
      </c>
      <c r="AA2469" s="81"/>
      <c r="AB2469" s="81"/>
      <c r="AC2469" s="86" t="s">
        <v>13265</v>
      </c>
      <c r="AD2469" s="81"/>
      <c r="AE2469" s="81" t="b">
        <v>0</v>
      </c>
      <c r="AF2469" s="81">
        <v>19</v>
      </c>
      <c r="AG2469" s="86" t="s">
        <v>2084</v>
      </c>
      <c r="AH2469" s="81" t="b">
        <v>0</v>
      </c>
      <c r="AI2469" s="81" t="s">
        <v>2171</v>
      </c>
      <c r="AJ2469" s="81"/>
      <c r="AK2469" s="86" t="s">
        <v>2084</v>
      </c>
      <c r="AL2469" s="81" t="b">
        <v>0</v>
      </c>
      <c r="AM2469" s="81">
        <v>8</v>
      </c>
      <c r="AN2469" s="86" t="s">
        <v>2084</v>
      </c>
      <c r="AO2469" s="86" t="s">
        <v>7989</v>
      </c>
      <c r="AP2469" s="81" t="b">
        <v>0</v>
      </c>
      <c r="AQ2469" s="86" t="s">
        <v>13265</v>
      </c>
      <c r="AR2469" s="81" t="s">
        <v>179</v>
      </c>
      <c r="AS2469" s="81">
        <v>0</v>
      </c>
      <c r="AT2469" s="81">
        <v>0</v>
      </c>
      <c r="AU2469" s="81"/>
      <c r="AV2469" s="81"/>
      <c r="AW2469" s="81"/>
      <c r="AX2469" s="81"/>
      <c r="AY2469" s="81"/>
      <c r="AZ2469" s="81"/>
      <c r="BA2469" s="81"/>
      <c r="BB2469" s="81"/>
    </row>
    <row r="2470" spans="1:54" x14ac:dyDescent="0.35">
      <c r="A2470" s="66" t="s">
        <v>12603</v>
      </c>
      <c r="B2470" s="66" t="s">
        <v>5211</v>
      </c>
      <c r="C2470" s="67"/>
      <c r="D2470" s="68"/>
      <c r="E2470" s="69"/>
      <c r="F2470" s="70"/>
      <c r="G2470" s="67"/>
      <c r="H2470" s="71"/>
      <c r="I2470" s="72"/>
      <c r="J2470" s="72"/>
      <c r="K2470" s="36"/>
      <c r="L2470" s="79"/>
      <c r="M2470" s="79"/>
      <c r="N2470" s="74"/>
      <c r="O2470" s="81" t="s">
        <v>694</v>
      </c>
      <c r="P2470" s="83">
        <v>44468.924143518518</v>
      </c>
      <c r="Q2470" s="81" t="s">
        <v>12806</v>
      </c>
      <c r="R2470" s="84" t="str">
        <f>HYPERLINK("https://byq6z.app.goo.gl/AZgEv")</f>
        <v>https://byq6z.app.goo.gl/AZgEv</v>
      </c>
      <c r="S2470" s="81" t="s">
        <v>5759</v>
      </c>
      <c r="T2470" s="81"/>
      <c r="U2470" s="81"/>
      <c r="V2470" s="84" t="str">
        <f>HYPERLINK("https://pbs.twimg.com/profile_images/1230301451/Angela_normal.JPG")</f>
        <v>https://pbs.twimg.com/profile_images/1230301451/Angela_normal.JPG</v>
      </c>
      <c r="W2470" s="83">
        <v>44468.924143518518</v>
      </c>
      <c r="X2470" s="89">
        <v>44468</v>
      </c>
      <c r="Y2470" s="86" t="s">
        <v>13027</v>
      </c>
      <c r="Z2470" s="84" t="str">
        <f>HYPERLINK("https://twitter.com/angelarosane/status/1443337484180631554")</f>
        <v>https://twitter.com/angelarosane/status/1443337484180631554</v>
      </c>
      <c r="AA2470" s="81"/>
      <c r="AB2470" s="81"/>
      <c r="AC2470" s="86" t="s">
        <v>13267</v>
      </c>
      <c r="AD2470" s="81"/>
      <c r="AE2470" s="81" t="b">
        <v>0</v>
      </c>
      <c r="AF2470" s="81">
        <v>0</v>
      </c>
      <c r="AG2470" s="86" t="s">
        <v>2084</v>
      </c>
      <c r="AH2470" s="81" t="b">
        <v>0</v>
      </c>
      <c r="AI2470" s="81" t="s">
        <v>2171</v>
      </c>
      <c r="AJ2470" s="81"/>
      <c r="AK2470" s="86" t="s">
        <v>2084</v>
      </c>
      <c r="AL2470" s="81" t="b">
        <v>0</v>
      </c>
      <c r="AM2470" s="81">
        <v>8</v>
      </c>
      <c r="AN2470" s="86" t="s">
        <v>13265</v>
      </c>
      <c r="AO2470" s="86" t="s">
        <v>2178</v>
      </c>
      <c r="AP2470" s="81" t="b">
        <v>0</v>
      </c>
      <c r="AQ2470" s="86" t="s">
        <v>13265</v>
      </c>
      <c r="AR2470" s="81" t="s">
        <v>179</v>
      </c>
      <c r="AS2470" s="81">
        <v>0</v>
      </c>
      <c r="AT2470" s="81">
        <v>0</v>
      </c>
      <c r="AU2470" s="81"/>
      <c r="AV2470" s="81"/>
      <c r="AW2470" s="81"/>
      <c r="AX2470" s="81"/>
      <c r="AY2470" s="81"/>
      <c r="AZ2470" s="81"/>
      <c r="BA2470" s="81"/>
      <c r="BB2470" s="81"/>
    </row>
    <row r="2471" spans="1:54" x14ac:dyDescent="0.35">
      <c r="A2471" s="66" t="s">
        <v>4952</v>
      </c>
      <c r="B2471" s="66" t="s">
        <v>5212</v>
      </c>
      <c r="C2471" s="67"/>
      <c r="D2471" s="68"/>
      <c r="E2471" s="69"/>
      <c r="F2471" s="70"/>
      <c r="G2471" s="67"/>
      <c r="H2471" s="71"/>
      <c r="I2471" s="72"/>
      <c r="J2471" s="72"/>
      <c r="K2471" s="36"/>
      <c r="L2471" s="79"/>
      <c r="M2471" s="79"/>
      <c r="N2471" s="74"/>
      <c r="O2471" s="81" t="s">
        <v>696</v>
      </c>
      <c r="P2471" s="83">
        <v>44467.714189814818</v>
      </c>
      <c r="Q2471" s="81" t="s">
        <v>5631</v>
      </c>
      <c r="R2471" s="84" t="str">
        <f>HYPERLINK("https://byq6z.app.goo.gl/NzREi")</f>
        <v>https://byq6z.app.goo.gl/NzREi</v>
      </c>
      <c r="S2471" s="81" t="s">
        <v>5759</v>
      </c>
      <c r="T2471" s="81"/>
      <c r="U2471" s="81"/>
      <c r="V2471" s="84" t="str">
        <f>HYPERLINK("https://pbs.twimg.com/profile_images/1115699942788599808/cZWLlTUX_normal.png")</f>
        <v>https://pbs.twimg.com/profile_images/1115699942788599808/cZWLlTUX_normal.png</v>
      </c>
      <c r="W2471" s="83">
        <v>44467.714189814818</v>
      </c>
      <c r="X2471" s="89">
        <v>44467</v>
      </c>
      <c r="Y2471" s="86" t="s">
        <v>6630</v>
      </c>
      <c r="Z2471" s="84" t="str">
        <f>HYPERLINK("https://twitter.com/onubrasil/status/1442899008398135302")</f>
        <v>https://twitter.com/onubrasil/status/1442899008398135302</v>
      </c>
      <c r="AA2471" s="81"/>
      <c r="AB2471" s="81"/>
      <c r="AC2471" s="86" t="s">
        <v>7554</v>
      </c>
      <c r="AD2471" s="81"/>
      <c r="AE2471" s="81" t="b">
        <v>0</v>
      </c>
      <c r="AF2471" s="81">
        <v>26</v>
      </c>
      <c r="AG2471" s="86" t="s">
        <v>2084</v>
      </c>
      <c r="AH2471" s="81" t="b">
        <v>0</v>
      </c>
      <c r="AI2471" s="81" t="s">
        <v>2171</v>
      </c>
      <c r="AJ2471" s="81"/>
      <c r="AK2471" s="86" t="s">
        <v>2084</v>
      </c>
      <c r="AL2471" s="81" t="b">
        <v>0</v>
      </c>
      <c r="AM2471" s="81">
        <v>5</v>
      </c>
      <c r="AN2471" s="86" t="s">
        <v>2084</v>
      </c>
      <c r="AO2471" s="86" t="s">
        <v>7989</v>
      </c>
      <c r="AP2471" s="81" t="b">
        <v>0</v>
      </c>
      <c r="AQ2471" s="86" t="s">
        <v>7554</v>
      </c>
      <c r="AR2471" s="81" t="s">
        <v>179</v>
      </c>
      <c r="AS2471" s="81">
        <v>0</v>
      </c>
      <c r="AT2471" s="81">
        <v>0</v>
      </c>
      <c r="AU2471" s="81"/>
      <c r="AV2471" s="81"/>
      <c r="AW2471" s="81"/>
      <c r="AX2471" s="81"/>
      <c r="AY2471" s="81"/>
      <c r="AZ2471" s="81"/>
      <c r="BA2471" s="81"/>
      <c r="BB2471" s="81"/>
    </row>
    <row r="2472" spans="1:54" x14ac:dyDescent="0.35">
      <c r="A2472" s="66" t="s">
        <v>4952</v>
      </c>
      <c r="B2472" s="66" t="s">
        <v>5212</v>
      </c>
      <c r="C2472" s="67"/>
      <c r="D2472" s="68"/>
      <c r="E2472" s="69"/>
      <c r="F2472" s="70"/>
      <c r="G2472" s="67"/>
      <c r="H2472" s="71"/>
      <c r="I2472" s="72"/>
      <c r="J2472" s="72"/>
      <c r="K2472" s="36"/>
      <c r="L2472" s="79"/>
      <c r="M2472" s="79"/>
      <c r="N2472" s="74"/>
      <c r="O2472" s="81" t="s">
        <v>696</v>
      </c>
      <c r="P2472" s="83">
        <v>44468.791550925926</v>
      </c>
      <c r="Q2472" s="81" t="s">
        <v>12806</v>
      </c>
      <c r="R2472" s="84" t="str">
        <f>HYPERLINK("https://byq6z.app.goo.gl/AZgEv")</f>
        <v>https://byq6z.app.goo.gl/AZgEv</v>
      </c>
      <c r="S2472" s="81" t="s">
        <v>5759</v>
      </c>
      <c r="T2472" s="81"/>
      <c r="U2472" s="81"/>
      <c r="V2472" s="84" t="str">
        <f>HYPERLINK("https://pbs.twimg.com/profile_images/1115699942788599808/cZWLlTUX_normal.png")</f>
        <v>https://pbs.twimg.com/profile_images/1115699942788599808/cZWLlTUX_normal.png</v>
      </c>
      <c r="W2472" s="83">
        <v>44468.791550925926</v>
      </c>
      <c r="X2472" s="89">
        <v>44468</v>
      </c>
      <c r="Y2472" s="86" t="s">
        <v>13025</v>
      </c>
      <c r="Z2472" s="84" t="str">
        <f>HYPERLINK("https://twitter.com/onubrasil/status/1443289431620919296")</f>
        <v>https://twitter.com/onubrasil/status/1443289431620919296</v>
      </c>
      <c r="AA2472" s="81"/>
      <c r="AB2472" s="81"/>
      <c r="AC2472" s="86" t="s">
        <v>13265</v>
      </c>
      <c r="AD2472" s="81"/>
      <c r="AE2472" s="81" t="b">
        <v>0</v>
      </c>
      <c r="AF2472" s="81">
        <v>19</v>
      </c>
      <c r="AG2472" s="86" t="s">
        <v>2084</v>
      </c>
      <c r="AH2472" s="81" t="b">
        <v>0</v>
      </c>
      <c r="AI2472" s="81" t="s">
        <v>2171</v>
      </c>
      <c r="AJ2472" s="81"/>
      <c r="AK2472" s="86" t="s">
        <v>2084</v>
      </c>
      <c r="AL2472" s="81" t="b">
        <v>0</v>
      </c>
      <c r="AM2472" s="81">
        <v>8</v>
      </c>
      <c r="AN2472" s="86" t="s">
        <v>2084</v>
      </c>
      <c r="AO2472" s="86" t="s">
        <v>7989</v>
      </c>
      <c r="AP2472" s="81" t="b">
        <v>0</v>
      </c>
      <c r="AQ2472" s="86" t="s">
        <v>13265</v>
      </c>
      <c r="AR2472" s="81" t="s">
        <v>179</v>
      </c>
      <c r="AS2472" s="81">
        <v>0</v>
      </c>
      <c r="AT2472" s="81">
        <v>0</v>
      </c>
      <c r="AU2472" s="81"/>
      <c r="AV2472" s="81"/>
      <c r="AW2472" s="81"/>
      <c r="AX2472" s="81"/>
      <c r="AY2472" s="81"/>
      <c r="AZ2472" s="81"/>
      <c r="BA2472" s="81"/>
      <c r="BB2472" s="81"/>
    </row>
    <row r="2473" spans="1:54" x14ac:dyDescent="0.35">
      <c r="A2473" s="66" t="s">
        <v>12603</v>
      </c>
      <c r="B2473" s="66" t="s">
        <v>5212</v>
      </c>
      <c r="C2473" s="67"/>
      <c r="D2473" s="68"/>
      <c r="E2473" s="69"/>
      <c r="F2473" s="70"/>
      <c r="G2473" s="67"/>
      <c r="H2473" s="71"/>
      <c r="I2473" s="72"/>
      <c r="J2473" s="72"/>
      <c r="K2473" s="36"/>
      <c r="L2473" s="79"/>
      <c r="M2473" s="79"/>
      <c r="N2473" s="74"/>
      <c r="O2473" s="81" t="s">
        <v>694</v>
      </c>
      <c r="P2473" s="83">
        <v>44468.924143518518</v>
      </c>
      <c r="Q2473" s="81" t="s">
        <v>12806</v>
      </c>
      <c r="R2473" s="84" t="str">
        <f>HYPERLINK("https://byq6z.app.goo.gl/AZgEv")</f>
        <v>https://byq6z.app.goo.gl/AZgEv</v>
      </c>
      <c r="S2473" s="81" t="s">
        <v>5759</v>
      </c>
      <c r="T2473" s="81"/>
      <c r="U2473" s="81"/>
      <c r="V2473" s="84" t="str">
        <f>HYPERLINK("https://pbs.twimg.com/profile_images/1230301451/Angela_normal.JPG")</f>
        <v>https://pbs.twimg.com/profile_images/1230301451/Angela_normal.JPG</v>
      </c>
      <c r="W2473" s="83">
        <v>44468.924143518518</v>
      </c>
      <c r="X2473" s="89">
        <v>44468</v>
      </c>
      <c r="Y2473" s="86" t="s">
        <v>13027</v>
      </c>
      <c r="Z2473" s="84" t="str">
        <f>HYPERLINK("https://twitter.com/angelarosane/status/1443337484180631554")</f>
        <v>https://twitter.com/angelarosane/status/1443337484180631554</v>
      </c>
      <c r="AA2473" s="81"/>
      <c r="AB2473" s="81"/>
      <c r="AC2473" s="86" t="s">
        <v>13267</v>
      </c>
      <c r="AD2473" s="81"/>
      <c r="AE2473" s="81" t="b">
        <v>0</v>
      </c>
      <c r="AF2473" s="81">
        <v>0</v>
      </c>
      <c r="AG2473" s="86" t="s">
        <v>2084</v>
      </c>
      <c r="AH2473" s="81" t="b">
        <v>0</v>
      </c>
      <c r="AI2473" s="81" t="s">
        <v>2171</v>
      </c>
      <c r="AJ2473" s="81"/>
      <c r="AK2473" s="86" t="s">
        <v>2084</v>
      </c>
      <c r="AL2473" s="81" t="b">
        <v>0</v>
      </c>
      <c r="AM2473" s="81">
        <v>8</v>
      </c>
      <c r="AN2473" s="86" t="s">
        <v>13265</v>
      </c>
      <c r="AO2473" s="86" t="s">
        <v>2178</v>
      </c>
      <c r="AP2473" s="81" t="b">
        <v>0</v>
      </c>
      <c r="AQ2473" s="86" t="s">
        <v>13265</v>
      </c>
      <c r="AR2473" s="81" t="s">
        <v>179</v>
      </c>
      <c r="AS2473" s="81">
        <v>0</v>
      </c>
      <c r="AT2473" s="81">
        <v>0</v>
      </c>
      <c r="AU2473" s="81"/>
      <c r="AV2473" s="81"/>
      <c r="AW2473" s="81"/>
      <c r="AX2473" s="81"/>
      <c r="AY2473" s="81"/>
      <c r="AZ2473" s="81"/>
      <c r="BA2473" s="81"/>
      <c r="BB2473" s="81"/>
    </row>
    <row r="2474" spans="1:54" x14ac:dyDescent="0.35">
      <c r="A2474" s="66" t="s">
        <v>12603</v>
      </c>
      <c r="B2474" s="66" t="s">
        <v>4952</v>
      </c>
      <c r="C2474" s="67"/>
      <c r="D2474" s="68"/>
      <c r="E2474" s="69"/>
      <c r="F2474" s="70"/>
      <c r="G2474" s="67"/>
      <c r="H2474" s="71"/>
      <c r="I2474" s="72"/>
      <c r="J2474" s="72"/>
      <c r="K2474" s="36"/>
      <c r="L2474" s="79"/>
      <c r="M2474" s="79"/>
      <c r="N2474" s="74"/>
      <c r="O2474" s="81" t="s">
        <v>693</v>
      </c>
      <c r="P2474" s="83">
        <v>44468.924143518518</v>
      </c>
      <c r="Q2474" s="81" t="s">
        <v>12806</v>
      </c>
      <c r="R2474" s="84" t="str">
        <f>HYPERLINK("https://byq6z.app.goo.gl/AZgEv")</f>
        <v>https://byq6z.app.goo.gl/AZgEv</v>
      </c>
      <c r="S2474" s="81" t="s">
        <v>5759</v>
      </c>
      <c r="T2474" s="81"/>
      <c r="U2474" s="81"/>
      <c r="V2474" s="84" t="str">
        <f>HYPERLINK("https://pbs.twimg.com/profile_images/1230301451/Angela_normal.JPG")</f>
        <v>https://pbs.twimg.com/profile_images/1230301451/Angela_normal.JPG</v>
      </c>
      <c r="W2474" s="83">
        <v>44468.924143518518</v>
      </c>
      <c r="X2474" s="89">
        <v>44468</v>
      </c>
      <c r="Y2474" s="86" t="s">
        <v>13027</v>
      </c>
      <c r="Z2474" s="84" t="str">
        <f>HYPERLINK("https://twitter.com/angelarosane/status/1443337484180631554")</f>
        <v>https://twitter.com/angelarosane/status/1443337484180631554</v>
      </c>
      <c r="AA2474" s="81"/>
      <c r="AB2474" s="81"/>
      <c r="AC2474" s="86" t="s">
        <v>13267</v>
      </c>
      <c r="AD2474" s="81"/>
      <c r="AE2474" s="81" t="b">
        <v>0</v>
      </c>
      <c r="AF2474" s="81">
        <v>0</v>
      </c>
      <c r="AG2474" s="86" t="s">
        <v>2084</v>
      </c>
      <c r="AH2474" s="81" t="b">
        <v>0</v>
      </c>
      <c r="AI2474" s="81" t="s">
        <v>2171</v>
      </c>
      <c r="AJ2474" s="81"/>
      <c r="AK2474" s="86" t="s">
        <v>2084</v>
      </c>
      <c r="AL2474" s="81" t="b">
        <v>0</v>
      </c>
      <c r="AM2474" s="81">
        <v>8</v>
      </c>
      <c r="AN2474" s="86" t="s">
        <v>13265</v>
      </c>
      <c r="AO2474" s="86" t="s">
        <v>2178</v>
      </c>
      <c r="AP2474" s="81" t="b">
        <v>0</v>
      </c>
      <c r="AQ2474" s="86" t="s">
        <v>13265</v>
      </c>
      <c r="AR2474" s="81" t="s">
        <v>179</v>
      </c>
      <c r="AS2474" s="81">
        <v>0</v>
      </c>
      <c r="AT2474" s="81">
        <v>0</v>
      </c>
      <c r="AU2474" s="81"/>
      <c r="AV2474" s="81"/>
      <c r="AW2474" s="81"/>
      <c r="AX2474" s="81"/>
      <c r="AY2474" s="81"/>
      <c r="AZ2474" s="81"/>
      <c r="BA2474" s="81"/>
      <c r="BB2474" s="81"/>
    </row>
    <row r="2475" spans="1:54" x14ac:dyDescent="0.35">
      <c r="A2475" s="66" t="s">
        <v>12604</v>
      </c>
      <c r="B2475" s="66" t="s">
        <v>12664</v>
      </c>
      <c r="C2475" s="67"/>
      <c r="D2475" s="68"/>
      <c r="E2475" s="69"/>
      <c r="F2475" s="70"/>
      <c r="G2475" s="67"/>
      <c r="H2475" s="71"/>
      <c r="I2475" s="72"/>
      <c r="J2475" s="72"/>
      <c r="K2475" s="36"/>
      <c r="L2475" s="79"/>
      <c r="M2475" s="79"/>
      <c r="N2475" s="74"/>
      <c r="O2475" s="81" t="s">
        <v>693</v>
      </c>
      <c r="P2475" s="83">
        <v>44468.930023148147</v>
      </c>
      <c r="Q2475" s="81" t="s">
        <v>12799</v>
      </c>
      <c r="R2475" s="81"/>
      <c r="S2475" s="81"/>
      <c r="T2475" s="86" t="s">
        <v>314</v>
      </c>
      <c r="U2475" s="84" t="str">
        <f>HYPERLINK("https://pbs.twimg.com/media/FAeEF_8UcAAAgih.jpg")</f>
        <v>https://pbs.twimg.com/media/FAeEF_8UcAAAgih.jpg</v>
      </c>
      <c r="V2475" s="84" t="str">
        <f>HYPERLINK("https://pbs.twimg.com/media/FAeEF_8UcAAAgih.jpg")</f>
        <v>https://pbs.twimg.com/media/FAeEF_8UcAAAgih.jpg</v>
      </c>
      <c r="W2475" s="83">
        <v>44468.930023148147</v>
      </c>
      <c r="X2475" s="89">
        <v>44468</v>
      </c>
      <c r="Y2475" s="86" t="s">
        <v>13028</v>
      </c>
      <c r="Z2475" s="84" t="str">
        <f>HYPERLINK("https://twitter.com/do0rnjun/status/1443339615226662914")</f>
        <v>https://twitter.com/do0rnjun/status/1443339615226662914</v>
      </c>
      <c r="AA2475" s="81"/>
      <c r="AB2475" s="81"/>
      <c r="AC2475" s="86" t="s">
        <v>13268</v>
      </c>
      <c r="AD2475" s="81"/>
      <c r="AE2475" s="81" t="b">
        <v>0</v>
      </c>
      <c r="AF2475" s="81">
        <v>0</v>
      </c>
      <c r="AG2475" s="86" t="s">
        <v>2084</v>
      </c>
      <c r="AH2475" s="81" t="b">
        <v>0</v>
      </c>
      <c r="AI2475" s="81" t="s">
        <v>2168</v>
      </c>
      <c r="AJ2475" s="81"/>
      <c r="AK2475" s="86" t="s">
        <v>2084</v>
      </c>
      <c r="AL2475" s="81" t="b">
        <v>0</v>
      </c>
      <c r="AM2475" s="81">
        <v>42</v>
      </c>
      <c r="AN2475" s="86" t="s">
        <v>13352</v>
      </c>
      <c r="AO2475" s="86" t="s">
        <v>2178</v>
      </c>
      <c r="AP2475" s="81" t="b">
        <v>0</v>
      </c>
      <c r="AQ2475" s="86" t="s">
        <v>13352</v>
      </c>
      <c r="AR2475" s="81" t="s">
        <v>179</v>
      </c>
      <c r="AS2475" s="81">
        <v>0</v>
      </c>
      <c r="AT2475" s="81">
        <v>0</v>
      </c>
      <c r="AU2475" s="81"/>
      <c r="AV2475" s="81"/>
      <c r="AW2475" s="81"/>
      <c r="AX2475" s="81"/>
      <c r="AY2475" s="81"/>
      <c r="AZ2475" s="81"/>
      <c r="BA2475" s="81"/>
      <c r="BB2475" s="81"/>
    </row>
    <row r="2476" spans="1:54" x14ac:dyDescent="0.35">
      <c r="A2476" s="66" t="s">
        <v>12605</v>
      </c>
      <c r="B2476" s="66" t="s">
        <v>12620</v>
      </c>
      <c r="C2476" s="67"/>
      <c r="D2476" s="68"/>
      <c r="E2476" s="69"/>
      <c r="F2476" s="70"/>
      <c r="G2476" s="67"/>
      <c r="H2476" s="71"/>
      <c r="I2476" s="72"/>
      <c r="J2476" s="72"/>
      <c r="K2476" s="36"/>
      <c r="L2476" s="79"/>
      <c r="M2476" s="79"/>
      <c r="N2476" s="74"/>
      <c r="O2476" s="81" t="s">
        <v>693</v>
      </c>
      <c r="P2476" s="83">
        <v>44468.941747685189</v>
      </c>
      <c r="Q2476" s="81" t="s">
        <v>12819</v>
      </c>
      <c r="R247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2476" s="81" t="s">
        <v>5686</v>
      </c>
      <c r="T2476" s="81"/>
      <c r="U2476" s="81"/>
      <c r="V2476" s="84" t="str">
        <f>HYPERLINK("https://pbs.twimg.com/profile_images/1039655999211233280/6itW_DaK_normal.jpg")</f>
        <v>https://pbs.twimg.com/profile_images/1039655999211233280/6itW_DaK_normal.jpg</v>
      </c>
      <c r="W2476" s="83">
        <v>44468.941747685189</v>
      </c>
      <c r="X2476" s="89">
        <v>44468</v>
      </c>
      <c r="Y2476" s="86" t="s">
        <v>13029</v>
      </c>
      <c r="Z2476" s="84" t="str">
        <f>HYPERLINK("https://twitter.com/patchabalgo/status/1443343860604850176")</f>
        <v>https://twitter.com/patchabalgo/status/1443343860604850176</v>
      </c>
      <c r="AA2476" s="81"/>
      <c r="AB2476" s="81"/>
      <c r="AC2476" s="86" t="s">
        <v>13269</v>
      </c>
      <c r="AD2476" s="81"/>
      <c r="AE2476" s="81" t="b">
        <v>0</v>
      </c>
      <c r="AF2476" s="81">
        <v>0</v>
      </c>
      <c r="AG2476" s="86" t="s">
        <v>2084</v>
      </c>
      <c r="AH2476" s="81" t="b">
        <v>0</v>
      </c>
      <c r="AI2476" s="81" t="s">
        <v>2171</v>
      </c>
      <c r="AJ2476" s="81"/>
      <c r="AK2476" s="86" t="s">
        <v>2084</v>
      </c>
      <c r="AL2476" s="81" t="b">
        <v>0</v>
      </c>
      <c r="AM2476" s="81">
        <v>7</v>
      </c>
      <c r="AN2476" s="86" t="s">
        <v>13290</v>
      </c>
      <c r="AO2476" s="86" t="s">
        <v>2179</v>
      </c>
      <c r="AP2476" s="81" t="b">
        <v>0</v>
      </c>
      <c r="AQ2476" s="86" t="s">
        <v>13290</v>
      </c>
      <c r="AR2476" s="81" t="s">
        <v>179</v>
      </c>
      <c r="AS2476" s="81">
        <v>0</v>
      </c>
      <c r="AT2476" s="81">
        <v>0</v>
      </c>
      <c r="AU2476" s="81"/>
      <c r="AV2476" s="81"/>
      <c r="AW2476" s="81"/>
      <c r="AX2476" s="81"/>
      <c r="AY2476" s="81"/>
      <c r="AZ2476" s="81"/>
      <c r="BA2476" s="81"/>
      <c r="BB2476" s="81"/>
    </row>
    <row r="2477" spans="1:54" x14ac:dyDescent="0.35">
      <c r="A2477" s="66" t="s">
        <v>12606</v>
      </c>
      <c r="B2477" s="66" t="s">
        <v>12620</v>
      </c>
      <c r="C2477" s="67"/>
      <c r="D2477" s="68"/>
      <c r="E2477" s="69"/>
      <c r="F2477" s="70"/>
      <c r="G2477" s="67"/>
      <c r="H2477" s="71"/>
      <c r="I2477" s="72"/>
      <c r="J2477" s="72"/>
      <c r="K2477" s="36"/>
      <c r="L2477" s="79"/>
      <c r="M2477" s="79"/>
      <c r="N2477" s="74"/>
      <c r="O2477" s="81" t="s">
        <v>693</v>
      </c>
      <c r="P2477" s="83">
        <v>44468.946493055555</v>
      </c>
      <c r="Q2477" s="81" t="s">
        <v>12819</v>
      </c>
      <c r="R247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2477" s="81" t="s">
        <v>5686</v>
      </c>
      <c r="T2477" s="81"/>
      <c r="U2477" s="81"/>
      <c r="V2477" s="84" t="str">
        <f>HYPERLINK("https://pbs.twimg.com/profile_images/1385790245132718082/zUhzg7Uf_normal.jpg")</f>
        <v>https://pbs.twimg.com/profile_images/1385790245132718082/zUhzg7Uf_normal.jpg</v>
      </c>
      <c r="W2477" s="83">
        <v>44468.946493055555</v>
      </c>
      <c r="X2477" s="89">
        <v>44468</v>
      </c>
      <c r="Y2477" s="86" t="s">
        <v>13030</v>
      </c>
      <c r="Z2477" s="84" t="str">
        <f>HYPERLINK("https://twitter.com/julene30141380/status/1443345581993304065")</f>
        <v>https://twitter.com/julene30141380/status/1443345581993304065</v>
      </c>
      <c r="AA2477" s="81"/>
      <c r="AB2477" s="81"/>
      <c r="AC2477" s="86" t="s">
        <v>13270</v>
      </c>
      <c r="AD2477" s="81"/>
      <c r="AE2477" s="81" t="b">
        <v>0</v>
      </c>
      <c r="AF2477" s="81">
        <v>0</v>
      </c>
      <c r="AG2477" s="86" t="s">
        <v>2084</v>
      </c>
      <c r="AH2477" s="81" t="b">
        <v>0</v>
      </c>
      <c r="AI2477" s="81" t="s">
        <v>2171</v>
      </c>
      <c r="AJ2477" s="81"/>
      <c r="AK2477" s="86" t="s">
        <v>2084</v>
      </c>
      <c r="AL2477" s="81" t="b">
        <v>0</v>
      </c>
      <c r="AM2477" s="81">
        <v>7</v>
      </c>
      <c r="AN2477" s="86" t="s">
        <v>13290</v>
      </c>
      <c r="AO2477" s="86" t="s">
        <v>2178</v>
      </c>
      <c r="AP2477" s="81" t="b">
        <v>0</v>
      </c>
      <c r="AQ2477" s="86" t="s">
        <v>13290</v>
      </c>
      <c r="AR2477" s="81" t="s">
        <v>179</v>
      </c>
      <c r="AS2477" s="81">
        <v>0</v>
      </c>
      <c r="AT2477" s="81">
        <v>0</v>
      </c>
      <c r="AU2477" s="81"/>
      <c r="AV2477" s="81"/>
      <c r="AW2477" s="81"/>
      <c r="AX2477" s="81"/>
      <c r="AY2477" s="81"/>
      <c r="AZ2477" s="81"/>
      <c r="BA2477" s="81"/>
      <c r="BB2477" s="81"/>
    </row>
    <row r="2478" spans="1:54" x14ac:dyDescent="0.35">
      <c r="A2478" s="66" t="s">
        <v>12607</v>
      </c>
      <c r="B2478" s="66" t="s">
        <v>12664</v>
      </c>
      <c r="C2478" s="67"/>
      <c r="D2478" s="68"/>
      <c r="E2478" s="69"/>
      <c r="F2478" s="70"/>
      <c r="G2478" s="67"/>
      <c r="H2478" s="71"/>
      <c r="I2478" s="72"/>
      <c r="J2478" s="72"/>
      <c r="K2478" s="36"/>
      <c r="L2478" s="79"/>
      <c r="M2478" s="79"/>
      <c r="N2478" s="74"/>
      <c r="O2478" s="81" t="s">
        <v>693</v>
      </c>
      <c r="P2478" s="83">
        <v>44468.961238425924</v>
      </c>
      <c r="Q2478" s="81" t="s">
        <v>12800</v>
      </c>
      <c r="R2478" s="81"/>
      <c r="S2478" s="81"/>
      <c r="T2478" s="86" t="s">
        <v>314</v>
      </c>
      <c r="U2478" s="84" t="str">
        <f>HYPERLINK("https://pbs.twimg.com/media/FAeE8WOVQAIxGko.jpg")</f>
        <v>https://pbs.twimg.com/media/FAeE8WOVQAIxGko.jpg</v>
      </c>
      <c r="V2478" s="84" t="str">
        <f>HYPERLINK("https://pbs.twimg.com/media/FAeE8WOVQAIxGko.jpg")</f>
        <v>https://pbs.twimg.com/media/FAeE8WOVQAIxGko.jpg</v>
      </c>
      <c r="W2478" s="83">
        <v>44468.961238425924</v>
      </c>
      <c r="X2478" s="89">
        <v>44468</v>
      </c>
      <c r="Y2478" s="86" t="s">
        <v>13031</v>
      </c>
      <c r="Z2478" s="84" t="str">
        <f>HYPERLINK("https://twitter.com/yochiyayaya/status/1443350923665809410")</f>
        <v>https://twitter.com/yochiyayaya/status/1443350923665809410</v>
      </c>
      <c r="AA2478" s="81"/>
      <c r="AB2478" s="81"/>
      <c r="AC2478" s="86" t="s">
        <v>13271</v>
      </c>
      <c r="AD2478" s="81"/>
      <c r="AE2478" s="81" t="b">
        <v>0</v>
      </c>
      <c r="AF2478" s="81">
        <v>0</v>
      </c>
      <c r="AG2478" s="86" t="s">
        <v>2084</v>
      </c>
      <c r="AH2478" s="81" t="b">
        <v>0</v>
      </c>
      <c r="AI2478" s="81" t="s">
        <v>2168</v>
      </c>
      <c r="AJ2478" s="81"/>
      <c r="AK2478" s="86" t="s">
        <v>2084</v>
      </c>
      <c r="AL2478" s="81" t="b">
        <v>0</v>
      </c>
      <c r="AM2478" s="81">
        <v>31</v>
      </c>
      <c r="AN2478" s="86" t="s">
        <v>13353</v>
      </c>
      <c r="AO2478" s="86" t="s">
        <v>2179</v>
      </c>
      <c r="AP2478" s="81" t="b">
        <v>0</v>
      </c>
      <c r="AQ2478" s="86" t="s">
        <v>13353</v>
      </c>
      <c r="AR2478" s="81" t="s">
        <v>179</v>
      </c>
      <c r="AS2478" s="81">
        <v>0</v>
      </c>
      <c r="AT2478" s="81">
        <v>0</v>
      </c>
      <c r="AU2478" s="81"/>
      <c r="AV2478" s="81"/>
      <c r="AW2478" s="81"/>
      <c r="AX2478" s="81"/>
      <c r="AY2478" s="81"/>
      <c r="AZ2478" s="81"/>
      <c r="BA2478" s="81"/>
      <c r="BB2478" s="81"/>
    </row>
    <row r="2479" spans="1:54" x14ac:dyDescent="0.35">
      <c r="A2479" s="66" t="s">
        <v>12608</v>
      </c>
      <c r="B2479" s="66" t="s">
        <v>12664</v>
      </c>
      <c r="C2479" s="67"/>
      <c r="D2479" s="68"/>
      <c r="E2479" s="69"/>
      <c r="F2479" s="70"/>
      <c r="G2479" s="67"/>
      <c r="H2479" s="71"/>
      <c r="I2479" s="72"/>
      <c r="J2479" s="72"/>
      <c r="K2479" s="36"/>
      <c r="L2479" s="79"/>
      <c r="M2479" s="79"/>
      <c r="N2479" s="74"/>
      <c r="O2479" s="81" t="s">
        <v>693</v>
      </c>
      <c r="P2479" s="83">
        <v>44468.965601851851</v>
      </c>
      <c r="Q2479" s="81" t="s">
        <v>12800</v>
      </c>
      <c r="R2479" s="81"/>
      <c r="S2479" s="81"/>
      <c r="T2479" s="86" t="s">
        <v>314</v>
      </c>
      <c r="U2479" s="84" t="str">
        <f>HYPERLINK("https://pbs.twimg.com/media/FAeE8WOVQAIxGko.jpg")</f>
        <v>https://pbs.twimg.com/media/FAeE8WOVQAIxGko.jpg</v>
      </c>
      <c r="V2479" s="84" t="str">
        <f>HYPERLINK("https://pbs.twimg.com/media/FAeE8WOVQAIxGko.jpg")</f>
        <v>https://pbs.twimg.com/media/FAeE8WOVQAIxGko.jpg</v>
      </c>
      <c r="W2479" s="83">
        <v>44468.965601851851</v>
      </c>
      <c r="X2479" s="89">
        <v>44468</v>
      </c>
      <c r="Y2479" s="86" t="s">
        <v>1050</v>
      </c>
      <c r="Z2479" s="84" t="str">
        <f>HYPERLINK("https://twitter.com/roseforkayla/status/1443352508785565699")</f>
        <v>https://twitter.com/roseforkayla/status/1443352508785565699</v>
      </c>
      <c r="AA2479" s="81"/>
      <c r="AB2479" s="81"/>
      <c r="AC2479" s="86" t="s">
        <v>13272</v>
      </c>
      <c r="AD2479" s="81"/>
      <c r="AE2479" s="81" t="b">
        <v>0</v>
      </c>
      <c r="AF2479" s="81">
        <v>0</v>
      </c>
      <c r="AG2479" s="86" t="s">
        <v>2084</v>
      </c>
      <c r="AH2479" s="81" t="b">
        <v>0</v>
      </c>
      <c r="AI2479" s="81" t="s">
        <v>2168</v>
      </c>
      <c r="AJ2479" s="81"/>
      <c r="AK2479" s="86" t="s">
        <v>2084</v>
      </c>
      <c r="AL2479" s="81" t="b">
        <v>0</v>
      </c>
      <c r="AM2479" s="81">
        <v>31</v>
      </c>
      <c r="AN2479" s="86" t="s">
        <v>13353</v>
      </c>
      <c r="AO2479" s="86" t="s">
        <v>2179</v>
      </c>
      <c r="AP2479" s="81" t="b">
        <v>0</v>
      </c>
      <c r="AQ2479" s="86" t="s">
        <v>13353</v>
      </c>
      <c r="AR2479" s="81" t="s">
        <v>179</v>
      </c>
      <c r="AS2479" s="81">
        <v>0</v>
      </c>
      <c r="AT2479" s="81">
        <v>0</v>
      </c>
      <c r="AU2479" s="81"/>
      <c r="AV2479" s="81"/>
      <c r="AW2479" s="81"/>
      <c r="AX2479" s="81"/>
      <c r="AY2479" s="81"/>
      <c r="AZ2479" s="81"/>
      <c r="BA2479" s="81"/>
      <c r="BB2479" s="81"/>
    </row>
    <row r="2480" spans="1:54" x14ac:dyDescent="0.35">
      <c r="A2480" s="66" t="s">
        <v>12608</v>
      </c>
      <c r="B2480" s="66" t="s">
        <v>12664</v>
      </c>
      <c r="C2480" s="67"/>
      <c r="D2480" s="68"/>
      <c r="E2480" s="69"/>
      <c r="F2480" s="70"/>
      <c r="G2480" s="67"/>
      <c r="H2480" s="71"/>
      <c r="I2480" s="72"/>
      <c r="J2480" s="72"/>
      <c r="K2480" s="36"/>
      <c r="L2480" s="79"/>
      <c r="M2480" s="79"/>
      <c r="N2480" s="74"/>
      <c r="O2480" s="81" t="s">
        <v>693</v>
      </c>
      <c r="P2480" s="83">
        <v>44468.96565972222</v>
      </c>
      <c r="Q2480" s="81" t="s">
        <v>12799</v>
      </c>
      <c r="R2480" s="81"/>
      <c r="S2480" s="81"/>
      <c r="T2480" s="86" t="s">
        <v>314</v>
      </c>
      <c r="U2480" s="84" t="str">
        <f>HYPERLINK("https://pbs.twimg.com/media/FAeEF_8UcAAAgih.jpg")</f>
        <v>https://pbs.twimg.com/media/FAeEF_8UcAAAgih.jpg</v>
      </c>
      <c r="V2480" s="84" t="str">
        <f>HYPERLINK("https://pbs.twimg.com/media/FAeEF_8UcAAAgih.jpg")</f>
        <v>https://pbs.twimg.com/media/FAeEF_8UcAAAgih.jpg</v>
      </c>
      <c r="W2480" s="83">
        <v>44468.96565972222</v>
      </c>
      <c r="X2480" s="89">
        <v>44468</v>
      </c>
      <c r="Y2480" s="86" t="s">
        <v>13032</v>
      </c>
      <c r="Z2480" s="84" t="str">
        <f>HYPERLINK("https://twitter.com/roseforkayla/status/1443352529148932102")</f>
        <v>https://twitter.com/roseforkayla/status/1443352529148932102</v>
      </c>
      <c r="AA2480" s="81"/>
      <c r="AB2480" s="81"/>
      <c r="AC2480" s="86" t="s">
        <v>13273</v>
      </c>
      <c r="AD2480" s="81"/>
      <c r="AE2480" s="81" t="b">
        <v>0</v>
      </c>
      <c r="AF2480" s="81">
        <v>0</v>
      </c>
      <c r="AG2480" s="86" t="s">
        <v>2084</v>
      </c>
      <c r="AH2480" s="81" t="b">
        <v>0</v>
      </c>
      <c r="AI2480" s="81" t="s">
        <v>2168</v>
      </c>
      <c r="AJ2480" s="81"/>
      <c r="AK2480" s="86" t="s">
        <v>2084</v>
      </c>
      <c r="AL2480" s="81" t="b">
        <v>0</v>
      </c>
      <c r="AM2480" s="81">
        <v>42</v>
      </c>
      <c r="AN2480" s="86" t="s">
        <v>13352</v>
      </c>
      <c r="AO2480" s="86" t="s">
        <v>2179</v>
      </c>
      <c r="AP2480" s="81" t="b">
        <v>0</v>
      </c>
      <c r="AQ2480" s="86" t="s">
        <v>13352</v>
      </c>
      <c r="AR2480" s="81" t="s">
        <v>179</v>
      </c>
      <c r="AS2480" s="81">
        <v>0</v>
      </c>
      <c r="AT2480" s="81">
        <v>0</v>
      </c>
      <c r="AU2480" s="81"/>
      <c r="AV2480" s="81"/>
      <c r="AW2480" s="81"/>
      <c r="AX2480" s="81"/>
      <c r="AY2480" s="81"/>
      <c r="AZ2480" s="81"/>
      <c r="BA2480" s="81"/>
      <c r="BB2480" s="81"/>
    </row>
    <row r="2481" spans="1:54" x14ac:dyDescent="0.35">
      <c r="A2481" s="66" t="s">
        <v>12609</v>
      </c>
      <c r="B2481" s="66" t="s">
        <v>12664</v>
      </c>
      <c r="C2481" s="67"/>
      <c r="D2481" s="68"/>
      <c r="E2481" s="69"/>
      <c r="F2481" s="70"/>
      <c r="G2481" s="67"/>
      <c r="H2481" s="71"/>
      <c r="I2481" s="72"/>
      <c r="J2481" s="72"/>
      <c r="K2481" s="36"/>
      <c r="L2481" s="79"/>
      <c r="M2481" s="79"/>
      <c r="N2481" s="74"/>
      <c r="O2481" s="81" t="s">
        <v>693</v>
      </c>
      <c r="P2481" s="83">
        <v>44468.986493055556</v>
      </c>
      <c r="Q2481" s="81" t="s">
        <v>12800</v>
      </c>
      <c r="R2481" s="81"/>
      <c r="S2481" s="81"/>
      <c r="T2481" s="86" t="s">
        <v>314</v>
      </c>
      <c r="U2481" s="84" t="str">
        <f>HYPERLINK("https://pbs.twimg.com/media/FAeE8WOVQAIxGko.jpg")</f>
        <v>https://pbs.twimg.com/media/FAeE8WOVQAIxGko.jpg</v>
      </c>
      <c r="V2481" s="84" t="str">
        <f>HYPERLINK("https://pbs.twimg.com/media/FAeE8WOVQAIxGko.jpg")</f>
        <v>https://pbs.twimg.com/media/FAeE8WOVQAIxGko.jpg</v>
      </c>
      <c r="W2481" s="83">
        <v>44468.986493055556</v>
      </c>
      <c r="X2481" s="89">
        <v>44468</v>
      </c>
      <c r="Y2481" s="86" t="s">
        <v>13033</v>
      </c>
      <c r="Z2481" s="84" t="str">
        <f>HYPERLINK("https://twitter.com/izzaknj/status/1443360076417302530")</f>
        <v>https://twitter.com/izzaknj/status/1443360076417302530</v>
      </c>
      <c r="AA2481" s="81"/>
      <c r="AB2481" s="81"/>
      <c r="AC2481" s="86" t="s">
        <v>13274</v>
      </c>
      <c r="AD2481" s="81"/>
      <c r="AE2481" s="81" t="b">
        <v>0</v>
      </c>
      <c r="AF2481" s="81">
        <v>0</v>
      </c>
      <c r="AG2481" s="86" t="s">
        <v>2084</v>
      </c>
      <c r="AH2481" s="81" t="b">
        <v>0</v>
      </c>
      <c r="AI2481" s="81" t="s">
        <v>2168</v>
      </c>
      <c r="AJ2481" s="81"/>
      <c r="AK2481" s="86" t="s">
        <v>2084</v>
      </c>
      <c r="AL2481" s="81" t="b">
        <v>0</v>
      </c>
      <c r="AM2481" s="81">
        <v>31</v>
      </c>
      <c r="AN2481" s="86" t="s">
        <v>13353</v>
      </c>
      <c r="AO2481" s="86" t="s">
        <v>2178</v>
      </c>
      <c r="AP2481" s="81" t="b">
        <v>0</v>
      </c>
      <c r="AQ2481" s="86" t="s">
        <v>13353</v>
      </c>
      <c r="AR2481" s="81" t="s">
        <v>179</v>
      </c>
      <c r="AS2481" s="81">
        <v>0</v>
      </c>
      <c r="AT2481" s="81">
        <v>0</v>
      </c>
      <c r="AU2481" s="81"/>
      <c r="AV2481" s="81"/>
      <c r="AW2481" s="81"/>
      <c r="AX2481" s="81"/>
      <c r="AY2481" s="81"/>
      <c r="AZ2481" s="81"/>
      <c r="BA2481" s="81"/>
      <c r="BB2481" s="81"/>
    </row>
    <row r="2482" spans="1:54" x14ac:dyDescent="0.35">
      <c r="A2482" s="66" t="s">
        <v>12610</v>
      </c>
      <c r="B2482" s="66" t="s">
        <v>12664</v>
      </c>
      <c r="C2482" s="67"/>
      <c r="D2482" s="68"/>
      <c r="E2482" s="69"/>
      <c r="F2482" s="70"/>
      <c r="G2482" s="67"/>
      <c r="H2482" s="71"/>
      <c r="I2482" s="72"/>
      <c r="J2482" s="72"/>
      <c r="K2482" s="36"/>
      <c r="L2482" s="79"/>
      <c r="M2482" s="79"/>
      <c r="N2482" s="74"/>
      <c r="O2482" s="81" t="s">
        <v>693</v>
      </c>
      <c r="P2482" s="83">
        <v>44468.994791666664</v>
      </c>
      <c r="Q2482" s="81" t="s">
        <v>12799</v>
      </c>
      <c r="R2482" s="81"/>
      <c r="S2482" s="81"/>
      <c r="T2482" s="86" t="s">
        <v>314</v>
      </c>
      <c r="U2482" s="84" t="str">
        <f>HYPERLINK("https://pbs.twimg.com/media/FAeEF_8UcAAAgih.jpg")</f>
        <v>https://pbs.twimg.com/media/FAeEF_8UcAAAgih.jpg</v>
      </c>
      <c r="V2482" s="84" t="str">
        <f>HYPERLINK("https://pbs.twimg.com/media/FAeEF_8UcAAAgih.jpg")</f>
        <v>https://pbs.twimg.com/media/FAeEF_8UcAAAgih.jpg</v>
      </c>
      <c r="W2482" s="83">
        <v>44468.994791666664</v>
      </c>
      <c r="X2482" s="89">
        <v>44468</v>
      </c>
      <c r="Y2482" s="86" t="s">
        <v>13034</v>
      </c>
      <c r="Z2482" s="84" t="str">
        <f>HYPERLINK("https://twitter.com/gdvbstyong/status/1443363084282720256")</f>
        <v>https://twitter.com/gdvbstyong/status/1443363084282720256</v>
      </c>
      <c r="AA2482" s="81"/>
      <c r="AB2482" s="81"/>
      <c r="AC2482" s="86" t="s">
        <v>13275</v>
      </c>
      <c r="AD2482" s="81"/>
      <c r="AE2482" s="81" t="b">
        <v>0</v>
      </c>
      <c r="AF2482" s="81">
        <v>0</v>
      </c>
      <c r="AG2482" s="86" t="s">
        <v>2084</v>
      </c>
      <c r="AH2482" s="81" t="b">
        <v>0</v>
      </c>
      <c r="AI2482" s="81" t="s">
        <v>2168</v>
      </c>
      <c r="AJ2482" s="81"/>
      <c r="AK2482" s="86" t="s">
        <v>2084</v>
      </c>
      <c r="AL2482" s="81" t="b">
        <v>0</v>
      </c>
      <c r="AM2482" s="81">
        <v>42</v>
      </c>
      <c r="AN2482" s="86" t="s">
        <v>13352</v>
      </c>
      <c r="AO2482" s="86" t="s">
        <v>2179</v>
      </c>
      <c r="AP2482" s="81" t="b">
        <v>0</v>
      </c>
      <c r="AQ2482" s="86" t="s">
        <v>13352</v>
      </c>
      <c r="AR2482" s="81" t="s">
        <v>179</v>
      </c>
      <c r="AS2482" s="81">
        <v>0</v>
      </c>
      <c r="AT2482" s="81">
        <v>0</v>
      </c>
      <c r="AU2482" s="81"/>
      <c r="AV2482" s="81"/>
      <c r="AW2482" s="81"/>
      <c r="AX2482" s="81"/>
      <c r="AY2482" s="81"/>
      <c r="AZ2482" s="81"/>
      <c r="BA2482" s="81"/>
      <c r="BB2482" s="81"/>
    </row>
    <row r="2483" spans="1:54" x14ac:dyDescent="0.35">
      <c r="A2483" s="66" t="s">
        <v>12610</v>
      </c>
      <c r="B2483" s="66" t="s">
        <v>12664</v>
      </c>
      <c r="C2483" s="67"/>
      <c r="D2483" s="68"/>
      <c r="E2483" s="69"/>
      <c r="F2483" s="70"/>
      <c r="G2483" s="67"/>
      <c r="H2483" s="71"/>
      <c r="I2483" s="72"/>
      <c r="J2483" s="72"/>
      <c r="K2483" s="36"/>
      <c r="L2483" s="79"/>
      <c r="M2483" s="79"/>
      <c r="N2483" s="74"/>
      <c r="O2483" s="81" t="s">
        <v>693</v>
      </c>
      <c r="P2483" s="83">
        <v>44468.995011574072</v>
      </c>
      <c r="Q2483" s="81" t="s">
        <v>12800</v>
      </c>
      <c r="R2483" s="81"/>
      <c r="S2483" s="81"/>
      <c r="T2483" s="86" t="s">
        <v>314</v>
      </c>
      <c r="U2483" s="84" t="str">
        <f>HYPERLINK("https://pbs.twimg.com/media/FAeE8WOVQAIxGko.jpg")</f>
        <v>https://pbs.twimg.com/media/FAeE8WOVQAIxGko.jpg</v>
      </c>
      <c r="V2483" s="84" t="str">
        <f>HYPERLINK("https://pbs.twimg.com/media/FAeE8WOVQAIxGko.jpg")</f>
        <v>https://pbs.twimg.com/media/FAeE8WOVQAIxGko.jpg</v>
      </c>
      <c r="W2483" s="83">
        <v>44468.995011574072</v>
      </c>
      <c r="X2483" s="89">
        <v>44468</v>
      </c>
      <c r="Y2483" s="86" t="s">
        <v>13035</v>
      </c>
      <c r="Z2483" s="84" t="str">
        <f>HYPERLINK("https://twitter.com/gdvbstyong/status/1443363165111152641")</f>
        <v>https://twitter.com/gdvbstyong/status/1443363165111152641</v>
      </c>
      <c r="AA2483" s="81"/>
      <c r="AB2483" s="81"/>
      <c r="AC2483" s="86" t="s">
        <v>13276</v>
      </c>
      <c r="AD2483" s="81"/>
      <c r="AE2483" s="81" t="b">
        <v>0</v>
      </c>
      <c r="AF2483" s="81">
        <v>0</v>
      </c>
      <c r="AG2483" s="86" t="s">
        <v>2084</v>
      </c>
      <c r="AH2483" s="81" t="b">
        <v>0</v>
      </c>
      <c r="AI2483" s="81" t="s">
        <v>2168</v>
      </c>
      <c r="AJ2483" s="81"/>
      <c r="AK2483" s="86" t="s">
        <v>2084</v>
      </c>
      <c r="AL2483" s="81" t="b">
        <v>0</v>
      </c>
      <c r="AM2483" s="81">
        <v>31</v>
      </c>
      <c r="AN2483" s="86" t="s">
        <v>13353</v>
      </c>
      <c r="AO2483" s="86" t="s">
        <v>2179</v>
      </c>
      <c r="AP2483" s="81" t="b">
        <v>0</v>
      </c>
      <c r="AQ2483" s="86" t="s">
        <v>13353</v>
      </c>
      <c r="AR2483" s="81" t="s">
        <v>179</v>
      </c>
      <c r="AS2483" s="81">
        <v>0</v>
      </c>
      <c r="AT2483" s="81">
        <v>0</v>
      </c>
      <c r="AU2483" s="81"/>
      <c r="AV2483" s="81"/>
      <c r="AW2483" s="81"/>
      <c r="AX2483" s="81"/>
      <c r="AY2483" s="81"/>
      <c r="AZ2483" s="81"/>
      <c r="BA2483" s="81"/>
      <c r="BB2483" s="81"/>
    </row>
    <row r="2484" spans="1:54" x14ac:dyDescent="0.35">
      <c r="A2484" s="66" t="s">
        <v>12611</v>
      </c>
      <c r="B2484" s="66" t="s">
        <v>12664</v>
      </c>
      <c r="C2484" s="67"/>
      <c r="D2484" s="68"/>
      <c r="E2484" s="69"/>
      <c r="F2484" s="70"/>
      <c r="G2484" s="67"/>
      <c r="H2484" s="71"/>
      <c r="I2484" s="72"/>
      <c r="J2484" s="72"/>
      <c r="K2484" s="36"/>
      <c r="L2484" s="79"/>
      <c r="M2484" s="79"/>
      <c r="N2484" s="74"/>
      <c r="O2484" s="81" t="s">
        <v>693</v>
      </c>
      <c r="P2484" s="83">
        <v>44468.996168981481</v>
      </c>
      <c r="Q2484" s="81" t="s">
        <v>12800</v>
      </c>
      <c r="R2484" s="81"/>
      <c r="S2484" s="81"/>
      <c r="T2484" s="86" t="s">
        <v>314</v>
      </c>
      <c r="U2484" s="84" t="str">
        <f>HYPERLINK("https://pbs.twimg.com/media/FAeE8WOVQAIxGko.jpg")</f>
        <v>https://pbs.twimg.com/media/FAeE8WOVQAIxGko.jpg</v>
      </c>
      <c r="V2484" s="84" t="str">
        <f>HYPERLINK("https://pbs.twimg.com/media/FAeE8WOVQAIxGko.jpg")</f>
        <v>https://pbs.twimg.com/media/FAeE8WOVQAIxGko.jpg</v>
      </c>
      <c r="W2484" s="83">
        <v>44468.996168981481</v>
      </c>
      <c r="X2484" s="89">
        <v>44468</v>
      </c>
      <c r="Y2484" s="86" t="s">
        <v>13036</v>
      </c>
      <c r="Z2484" s="84" t="str">
        <f>HYPERLINK("https://twitter.com/formywoos/status/1443363585573343234")</f>
        <v>https://twitter.com/formywoos/status/1443363585573343234</v>
      </c>
      <c r="AA2484" s="81"/>
      <c r="AB2484" s="81"/>
      <c r="AC2484" s="86" t="s">
        <v>13277</v>
      </c>
      <c r="AD2484" s="81"/>
      <c r="AE2484" s="81" t="b">
        <v>0</v>
      </c>
      <c r="AF2484" s="81">
        <v>0</v>
      </c>
      <c r="AG2484" s="86" t="s">
        <v>2084</v>
      </c>
      <c r="AH2484" s="81" t="b">
        <v>0</v>
      </c>
      <c r="AI2484" s="81" t="s">
        <v>2168</v>
      </c>
      <c r="AJ2484" s="81"/>
      <c r="AK2484" s="86" t="s">
        <v>2084</v>
      </c>
      <c r="AL2484" s="81" t="b">
        <v>0</v>
      </c>
      <c r="AM2484" s="81">
        <v>31</v>
      </c>
      <c r="AN2484" s="86" t="s">
        <v>13353</v>
      </c>
      <c r="AO2484" s="86" t="s">
        <v>2178</v>
      </c>
      <c r="AP2484" s="81" t="b">
        <v>0</v>
      </c>
      <c r="AQ2484" s="86" t="s">
        <v>13353</v>
      </c>
      <c r="AR2484" s="81" t="s">
        <v>179</v>
      </c>
      <c r="AS2484" s="81">
        <v>0</v>
      </c>
      <c r="AT2484" s="81">
        <v>0</v>
      </c>
      <c r="AU2484" s="81"/>
      <c r="AV2484" s="81"/>
      <c r="AW2484" s="81"/>
      <c r="AX2484" s="81"/>
      <c r="AY2484" s="81"/>
      <c r="AZ2484" s="81"/>
      <c r="BA2484" s="81"/>
      <c r="BB2484" s="81"/>
    </row>
    <row r="2485" spans="1:54" x14ac:dyDescent="0.35">
      <c r="A2485" s="66" t="s">
        <v>12611</v>
      </c>
      <c r="B2485" s="66" t="s">
        <v>12664</v>
      </c>
      <c r="C2485" s="67"/>
      <c r="D2485" s="68"/>
      <c r="E2485" s="69"/>
      <c r="F2485" s="70"/>
      <c r="G2485" s="67"/>
      <c r="H2485" s="71"/>
      <c r="I2485" s="72"/>
      <c r="J2485" s="72"/>
      <c r="K2485" s="36"/>
      <c r="L2485" s="79"/>
      <c r="M2485" s="79"/>
      <c r="N2485" s="74"/>
      <c r="O2485" s="81" t="s">
        <v>693</v>
      </c>
      <c r="P2485" s="83">
        <v>44468.99627314815</v>
      </c>
      <c r="Q2485" s="81" t="s">
        <v>12799</v>
      </c>
      <c r="R2485" s="81"/>
      <c r="S2485" s="81"/>
      <c r="T2485" s="86" t="s">
        <v>314</v>
      </c>
      <c r="U2485" s="84" t="str">
        <f>HYPERLINK("https://pbs.twimg.com/media/FAeEF_8UcAAAgih.jpg")</f>
        <v>https://pbs.twimg.com/media/FAeEF_8UcAAAgih.jpg</v>
      </c>
      <c r="V2485" s="84" t="str">
        <f>HYPERLINK("https://pbs.twimg.com/media/FAeEF_8UcAAAgih.jpg")</f>
        <v>https://pbs.twimg.com/media/FAeEF_8UcAAAgih.jpg</v>
      </c>
      <c r="W2485" s="83">
        <v>44468.99627314815</v>
      </c>
      <c r="X2485" s="89">
        <v>44468</v>
      </c>
      <c r="Y2485" s="86" t="s">
        <v>13037</v>
      </c>
      <c r="Z2485" s="84" t="str">
        <f>HYPERLINK("https://twitter.com/formywoos/status/1443363623850504201")</f>
        <v>https://twitter.com/formywoos/status/1443363623850504201</v>
      </c>
      <c r="AA2485" s="81"/>
      <c r="AB2485" s="81"/>
      <c r="AC2485" s="86" t="s">
        <v>13278</v>
      </c>
      <c r="AD2485" s="81"/>
      <c r="AE2485" s="81" t="b">
        <v>0</v>
      </c>
      <c r="AF2485" s="81">
        <v>0</v>
      </c>
      <c r="AG2485" s="86" t="s">
        <v>2084</v>
      </c>
      <c r="AH2485" s="81" t="b">
        <v>0</v>
      </c>
      <c r="AI2485" s="81" t="s">
        <v>2168</v>
      </c>
      <c r="AJ2485" s="81"/>
      <c r="AK2485" s="86" t="s">
        <v>2084</v>
      </c>
      <c r="AL2485" s="81" t="b">
        <v>0</v>
      </c>
      <c r="AM2485" s="81">
        <v>42</v>
      </c>
      <c r="AN2485" s="86" t="s">
        <v>13352</v>
      </c>
      <c r="AO2485" s="86" t="s">
        <v>2178</v>
      </c>
      <c r="AP2485" s="81" t="b">
        <v>0</v>
      </c>
      <c r="AQ2485" s="86" t="s">
        <v>13352</v>
      </c>
      <c r="AR2485" s="81" t="s">
        <v>179</v>
      </c>
      <c r="AS2485" s="81">
        <v>0</v>
      </c>
      <c r="AT2485" s="81">
        <v>0</v>
      </c>
      <c r="AU2485" s="81"/>
      <c r="AV2485" s="81"/>
      <c r="AW2485" s="81"/>
      <c r="AX2485" s="81"/>
      <c r="AY2485" s="81"/>
      <c r="AZ2485" s="81"/>
      <c r="BA2485" s="81"/>
      <c r="BB2485" s="81"/>
    </row>
    <row r="2486" spans="1:54" x14ac:dyDescent="0.35">
      <c r="A2486" s="66" t="s">
        <v>12612</v>
      </c>
      <c r="B2486" s="66" t="s">
        <v>12620</v>
      </c>
      <c r="C2486" s="67"/>
      <c r="D2486" s="68"/>
      <c r="E2486" s="69"/>
      <c r="F2486" s="70"/>
      <c r="G2486" s="67"/>
      <c r="H2486" s="71"/>
      <c r="I2486" s="72"/>
      <c r="J2486" s="72"/>
      <c r="K2486" s="36"/>
      <c r="L2486" s="79"/>
      <c r="M2486" s="79"/>
      <c r="N2486" s="74"/>
      <c r="O2486" s="81" t="s">
        <v>693</v>
      </c>
      <c r="P2486" s="83">
        <v>44469.002418981479</v>
      </c>
      <c r="Q2486" s="81" t="s">
        <v>12819</v>
      </c>
      <c r="R248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2486" s="81" t="s">
        <v>5686</v>
      </c>
      <c r="T2486" s="81"/>
      <c r="U2486" s="81"/>
      <c r="V2486" s="84" t="str">
        <f>HYPERLINK("https://pbs.twimg.com/profile_images/1372721465137758212/YEgcllUF_normal.jpg")</f>
        <v>https://pbs.twimg.com/profile_images/1372721465137758212/YEgcllUF_normal.jpg</v>
      </c>
      <c r="W2486" s="83">
        <v>44469.002418981479</v>
      </c>
      <c r="X2486" s="89">
        <v>44469</v>
      </c>
      <c r="Y2486" s="86" t="s">
        <v>13038</v>
      </c>
      <c r="Z2486" s="84" t="str">
        <f>HYPERLINK("https://twitter.com/andreahelenago4/status/1443365849788817412")</f>
        <v>https://twitter.com/andreahelenago4/status/1443365849788817412</v>
      </c>
      <c r="AA2486" s="81"/>
      <c r="AB2486" s="81"/>
      <c r="AC2486" s="86" t="s">
        <v>13279</v>
      </c>
      <c r="AD2486" s="81"/>
      <c r="AE2486" s="81" t="b">
        <v>0</v>
      </c>
      <c r="AF2486" s="81">
        <v>0</v>
      </c>
      <c r="AG2486" s="86" t="s">
        <v>2084</v>
      </c>
      <c r="AH2486" s="81" t="b">
        <v>0</v>
      </c>
      <c r="AI2486" s="81" t="s">
        <v>2171</v>
      </c>
      <c r="AJ2486" s="81"/>
      <c r="AK2486" s="86" t="s">
        <v>2084</v>
      </c>
      <c r="AL2486" s="81" t="b">
        <v>0</v>
      </c>
      <c r="AM2486" s="81">
        <v>7</v>
      </c>
      <c r="AN2486" s="86" t="s">
        <v>13290</v>
      </c>
      <c r="AO2486" s="86" t="s">
        <v>2178</v>
      </c>
      <c r="AP2486" s="81" t="b">
        <v>0</v>
      </c>
      <c r="AQ2486" s="86" t="s">
        <v>13290</v>
      </c>
      <c r="AR2486" s="81" t="s">
        <v>179</v>
      </c>
      <c r="AS2486" s="81">
        <v>0</v>
      </c>
      <c r="AT2486" s="81">
        <v>0</v>
      </c>
      <c r="AU2486" s="81"/>
      <c r="AV2486" s="81"/>
      <c r="AW2486" s="81"/>
      <c r="AX2486" s="81"/>
      <c r="AY2486" s="81"/>
      <c r="AZ2486" s="81"/>
      <c r="BA2486" s="81"/>
      <c r="BB2486" s="81"/>
    </row>
    <row r="2487" spans="1:54" x14ac:dyDescent="0.35">
      <c r="A2487" s="66" t="s">
        <v>12613</v>
      </c>
      <c r="B2487" s="66" t="s">
        <v>12664</v>
      </c>
      <c r="C2487" s="67"/>
      <c r="D2487" s="68"/>
      <c r="E2487" s="69"/>
      <c r="F2487" s="70"/>
      <c r="G2487" s="67"/>
      <c r="H2487" s="71"/>
      <c r="I2487" s="72"/>
      <c r="J2487" s="72"/>
      <c r="K2487" s="36"/>
      <c r="L2487" s="79"/>
      <c r="M2487" s="79"/>
      <c r="N2487" s="74"/>
      <c r="O2487" s="81" t="s">
        <v>693</v>
      </c>
      <c r="P2487" s="83">
        <v>44469.002916666665</v>
      </c>
      <c r="Q2487" s="81" t="s">
        <v>12800</v>
      </c>
      <c r="R2487" s="81"/>
      <c r="S2487" s="81"/>
      <c r="T2487" s="86" t="s">
        <v>314</v>
      </c>
      <c r="U2487" s="84" t="str">
        <f>HYPERLINK("https://pbs.twimg.com/media/FAeE8WOVQAIxGko.jpg")</f>
        <v>https://pbs.twimg.com/media/FAeE8WOVQAIxGko.jpg</v>
      </c>
      <c r="V2487" s="84" t="str">
        <f>HYPERLINK("https://pbs.twimg.com/media/FAeE8WOVQAIxGko.jpg")</f>
        <v>https://pbs.twimg.com/media/FAeE8WOVQAIxGko.jpg</v>
      </c>
      <c r="W2487" s="83">
        <v>44469.002916666665</v>
      </c>
      <c r="X2487" s="89">
        <v>44469</v>
      </c>
      <c r="Y2487" s="86" t="s">
        <v>13039</v>
      </c>
      <c r="Z2487" s="84" t="str">
        <f>HYPERLINK("https://twitter.com/mintgreenfilm/status/1443366027841060869")</f>
        <v>https://twitter.com/mintgreenfilm/status/1443366027841060869</v>
      </c>
      <c r="AA2487" s="81"/>
      <c r="AB2487" s="81"/>
      <c r="AC2487" s="86" t="s">
        <v>13280</v>
      </c>
      <c r="AD2487" s="81"/>
      <c r="AE2487" s="81" t="b">
        <v>0</v>
      </c>
      <c r="AF2487" s="81">
        <v>0</v>
      </c>
      <c r="AG2487" s="86" t="s">
        <v>2084</v>
      </c>
      <c r="AH2487" s="81" t="b">
        <v>0</v>
      </c>
      <c r="AI2487" s="81" t="s">
        <v>2168</v>
      </c>
      <c r="AJ2487" s="81"/>
      <c r="AK2487" s="86" t="s">
        <v>2084</v>
      </c>
      <c r="AL2487" s="81" t="b">
        <v>0</v>
      </c>
      <c r="AM2487" s="81">
        <v>31</v>
      </c>
      <c r="AN2487" s="86" t="s">
        <v>13353</v>
      </c>
      <c r="AO2487" s="86" t="s">
        <v>2182</v>
      </c>
      <c r="AP2487" s="81" t="b">
        <v>0</v>
      </c>
      <c r="AQ2487" s="86" t="s">
        <v>13353</v>
      </c>
      <c r="AR2487" s="81" t="s">
        <v>179</v>
      </c>
      <c r="AS2487" s="81">
        <v>0</v>
      </c>
      <c r="AT2487" s="81">
        <v>0</v>
      </c>
      <c r="AU2487" s="81"/>
      <c r="AV2487" s="81"/>
      <c r="AW2487" s="81"/>
      <c r="AX2487" s="81"/>
      <c r="AY2487" s="81"/>
      <c r="AZ2487" s="81"/>
      <c r="BA2487" s="81"/>
      <c r="BB2487" s="81"/>
    </row>
    <row r="2488" spans="1:54" x14ac:dyDescent="0.35">
      <c r="A2488" s="66" t="s">
        <v>12613</v>
      </c>
      <c r="B2488" s="66" t="s">
        <v>12664</v>
      </c>
      <c r="C2488" s="67"/>
      <c r="D2488" s="68"/>
      <c r="E2488" s="69"/>
      <c r="F2488" s="70"/>
      <c r="G2488" s="67"/>
      <c r="H2488" s="71"/>
      <c r="I2488" s="72"/>
      <c r="J2488" s="72"/>
      <c r="K2488" s="36"/>
      <c r="L2488" s="79"/>
      <c r="M2488" s="79"/>
      <c r="N2488" s="74"/>
      <c r="O2488" s="81" t="s">
        <v>693</v>
      </c>
      <c r="P2488" s="83">
        <v>44469.003252314818</v>
      </c>
      <c r="Q2488" s="81" t="s">
        <v>12799</v>
      </c>
      <c r="R2488" s="81"/>
      <c r="S2488" s="81"/>
      <c r="T2488" s="86" t="s">
        <v>314</v>
      </c>
      <c r="U2488" s="84" t="str">
        <f>HYPERLINK("https://pbs.twimg.com/media/FAeEF_8UcAAAgih.jpg")</f>
        <v>https://pbs.twimg.com/media/FAeEF_8UcAAAgih.jpg</v>
      </c>
      <c r="V2488" s="84" t="str">
        <f>HYPERLINK("https://pbs.twimg.com/media/FAeEF_8UcAAAgih.jpg")</f>
        <v>https://pbs.twimg.com/media/FAeEF_8UcAAAgih.jpg</v>
      </c>
      <c r="W2488" s="83">
        <v>44469.003252314818</v>
      </c>
      <c r="X2488" s="89">
        <v>44469</v>
      </c>
      <c r="Y2488" s="86" t="s">
        <v>13040</v>
      </c>
      <c r="Z2488" s="84" t="str">
        <f>HYPERLINK("https://twitter.com/mintgreenfilm/status/1443366150063091720")</f>
        <v>https://twitter.com/mintgreenfilm/status/1443366150063091720</v>
      </c>
      <c r="AA2488" s="81"/>
      <c r="AB2488" s="81"/>
      <c r="AC2488" s="86" t="s">
        <v>13281</v>
      </c>
      <c r="AD2488" s="81"/>
      <c r="AE2488" s="81" t="b">
        <v>0</v>
      </c>
      <c r="AF2488" s="81">
        <v>0</v>
      </c>
      <c r="AG2488" s="86" t="s">
        <v>2084</v>
      </c>
      <c r="AH2488" s="81" t="b">
        <v>0</v>
      </c>
      <c r="AI2488" s="81" t="s">
        <v>2168</v>
      </c>
      <c r="AJ2488" s="81"/>
      <c r="AK2488" s="86" t="s">
        <v>2084</v>
      </c>
      <c r="AL2488" s="81" t="b">
        <v>0</v>
      </c>
      <c r="AM2488" s="81">
        <v>42</v>
      </c>
      <c r="AN2488" s="86" t="s">
        <v>13352</v>
      </c>
      <c r="AO2488" s="86" t="s">
        <v>2182</v>
      </c>
      <c r="AP2488" s="81" t="b">
        <v>0</v>
      </c>
      <c r="AQ2488" s="86" t="s">
        <v>13352</v>
      </c>
      <c r="AR2488" s="81" t="s">
        <v>179</v>
      </c>
      <c r="AS2488" s="81">
        <v>0</v>
      </c>
      <c r="AT2488" s="81">
        <v>0</v>
      </c>
      <c r="AU2488" s="81"/>
      <c r="AV2488" s="81"/>
      <c r="AW2488" s="81"/>
      <c r="AX2488" s="81"/>
      <c r="AY2488" s="81"/>
      <c r="AZ2488" s="81"/>
      <c r="BA2488" s="81"/>
      <c r="BB2488" s="81"/>
    </row>
    <row r="2489" spans="1:54" x14ac:dyDescent="0.35">
      <c r="A2489" s="66" t="s">
        <v>12614</v>
      </c>
      <c r="B2489" s="66" t="s">
        <v>12618</v>
      </c>
      <c r="C2489" s="67"/>
      <c r="D2489" s="68"/>
      <c r="E2489" s="69"/>
      <c r="F2489" s="70"/>
      <c r="G2489" s="67"/>
      <c r="H2489" s="71"/>
      <c r="I2489" s="72"/>
      <c r="J2489" s="72"/>
      <c r="K2489" s="36"/>
      <c r="L2489" s="79"/>
      <c r="M2489" s="79"/>
      <c r="N2489" s="74"/>
      <c r="O2489" s="81" t="s">
        <v>693</v>
      </c>
      <c r="P2489" s="83">
        <v>44469.005428240744</v>
      </c>
      <c r="Q2489" s="81" t="s">
        <v>12814</v>
      </c>
      <c r="R2489" s="81"/>
      <c r="S2489" s="81"/>
      <c r="T2489" s="81"/>
      <c r="U2489" s="84" t="str">
        <f>HYPERLINK("https://pbs.twimg.com/media/FAepjIZXoAIjGFI.jpg")</f>
        <v>https://pbs.twimg.com/media/FAepjIZXoAIjGFI.jpg</v>
      </c>
      <c r="V2489" s="84" t="str">
        <f>HYPERLINK("https://pbs.twimg.com/media/FAepjIZXoAIjGFI.jpg")</f>
        <v>https://pbs.twimg.com/media/FAepjIZXoAIjGFI.jpg</v>
      </c>
      <c r="W2489" s="83">
        <v>44469.005428240744</v>
      </c>
      <c r="X2489" s="89">
        <v>44469</v>
      </c>
      <c r="Y2489" s="86" t="s">
        <v>13041</v>
      </c>
      <c r="Z2489" s="84" t="str">
        <f>HYPERLINK("https://twitter.com/antonie46522009/status/1443366941603909636")</f>
        <v>https://twitter.com/antonie46522009/status/1443366941603909636</v>
      </c>
      <c r="AA2489" s="81"/>
      <c r="AB2489" s="81"/>
      <c r="AC2489" s="86" t="s">
        <v>13282</v>
      </c>
      <c r="AD2489" s="81"/>
      <c r="AE2489" s="81" t="b">
        <v>0</v>
      </c>
      <c r="AF2489" s="81">
        <v>0</v>
      </c>
      <c r="AG2489" s="86" t="s">
        <v>2084</v>
      </c>
      <c r="AH2489" s="81" t="b">
        <v>0</v>
      </c>
      <c r="AI2489" s="81" t="s">
        <v>2171</v>
      </c>
      <c r="AJ2489" s="81"/>
      <c r="AK2489" s="86" t="s">
        <v>2084</v>
      </c>
      <c r="AL2489" s="81" t="b">
        <v>0</v>
      </c>
      <c r="AM2489" s="81">
        <v>12</v>
      </c>
      <c r="AN2489" s="86" t="s">
        <v>13288</v>
      </c>
      <c r="AO2489" s="86" t="s">
        <v>2178</v>
      </c>
      <c r="AP2489" s="81" t="b">
        <v>0</v>
      </c>
      <c r="AQ2489" s="86" t="s">
        <v>13288</v>
      </c>
      <c r="AR2489" s="81" t="s">
        <v>179</v>
      </c>
      <c r="AS2489" s="81">
        <v>0</v>
      </c>
      <c r="AT2489" s="81">
        <v>0</v>
      </c>
      <c r="AU2489" s="81"/>
      <c r="AV2489" s="81"/>
      <c r="AW2489" s="81"/>
      <c r="AX2489" s="81"/>
      <c r="AY2489" s="81"/>
      <c r="AZ2489" s="81"/>
      <c r="BA2489" s="81"/>
      <c r="BB2489" s="81"/>
    </row>
    <row r="2490" spans="1:54" x14ac:dyDescent="0.35">
      <c r="A2490" s="66" t="s">
        <v>12615</v>
      </c>
      <c r="B2490" s="66" t="s">
        <v>12664</v>
      </c>
      <c r="C2490" s="67"/>
      <c r="D2490" s="68"/>
      <c r="E2490" s="69"/>
      <c r="F2490" s="70"/>
      <c r="G2490" s="67"/>
      <c r="H2490" s="71"/>
      <c r="I2490" s="72"/>
      <c r="J2490" s="72"/>
      <c r="K2490" s="36"/>
      <c r="L2490" s="79"/>
      <c r="M2490" s="79"/>
      <c r="N2490" s="74"/>
      <c r="O2490" s="81" t="s">
        <v>693</v>
      </c>
      <c r="P2490" s="83">
        <v>44469.010034722225</v>
      </c>
      <c r="Q2490" s="81" t="s">
        <v>12800</v>
      </c>
      <c r="R2490" s="81"/>
      <c r="S2490" s="81"/>
      <c r="T2490" s="86" t="s">
        <v>314</v>
      </c>
      <c r="U2490" s="84" t="str">
        <f>HYPERLINK("https://pbs.twimg.com/media/FAeE8WOVQAIxGko.jpg")</f>
        <v>https://pbs.twimg.com/media/FAeE8WOVQAIxGko.jpg</v>
      </c>
      <c r="V2490" s="84" t="str">
        <f>HYPERLINK("https://pbs.twimg.com/media/FAeE8WOVQAIxGko.jpg")</f>
        <v>https://pbs.twimg.com/media/FAeE8WOVQAIxGko.jpg</v>
      </c>
      <c r="W2490" s="83">
        <v>44469.010034722225</v>
      </c>
      <c r="X2490" s="89">
        <v>44469</v>
      </c>
      <c r="Y2490" s="86" t="s">
        <v>13042</v>
      </c>
      <c r="Z2490" s="84" t="str">
        <f>HYPERLINK("https://twitter.com/nffrhinn/status/1443368610185973764")</f>
        <v>https://twitter.com/nffrhinn/status/1443368610185973764</v>
      </c>
      <c r="AA2490" s="81"/>
      <c r="AB2490" s="81"/>
      <c r="AC2490" s="86" t="s">
        <v>13283</v>
      </c>
      <c r="AD2490" s="81"/>
      <c r="AE2490" s="81" t="b">
        <v>0</v>
      </c>
      <c r="AF2490" s="81">
        <v>0</v>
      </c>
      <c r="AG2490" s="86" t="s">
        <v>2084</v>
      </c>
      <c r="AH2490" s="81" t="b">
        <v>0</v>
      </c>
      <c r="AI2490" s="81" t="s">
        <v>2168</v>
      </c>
      <c r="AJ2490" s="81"/>
      <c r="AK2490" s="86" t="s">
        <v>2084</v>
      </c>
      <c r="AL2490" s="81" t="b">
        <v>0</v>
      </c>
      <c r="AM2490" s="81">
        <v>31</v>
      </c>
      <c r="AN2490" s="86" t="s">
        <v>13353</v>
      </c>
      <c r="AO2490" s="86" t="s">
        <v>2178</v>
      </c>
      <c r="AP2490" s="81" t="b">
        <v>0</v>
      </c>
      <c r="AQ2490" s="86" t="s">
        <v>13353</v>
      </c>
      <c r="AR2490" s="81" t="s">
        <v>179</v>
      </c>
      <c r="AS2490" s="81">
        <v>0</v>
      </c>
      <c r="AT2490" s="81">
        <v>0</v>
      </c>
      <c r="AU2490" s="81"/>
      <c r="AV2490" s="81"/>
      <c r="AW2490" s="81"/>
      <c r="AX2490" s="81"/>
      <c r="AY2490" s="81"/>
      <c r="AZ2490" s="81"/>
      <c r="BA2490" s="81"/>
      <c r="BB2490" s="81"/>
    </row>
    <row r="2491" spans="1:54" x14ac:dyDescent="0.35">
      <c r="A2491" s="66" t="s">
        <v>4924</v>
      </c>
      <c r="B2491" s="66" t="s">
        <v>589</v>
      </c>
      <c r="C2491" s="67"/>
      <c r="D2491" s="68"/>
      <c r="E2491" s="69"/>
      <c r="F2491" s="70"/>
      <c r="G2491" s="67"/>
      <c r="H2491" s="71"/>
      <c r="I2491" s="72"/>
      <c r="J2491" s="72"/>
      <c r="K2491" s="36"/>
      <c r="L2491" s="79"/>
      <c r="M2491" s="79"/>
      <c r="N2491" s="74"/>
      <c r="O2491" s="81" t="s">
        <v>693</v>
      </c>
      <c r="P2491" s="83">
        <v>44467.637569444443</v>
      </c>
      <c r="Q2491" s="81" t="s">
        <v>5625</v>
      </c>
      <c r="R2491" s="81"/>
      <c r="S2491" s="81"/>
      <c r="T2491" s="86" t="s">
        <v>5786</v>
      </c>
      <c r="U2491" s="84" t="str">
        <f>HYPERLINK("https://pbs.twimg.com/media/FAYUHMTVEAoP82T.jpg")</f>
        <v>https://pbs.twimg.com/media/FAYUHMTVEAoP82T.jpg</v>
      </c>
      <c r="V2491" s="84" t="str">
        <f>HYPERLINK("https://pbs.twimg.com/media/FAYUHMTVEAoP82T.jpg")</f>
        <v>https://pbs.twimg.com/media/FAYUHMTVEAoP82T.jpg</v>
      </c>
      <c r="W2491" s="83">
        <v>44467.637569444443</v>
      </c>
      <c r="X2491" s="89">
        <v>44467</v>
      </c>
      <c r="Y2491" s="86" t="s">
        <v>6593</v>
      </c>
      <c r="Z2491" s="84" t="str">
        <f>HYPERLINK("https://twitter.com/luviejaemn/status/1442871245725339649")</f>
        <v>https://twitter.com/luviejaemn/status/1442871245725339649</v>
      </c>
      <c r="AA2491" s="81"/>
      <c r="AB2491" s="81"/>
      <c r="AC2491" s="86" t="s">
        <v>7515</v>
      </c>
      <c r="AD2491" s="81"/>
      <c r="AE2491" s="81" t="b">
        <v>0</v>
      </c>
      <c r="AF2491" s="81">
        <v>0</v>
      </c>
      <c r="AG2491" s="86" t="s">
        <v>2084</v>
      </c>
      <c r="AH2491" s="81" t="b">
        <v>0</v>
      </c>
      <c r="AI2491" s="81" t="s">
        <v>2168</v>
      </c>
      <c r="AJ2491" s="81"/>
      <c r="AK2491" s="86" t="s">
        <v>2084</v>
      </c>
      <c r="AL2491" s="81" t="b">
        <v>0</v>
      </c>
      <c r="AM2491" s="81">
        <v>15</v>
      </c>
      <c r="AN2491" s="86" t="s">
        <v>7613</v>
      </c>
      <c r="AO2491" s="86" t="s">
        <v>2178</v>
      </c>
      <c r="AP2491" s="81" t="b">
        <v>0</v>
      </c>
      <c r="AQ2491" s="86" t="s">
        <v>7613</v>
      </c>
      <c r="AR2491" s="81" t="s">
        <v>179</v>
      </c>
      <c r="AS2491" s="81">
        <v>0</v>
      </c>
      <c r="AT2491" s="81">
        <v>0</v>
      </c>
      <c r="AU2491" s="81"/>
      <c r="AV2491" s="81"/>
      <c r="AW2491" s="81"/>
      <c r="AX2491" s="81"/>
      <c r="AY2491" s="81"/>
      <c r="AZ2491" s="81"/>
      <c r="BA2491" s="81"/>
      <c r="BB2491" s="81"/>
    </row>
    <row r="2492" spans="1:54" x14ac:dyDescent="0.35">
      <c r="A2492" s="66" t="s">
        <v>4924</v>
      </c>
      <c r="B2492" s="66" t="s">
        <v>12664</v>
      </c>
      <c r="C2492" s="67"/>
      <c r="D2492" s="68"/>
      <c r="E2492" s="69"/>
      <c r="F2492" s="70"/>
      <c r="G2492" s="67"/>
      <c r="H2492" s="71"/>
      <c r="I2492" s="72"/>
      <c r="J2492" s="72"/>
      <c r="K2492" s="36"/>
      <c r="L2492" s="79"/>
      <c r="M2492" s="79"/>
      <c r="N2492" s="74"/>
      <c r="O2492" s="81" t="s">
        <v>693</v>
      </c>
      <c r="P2492" s="83">
        <v>44469.011180555557</v>
      </c>
      <c r="Q2492" s="81" t="s">
        <v>12800</v>
      </c>
      <c r="R2492" s="81"/>
      <c r="S2492" s="81"/>
      <c r="T2492" s="86" t="s">
        <v>314</v>
      </c>
      <c r="U2492" s="84" t="str">
        <f>HYPERLINK("https://pbs.twimg.com/media/FAeE8WOVQAIxGko.jpg")</f>
        <v>https://pbs.twimg.com/media/FAeE8WOVQAIxGko.jpg</v>
      </c>
      <c r="V2492" s="84" t="str">
        <f>HYPERLINK("https://pbs.twimg.com/media/FAeE8WOVQAIxGko.jpg")</f>
        <v>https://pbs.twimg.com/media/FAeE8WOVQAIxGko.jpg</v>
      </c>
      <c r="W2492" s="83">
        <v>44469.011180555557</v>
      </c>
      <c r="X2492" s="89">
        <v>44469</v>
      </c>
      <c r="Y2492" s="86" t="s">
        <v>13043</v>
      </c>
      <c r="Z2492" s="84" t="str">
        <f>HYPERLINK("https://twitter.com/luviejaemn/status/1443369025002622979")</f>
        <v>https://twitter.com/luviejaemn/status/1443369025002622979</v>
      </c>
      <c r="AA2492" s="81"/>
      <c r="AB2492" s="81"/>
      <c r="AC2492" s="86" t="s">
        <v>13284</v>
      </c>
      <c r="AD2492" s="81"/>
      <c r="AE2492" s="81" t="b">
        <v>0</v>
      </c>
      <c r="AF2492" s="81">
        <v>0</v>
      </c>
      <c r="AG2492" s="86" t="s">
        <v>2084</v>
      </c>
      <c r="AH2492" s="81" t="b">
        <v>0</v>
      </c>
      <c r="AI2492" s="81" t="s">
        <v>2168</v>
      </c>
      <c r="AJ2492" s="81"/>
      <c r="AK2492" s="86" t="s">
        <v>2084</v>
      </c>
      <c r="AL2492" s="81" t="b">
        <v>0</v>
      </c>
      <c r="AM2492" s="81">
        <v>31</v>
      </c>
      <c r="AN2492" s="86" t="s">
        <v>13353</v>
      </c>
      <c r="AO2492" s="86" t="s">
        <v>2178</v>
      </c>
      <c r="AP2492" s="81" t="b">
        <v>0</v>
      </c>
      <c r="AQ2492" s="86" t="s">
        <v>13353</v>
      </c>
      <c r="AR2492" s="81" t="s">
        <v>179</v>
      </c>
      <c r="AS2492" s="81">
        <v>0</v>
      </c>
      <c r="AT2492" s="81">
        <v>0</v>
      </c>
      <c r="AU2492" s="81"/>
      <c r="AV2492" s="81"/>
      <c r="AW2492" s="81"/>
      <c r="AX2492" s="81"/>
      <c r="AY2492" s="81"/>
      <c r="AZ2492" s="81"/>
      <c r="BA2492" s="81"/>
      <c r="BB2492" s="81"/>
    </row>
    <row r="2493" spans="1:54" x14ac:dyDescent="0.35">
      <c r="A2493" s="66" t="s">
        <v>4924</v>
      </c>
      <c r="B2493" s="66" t="s">
        <v>12664</v>
      </c>
      <c r="C2493" s="67"/>
      <c r="D2493" s="68"/>
      <c r="E2493" s="69"/>
      <c r="F2493" s="70"/>
      <c r="G2493" s="67"/>
      <c r="H2493" s="71"/>
      <c r="I2493" s="72"/>
      <c r="J2493" s="72"/>
      <c r="K2493" s="36"/>
      <c r="L2493" s="79"/>
      <c r="M2493" s="79"/>
      <c r="N2493" s="74"/>
      <c r="O2493" s="81" t="s">
        <v>693</v>
      </c>
      <c r="P2493" s="83">
        <v>44469.011689814812</v>
      </c>
      <c r="Q2493" s="81" t="s">
        <v>12799</v>
      </c>
      <c r="R2493" s="81"/>
      <c r="S2493" s="81"/>
      <c r="T2493" s="86" t="s">
        <v>314</v>
      </c>
      <c r="U2493" s="84" t="str">
        <f>HYPERLINK("https://pbs.twimg.com/media/FAeEF_8UcAAAgih.jpg")</f>
        <v>https://pbs.twimg.com/media/FAeEF_8UcAAAgih.jpg</v>
      </c>
      <c r="V2493" s="84" t="str">
        <f>HYPERLINK("https://pbs.twimg.com/media/FAeEF_8UcAAAgih.jpg")</f>
        <v>https://pbs.twimg.com/media/FAeEF_8UcAAAgih.jpg</v>
      </c>
      <c r="W2493" s="83">
        <v>44469.011689814812</v>
      </c>
      <c r="X2493" s="89">
        <v>44469</v>
      </c>
      <c r="Y2493" s="86" t="s">
        <v>13044</v>
      </c>
      <c r="Z2493" s="84" t="str">
        <f>HYPERLINK("https://twitter.com/luviejaemn/status/1443369208872509440")</f>
        <v>https://twitter.com/luviejaemn/status/1443369208872509440</v>
      </c>
      <c r="AA2493" s="81"/>
      <c r="AB2493" s="81"/>
      <c r="AC2493" s="86" t="s">
        <v>13285</v>
      </c>
      <c r="AD2493" s="81"/>
      <c r="AE2493" s="81" t="b">
        <v>0</v>
      </c>
      <c r="AF2493" s="81">
        <v>0</v>
      </c>
      <c r="AG2493" s="86" t="s">
        <v>2084</v>
      </c>
      <c r="AH2493" s="81" t="b">
        <v>0</v>
      </c>
      <c r="AI2493" s="81" t="s">
        <v>2168</v>
      </c>
      <c r="AJ2493" s="81"/>
      <c r="AK2493" s="86" t="s">
        <v>2084</v>
      </c>
      <c r="AL2493" s="81" t="b">
        <v>0</v>
      </c>
      <c r="AM2493" s="81">
        <v>42</v>
      </c>
      <c r="AN2493" s="86" t="s">
        <v>13352</v>
      </c>
      <c r="AO2493" s="86" t="s">
        <v>2178</v>
      </c>
      <c r="AP2493" s="81" t="b">
        <v>0</v>
      </c>
      <c r="AQ2493" s="86" t="s">
        <v>13352</v>
      </c>
      <c r="AR2493" s="81" t="s">
        <v>179</v>
      </c>
      <c r="AS2493" s="81">
        <v>0</v>
      </c>
      <c r="AT2493" s="81">
        <v>0</v>
      </c>
      <c r="AU2493" s="81"/>
      <c r="AV2493" s="81"/>
      <c r="AW2493" s="81"/>
      <c r="AX2493" s="81"/>
      <c r="AY2493" s="81"/>
      <c r="AZ2493" s="81"/>
      <c r="BA2493" s="81"/>
      <c r="BB2493" s="81"/>
    </row>
    <row r="2494" spans="1:54" x14ac:dyDescent="0.35">
      <c r="A2494" s="66" t="s">
        <v>12616</v>
      </c>
      <c r="B2494" s="66" t="s">
        <v>4901</v>
      </c>
      <c r="C2494" s="67"/>
      <c r="D2494" s="68"/>
      <c r="E2494" s="69"/>
      <c r="F2494" s="70"/>
      <c r="G2494" s="67"/>
      <c r="H2494" s="71"/>
      <c r="I2494" s="72"/>
      <c r="J2494" s="72"/>
      <c r="K2494" s="36"/>
      <c r="L2494" s="79"/>
      <c r="M2494" s="79"/>
      <c r="N2494" s="74"/>
      <c r="O2494" s="81" t="s">
        <v>695</v>
      </c>
      <c r="P2494" s="83">
        <v>44469.019085648149</v>
      </c>
      <c r="Q2494" s="81" t="s">
        <v>12820</v>
      </c>
      <c r="R2494" s="81"/>
      <c r="S2494" s="81"/>
      <c r="T2494" s="81"/>
      <c r="U2494" s="81"/>
      <c r="V2494" s="84" t="str">
        <f>HYPERLINK("https://pbs.twimg.com/profile_images/1312252812684713984/We_Y9It8_normal.jpg")</f>
        <v>https://pbs.twimg.com/profile_images/1312252812684713984/We_Y9It8_normal.jpg</v>
      </c>
      <c r="W2494" s="83">
        <v>44469.019085648149</v>
      </c>
      <c r="X2494" s="89">
        <v>44469</v>
      </c>
      <c r="Y2494" s="86" t="s">
        <v>13045</v>
      </c>
      <c r="Z2494" s="84" t="str">
        <f>HYPERLINK("https://twitter.com/kokosungjin/status/1443371888932130816")</f>
        <v>https://twitter.com/kokosungjin/status/1443371888932130816</v>
      </c>
      <c r="AA2494" s="81"/>
      <c r="AB2494" s="81"/>
      <c r="AC2494" s="86" t="s">
        <v>13286</v>
      </c>
      <c r="AD2494" s="81"/>
      <c r="AE2494" s="81" t="b">
        <v>0</v>
      </c>
      <c r="AF2494" s="81">
        <v>0</v>
      </c>
      <c r="AG2494" s="86" t="s">
        <v>9786</v>
      </c>
      <c r="AH2494" s="81" t="b">
        <v>0</v>
      </c>
      <c r="AI2494" s="81" t="s">
        <v>2167</v>
      </c>
      <c r="AJ2494" s="81"/>
      <c r="AK2494" s="86" t="s">
        <v>2084</v>
      </c>
      <c r="AL2494" s="81" t="b">
        <v>0</v>
      </c>
      <c r="AM2494" s="81">
        <v>0</v>
      </c>
      <c r="AN2494" s="86" t="s">
        <v>2084</v>
      </c>
      <c r="AO2494" s="86" t="s">
        <v>2179</v>
      </c>
      <c r="AP2494" s="81" t="b">
        <v>0</v>
      </c>
      <c r="AQ2494" s="86" t="s">
        <v>13286</v>
      </c>
      <c r="AR2494" s="81" t="s">
        <v>179</v>
      </c>
      <c r="AS2494" s="81">
        <v>0</v>
      </c>
      <c r="AT2494" s="81">
        <v>0</v>
      </c>
      <c r="AU2494" s="81"/>
      <c r="AV2494" s="81"/>
      <c r="AW2494" s="81"/>
      <c r="AX2494" s="81"/>
      <c r="AY2494" s="81"/>
      <c r="AZ2494" s="81"/>
      <c r="BA2494" s="81"/>
      <c r="BB2494" s="81"/>
    </row>
    <row r="2495" spans="1:54" x14ac:dyDescent="0.35">
      <c r="A2495" s="66" t="s">
        <v>12617</v>
      </c>
      <c r="B2495" s="66" t="s">
        <v>12617</v>
      </c>
      <c r="C2495" s="67"/>
      <c r="D2495" s="68"/>
      <c r="E2495" s="69"/>
      <c r="F2495" s="70"/>
      <c r="G2495" s="67"/>
      <c r="H2495" s="71"/>
      <c r="I2495" s="72"/>
      <c r="J2495" s="72"/>
      <c r="K2495" s="36"/>
      <c r="L2495" s="79"/>
      <c r="M2495" s="79"/>
      <c r="N2495" s="74"/>
      <c r="O2495" s="81" t="s">
        <v>179</v>
      </c>
      <c r="P2495" s="83">
        <v>44469.019456018519</v>
      </c>
      <c r="Q2495" s="81" t="s">
        <v>12821</v>
      </c>
      <c r="R2495" s="84" t="str">
        <f>HYPERLINK("https://twitter.com/CaioBellandi/status/1443349698392334341")</f>
        <v>https://twitter.com/CaioBellandi/status/1443349698392334341</v>
      </c>
      <c r="S2495" s="81" t="s">
        <v>936</v>
      </c>
      <c r="T2495" s="81"/>
      <c r="U2495" s="81"/>
      <c r="V2495" s="84" t="str">
        <f>HYPERLINK("https://pbs.twimg.com/profile_images/1413186868498272263/bLC3ND66_normal.jpg")</f>
        <v>https://pbs.twimg.com/profile_images/1413186868498272263/bLC3ND66_normal.jpg</v>
      </c>
      <c r="W2495" s="83">
        <v>44469.019456018519</v>
      </c>
      <c r="X2495" s="89">
        <v>44469</v>
      </c>
      <c r="Y2495" s="86" t="s">
        <v>13046</v>
      </c>
      <c r="Z2495" s="84" t="str">
        <f>HYPERLINK("https://twitter.com/chriscrfla/status/1443372022495592456")</f>
        <v>https://twitter.com/chriscrfla/status/1443372022495592456</v>
      </c>
      <c r="AA2495" s="81"/>
      <c r="AB2495" s="81"/>
      <c r="AC2495" s="86" t="s">
        <v>13287</v>
      </c>
      <c r="AD2495" s="81"/>
      <c r="AE2495" s="81" t="b">
        <v>0</v>
      </c>
      <c r="AF2495" s="81">
        <v>0</v>
      </c>
      <c r="AG2495" s="86" t="s">
        <v>2084</v>
      </c>
      <c r="AH2495" s="81" t="b">
        <v>1</v>
      </c>
      <c r="AI2495" s="81" t="s">
        <v>2171</v>
      </c>
      <c r="AJ2495" s="81"/>
      <c r="AK2495" s="86" t="s">
        <v>13439</v>
      </c>
      <c r="AL2495" s="81" t="b">
        <v>0</v>
      </c>
      <c r="AM2495" s="81">
        <v>0</v>
      </c>
      <c r="AN2495" s="86" t="s">
        <v>2084</v>
      </c>
      <c r="AO2495" s="86" t="s">
        <v>2178</v>
      </c>
      <c r="AP2495" s="81" t="b">
        <v>0</v>
      </c>
      <c r="AQ2495" s="86" t="s">
        <v>13287</v>
      </c>
      <c r="AR2495" s="81" t="s">
        <v>179</v>
      </c>
      <c r="AS2495" s="81">
        <v>0</v>
      </c>
      <c r="AT2495" s="81">
        <v>0</v>
      </c>
      <c r="AU2495" s="81"/>
      <c r="AV2495" s="81"/>
      <c r="AW2495" s="81"/>
      <c r="AX2495" s="81"/>
      <c r="AY2495" s="81"/>
      <c r="AZ2495" s="81"/>
      <c r="BA2495" s="81"/>
      <c r="BB2495" s="81"/>
    </row>
    <row r="2496" spans="1:54" x14ac:dyDescent="0.35">
      <c r="A2496" s="66" t="s">
        <v>12618</v>
      </c>
      <c r="B2496" s="66" t="s">
        <v>12618</v>
      </c>
      <c r="C2496" s="67"/>
      <c r="D2496" s="68"/>
      <c r="E2496" s="69"/>
      <c r="F2496" s="70"/>
      <c r="G2496" s="67"/>
      <c r="H2496" s="71"/>
      <c r="I2496" s="72"/>
      <c r="J2496" s="72"/>
      <c r="K2496" s="36"/>
      <c r="L2496" s="79"/>
      <c r="M2496" s="79"/>
      <c r="N2496" s="74"/>
      <c r="O2496" s="81" t="s">
        <v>179</v>
      </c>
      <c r="P2496" s="83">
        <v>44468.844525462962</v>
      </c>
      <c r="Q2496" s="81" t="s">
        <v>12814</v>
      </c>
      <c r="R2496" s="81"/>
      <c r="S2496" s="81"/>
      <c r="T2496" s="81"/>
      <c r="U2496" s="84" t="str">
        <f>HYPERLINK("https://pbs.twimg.com/media/FAepjIZXoAIjGFI.jpg")</f>
        <v>https://pbs.twimg.com/media/FAepjIZXoAIjGFI.jpg</v>
      </c>
      <c r="V2496" s="84" t="str">
        <f>HYPERLINK("https://pbs.twimg.com/media/FAepjIZXoAIjGFI.jpg")</f>
        <v>https://pbs.twimg.com/media/FAepjIZXoAIjGFI.jpg</v>
      </c>
      <c r="W2496" s="83">
        <v>44468.844525462962</v>
      </c>
      <c r="X2496" s="89">
        <v>44468</v>
      </c>
      <c r="Y2496" s="86" t="s">
        <v>13047</v>
      </c>
      <c r="Z2496" s="84" t="str">
        <f>HYPERLINK("https://twitter.com/gremiothreads/status/1443308628971294722")</f>
        <v>https://twitter.com/gremiothreads/status/1443308628971294722</v>
      </c>
      <c r="AA2496" s="81"/>
      <c r="AB2496" s="81"/>
      <c r="AC2496" s="86" t="s">
        <v>13288</v>
      </c>
      <c r="AD2496" s="81"/>
      <c r="AE2496" s="81" t="b">
        <v>0</v>
      </c>
      <c r="AF2496" s="81">
        <v>29</v>
      </c>
      <c r="AG2496" s="86" t="s">
        <v>2084</v>
      </c>
      <c r="AH2496" s="81" t="b">
        <v>0</v>
      </c>
      <c r="AI2496" s="81" t="s">
        <v>2171</v>
      </c>
      <c r="AJ2496" s="81"/>
      <c r="AK2496" s="86" t="s">
        <v>2084</v>
      </c>
      <c r="AL2496" s="81" t="b">
        <v>0</v>
      </c>
      <c r="AM2496" s="81">
        <v>12</v>
      </c>
      <c r="AN2496" s="86" t="s">
        <v>2084</v>
      </c>
      <c r="AO2496" s="86" t="s">
        <v>2178</v>
      </c>
      <c r="AP2496" s="81" t="b">
        <v>0</v>
      </c>
      <c r="AQ2496" s="86" t="s">
        <v>13288</v>
      </c>
      <c r="AR2496" s="81" t="s">
        <v>179</v>
      </c>
      <c r="AS2496" s="81">
        <v>0</v>
      </c>
      <c r="AT2496" s="81">
        <v>0</v>
      </c>
      <c r="AU2496" s="81"/>
      <c r="AV2496" s="81"/>
      <c r="AW2496" s="81"/>
      <c r="AX2496" s="81"/>
      <c r="AY2496" s="81"/>
      <c r="AZ2496" s="81"/>
      <c r="BA2496" s="81"/>
      <c r="BB2496" s="81"/>
    </row>
    <row r="2497" spans="1:54" x14ac:dyDescent="0.35">
      <c r="A2497" s="66" t="s">
        <v>12619</v>
      </c>
      <c r="B2497" s="66" t="s">
        <v>12618</v>
      </c>
      <c r="C2497" s="67"/>
      <c r="D2497" s="68"/>
      <c r="E2497" s="69"/>
      <c r="F2497" s="70"/>
      <c r="G2497" s="67"/>
      <c r="H2497" s="71"/>
      <c r="I2497" s="72"/>
      <c r="J2497" s="72"/>
      <c r="K2497" s="36"/>
      <c r="L2497" s="79"/>
      <c r="M2497" s="79"/>
      <c r="N2497" s="74"/>
      <c r="O2497" s="81" t="s">
        <v>693</v>
      </c>
      <c r="P2497" s="83">
        <v>44469.02579861111</v>
      </c>
      <c r="Q2497" s="81" t="s">
        <v>12814</v>
      </c>
      <c r="R2497" s="81"/>
      <c r="S2497" s="81"/>
      <c r="T2497" s="81"/>
      <c r="U2497" s="84" t="str">
        <f>HYPERLINK("https://pbs.twimg.com/media/FAepjIZXoAIjGFI.jpg")</f>
        <v>https://pbs.twimg.com/media/FAepjIZXoAIjGFI.jpg</v>
      </c>
      <c r="V2497" s="84" t="str">
        <f>HYPERLINK("https://pbs.twimg.com/media/FAepjIZXoAIjGFI.jpg")</f>
        <v>https://pbs.twimg.com/media/FAepjIZXoAIjGFI.jpg</v>
      </c>
      <c r="W2497" s="83">
        <v>44469.02579861111</v>
      </c>
      <c r="X2497" s="89">
        <v>44469</v>
      </c>
      <c r="Y2497" s="86" t="s">
        <v>13048</v>
      </c>
      <c r="Z2497" s="84" t="str">
        <f>HYPERLINK("https://twitter.com/laurissimaspfc/status/1443374319875366915")</f>
        <v>https://twitter.com/laurissimaspfc/status/1443374319875366915</v>
      </c>
      <c r="AA2497" s="81"/>
      <c r="AB2497" s="81"/>
      <c r="AC2497" s="86" t="s">
        <v>13289</v>
      </c>
      <c r="AD2497" s="81"/>
      <c r="AE2497" s="81" t="b">
        <v>0</v>
      </c>
      <c r="AF2497" s="81">
        <v>0</v>
      </c>
      <c r="AG2497" s="86" t="s">
        <v>2084</v>
      </c>
      <c r="AH2497" s="81" t="b">
        <v>0</v>
      </c>
      <c r="AI2497" s="81" t="s">
        <v>2171</v>
      </c>
      <c r="AJ2497" s="81"/>
      <c r="AK2497" s="86" t="s">
        <v>2084</v>
      </c>
      <c r="AL2497" s="81" t="b">
        <v>0</v>
      </c>
      <c r="AM2497" s="81">
        <v>12</v>
      </c>
      <c r="AN2497" s="86" t="s">
        <v>13288</v>
      </c>
      <c r="AO2497" s="86" t="s">
        <v>2178</v>
      </c>
      <c r="AP2497" s="81" t="b">
        <v>0</v>
      </c>
      <c r="AQ2497" s="86" t="s">
        <v>13288</v>
      </c>
      <c r="AR2497" s="81" t="s">
        <v>179</v>
      </c>
      <c r="AS2497" s="81">
        <v>0</v>
      </c>
      <c r="AT2497" s="81">
        <v>0</v>
      </c>
      <c r="AU2497" s="81"/>
      <c r="AV2497" s="81"/>
      <c r="AW2497" s="81"/>
      <c r="AX2497" s="81"/>
      <c r="AY2497" s="81"/>
      <c r="AZ2497" s="81"/>
      <c r="BA2497" s="81"/>
      <c r="BB2497" s="81"/>
    </row>
    <row r="2498" spans="1:54" x14ac:dyDescent="0.35">
      <c r="A2498" s="66" t="s">
        <v>12620</v>
      </c>
      <c r="B2498" s="66" t="s">
        <v>12620</v>
      </c>
      <c r="C2498" s="67"/>
      <c r="D2498" s="68"/>
      <c r="E2498" s="69"/>
      <c r="F2498" s="70"/>
      <c r="G2498" s="67"/>
      <c r="H2498" s="71"/>
      <c r="I2498" s="72"/>
      <c r="J2498" s="72"/>
      <c r="K2498" s="36"/>
      <c r="L2498" s="79"/>
      <c r="M2498" s="79"/>
      <c r="N2498" s="74"/>
      <c r="O2498" s="81" t="s">
        <v>179</v>
      </c>
      <c r="P2498" s="83">
        <v>44468.935324074075</v>
      </c>
      <c r="Q2498" s="81" t="s">
        <v>12819</v>
      </c>
      <c r="R249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2498" s="81" t="s">
        <v>5686</v>
      </c>
      <c r="T2498" s="81"/>
      <c r="U2498" s="81"/>
      <c r="V2498" s="84" t="str">
        <f>HYPERLINK("https://pbs.twimg.com/profile_images/1441440061124349952/e4lQzpLU_normal.jpg")</f>
        <v>https://pbs.twimg.com/profile_images/1441440061124349952/e4lQzpLU_normal.jpg</v>
      </c>
      <c r="W2498" s="83">
        <v>44468.935324074075</v>
      </c>
      <c r="X2498" s="89">
        <v>44468</v>
      </c>
      <c r="Y2498" s="86" t="s">
        <v>13049</v>
      </c>
      <c r="Z2498" s="84" t="str">
        <f>HYPERLINK("https://twitter.com/l_fighera/status/1443341533508419584")</f>
        <v>https://twitter.com/l_fighera/status/1443341533508419584</v>
      </c>
      <c r="AA2498" s="81"/>
      <c r="AB2498" s="81"/>
      <c r="AC2498" s="86" t="s">
        <v>13290</v>
      </c>
      <c r="AD2498" s="81"/>
      <c r="AE2498" s="81" t="b">
        <v>0</v>
      </c>
      <c r="AF2498" s="81">
        <v>10</v>
      </c>
      <c r="AG2498" s="86" t="s">
        <v>2084</v>
      </c>
      <c r="AH2498" s="81" t="b">
        <v>0</v>
      </c>
      <c r="AI2498" s="81" t="s">
        <v>2171</v>
      </c>
      <c r="AJ2498" s="81"/>
      <c r="AK2498" s="86" t="s">
        <v>2084</v>
      </c>
      <c r="AL2498" s="81" t="b">
        <v>0</v>
      </c>
      <c r="AM2498" s="81">
        <v>7</v>
      </c>
      <c r="AN2498" s="86" t="s">
        <v>2084</v>
      </c>
      <c r="AO2498" s="86" t="s">
        <v>2178</v>
      </c>
      <c r="AP2498" s="81" t="b">
        <v>0</v>
      </c>
      <c r="AQ2498" s="86" t="s">
        <v>13290</v>
      </c>
      <c r="AR2498" s="81" t="s">
        <v>179</v>
      </c>
      <c r="AS2498" s="81">
        <v>0</v>
      </c>
      <c r="AT2498" s="81">
        <v>0</v>
      </c>
      <c r="AU2498" s="81"/>
      <c r="AV2498" s="81"/>
      <c r="AW2498" s="81"/>
      <c r="AX2498" s="81"/>
      <c r="AY2498" s="81"/>
      <c r="AZ2498" s="81"/>
      <c r="BA2498" s="81"/>
      <c r="BB2498" s="81"/>
    </row>
    <row r="2499" spans="1:54" x14ac:dyDescent="0.35">
      <c r="A2499" s="66" t="s">
        <v>12621</v>
      </c>
      <c r="B2499" s="66" t="s">
        <v>12620</v>
      </c>
      <c r="C2499" s="67"/>
      <c r="D2499" s="68"/>
      <c r="E2499" s="69"/>
      <c r="F2499" s="70"/>
      <c r="G2499" s="67"/>
      <c r="H2499" s="71"/>
      <c r="I2499" s="72"/>
      <c r="J2499" s="72"/>
      <c r="K2499" s="36"/>
      <c r="L2499" s="79"/>
      <c r="M2499" s="79"/>
      <c r="N2499" s="74"/>
      <c r="O2499" s="81" t="s">
        <v>693</v>
      </c>
      <c r="P2499" s="83">
        <v>44469.027013888888</v>
      </c>
      <c r="Q2499" s="81" t="s">
        <v>12819</v>
      </c>
      <c r="R249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2499" s="81" t="s">
        <v>5686</v>
      </c>
      <c r="T2499" s="81"/>
      <c r="U2499" s="81"/>
      <c r="V2499" s="84" t="str">
        <f>HYPERLINK("https://pbs.twimg.com/profile_images/1276933993867378693/viv3Jv_E_normal.jpg")</f>
        <v>https://pbs.twimg.com/profile_images/1276933993867378693/viv3Jv_E_normal.jpg</v>
      </c>
      <c r="W2499" s="83">
        <v>44469.027013888888</v>
      </c>
      <c r="X2499" s="89">
        <v>44469</v>
      </c>
      <c r="Y2499" s="86" t="s">
        <v>13050</v>
      </c>
      <c r="Z2499" s="84" t="str">
        <f>HYPERLINK("https://twitter.com/rejaneyarasilv1/status/1443374761757880322")</f>
        <v>https://twitter.com/rejaneyarasilv1/status/1443374761757880322</v>
      </c>
      <c r="AA2499" s="81"/>
      <c r="AB2499" s="81"/>
      <c r="AC2499" s="86" t="s">
        <v>13291</v>
      </c>
      <c r="AD2499" s="81"/>
      <c r="AE2499" s="81" t="b">
        <v>0</v>
      </c>
      <c r="AF2499" s="81">
        <v>0</v>
      </c>
      <c r="AG2499" s="86" t="s">
        <v>2084</v>
      </c>
      <c r="AH2499" s="81" t="b">
        <v>0</v>
      </c>
      <c r="AI2499" s="81" t="s">
        <v>2171</v>
      </c>
      <c r="AJ2499" s="81"/>
      <c r="AK2499" s="86" t="s">
        <v>2084</v>
      </c>
      <c r="AL2499" s="81" t="b">
        <v>0</v>
      </c>
      <c r="AM2499" s="81">
        <v>7</v>
      </c>
      <c r="AN2499" s="86" t="s">
        <v>13290</v>
      </c>
      <c r="AO2499" s="86" t="s">
        <v>2179</v>
      </c>
      <c r="AP2499" s="81" t="b">
        <v>0</v>
      </c>
      <c r="AQ2499" s="86" t="s">
        <v>13290</v>
      </c>
      <c r="AR2499" s="81" t="s">
        <v>179</v>
      </c>
      <c r="AS2499" s="81">
        <v>0</v>
      </c>
      <c r="AT2499" s="81">
        <v>0</v>
      </c>
      <c r="AU2499" s="81"/>
      <c r="AV2499" s="81"/>
      <c r="AW2499" s="81"/>
      <c r="AX2499" s="81"/>
      <c r="AY2499" s="81"/>
      <c r="AZ2499" s="81"/>
      <c r="BA2499" s="81"/>
      <c r="BB2499" s="81"/>
    </row>
    <row r="2500" spans="1:54" x14ac:dyDescent="0.35">
      <c r="A2500" s="66" t="s">
        <v>12622</v>
      </c>
      <c r="B2500" s="66" t="s">
        <v>12664</v>
      </c>
      <c r="C2500" s="67"/>
      <c r="D2500" s="68"/>
      <c r="E2500" s="69"/>
      <c r="F2500" s="70"/>
      <c r="G2500" s="67"/>
      <c r="H2500" s="71"/>
      <c r="I2500" s="72"/>
      <c r="J2500" s="72"/>
      <c r="K2500" s="36"/>
      <c r="L2500" s="79"/>
      <c r="M2500" s="79"/>
      <c r="N2500" s="74"/>
      <c r="O2500" s="81" t="s">
        <v>693</v>
      </c>
      <c r="P2500" s="83">
        <v>44469.033148148148</v>
      </c>
      <c r="Q2500" s="81" t="s">
        <v>12800</v>
      </c>
      <c r="R2500" s="81"/>
      <c r="S2500" s="81"/>
      <c r="T2500" s="86" t="s">
        <v>314</v>
      </c>
      <c r="U2500" s="84" t="str">
        <f>HYPERLINK("https://pbs.twimg.com/media/FAeE8WOVQAIxGko.jpg")</f>
        <v>https://pbs.twimg.com/media/FAeE8WOVQAIxGko.jpg</v>
      </c>
      <c r="V2500" s="84" t="str">
        <f>HYPERLINK("https://pbs.twimg.com/media/FAeE8WOVQAIxGko.jpg")</f>
        <v>https://pbs.twimg.com/media/FAeE8WOVQAIxGko.jpg</v>
      </c>
      <c r="W2500" s="83">
        <v>44469.033148148148</v>
      </c>
      <c r="X2500" s="89">
        <v>44469</v>
      </c>
      <c r="Y2500" s="86" t="s">
        <v>13051</v>
      </c>
      <c r="Z2500" s="84" t="str">
        <f>HYPERLINK("https://twitter.com/fairyschengg/status/1443376984927571968")</f>
        <v>https://twitter.com/fairyschengg/status/1443376984927571968</v>
      </c>
      <c r="AA2500" s="81"/>
      <c r="AB2500" s="81"/>
      <c r="AC2500" s="86" t="s">
        <v>13292</v>
      </c>
      <c r="AD2500" s="81"/>
      <c r="AE2500" s="81" t="b">
        <v>0</v>
      </c>
      <c r="AF2500" s="81">
        <v>0</v>
      </c>
      <c r="AG2500" s="86" t="s">
        <v>2084</v>
      </c>
      <c r="AH2500" s="81" t="b">
        <v>0</v>
      </c>
      <c r="AI2500" s="81" t="s">
        <v>2168</v>
      </c>
      <c r="AJ2500" s="81"/>
      <c r="AK2500" s="86" t="s">
        <v>2084</v>
      </c>
      <c r="AL2500" s="81" t="b">
        <v>0</v>
      </c>
      <c r="AM2500" s="81">
        <v>31</v>
      </c>
      <c r="AN2500" s="86" t="s">
        <v>13353</v>
      </c>
      <c r="AO2500" s="86" t="s">
        <v>2178</v>
      </c>
      <c r="AP2500" s="81" t="b">
        <v>0</v>
      </c>
      <c r="AQ2500" s="86" t="s">
        <v>13353</v>
      </c>
      <c r="AR2500" s="81" t="s">
        <v>179</v>
      </c>
      <c r="AS2500" s="81">
        <v>0</v>
      </c>
      <c r="AT2500" s="81">
        <v>0</v>
      </c>
      <c r="AU2500" s="81"/>
      <c r="AV2500" s="81"/>
      <c r="AW2500" s="81"/>
      <c r="AX2500" s="81"/>
      <c r="AY2500" s="81"/>
      <c r="AZ2500" s="81"/>
      <c r="BA2500" s="81"/>
      <c r="BB2500" s="81"/>
    </row>
    <row r="2501" spans="1:54" x14ac:dyDescent="0.35">
      <c r="A2501" s="66" t="s">
        <v>12623</v>
      </c>
      <c r="B2501" s="66" t="s">
        <v>12716</v>
      </c>
      <c r="C2501" s="67"/>
      <c r="D2501" s="68"/>
      <c r="E2501" s="69"/>
      <c r="F2501" s="70"/>
      <c r="G2501" s="67"/>
      <c r="H2501" s="71"/>
      <c r="I2501" s="72"/>
      <c r="J2501" s="72"/>
      <c r="K2501" s="36"/>
      <c r="L2501" s="79"/>
      <c r="M2501" s="79"/>
      <c r="N2501" s="74"/>
      <c r="O2501" s="81" t="s">
        <v>696</v>
      </c>
      <c r="P2501" s="83">
        <v>44469.03496527778</v>
      </c>
      <c r="Q2501" s="81" t="s">
        <v>12822</v>
      </c>
      <c r="R2501" s="81"/>
      <c r="S2501" s="81"/>
      <c r="T2501" s="81"/>
      <c r="U2501" s="81"/>
      <c r="V2501" s="84" t="str">
        <f>HYPERLINK("https://pbs.twimg.com/profile_images/914553779336417281/fB7XW78j_normal.jpg")</f>
        <v>https://pbs.twimg.com/profile_images/914553779336417281/fB7XW78j_normal.jpg</v>
      </c>
      <c r="W2501" s="83">
        <v>44469.03496527778</v>
      </c>
      <c r="X2501" s="89">
        <v>44469</v>
      </c>
      <c r="Y2501" s="86" t="s">
        <v>13052</v>
      </c>
      <c r="Z2501" s="84" t="str">
        <f>HYPERLINK("https://twitter.com/seabraped/status/1443377642196152321")</f>
        <v>https://twitter.com/seabraped/status/1443377642196152321</v>
      </c>
      <c r="AA2501" s="81"/>
      <c r="AB2501" s="81"/>
      <c r="AC2501" s="86" t="s">
        <v>13293</v>
      </c>
      <c r="AD2501" s="86" t="s">
        <v>13389</v>
      </c>
      <c r="AE2501" s="81" t="b">
        <v>0</v>
      </c>
      <c r="AF2501" s="81">
        <v>0</v>
      </c>
      <c r="AG2501" s="86" t="s">
        <v>13427</v>
      </c>
      <c r="AH2501" s="81" t="b">
        <v>0</v>
      </c>
      <c r="AI2501" s="81" t="s">
        <v>2171</v>
      </c>
      <c r="AJ2501" s="81"/>
      <c r="AK2501" s="86" t="s">
        <v>2084</v>
      </c>
      <c r="AL2501" s="81" t="b">
        <v>0</v>
      </c>
      <c r="AM2501" s="81">
        <v>0</v>
      </c>
      <c r="AN2501" s="86" t="s">
        <v>2084</v>
      </c>
      <c r="AO2501" s="86" t="s">
        <v>2179</v>
      </c>
      <c r="AP2501" s="81" t="b">
        <v>0</v>
      </c>
      <c r="AQ2501" s="86" t="s">
        <v>13389</v>
      </c>
      <c r="AR2501" s="81" t="s">
        <v>179</v>
      </c>
      <c r="AS2501" s="81">
        <v>0</v>
      </c>
      <c r="AT2501" s="81">
        <v>0</v>
      </c>
      <c r="AU2501" s="81"/>
      <c r="AV2501" s="81"/>
      <c r="AW2501" s="81"/>
      <c r="AX2501" s="81"/>
      <c r="AY2501" s="81"/>
      <c r="AZ2501" s="81"/>
      <c r="BA2501" s="81"/>
      <c r="BB2501" s="81"/>
    </row>
    <row r="2502" spans="1:54" x14ac:dyDescent="0.35">
      <c r="A2502" s="66" t="s">
        <v>12623</v>
      </c>
      <c r="B2502" s="66" t="s">
        <v>12717</v>
      </c>
      <c r="C2502" s="67"/>
      <c r="D2502" s="68"/>
      <c r="E2502" s="69"/>
      <c r="F2502" s="70"/>
      <c r="G2502" s="67"/>
      <c r="H2502" s="71"/>
      <c r="I2502" s="72"/>
      <c r="J2502" s="72"/>
      <c r="K2502" s="36"/>
      <c r="L2502" s="79"/>
      <c r="M2502" s="79"/>
      <c r="N2502" s="74"/>
      <c r="O2502" s="81" t="s">
        <v>696</v>
      </c>
      <c r="P2502" s="83">
        <v>44469.03496527778</v>
      </c>
      <c r="Q2502" s="81" t="s">
        <v>12822</v>
      </c>
      <c r="R2502" s="81"/>
      <c r="S2502" s="81"/>
      <c r="T2502" s="81"/>
      <c r="U2502" s="81"/>
      <c r="V2502" s="84" t="str">
        <f>HYPERLINK("https://pbs.twimg.com/profile_images/914553779336417281/fB7XW78j_normal.jpg")</f>
        <v>https://pbs.twimg.com/profile_images/914553779336417281/fB7XW78j_normal.jpg</v>
      </c>
      <c r="W2502" s="83">
        <v>44469.03496527778</v>
      </c>
      <c r="X2502" s="89">
        <v>44469</v>
      </c>
      <c r="Y2502" s="86" t="s">
        <v>13052</v>
      </c>
      <c r="Z2502" s="84" t="str">
        <f>HYPERLINK("https://twitter.com/seabraped/status/1443377642196152321")</f>
        <v>https://twitter.com/seabraped/status/1443377642196152321</v>
      </c>
      <c r="AA2502" s="81"/>
      <c r="AB2502" s="81"/>
      <c r="AC2502" s="86" t="s">
        <v>13293</v>
      </c>
      <c r="AD2502" s="86" t="s">
        <v>13389</v>
      </c>
      <c r="AE2502" s="81" t="b">
        <v>0</v>
      </c>
      <c r="AF2502" s="81">
        <v>0</v>
      </c>
      <c r="AG2502" s="86" t="s">
        <v>13427</v>
      </c>
      <c r="AH2502" s="81" t="b">
        <v>0</v>
      </c>
      <c r="AI2502" s="81" t="s">
        <v>2171</v>
      </c>
      <c r="AJ2502" s="81"/>
      <c r="AK2502" s="86" t="s">
        <v>2084</v>
      </c>
      <c r="AL2502" s="81" t="b">
        <v>0</v>
      </c>
      <c r="AM2502" s="81">
        <v>0</v>
      </c>
      <c r="AN2502" s="86" t="s">
        <v>2084</v>
      </c>
      <c r="AO2502" s="86" t="s">
        <v>2179</v>
      </c>
      <c r="AP2502" s="81" t="b">
        <v>0</v>
      </c>
      <c r="AQ2502" s="86" t="s">
        <v>13389</v>
      </c>
      <c r="AR2502" s="81" t="s">
        <v>179</v>
      </c>
      <c r="AS2502" s="81">
        <v>0</v>
      </c>
      <c r="AT2502" s="81">
        <v>0</v>
      </c>
      <c r="AU2502" s="81"/>
      <c r="AV2502" s="81"/>
      <c r="AW2502" s="81"/>
      <c r="AX2502" s="81"/>
      <c r="AY2502" s="81"/>
      <c r="AZ2502" s="81"/>
      <c r="BA2502" s="81"/>
      <c r="BB2502" s="81"/>
    </row>
    <row r="2503" spans="1:54" x14ac:dyDescent="0.35">
      <c r="A2503" s="66" t="s">
        <v>12623</v>
      </c>
      <c r="B2503" s="66" t="s">
        <v>12718</v>
      </c>
      <c r="C2503" s="67"/>
      <c r="D2503" s="68"/>
      <c r="E2503" s="69"/>
      <c r="F2503" s="70"/>
      <c r="G2503" s="67"/>
      <c r="H2503" s="71"/>
      <c r="I2503" s="72"/>
      <c r="J2503" s="72"/>
      <c r="K2503" s="36"/>
      <c r="L2503" s="79"/>
      <c r="M2503" s="79"/>
      <c r="N2503" s="74"/>
      <c r="O2503" s="81" t="s">
        <v>696</v>
      </c>
      <c r="P2503" s="83">
        <v>44469.03496527778</v>
      </c>
      <c r="Q2503" s="81" t="s">
        <v>12822</v>
      </c>
      <c r="R2503" s="81"/>
      <c r="S2503" s="81"/>
      <c r="T2503" s="81"/>
      <c r="U2503" s="81"/>
      <c r="V2503" s="84" t="str">
        <f>HYPERLINK("https://pbs.twimg.com/profile_images/914553779336417281/fB7XW78j_normal.jpg")</f>
        <v>https://pbs.twimg.com/profile_images/914553779336417281/fB7XW78j_normal.jpg</v>
      </c>
      <c r="W2503" s="83">
        <v>44469.03496527778</v>
      </c>
      <c r="X2503" s="89">
        <v>44469</v>
      </c>
      <c r="Y2503" s="86" t="s">
        <v>13052</v>
      </c>
      <c r="Z2503" s="84" t="str">
        <f>HYPERLINK("https://twitter.com/seabraped/status/1443377642196152321")</f>
        <v>https://twitter.com/seabraped/status/1443377642196152321</v>
      </c>
      <c r="AA2503" s="81"/>
      <c r="AB2503" s="81"/>
      <c r="AC2503" s="86" t="s">
        <v>13293</v>
      </c>
      <c r="AD2503" s="86" t="s">
        <v>13389</v>
      </c>
      <c r="AE2503" s="81" t="b">
        <v>0</v>
      </c>
      <c r="AF2503" s="81">
        <v>0</v>
      </c>
      <c r="AG2503" s="86" t="s">
        <v>13427</v>
      </c>
      <c r="AH2503" s="81" t="b">
        <v>0</v>
      </c>
      <c r="AI2503" s="81" t="s">
        <v>2171</v>
      </c>
      <c r="AJ2503" s="81"/>
      <c r="AK2503" s="86" t="s">
        <v>2084</v>
      </c>
      <c r="AL2503" s="81" t="b">
        <v>0</v>
      </c>
      <c r="AM2503" s="81">
        <v>0</v>
      </c>
      <c r="AN2503" s="86" t="s">
        <v>2084</v>
      </c>
      <c r="AO2503" s="86" t="s">
        <v>2179</v>
      </c>
      <c r="AP2503" s="81" t="b">
        <v>0</v>
      </c>
      <c r="AQ2503" s="86" t="s">
        <v>13389</v>
      </c>
      <c r="AR2503" s="81" t="s">
        <v>179</v>
      </c>
      <c r="AS2503" s="81">
        <v>0</v>
      </c>
      <c r="AT2503" s="81">
        <v>0</v>
      </c>
      <c r="AU2503" s="81"/>
      <c r="AV2503" s="81"/>
      <c r="AW2503" s="81"/>
      <c r="AX2503" s="81"/>
      <c r="AY2503" s="81"/>
      <c r="AZ2503" s="81"/>
      <c r="BA2503" s="81"/>
      <c r="BB2503" s="81"/>
    </row>
    <row r="2504" spans="1:54" x14ac:dyDescent="0.35">
      <c r="A2504" s="66" t="s">
        <v>12623</v>
      </c>
      <c r="B2504" s="66" t="s">
        <v>5138</v>
      </c>
      <c r="C2504" s="67"/>
      <c r="D2504" s="68"/>
      <c r="E2504" s="69"/>
      <c r="F2504" s="70"/>
      <c r="G2504" s="67"/>
      <c r="H2504" s="71"/>
      <c r="I2504" s="72"/>
      <c r="J2504" s="72"/>
      <c r="K2504" s="36"/>
      <c r="L2504" s="79"/>
      <c r="M2504" s="79"/>
      <c r="N2504" s="74"/>
      <c r="O2504" s="81" t="s">
        <v>696</v>
      </c>
      <c r="P2504" s="83">
        <v>44469.03496527778</v>
      </c>
      <c r="Q2504" s="81" t="s">
        <v>12822</v>
      </c>
      <c r="R2504" s="81"/>
      <c r="S2504" s="81"/>
      <c r="T2504" s="81"/>
      <c r="U2504" s="81"/>
      <c r="V2504" s="84" t="str">
        <f>HYPERLINK("https://pbs.twimg.com/profile_images/914553779336417281/fB7XW78j_normal.jpg")</f>
        <v>https://pbs.twimg.com/profile_images/914553779336417281/fB7XW78j_normal.jpg</v>
      </c>
      <c r="W2504" s="83">
        <v>44469.03496527778</v>
      </c>
      <c r="X2504" s="89">
        <v>44469</v>
      </c>
      <c r="Y2504" s="86" t="s">
        <v>13052</v>
      </c>
      <c r="Z2504" s="84" t="str">
        <f>HYPERLINK("https://twitter.com/seabraped/status/1443377642196152321")</f>
        <v>https://twitter.com/seabraped/status/1443377642196152321</v>
      </c>
      <c r="AA2504" s="81"/>
      <c r="AB2504" s="81"/>
      <c r="AC2504" s="86" t="s">
        <v>13293</v>
      </c>
      <c r="AD2504" s="86" t="s">
        <v>13389</v>
      </c>
      <c r="AE2504" s="81" t="b">
        <v>0</v>
      </c>
      <c r="AF2504" s="81">
        <v>0</v>
      </c>
      <c r="AG2504" s="86" t="s">
        <v>13427</v>
      </c>
      <c r="AH2504" s="81" t="b">
        <v>0</v>
      </c>
      <c r="AI2504" s="81" t="s">
        <v>2171</v>
      </c>
      <c r="AJ2504" s="81"/>
      <c r="AK2504" s="86" t="s">
        <v>2084</v>
      </c>
      <c r="AL2504" s="81" t="b">
        <v>0</v>
      </c>
      <c r="AM2504" s="81">
        <v>0</v>
      </c>
      <c r="AN2504" s="86" t="s">
        <v>2084</v>
      </c>
      <c r="AO2504" s="86" t="s">
        <v>2179</v>
      </c>
      <c r="AP2504" s="81" t="b">
        <v>0</v>
      </c>
      <c r="AQ2504" s="86" t="s">
        <v>13389</v>
      </c>
      <c r="AR2504" s="81" t="s">
        <v>179</v>
      </c>
      <c r="AS2504" s="81">
        <v>0</v>
      </c>
      <c r="AT2504" s="81">
        <v>0</v>
      </c>
      <c r="AU2504" s="81"/>
      <c r="AV2504" s="81"/>
      <c r="AW2504" s="81"/>
      <c r="AX2504" s="81"/>
      <c r="AY2504" s="81"/>
      <c r="AZ2504" s="81"/>
      <c r="BA2504" s="81"/>
      <c r="BB2504" s="81"/>
    </row>
    <row r="2505" spans="1:54" x14ac:dyDescent="0.35">
      <c r="A2505" s="66" t="s">
        <v>12623</v>
      </c>
      <c r="B2505" s="66" t="s">
        <v>12719</v>
      </c>
      <c r="C2505" s="67"/>
      <c r="D2505" s="68"/>
      <c r="E2505" s="69"/>
      <c r="F2505" s="70"/>
      <c r="G2505" s="67"/>
      <c r="H2505" s="71"/>
      <c r="I2505" s="72"/>
      <c r="J2505" s="72"/>
      <c r="K2505" s="36"/>
      <c r="L2505" s="79"/>
      <c r="M2505" s="79"/>
      <c r="N2505" s="74"/>
      <c r="O2505" s="81" t="s">
        <v>695</v>
      </c>
      <c r="P2505" s="83">
        <v>44469.03496527778</v>
      </c>
      <c r="Q2505" s="81" t="s">
        <v>12822</v>
      </c>
      <c r="R2505" s="81"/>
      <c r="S2505" s="81"/>
      <c r="T2505" s="81"/>
      <c r="U2505" s="81"/>
      <c r="V2505" s="84" t="str">
        <f>HYPERLINK("https://pbs.twimg.com/profile_images/914553779336417281/fB7XW78j_normal.jpg")</f>
        <v>https://pbs.twimg.com/profile_images/914553779336417281/fB7XW78j_normal.jpg</v>
      </c>
      <c r="W2505" s="83">
        <v>44469.03496527778</v>
      </c>
      <c r="X2505" s="89">
        <v>44469</v>
      </c>
      <c r="Y2505" s="86" t="s">
        <v>13052</v>
      </c>
      <c r="Z2505" s="84" t="str">
        <f>HYPERLINK("https://twitter.com/seabraped/status/1443377642196152321")</f>
        <v>https://twitter.com/seabraped/status/1443377642196152321</v>
      </c>
      <c r="AA2505" s="81"/>
      <c r="AB2505" s="81"/>
      <c r="AC2505" s="86" t="s">
        <v>13293</v>
      </c>
      <c r="AD2505" s="86" t="s">
        <v>13389</v>
      </c>
      <c r="AE2505" s="81" t="b">
        <v>0</v>
      </c>
      <c r="AF2505" s="81">
        <v>0</v>
      </c>
      <c r="AG2505" s="86" t="s">
        <v>13427</v>
      </c>
      <c r="AH2505" s="81" t="b">
        <v>0</v>
      </c>
      <c r="AI2505" s="81" t="s">
        <v>2171</v>
      </c>
      <c r="AJ2505" s="81"/>
      <c r="AK2505" s="86" t="s">
        <v>2084</v>
      </c>
      <c r="AL2505" s="81" t="b">
        <v>0</v>
      </c>
      <c r="AM2505" s="81">
        <v>0</v>
      </c>
      <c r="AN2505" s="86" t="s">
        <v>2084</v>
      </c>
      <c r="AO2505" s="86" t="s">
        <v>2179</v>
      </c>
      <c r="AP2505" s="81" t="b">
        <v>0</v>
      </c>
      <c r="AQ2505" s="86" t="s">
        <v>13389</v>
      </c>
      <c r="AR2505" s="81" t="s">
        <v>179</v>
      </c>
      <c r="AS2505" s="81">
        <v>0</v>
      </c>
      <c r="AT2505" s="81">
        <v>0</v>
      </c>
      <c r="AU2505" s="81"/>
      <c r="AV2505" s="81"/>
      <c r="AW2505" s="81"/>
      <c r="AX2505" s="81"/>
      <c r="AY2505" s="81"/>
      <c r="AZ2505" s="81"/>
      <c r="BA2505" s="81"/>
      <c r="BB2505" s="81"/>
    </row>
    <row r="2506" spans="1:54" x14ac:dyDescent="0.35">
      <c r="A2506" s="66" t="s">
        <v>12624</v>
      </c>
      <c r="B2506" s="66" t="s">
        <v>602</v>
      </c>
      <c r="C2506" s="67"/>
      <c r="D2506" s="68"/>
      <c r="E2506" s="69"/>
      <c r="F2506" s="70"/>
      <c r="G2506" s="67"/>
      <c r="H2506" s="71"/>
      <c r="I2506" s="72"/>
      <c r="J2506" s="72"/>
      <c r="K2506" s="36"/>
      <c r="L2506" s="79"/>
      <c r="M2506" s="79"/>
      <c r="N2506" s="74"/>
      <c r="O2506" s="81" t="s">
        <v>696</v>
      </c>
      <c r="P2506" s="83">
        <v>44469.037083333336</v>
      </c>
      <c r="Q2506" s="81" t="s">
        <v>12823</v>
      </c>
      <c r="R2506" s="81"/>
      <c r="S2506" s="81"/>
      <c r="T2506" s="81"/>
      <c r="U2506" s="84" t="str">
        <f>HYPERLINK("https://pbs.twimg.com/media/FAfpAxCVcAc3ihU.jpg")</f>
        <v>https://pbs.twimg.com/media/FAfpAxCVcAc3ihU.jpg</v>
      </c>
      <c r="V2506" s="84" t="str">
        <f>HYPERLINK("https://pbs.twimg.com/media/FAfpAxCVcAc3ihU.jpg")</f>
        <v>https://pbs.twimg.com/media/FAfpAxCVcAc3ihU.jpg</v>
      </c>
      <c r="W2506" s="83">
        <v>44469.037083333336</v>
      </c>
      <c r="X2506" s="89">
        <v>44469</v>
      </c>
      <c r="Y2506" s="86" t="s">
        <v>13053</v>
      </c>
      <c r="Z2506" s="84" t="str">
        <f>HYPERLINK("https://twitter.com/jpurwa01/status/1443378409803956228")</f>
        <v>https://twitter.com/jpurwa01/status/1443378409803956228</v>
      </c>
      <c r="AA2506" s="81"/>
      <c r="AB2506" s="81"/>
      <c r="AC2506" s="86" t="s">
        <v>13294</v>
      </c>
      <c r="AD2506" s="81"/>
      <c r="AE2506" s="81" t="b">
        <v>0</v>
      </c>
      <c r="AF2506" s="81">
        <v>0</v>
      </c>
      <c r="AG2506" s="86" t="s">
        <v>2740</v>
      </c>
      <c r="AH2506" s="81" t="b">
        <v>0</v>
      </c>
      <c r="AI2506" s="81" t="s">
        <v>2167</v>
      </c>
      <c r="AJ2506" s="81"/>
      <c r="AK2506" s="86" t="s">
        <v>2084</v>
      </c>
      <c r="AL2506" s="81" t="b">
        <v>0</v>
      </c>
      <c r="AM2506" s="81">
        <v>0</v>
      </c>
      <c r="AN2506" s="86" t="s">
        <v>2084</v>
      </c>
      <c r="AO2506" s="86" t="s">
        <v>2179</v>
      </c>
      <c r="AP2506" s="81" t="b">
        <v>0</v>
      </c>
      <c r="AQ2506" s="86" t="s">
        <v>13294</v>
      </c>
      <c r="AR2506" s="81" t="s">
        <v>179</v>
      </c>
      <c r="AS2506" s="81">
        <v>0</v>
      </c>
      <c r="AT2506" s="81">
        <v>0</v>
      </c>
      <c r="AU2506" s="81"/>
      <c r="AV2506" s="81"/>
      <c r="AW2506" s="81"/>
      <c r="AX2506" s="81"/>
      <c r="AY2506" s="81"/>
      <c r="AZ2506" s="81"/>
      <c r="BA2506" s="81"/>
      <c r="BB2506" s="81"/>
    </row>
    <row r="2507" spans="1:54" x14ac:dyDescent="0.35">
      <c r="A2507" s="66" t="s">
        <v>12624</v>
      </c>
      <c r="B2507" s="66" t="s">
        <v>633</v>
      </c>
      <c r="C2507" s="67"/>
      <c r="D2507" s="68"/>
      <c r="E2507" s="69"/>
      <c r="F2507" s="70"/>
      <c r="G2507" s="67"/>
      <c r="H2507" s="71"/>
      <c r="I2507" s="72"/>
      <c r="J2507" s="72"/>
      <c r="K2507" s="36"/>
      <c r="L2507" s="79"/>
      <c r="M2507" s="79"/>
      <c r="N2507" s="74"/>
      <c r="O2507" s="81" t="s">
        <v>696</v>
      </c>
      <c r="P2507" s="83">
        <v>44469.037083333336</v>
      </c>
      <c r="Q2507" s="81" t="s">
        <v>12823</v>
      </c>
      <c r="R2507" s="81"/>
      <c r="S2507" s="81"/>
      <c r="T2507" s="81"/>
      <c r="U2507" s="84" t="str">
        <f>HYPERLINK("https://pbs.twimg.com/media/FAfpAxCVcAc3ihU.jpg")</f>
        <v>https://pbs.twimg.com/media/FAfpAxCVcAc3ihU.jpg</v>
      </c>
      <c r="V2507" s="84" t="str">
        <f>HYPERLINK("https://pbs.twimg.com/media/FAfpAxCVcAc3ihU.jpg")</f>
        <v>https://pbs.twimg.com/media/FAfpAxCVcAc3ihU.jpg</v>
      </c>
      <c r="W2507" s="83">
        <v>44469.037083333336</v>
      </c>
      <c r="X2507" s="89">
        <v>44469</v>
      </c>
      <c r="Y2507" s="86" t="s">
        <v>13053</v>
      </c>
      <c r="Z2507" s="84" t="str">
        <f>HYPERLINK("https://twitter.com/jpurwa01/status/1443378409803956228")</f>
        <v>https://twitter.com/jpurwa01/status/1443378409803956228</v>
      </c>
      <c r="AA2507" s="81"/>
      <c r="AB2507" s="81"/>
      <c r="AC2507" s="86" t="s">
        <v>13294</v>
      </c>
      <c r="AD2507" s="81"/>
      <c r="AE2507" s="81" t="b">
        <v>0</v>
      </c>
      <c r="AF2507" s="81">
        <v>0</v>
      </c>
      <c r="AG2507" s="86" t="s">
        <v>2740</v>
      </c>
      <c r="AH2507" s="81" t="b">
        <v>0</v>
      </c>
      <c r="AI2507" s="81" t="s">
        <v>2167</v>
      </c>
      <c r="AJ2507" s="81"/>
      <c r="AK2507" s="86" t="s">
        <v>2084</v>
      </c>
      <c r="AL2507" s="81" t="b">
        <v>0</v>
      </c>
      <c r="AM2507" s="81">
        <v>0</v>
      </c>
      <c r="AN2507" s="86" t="s">
        <v>2084</v>
      </c>
      <c r="AO2507" s="86" t="s">
        <v>2179</v>
      </c>
      <c r="AP2507" s="81" t="b">
        <v>0</v>
      </c>
      <c r="AQ2507" s="86" t="s">
        <v>13294</v>
      </c>
      <c r="AR2507" s="81" t="s">
        <v>179</v>
      </c>
      <c r="AS2507" s="81">
        <v>0</v>
      </c>
      <c r="AT2507" s="81">
        <v>0</v>
      </c>
      <c r="AU2507" s="81"/>
      <c r="AV2507" s="81"/>
      <c r="AW2507" s="81"/>
      <c r="AX2507" s="81"/>
      <c r="AY2507" s="81"/>
      <c r="AZ2507" s="81"/>
      <c r="BA2507" s="81"/>
      <c r="BB2507" s="81"/>
    </row>
    <row r="2508" spans="1:54" x14ac:dyDescent="0.35">
      <c r="A2508" s="66" t="s">
        <v>12624</v>
      </c>
      <c r="B2508" s="66" t="s">
        <v>613</v>
      </c>
      <c r="C2508" s="67"/>
      <c r="D2508" s="68"/>
      <c r="E2508" s="69"/>
      <c r="F2508" s="70"/>
      <c r="G2508" s="67"/>
      <c r="H2508" s="71"/>
      <c r="I2508" s="72"/>
      <c r="J2508" s="72"/>
      <c r="K2508" s="36"/>
      <c r="L2508" s="79"/>
      <c r="M2508" s="79"/>
      <c r="N2508" s="74"/>
      <c r="O2508" s="81" t="s">
        <v>695</v>
      </c>
      <c r="P2508" s="83">
        <v>44469.037083333336</v>
      </c>
      <c r="Q2508" s="81" t="s">
        <v>12823</v>
      </c>
      <c r="R2508" s="81"/>
      <c r="S2508" s="81"/>
      <c r="T2508" s="81"/>
      <c r="U2508" s="84" t="str">
        <f>HYPERLINK("https://pbs.twimg.com/media/FAfpAxCVcAc3ihU.jpg")</f>
        <v>https://pbs.twimg.com/media/FAfpAxCVcAc3ihU.jpg</v>
      </c>
      <c r="V2508" s="84" t="str">
        <f>HYPERLINK("https://pbs.twimg.com/media/FAfpAxCVcAc3ihU.jpg")</f>
        <v>https://pbs.twimg.com/media/FAfpAxCVcAc3ihU.jpg</v>
      </c>
      <c r="W2508" s="83">
        <v>44469.037083333336</v>
      </c>
      <c r="X2508" s="89">
        <v>44469</v>
      </c>
      <c r="Y2508" s="86" t="s">
        <v>13053</v>
      </c>
      <c r="Z2508" s="84" t="str">
        <f>HYPERLINK("https://twitter.com/jpurwa01/status/1443378409803956228")</f>
        <v>https://twitter.com/jpurwa01/status/1443378409803956228</v>
      </c>
      <c r="AA2508" s="81"/>
      <c r="AB2508" s="81"/>
      <c r="AC2508" s="86" t="s">
        <v>13294</v>
      </c>
      <c r="AD2508" s="81"/>
      <c r="AE2508" s="81" t="b">
        <v>0</v>
      </c>
      <c r="AF2508" s="81">
        <v>0</v>
      </c>
      <c r="AG2508" s="86" t="s">
        <v>2740</v>
      </c>
      <c r="AH2508" s="81" t="b">
        <v>0</v>
      </c>
      <c r="AI2508" s="81" t="s">
        <v>2167</v>
      </c>
      <c r="AJ2508" s="81"/>
      <c r="AK2508" s="86" t="s">
        <v>2084</v>
      </c>
      <c r="AL2508" s="81" t="b">
        <v>0</v>
      </c>
      <c r="AM2508" s="81">
        <v>0</v>
      </c>
      <c r="AN2508" s="86" t="s">
        <v>2084</v>
      </c>
      <c r="AO2508" s="86" t="s">
        <v>2179</v>
      </c>
      <c r="AP2508" s="81" t="b">
        <v>0</v>
      </c>
      <c r="AQ2508" s="86" t="s">
        <v>13294</v>
      </c>
      <c r="AR2508" s="81" t="s">
        <v>179</v>
      </c>
      <c r="AS2508" s="81">
        <v>0</v>
      </c>
      <c r="AT2508" s="81">
        <v>0</v>
      </c>
      <c r="AU2508" s="81"/>
      <c r="AV2508" s="81"/>
      <c r="AW2508" s="81"/>
      <c r="AX2508" s="81"/>
      <c r="AY2508" s="81"/>
      <c r="AZ2508" s="81"/>
      <c r="BA2508" s="81"/>
      <c r="BB2508" s="81"/>
    </row>
    <row r="2509" spans="1:54" x14ac:dyDescent="0.35">
      <c r="A2509" s="66" t="s">
        <v>12625</v>
      </c>
      <c r="B2509" s="66" t="s">
        <v>4987</v>
      </c>
      <c r="C2509" s="67"/>
      <c r="D2509" s="68"/>
      <c r="E2509" s="69"/>
      <c r="F2509" s="70"/>
      <c r="G2509" s="67"/>
      <c r="H2509" s="71"/>
      <c r="I2509" s="72"/>
      <c r="J2509" s="72"/>
      <c r="K2509" s="36"/>
      <c r="L2509" s="79"/>
      <c r="M2509" s="79"/>
      <c r="N2509" s="74"/>
      <c r="O2509" s="81" t="s">
        <v>695</v>
      </c>
      <c r="P2509" s="83">
        <v>44469.044583333336</v>
      </c>
      <c r="Q2509" s="81" t="s">
        <v>12824</v>
      </c>
      <c r="R2509" s="81"/>
      <c r="S2509" s="81"/>
      <c r="T2509" s="81"/>
      <c r="U2509" s="81"/>
      <c r="V2509" s="84" t="str">
        <f>HYPERLINK("https://pbs.twimg.com/profile_images/1426660685325512708/RTzC29ne_normal.jpg")</f>
        <v>https://pbs.twimg.com/profile_images/1426660685325512708/RTzC29ne_normal.jpg</v>
      </c>
      <c r="W2509" s="83">
        <v>44469.044583333336</v>
      </c>
      <c r="X2509" s="89">
        <v>44469</v>
      </c>
      <c r="Y2509" s="86" t="s">
        <v>13054</v>
      </c>
      <c r="Z2509" s="84" t="str">
        <f>HYPERLINK("https://twitter.com/michell15303291/status/1443381130791641089")</f>
        <v>https://twitter.com/michell15303291/status/1443381130791641089</v>
      </c>
      <c r="AA2509" s="81"/>
      <c r="AB2509" s="81"/>
      <c r="AC2509" s="86" t="s">
        <v>13295</v>
      </c>
      <c r="AD2509" s="86" t="s">
        <v>13390</v>
      </c>
      <c r="AE2509" s="81" t="b">
        <v>0</v>
      </c>
      <c r="AF2509" s="81">
        <v>4</v>
      </c>
      <c r="AG2509" s="86" t="s">
        <v>7956</v>
      </c>
      <c r="AH2509" s="81" t="b">
        <v>0</v>
      </c>
      <c r="AI2509" s="81" t="s">
        <v>2171</v>
      </c>
      <c r="AJ2509" s="81"/>
      <c r="AK2509" s="86" t="s">
        <v>2084</v>
      </c>
      <c r="AL2509" s="81" t="b">
        <v>0</v>
      </c>
      <c r="AM2509" s="81">
        <v>0</v>
      </c>
      <c r="AN2509" s="86" t="s">
        <v>2084</v>
      </c>
      <c r="AO2509" s="86" t="s">
        <v>2178</v>
      </c>
      <c r="AP2509" s="81" t="b">
        <v>0</v>
      </c>
      <c r="AQ2509" s="86" t="s">
        <v>13390</v>
      </c>
      <c r="AR2509" s="81" t="s">
        <v>179</v>
      </c>
      <c r="AS2509" s="81">
        <v>0</v>
      </c>
      <c r="AT2509" s="81">
        <v>0</v>
      </c>
      <c r="AU2509" s="81"/>
      <c r="AV2509" s="81"/>
      <c r="AW2509" s="81"/>
      <c r="AX2509" s="81"/>
      <c r="AY2509" s="81"/>
      <c r="AZ2509" s="81"/>
      <c r="BA2509" s="81"/>
      <c r="BB2509" s="81"/>
    </row>
    <row r="2510" spans="1:54" x14ac:dyDescent="0.35">
      <c r="A2510" s="66" t="s">
        <v>12626</v>
      </c>
      <c r="B2510" s="66" t="s">
        <v>12720</v>
      </c>
      <c r="C2510" s="67"/>
      <c r="D2510" s="68"/>
      <c r="E2510" s="69"/>
      <c r="F2510" s="70"/>
      <c r="G2510" s="67"/>
      <c r="H2510" s="71"/>
      <c r="I2510" s="72"/>
      <c r="J2510" s="72"/>
      <c r="K2510" s="36"/>
      <c r="L2510" s="79"/>
      <c r="M2510" s="79"/>
      <c r="N2510" s="74"/>
      <c r="O2510" s="81" t="s">
        <v>696</v>
      </c>
      <c r="P2510" s="83">
        <v>44469.056041666663</v>
      </c>
      <c r="Q2510" s="81" t="s">
        <v>12825</v>
      </c>
      <c r="R2510" s="81"/>
      <c r="S2510" s="81"/>
      <c r="T2510" s="81"/>
      <c r="U2510" s="81"/>
      <c r="V2510" s="84" t="str">
        <f>HYPERLINK("https://pbs.twimg.com/profile_images/1190631052462698497/XihaagVy_normal.jpg")</f>
        <v>https://pbs.twimg.com/profile_images/1190631052462698497/XihaagVy_normal.jpg</v>
      </c>
      <c r="W2510" s="83">
        <v>44469.056041666663</v>
      </c>
      <c r="X2510" s="89">
        <v>44469</v>
      </c>
      <c r="Y2510" s="86" t="s">
        <v>13055</v>
      </c>
      <c r="Z2510" s="84" t="str">
        <f>HYPERLINK("https://twitter.com/riccard4andre/status/1443385279398780934")</f>
        <v>https://twitter.com/riccard4andre/status/1443385279398780934</v>
      </c>
      <c r="AA2510" s="81"/>
      <c r="AB2510" s="81"/>
      <c r="AC2510" s="86" t="s">
        <v>13296</v>
      </c>
      <c r="AD2510" s="86" t="s">
        <v>13391</v>
      </c>
      <c r="AE2510" s="81" t="b">
        <v>0</v>
      </c>
      <c r="AF2510" s="81">
        <v>0</v>
      </c>
      <c r="AG2510" s="86" t="s">
        <v>13428</v>
      </c>
      <c r="AH2510" s="81" t="b">
        <v>0</v>
      </c>
      <c r="AI2510" s="81" t="s">
        <v>2171</v>
      </c>
      <c r="AJ2510" s="81"/>
      <c r="AK2510" s="86" t="s">
        <v>2084</v>
      </c>
      <c r="AL2510" s="81" t="b">
        <v>0</v>
      </c>
      <c r="AM2510" s="81">
        <v>0</v>
      </c>
      <c r="AN2510" s="86" t="s">
        <v>2084</v>
      </c>
      <c r="AO2510" s="86" t="s">
        <v>2178</v>
      </c>
      <c r="AP2510" s="81" t="b">
        <v>0</v>
      </c>
      <c r="AQ2510" s="86" t="s">
        <v>13391</v>
      </c>
      <c r="AR2510" s="81" t="s">
        <v>179</v>
      </c>
      <c r="AS2510" s="81">
        <v>0</v>
      </c>
      <c r="AT2510" s="81">
        <v>0</v>
      </c>
      <c r="AU2510" s="81"/>
      <c r="AV2510" s="81"/>
      <c r="AW2510" s="81"/>
      <c r="AX2510" s="81"/>
      <c r="AY2510" s="81"/>
      <c r="AZ2510" s="81"/>
      <c r="BA2510" s="81"/>
      <c r="BB2510" s="81"/>
    </row>
    <row r="2511" spans="1:54" x14ac:dyDescent="0.35">
      <c r="A2511" s="66" t="s">
        <v>12626</v>
      </c>
      <c r="B2511" s="66" t="s">
        <v>12721</v>
      </c>
      <c r="C2511" s="67"/>
      <c r="D2511" s="68"/>
      <c r="E2511" s="69"/>
      <c r="F2511" s="70"/>
      <c r="G2511" s="67"/>
      <c r="H2511" s="71"/>
      <c r="I2511" s="72"/>
      <c r="J2511" s="72"/>
      <c r="K2511" s="36"/>
      <c r="L2511" s="79"/>
      <c r="M2511" s="79"/>
      <c r="N2511" s="74"/>
      <c r="O2511" s="81" t="s">
        <v>696</v>
      </c>
      <c r="P2511" s="83">
        <v>44469.056041666663</v>
      </c>
      <c r="Q2511" s="81" t="s">
        <v>12825</v>
      </c>
      <c r="R2511" s="81"/>
      <c r="S2511" s="81"/>
      <c r="T2511" s="81"/>
      <c r="U2511" s="81"/>
      <c r="V2511" s="84" t="str">
        <f>HYPERLINK("https://pbs.twimg.com/profile_images/1190631052462698497/XihaagVy_normal.jpg")</f>
        <v>https://pbs.twimg.com/profile_images/1190631052462698497/XihaagVy_normal.jpg</v>
      </c>
      <c r="W2511" s="83">
        <v>44469.056041666663</v>
      </c>
      <c r="X2511" s="89">
        <v>44469</v>
      </c>
      <c r="Y2511" s="86" t="s">
        <v>13055</v>
      </c>
      <c r="Z2511" s="84" t="str">
        <f>HYPERLINK("https://twitter.com/riccard4andre/status/1443385279398780934")</f>
        <v>https://twitter.com/riccard4andre/status/1443385279398780934</v>
      </c>
      <c r="AA2511" s="81"/>
      <c r="AB2511" s="81"/>
      <c r="AC2511" s="86" t="s">
        <v>13296</v>
      </c>
      <c r="AD2511" s="86" t="s">
        <v>13391</v>
      </c>
      <c r="AE2511" s="81" t="b">
        <v>0</v>
      </c>
      <c r="AF2511" s="81">
        <v>0</v>
      </c>
      <c r="AG2511" s="86" t="s">
        <v>13428</v>
      </c>
      <c r="AH2511" s="81" t="b">
        <v>0</v>
      </c>
      <c r="AI2511" s="81" t="s">
        <v>2171</v>
      </c>
      <c r="AJ2511" s="81"/>
      <c r="AK2511" s="86" t="s">
        <v>2084</v>
      </c>
      <c r="AL2511" s="81" t="b">
        <v>0</v>
      </c>
      <c r="AM2511" s="81">
        <v>0</v>
      </c>
      <c r="AN2511" s="86" t="s">
        <v>2084</v>
      </c>
      <c r="AO2511" s="86" t="s">
        <v>2178</v>
      </c>
      <c r="AP2511" s="81" t="b">
        <v>0</v>
      </c>
      <c r="AQ2511" s="86" t="s">
        <v>13391</v>
      </c>
      <c r="AR2511" s="81" t="s">
        <v>179</v>
      </c>
      <c r="AS2511" s="81">
        <v>0</v>
      </c>
      <c r="AT2511" s="81">
        <v>0</v>
      </c>
      <c r="AU2511" s="81"/>
      <c r="AV2511" s="81"/>
      <c r="AW2511" s="81"/>
      <c r="AX2511" s="81"/>
      <c r="AY2511" s="81"/>
      <c r="AZ2511" s="81"/>
      <c r="BA2511" s="81"/>
      <c r="BB2511" s="81"/>
    </row>
    <row r="2512" spans="1:54" x14ac:dyDescent="0.35">
      <c r="A2512" s="66" t="s">
        <v>12626</v>
      </c>
      <c r="B2512" s="66" t="s">
        <v>12710</v>
      </c>
      <c r="C2512" s="67"/>
      <c r="D2512" s="68"/>
      <c r="E2512" s="69"/>
      <c r="F2512" s="70"/>
      <c r="G2512" s="67"/>
      <c r="H2512" s="71"/>
      <c r="I2512" s="72"/>
      <c r="J2512" s="72"/>
      <c r="K2512" s="36"/>
      <c r="L2512" s="79"/>
      <c r="M2512" s="79"/>
      <c r="N2512" s="74"/>
      <c r="O2512" s="81" t="s">
        <v>695</v>
      </c>
      <c r="P2512" s="83">
        <v>44469.056041666663</v>
      </c>
      <c r="Q2512" s="81" t="s">
        <v>12825</v>
      </c>
      <c r="R2512" s="81"/>
      <c r="S2512" s="81"/>
      <c r="T2512" s="81"/>
      <c r="U2512" s="81"/>
      <c r="V2512" s="84" t="str">
        <f>HYPERLINK("https://pbs.twimg.com/profile_images/1190631052462698497/XihaagVy_normal.jpg")</f>
        <v>https://pbs.twimg.com/profile_images/1190631052462698497/XihaagVy_normal.jpg</v>
      </c>
      <c r="W2512" s="83">
        <v>44469.056041666663</v>
      </c>
      <c r="X2512" s="89">
        <v>44469</v>
      </c>
      <c r="Y2512" s="86" t="s">
        <v>13055</v>
      </c>
      <c r="Z2512" s="84" t="str">
        <f>HYPERLINK("https://twitter.com/riccard4andre/status/1443385279398780934")</f>
        <v>https://twitter.com/riccard4andre/status/1443385279398780934</v>
      </c>
      <c r="AA2512" s="81"/>
      <c r="AB2512" s="81"/>
      <c r="AC2512" s="86" t="s">
        <v>13296</v>
      </c>
      <c r="AD2512" s="86" t="s">
        <v>13391</v>
      </c>
      <c r="AE2512" s="81" t="b">
        <v>0</v>
      </c>
      <c r="AF2512" s="81">
        <v>0</v>
      </c>
      <c r="AG2512" s="86" t="s">
        <v>13428</v>
      </c>
      <c r="AH2512" s="81" t="b">
        <v>0</v>
      </c>
      <c r="AI2512" s="81" t="s">
        <v>2171</v>
      </c>
      <c r="AJ2512" s="81"/>
      <c r="AK2512" s="86" t="s">
        <v>2084</v>
      </c>
      <c r="AL2512" s="81" t="b">
        <v>0</v>
      </c>
      <c r="AM2512" s="81">
        <v>0</v>
      </c>
      <c r="AN2512" s="86" t="s">
        <v>2084</v>
      </c>
      <c r="AO2512" s="86" t="s">
        <v>2178</v>
      </c>
      <c r="AP2512" s="81" t="b">
        <v>0</v>
      </c>
      <c r="AQ2512" s="86" t="s">
        <v>13391</v>
      </c>
      <c r="AR2512" s="81" t="s">
        <v>179</v>
      </c>
      <c r="AS2512" s="81">
        <v>0</v>
      </c>
      <c r="AT2512" s="81">
        <v>0</v>
      </c>
      <c r="AU2512" s="81"/>
      <c r="AV2512" s="81"/>
      <c r="AW2512" s="81"/>
      <c r="AX2512" s="81"/>
      <c r="AY2512" s="81"/>
      <c r="AZ2512" s="81"/>
      <c r="BA2512" s="81"/>
      <c r="BB2512" s="81"/>
    </row>
    <row r="2513" spans="1:54" x14ac:dyDescent="0.35">
      <c r="A2513" s="66" t="s">
        <v>12627</v>
      </c>
      <c r="B2513" s="66" t="s">
        <v>12664</v>
      </c>
      <c r="C2513" s="67"/>
      <c r="D2513" s="68"/>
      <c r="E2513" s="69"/>
      <c r="F2513" s="70"/>
      <c r="G2513" s="67"/>
      <c r="H2513" s="71"/>
      <c r="I2513" s="72"/>
      <c r="J2513" s="72"/>
      <c r="K2513" s="36"/>
      <c r="L2513" s="79"/>
      <c r="M2513" s="79"/>
      <c r="N2513" s="74"/>
      <c r="O2513" s="81" t="s">
        <v>693</v>
      </c>
      <c r="P2513" s="83">
        <v>44469.060300925928</v>
      </c>
      <c r="Q2513" s="81" t="s">
        <v>12799</v>
      </c>
      <c r="R2513" s="81"/>
      <c r="S2513" s="81"/>
      <c r="T2513" s="86" t="s">
        <v>314</v>
      </c>
      <c r="U2513" s="84" t="str">
        <f>HYPERLINK("https://pbs.twimg.com/media/FAeEF_8UcAAAgih.jpg")</f>
        <v>https://pbs.twimg.com/media/FAeEF_8UcAAAgih.jpg</v>
      </c>
      <c r="V2513" s="84" t="str">
        <f>HYPERLINK("https://pbs.twimg.com/media/FAeEF_8UcAAAgih.jpg")</f>
        <v>https://pbs.twimg.com/media/FAeEF_8UcAAAgih.jpg</v>
      </c>
      <c r="W2513" s="83">
        <v>44469.060300925928</v>
      </c>
      <c r="X2513" s="89">
        <v>44469</v>
      </c>
      <c r="Y2513" s="86" t="s">
        <v>13056</v>
      </c>
      <c r="Z2513" s="84" t="str">
        <f>HYPERLINK("https://twitter.com/haechiedotco/status/1443386824261443590")</f>
        <v>https://twitter.com/haechiedotco/status/1443386824261443590</v>
      </c>
      <c r="AA2513" s="81"/>
      <c r="AB2513" s="81"/>
      <c r="AC2513" s="86" t="s">
        <v>13297</v>
      </c>
      <c r="AD2513" s="81"/>
      <c r="AE2513" s="81" t="b">
        <v>0</v>
      </c>
      <c r="AF2513" s="81">
        <v>0</v>
      </c>
      <c r="AG2513" s="86" t="s">
        <v>2084</v>
      </c>
      <c r="AH2513" s="81" t="b">
        <v>0</v>
      </c>
      <c r="AI2513" s="81" t="s">
        <v>2168</v>
      </c>
      <c r="AJ2513" s="81"/>
      <c r="AK2513" s="86" t="s">
        <v>2084</v>
      </c>
      <c r="AL2513" s="81" t="b">
        <v>0</v>
      </c>
      <c r="AM2513" s="81">
        <v>42</v>
      </c>
      <c r="AN2513" s="86" t="s">
        <v>13352</v>
      </c>
      <c r="AO2513" s="86" t="s">
        <v>2178</v>
      </c>
      <c r="AP2513" s="81" t="b">
        <v>0</v>
      </c>
      <c r="AQ2513" s="86" t="s">
        <v>13352</v>
      </c>
      <c r="AR2513" s="81" t="s">
        <v>179</v>
      </c>
      <c r="AS2513" s="81">
        <v>0</v>
      </c>
      <c r="AT2513" s="81">
        <v>0</v>
      </c>
      <c r="AU2513" s="81"/>
      <c r="AV2513" s="81"/>
      <c r="AW2513" s="81"/>
      <c r="AX2513" s="81"/>
      <c r="AY2513" s="81"/>
      <c r="AZ2513" s="81"/>
      <c r="BA2513" s="81"/>
      <c r="BB2513" s="81"/>
    </row>
    <row r="2514" spans="1:54" x14ac:dyDescent="0.35">
      <c r="A2514" s="66" t="s">
        <v>325</v>
      </c>
      <c r="B2514" s="66" t="s">
        <v>344</v>
      </c>
      <c r="C2514" s="67"/>
      <c r="D2514" s="68"/>
      <c r="E2514" s="69"/>
      <c r="F2514" s="70"/>
      <c r="G2514" s="67"/>
      <c r="H2514" s="71"/>
      <c r="I2514" s="72"/>
      <c r="J2514" s="72"/>
      <c r="K2514" s="36"/>
      <c r="L2514" s="79"/>
      <c r="M2514" s="79"/>
      <c r="N2514" s="74"/>
      <c r="O2514" s="81" t="s">
        <v>693</v>
      </c>
      <c r="P2514" s="83">
        <v>44461.462523148148</v>
      </c>
      <c r="Q2514" s="81" t="s">
        <v>743</v>
      </c>
      <c r="R2514" s="81"/>
      <c r="S2514" s="81"/>
      <c r="T2514" s="86" t="s">
        <v>977</v>
      </c>
      <c r="U2514" s="84" t="str">
        <f>HYPERLINK("https://pbs.twimg.com/media/E_4G1w0UcAYtmKg.jpg")</f>
        <v>https://pbs.twimg.com/media/E_4G1w0UcAYtmKg.jpg</v>
      </c>
      <c r="V2514" s="84" t="str">
        <f>HYPERLINK("https://pbs.twimg.com/media/E_4G1w0UcAYtmKg.jpg")</f>
        <v>https://pbs.twimg.com/media/E_4G1w0UcAYtmKg.jpg</v>
      </c>
      <c r="W2514" s="83">
        <v>44461.462523148148</v>
      </c>
      <c r="X2514" s="89">
        <v>44461</v>
      </c>
      <c r="Y2514" s="86" t="s">
        <v>1129</v>
      </c>
      <c r="Z2514" s="84" t="str">
        <f>HYPERLINK("https://twitter.com/nctmy95/status/1440633480417669127")</f>
        <v>https://twitter.com/nctmy95/status/1440633480417669127</v>
      </c>
      <c r="AA2514" s="81"/>
      <c r="AB2514" s="81"/>
      <c r="AC2514" s="86" t="s">
        <v>1627</v>
      </c>
      <c r="AD2514" s="81"/>
      <c r="AE2514" s="81" t="b">
        <v>0</v>
      </c>
      <c r="AF2514" s="81">
        <v>0</v>
      </c>
      <c r="AG2514" s="86" t="s">
        <v>2084</v>
      </c>
      <c r="AH2514" s="81" t="b">
        <v>0</v>
      </c>
      <c r="AI2514" s="81" t="s">
        <v>2168</v>
      </c>
      <c r="AJ2514" s="81"/>
      <c r="AK2514" s="86" t="s">
        <v>2084</v>
      </c>
      <c r="AL2514" s="81" t="b">
        <v>0</v>
      </c>
      <c r="AM2514" s="81">
        <v>12</v>
      </c>
      <c r="AN2514" s="86" t="s">
        <v>1646</v>
      </c>
      <c r="AO2514" s="86" t="s">
        <v>2178</v>
      </c>
      <c r="AP2514" s="81" t="b">
        <v>0</v>
      </c>
      <c r="AQ2514" s="86" t="s">
        <v>1646</v>
      </c>
      <c r="AR2514" s="81" t="s">
        <v>179</v>
      </c>
      <c r="AS2514" s="81">
        <v>0</v>
      </c>
      <c r="AT2514" s="81">
        <v>0</v>
      </c>
      <c r="AU2514" s="81"/>
      <c r="AV2514" s="81"/>
      <c r="AW2514" s="81"/>
      <c r="AX2514" s="81"/>
      <c r="AY2514" s="81"/>
      <c r="AZ2514" s="81"/>
      <c r="BA2514" s="81"/>
      <c r="BB2514" s="81"/>
    </row>
    <row r="2515" spans="1:54" x14ac:dyDescent="0.35">
      <c r="A2515" s="66" t="s">
        <v>325</v>
      </c>
      <c r="B2515" s="66" t="s">
        <v>589</v>
      </c>
      <c r="C2515" s="67"/>
      <c r="D2515" s="68"/>
      <c r="E2515" s="69"/>
      <c r="F2515" s="70"/>
      <c r="G2515" s="67"/>
      <c r="H2515" s="71"/>
      <c r="I2515" s="72"/>
      <c r="J2515" s="72"/>
      <c r="K2515" s="36"/>
      <c r="L2515" s="79"/>
      <c r="M2515" s="79"/>
      <c r="N2515" s="74"/>
      <c r="O2515" s="81" t="s">
        <v>693</v>
      </c>
      <c r="P2515" s="83">
        <v>44467.762002314812</v>
      </c>
      <c r="Q2515" s="81" t="s">
        <v>5625</v>
      </c>
      <c r="R2515" s="81"/>
      <c r="S2515" s="81"/>
      <c r="T2515" s="86" t="s">
        <v>5786</v>
      </c>
      <c r="U2515" s="84" t="str">
        <f>HYPERLINK("https://pbs.twimg.com/media/FAYUHMTVEAoP82T.jpg")</f>
        <v>https://pbs.twimg.com/media/FAYUHMTVEAoP82T.jpg</v>
      </c>
      <c r="V2515" s="84" t="str">
        <f>HYPERLINK("https://pbs.twimg.com/media/FAYUHMTVEAoP82T.jpg")</f>
        <v>https://pbs.twimg.com/media/FAYUHMTVEAoP82T.jpg</v>
      </c>
      <c r="W2515" s="83">
        <v>44467.762002314812</v>
      </c>
      <c r="X2515" s="89">
        <v>44467</v>
      </c>
      <c r="Y2515" s="86" t="s">
        <v>6618</v>
      </c>
      <c r="Z2515" s="84" t="str">
        <f>HYPERLINK("https://twitter.com/nctmy95/status/1442916335256698881")</f>
        <v>https://twitter.com/nctmy95/status/1442916335256698881</v>
      </c>
      <c r="AA2515" s="81"/>
      <c r="AB2515" s="81"/>
      <c r="AC2515" s="86" t="s">
        <v>7542</v>
      </c>
      <c r="AD2515" s="81"/>
      <c r="AE2515" s="81" t="b">
        <v>0</v>
      </c>
      <c r="AF2515" s="81">
        <v>0</v>
      </c>
      <c r="AG2515" s="86" t="s">
        <v>2084</v>
      </c>
      <c r="AH2515" s="81" t="b">
        <v>0</v>
      </c>
      <c r="AI2515" s="81" t="s">
        <v>2168</v>
      </c>
      <c r="AJ2515" s="81"/>
      <c r="AK2515" s="86" t="s">
        <v>2084</v>
      </c>
      <c r="AL2515" s="81" t="b">
        <v>0</v>
      </c>
      <c r="AM2515" s="81">
        <v>15</v>
      </c>
      <c r="AN2515" s="86" t="s">
        <v>7613</v>
      </c>
      <c r="AO2515" s="86" t="s">
        <v>2178</v>
      </c>
      <c r="AP2515" s="81" t="b">
        <v>0</v>
      </c>
      <c r="AQ2515" s="86" t="s">
        <v>7613</v>
      </c>
      <c r="AR2515" s="81" t="s">
        <v>179</v>
      </c>
      <c r="AS2515" s="81">
        <v>0</v>
      </c>
      <c r="AT2515" s="81">
        <v>0</v>
      </c>
      <c r="AU2515" s="81"/>
      <c r="AV2515" s="81"/>
      <c r="AW2515" s="81"/>
      <c r="AX2515" s="81"/>
      <c r="AY2515" s="81"/>
      <c r="AZ2515" s="81"/>
      <c r="BA2515" s="81"/>
      <c r="BB2515" s="81"/>
    </row>
    <row r="2516" spans="1:54" x14ac:dyDescent="0.35">
      <c r="A2516" s="66" t="s">
        <v>325</v>
      </c>
      <c r="B2516" s="66" t="s">
        <v>12664</v>
      </c>
      <c r="C2516" s="67"/>
      <c r="D2516" s="68"/>
      <c r="E2516" s="69"/>
      <c r="F2516" s="70"/>
      <c r="G2516" s="67"/>
      <c r="H2516" s="71"/>
      <c r="I2516" s="72"/>
      <c r="J2516" s="72"/>
      <c r="K2516" s="36"/>
      <c r="L2516" s="79"/>
      <c r="M2516" s="79"/>
      <c r="N2516" s="74"/>
      <c r="O2516" s="81" t="s">
        <v>693</v>
      </c>
      <c r="P2516" s="83">
        <v>44469.060497685183</v>
      </c>
      <c r="Q2516" s="81" t="s">
        <v>12800</v>
      </c>
      <c r="R2516" s="81"/>
      <c r="S2516" s="81"/>
      <c r="T2516" s="86" t="s">
        <v>314</v>
      </c>
      <c r="U2516" s="84" t="str">
        <f>HYPERLINK("https://pbs.twimg.com/media/FAeE8WOVQAIxGko.jpg")</f>
        <v>https://pbs.twimg.com/media/FAeE8WOVQAIxGko.jpg</v>
      </c>
      <c r="V2516" s="84" t="str">
        <f>HYPERLINK("https://pbs.twimg.com/media/FAeE8WOVQAIxGko.jpg")</f>
        <v>https://pbs.twimg.com/media/FAeE8WOVQAIxGko.jpg</v>
      </c>
      <c r="W2516" s="83">
        <v>44469.060497685183</v>
      </c>
      <c r="X2516" s="89">
        <v>44469</v>
      </c>
      <c r="Y2516" s="86" t="s">
        <v>13057</v>
      </c>
      <c r="Z2516" s="84" t="str">
        <f>HYPERLINK("https://twitter.com/nctmy95/status/1443386894201491464")</f>
        <v>https://twitter.com/nctmy95/status/1443386894201491464</v>
      </c>
      <c r="AA2516" s="81"/>
      <c r="AB2516" s="81"/>
      <c r="AC2516" s="86" t="s">
        <v>13298</v>
      </c>
      <c r="AD2516" s="81"/>
      <c r="AE2516" s="81" t="b">
        <v>0</v>
      </c>
      <c r="AF2516" s="81">
        <v>0</v>
      </c>
      <c r="AG2516" s="86" t="s">
        <v>2084</v>
      </c>
      <c r="AH2516" s="81" t="b">
        <v>0</v>
      </c>
      <c r="AI2516" s="81" t="s">
        <v>2168</v>
      </c>
      <c r="AJ2516" s="81"/>
      <c r="AK2516" s="86" t="s">
        <v>2084</v>
      </c>
      <c r="AL2516" s="81" t="b">
        <v>0</v>
      </c>
      <c r="AM2516" s="81">
        <v>31</v>
      </c>
      <c r="AN2516" s="86" t="s">
        <v>13353</v>
      </c>
      <c r="AO2516" s="86" t="s">
        <v>2178</v>
      </c>
      <c r="AP2516" s="81" t="b">
        <v>0</v>
      </c>
      <c r="AQ2516" s="86" t="s">
        <v>13353</v>
      </c>
      <c r="AR2516" s="81" t="s">
        <v>179</v>
      </c>
      <c r="AS2516" s="81">
        <v>0</v>
      </c>
      <c r="AT2516" s="81">
        <v>0</v>
      </c>
      <c r="AU2516" s="81"/>
      <c r="AV2516" s="81"/>
      <c r="AW2516" s="81"/>
      <c r="AX2516" s="81"/>
      <c r="AY2516" s="81"/>
      <c r="AZ2516" s="81"/>
      <c r="BA2516" s="81"/>
      <c r="BB2516" s="81"/>
    </row>
    <row r="2517" spans="1:54" x14ac:dyDescent="0.35">
      <c r="A2517" s="66" t="s">
        <v>325</v>
      </c>
      <c r="B2517" s="66" t="s">
        <v>12664</v>
      </c>
      <c r="C2517" s="67"/>
      <c r="D2517" s="68"/>
      <c r="E2517" s="69"/>
      <c r="F2517" s="70"/>
      <c r="G2517" s="67"/>
      <c r="H2517" s="71"/>
      <c r="I2517" s="72"/>
      <c r="J2517" s="72"/>
      <c r="K2517" s="36"/>
      <c r="L2517" s="79"/>
      <c r="M2517" s="79"/>
      <c r="N2517" s="74"/>
      <c r="O2517" s="81" t="s">
        <v>693</v>
      </c>
      <c r="P2517" s="83">
        <v>44469.063761574071</v>
      </c>
      <c r="Q2517" s="81" t="s">
        <v>12799</v>
      </c>
      <c r="R2517" s="81"/>
      <c r="S2517" s="81"/>
      <c r="T2517" s="86" t="s">
        <v>314</v>
      </c>
      <c r="U2517" s="84" t="str">
        <f>HYPERLINK("https://pbs.twimg.com/media/FAeEF_8UcAAAgih.jpg")</f>
        <v>https://pbs.twimg.com/media/FAeEF_8UcAAAgih.jpg</v>
      </c>
      <c r="V2517" s="84" t="str">
        <f>HYPERLINK("https://pbs.twimg.com/media/FAeEF_8UcAAAgih.jpg")</f>
        <v>https://pbs.twimg.com/media/FAeEF_8UcAAAgih.jpg</v>
      </c>
      <c r="W2517" s="83">
        <v>44469.063761574071</v>
      </c>
      <c r="X2517" s="89">
        <v>44469</v>
      </c>
      <c r="Y2517" s="86" t="s">
        <v>13058</v>
      </c>
      <c r="Z2517" s="84" t="str">
        <f>HYPERLINK("https://twitter.com/nctmy95/status/1443388080665231368")</f>
        <v>https://twitter.com/nctmy95/status/1443388080665231368</v>
      </c>
      <c r="AA2517" s="81"/>
      <c r="AB2517" s="81"/>
      <c r="AC2517" s="86" t="s">
        <v>13299</v>
      </c>
      <c r="AD2517" s="81"/>
      <c r="AE2517" s="81" t="b">
        <v>0</v>
      </c>
      <c r="AF2517" s="81">
        <v>0</v>
      </c>
      <c r="AG2517" s="86" t="s">
        <v>2084</v>
      </c>
      <c r="AH2517" s="81" t="b">
        <v>0</v>
      </c>
      <c r="AI2517" s="81" t="s">
        <v>2168</v>
      </c>
      <c r="AJ2517" s="81"/>
      <c r="AK2517" s="86" t="s">
        <v>2084</v>
      </c>
      <c r="AL2517" s="81" t="b">
        <v>0</v>
      </c>
      <c r="AM2517" s="81">
        <v>42</v>
      </c>
      <c r="AN2517" s="86" t="s">
        <v>13352</v>
      </c>
      <c r="AO2517" s="86" t="s">
        <v>2178</v>
      </c>
      <c r="AP2517" s="81" t="b">
        <v>0</v>
      </c>
      <c r="AQ2517" s="86" t="s">
        <v>13352</v>
      </c>
      <c r="AR2517" s="81" t="s">
        <v>179</v>
      </c>
      <c r="AS2517" s="81">
        <v>0</v>
      </c>
      <c r="AT2517" s="81">
        <v>0</v>
      </c>
      <c r="AU2517" s="81"/>
      <c r="AV2517" s="81"/>
      <c r="AW2517" s="81"/>
      <c r="AX2517" s="81"/>
      <c r="AY2517" s="81"/>
      <c r="AZ2517" s="81"/>
      <c r="BA2517" s="81"/>
      <c r="BB2517" s="81"/>
    </row>
    <row r="2518" spans="1:54" x14ac:dyDescent="0.35">
      <c r="A2518" s="66" t="s">
        <v>12628</v>
      </c>
      <c r="B2518" s="66" t="s">
        <v>12664</v>
      </c>
      <c r="C2518" s="67"/>
      <c r="D2518" s="68"/>
      <c r="E2518" s="69"/>
      <c r="F2518" s="70"/>
      <c r="G2518" s="67"/>
      <c r="H2518" s="71"/>
      <c r="I2518" s="72"/>
      <c r="J2518" s="72"/>
      <c r="K2518" s="36"/>
      <c r="L2518" s="79"/>
      <c r="M2518" s="79"/>
      <c r="N2518" s="74"/>
      <c r="O2518" s="81" t="s">
        <v>693</v>
      </c>
      <c r="P2518" s="83">
        <v>44469.063993055555</v>
      </c>
      <c r="Q2518" s="81" t="s">
        <v>12799</v>
      </c>
      <c r="R2518" s="81"/>
      <c r="S2518" s="81"/>
      <c r="T2518" s="86" t="s">
        <v>314</v>
      </c>
      <c r="U2518" s="84" t="str">
        <f>HYPERLINK("https://pbs.twimg.com/media/FAeEF_8UcAAAgih.jpg")</f>
        <v>https://pbs.twimg.com/media/FAeEF_8UcAAAgih.jpg</v>
      </c>
      <c r="V2518" s="84" t="str">
        <f>HYPERLINK("https://pbs.twimg.com/media/FAeEF_8UcAAAgih.jpg")</f>
        <v>https://pbs.twimg.com/media/FAeEF_8UcAAAgih.jpg</v>
      </c>
      <c r="W2518" s="83">
        <v>44469.063993055555</v>
      </c>
      <c r="X2518" s="89">
        <v>44469</v>
      </c>
      <c r="Y2518" s="86" t="s">
        <v>13059</v>
      </c>
      <c r="Z2518" s="84" t="str">
        <f>HYPERLINK("https://twitter.com/nctzen_my/status/1443388164513558529")</f>
        <v>https://twitter.com/nctzen_my/status/1443388164513558529</v>
      </c>
      <c r="AA2518" s="81"/>
      <c r="AB2518" s="81"/>
      <c r="AC2518" s="86" t="s">
        <v>13300</v>
      </c>
      <c r="AD2518" s="81"/>
      <c r="AE2518" s="81" t="b">
        <v>0</v>
      </c>
      <c r="AF2518" s="81">
        <v>0</v>
      </c>
      <c r="AG2518" s="86" t="s">
        <v>2084</v>
      </c>
      <c r="AH2518" s="81" t="b">
        <v>0</v>
      </c>
      <c r="AI2518" s="81" t="s">
        <v>2168</v>
      </c>
      <c r="AJ2518" s="81"/>
      <c r="AK2518" s="86" t="s">
        <v>2084</v>
      </c>
      <c r="AL2518" s="81" t="b">
        <v>0</v>
      </c>
      <c r="AM2518" s="81">
        <v>42</v>
      </c>
      <c r="AN2518" s="86" t="s">
        <v>13352</v>
      </c>
      <c r="AO2518" s="86" t="s">
        <v>2179</v>
      </c>
      <c r="AP2518" s="81" t="b">
        <v>0</v>
      </c>
      <c r="AQ2518" s="86" t="s">
        <v>13352</v>
      </c>
      <c r="AR2518" s="81" t="s">
        <v>179</v>
      </c>
      <c r="AS2518" s="81">
        <v>0</v>
      </c>
      <c r="AT2518" s="81">
        <v>0</v>
      </c>
      <c r="AU2518" s="81"/>
      <c r="AV2518" s="81"/>
      <c r="AW2518" s="81"/>
      <c r="AX2518" s="81"/>
      <c r="AY2518" s="81"/>
      <c r="AZ2518" s="81"/>
      <c r="BA2518" s="81"/>
      <c r="BB2518" s="81"/>
    </row>
    <row r="2519" spans="1:54" x14ac:dyDescent="0.35">
      <c r="A2519" s="66" t="s">
        <v>583</v>
      </c>
      <c r="B2519" s="66" t="s">
        <v>583</v>
      </c>
      <c r="C2519" s="67"/>
      <c r="D2519" s="68"/>
      <c r="E2519" s="69"/>
      <c r="F2519" s="70"/>
      <c r="G2519" s="67"/>
      <c r="H2519" s="71"/>
      <c r="I2519" s="72"/>
      <c r="J2519" s="72"/>
      <c r="K2519" s="36"/>
      <c r="L2519" s="79"/>
      <c r="M2519" s="79"/>
      <c r="N2519" s="74"/>
      <c r="O2519" s="81" t="s">
        <v>179</v>
      </c>
      <c r="P2519" s="83">
        <v>44460.100173611114</v>
      </c>
      <c r="Q2519" s="81" t="s">
        <v>899</v>
      </c>
      <c r="R2519" s="81"/>
      <c r="S2519" s="81"/>
      <c r="T2519" s="86" t="s">
        <v>999</v>
      </c>
      <c r="U2519" s="84" t="str">
        <f>HYPERLINK("https://pbs.twimg.com/media/E_xnaF5UcAM7y6j.jpg")</f>
        <v>https://pbs.twimg.com/media/E_xnaF5UcAM7y6j.jpg</v>
      </c>
      <c r="V2519" s="84" t="str">
        <f>HYPERLINK("https://pbs.twimg.com/media/E_xnaF5UcAM7y6j.jpg")</f>
        <v>https://pbs.twimg.com/media/E_xnaF5UcAM7y6j.jpg</v>
      </c>
      <c r="W2519" s="83">
        <v>44460.100173611114</v>
      </c>
      <c r="X2519" s="89">
        <v>44460</v>
      </c>
      <c r="Y2519" s="86" t="s">
        <v>1472</v>
      </c>
      <c r="Z2519" s="84" t="str">
        <f>HYPERLINK("https://twitter.com/tbssouvenir/status/1440139784832258050")</f>
        <v>https://twitter.com/tbssouvenir/status/1440139784832258050</v>
      </c>
      <c r="AA2519" s="81"/>
      <c r="AB2519" s="81"/>
      <c r="AC2519" s="86" t="s">
        <v>1968</v>
      </c>
      <c r="AD2519" s="81"/>
      <c r="AE2519" s="81" t="b">
        <v>0</v>
      </c>
      <c r="AF2519" s="81">
        <v>0</v>
      </c>
      <c r="AG2519" s="86" t="s">
        <v>2084</v>
      </c>
      <c r="AH2519" s="81" t="b">
        <v>0</v>
      </c>
      <c r="AI2519" s="81" t="s">
        <v>2167</v>
      </c>
      <c r="AJ2519" s="81"/>
      <c r="AK2519" s="86" t="s">
        <v>2084</v>
      </c>
      <c r="AL2519" s="81" t="b">
        <v>0</v>
      </c>
      <c r="AM2519" s="81">
        <v>0</v>
      </c>
      <c r="AN2519" s="86" t="s">
        <v>2084</v>
      </c>
      <c r="AO2519" s="86" t="s">
        <v>2178</v>
      </c>
      <c r="AP2519" s="81" t="b">
        <v>0</v>
      </c>
      <c r="AQ2519" s="86" t="s">
        <v>1968</v>
      </c>
      <c r="AR2519" s="81" t="s">
        <v>179</v>
      </c>
      <c r="AS2519" s="81">
        <v>0</v>
      </c>
      <c r="AT2519" s="81">
        <v>0</v>
      </c>
      <c r="AU2519" s="81" t="s">
        <v>2199</v>
      </c>
      <c r="AV2519" s="81" t="s">
        <v>2202</v>
      </c>
      <c r="AW2519" s="81" t="s">
        <v>12</v>
      </c>
      <c r="AX2519" s="81" t="s">
        <v>2204</v>
      </c>
      <c r="AY2519" s="81" t="s">
        <v>2207</v>
      </c>
      <c r="AZ2519" s="81" t="s">
        <v>2204</v>
      </c>
      <c r="BA2519" s="81" t="s">
        <v>2213</v>
      </c>
      <c r="BB2519" s="84" t="str">
        <f>HYPERLINK("https://api.twitter.com/1.1/geo/id/0fc374080c942001.json")</f>
        <v>https://api.twitter.com/1.1/geo/id/0fc374080c942001.json</v>
      </c>
    </row>
    <row r="2520" spans="1:54" x14ac:dyDescent="0.35">
      <c r="A2520" s="66" t="s">
        <v>583</v>
      </c>
      <c r="B2520" s="66" t="s">
        <v>583</v>
      </c>
      <c r="C2520" s="67"/>
      <c r="D2520" s="68"/>
      <c r="E2520" s="69"/>
      <c r="F2520" s="70"/>
      <c r="G2520" s="67"/>
      <c r="H2520" s="71"/>
      <c r="I2520" s="72"/>
      <c r="J2520" s="72"/>
      <c r="K2520" s="36"/>
      <c r="L2520" s="79"/>
      <c r="M2520" s="79"/>
      <c r="N2520" s="74"/>
      <c r="O2520" s="81" t="s">
        <v>179</v>
      </c>
      <c r="P2520" s="83">
        <v>44460.430555555555</v>
      </c>
      <c r="Q2520" s="81" t="s">
        <v>900</v>
      </c>
      <c r="R2520" s="81"/>
      <c r="S2520" s="81"/>
      <c r="T2520" s="86" t="s">
        <v>1000</v>
      </c>
      <c r="U2520" s="84" t="str">
        <f>HYPERLINK("https://pbs.twimg.com/media/E_zUTBUVIAI6jp_.jpg")</f>
        <v>https://pbs.twimg.com/media/E_zUTBUVIAI6jp_.jpg</v>
      </c>
      <c r="V2520" s="84" t="str">
        <f>HYPERLINK("https://pbs.twimg.com/media/E_zUTBUVIAI6jp_.jpg")</f>
        <v>https://pbs.twimg.com/media/E_zUTBUVIAI6jp_.jpg</v>
      </c>
      <c r="W2520" s="83">
        <v>44460.430555555555</v>
      </c>
      <c r="X2520" s="89">
        <v>44460</v>
      </c>
      <c r="Y2520" s="86" t="s">
        <v>1473</v>
      </c>
      <c r="Z2520" s="84" t="str">
        <f>HYPERLINK("https://twitter.com/tbssouvenir/status/1440259510841458689")</f>
        <v>https://twitter.com/tbssouvenir/status/1440259510841458689</v>
      </c>
      <c r="AA2520" s="81"/>
      <c r="AB2520" s="81"/>
      <c r="AC2520" s="86" t="s">
        <v>1969</v>
      </c>
      <c r="AD2520" s="81"/>
      <c r="AE2520" s="81" t="b">
        <v>0</v>
      </c>
      <c r="AF2520" s="81">
        <v>0</v>
      </c>
      <c r="AG2520" s="86" t="s">
        <v>2084</v>
      </c>
      <c r="AH2520" s="81" t="b">
        <v>0</v>
      </c>
      <c r="AI2520" s="81" t="s">
        <v>2167</v>
      </c>
      <c r="AJ2520" s="81"/>
      <c r="AK2520" s="86" t="s">
        <v>2084</v>
      </c>
      <c r="AL2520" s="81" t="b">
        <v>0</v>
      </c>
      <c r="AM2520" s="81">
        <v>0</v>
      </c>
      <c r="AN2520" s="86" t="s">
        <v>2084</v>
      </c>
      <c r="AO2520" s="86" t="s">
        <v>2178</v>
      </c>
      <c r="AP2520" s="81" t="b">
        <v>0</v>
      </c>
      <c r="AQ2520" s="86" t="s">
        <v>1969</v>
      </c>
      <c r="AR2520" s="81" t="s">
        <v>179</v>
      </c>
      <c r="AS2520" s="81">
        <v>0</v>
      </c>
      <c r="AT2520" s="81">
        <v>0</v>
      </c>
      <c r="AU2520" s="81" t="s">
        <v>2199</v>
      </c>
      <c r="AV2520" s="81" t="s">
        <v>2202</v>
      </c>
      <c r="AW2520" s="81" t="s">
        <v>12</v>
      </c>
      <c r="AX2520" s="81" t="s">
        <v>2204</v>
      </c>
      <c r="AY2520" s="81" t="s">
        <v>2207</v>
      </c>
      <c r="AZ2520" s="81" t="s">
        <v>2204</v>
      </c>
      <c r="BA2520" s="81" t="s">
        <v>2213</v>
      </c>
      <c r="BB2520" s="84" t="str">
        <f>HYPERLINK("https://api.twitter.com/1.1/geo/id/0fc374080c942001.json")</f>
        <v>https://api.twitter.com/1.1/geo/id/0fc374080c942001.json</v>
      </c>
    </row>
    <row r="2521" spans="1:54" x14ac:dyDescent="0.35">
      <c r="A2521" s="66" t="s">
        <v>583</v>
      </c>
      <c r="B2521" s="66" t="s">
        <v>583</v>
      </c>
      <c r="C2521" s="67"/>
      <c r="D2521" s="68"/>
      <c r="E2521" s="69"/>
      <c r="F2521" s="70"/>
      <c r="G2521" s="67"/>
      <c r="H2521" s="71"/>
      <c r="I2521" s="72"/>
      <c r="J2521" s="72"/>
      <c r="K2521" s="36"/>
      <c r="L2521" s="79"/>
      <c r="M2521" s="79"/>
      <c r="N2521" s="74"/>
      <c r="O2521" s="81" t="s">
        <v>179</v>
      </c>
      <c r="P2521" s="83">
        <v>44461.074131944442</v>
      </c>
      <c r="Q2521" s="81" t="s">
        <v>901</v>
      </c>
      <c r="R2521" s="81"/>
      <c r="S2521" s="81"/>
      <c r="T2521" s="86" t="s">
        <v>1001</v>
      </c>
      <c r="U2521" s="84" t="str">
        <f>HYPERLINK("https://pbs.twimg.com/media/E_2odaeUcAIRv9-.jpg")</f>
        <v>https://pbs.twimg.com/media/E_2odaeUcAIRv9-.jpg</v>
      </c>
      <c r="V2521" s="84" t="str">
        <f>HYPERLINK("https://pbs.twimg.com/media/E_2odaeUcAIRv9-.jpg")</f>
        <v>https://pbs.twimg.com/media/E_2odaeUcAIRv9-.jpg</v>
      </c>
      <c r="W2521" s="83">
        <v>44461.074131944442</v>
      </c>
      <c r="X2521" s="89">
        <v>44461</v>
      </c>
      <c r="Y2521" s="86" t="s">
        <v>1376</v>
      </c>
      <c r="Z2521" s="84" t="str">
        <f>HYPERLINK("https://twitter.com/tbssouvenir/status/1440492732833677323")</f>
        <v>https://twitter.com/tbssouvenir/status/1440492732833677323</v>
      </c>
      <c r="AA2521" s="81"/>
      <c r="AB2521" s="81"/>
      <c r="AC2521" s="86" t="s">
        <v>1970</v>
      </c>
      <c r="AD2521" s="81"/>
      <c r="AE2521" s="81" t="b">
        <v>0</v>
      </c>
      <c r="AF2521" s="81">
        <v>0</v>
      </c>
      <c r="AG2521" s="86" t="s">
        <v>2084</v>
      </c>
      <c r="AH2521" s="81" t="b">
        <v>0</v>
      </c>
      <c r="AI2521" s="81" t="s">
        <v>2167</v>
      </c>
      <c r="AJ2521" s="81"/>
      <c r="AK2521" s="86" t="s">
        <v>2084</v>
      </c>
      <c r="AL2521" s="81" t="b">
        <v>0</v>
      </c>
      <c r="AM2521" s="81">
        <v>0</v>
      </c>
      <c r="AN2521" s="86" t="s">
        <v>2084</v>
      </c>
      <c r="AO2521" s="86" t="s">
        <v>2178</v>
      </c>
      <c r="AP2521" s="81" t="b">
        <v>0</v>
      </c>
      <c r="AQ2521" s="86" t="s">
        <v>1970</v>
      </c>
      <c r="AR2521" s="81" t="s">
        <v>179</v>
      </c>
      <c r="AS2521" s="81">
        <v>0</v>
      </c>
      <c r="AT2521" s="81">
        <v>0</v>
      </c>
      <c r="AU2521" s="81" t="s">
        <v>2199</v>
      </c>
      <c r="AV2521" s="81" t="s">
        <v>2202</v>
      </c>
      <c r="AW2521" s="81" t="s">
        <v>12</v>
      </c>
      <c r="AX2521" s="81" t="s">
        <v>2204</v>
      </c>
      <c r="AY2521" s="81" t="s">
        <v>2207</v>
      </c>
      <c r="AZ2521" s="81" t="s">
        <v>2204</v>
      </c>
      <c r="BA2521" s="81" t="s">
        <v>2213</v>
      </c>
      <c r="BB2521" s="84" t="str">
        <f>HYPERLINK("https://api.twitter.com/1.1/geo/id/0fc374080c942001.json")</f>
        <v>https://api.twitter.com/1.1/geo/id/0fc374080c942001.json</v>
      </c>
    </row>
    <row r="2522" spans="1:54" x14ac:dyDescent="0.35">
      <c r="A2522" s="66" t="s">
        <v>583</v>
      </c>
      <c r="B2522" s="66" t="s">
        <v>583</v>
      </c>
      <c r="C2522" s="67"/>
      <c r="D2522" s="68"/>
      <c r="E2522" s="69"/>
      <c r="F2522" s="70"/>
      <c r="G2522" s="67"/>
      <c r="H2522" s="71"/>
      <c r="I2522" s="72"/>
      <c r="J2522" s="72"/>
      <c r="K2522" s="36"/>
      <c r="L2522" s="79"/>
      <c r="M2522" s="79"/>
      <c r="N2522" s="74"/>
      <c r="O2522" s="81" t="s">
        <v>179</v>
      </c>
      <c r="P2522" s="83">
        <v>44462.100995370369</v>
      </c>
      <c r="Q2522" s="81" t="s">
        <v>902</v>
      </c>
      <c r="R2522" s="81"/>
      <c r="S2522" s="81"/>
      <c r="T2522" s="86" t="s">
        <v>1002</v>
      </c>
      <c r="U2522" s="84" t="str">
        <f>HYPERLINK("https://pbs.twimg.com/media/E_7679dVgAkbDR8.jpg")</f>
        <v>https://pbs.twimg.com/media/E_7679dVgAkbDR8.jpg</v>
      </c>
      <c r="V2522" s="84" t="str">
        <f>HYPERLINK("https://pbs.twimg.com/media/E_7679dVgAkbDR8.jpg")</f>
        <v>https://pbs.twimg.com/media/E_7679dVgAkbDR8.jpg</v>
      </c>
      <c r="W2522" s="83">
        <v>44462.100995370369</v>
      </c>
      <c r="X2522" s="89">
        <v>44462</v>
      </c>
      <c r="Y2522" s="86" t="s">
        <v>1474</v>
      </c>
      <c r="Z2522" s="84" t="str">
        <f>HYPERLINK("https://twitter.com/tbssouvenir/status/1440864857717231619")</f>
        <v>https://twitter.com/tbssouvenir/status/1440864857717231619</v>
      </c>
      <c r="AA2522" s="81"/>
      <c r="AB2522" s="81"/>
      <c r="AC2522" s="86" t="s">
        <v>1971</v>
      </c>
      <c r="AD2522" s="81"/>
      <c r="AE2522" s="81" t="b">
        <v>0</v>
      </c>
      <c r="AF2522" s="81">
        <v>0</v>
      </c>
      <c r="AG2522" s="86" t="s">
        <v>2084</v>
      </c>
      <c r="AH2522" s="81" t="b">
        <v>0</v>
      </c>
      <c r="AI2522" s="81" t="s">
        <v>2167</v>
      </c>
      <c r="AJ2522" s="81"/>
      <c r="AK2522" s="86" t="s">
        <v>2084</v>
      </c>
      <c r="AL2522" s="81" t="b">
        <v>0</v>
      </c>
      <c r="AM2522" s="81">
        <v>0</v>
      </c>
      <c r="AN2522" s="86" t="s">
        <v>2084</v>
      </c>
      <c r="AO2522" s="86" t="s">
        <v>2178</v>
      </c>
      <c r="AP2522" s="81" t="b">
        <v>0</v>
      </c>
      <c r="AQ2522" s="86" t="s">
        <v>1971</v>
      </c>
      <c r="AR2522" s="81" t="s">
        <v>179</v>
      </c>
      <c r="AS2522" s="81">
        <v>0</v>
      </c>
      <c r="AT2522" s="81">
        <v>0</v>
      </c>
      <c r="AU2522" s="81" t="s">
        <v>2199</v>
      </c>
      <c r="AV2522" s="81" t="s">
        <v>2202</v>
      </c>
      <c r="AW2522" s="81" t="s">
        <v>12</v>
      </c>
      <c r="AX2522" s="81" t="s">
        <v>2204</v>
      </c>
      <c r="AY2522" s="81" t="s">
        <v>2207</v>
      </c>
      <c r="AZ2522" s="81" t="s">
        <v>2204</v>
      </c>
      <c r="BA2522" s="81" t="s">
        <v>2213</v>
      </c>
      <c r="BB2522" s="84" t="str">
        <f>HYPERLINK("https://api.twitter.com/1.1/geo/id/0fc374080c942001.json")</f>
        <v>https://api.twitter.com/1.1/geo/id/0fc374080c942001.json</v>
      </c>
    </row>
    <row r="2523" spans="1:54" x14ac:dyDescent="0.35">
      <c r="A2523" s="66" t="s">
        <v>583</v>
      </c>
      <c r="B2523" s="66" t="s">
        <v>583</v>
      </c>
      <c r="C2523" s="67"/>
      <c r="D2523" s="68"/>
      <c r="E2523" s="69"/>
      <c r="F2523" s="70"/>
      <c r="G2523" s="67"/>
      <c r="H2523" s="71"/>
      <c r="I2523" s="72"/>
      <c r="J2523" s="72"/>
      <c r="K2523" s="36"/>
      <c r="L2523" s="79"/>
      <c r="M2523" s="79"/>
      <c r="N2523" s="74"/>
      <c r="O2523" s="81" t="s">
        <v>179</v>
      </c>
      <c r="P2523" s="83">
        <v>44462.432141203702</v>
      </c>
      <c r="Q2523" s="81" t="s">
        <v>903</v>
      </c>
      <c r="R2523" s="81"/>
      <c r="S2523" s="81"/>
      <c r="T2523" s="86" t="s">
        <v>1003</v>
      </c>
      <c r="U2523" s="84" t="str">
        <f>HYPERLINK("https://pbs.twimg.com/media/E_9oAJ3UYAgVcOM.jpg")</f>
        <v>https://pbs.twimg.com/media/E_9oAJ3UYAgVcOM.jpg</v>
      </c>
      <c r="V2523" s="84" t="str">
        <f>HYPERLINK("https://pbs.twimg.com/media/E_9oAJ3UYAgVcOM.jpg")</f>
        <v>https://pbs.twimg.com/media/E_9oAJ3UYAgVcOM.jpg</v>
      </c>
      <c r="W2523" s="83">
        <v>44462.432141203702</v>
      </c>
      <c r="X2523" s="89">
        <v>44462</v>
      </c>
      <c r="Y2523" s="86" t="s">
        <v>1475</v>
      </c>
      <c r="Z2523" s="84" t="str">
        <f>HYPERLINK("https://twitter.com/tbssouvenir/status/1440984858545639425")</f>
        <v>https://twitter.com/tbssouvenir/status/1440984858545639425</v>
      </c>
      <c r="AA2523" s="81"/>
      <c r="AB2523" s="81"/>
      <c r="AC2523" s="86" t="s">
        <v>1972</v>
      </c>
      <c r="AD2523" s="81"/>
      <c r="AE2523" s="81" t="b">
        <v>0</v>
      </c>
      <c r="AF2523" s="81">
        <v>0</v>
      </c>
      <c r="AG2523" s="86" t="s">
        <v>2084</v>
      </c>
      <c r="AH2523" s="81" t="b">
        <v>0</v>
      </c>
      <c r="AI2523" s="81" t="s">
        <v>2167</v>
      </c>
      <c r="AJ2523" s="81"/>
      <c r="AK2523" s="86" t="s">
        <v>2084</v>
      </c>
      <c r="AL2523" s="81" t="b">
        <v>0</v>
      </c>
      <c r="AM2523" s="81">
        <v>0</v>
      </c>
      <c r="AN2523" s="86" t="s">
        <v>2084</v>
      </c>
      <c r="AO2523" s="86" t="s">
        <v>2178</v>
      </c>
      <c r="AP2523" s="81" t="b">
        <v>0</v>
      </c>
      <c r="AQ2523" s="86" t="s">
        <v>1972</v>
      </c>
      <c r="AR2523" s="81" t="s">
        <v>179</v>
      </c>
      <c r="AS2523" s="81">
        <v>0</v>
      </c>
      <c r="AT2523" s="81">
        <v>0</v>
      </c>
      <c r="AU2523" s="81" t="s">
        <v>2199</v>
      </c>
      <c r="AV2523" s="81" t="s">
        <v>2202</v>
      </c>
      <c r="AW2523" s="81" t="s">
        <v>12</v>
      </c>
      <c r="AX2523" s="81" t="s">
        <v>2204</v>
      </c>
      <c r="AY2523" s="81" t="s">
        <v>2207</v>
      </c>
      <c r="AZ2523" s="81" t="s">
        <v>2204</v>
      </c>
      <c r="BA2523" s="81" t="s">
        <v>2213</v>
      </c>
      <c r="BB2523" s="84" t="str">
        <f>HYPERLINK("https://api.twitter.com/1.1/geo/id/0fc374080c942001.json")</f>
        <v>https://api.twitter.com/1.1/geo/id/0fc374080c942001.json</v>
      </c>
    </row>
    <row r="2524" spans="1:54" x14ac:dyDescent="0.35">
      <c r="A2524" s="66" t="s">
        <v>583</v>
      </c>
      <c r="B2524" s="66" t="s">
        <v>583</v>
      </c>
      <c r="C2524" s="67"/>
      <c r="D2524" s="68"/>
      <c r="E2524" s="69"/>
      <c r="F2524" s="70"/>
      <c r="G2524" s="67"/>
      <c r="H2524" s="71"/>
      <c r="I2524" s="72"/>
      <c r="J2524" s="72"/>
      <c r="K2524" s="36"/>
      <c r="L2524" s="79"/>
      <c r="M2524" s="79"/>
      <c r="N2524" s="74"/>
      <c r="O2524" s="81" t="s">
        <v>179</v>
      </c>
      <c r="P2524" s="83">
        <v>44463.114270833335</v>
      </c>
      <c r="Q2524" s="81" t="s">
        <v>904</v>
      </c>
      <c r="R2524" s="81"/>
      <c r="S2524" s="81"/>
      <c r="T2524" s="81"/>
      <c r="U2524" s="84" t="str">
        <f>HYPERLINK("https://pbs.twimg.com/media/FABIzJHVQAUdAG6.jpg")</f>
        <v>https://pbs.twimg.com/media/FABIzJHVQAUdAG6.jpg</v>
      </c>
      <c r="V2524" s="84" t="str">
        <f>HYPERLINK("https://pbs.twimg.com/media/FABIzJHVQAUdAG6.jpg")</f>
        <v>https://pbs.twimg.com/media/FABIzJHVQAUdAG6.jpg</v>
      </c>
      <c r="W2524" s="83">
        <v>44463.114270833335</v>
      </c>
      <c r="X2524" s="89">
        <v>44463</v>
      </c>
      <c r="Y2524" s="86" t="s">
        <v>1476</v>
      </c>
      <c r="Z2524" s="84" t="str">
        <f>HYPERLINK("https://twitter.com/tbssouvenir/status/1441232053882654725")</f>
        <v>https://twitter.com/tbssouvenir/status/1441232053882654725</v>
      </c>
      <c r="AA2524" s="81"/>
      <c r="AB2524" s="81"/>
      <c r="AC2524" s="86" t="s">
        <v>1973</v>
      </c>
      <c r="AD2524" s="81"/>
      <c r="AE2524" s="81" t="b">
        <v>0</v>
      </c>
      <c r="AF2524" s="81">
        <v>0</v>
      </c>
      <c r="AG2524" s="86" t="s">
        <v>2084</v>
      </c>
      <c r="AH2524" s="81" t="b">
        <v>0</v>
      </c>
      <c r="AI2524" s="81" t="s">
        <v>2167</v>
      </c>
      <c r="AJ2524" s="81"/>
      <c r="AK2524" s="86" t="s">
        <v>2084</v>
      </c>
      <c r="AL2524" s="81" t="b">
        <v>0</v>
      </c>
      <c r="AM2524" s="81">
        <v>0</v>
      </c>
      <c r="AN2524" s="86" t="s">
        <v>2084</v>
      </c>
      <c r="AO2524" s="86" t="s">
        <v>2178</v>
      </c>
      <c r="AP2524" s="81" t="b">
        <v>0</v>
      </c>
      <c r="AQ2524" s="86" t="s">
        <v>1973</v>
      </c>
      <c r="AR2524" s="81" t="s">
        <v>179</v>
      </c>
      <c r="AS2524" s="81">
        <v>0</v>
      </c>
      <c r="AT2524" s="81">
        <v>0</v>
      </c>
      <c r="AU2524" s="81" t="s">
        <v>2199</v>
      </c>
      <c r="AV2524" s="81" t="s">
        <v>2202</v>
      </c>
      <c r="AW2524" s="81" t="s">
        <v>12</v>
      </c>
      <c r="AX2524" s="81" t="s">
        <v>2204</v>
      </c>
      <c r="AY2524" s="81" t="s">
        <v>2207</v>
      </c>
      <c r="AZ2524" s="81" t="s">
        <v>2204</v>
      </c>
      <c r="BA2524" s="81" t="s">
        <v>2213</v>
      </c>
      <c r="BB2524" s="84" t="str">
        <f>HYPERLINK("https://api.twitter.com/1.1/geo/id/0fc374080c942001.json")</f>
        <v>https://api.twitter.com/1.1/geo/id/0fc374080c942001.json</v>
      </c>
    </row>
    <row r="2525" spans="1:54" x14ac:dyDescent="0.35">
      <c r="A2525" s="66" t="s">
        <v>583</v>
      </c>
      <c r="B2525" s="66" t="s">
        <v>583</v>
      </c>
      <c r="C2525" s="67"/>
      <c r="D2525" s="68"/>
      <c r="E2525" s="69"/>
      <c r="F2525" s="70"/>
      <c r="G2525" s="67"/>
      <c r="H2525" s="71"/>
      <c r="I2525" s="72"/>
      <c r="J2525" s="72"/>
      <c r="K2525" s="36"/>
      <c r="L2525" s="79"/>
      <c r="M2525" s="79"/>
      <c r="N2525" s="74"/>
      <c r="O2525" s="81" t="s">
        <v>179</v>
      </c>
      <c r="P2525" s="83">
        <v>44464.115335648145</v>
      </c>
      <c r="Q2525" s="81" t="s">
        <v>905</v>
      </c>
      <c r="R2525" s="81"/>
      <c r="S2525" s="81"/>
      <c r="T2525" s="86" t="s">
        <v>1004</v>
      </c>
      <c r="U2525" s="84" t="str">
        <f>HYPERLINK("https://pbs.twimg.com/media/FAGSzFBVkAI--UN.jpg")</f>
        <v>https://pbs.twimg.com/media/FAGSzFBVkAI--UN.jpg</v>
      </c>
      <c r="V2525" s="84" t="str">
        <f>HYPERLINK("https://pbs.twimg.com/media/FAGSzFBVkAI--UN.jpg")</f>
        <v>https://pbs.twimg.com/media/FAGSzFBVkAI--UN.jpg</v>
      </c>
      <c r="W2525" s="83">
        <v>44464.115335648145</v>
      </c>
      <c r="X2525" s="89">
        <v>44464</v>
      </c>
      <c r="Y2525" s="86" t="s">
        <v>1477</v>
      </c>
      <c r="Z2525" s="84" t="str">
        <f>HYPERLINK("https://twitter.com/tbssouvenir/status/1441594827829755905")</f>
        <v>https://twitter.com/tbssouvenir/status/1441594827829755905</v>
      </c>
      <c r="AA2525" s="81"/>
      <c r="AB2525" s="81"/>
      <c r="AC2525" s="86" t="s">
        <v>1974</v>
      </c>
      <c r="AD2525" s="81"/>
      <c r="AE2525" s="81" t="b">
        <v>0</v>
      </c>
      <c r="AF2525" s="81">
        <v>0</v>
      </c>
      <c r="AG2525" s="86" t="s">
        <v>2084</v>
      </c>
      <c r="AH2525" s="81" t="b">
        <v>0</v>
      </c>
      <c r="AI2525" s="81" t="s">
        <v>2167</v>
      </c>
      <c r="AJ2525" s="81"/>
      <c r="AK2525" s="86" t="s">
        <v>2084</v>
      </c>
      <c r="AL2525" s="81" t="b">
        <v>0</v>
      </c>
      <c r="AM2525" s="81">
        <v>0</v>
      </c>
      <c r="AN2525" s="86" t="s">
        <v>2084</v>
      </c>
      <c r="AO2525" s="86" t="s">
        <v>2178</v>
      </c>
      <c r="AP2525" s="81" t="b">
        <v>0</v>
      </c>
      <c r="AQ2525" s="86" t="s">
        <v>1974</v>
      </c>
      <c r="AR2525" s="81" t="s">
        <v>179</v>
      </c>
      <c r="AS2525" s="81">
        <v>0</v>
      </c>
      <c r="AT2525" s="81">
        <v>0</v>
      </c>
      <c r="AU2525" s="81" t="s">
        <v>2199</v>
      </c>
      <c r="AV2525" s="81" t="s">
        <v>2202</v>
      </c>
      <c r="AW2525" s="81" t="s">
        <v>12</v>
      </c>
      <c r="AX2525" s="81" t="s">
        <v>2204</v>
      </c>
      <c r="AY2525" s="81" t="s">
        <v>2207</v>
      </c>
      <c r="AZ2525" s="81" t="s">
        <v>2204</v>
      </c>
      <c r="BA2525" s="81" t="s">
        <v>2213</v>
      </c>
      <c r="BB2525" s="84" t="str">
        <f>HYPERLINK("https://api.twitter.com/1.1/geo/id/0fc374080c942001.json")</f>
        <v>https://api.twitter.com/1.1/geo/id/0fc374080c942001.json</v>
      </c>
    </row>
    <row r="2526" spans="1:54" x14ac:dyDescent="0.35">
      <c r="A2526" s="66" t="s">
        <v>583</v>
      </c>
      <c r="B2526" s="66" t="s">
        <v>583</v>
      </c>
      <c r="C2526" s="67"/>
      <c r="D2526" s="68"/>
      <c r="E2526" s="69"/>
      <c r="F2526" s="70"/>
      <c r="G2526" s="67"/>
      <c r="H2526" s="71"/>
      <c r="I2526" s="72"/>
      <c r="J2526" s="72"/>
      <c r="K2526" s="36"/>
      <c r="L2526" s="79"/>
      <c r="M2526" s="79"/>
      <c r="N2526" s="74"/>
      <c r="O2526" s="81" t="s">
        <v>179</v>
      </c>
      <c r="P2526" s="83">
        <v>44466.092557870368</v>
      </c>
      <c r="Q2526" s="81" t="s">
        <v>906</v>
      </c>
      <c r="R2526" s="81"/>
      <c r="S2526" s="81"/>
      <c r="T2526" s="86" t="s">
        <v>1005</v>
      </c>
      <c r="U2526" s="84" t="str">
        <f>HYPERLINK("https://pbs.twimg.com/media/FAQeembVkAEvTQy.jpg")</f>
        <v>https://pbs.twimg.com/media/FAQeembVkAEvTQy.jpg</v>
      </c>
      <c r="V2526" s="84" t="str">
        <f>HYPERLINK("https://pbs.twimg.com/media/FAQeembVkAEvTQy.jpg")</f>
        <v>https://pbs.twimg.com/media/FAQeembVkAEvTQy.jpg</v>
      </c>
      <c r="W2526" s="83">
        <v>44466.092557870368</v>
      </c>
      <c r="X2526" s="89">
        <v>44466</v>
      </c>
      <c r="Y2526" s="86" t="s">
        <v>1478</v>
      </c>
      <c r="Z2526" s="84" t="str">
        <f>HYPERLINK("https://twitter.com/tbssouvenir/status/1442311351938940937")</f>
        <v>https://twitter.com/tbssouvenir/status/1442311351938940937</v>
      </c>
      <c r="AA2526" s="81"/>
      <c r="AB2526" s="81"/>
      <c r="AC2526" s="86" t="s">
        <v>1975</v>
      </c>
      <c r="AD2526" s="81"/>
      <c r="AE2526" s="81" t="b">
        <v>0</v>
      </c>
      <c r="AF2526" s="81">
        <v>0</v>
      </c>
      <c r="AG2526" s="86" t="s">
        <v>2084</v>
      </c>
      <c r="AH2526" s="81" t="b">
        <v>0</v>
      </c>
      <c r="AI2526" s="81" t="s">
        <v>2167</v>
      </c>
      <c r="AJ2526" s="81"/>
      <c r="AK2526" s="86" t="s">
        <v>2084</v>
      </c>
      <c r="AL2526" s="81" t="b">
        <v>0</v>
      </c>
      <c r="AM2526" s="81">
        <v>0</v>
      </c>
      <c r="AN2526" s="86" t="s">
        <v>2084</v>
      </c>
      <c r="AO2526" s="86" t="s">
        <v>2178</v>
      </c>
      <c r="AP2526" s="81" t="b">
        <v>0</v>
      </c>
      <c r="AQ2526" s="86" t="s">
        <v>1975</v>
      </c>
      <c r="AR2526" s="81" t="s">
        <v>179</v>
      </c>
      <c r="AS2526" s="81">
        <v>0</v>
      </c>
      <c r="AT2526" s="81">
        <v>0</v>
      </c>
      <c r="AU2526" s="81" t="s">
        <v>2199</v>
      </c>
      <c r="AV2526" s="81" t="s">
        <v>2202</v>
      </c>
      <c r="AW2526" s="81" t="s">
        <v>12</v>
      </c>
      <c r="AX2526" s="81" t="s">
        <v>2204</v>
      </c>
      <c r="AY2526" s="81" t="s">
        <v>2207</v>
      </c>
      <c r="AZ2526" s="81" t="s">
        <v>2204</v>
      </c>
      <c r="BA2526" s="81" t="s">
        <v>2213</v>
      </c>
      <c r="BB2526" s="84" t="str">
        <f>HYPERLINK("https://api.twitter.com/1.1/geo/id/0fc374080c942001.json")</f>
        <v>https://api.twitter.com/1.1/geo/id/0fc374080c942001.json</v>
      </c>
    </row>
    <row r="2527" spans="1:54" x14ac:dyDescent="0.35">
      <c r="A2527" s="66" t="s">
        <v>583</v>
      </c>
      <c r="B2527" s="66" t="s">
        <v>583</v>
      </c>
      <c r="C2527" s="67"/>
      <c r="D2527" s="68"/>
      <c r="E2527" s="69"/>
      <c r="F2527" s="70"/>
      <c r="G2527" s="67"/>
      <c r="H2527" s="71"/>
      <c r="I2527" s="72"/>
      <c r="J2527" s="72"/>
      <c r="K2527" s="36"/>
      <c r="L2527" s="79"/>
      <c r="M2527" s="79"/>
      <c r="N2527" s="74"/>
      <c r="O2527" s="81" t="s">
        <v>179</v>
      </c>
      <c r="P2527" s="83">
        <v>44466.430104166669</v>
      </c>
      <c r="Q2527" s="81" t="s">
        <v>907</v>
      </c>
      <c r="R2527" s="81"/>
      <c r="S2527" s="81"/>
      <c r="T2527" s="86" t="s">
        <v>1006</v>
      </c>
      <c r="U2527" s="84" t="str">
        <f>HYPERLINK("https://pbs.twimg.com/media/FASNt_tUUAMFgpP.jpg")</f>
        <v>https://pbs.twimg.com/media/FASNt_tUUAMFgpP.jpg</v>
      </c>
      <c r="V2527" s="84" t="str">
        <f>HYPERLINK("https://pbs.twimg.com/media/FASNt_tUUAMFgpP.jpg")</f>
        <v>https://pbs.twimg.com/media/FASNt_tUUAMFgpP.jpg</v>
      </c>
      <c r="W2527" s="83">
        <v>44466.430104166669</v>
      </c>
      <c r="X2527" s="89">
        <v>44466</v>
      </c>
      <c r="Y2527" s="86" t="s">
        <v>1479</v>
      </c>
      <c r="Z2527" s="84" t="str">
        <f>HYPERLINK("https://twitter.com/tbssouvenir/status/1442433673446379525")</f>
        <v>https://twitter.com/tbssouvenir/status/1442433673446379525</v>
      </c>
      <c r="AA2527" s="81"/>
      <c r="AB2527" s="81"/>
      <c r="AC2527" s="86" t="s">
        <v>1976</v>
      </c>
      <c r="AD2527" s="81"/>
      <c r="AE2527" s="81" t="b">
        <v>0</v>
      </c>
      <c r="AF2527" s="81">
        <v>0</v>
      </c>
      <c r="AG2527" s="86" t="s">
        <v>2084</v>
      </c>
      <c r="AH2527" s="81" t="b">
        <v>0</v>
      </c>
      <c r="AI2527" s="81" t="s">
        <v>2167</v>
      </c>
      <c r="AJ2527" s="81"/>
      <c r="AK2527" s="86" t="s">
        <v>2084</v>
      </c>
      <c r="AL2527" s="81" t="b">
        <v>0</v>
      </c>
      <c r="AM2527" s="81">
        <v>0</v>
      </c>
      <c r="AN2527" s="86" t="s">
        <v>2084</v>
      </c>
      <c r="AO2527" s="86" t="s">
        <v>2178</v>
      </c>
      <c r="AP2527" s="81" t="b">
        <v>0</v>
      </c>
      <c r="AQ2527" s="86" t="s">
        <v>1976</v>
      </c>
      <c r="AR2527" s="81" t="s">
        <v>179</v>
      </c>
      <c r="AS2527" s="81">
        <v>0</v>
      </c>
      <c r="AT2527" s="81">
        <v>0</v>
      </c>
      <c r="AU2527" s="81" t="s">
        <v>2199</v>
      </c>
      <c r="AV2527" s="81" t="s">
        <v>2202</v>
      </c>
      <c r="AW2527" s="81" t="s">
        <v>12</v>
      </c>
      <c r="AX2527" s="81" t="s">
        <v>2204</v>
      </c>
      <c r="AY2527" s="81" t="s">
        <v>2207</v>
      </c>
      <c r="AZ2527" s="81" t="s">
        <v>2204</v>
      </c>
      <c r="BA2527" s="81" t="s">
        <v>2213</v>
      </c>
      <c r="BB2527" s="84" t="str">
        <f>HYPERLINK("https://api.twitter.com/1.1/geo/id/0fc374080c942001.json")</f>
        <v>https://api.twitter.com/1.1/geo/id/0fc374080c942001.json</v>
      </c>
    </row>
    <row r="2528" spans="1:54" x14ac:dyDescent="0.35">
      <c r="A2528" s="66" t="s">
        <v>583</v>
      </c>
      <c r="B2528" s="66" t="s">
        <v>583</v>
      </c>
      <c r="C2528" s="67"/>
      <c r="D2528" s="68"/>
      <c r="E2528" s="69"/>
      <c r="F2528" s="70"/>
      <c r="G2528" s="67"/>
      <c r="H2528" s="71"/>
      <c r="I2528" s="72"/>
      <c r="J2528" s="72"/>
      <c r="K2528" s="36"/>
      <c r="L2528" s="79"/>
      <c r="M2528" s="79"/>
      <c r="N2528" s="74"/>
      <c r="O2528" s="81" t="s">
        <v>179</v>
      </c>
      <c r="P2528" s="83">
        <v>44467.060648148145</v>
      </c>
      <c r="Q2528" s="81" t="s">
        <v>908</v>
      </c>
      <c r="R2528" s="81"/>
      <c r="S2528" s="81"/>
      <c r="T2528" s="86" t="s">
        <v>1007</v>
      </c>
      <c r="U2528" s="84" t="str">
        <f>HYPERLINK("https://pbs.twimg.com/media/FAVdjD3UYAgB6kT.jpg")</f>
        <v>https://pbs.twimg.com/media/FAVdjD3UYAgB6kT.jpg</v>
      </c>
      <c r="V2528" s="84" t="str">
        <f>HYPERLINK("https://pbs.twimg.com/media/FAVdjD3UYAgB6kT.jpg")</f>
        <v>https://pbs.twimg.com/media/FAVdjD3UYAgB6kT.jpg</v>
      </c>
      <c r="W2528" s="83">
        <v>44467.060648148145</v>
      </c>
      <c r="X2528" s="89">
        <v>44467</v>
      </c>
      <c r="Y2528" s="86" t="s">
        <v>1480</v>
      </c>
      <c r="Z2528" s="84" t="str">
        <f>HYPERLINK("https://twitter.com/tbssouvenir/status/1442662174682275845")</f>
        <v>https://twitter.com/tbssouvenir/status/1442662174682275845</v>
      </c>
      <c r="AA2528" s="81"/>
      <c r="AB2528" s="81"/>
      <c r="AC2528" s="86" t="s">
        <v>1977</v>
      </c>
      <c r="AD2528" s="81"/>
      <c r="AE2528" s="81" t="b">
        <v>0</v>
      </c>
      <c r="AF2528" s="81">
        <v>0</v>
      </c>
      <c r="AG2528" s="86" t="s">
        <v>2084</v>
      </c>
      <c r="AH2528" s="81" t="b">
        <v>0</v>
      </c>
      <c r="AI2528" s="81" t="s">
        <v>2167</v>
      </c>
      <c r="AJ2528" s="81"/>
      <c r="AK2528" s="86" t="s">
        <v>2084</v>
      </c>
      <c r="AL2528" s="81" t="b">
        <v>0</v>
      </c>
      <c r="AM2528" s="81">
        <v>0</v>
      </c>
      <c r="AN2528" s="86" t="s">
        <v>2084</v>
      </c>
      <c r="AO2528" s="86" t="s">
        <v>2178</v>
      </c>
      <c r="AP2528" s="81" t="b">
        <v>0</v>
      </c>
      <c r="AQ2528" s="86" t="s">
        <v>1977</v>
      </c>
      <c r="AR2528" s="81" t="s">
        <v>179</v>
      </c>
      <c r="AS2528" s="81">
        <v>0</v>
      </c>
      <c r="AT2528" s="81">
        <v>0</v>
      </c>
      <c r="AU2528" s="81" t="s">
        <v>2199</v>
      </c>
      <c r="AV2528" s="81" t="s">
        <v>2202</v>
      </c>
      <c r="AW2528" s="81" t="s">
        <v>12</v>
      </c>
      <c r="AX2528" s="81" t="s">
        <v>2204</v>
      </c>
      <c r="AY2528" s="81" t="s">
        <v>2207</v>
      </c>
      <c r="AZ2528" s="81" t="s">
        <v>2204</v>
      </c>
      <c r="BA2528" s="81" t="s">
        <v>2213</v>
      </c>
      <c r="BB2528" s="84" t="str">
        <f>HYPERLINK("https://api.twitter.com/1.1/geo/id/0fc374080c942001.json")</f>
        <v>https://api.twitter.com/1.1/geo/id/0fc374080c942001.json</v>
      </c>
    </row>
    <row r="2529" spans="1:54" x14ac:dyDescent="0.35">
      <c r="A2529" s="66" t="s">
        <v>583</v>
      </c>
      <c r="B2529" s="66" t="s">
        <v>583</v>
      </c>
      <c r="C2529" s="67"/>
      <c r="D2529" s="68"/>
      <c r="E2529" s="69"/>
      <c r="F2529" s="70"/>
      <c r="G2529" s="67"/>
      <c r="H2529" s="71"/>
      <c r="I2529" s="72"/>
      <c r="J2529" s="72"/>
      <c r="K2529" s="36"/>
      <c r="L2529" s="79"/>
      <c r="M2529" s="79"/>
      <c r="N2529" s="74"/>
      <c r="O2529" s="81" t="s">
        <v>179</v>
      </c>
      <c r="P2529" s="83">
        <v>44468.069513888891</v>
      </c>
      <c r="Q2529" s="81" t="s">
        <v>5640</v>
      </c>
      <c r="R2529" s="81"/>
      <c r="S2529" s="81"/>
      <c r="T2529" s="81"/>
      <c r="U2529" s="84" t="str">
        <f>HYPERLINK("https://pbs.twimg.com/media/FAaqCwbVIAAkEew.jpg")</f>
        <v>https://pbs.twimg.com/media/FAaqCwbVIAAkEew.jpg</v>
      </c>
      <c r="V2529" s="84" t="str">
        <f>HYPERLINK("https://pbs.twimg.com/media/FAaqCwbVIAAkEew.jpg")</f>
        <v>https://pbs.twimg.com/media/FAaqCwbVIAAkEew.jpg</v>
      </c>
      <c r="W2529" s="83">
        <v>44468.069513888891</v>
      </c>
      <c r="X2529" s="89">
        <v>44468</v>
      </c>
      <c r="Y2529" s="86" t="s">
        <v>6634</v>
      </c>
      <c r="Z2529" s="84" t="str">
        <f>HYPERLINK("https://twitter.com/tbssouvenir/status/1443027774772449283")</f>
        <v>https://twitter.com/tbssouvenir/status/1443027774772449283</v>
      </c>
      <c r="AA2529" s="81"/>
      <c r="AB2529" s="81"/>
      <c r="AC2529" s="86" t="s">
        <v>7558</v>
      </c>
      <c r="AD2529" s="81"/>
      <c r="AE2529" s="81" t="b">
        <v>0</v>
      </c>
      <c r="AF2529" s="81">
        <v>0</v>
      </c>
      <c r="AG2529" s="86" t="s">
        <v>2084</v>
      </c>
      <c r="AH2529" s="81" t="b">
        <v>0</v>
      </c>
      <c r="AI2529" s="81" t="s">
        <v>2167</v>
      </c>
      <c r="AJ2529" s="81"/>
      <c r="AK2529" s="86" t="s">
        <v>2084</v>
      </c>
      <c r="AL2529" s="81" t="b">
        <v>0</v>
      </c>
      <c r="AM2529" s="81">
        <v>0</v>
      </c>
      <c r="AN2529" s="86" t="s">
        <v>2084</v>
      </c>
      <c r="AO2529" s="86" t="s">
        <v>2178</v>
      </c>
      <c r="AP2529" s="81" t="b">
        <v>0</v>
      </c>
      <c r="AQ2529" s="86" t="s">
        <v>7558</v>
      </c>
      <c r="AR2529" s="81" t="s">
        <v>179</v>
      </c>
      <c r="AS2529" s="81">
        <v>0</v>
      </c>
      <c r="AT2529" s="81">
        <v>0</v>
      </c>
      <c r="AU2529" s="81" t="s">
        <v>2199</v>
      </c>
      <c r="AV2529" s="81" t="s">
        <v>2202</v>
      </c>
      <c r="AW2529" s="81" t="s">
        <v>12</v>
      </c>
      <c r="AX2529" s="81" t="s">
        <v>2204</v>
      </c>
      <c r="AY2529" s="81" t="s">
        <v>2207</v>
      </c>
      <c r="AZ2529" s="81" t="s">
        <v>2204</v>
      </c>
      <c r="BA2529" s="81" t="s">
        <v>2213</v>
      </c>
      <c r="BB2529" s="84" t="str">
        <f>HYPERLINK("https://api.twitter.com/1.1/geo/id/0fc374080c942001.json")</f>
        <v>https://api.twitter.com/1.1/geo/id/0fc374080c942001.json</v>
      </c>
    </row>
    <row r="2530" spans="1:54" x14ac:dyDescent="0.35">
      <c r="A2530" s="66" t="s">
        <v>583</v>
      </c>
      <c r="B2530" s="66" t="s">
        <v>583</v>
      </c>
      <c r="C2530" s="67"/>
      <c r="D2530" s="68"/>
      <c r="E2530" s="69"/>
      <c r="F2530" s="70"/>
      <c r="G2530" s="67"/>
      <c r="H2530" s="71"/>
      <c r="I2530" s="72"/>
      <c r="J2530" s="72"/>
      <c r="K2530" s="36"/>
      <c r="L2530" s="79"/>
      <c r="M2530" s="79"/>
      <c r="N2530" s="74"/>
      <c r="O2530" s="81" t="s">
        <v>179</v>
      </c>
      <c r="P2530" s="83">
        <v>44468.442337962966</v>
      </c>
      <c r="Q2530" s="81" t="s">
        <v>12767</v>
      </c>
      <c r="R2530" s="81"/>
      <c r="S2530" s="81"/>
      <c r="T2530" s="86" t="s">
        <v>12865</v>
      </c>
      <c r="U2530" s="84" t="str">
        <f>HYPERLINK("https://pbs.twimg.com/media/FAck6HdUUAENzWD.jpg")</f>
        <v>https://pbs.twimg.com/media/FAck6HdUUAENzWD.jpg</v>
      </c>
      <c r="V2530" s="84" t="str">
        <f>HYPERLINK("https://pbs.twimg.com/media/FAck6HdUUAENzWD.jpg")</f>
        <v>https://pbs.twimg.com/media/FAck6HdUUAENzWD.jpg</v>
      </c>
      <c r="W2530" s="83">
        <v>44468.442337962966</v>
      </c>
      <c r="X2530" s="89">
        <v>44468</v>
      </c>
      <c r="Y2530" s="86" t="s">
        <v>13060</v>
      </c>
      <c r="Z2530" s="84" t="str">
        <f>HYPERLINK("https://twitter.com/tbssouvenir/status/1443162884335288326")</f>
        <v>https://twitter.com/tbssouvenir/status/1443162884335288326</v>
      </c>
      <c r="AA2530" s="81"/>
      <c r="AB2530" s="81"/>
      <c r="AC2530" s="86" t="s">
        <v>13301</v>
      </c>
      <c r="AD2530" s="81"/>
      <c r="AE2530" s="81" t="b">
        <v>0</v>
      </c>
      <c r="AF2530" s="81">
        <v>0</v>
      </c>
      <c r="AG2530" s="86" t="s">
        <v>2084</v>
      </c>
      <c r="AH2530" s="81" t="b">
        <v>0</v>
      </c>
      <c r="AI2530" s="81" t="s">
        <v>2167</v>
      </c>
      <c r="AJ2530" s="81"/>
      <c r="AK2530" s="86" t="s">
        <v>2084</v>
      </c>
      <c r="AL2530" s="81" t="b">
        <v>0</v>
      </c>
      <c r="AM2530" s="81">
        <v>1</v>
      </c>
      <c r="AN2530" s="86" t="s">
        <v>2084</v>
      </c>
      <c r="AO2530" s="86" t="s">
        <v>2178</v>
      </c>
      <c r="AP2530" s="81" t="b">
        <v>0</v>
      </c>
      <c r="AQ2530" s="86" t="s">
        <v>13301</v>
      </c>
      <c r="AR2530" s="81" t="s">
        <v>179</v>
      </c>
      <c r="AS2530" s="81">
        <v>0</v>
      </c>
      <c r="AT2530" s="81">
        <v>0</v>
      </c>
      <c r="AU2530" s="81" t="s">
        <v>13448</v>
      </c>
      <c r="AV2530" s="81" t="s">
        <v>2202</v>
      </c>
      <c r="AW2530" s="81" t="s">
        <v>12</v>
      </c>
      <c r="AX2530" s="81" t="s">
        <v>13452</v>
      </c>
      <c r="AY2530" s="81" t="s">
        <v>13455</v>
      </c>
      <c r="AZ2530" s="81" t="s">
        <v>13458</v>
      </c>
      <c r="BA2530" s="81" t="s">
        <v>2212</v>
      </c>
      <c r="BB2530" s="84" t="str">
        <f>HYPERLINK("https://api.twitter.com/1.1/geo/id/e4d3eb9106fe011f.json")</f>
        <v>https://api.twitter.com/1.1/geo/id/e4d3eb9106fe011f.json</v>
      </c>
    </row>
    <row r="2531" spans="1:54" x14ac:dyDescent="0.35">
      <c r="A2531" s="66" t="s">
        <v>583</v>
      </c>
      <c r="B2531" s="66" t="s">
        <v>583</v>
      </c>
      <c r="C2531" s="67"/>
      <c r="D2531" s="68"/>
      <c r="E2531" s="69"/>
      <c r="F2531" s="70"/>
      <c r="G2531" s="67"/>
      <c r="H2531" s="71"/>
      <c r="I2531" s="72"/>
      <c r="J2531" s="72"/>
      <c r="K2531" s="36"/>
      <c r="L2531" s="79"/>
      <c r="M2531" s="79"/>
      <c r="N2531" s="74"/>
      <c r="O2531" s="81" t="s">
        <v>179</v>
      </c>
      <c r="P2531" s="83">
        <v>44469.066261574073</v>
      </c>
      <c r="Q2531" s="81" t="s">
        <v>12826</v>
      </c>
      <c r="R2531" s="81"/>
      <c r="S2531" s="81"/>
      <c r="T2531" s="86" t="s">
        <v>12872</v>
      </c>
      <c r="U2531" s="84" t="str">
        <f>HYPERLINK("https://pbs.twimg.com/media/FAfylBEVkAAuWe1.jpg")</f>
        <v>https://pbs.twimg.com/media/FAfylBEVkAAuWe1.jpg</v>
      </c>
      <c r="V2531" s="84" t="str">
        <f>HYPERLINK("https://pbs.twimg.com/media/FAfylBEVkAAuWe1.jpg")</f>
        <v>https://pbs.twimg.com/media/FAfylBEVkAAuWe1.jpg</v>
      </c>
      <c r="W2531" s="83">
        <v>44469.066261574073</v>
      </c>
      <c r="X2531" s="89">
        <v>44469</v>
      </c>
      <c r="Y2531" s="86" t="s">
        <v>13061</v>
      </c>
      <c r="Z2531" s="84" t="str">
        <f>HYPERLINK("https://twitter.com/tbssouvenir/status/1443388986303533058")</f>
        <v>https://twitter.com/tbssouvenir/status/1443388986303533058</v>
      </c>
      <c r="AA2531" s="81"/>
      <c r="AB2531" s="81"/>
      <c r="AC2531" s="86" t="s">
        <v>13302</v>
      </c>
      <c r="AD2531" s="81"/>
      <c r="AE2531" s="81" t="b">
        <v>0</v>
      </c>
      <c r="AF2531" s="81">
        <v>0</v>
      </c>
      <c r="AG2531" s="86" t="s">
        <v>2084</v>
      </c>
      <c r="AH2531" s="81" t="b">
        <v>0</v>
      </c>
      <c r="AI2531" s="81" t="s">
        <v>2167</v>
      </c>
      <c r="AJ2531" s="81"/>
      <c r="AK2531" s="86" t="s">
        <v>2084</v>
      </c>
      <c r="AL2531" s="81" t="b">
        <v>0</v>
      </c>
      <c r="AM2531" s="81">
        <v>0</v>
      </c>
      <c r="AN2531" s="86" t="s">
        <v>2084</v>
      </c>
      <c r="AO2531" s="86" t="s">
        <v>2178</v>
      </c>
      <c r="AP2531" s="81" t="b">
        <v>0</v>
      </c>
      <c r="AQ2531" s="86" t="s">
        <v>13302</v>
      </c>
      <c r="AR2531" s="81" t="s">
        <v>179</v>
      </c>
      <c r="AS2531" s="81">
        <v>0</v>
      </c>
      <c r="AT2531" s="81">
        <v>0</v>
      </c>
      <c r="AU2531" s="81" t="s">
        <v>2199</v>
      </c>
      <c r="AV2531" s="81" t="s">
        <v>2202</v>
      </c>
      <c r="AW2531" s="81" t="s">
        <v>12</v>
      </c>
      <c r="AX2531" s="81" t="s">
        <v>2204</v>
      </c>
      <c r="AY2531" s="81" t="s">
        <v>2207</v>
      </c>
      <c r="AZ2531" s="81" t="s">
        <v>2204</v>
      </c>
      <c r="BA2531" s="81" t="s">
        <v>2213</v>
      </c>
      <c r="BB2531" s="84" t="str">
        <f>HYPERLINK("https://api.twitter.com/1.1/geo/id/0fc374080c942001.json")</f>
        <v>https://api.twitter.com/1.1/geo/id/0fc374080c942001.json</v>
      </c>
    </row>
    <row r="2532" spans="1:54" x14ac:dyDescent="0.35">
      <c r="A2532" s="66" t="s">
        <v>415</v>
      </c>
      <c r="B2532" s="66" t="s">
        <v>415</v>
      </c>
      <c r="C2532" s="67"/>
      <c r="D2532" s="68"/>
      <c r="E2532" s="69"/>
      <c r="F2532" s="70"/>
      <c r="G2532" s="67"/>
      <c r="H2532" s="71"/>
      <c r="I2532" s="72"/>
      <c r="J2532" s="72"/>
      <c r="K2532" s="36"/>
      <c r="L2532" s="79"/>
      <c r="M2532" s="79"/>
      <c r="N2532" s="74"/>
      <c r="O2532" s="81" t="s">
        <v>179</v>
      </c>
      <c r="P2532" s="83">
        <v>44462.377256944441</v>
      </c>
      <c r="Q2532" s="81" t="s">
        <v>759</v>
      </c>
      <c r="R2532" s="81"/>
      <c r="S2532" s="81"/>
      <c r="T2532" s="86" t="s">
        <v>979</v>
      </c>
      <c r="U2532" s="84" t="str">
        <f>HYPERLINK("https://pbs.twimg.com/media/E_9V_ibVEAYc8c_.jpg")</f>
        <v>https://pbs.twimg.com/media/E_9V_ibVEAYc8c_.jpg</v>
      </c>
      <c r="V2532" s="84" t="str">
        <f>HYPERLINK("https://pbs.twimg.com/media/E_9V_ibVEAYc8c_.jpg")</f>
        <v>https://pbs.twimg.com/media/E_9V_ibVEAYc8c_.jpg</v>
      </c>
      <c r="W2532" s="83">
        <v>44462.377256944441</v>
      </c>
      <c r="X2532" s="89">
        <v>44462</v>
      </c>
      <c r="Y2532" s="86" t="s">
        <v>1244</v>
      </c>
      <c r="Z2532" s="84" t="str">
        <f>HYPERLINK("https://twitter.com/tyongluvb/status/1440964970536058881")</f>
        <v>https://twitter.com/tyongluvb/status/1440964970536058881</v>
      </c>
      <c r="AA2532" s="81"/>
      <c r="AB2532" s="81"/>
      <c r="AC2532" s="86" t="s">
        <v>1740</v>
      </c>
      <c r="AD2532" s="81"/>
      <c r="AE2532" s="81" t="b">
        <v>0</v>
      </c>
      <c r="AF2532" s="81">
        <v>6</v>
      </c>
      <c r="AG2532" s="86" t="s">
        <v>2084</v>
      </c>
      <c r="AH2532" s="81" t="b">
        <v>0</v>
      </c>
      <c r="AI2532" s="81" t="s">
        <v>2168</v>
      </c>
      <c r="AJ2532" s="81"/>
      <c r="AK2532" s="86" t="s">
        <v>2084</v>
      </c>
      <c r="AL2532" s="81" t="b">
        <v>0</v>
      </c>
      <c r="AM2532" s="81">
        <v>12</v>
      </c>
      <c r="AN2532" s="86" t="s">
        <v>2084</v>
      </c>
      <c r="AO2532" s="86" t="s">
        <v>2179</v>
      </c>
      <c r="AP2532" s="81" t="b">
        <v>0</v>
      </c>
      <c r="AQ2532" s="86" t="s">
        <v>1740</v>
      </c>
      <c r="AR2532" s="81" t="s">
        <v>179</v>
      </c>
      <c r="AS2532" s="81">
        <v>0</v>
      </c>
      <c r="AT2532" s="81">
        <v>0</v>
      </c>
      <c r="AU2532" s="81"/>
      <c r="AV2532" s="81"/>
      <c r="AW2532" s="81"/>
      <c r="AX2532" s="81"/>
      <c r="AY2532" s="81"/>
      <c r="AZ2532" s="81"/>
      <c r="BA2532" s="81"/>
      <c r="BB2532" s="81"/>
    </row>
    <row r="2533" spans="1:54" x14ac:dyDescent="0.35">
      <c r="A2533" s="66" t="s">
        <v>415</v>
      </c>
      <c r="B2533" s="66" t="s">
        <v>415</v>
      </c>
      <c r="C2533" s="67"/>
      <c r="D2533" s="68"/>
      <c r="E2533" s="69"/>
      <c r="F2533" s="70"/>
      <c r="G2533" s="67"/>
      <c r="H2533" s="71"/>
      <c r="I2533" s="72"/>
      <c r="J2533" s="72"/>
      <c r="K2533" s="36"/>
      <c r="L2533" s="79"/>
      <c r="M2533" s="79"/>
      <c r="N2533" s="74"/>
      <c r="O2533" s="81" t="s">
        <v>179</v>
      </c>
      <c r="P2533" s="83">
        <v>44463.297708333332</v>
      </c>
      <c r="Q2533" s="81" t="s">
        <v>784</v>
      </c>
      <c r="R2533" s="81"/>
      <c r="S2533" s="81"/>
      <c r="T2533" s="86" t="s">
        <v>979</v>
      </c>
      <c r="U2533" s="84" t="str">
        <f>HYPERLINK("https://pbs.twimg.com/media/FACFXSrVUAEcVQU.jpg")</f>
        <v>https://pbs.twimg.com/media/FACFXSrVUAEcVQU.jpg</v>
      </c>
      <c r="V2533" s="84" t="str">
        <f>HYPERLINK("https://pbs.twimg.com/media/FACFXSrVUAEcVQU.jpg")</f>
        <v>https://pbs.twimg.com/media/FACFXSrVUAEcVQU.jpg</v>
      </c>
      <c r="W2533" s="83">
        <v>44463.297708333332</v>
      </c>
      <c r="X2533" s="89">
        <v>44463</v>
      </c>
      <c r="Y2533" s="86" t="s">
        <v>1245</v>
      </c>
      <c r="Z2533" s="84" t="str">
        <f>HYPERLINK("https://twitter.com/tyongluvb/status/1441298531675901958")</f>
        <v>https://twitter.com/tyongluvb/status/1441298531675901958</v>
      </c>
      <c r="AA2533" s="81"/>
      <c r="AB2533" s="81"/>
      <c r="AC2533" s="86" t="s">
        <v>1741</v>
      </c>
      <c r="AD2533" s="81"/>
      <c r="AE2533" s="81" t="b">
        <v>0</v>
      </c>
      <c r="AF2533" s="81">
        <v>3</v>
      </c>
      <c r="AG2533" s="86" t="s">
        <v>2084</v>
      </c>
      <c r="AH2533" s="81" t="b">
        <v>0</v>
      </c>
      <c r="AI2533" s="81" t="s">
        <v>2168</v>
      </c>
      <c r="AJ2533" s="81"/>
      <c r="AK2533" s="86" t="s">
        <v>2084</v>
      </c>
      <c r="AL2533" s="81" t="b">
        <v>0</v>
      </c>
      <c r="AM2533" s="81">
        <v>8</v>
      </c>
      <c r="AN2533" s="86" t="s">
        <v>2084</v>
      </c>
      <c r="AO2533" s="86" t="s">
        <v>2179</v>
      </c>
      <c r="AP2533" s="81" t="b">
        <v>0</v>
      </c>
      <c r="AQ2533" s="86" t="s">
        <v>1741</v>
      </c>
      <c r="AR2533" s="81" t="s">
        <v>179</v>
      </c>
      <c r="AS2533" s="81">
        <v>0</v>
      </c>
      <c r="AT2533" s="81">
        <v>0</v>
      </c>
      <c r="AU2533" s="81"/>
      <c r="AV2533" s="81"/>
      <c r="AW2533" s="81"/>
      <c r="AX2533" s="81"/>
      <c r="AY2533" s="81"/>
      <c r="AZ2533" s="81"/>
      <c r="BA2533" s="81"/>
      <c r="BB2533" s="81"/>
    </row>
    <row r="2534" spans="1:54" x14ac:dyDescent="0.35">
      <c r="A2534" s="66" t="s">
        <v>415</v>
      </c>
      <c r="B2534" s="66" t="s">
        <v>415</v>
      </c>
      <c r="C2534" s="67"/>
      <c r="D2534" s="68"/>
      <c r="E2534" s="69"/>
      <c r="F2534" s="70"/>
      <c r="G2534" s="67"/>
      <c r="H2534" s="71"/>
      <c r="I2534" s="72"/>
      <c r="J2534" s="72"/>
      <c r="K2534" s="36"/>
      <c r="L2534" s="79"/>
      <c r="M2534" s="79"/>
      <c r="N2534" s="74"/>
      <c r="O2534" s="81" t="s">
        <v>693</v>
      </c>
      <c r="P2534" s="83">
        <v>44463.3046412037</v>
      </c>
      <c r="Q2534" s="81" t="s">
        <v>784</v>
      </c>
      <c r="R2534" s="81"/>
      <c r="S2534" s="81"/>
      <c r="T2534" s="86" t="s">
        <v>979</v>
      </c>
      <c r="U2534" s="84" t="str">
        <f>HYPERLINK("https://pbs.twimg.com/media/FACFXSrVUAEcVQU.jpg")</f>
        <v>https://pbs.twimg.com/media/FACFXSrVUAEcVQU.jpg</v>
      </c>
      <c r="V2534" s="84" t="str">
        <f>HYPERLINK("https://pbs.twimg.com/media/FACFXSrVUAEcVQU.jpg")</f>
        <v>https://pbs.twimg.com/media/FACFXSrVUAEcVQU.jpg</v>
      </c>
      <c r="W2534" s="83">
        <v>44463.3046412037</v>
      </c>
      <c r="X2534" s="89">
        <v>44463</v>
      </c>
      <c r="Y2534" s="86" t="s">
        <v>1246</v>
      </c>
      <c r="Z2534" s="84" t="str">
        <f>HYPERLINK("https://twitter.com/tyongluvb/status/1441301044726665223")</f>
        <v>https://twitter.com/tyongluvb/status/1441301044726665223</v>
      </c>
      <c r="AA2534" s="81"/>
      <c r="AB2534" s="81"/>
      <c r="AC2534" s="86" t="s">
        <v>1742</v>
      </c>
      <c r="AD2534" s="81"/>
      <c r="AE2534" s="81" t="b">
        <v>0</v>
      </c>
      <c r="AF2534" s="81">
        <v>0</v>
      </c>
      <c r="AG2534" s="86" t="s">
        <v>2084</v>
      </c>
      <c r="AH2534" s="81" t="b">
        <v>0</v>
      </c>
      <c r="AI2534" s="81" t="s">
        <v>2168</v>
      </c>
      <c r="AJ2534" s="81"/>
      <c r="AK2534" s="86" t="s">
        <v>2084</v>
      </c>
      <c r="AL2534" s="81" t="b">
        <v>0</v>
      </c>
      <c r="AM2534" s="81">
        <v>8</v>
      </c>
      <c r="AN2534" s="86" t="s">
        <v>1741</v>
      </c>
      <c r="AO2534" s="86" t="s">
        <v>2179</v>
      </c>
      <c r="AP2534" s="81" t="b">
        <v>0</v>
      </c>
      <c r="AQ2534" s="86" t="s">
        <v>1741</v>
      </c>
      <c r="AR2534" s="81" t="s">
        <v>179</v>
      </c>
      <c r="AS2534" s="81">
        <v>0</v>
      </c>
      <c r="AT2534" s="81">
        <v>0</v>
      </c>
      <c r="AU2534" s="81"/>
      <c r="AV2534" s="81"/>
      <c r="AW2534" s="81"/>
      <c r="AX2534" s="81"/>
      <c r="AY2534" s="81"/>
      <c r="AZ2534" s="81"/>
      <c r="BA2534" s="81"/>
      <c r="BB2534" s="81"/>
    </row>
    <row r="2535" spans="1:54" x14ac:dyDescent="0.35">
      <c r="A2535" s="66" t="s">
        <v>415</v>
      </c>
      <c r="B2535" s="66" t="s">
        <v>415</v>
      </c>
      <c r="C2535" s="67"/>
      <c r="D2535" s="68"/>
      <c r="E2535" s="69"/>
      <c r="F2535" s="70"/>
      <c r="G2535" s="67"/>
      <c r="H2535" s="71"/>
      <c r="I2535" s="72"/>
      <c r="J2535" s="72"/>
      <c r="K2535" s="36"/>
      <c r="L2535" s="79"/>
      <c r="M2535" s="79"/>
      <c r="N2535" s="74"/>
      <c r="O2535" s="81" t="s">
        <v>179</v>
      </c>
      <c r="P2535" s="83">
        <v>44463.608530092592</v>
      </c>
      <c r="Q2535" s="81" t="s">
        <v>796</v>
      </c>
      <c r="R2535" s="81"/>
      <c r="S2535" s="81"/>
      <c r="T2535" s="86" t="s">
        <v>414</v>
      </c>
      <c r="U2535" s="84" t="str">
        <f>HYPERLINK("https://pbs.twimg.com/media/FADr0CKUUAkUzTj.jpg")</f>
        <v>https://pbs.twimg.com/media/FADr0CKUUAkUzTj.jpg</v>
      </c>
      <c r="V2535" s="84" t="str">
        <f>HYPERLINK("https://pbs.twimg.com/media/FADr0CKUUAkUzTj.jpg")</f>
        <v>https://pbs.twimg.com/media/FADr0CKUUAkUzTj.jpg</v>
      </c>
      <c r="W2535" s="83">
        <v>44463.608530092592</v>
      </c>
      <c r="X2535" s="89">
        <v>44463</v>
      </c>
      <c r="Y2535" s="86" t="s">
        <v>1247</v>
      </c>
      <c r="Z2535" s="84" t="str">
        <f>HYPERLINK("https://twitter.com/tyongluvb/status/1441411168690573318")</f>
        <v>https://twitter.com/tyongluvb/status/1441411168690573318</v>
      </c>
      <c r="AA2535" s="81"/>
      <c r="AB2535" s="81"/>
      <c r="AC2535" s="86" t="s">
        <v>1743</v>
      </c>
      <c r="AD2535" s="81"/>
      <c r="AE2535" s="81" t="b">
        <v>0</v>
      </c>
      <c r="AF2535" s="81">
        <v>1</v>
      </c>
      <c r="AG2535" s="86" t="s">
        <v>2084</v>
      </c>
      <c r="AH2535" s="81" t="b">
        <v>0</v>
      </c>
      <c r="AI2535" s="81" t="s">
        <v>2168</v>
      </c>
      <c r="AJ2535" s="81"/>
      <c r="AK2535" s="86" t="s">
        <v>2084</v>
      </c>
      <c r="AL2535" s="81" t="b">
        <v>0</v>
      </c>
      <c r="AM2535" s="81">
        <v>2</v>
      </c>
      <c r="AN2535" s="86" t="s">
        <v>2084</v>
      </c>
      <c r="AO2535" s="86" t="s">
        <v>2179</v>
      </c>
      <c r="AP2535" s="81" t="b">
        <v>0</v>
      </c>
      <c r="AQ2535" s="86" t="s">
        <v>1743</v>
      </c>
      <c r="AR2535" s="81" t="s">
        <v>179</v>
      </c>
      <c r="AS2535" s="81">
        <v>0</v>
      </c>
      <c r="AT2535" s="81">
        <v>0</v>
      </c>
      <c r="AU2535" s="81"/>
      <c r="AV2535" s="81"/>
      <c r="AW2535" s="81"/>
      <c r="AX2535" s="81"/>
      <c r="AY2535" s="81"/>
      <c r="AZ2535" s="81"/>
      <c r="BA2535" s="81"/>
      <c r="BB2535" s="81"/>
    </row>
    <row r="2536" spans="1:54" x14ac:dyDescent="0.35">
      <c r="A2536" s="66" t="s">
        <v>350</v>
      </c>
      <c r="B2536" s="66" t="s">
        <v>415</v>
      </c>
      <c r="C2536" s="67"/>
      <c r="D2536" s="68"/>
      <c r="E2536" s="69"/>
      <c r="F2536" s="70"/>
      <c r="G2536" s="67"/>
      <c r="H2536" s="71"/>
      <c r="I2536" s="72"/>
      <c r="J2536" s="72"/>
      <c r="K2536" s="36"/>
      <c r="L2536" s="79"/>
      <c r="M2536" s="79"/>
      <c r="N2536" s="74"/>
      <c r="O2536" s="81" t="s">
        <v>693</v>
      </c>
      <c r="P2536" s="83">
        <v>44462.38040509259</v>
      </c>
      <c r="Q2536" s="81" t="s">
        <v>759</v>
      </c>
      <c r="R2536" s="81"/>
      <c r="S2536" s="81"/>
      <c r="T2536" s="86" t="s">
        <v>979</v>
      </c>
      <c r="U2536" s="84" t="str">
        <f>HYPERLINK("https://pbs.twimg.com/media/E_9V_ibVEAYc8c_.jpg")</f>
        <v>https://pbs.twimg.com/media/E_9V_ibVEAYc8c_.jpg</v>
      </c>
      <c r="V2536" s="84" t="str">
        <f>HYPERLINK("https://pbs.twimg.com/media/E_9V_ibVEAYc8c_.jpg")</f>
        <v>https://pbs.twimg.com/media/E_9V_ibVEAYc8c_.jpg</v>
      </c>
      <c r="W2536" s="83">
        <v>44462.38040509259</v>
      </c>
      <c r="X2536" s="89">
        <v>44462</v>
      </c>
      <c r="Y2536" s="86" t="s">
        <v>1157</v>
      </c>
      <c r="Z2536" s="84" t="str">
        <f>HYPERLINK("https://twitter.com/jentokiee/status/1440966110061346820")</f>
        <v>https://twitter.com/jentokiee/status/1440966110061346820</v>
      </c>
      <c r="AA2536" s="81"/>
      <c r="AB2536" s="81"/>
      <c r="AC2536" s="86" t="s">
        <v>1653</v>
      </c>
      <c r="AD2536" s="81"/>
      <c r="AE2536" s="81" t="b">
        <v>0</v>
      </c>
      <c r="AF2536" s="81">
        <v>0</v>
      </c>
      <c r="AG2536" s="86" t="s">
        <v>2084</v>
      </c>
      <c r="AH2536" s="81" t="b">
        <v>0</v>
      </c>
      <c r="AI2536" s="81" t="s">
        <v>2168</v>
      </c>
      <c r="AJ2536" s="81"/>
      <c r="AK2536" s="86" t="s">
        <v>2084</v>
      </c>
      <c r="AL2536" s="81" t="b">
        <v>0</v>
      </c>
      <c r="AM2536" s="81">
        <v>12</v>
      </c>
      <c r="AN2536" s="86" t="s">
        <v>1740</v>
      </c>
      <c r="AO2536" s="86" t="s">
        <v>2179</v>
      </c>
      <c r="AP2536" s="81" t="b">
        <v>0</v>
      </c>
      <c r="AQ2536" s="86" t="s">
        <v>1740</v>
      </c>
      <c r="AR2536" s="81" t="s">
        <v>179</v>
      </c>
      <c r="AS2536" s="81">
        <v>0</v>
      </c>
      <c r="AT2536" s="81">
        <v>0</v>
      </c>
      <c r="AU2536" s="81"/>
      <c r="AV2536" s="81"/>
      <c r="AW2536" s="81"/>
      <c r="AX2536" s="81"/>
      <c r="AY2536" s="81"/>
      <c r="AZ2536" s="81"/>
      <c r="BA2536" s="81"/>
      <c r="BB2536" s="81"/>
    </row>
    <row r="2537" spans="1:54" x14ac:dyDescent="0.35">
      <c r="A2537" s="66" t="s">
        <v>350</v>
      </c>
      <c r="B2537" s="66" t="s">
        <v>12664</v>
      </c>
      <c r="C2537" s="67"/>
      <c r="D2537" s="68"/>
      <c r="E2537" s="69"/>
      <c r="F2537" s="70"/>
      <c r="G2537" s="67"/>
      <c r="H2537" s="71"/>
      <c r="I2537" s="72"/>
      <c r="J2537" s="72"/>
      <c r="K2537" s="36"/>
      <c r="L2537" s="79"/>
      <c r="M2537" s="79"/>
      <c r="N2537" s="74"/>
      <c r="O2537" s="81" t="s">
        <v>693</v>
      </c>
      <c r="P2537" s="83">
        <v>44469.071701388886</v>
      </c>
      <c r="Q2537" s="81" t="s">
        <v>12799</v>
      </c>
      <c r="R2537" s="81"/>
      <c r="S2537" s="81"/>
      <c r="T2537" s="86" t="s">
        <v>314</v>
      </c>
      <c r="U2537" s="84" t="str">
        <f>HYPERLINK("https://pbs.twimg.com/media/FAeEF_8UcAAAgih.jpg")</f>
        <v>https://pbs.twimg.com/media/FAeEF_8UcAAAgih.jpg</v>
      </c>
      <c r="V2537" s="84" t="str">
        <f>HYPERLINK("https://pbs.twimg.com/media/FAeEF_8UcAAAgih.jpg")</f>
        <v>https://pbs.twimg.com/media/FAeEF_8UcAAAgih.jpg</v>
      </c>
      <c r="W2537" s="83">
        <v>44469.071701388886</v>
      </c>
      <c r="X2537" s="89">
        <v>44469</v>
      </c>
      <c r="Y2537" s="86" t="s">
        <v>13062</v>
      </c>
      <c r="Z2537" s="84" t="str">
        <f>HYPERLINK("https://twitter.com/jentokiee/status/1443390955126542336")</f>
        <v>https://twitter.com/jentokiee/status/1443390955126542336</v>
      </c>
      <c r="AA2537" s="81"/>
      <c r="AB2537" s="81"/>
      <c r="AC2537" s="86" t="s">
        <v>13303</v>
      </c>
      <c r="AD2537" s="81"/>
      <c r="AE2537" s="81" t="b">
        <v>0</v>
      </c>
      <c r="AF2537" s="81">
        <v>0</v>
      </c>
      <c r="AG2537" s="86" t="s">
        <v>2084</v>
      </c>
      <c r="AH2537" s="81" t="b">
        <v>0</v>
      </c>
      <c r="AI2537" s="81" t="s">
        <v>2168</v>
      </c>
      <c r="AJ2537" s="81"/>
      <c r="AK2537" s="86" t="s">
        <v>2084</v>
      </c>
      <c r="AL2537" s="81" t="b">
        <v>0</v>
      </c>
      <c r="AM2537" s="81">
        <v>42</v>
      </c>
      <c r="AN2537" s="86" t="s">
        <v>13352</v>
      </c>
      <c r="AO2537" s="86" t="s">
        <v>2182</v>
      </c>
      <c r="AP2537" s="81" t="b">
        <v>0</v>
      </c>
      <c r="AQ2537" s="86" t="s">
        <v>13352</v>
      </c>
      <c r="AR2537" s="81" t="s">
        <v>179</v>
      </c>
      <c r="AS2537" s="81">
        <v>0</v>
      </c>
      <c r="AT2537" s="81">
        <v>0</v>
      </c>
      <c r="AU2537" s="81"/>
      <c r="AV2537" s="81"/>
      <c r="AW2537" s="81"/>
      <c r="AX2537" s="81"/>
      <c r="AY2537" s="81"/>
      <c r="AZ2537" s="81"/>
      <c r="BA2537" s="81"/>
      <c r="BB2537" s="81"/>
    </row>
    <row r="2538" spans="1:54" x14ac:dyDescent="0.35">
      <c r="A2538" s="66" t="s">
        <v>12629</v>
      </c>
      <c r="B2538" s="66" t="s">
        <v>12722</v>
      </c>
      <c r="C2538" s="67"/>
      <c r="D2538" s="68"/>
      <c r="E2538" s="69"/>
      <c r="F2538" s="70"/>
      <c r="G2538" s="67"/>
      <c r="H2538" s="71"/>
      <c r="I2538" s="72"/>
      <c r="J2538" s="72"/>
      <c r="K2538" s="36"/>
      <c r="L2538" s="79"/>
      <c r="M2538" s="79"/>
      <c r="N2538" s="74"/>
      <c r="O2538" s="81" t="s">
        <v>696</v>
      </c>
      <c r="P2538" s="83">
        <v>44469.072951388887</v>
      </c>
      <c r="Q2538" s="81" t="s">
        <v>12827</v>
      </c>
      <c r="R2538" s="81"/>
      <c r="S2538" s="81"/>
      <c r="T2538" s="81"/>
      <c r="U2538" s="81"/>
      <c r="V2538" s="84" t="str">
        <f>HYPERLINK("https://pbs.twimg.com/profile_images/1390774910172213256/UXFcpUXt_normal.jpg")</f>
        <v>https://pbs.twimg.com/profile_images/1390774910172213256/UXFcpUXt_normal.jpg</v>
      </c>
      <c r="W2538" s="83">
        <v>44469.072951388887</v>
      </c>
      <c r="X2538" s="89">
        <v>44469</v>
      </c>
      <c r="Y2538" s="86" t="s">
        <v>13063</v>
      </c>
      <c r="Z2538" s="84" t="str">
        <f>HYPERLINK("https://twitter.com/domingoparque/status/1443391410909192195")</f>
        <v>https://twitter.com/domingoparque/status/1443391410909192195</v>
      </c>
      <c r="AA2538" s="81"/>
      <c r="AB2538" s="81"/>
      <c r="AC2538" s="86" t="s">
        <v>13304</v>
      </c>
      <c r="AD2538" s="86" t="s">
        <v>13392</v>
      </c>
      <c r="AE2538" s="81" t="b">
        <v>0</v>
      </c>
      <c r="AF2538" s="81">
        <v>0</v>
      </c>
      <c r="AG2538" s="86" t="s">
        <v>13429</v>
      </c>
      <c r="AH2538" s="81" t="b">
        <v>0</v>
      </c>
      <c r="AI2538" s="81" t="s">
        <v>2171</v>
      </c>
      <c r="AJ2538" s="81"/>
      <c r="AK2538" s="86" t="s">
        <v>2084</v>
      </c>
      <c r="AL2538" s="81" t="b">
        <v>0</v>
      </c>
      <c r="AM2538" s="81">
        <v>0</v>
      </c>
      <c r="AN2538" s="86" t="s">
        <v>2084</v>
      </c>
      <c r="AO2538" s="86" t="s">
        <v>2181</v>
      </c>
      <c r="AP2538" s="81" t="b">
        <v>0</v>
      </c>
      <c r="AQ2538" s="86" t="s">
        <v>13392</v>
      </c>
      <c r="AR2538" s="81" t="s">
        <v>179</v>
      </c>
      <c r="AS2538" s="81">
        <v>0</v>
      </c>
      <c r="AT2538" s="81">
        <v>0</v>
      </c>
      <c r="AU2538" s="81"/>
      <c r="AV2538" s="81"/>
      <c r="AW2538" s="81"/>
      <c r="AX2538" s="81"/>
      <c r="AY2538" s="81"/>
      <c r="AZ2538" s="81"/>
      <c r="BA2538" s="81"/>
      <c r="BB2538" s="81"/>
    </row>
    <row r="2539" spans="1:54" x14ac:dyDescent="0.35">
      <c r="A2539" s="66" t="s">
        <v>12629</v>
      </c>
      <c r="B2539" s="66" t="s">
        <v>12723</v>
      </c>
      <c r="C2539" s="67"/>
      <c r="D2539" s="68"/>
      <c r="E2539" s="69"/>
      <c r="F2539" s="70"/>
      <c r="G2539" s="67"/>
      <c r="H2539" s="71"/>
      <c r="I2539" s="72"/>
      <c r="J2539" s="72"/>
      <c r="K2539" s="36"/>
      <c r="L2539" s="79"/>
      <c r="M2539" s="79"/>
      <c r="N2539" s="74"/>
      <c r="O2539" s="81" t="s">
        <v>696</v>
      </c>
      <c r="P2539" s="83">
        <v>44469.072951388887</v>
      </c>
      <c r="Q2539" s="81" t="s">
        <v>12827</v>
      </c>
      <c r="R2539" s="81"/>
      <c r="S2539" s="81"/>
      <c r="T2539" s="81"/>
      <c r="U2539" s="81"/>
      <c r="V2539" s="84" t="str">
        <f>HYPERLINK("https://pbs.twimg.com/profile_images/1390774910172213256/UXFcpUXt_normal.jpg")</f>
        <v>https://pbs.twimg.com/profile_images/1390774910172213256/UXFcpUXt_normal.jpg</v>
      </c>
      <c r="W2539" s="83">
        <v>44469.072951388887</v>
      </c>
      <c r="X2539" s="89">
        <v>44469</v>
      </c>
      <c r="Y2539" s="86" t="s">
        <v>13063</v>
      </c>
      <c r="Z2539" s="84" t="str">
        <f>HYPERLINK("https://twitter.com/domingoparque/status/1443391410909192195")</f>
        <v>https://twitter.com/domingoparque/status/1443391410909192195</v>
      </c>
      <c r="AA2539" s="81"/>
      <c r="AB2539" s="81"/>
      <c r="AC2539" s="86" t="s">
        <v>13304</v>
      </c>
      <c r="AD2539" s="86" t="s">
        <v>13392</v>
      </c>
      <c r="AE2539" s="81" t="b">
        <v>0</v>
      </c>
      <c r="AF2539" s="81">
        <v>0</v>
      </c>
      <c r="AG2539" s="86" t="s">
        <v>13429</v>
      </c>
      <c r="AH2539" s="81" t="b">
        <v>0</v>
      </c>
      <c r="AI2539" s="81" t="s">
        <v>2171</v>
      </c>
      <c r="AJ2539" s="81"/>
      <c r="AK2539" s="86" t="s">
        <v>2084</v>
      </c>
      <c r="AL2539" s="81" t="b">
        <v>0</v>
      </c>
      <c r="AM2539" s="81">
        <v>0</v>
      </c>
      <c r="AN2539" s="86" t="s">
        <v>2084</v>
      </c>
      <c r="AO2539" s="86" t="s">
        <v>2181</v>
      </c>
      <c r="AP2539" s="81" t="b">
        <v>0</v>
      </c>
      <c r="AQ2539" s="86" t="s">
        <v>13392</v>
      </c>
      <c r="AR2539" s="81" t="s">
        <v>179</v>
      </c>
      <c r="AS2539" s="81">
        <v>0</v>
      </c>
      <c r="AT2539" s="81">
        <v>0</v>
      </c>
      <c r="AU2539" s="81"/>
      <c r="AV2539" s="81"/>
      <c r="AW2539" s="81"/>
      <c r="AX2539" s="81"/>
      <c r="AY2539" s="81"/>
      <c r="AZ2539" s="81"/>
      <c r="BA2539" s="81"/>
      <c r="BB2539" s="81"/>
    </row>
    <row r="2540" spans="1:54" x14ac:dyDescent="0.35">
      <c r="A2540" s="66" t="s">
        <v>12629</v>
      </c>
      <c r="B2540" s="66" t="s">
        <v>12724</v>
      </c>
      <c r="C2540" s="67"/>
      <c r="D2540" s="68"/>
      <c r="E2540" s="69"/>
      <c r="F2540" s="70"/>
      <c r="G2540" s="67"/>
      <c r="H2540" s="71"/>
      <c r="I2540" s="72"/>
      <c r="J2540" s="72"/>
      <c r="K2540" s="36"/>
      <c r="L2540" s="79"/>
      <c r="M2540" s="79"/>
      <c r="N2540" s="74"/>
      <c r="O2540" s="81" t="s">
        <v>696</v>
      </c>
      <c r="P2540" s="83">
        <v>44469.072951388887</v>
      </c>
      <c r="Q2540" s="81" t="s">
        <v>12827</v>
      </c>
      <c r="R2540" s="81"/>
      <c r="S2540" s="81"/>
      <c r="T2540" s="81"/>
      <c r="U2540" s="81"/>
      <c r="V2540" s="84" t="str">
        <f>HYPERLINK("https://pbs.twimg.com/profile_images/1390774910172213256/UXFcpUXt_normal.jpg")</f>
        <v>https://pbs.twimg.com/profile_images/1390774910172213256/UXFcpUXt_normal.jpg</v>
      </c>
      <c r="W2540" s="83">
        <v>44469.072951388887</v>
      </c>
      <c r="X2540" s="89">
        <v>44469</v>
      </c>
      <c r="Y2540" s="86" t="s">
        <v>13063</v>
      </c>
      <c r="Z2540" s="84" t="str">
        <f>HYPERLINK("https://twitter.com/domingoparque/status/1443391410909192195")</f>
        <v>https://twitter.com/domingoparque/status/1443391410909192195</v>
      </c>
      <c r="AA2540" s="81"/>
      <c r="AB2540" s="81"/>
      <c r="AC2540" s="86" t="s">
        <v>13304</v>
      </c>
      <c r="AD2540" s="86" t="s">
        <v>13392</v>
      </c>
      <c r="AE2540" s="81" t="b">
        <v>0</v>
      </c>
      <c r="AF2540" s="81">
        <v>0</v>
      </c>
      <c r="AG2540" s="86" t="s">
        <v>13429</v>
      </c>
      <c r="AH2540" s="81" t="b">
        <v>0</v>
      </c>
      <c r="AI2540" s="81" t="s">
        <v>2171</v>
      </c>
      <c r="AJ2540" s="81"/>
      <c r="AK2540" s="86" t="s">
        <v>2084</v>
      </c>
      <c r="AL2540" s="81" t="b">
        <v>0</v>
      </c>
      <c r="AM2540" s="81">
        <v>0</v>
      </c>
      <c r="AN2540" s="86" t="s">
        <v>2084</v>
      </c>
      <c r="AO2540" s="86" t="s">
        <v>2181</v>
      </c>
      <c r="AP2540" s="81" t="b">
        <v>0</v>
      </c>
      <c r="AQ2540" s="86" t="s">
        <v>13392</v>
      </c>
      <c r="AR2540" s="81" t="s">
        <v>179</v>
      </c>
      <c r="AS2540" s="81">
        <v>0</v>
      </c>
      <c r="AT2540" s="81">
        <v>0</v>
      </c>
      <c r="AU2540" s="81"/>
      <c r="AV2540" s="81"/>
      <c r="AW2540" s="81"/>
      <c r="AX2540" s="81"/>
      <c r="AY2540" s="81"/>
      <c r="AZ2540" s="81"/>
      <c r="BA2540" s="81"/>
      <c r="BB2540" s="81"/>
    </row>
    <row r="2541" spans="1:54" x14ac:dyDescent="0.35">
      <c r="A2541" s="66" t="s">
        <v>12629</v>
      </c>
      <c r="B2541" s="66" t="s">
        <v>12725</v>
      </c>
      <c r="C2541" s="67"/>
      <c r="D2541" s="68"/>
      <c r="E2541" s="69"/>
      <c r="F2541" s="70"/>
      <c r="G2541" s="67"/>
      <c r="H2541" s="71"/>
      <c r="I2541" s="72"/>
      <c r="J2541" s="72"/>
      <c r="K2541" s="36"/>
      <c r="L2541" s="79"/>
      <c r="M2541" s="79"/>
      <c r="N2541" s="74"/>
      <c r="O2541" s="81" t="s">
        <v>695</v>
      </c>
      <c r="P2541" s="83">
        <v>44469.072951388887</v>
      </c>
      <c r="Q2541" s="81" t="s">
        <v>12827</v>
      </c>
      <c r="R2541" s="81"/>
      <c r="S2541" s="81"/>
      <c r="T2541" s="81"/>
      <c r="U2541" s="81"/>
      <c r="V2541" s="84" t="str">
        <f>HYPERLINK("https://pbs.twimg.com/profile_images/1390774910172213256/UXFcpUXt_normal.jpg")</f>
        <v>https://pbs.twimg.com/profile_images/1390774910172213256/UXFcpUXt_normal.jpg</v>
      </c>
      <c r="W2541" s="83">
        <v>44469.072951388887</v>
      </c>
      <c r="X2541" s="89">
        <v>44469</v>
      </c>
      <c r="Y2541" s="86" t="s">
        <v>13063</v>
      </c>
      <c r="Z2541" s="84" t="str">
        <f>HYPERLINK("https://twitter.com/domingoparque/status/1443391410909192195")</f>
        <v>https://twitter.com/domingoparque/status/1443391410909192195</v>
      </c>
      <c r="AA2541" s="81"/>
      <c r="AB2541" s="81"/>
      <c r="AC2541" s="86" t="s">
        <v>13304</v>
      </c>
      <c r="AD2541" s="86" t="s">
        <v>13392</v>
      </c>
      <c r="AE2541" s="81" t="b">
        <v>0</v>
      </c>
      <c r="AF2541" s="81">
        <v>0</v>
      </c>
      <c r="AG2541" s="86" t="s">
        <v>13429</v>
      </c>
      <c r="AH2541" s="81" t="b">
        <v>0</v>
      </c>
      <c r="AI2541" s="81" t="s">
        <v>2171</v>
      </c>
      <c r="AJ2541" s="81"/>
      <c r="AK2541" s="86" t="s">
        <v>2084</v>
      </c>
      <c r="AL2541" s="81" t="b">
        <v>0</v>
      </c>
      <c r="AM2541" s="81">
        <v>0</v>
      </c>
      <c r="AN2541" s="86" t="s">
        <v>2084</v>
      </c>
      <c r="AO2541" s="86" t="s">
        <v>2181</v>
      </c>
      <c r="AP2541" s="81" t="b">
        <v>0</v>
      </c>
      <c r="AQ2541" s="86" t="s">
        <v>13392</v>
      </c>
      <c r="AR2541" s="81" t="s">
        <v>179</v>
      </c>
      <c r="AS2541" s="81">
        <v>0</v>
      </c>
      <c r="AT2541" s="81">
        <v>0</v>
      </c>
      <c r="AU2541" s="81"/>
      <c r="AV2541" s="81"/>
      <c r="AW2541" s="81"/>
      <c r="AX2541" s="81"/>
      <c r="AY2541" s="81"/>
      <c r="AZ2541" s="81"/>
      <c r="BA2541" s="81"/>
      <c r="BB2541" s="81"/>
    </row>
    <row r="2542" spans="1:54" x14ac:dyDescent="0.35">
      <c r="A2542" s="66" t="s">
        <v>12630</v>
      </c>
      <c r="B2542" s="66" t="s">
        <v>12664</v>
      </c>
      <c r="C2542" s="67"/>
      <c r="D2542" s="68"/>
      <c r="E2542" s="69"/>
      <c r="F2542" s="70"/>
      <c r="G2542" s="67"/>
      <c r="H2542" s="71"/>
      <c r="I2542" s="72"/>
      <c r="J2542" s="72"/>
      <c r="K2542" s="36"/>
      <c r="L2542" s="79"/>
      <c r="M2542" s="79"/>
      <c r="N2542" s="74"/>
      <c r="O2542" s="81" t="s">
        <v>693</v>
      </c>
      <c r="P2542" s="83">
        <v>44469.075358796297</v>
      </c>
      <c r="Q2542" s="81" t="s">
        <v>12800</v>
      </c>
      <c r="R2542" s="81"/>
      <c r="S2542" s="81"/>
      <c r="T2542" s="86" t="s">
        <v>314</v>
      </c>
      <c r="U2542" s="84" t="str">
        <f>HYPERLINK("https://pbs.twimg.com/media/FAeE8WOVQAIxGko.jpg")</f>
        <v>https://pbs.twimg.com/media/FAeE8WOVQAIxGko.jpg</v>
      </c>
      <c r="V2542" s="84" t="str">
        <f>HYPERLINK("https://pbs.twimg.com/media/FAeE8WOVQAIxGko.jpg")</f>
        <v>https://pbs.twimg.com/media/FAeE8WOVQAIxGko.jpg</v>
      </c>
      <c r="W2542" s="83">
        <v>44469.075358796297</v>
      </c>
      <c r="X2542" s="89">
        <v>44469</v>
      </c>
      <c r="Y2542" s="86" t="s">
        <v>13064</v>
      </c>
      <c r="Z2542" s="84" t="str">
        <f>HYPERLINK("https://twitter.com/ddaisyyarchives/status/1443392283194183686")</f>
        <v>https://twitter.com/ddaisyyarchives/status/1443392283194183686</v>
      </c>
      <c r="AA2542" s="81"/>
      <c r="AB2542" s="81"/>
      <c r="AC2542" s="86" t="s">
        <v>13305</v>
      </c>
      <c r="AD2542" s="81"/>
      <c r="AE2542" s="81" t="b">
        <v>0</v>
      </c>
      <c r="AF2542" s="81">
        <v>0</v>
      </c>
      <c r="AG2542" s="86" t="s">
        <v>2084</v>
      </c>
      <c r="AH2542" s="81" t="b">
        <v>0</v>
      </c>
      <c r="AI2542" s="81" t="s">
        <v>2168</v>
      </c>
      <c r="AJ2542" s="81"/>
      <c r="AK2542" s="86" t="s">
        <v>2084</v>
      </c>
      <c r="AL2542" s="81" t="b">
        <v>0</v>
      </c>
      <c r="AM2542" s="81">
        <v>31</v>
      </c>
      <c r="AN2542" s="86" t="s">
        <v>13353</v>
      </c>
      <c r="AO2542" s="86" t="s">
        <v>2179</v>
      </c>
      <c r="AP2542" s="81" t="b">
        <v>0</v>
      </c>
      <c r="AQ2542" s="86" t="s">
        <v>13353</v>
      </c>
      <c r="AR2542" s="81" t="s">
        <v>179</v>
      </c>
      <c r="AS2542" s="81">
        <v>0</v>
      </c>
      <c r="AT2542" s="81">
        <v>0</v>
      </c>
      <c r="AU2542" s="81"/>
      <c r="AV2542" s="81"/>
      <c r="AW2542" s="81"/>
      <c r="AX2542" s="81"/>
      <c r="AY2542" s="81"/>
      <c r="AZ2542" s="81"/>
      <c r="BA2542" s="81"/>
      <c r="BB2542" s="81"/>
    </row>
    <row r="2543" spans="1:54" x14ac:dyDescent="0.35">
      <c r="A2543" s="66" t="s">
        <v>314</v>
      </c>
      <c r="B2543" s="66" t="s">
        <v>344</v>
      </c>
      <c r="C2543" s="67"/>
      <c r="D2543" s="68"/>
      <c r="E2543" s="69"/>
      <c r="F2543" s="70"/>
      <c r="G2543" s="67"/>
      <c r="H2543" s="71"/>
      <c r="I2543" s="72"/>
      <c r="J2543" s="72"/>
      <c r="K2543" s="36"/>
      <c r="L2543" s="79"/>
      <c r="M2543" s="79"/>
      <c r="N2543" s="74"/>
      <c r="O2543" s="81" t="s">
        <v>693</v>
      </c>
      <c r="P2543" s="83">
        <v>44461.372673611113</v>
      </c>
      <c r="Q2543" s="81" t="s">
        <v>743</v>
      </c>
      <c r="R2543" s="81"/>
      <c r="S2543" s="81"/>
      <c r="T2543" s="86" t="s">
        <v>977</v>
      </c>
      <c r="U2543" s="84" t="str">
        <f>HYPERLINK("https://pbs.twimg.com/media/E_4G1w0UcAYtmKg.jpg")</f>
        <v>https://pbs.twimg.com/media/E_4G1w0UcAYtmKg.jpg</v>
      </c>
      <c r="V2543" s="84" t="str">
        <f>HYPERLINK("https://pbs.twimg.com/media/E_4G1w0UcAYtmKg.jpg")</f>
        <v>https://pbs.twimg.com/media/E_4G1w0UcAYtmKg.jpg</v>
      </c>
      <c r="W2543" s="83">
        <v>44461.372673611113</v>
      </c>
      <c r="X2543" s="89">
        <v>44461</v>
      </c>
      <c r="Y2543" s="86" t="s">
        <v>1117</v>
      </c>
      <c r="Z2543" s="84" t="str">
        <f>HYPERLINK("https://twitter.com/pasarnct/status/1440600921797390338")</f>
        <v>https://twitter.com/pasarnct/status/1440600921797390338</v>
      </c>
      <c r="AA2543" s="81"/>
      <c r="AB2543" s="81"/>
      <c r="AC2543" s="86" t="s">
        <v>1615</v>
      </c>
      <c r="AD2543" s="81"/>
      <c r="AE2543" s="81" t="b">
        <v>0</v>
      </c>
      <c r="AF2543" s="81">
        <v>0</v>
      </c>
      <c r="AG2543" s="86" t="s">
        <v>2084</v>
      </c>
      <c r="AH2543" s="81" t="b">
        <v>0</v>
      </c>
      <c r="AI2543" s="81" t="s">
        <v>2168</v>
      </c>
      <c r="AJ2543" s="81"/>
      <c r="AK2543" s="86" t="s">
        <v>2084</v>
      </c>
      <c r="AL2543" s="81" t="b">
        <v>0</v>
      </c>
      <c r="AM2543" s="81">
        <v>12</v>
      </c>
      <c r="AN2543" s="86" t="s">
        <v>1646</v>
      </c>
      <c r="AO2543" s="86" t="s">
        <v>2178</v>
      </c>
      <c r="AP2543" s="81" t="b">
        <v>0</v>
      </c>
      <c r="AQ2543" s="86" t="s">
        <v>1646</v>
      </c>
      <c r="AR2543" s="81" t="s">
        <v>179</v>
      </c>
      <c r="AS2543" s="81">
        <v>0</v>
      </c>
      <c r="AT2543" s="81">
        <v>0</v>
      </c>
      <c r="AU2543" s="81"/>
      <c r="AV2543" s="81"/>
      <c r="AW2543" s="81"/>
      <c r="AX2543" s="81"/>
      <c r="AY2543" s="81"/>
      <c r="AZ2543" s="81"/>
      <c r="BA2543" s="81"/>
      <c r="BB2543" s="81"/>
    </row>
    <row r="2544" spans="1:54" x14ac:dyDescent="0.35">
      <c r="A2544" s="66" t="s">
        <v>314</v>
      </c>
      <c r="B2544" s="66" t="s">
        <v>12664</v>
      </c>
      <c r="C2544" s="67"/>
      <c r="D2544" s="68"/>
      <c r="E2544" s="69"/>
      <c r="F2544" s="70"/>
      <c r="G2544" s="67"/>
      <c r="H2544" s="71"/>
      <c r="I2544" s="72"/>
      <c r="J2544" s="72"/>
      <c r="K2544" s="36"/>
      <c r="L2544" s="79"/>
      <c r="M2544" s="79"/>
      <c r="N2544" s="74"/>
      <c r="O2544" s="81" t="s">
        <v>693</v>
      </c>
      <c r="P2544" s="83">
        <v>44469.076053240744</v>
      </c>
      <c r="Q2544" s="81" t="s">
        <v>12800</v>
      </c>
      <c r="R2544" s="81"/>
      <c r="S2544" s="81"/>
      <c r="T2544" s="86" t="s">
        <v>314</v>
      </c>
      <c r="U2544" s="84" t="str">
        <f>HYPERLINK("https://pbs.twimg.com/media/FAeE8WOVQAIxGko.jpg")</f>
        <v>https://pbs.twimg.com/media/FAeE8WOVQAIxGko.jpg</v>
      </c>
      <c r="V2544" s="84" t="str">
        <f>HYPERLINK("https://pbs.twimg.com/media/FAeE8WOVQAIxGko.jpg")</f>
        <v>https://pbs.twimg.com/media/FAeE8WOVQAIxGko.jpg</v>
      </c>
      <c r="W2544" s="83">
        <v>44469.076053240744</v>
      </c>
      <c r="X2544" s="89">
        <v>44469</v>
      </c>
      <c r="Y2544" s="86" t="s">
        <v>13065</v>
      </c>
      <c r="Z2544" s="84" t="str">
        <f>HYPERLINK("https://twitter.com/pasarnct/status/1443392534244298755")</f>
        <v>https://twitter.com/pasarnct/status/1443392534244298755</v>
      </c>
      <c r="AA2544" s="81"/>
      <c r="AB2544" s="81"/>
      <c r="AC2544" s="86" t="s">
        <v>13306</v>
      </c>
      <c r="AD2544" s="81"/>
      <c r="AE2544" s="81" t="b">
        <v>0</v>
      </c>
      <c r="AF2544" s="81">
        <v>0</v>
      </c>
      <c r="AG2544" s="86" t="s">
        <v>2084</v>
      </c>
      <c r="AH2544" s="81" t="b">
        <v>0</v>
      </c>
      <c r="AI2544" s="81" t="s">
        <v>2168</v>
      </c>
      <c r="AJ2544" s="81"/>
      <c r="AK2544" s="86" t="s">
        <v>2084</v>
      </c>
      <c r="AL2544" s="81" t="b">
        <v>0</v>
      </c>
      <c r="AM2544" s="81">
        <v>31</v>
      </c>
      <c r="AN2544" s="86" t="s">
        <v>13353</v>
      </c>
      <c r="AO2544" s="86" t="s">
        <v>2178</v>
      </c>
      <c r="AP2544" s="81" t="b">
        <v>0</v>
      </c>
      <c r="AQ2544" s="86" t="s">
        <v>13353</v>
      </c>
      <c r="AR2544" s="81" t="s">
        <v>179</v>
      </c>
      <c r="AS2544" s="81">
        <v>0</v>
      </c>
      <c r="AT2544" s="81">
        <v>0</v>
      </c>
      <c r="AU2544" s="81"/>
      <c r="AV2544" s="81"/>
      <c r="AW2544" s="81"/>
      <c r="AX2544" s="81"/>
      <c r="AY2544" s="81"/>
      <c r="AZ2544" s="81"/>
      <c r="BA2544" s="81"/>
      <c r="BB2544" s="81"/>
    </row>
    <row r="2545" spans="1:54" x14ac:dyDescent="0.35">
      <c r="A2545" s="66" t="s">
        <v>314</v>
      </c>
      <c r="B2545" s="66" t="s">
        <v>12664</v>
      </c>
      <c r="C2545" s="67"/>
      <c r="D2545" s="68"/>
      <c r="E2545" s="69"/>
      <c r="F2545" s="70"/>
      <c r="G2545" s="67"/>
      <c r="H2545" s="71"/>
      <c r="I2545" s="72"/>
      <c r="J2545" s="72"/>
      <c r="K2545" s="36"/>
      <c r="L2545" s="79"/>
      <c r="M2545" s="79"/>
      <c r="N2545" s="74"/>
      <c r="O2545" s="81" t="s">
        <v>693</v>
      </c>
      <c r="P2545" s="83">
        <v>44469.076122685183</v>
      </c>
      <c r="Q2545" s="81" t="s">
        <v>12799</v>
      </c>
      <c r="R2545" s="81"/>
      <c r="S2545" s="81"/>
      <c r="T2545" s="86" t="s">
        <v>314</v>
      </c>
      <c r="U2545" s="84" t="str">
        <f>HYPERLINK("https://pbs.twimg.com/media/FAeEF_8UcAAAgih.jpg")</f>
        <v>https://pbs.twimg.com/media/FAeEF_8UcAAAgih.jpg</v>
      </c>
      <c r="V2545" s="84" t="str">
        <f>HYPERLINK("https://pbs.twimg.com/media/FAeEF_8UcAAAgih.jpg")</f>
        <v>https://pbs.twimg.com/media/FAeEF_8UcAAAgih.jpg</v>
      </c>
      <c r="W2545" s="83">
        <v>44469.076122685183</v>
      </c>
      <c r="X2545" s="89">
        <v>44469</v>
      </c>
      <c r="Y2545" s="86" t="s">
        <v>13066</v>
      </c>
      <c r="Z2545" s="84" t="str">
        <f>HYPERLINK("https://twitter.com/pasarnct/status/1443392557841485825")</f>
        <v>https://twitter.com/pasarnct/status/1443392557841485825</v>
      </c>
      <c r="AA2545" s="81"/>
      <c r="AB2545" s="81"/>
      <c r="AC2545" s="86" t="s">
        <v>13307</v>
      </c>
      <c r="AD2545" s="81"/>
      <c r="AE2545" s="81" t="b">
        <v>0</v>
      </c>
      <c r="AF2545" s="81">
        <v>0</v>
      </c>
      <c r="AG2545" s="86" t="s">
        <v>2084</v>
      </c>
      <c r="AH2545" s="81" t="b">
        <v>0</v>
      </c>
      <c r="AI2545" s="81" t="s">
        <v>2168</v>
      </c>
      <c r="AJ2545" s="81"/>
      <c r="AK2545" s="86" t="s">
        <v>2084</v>
      </c>
      <c r="AL2545" s="81" t="b">
        <v>0</v>
      </c>
      <c r="AM2545" s="81">
        <v>42</v>
      </c>
      <c r="AN2545" s="86" t="s">
        <v>13352</v>
      </c>
      <c r="AO2545" s="86" t="s">
        <v>2178</v>
      </c>
      <c r="AP2545" s="81" t="b">
        <v>0</v>
      </c>
      <c r="AQ2545" s="86" t="s">
        <v>13352</v>
      </c>
      <c r="AR2545" s="81" t="s">
        <v>179</v>
      </c>
      <c r="AS2545" s="81">
        <v>0</v>
      </c>
      <c r="AT2545" s="81">
        <v>0</v>
      </c>
      <c r="AU2545" s="81"/>
      <c r="AV2545" s="81"/>
      <c r="AW2545" s="81"/>
      <c r="AX2545" s="81"/>
      <c r="AY2545" s="81"/>
      <c r="AZ2545" s="81"/>
      <c r="BA2545" s="81"/>
      <c r="BB2545" s="81"/>
    </row>
    <row r="2546" spans="1:54" x14ac:dyDescent="0.35">
      <c r="A2546" s="66" t="s">
        <v>12631</v>
      </c>
      <c r="B2546" s="66" t="s">
        <v>12664</v>
      </c>
      <c r="C2546" s="67"/>
      <c r="D2546" s="68"/>
      <c r="E2546" s="69"/>
      <c r="F2546" s="70"/>
      <c r="G2546" s="67"/>
      <c r="H2546" s="71"/>
      <c r="I2546" s="72"/>
      <c r="J2546" s="72"/>
      <c r="K2546" s="36"/>
      <c r="L2546" s="79"/>
      <c r="M2546" s="79"/>
      <c r="N2546" s="74"/>
      <c r="O2546" s="81" t="s">
        <v>693</v>
      </c>
      <c r="P2546" s="83">
        <v>44469.076261574075</v>
      </c>
      <c r="Q2546" s="81" t="s">
        <v>12799</v>
      </c>
      <c r="R2546" s="81"/>
      <c r="S2546" s="81"/>
      <c r="T2546" s="86" t="s">
        <v>314</v>
      </c>
      <c r="U2546" s="84" t="str">
        <f>HYPERLINK("https://pbs.twimg.com/media/FAeEF_8UcAAAgih.jpg")</f>
        <v>https://pbs.twimg.com/media/FAeEF_8UcAAAgih.jpg</v>
      </c>
      <c r="V2546" s="84" t="str">
        <f>HYPERLINK("https://pbs.twimg.com/media/FAeEF_8UcAAAgih.jpg")</f>
        <v>https://pbs.twimg.com/media/FAeEF_8UcAAAgih.jpg</v>
      </c>
      <c r="W2546" s="83">
        <v>44469.076261574075</v>
      </c>
      <c r="X2546" s="89">
        <v>44469</v>
      </c>
      <c r="Y2546" s="86" t="s">
        <v>13067</v>
      </c>
      <c r="Z2546" s="84" t="str">
        <f>HYPERLINK("https://twitter.com/rnjn000/status/1443392608357650434")</f>
        <v>https://twitter.com/rnjn000/status/1443392608357650434</v>
      </c>
      <c r="AA2546" s="81"/>
      <c r="AB2546" s="81"/>
      <c r="AC2546" s="86" t="s">
        <v>13308</v>
      </c>
      <c r="AD2546" s="81"/>
      <c r="AE2546" s="81" t="b">
        <v>0</v>
      </c>
      <c r="AF2546" s="81">
        <v>0</v>
      </c>
      <c r="AG2546" s="86" t="s">
        <v>2084</v>
      </c>
      <c r="AH2546" s="81" t="b">
        <v>0</v>
      </c>
      <c r="AI2546" s="81" t="s">
        <v>2168</v>
      </c>
      <c r="AJ2546" s="81"/>
      <c r="AK2546" s="86" t="s">
        <v>2084</v>
      </c>
      <c r="AL2546" s="81" t="b">
        <v>0</v>
      </c>
      <c r="AM2546" s="81">
        <v>42</v>
      </c>
      <c r="AN2546" s="86" t="s">
        <v>13352</v>
      </c>
      <c r="AO2546" s="86" t="s">
        <v>2178</v>
      </c>
      <c r="AP2546" s="81" t="b">
        <v>0</v>
      </c>
      <c r="AQ2546" s="86" t="s">
        <v>13352</v>
      </c>
      <c r="AR2546" s="81" t="s">
        <v>179</v>
      </c>
      <c r="AS2546" s="81">
        <v>0</v>
      </c>
      <c r="AT2546" s="81">
        <v>0</v>
      </c>
      <c r="AU2546" s="81"/>
      <c r="AV2546" s="81"/>
      <c r="AW2546" s="81"/>
      <c r="AX2546" s="81"/>
      <c r="AY2546" s="81"/>
      <c r="AZ2546" s="81"/>
      <c r="BA2546" s="81"/>
      <c r="BB2546" s="81"/>
    </row>
    <row r="2547" spans="1:54" x14ac:dyDescent="0.35">
      <c r="A2547" s="66" t="s">
        <v>12632</v>
      </c>
      <c r="B2547" s="66" t="s">
        <v>12664</v>
      </c>
      <c r="C2547" s="67"/>
      <c r="D2547" s="68"/>
      <c r="E2547" s="69"/>
      <c r="F2547" s="70"/>
      <c r="G2547" s="67"/>
      <c r="H2547" s="71"/>
      <c r="I2547" s="72"/>
      <c r="J2547" s="72"/>
      <c r="K2547" s="36"/>
      <c r="L2547" s="79"/>
      <c r="M2547" s="79"/>
      <c r="N2547" s="74"/>
      <c r="O2547" s="81" t="s">
        <v>693</v>
      </c>
      <c r="P2547" s="83">
        <v>44469.076296296298</v>
      </c>
      <c r="Q2547" s="81" t="s">
        <v>12800</v>
      </c>
      <c r="R2547" s="81"/>
      <c r="S2547" s="81"/>
      <c r="T2547" s="86" t="s">
        <v>314</v>
      </c>
      <c r="U2547" s="84" t="str">
        <f>HYPERLINK("https://pbs.twimg.com/media/FAeE8WOVQAIxGko.jpg")</f>
        <v>https://pbs.twimg.com/media/FAeE8WOVQAIxGko.jpg</v>
      </c>
      <c r="V2547" s="84" t="str">
        <f>HYPERLINK("https://pbs.twimg.com/media/FAeE8WOVQAIxGko.jpg")</f>
        <v>https://pbs.twimg.com/media/FAeE8WOVQAIxGko.jpg</v>
      </c>
      <c r="W2547" s="83">
        <v>44469.076296296298</v>
      </c>
      <c r="X2547" s="89">
        <v>44469</v>
      </c>
      <c r="Y2547" s="86" t="s">
        <v>13068</v>
      </c>
      <c r="Z2547" s="84" t="str">
        <f>HYPERLINK("https://twitter.com/oning0ning/status/1443392620558831620")</f>
        <v>https://twitter.com/oning0ning/status/1443392620558831620</v>
      </c>
      <c r="AA2547" s="81"/>
      <c r="AB2547" s="81"/>
      <c r="AC2547" s="86" t="s">
        <v>13309</v>
      </c>
      <c r="AD2547" s="81"/>
      <c r="AE2547" s="81" t="b">
        <v>0</v>
      </c>
      <c r="AF2547" s="81">
        <v>0</v>
      </c>
      <c r="AG2547" s="86" t="s">
        <v>2084</v>
      </c>
      <c r="AH2547" s="81" t="b">
        <v>0</v>
      </c>
      <c r="AI2547" s="81" t="s">
        <v>2168</v>
      </c>
      <c r="AJ2547" s="81"/>
      <c r="AK2547" s="86" t="s">
        <v>2084</v>
      </c>
      <c r="AL2547" s="81" t="b">
        <v>0</v>
      </c>
      <c r="AM2547" s="81">
        <v>31</v>
      </c>
      <c r="AN2547" s="86" t="s">
        <v>13353</v>
      </c>
      <c r="AO2547" s="86" t="s">
        <v>2181</v>
      </c>
      <c r="AP2547" s="81" t="b">
        <v>0</v>
      </c>
      <c r="AQ2547" s="86" t="s">
        <v>13353</v>
      </c>
      <c r="AR2547" s="81" t="s">
        <v>179</v>
      </c>
      <c r="AS2547" s="81">
        <v>0</v>
      </c>
      <c r="AT2547" s="81">
        <v>0</v>
      </c>
      <c r="AU2547" s="81"/>
      <c r="AV2547" s="81"/>
      <c r="AW2547" s="81"/>
      <c r="AX2547" s="81"/>
      <c r="AY2547" s="81"/>
      <c r="AZ2547" s="81"/>
      <c r="BA2547" s="81"/>
      <c r="BB2547" s="81"/>
    </row>
    <row r="2548" spans="1:54" x14ac:dyDescent="0.35">
      <c r="A2548" s="66" t="s">
        <v>344</v>
      </c>
      <c r="B2548" s="66" t="s">
        <v>344</v>
      </c>
      <c r="C2548" s="67"/>
      <c r="D2548" s="68"/>
      <c r="E2548" s="69"/>
      <c r="F2548" s="70"/>
      <c r="G2548" s="67"/>
      <c r="H2548" s="71"/>
      <c r="I2548" s="72"/>
      <c r="J2548" s="72"/>
      <c r="K2548" s="36"/>
      <c r="L2548" s="79"/>
      <c r="M2548" s="79"/>
      <c r="N2548" s="74"/>
      <c r="O2548" s="81" t="s">
        <v>179</v>
      </c>
      <c r="P2548" s="83">
        <v>44461.360358796293</v>
      </c>
      <c r="Q2548" s="81" t="s">
        <v>743</v>
      </c>
      <c r="R2548" s="81"/>
      <c r="S2548" s="81"/>
      <c r="T2548" s="86" t="s">
        <v>977</v>
      </c>
      <c r="U2548" s="84" t="str">
        <f>HYPERLINK("https://pbs.twimg.com/media/E_4G1w0UcAYtmKg.jpg")</f>
        <v>https://pbs.twimg.com/media/E_4G1w0UcAYtmKg.jpg</v>
      </c>
      <c r="V2548" s="84" t="str">
        <f>HYPERLINK("https://pbs.twimg.com/media/E_4G1w0UcAYtmKg.jpg")</f>
        <v>https://pbs.twimg.com/media/E_4G1w0UcAYtmKg.jpg</v>
      </c>
      <c r="W2548" s="83">
        <v>44461.360358796293</v>
      </c>
      <c r="X2548" s="89">
        <v>44461</v>
      </c>
      <c r="Y2548" s="86" t="s">
        <v>1150</v>
      </c>
      <c r="Z2548" s="84" t="str">
        <f>HYPERLINK("https://twitter.com/nxnadoongies/status/1440596459716374531")</f>
        <v>https://twitter.com/nxnadoongies/status/1440596459716374531</v>
      </c>
      <c r="AA2548" s="81"/>
      <c r="AB2548" s="81"/>
      <c r="AC2548" s="86" t="s">
        <v>1646</v>
      </c>
      <c r="AD2548" s="81"/>
      <c r="AE2548" s="81" t="b">
        <v>0</v>
      </c>
      <c r="AF2548" s="81">
        <v>3</v>
      </c>
      <c r="AG2548" s="86" t="s">
        <v>2084</v>
      </c>
      <c r="AH2548" s="81" t="b">
        <v>0</v>
      </c>
      <c r="AI2548" s="81" t="s">
        <v>2168</v>
      </c>
      <c r="AJ2548" s="81"/>
      <c r="AK2548" s="86" t="s">
        <v>2084</v>
      </c>
      <c r="AL2548" s="81" t="b">
        <v>0</v>
      </c>
      <c r="AM2548" s="81">
        <v>12</v>
      </c>
      <c r="AN2548" s="86" t="s">
        <v>2084</v>
      </c>
      <c r="AO2548" s="86" t="s">
        <v>2179</v>
      </c>
      <c r="AP2548" s="81" t="b">
        <v>0</v>
      </c>
      <c r="AQ2548" s="86" t="s">
        <v>1646</v>
      </c>
      <c r="AR2548" s="81" t="s">
        <v>179</v>
      </c>
      <c r="AS2548" s="81">
        <v>0</v>
      </c>
      <c r="AT2548" s="81">
        <v>0</v>
      </c>
      <c r="AU2548" s="81"/>
      <c r="AV2548" s="81"/>
      <c r="AW2548" s="81"/>
      <c r="AX2548" s="81"/>
      <c r="AY2548" s="81"/>
      <c r="AZ2548" s="81"/>
      <c r="BA2548" s="81"/>
      <c r="BB2548" s="81"/>
    </row>
    <row r="2549" spans="1:54" x14ac:dyDescent="0.35">
      <c r="A2549" s="66" t="s">
        <v>312</v>
      </c>
      <c r="B2549" s="66" t="s">
        <v>344</v>
      </c>
      <c r="C2549" s="67"/>
      <c r="D2549" s="68"/>
      <c r="E2549" s="69"/>
      <c r="F2549" s="70"/>
      <c r="G2549" s="67"/>
      <c r="H2549" s="71"/>
      <c r="I2549" s="72"/>
      <c r="J2549" s="72"/>
      <c r="K2549" s="36"/>
      <c r="L2549" s="79"/>
      <c r="M2549" s="79"/>
      <c r="N2549" s="74"/>
      <c r="O2549" s="81" t="s">
        <v>693</v>
      </c>
      <c r="P2549" s="83">
        <v>44461.363622685189</v>
      </c>
      <c r="Q2549" s="81" t="s">
        <v>743</v>
      </c>
      <c r="R2549" s="81"/>
      <c r="S2549" s="81"/>
      <c r="T2549" s="86" t="s">
        <v>977</v>
      </c>
      <c r="U2549" s="84" t="str">
        <f>HYPERLINK("https://pbs.twimg.com/media/E_4G1w0UcAYtmKg.jpg")</f>
        <v>https://pbs.twimg.com/media/E_4G1w0UcAYtmKg.jpg</v>
      </c>
      <c r="V2549" s="84" t="str">
        <f>HYPERLINK("https://pbs.twimg.com/media/E_4G1w0UcAYtmKg.jpg")</f>
        <v>https://pbs.twimg.com/media/E_4G1w0UcAYtmKg.jpg</v>
      </c>
      <c r="W2549" s="83">
        <v>44461.363622685189</v>
      </c>
      <c r="X2549" s="89">
        <v>44461</v>
      </c>
      <c r="Y2549" s="86" t="s">
        <v>1115</v>
      </c>
      <c r="Z2549" s="84" t="str">
        <f>HYPERLINK("https://twitter.com/nctrting/status/1440597642833129477")</f>
        <v>https://twitter.com/nctrting/status/1440597642833129477</v>
      </c>
      <c r="AA2549" s="81"/>
      <c r="AB2549" s="81"/>
      <c r="AC2549" s="86" t="s">
        <v>1613</v>
      </c>
      <c r="AD2549" s="81"/>
      <c r="AE2549" s="81" t="b">
        <v>0</v>
      </c>
      <c r="AF2549" s="81">
        <v>0</v>
      </c>
      <c r="AG2549" s="86" t="s">
        <v>2084</v>
      </c>
      <c r="AH2549" s="81" t="b">
        <v>0</v>
      </c>
      <c r="AI2549" s="81" t="s">
        <v>2168</v>
      </c>
      <c r="AJ2549" s="81"/>
      <c r="AK2549" s="86" t="s">
        <v>2084</v>
      </c>
      <c r="AL2549" s="81" t="b">
        <v>0</v>
      </c>
      <c r="AM2549" s="81">
        <v>12</v>
      </c>
      <c r="AN2549" s="86" t="s">
        <v>1646</v>
      </c>
      <c r="AO2549" s="86" t="s">
        <v>2178</v>
      </c>
      <c r="AP2549" s="81" t="b">
        <v>0</v>
      </c>
      <c r="AQ2549" s="86" t="s">
        <v>1646</v>
      </c>
      <c r="AR2549" s="81" t="s">
        <v>179</v>
      </c>
      <c r="AS2549" s="81">
        <v>0</v>
      </c>
      <c r="AT2549" s="81">
        <v>0</v>
      </c>
      <c r="AU2549" s="81"/>
      <c r="AV2549" s="81"/>
      <c r="AW2549" s="81"/>
      <c r="AX2549" s="81"/>
      <c r="AY2549" s="81"/>
      <c r="AZ2549" s="81"/>
      <c r="BA2549" s="81"/>
      <c r="BB2549" s="81"/>
    </row>
    <row r="2550" spans="1:54" x14ac:dyDescent="0.35">
      <c r="A2550" s="66" t="s">
        <v>589</v>
      </c>
      <c r="B2550" s="66" t="s">
        <v>589</v>
      </c>
      <c r="C2550" s="67"/>
      <c r="D2550" s="68"/>
      <c r="E2550" s="69"/>
      <c r="F2550" s="70"/>
      <c r="G2550" s="67"/>
      <c r="H2550" s="71"/>
      <c r="I2550" s="72"/>
      <c r="J2550" s="72"/>
      <c r="K2550" s="36"/>
      <c r="L2550" s="79"/>
      <c r="M2550" s="79"/>
      <c r="N2550" s="74"/>
      <c r="O2550" s="81" t="s">
        <v>179</v>
      </c>
      <c r="P2550" s="83">
        <v>44453.742974537039</v>
      </c>
      <c r="Q2550" s="81" t="s">
        <v>5663</v>
      </c>
      <c r="R2550" s="81"/>
      <c r="S2550" s="81"/>
      <c r="T2550" s="86" t="s">
        <v>1008</v>
      </c>
      <c r="U2550" s="84" t="str">
        <f>HYPERLINK("https://pbs.twimg.com/media/E_Q4OesVEAEeAWr.jpg")</f>
        <v>https://pbs.twimg.com/media/E_Q4OesVEAEeAWr.jpg</v>
      </c>
      <c r="V2550" s="84" t="str">
        <f>HYPERLINK("https://pbs.twimg.com/media/E_Q4OesVEAEeAWr.jpg")</f>
        <v>https://pbs.twimg.com/media/E_Q4OesVEAEeAWr.jpg</v>
      </c>
      <c r="W2550" s="83">
        <v>44453.742974537039</v>
      </c>
      <c r="X2550" s="89">
        <v>44453</v>
      </c>
      <c r="Y2550" s="86" t="s">
        <v>6681</v>
      </c>
      <c r="Z2550" s="84" t="str">
        <f>HYPERLINK("https://twitter.com/bbamwin/status/1437836012634341376")</f>
        <v>https://twitter.com/bbamwin/status/1437836012634341376</v>
      </c>
      <c r="AA2550" s="81"/>
      <c r="AB2550" s="81"/>
      <c r="AC2550" s="86" t="s">
        <v>7608</v>
      </c>
      <c r="AD2550" s="81"/>
      <c r="AE2550" s="81" t="b">
        <v>0</v>
      </c>
      <c r="AF2550" s="81">
        <v>1</v>
      </c>
      <c r="AG2550" s="86" t="s">
        <v>2084</v>
      </c>
      <c r="AH2550" s="81" t="b">
        <v>0</v>
      </c>
      <c r="AI2550" s="81" t="s">
        <v>2168</v>
      </c>
      <c r="AJ2550" s="81"/>
      <c r="AK2550" s="86" t="s">
        <v>2084</v>
      </c>
      <c r="AL2550" s="81" t="b">
        <v>0</v>
      </c>
      <c r="AM2550" s="81">
        <v>2</v>
      </c>
      <c r="AN2550" s="86" t="s">
        <v>2084</v>
      </c>
      <c r="AO2550" s="86" t="s">
        <v>2179</v>
      </c>
      <c r="AP2550" s="81" t="b">
        <v>0</v>
      </c>
      <c r="AQ2550" s="86" t="s">
        <v>7608</v>
      </c>
      <c r="AR2550" s="81" t="s">
        <v>693</v>
      </c>
      <c r="AS2550" s="81">
        <v>0</v>
      </c>
      <c r="AT2550" s="81">
        <v>0</v>
      </c>
      <c r="AU2550" s="81"/>
      <c r="AV2550" s="81"/>
      <c r="AW2550" s="81"/>
      <c r="AX2550" s="81"/>
      <c r="AY2550" s="81"/>
      <c r="AZ2550" s="81"/>
      <c r="BA2550" s="81"/>
      <c r="BB2550" s="81"/>
    </row>
    <row r="2551" spans="1:54" x14ac:dyDescent="0.35">
      <c r="A2551" s="66" t="s">
        <v>589</v>
      </c>
      <c r="B2551" s="66" t="s">
        <v>589</v>
      </c>
      <c r="C2551" s="67"/>
      <c r="D2551" s="68"/>
      <c r="E2551" s="69"/>
      <c r="F2551" s="70"/>
      <c r="G2551" s="67"/>
      <c r="H2551" s="71"/>
      <c r="I2551" s="72"/>
      <c r="J2551" s="72"/>
      <c r="K2551" s="36"/>
      <c r="L2551" s="79"/>
      <c r="M2551" s="79"/>
      <c r="N2551" s="74"/>
      <c r="O2551" s="81" t="s">
        <v>179</v>
      </c>
      <c r="P2551" s="83">
        <v>44453.745462962965</v>
      </c>
      <c r="Q2551" s="81" t="s">
        <v>5590</v>
      </c>
      <c r="R2551" s="81"/>
      <c r="S2551" s="81"/>
      <c r="T2551" s="86" t="s">
        <v>1008</v>
      </c>
      <c r="U2551" s="84" t="str">
        <f>HYPERLINK("https://pbs.twimg.com/media/E_Q5CyNVIAYHiOu.jpg")</f>
        <v>https://pbs.twimg.com/media/E_Q5CyNVIAYHiOu.jpg</v>
      </c>
      <c r="V2551" s="84" t="str">
        <f>HYPERLINK("https://pbs.twimg.com/media/E_Q5CyNVIAYHiOu.jpg")</f>
        <v>https://pbs.twimg.com/media/E_Q5CyNVIAYHiOu.jpg</v>
      </c>
      <c r="W2551" s="83">
        <v>44453.745462962965</v>
      </c>
      <c r="X2551" s="89">
        <v>44453</v>
      </c>
      <c r="Y2551" s="86" t="s">
        <v>6682</v>
      </c>
      <c r="Z2551" s="84" t="str">
        <f>HYPERLINK("https://twitter.com/bbamwin/status/1437836911209377794")</f>
        <v>https://twitter.com/bbamwin/status/1437836911209377794</v>
      </c>
      <c r="AA2551" s="81"/>
      <c r="AB2551" s="81"/>
      <c r="AC2551" s="86" t="s">
        <v>7609</v>
      </c>
      <c r="AD2551" s="81"/>
      <c r="AE2551" s="81" t="b">
        <v>0</v>
      </c>
      <c r="AF2551" s="81">
        <v>3</v>
      </c>
      <c r="AG2551" s="86" t="s">
        <v>2084</v>
      </c>
      <c r="AH2551" s="81" t="b">
        <v>0</v>
      </c>
      <c r="AI2551" s="81" t="s">
        <v>2168</v>
      </c>
      <c r="AJ2551" s="81"/>
      <c r="AK2551" s="86" t="s">
        <v>2084</v>
      </c>
      <c r="AL2551" s="81" t="b">
        <v>0</v>
      </c>
      <c r="AM2551" s="81">
        <v>3</v>
      </c>
      <c r="AN2551" s="86" t="s">
        <v>2084</v>
      </c>
      <c r="AO2551" s="86" t="s">
        <v>2179</v>
      </c>
      <c r="AP2551" s="81" t="b">
        <v>0</v>
      </c>
      <c r="AQ2551" s="86" t="s">
        <v>7609</v>
      </c>
      <c r="AR2551" s="81" t="s">
        <v>693</v>
      </c>
      <c r="AS2551" s="81">
        <v>0</v>
      </c>
      <c r="AT2551" s="81">
        <v>0</v>
      </c>
      <c r="AU2551" s="81"/>
      <c r="AV2551" s="81"/>
      <c r="AW2551" s="81"/>
      <c r="AX2551" s="81"/>
      <c r="AY2551" s="81"/>
      <c r="AZ2551" s="81"/>
      <c r="BA2551" s="81"/>
      <c r="BB2551" s="81"/>
    </row>
    <row r="2552" spans="1:54" x14ac:dyDescent="0.35">
      <c r="A2552" s="66" t="s">
        <v>589</v>
      </c>
      <c r="B2552" s="66" t="s">
        <v>589</v>
      </c>
      <c r="C2552" s="67"/>
      <c r="D2552" s="68"/>
      <c r="E2552" s="69"/>
      <c r="F2552" s="70"/>
      <c r="G2552" s="67"/>
      <c r="H2552" s="71"/>
      <c r="I2552" s="72"/>
      <c r="J2552" s="72"/>
      <c r="K2552" s="36"/>
      <c r="L2552" s="79"/>
      <c r="M2552" s="79"/>
      <c r="N2552" s="74"/>
      <c r="O2552" s="81" t="s">
        <v>179</v>
      </c>
      <c r="P2552" s="83">
        <v>44467.11923611111</v>
      </c>
      <c r="Q2552" s="81" t="s">
        <v>916</v>
      </c>
      <c r="R2552" s="81"/>
      <c r="S2552" s="81"/>
      <c r="T2552" s="86" t="s">
        <v>1008</v>
      </c>
      <c r="U2552" s="84" t="str">
        <f>HYPERLINK("https://pbs.twimg.com/media/FAVw6BvVcAAhYYi.jpg")</f>
        <v>https://pbs.twimg.com/media/FAVw6BvVcAAhYYi.jpg</v>
      </c>
      <c r="V2552" s="84" t="str">
        <f>HYPERLINK("https://pbs.twimg.com/media/FAVw6BvVcAAhYYi.jpg")</f>
        <v>https://pbs.twimg.com/media/FAVw6BvVcAAhYYi.jpg</v>
      </c>
      <c r="W2552" s="83">
        <v>44467.11923611111</v>
      </c>
      <c r="X2552" s="89">
        <v>44467</v>
      </c>
      <c r="Y2552" s="86" t="s">
        <v>1486</v>
      </c>
      <c r="Z2552" s="84" t="str">
        <f>HYPERLINK("https://twitter.com/bbamwin/status/1442683404412067849")</f>
        <v>https://twitter.com/bbamwin/status/1442683404412067849</v>
      </c>
      <c r="AA2552" s="81"/>
      <c r="AB2552" s="81"/>
      <c r="AC2552" s="86" t="s">
        <v>1985</v>
      </c>
      <c r="AD2552" s="86" t="s">
        <v>2082</v>
      </c>
      <c r="AE2552" s="81" t="b">
        <v>0</v>
      </c>
      <c r="AF2552" s="81">
        <v>0</v>
      </c>
      <c r="AG2552" s="86" t="s">
        <v>2165</v>
      </c>
      <c r="AH2552" s="81" t="b">
        <v>0</v>
      </c>
      <c r="AI2552" s="81" t="s">
        <v>2168</v>
      </c>
      <c r="AJ2552" s="81"/>
      <c r="AK2552" s="86" t="s">
        <v>2084</v>
      </c>
      <c r="AL2552" s="81" t="b">
        <v>0</v>
      </c>
      <c r="AM2552" s="81">
        <v>1</v>
      </c>
      <c r="AN2552" s="86" t="s">
        <v>2084</v>
      </c>
      <c r="AO2552" s="86" t="s">
        <v>2179</v>
      </c>
      <c r="AP2552" s="81" t="b">
        <v>0</v>
      </c>
      <c r="AQ2552" s="86" t="s">
        <v>2082</v>
      </c>
      <c r="AR2552" s="81" t="s">
        <v>179</v>
      </c>
      <c r="AS2552" s="81">
        <v>0</v>
      </c>
      <c r="AT2552" s="81">
        <v>0</v>
      </c>
      <c r="AU2552" s="81"/>
      <c r="AV2552" s="81"/>
      <c r="AW2552" s="81"/>
      <c r="AX2552" s="81"/>
      <c r="AY2552" s="81"/>
      <c r="AZ2552" s="81"/>
      <c r="BA2552" s="81"/>
      <c r="BB2552" s="81"/>
    </row>
    <row r="2553" spans="1:54" x14ac:dyDescent="0.35">
      <c r="A2553" s="66" t="s">
        <v>589</v>
      </c>
      <c r="B2553" s="66" t="s">
        <v>589</v>
      </c>
      <c r="C2553" s="67"/>
      <c r="D2553" s="68"/>
      <c r="E2553" s="69"/>
      <c r="F2553" s="70"/>
      <c r="G2553" s="67"/>
      <c r="H2553" s="71"/>
      <c r="I2553" s="72"/>
      <c r="J2553" s="72"/>
      <c r="K2553" s="36"/>
      <c r="L2553" s="79"/>
      <c r="M2553" s="79"/>
      <c r="N2553" s="74"/>
      <c r="O2553" s="81" t="s">
        <v>179</v>
      </c>
      <c r="P2553" s="83">
        <v>44467.585509259261</v>
      </c>
      <c r="Q2553" s="81" t="s">
        <v>5666</v>
      </c>
      <c r="R2553" s="81"/>
      <c r="S2553" s="81"/>
      <c r="T2553" s="86" t="s">
        <v>1008</v>
      </c>
      <c r="U2553" s="84" t="str">
        <f>HYPERLINK("https://pbs.twimg.com/media/FAYKlY0XEAQ88YO.jpg")</f>
        <v>https://pbs.twimg.com/media/FAYKlY0XEAQ88YO.jpg</v>
      </c>
      <c r="V2553" s="84" t="str">
        <f>HYPERLINK("https://pbs.twimg.com/media/FAYKlY0XEAQ88YO.jpg")</f>
        <v>https://pbs.twimg.com/media/FAYKlY0XEAQ88YO.jpg</v>
      </c>
      <c r="W2553" s="83">
        <v>44467.585509259261</v>
      </c>
      <c r="X2553" s="89">
        <v>44467</v>
      </c>
      <c r="Y2553" s="86" t="s">
        <v>6683</v>
      </c>
      <c r="Z2553" s="84" t="str">
        <f>HYPERLINK("https://twitter.com/bbamwin/status/1442852377481076736")</f>
        <v>https://twitter.com/bbamwin/status/1442852377481076736</v>
      </c>
      <c r="AA2553" s="81"/>
      <c r="AB2553" s="81"/>
      <c r="AC2553" s="86" t="s">
        <v>7610</v>
      </c>
      <c r="AD2553" s="86" t="s">
        <v>2082</v>
      </c>
      <c r="AE2553" s="81" t="b">
        <v>0</v>
      </c>
      <c r="AF2553" s="81">
        <v>0</v>
      </c>
      <c r="AG2553" s="86" t="s">
        <v>2165</v>
      </c>
      <c r="AH2553" s="81" t="b">
        <v>0</v>
      </c>
      <c r="AI2553" s="81" t="s">
        <v>2168</v>
      </c>
      <c r="AJ2553" s="81"/>
      <c r="AK2553" s="86" t="s">
        <v>2084</v>
      </c>
      <c r="AL2553" s="81" t="b">
        <v>0</v>
      </c>
      <c r="AM2553" s="81">
        <v>3</v>
      </c>
      <c r="AN2553" s="86" t="s">
        <v>2084</v>
      </c>
      <c r="AO2553" s="86" t="s">
        <v>2179</v>
      </c>
      <c r="AP2553" s="81" t="b">
        <v>0</v>
      </c>
      <c r="AQ2553" s="86" t="s">
        <v>2082</v>
      </c>
      <c r="AR2553" s="81" t="s">
        <v>179</v>
      </c>
      <c r="AS2553" s="81">
        <v>0</v>
      </c>
      <c r="AT2553" s="81">
        <v>0</v>
      </c>
      <c r="AU2553" s="81"/>
      <c r="AV2553" s="81"/>
      <c r="AW2553" s="81"/>
      <c r="AX2553" s="81"/>
      <c r="AY2553" s="81"/>
      <c r="AZ2553" s="81"/>
      <c r="BA2553" s="81"/>
      <c r="BB2553" s="81"/>
    </row>
    <row r="2554" spans="1:54" x14ac:dyDescent="0.35">
      <c r="A2554" s="66" t="s">
        <v>589</v>
      </c>
      <c r="B2554" s="66" t="s">
        <v>589</v>
      </c>
      <c r="C2554" s="67"/>
      <c r="D2554" s="68"/>
      <c r="E2554" s="69"/>
      <c r="F2554" s="70"/>
      <c r="G2554" s="67"/>
      <c r="H2554" s="71"/>
      <c r="I2554" s="72"/>
      <c r="J2554" s="72"/>
      <c r="K2554" s="36"/>
      <c r="L2554" s="79"/>
      <c r="M2554" s="79"/>
      <c r="N2554" s="74"/>
      <c r="O2554" s="81" t="s">
        <v>179</v>
      </c>
      <c r="P2554" s="83">
        <v>44467.586967592593</v>
      </c>
      <c r="Q2554" s="81" t="s">
        <v>5665</v>
      </c>
      <c r="R2554" s="81"/>
      <c r="S2554" s="81"/>
      <c r="T2554" s="86" t="s">
        <v>1008</v>
      </c>
      <c r="U2554" s="84" t="str">
        <f>HYPERLINK("https://pbs.twimg.com/media/FAYLEGQWYAAROZm.jpg")</f>
        <v>https://pbs.twimg.com/media/FAYLEGQWYAAROZm.jpg</v>
      </c>
      <c r="V2554" s="84" t="str">
        <f>HYPERLINK("https://pbs.twimg.com/media/FAYLEGQWYAAROZm.jpg")</f>
        <v>https://pbs.twimg.com/media/FAYLEGQWYAAROZm.jpg</v>
      </c>
      <c r="W2554" s="83">
        <v>44467.586967592593</v>
      </c>
      <c r="X2554" s="89">
        <v>44467</v>
      </c>
      <c r="Y2554" s="86" t="s">
        <v>6684</v>
      </c>
      <c r="Z2554" s="84" t="str">
        <f>HYPERLINK("https://twitter.com/bbamwin/status/1442852904814055425")</f>
        <v>https://twitter.com/bbamwin/status/1442852904814055425</v>
      </c>
      <c r="AA2554" s="81"/>
      <c r="AB2554" s="81"/>
      <c r="AC2554" s="86" t="s">
        <v>7611</v>
      </c>
      <c r="AD2554" s="86" t="s">
        <v>2082</v>
      </c>
      <c r="AE2554" s="81" t="b">
        <v>0</v>
      </c>
      <c r="AF2554" s="81">
        <v>0</v>
      </c>
      <c r="AG2554" s="86" t="s">
        <v>2165</v>
      </c>
      <c r="AH2554" s="81" t="b">
        <v>0</v>
      </c>
      <c r="AI2554" s="81" t="s">
        <v>2168</v>
      </c>
      <c r="AJ2554" s="81"/>
      <c r="AK2554" s="86" t="s">
        <v>2084</v>
      </c>
      <c r="AL2554" s="81" t="b">
        <v>0</v>
      </c>
      <c r="AM2554" s="81">
        <v>2</v>
      </c>
      <c r="AN2554" s="86" t="s">
        <v>2084</v>
      </c>
      <c r="AO2554" s="86" t="s">
        <v>2179</v>
      </c>
      <c r="AP2554" s="81" t="b">
        <v>0</v>
      </c>
      <c r="AQ2554" s="86" t="s">
        <v>2082</v>
      </c>
      <c r="AR2554" s="81" t="s">
        <v>179</v>
      </c>
      <c r="AS2554" s="81">
        <v>0</v>
      </c>
      <c r="AT2554" s="81">
        <v>0</v>
      </c>
      <c r="AU2554" s="81"/>
      <c r="AV2554" s="81"/>
      <c r="AW2554" s="81"/>
      <c r="AX2554" s="81"/>
      <c r="AY2554" s="81"/>
      <c r="AZ2554" s="81"/>
      <c r="BA2554" s="81"/>
      <c r="BB2554" s="81"/>
    </row>
    <row r="2555" spans="1:54" x14ac:dyDescent="0.35">
      <c r="A2555" s="66" t="s">
        <v>589</v>
      </c>
      <c r="B2555" s="66" t="s">
        <v>589</v>
      </c>
      <c r="C2555" s="67"/>
      <c r="D2555" s="68"/>
      <c r="E2555" s="69"/>
      <c r="F2555" s="70"/>
      <c r="G2555" s="67"/>
      <c r="H2555" s="71"/>
      <c r="I2555" s="72"/>
      <c r="J2555" s="72"/>
      <c r="K2555" s="36"/>
      <c r="L2555" s="79"/>
      <c r="M2555" s="79"/>
      <c r="N2555" s="74"/>
      <c r="O2555" s="81" t="s">
        <v>179</v>
      </c>
      <c r="P2555" s="83">
        <v>44467.59684027778</v>
      </c>
      <c r="Q2555" s="81" t="s">
        <v>5664</v>
      </c>
      <c r="R2555" s="81"/>
      <c r="S2555" s="81"/>
      <c r="T2555" s="86" t="s">
        <v>1008</v>
      </c>
      <c r="U2555" s="84" t="str">
        <f>HYPERLINK("https://pbs.twimg.com/media/FAYOUjOUYAQ_JP2.jpg")</f>
        <v>https://pbs.twimg.com/media/FAYOUjOUYAQ_JP2.jpg</v>
      </c>
      <c r="V2555" s="84" t="str">
        <f>HYPERLINK("https://pbs.twimg.com/media/FAYOUjOUYAQ_JP2.jpg")</f>
        <v>https://pbs.twimg.com/media/FAYOUjOUYAQ_JP2.jpg</v>
      </c>
      <c r="W2555" s="83">
        <v>44467.59684027778</v>
      </c>
      <c r="X2555" s="89">
        <v>44467</v>
      </c>
      <c r="Y2555" s="86" t="s">
        <v>6685</v>
      </c>
      <c r="Z2555" s="84" t="str">
        <f>HYPERLINK("https://twitter.com/bbamwin/status/1442856483461287940")</f>
        <v>https://twitter.com/bbamwin/status/1442856483461287940</v>
      </c>
      <c r="AA2555" s="81"/>
      <c r="AB2555" s="81"/>
      <c r="AC2555" s="86" t="s">
        <v>7612</v>
      </c>
      <c r="AD2555" s="81"/>
      <c r="AE2555" s="81" t="b">
        <v>0</v>
      </c>
      <c r="AF2555" s="81">
        <v>1</v>
      </c>
      <c r="AG2555" s="86" t="s">
        <v>2084</v>
      </c>
      <c r="AH2555" s="81" t="b">
        <v>0</v>
      </c>
      <c r="AI2555" s="81" t="s">
        <v>2168</v>
      </c>
      <c r="AJ2555" s="81"/>
      <c r="AK2555" s="86" t="s">
        <v>2084</v>
      </c>
      <c r="AL2555" s="81" t="b">
        <v>0</v>
      </c>
      <c r="AM2555" s="81">
        <v>6</v>
      </c>
      <c r="AN2555" s="86" t="s">
        <v>2084</v>
      </c>
      <c r="AO2555" s="86" t="s">
        <v>2179</v>
      </c>
      <c r="AP2555" s="81" t="b">
        <v>0</v>
      </c>
      <c r="AQ2555" s="86" t="s">
        <v>7612</v>
      </c>
      <c r="AR2555" s="81" t="s">
        <v>179</v>
      </c>
      <c r="AS2555" s="81">
        <v>0</v>
      </c>
      <c r="AT2555" s="81">
        <v>0</v>
      </c>
      <c r="AU2555" s="81"/>
      <c r="AV2555" s="81"/>
      <c r="AW2555" s="81"/>
      <c r="AX2555" s="81"/>
      <c r="AY2555" s="81"/>
      <c r="AZ2555" s="81"/>
      <c r="BA2555" s="81"/>
      <c r="BB2555" s="81"/>
    </row>
    <row r="2556" spans="1:54" x14ac:dyDescent="0.35">
      <c r="A2556" s="66" t="s">
        <v>589</v>
      </c>
      <c r="B2556" s="66" t="s">
        <v>589</v>
      </c>
      <c r="C2556" s="67"/>
      <c r="D2556" s="68"/>
      <c r="E2556" s="69"/>
      <c r="F2556" s="70"/>
      <c r="G2556" s="67"/>
      <c r="H2556" s="71"/>
      <c r="I2556" s="72"/>
      <c r="J2556" s="72"/>
      <c r="K2556" s="36"/>
      <c r="L2556" s="79"/>
      <c r="M2556" s="79"/>
      <c r="N2556" s="74"/>
      <c r="O2556" s="81" t="s">
        <v>179</v>
      </c>
      <c r="P2556" s="83">
        <v>44467.61440972222</v>
      </c>
      <c r="Q2556" s="81" t="s">
        <v>5625</v>
      </c>
      <c r="R2556" s="81"/>
      <c r="S2556" s="81"/>
      <c r="T2556" s="86" t="s">
        <v>5786</v>
      </c>
      <c r="U2556" s="84" t="str">
        <f>HYPERLINK("https://pbs.twimg.com/media/FAYUHMTVEAoP82T.jpg")</f>
        <v>https://pbs.twimg.com/media/FAYUHMTVEAoP82T.jpg</v>
      </c>
      <c r="V2556" s="84" t="str">
        <f>HYPERLINK("https://pbs.twimg.com/media/FAYUHMTVEAoP82T.jpg")</f>
        <v>https://pbs.twimg.com/media/FAYUHMTVEAoP82T.jpg</v>
      </c>
      <c r="W2556" s="83">
        <v>44467.61440972222</v>
      </c>
      <c r="X2556" s="89">
        <v>44467</v>
      </c>
      <c r="Y2556" s="86" t="s">
        <v>6686</v>
      </c>
      <c r="Z2556" s="84" t="str">
        <f>HYPERLINK("https://twitter.com/bbamwin/status/1442862850851016709")</f>
        <v>https://twitter.com/bbamwin/status/1442862850851016709</v>
      </c>
      <c r="AA2556" s="81"/>
      <c r="AB2556" s="81"/>
      <c r="AC2556" s="86" t="s">
        <v>7613</v>
      </c>
      <c r="AD2556" s="81"/>
      <c r="AE2556" s="81" t="b">
        <v>0</v>
      </c>
      <c r="AF2556" s="81">
        <v>4</v>
      </c>
      <c r="AG2556" s="86" t="s">
        <v>2084</v>
      </c>
      <c r="AH2556" s="81" t="b">
        <v>0</v>
      </c>
      <c r="AI2556" s="81" t="s">
        <v>2168</v>
      </c>
      <c r="AJ2556" s="81"/>
      <c r="AK2556" s="86" t="s">
        <v>2084</v>
      </c>
      <c r="AL2556" s="81" t="b">
        <v>0</v>
      </c>
      <c r="AM2556" s="81">
        <v>15</v>
      </c>
      <c r="AN2556" s="86" t="s">
        <v>2084</v>
      </c>
      <c r="AO2556" s="86" t="s">
        <v>2179</v>
      </c>
      <c r="AP2556" s="81" t="b">
        <v>0</v>
      </c>
      <c r="AQ2556" s="86" t="s">
        <v>7613</v>
      </c>
      <c r="AR2556" s="81" t="s">
        <v>179</v>
      </c>
      <c r="AS2556" s="81">
        <v>0</v>
      </c>
      <c r="AT2556" s="81">
        <v>0</v>
      </c>
      <c r="AU2556" s="81"/>
      <c r="AV2556" s="81"/>
      <c r="AW2556" s="81"/>
      <c r="AX2556" s="81"/>
      <c r="AY2556" s="81"/>
      <c r="AZ2556" s="81"/>
      <c r="BA2556" s="81"/>
      <c r="BB2556" s="81"/>
    </row>
    <row r="2557" spans="1:54" x14ac:dyDescent="0.35">
      <c r="A2557" s="66" t="s">
        <v>589</v>
      </c>
      <c r="B2557" s="66" t="s">
        <v>589</v>
      </c>
      <c r="C2557" s="67"/>
      <c r="D2557" s="68"/>
      <c r="E2557" s="69"/>
      <c r="F2557" s="70"/>
      <c r="G2557" s="67"/>
      <c r="H2557" s="71"/>
      <c r="I2557" s="72"/>
      <c r="J2557" s="72"/>
      <c r="K2557" s="36"/>
      <c r="L2557" s="79"/>
      <c r="M2557" s="79"/>
      <c r="N2557" s="74"/>
      <c r="O2557" s="81" t="s">
        <v>179</v>
      </c>
      <c r="P2557" s="83">
        <v>44468.348726851851</v>
      </c>
      <c r="Q2557" s="81" t="s">
        <v>12828</v>
      </c>
      <c r="R2557" s="81"/>
      <c r="S2557" s="81"/>
      <c r="T2557" s="86" t="s">
        <v>314</v>
      </c>
      <c r="U2557" s="81"/>
      <c r="V2557" s="84" t="str">
        <f>HYPERLINK("https://pbs.twimg.com/profile_images/1415147796798136322/Di8Oli06_normal.jpg")</f>
        <v>https://pbs.twimg.com/profile_images/1415147796798136322/Di8Oli06_normal.jpg</v>
      </c>
      <c r="W2557" s="83">
        <v>44468.348726851851</v>
      </c>
      <c r="X2557" s="89">
        <v>44468</v>
      </c>
      <c r="Y2557" s="86" t="s">
        <v>13069</v>
      </c>
      <c r="Z2557" s="84" t="str">
        <f>HYPERLINK("https://twitter.com/bbamwin/status/1443128959718232064")</f>
        <v>https://twitter.com/bbamwin/status/1443128959718232064</v>
      </c>
      <c r="AA2557" s="81"/>
      <c r="AB2557" s="81"/>
      <c r="AC2557" s="86" t="s">
        <v>13310</v>
      </c>
      <c r="AD2557" s="81"/>
      <c r="AE2557" s="81" t="b">
        <v>0</v>
      </c>
      <c r="AF2557" s="81">
        <v>0</v>
      </c>
      <c r="AG2557" s="86" t="s">
        <v>2084</v>
      </c>
      <c r="AH2557" s="81" t="b">
        <v>0</v>
      </c>
      <c r="AI2557" s="81" t="s">
        <v>2168</v>
      </c>
      <c r="AJ2557" s="81"/>
      <c r="AK2557" s="86" t="s">
        <v>2084</v>
      </c>
      <c r="AL2557" s="81" t="b">
        <v>0</v>
      </c>
      <c r="AM2557" s="81">
        <v>0</v>
      </c>
      <c r="AN2557" s="86" t="s">
        <v>2084</v>
      </c>
      <c r="AO2557" s="86" t="s">
        <v>2179</v>
      </c>
      <c r="AP2557" s="81" t="b">
        <v>0</v>
      </c>
      <c r="AQ2557" s="86" t="s">
        <v>13310</v>
      </c>
      <c r="AR2557" s="81" t="s">
        <v>179</v>
      </c>
      <c r="AS2557" s="81">
        <v>0</v>
      </c>
      <c r="AT2557" s="81">
        <v>0</v>
      </c>
      <c r="AU2557" s="81"/>
      <c r="AV2557" s="81"/>
      <c r="AW2557" s="81"/>
      <c r="AX2557" s="81"/>
      <c r="AY2557" s="81"/>
      <c r="AZ2557" s="81"/>
      <c r="BA2557" s="81"/>
      <c r="BB2557" s="81"/>
    </row>
    <row r="2558" spans="1:54" x14ac:dyDescent="0.35">
      <c r="A2558" s="66" t="s">
        <v>312</v>
      </c>
      <c r="B2558" s="66" t="s">
        <v>589</v>
      </c>
      <c r="C2558" s="67"/>
      <c r="D2558" s="68"/>
      <c r="E2558" s="69"/>
      <c r="F2558" s="70"/>
      <c r="G2558" s="67"/>
      <c r="H2558" s="71"/>
      <c r="I2558" s="72"/>
      <c r="J2558" s="72"/>
      <c r="K2558" s="36"/>
      <c r="L2558" s="79"/>
      <c r="M2558" s="79"/>
      <c r="N2558" s="74"/>
      <c r="O2558" s="81" t="s">
        <v>693</v>
      </c>
      <c r="P2558" s="83">
        <v>44467.663078703707</v>
      </c>
      <c r="Q2558" s="81" t="s">
        <v>5625</v>
      </c>
      <c r="R2558" s="81"/>
      <c r="S2558" s="81"/>
      <c r="T2558" s="86" t="s">
        <v>5786</v>
      </c>
      <c r="U2558" s="84" t="str">
        <f>HYPERLINK("https://pbs.twimg.com/media/FAYUHMTVEAoP82T.jpg")</f>
        <v>https://pbs.twimg.com/media/FAYUHMTVEAoP82T.jpg</v>
      </c>
      <c r="V2558" s="84" t="str">
        <f>HYPERLINK("https://pbs.twimg.com/media/FAYUHMTVEAoP82T.jpg")</f>
        <v>https://pbs.twimg.com/media/FAYUHMTVEAoP82T.jpg</v>
      </c>
      <c r="W2558" s="83">
        <v>44467.663078703707</v>
      </c>
      <c r="X2558" s="89">
        <v>44467</v>
      </c>
      <c r="Y2558" s="86" t="s">
        <v>6597</v>
      </c>
      <c r="Z2558" s="84" t="str">
        <f>HYPERLINK("https://twitter.com/nctrting/status/1442880487396036608")</f>
        <v>https://twitter.com/nctrting/status/1442880487396036608</v>
      </c>
      <c r="AA2558" s="81"/>
      <c r="AB2558" s="81"/>
      <c r="AC2558" s="86" t="s">
        <v>7521</v>
      </c>
      <c r="AD2558" s="81"/>
      <c r="AE2558" s="81" t="b">
        <v>0</v>
      </c>
      <c r="AF2558" s="81">
        <v>0</v>
      </c>
      <c r="AG2558" s="86" t="s">
        <v>2084</v>
      </c>
      <c r="AH2558" s="81" t="b">
        <v>0</v>
      </c>
      <c r="AI2558" s="81" t="s">
        <v>2168</v>
      </c>
      <c r="AJ2558" s="81"/>
      <c r="AK2558" s="86" t="s">
        <v>2084</v>
      </c>
      <c r="AL2558" s="81" t="b">
        <v>0</v>
      </c>
      <c r="AM2558" s="81">
        <v>15</v>
      </c>
      <c r="AN2558" s="86" t="s">
        <v>7613</v>
      </c>
      <c r="AO2558" s="86" t="s">
        <v>2178</v>
      </c>
      <c r="AP2558" s="81" t="b">
        <v>0</v>
      </c>
      <c r="AQ2558" s="86" t="s">
        <v>7613</v>
      </c>
      <c r="AR2558" s="81" t="s">
        <v>179</v>
      </c>
      <c r="AS2558" s="81">
        <v>0</v>
      </c>
      <c r="AT2558" s="81">
        <v>0</v>
      </c>
      <c r="AU2558" s="81"/>
      <c r="AV2558" s="81"/>
      <c r="AW2558" s="81"/>
      <c r="AX2558" s="81"/>
      <c r="AY2558" s="81"/>
      <c r="AZ2558" s="81"/>
      <c r="BA2558" s="81"/>
      <c r="BB2558" s="81"/>
    </row>
    <row r="2559" spans="1:54" x14ac:dyDescent="0.35">
      <c r="A2559" s="66" t="s">
        <v>312</v>
      </c>
      <c r="B2559" s="66" t="s">
        <v>12664</v>
      </c>
      <c r="C2559" s="67"/>
      <c r="D2559" s="68"/>
      <c r="E2559" s="69"/>
      <c r="F2559" s="70"/>
      <c r="G2559" s="67"/>
      <c r="H2559" s="71"/>
      <c r="I2559" s="72"/>
      <c r="J2559" s="72"/>
      <c r="K2559" s="36"/>
      <c r="L2559" s="79"/>
      <c r="M2559" s="79"/>
      <c r="N2559" s="74"/>
      <c r="O2559" s="81" t="s">
        <v>693</v>
      </c>
      <c r="P2559" s="83">
        <v>44469.079976851855</v>
      </c>
      <c r="Q2559" s="81" t="s">
        <v>12800</v>
      </c>
      <c r="R2559" s="81"/>
      <c r="S2559" s="81"/>
      <c r="T2559" s="86" t="s">
        <v>314</v>
      </c>
      <c r="U2559" s="84" t="str">
        <f>HYPERLINK("https://pbs.twimg.com/media/FAeE8WOVQAIxGko.jpg")</f>
        <v>https://pbs.twimg.com/media/FAeE8WOVQAIxGko.jpg</v>
      </c>
      <c r="V2559" s="84" t="str">
        <f>HYPERLINK("https://pbs.twimg.com/media/FAeE8WOVQAIxGko.jpg")</f>
        <v>https://pbs.twimg.com/media/FAeE8WOVQAIxGko.jpg</v>
      </c>
      <c r="W2559" s="83">
        <v>44469.079976851855</v>
      </c>
      <c r="X2559" s="89">
        <v>44469</v>
      </c>
      <c r="Y2559" s="86" t="s">
        <v>13070</v>
      </c>
      <c r="Z2559" s="84" t="str">
        <f>HYPERLINK("https://twitter.com/nctrting/status/1443393953240260610")</f>
        <v>https://twitter.com/nctrting/status/1443393953240260610</v>
      </c>
      <c r="AA2559" s="81"/>
      <c r="AB2559" s="81"/>
      <c r="AC2559" s="86" t="s">
        <v>13311</v>
      </c>
      <c r="AD2559" s="81"/>
      <c r="AE2559" s="81" t="b">
        <v>0</v>
      </c>
      <c r="AF2559" s="81">
        <v>0</v>
      </c>
      <c r="AG2559" s="86" t="s">
        <v>2084</v>
      </c>
      <c r="AH2559" s="81" t="b">
        <v>0</v>
      </c>
      <c r="AI2559" s="81" t="s">
        <v>2168</v>
      </c>
      <c r="AJ2559" s="81"/>
      <c r="AK2559" s="86" t="s">
        <v>2084</v>
      </c>
      <c r="AL2559" s="81" t="b">
        <v>0</v>
      </c>
      <c r="AM2559" s="81">
        <v>31</v>
      </c>
      <c r="AN2559" s="86" t="s">
        <v>13353</v>
      </c>
      <c r="AO2559" s="86" t="s">
        <v>2178</v>
      </c>
      <c r="AP2559" s="81" t="b">
        <v>0</v>
      </c>
      <c r="AQ2559" s="86" t="s">
        <v>13353</v>
      </c>
      <c r="AR2559" s="81" t="s">
        <v>179</v>
      </c>
      <c r="AS2559" s="81">
        <v>0</v>
      </c>
      <c r="AT2559" s="81">
        <v>0</v>
      </c>
      <c r="AU2559" s="81"/>
      <c r="AV2559" s="81"/>
      <c r="AW2559" s="81"/>
      <c r="AX2559" s="81"/>
      <c r="AY2559" s="81"/>
      <c r="AZ2559" s="81"/>
      <c r="BA2559" s="81"/>
      <c r="BB2559" s="81"/>
    </row>
    <row r="2560" spans="1:54" x14ac:dyDescent="0.35">
      <c r="A2560" s="66" t="s">
        <v>312</v>
      </c>
      <c r="B2560" s="66" t="s">
        <v>12664</v>
      </c>
      <c r="C2560" s="67"/>
      <c r="D2560" s="68"/>
      <c r="E2560" s="69"/>
      <c r="F2560" s="70"/>
      <c r="G2560" s="67"/>
      <c r="H2560" s="71"/>
      <c r="I2560" s="72"/>
      <c r="J2560" s="72"/>
      <c r="K2560" s="36"/>
      <c r="L2560" s="79"/>
      <c r="M2560" s="79"/>
      <c r="N2560" s="74"/>
      <c r="O2560" s="81" t="s">
        <v>693</v>
      </c>
      <c r="P2560" s="83">
        <v>44469.080069444448</v>
      </c>
      <c r="Q2560" s="81" t="s">
        <v>12799</v>
      </c>
      <c r="R2560" s="81"/>
      <c r="S2560" s="81"/>
      <c r="T2560" s="86" t="s">
        <v>314</v>
      </c>
      <c r="U2560" s="84" t="str">
        <f>HYPERLINK("https://pbs.twimg.com/media/FAeEF_8UcAAAgih.jpg")</f>
        <v>https://pbs.twimg.com/media/FAeEF_8UcAAAgih.jpg</v>
      </c>
      <c r="V2560" s="84" t="str">
        <f>HYPERLINK("https://pbs.twimg.com/media/FAeEF_8UcAAAgih.jpg")</f>
        <v>https://pbs.twimg.com/media/FAeEF_8UcAAAgih.jpg</v>
      </c>
      <c r="W2560" s="83">
        <v>44469.080069444448</v>
      </c>
      <c r="X2560" s="89">
        <v>44469</v>
      </c>
      <c r="Y2560" s="86" t="s">
        <v>13071</v>
      </c>
      <c r="Z2560" s="84" t="str">
        <f>HYPERLINK("https://twitter.com/nctrting/status/1443393988770222080")</f>
        <v>https://twitter.com/nctrting/status/1443393988770222080</v>
      </c>
      <c r="AA2560" s="81"/>
      <c r="AB2560" s="81"/>
      <c r="AC2560" s="86" t="s">
        <v>13312</v>
      </c>
      <c r="AD2560" s="81"/>
      <c r="AE2560" s="81" t="b">
        <v>0</v>
      </c>
      <c r="AF2560" s="81">
        <v>0</v>
      </c>
      <c r="AG2560" s="86" t="s">
        <v>2084</v>
      </c>
      <c r="AH2560" s="81" t="b">
        <v>0</v>
      </c>
      <c r="AI2560" s="81" t="s">
        <v>2168</v>
      </c>
      <c r="AJ2560" s="81"/>
      <c r="AK2560" s="86" t="s">
        <v>2084</v>
      </c>
      <c r="AL2560" s="81" t="b">
        <v>0</v>
      </c>
      <c r="AM2560" s="81">
        <v>42</v>
      </c>
      <c r="AN2560" s="86" t="s">
        <v>13352</v>
      </c>
      <c r="AO2560" s="86" t="s">
        <v>2178</v>
      </c>
      <c r="AP2560" s="81" t="b">
        <v>0</v>
      </c>
      <c r="AQ2560" s="86" t="s">
        <v>13352</v>
      </c>
      <c r="AR2560" s="81" t="s">
        <v>179</v>
      </c>
      <c r="AS2560" s="81">
        <v>0</v>
      </c>
      <c r="AT2560" s="81">
        <v>0</v>
      </c>
      <c r="AU2560" s="81"/>
      <c r="AV2560" s="81"/>
      <c r="AW2560" s="81"/>
      <c r="AX2560" s="81"/>
      <c r="AY2560" s="81"/>
      <c r="AZ2560" s="81"/>
      <c r="BA2560" s="81"/>
      <c r="BB2560" s="81"/>
    </row>
    <row r="2561" spans="1:54" x14ac:dyDescent="0.35">
      <c r="A2561" s="66" t="s">
        <v>12633</v>
      </c>
      <c r="B2561" s="66" t="s">
        <v>12664</v>
      </c>
      <c r="C2561" s="67"/>
      <c r="D2561" s="68"/>
      <c r="E2561" s="69"/>
      <c r="F2561" s="70"/>
      <c r="G2561" s="67"/>
      <c r="H2561" s="71"/>
      <c r="I2561" s="72"/>
      <c r="J2561" s="72"/>
      <c r="K2561" s="36"/>
      <c r="L2561" s="79"/>
      <c r="M2561" s="79"/>
      <c r="N2561" s="74"/>
      <c r="O2561" s="81" t="s">
        <v>693</v>
      </c>
      <c r="P2561" s="83">
        <v>44469.084548611114</v>
      </c>
      <c r="Q2561" s="81" t="s">
        <v>12799</v>
      </c>
      <c r="R2561" s="81"/>
      <c r="S2561" s="81"/>
      <c r="T2561" s="86" t="s">
        <v>314</v>
      </c>
      <c r="U2561" s="84" t="str">
        <f>HYPERLINK("https://pbs.twimg.com/media/FAeEF_8UcAAAgih.jpg")</f>
        <v>https://pbs.twimg.com/media/FAeEF_8UcAAAgih.jpg</v>
      </c>
      <c r="V2561" s="84" t="str">
        <f>HYPERLINK("https://pbs.twimg.com/media/FAeEF_8UcAAAgih.jpg")</f>
        <v>https://pbs.twimg.com/media/FAeEF_8UcAAAgih.jpg</v>
      </c>
      <c r="W2561" s="83">
        <v>44469.084548611114</v>
      </c>
      <c r="X2561" s="89">
        <v>44469</v>
      </c>
      <c r="Y2561" s="86" t="s">
        <v>6176</v>
      </c>
      <c r="Z2561" s="84" t="str">
        <f>HYPERLINK("https://twitter.com/win4nity/status/1443395609965121539")</f>
        <v>https://twitter.com/win4nity/status/1443395609965121539</v>
      </c>
      <c r="AA2561" s="81"/>
      <c r="AB2561" s="81"/>
      <c r="AC2561" s="86" t="s">
        <v>13313</v>
      </c>
      <c r="AD2561" s="81"/>
      <c r="AE2561" s="81" t="b">
        <v>0</v>
      </c>
      <c r="AF2561" s="81">
        <v>0</v>
      </c>
      <c r="AG2561" s="86" t="s">
        <v>2084</v>
      </c>
      <c r="AH2561" s="81" t="b">
        <v>0</v>
      </c>
      <c r="AI2561" s="81" t="s">
        <v>2168</v>
      </c>
      <c r="AJ2561" s="81"/>
      <c r="AK2561" s="86" t="s">
        <v>2084</v>
      </c>
      <c r="AL2561" s="81" t="b">
        <v>0</v>
      </c>
      <c r="AM2561" s="81">
        <v>42</v>
      </c>
      <c r="AN2561" s="86" t="s">
        <v>13352</v>
      </c>
      <c r="AO2561" s="86" t="s">
        <v>2179</v>
      </c>
      <c r="AP2561" s="81" t="b">
        <v>0</v>
      </c>
      <c r="AQ2561" s="86" t="s">
        <v>13352</v>
      </c>
      <c r="AR2561" s="81" t="s">
        <v>179</v>
      </c>
      <c r="AS2561" s="81">
        <v>0</v>
      </c>
      <c r="AT2561" s="81">
        <v>0</v>
      </c>
      <c r="AU2561" s="81"/>
      <c r="AV2561" s="81"/>
      <c r="AW2561" s="81"/>
      <c r="AX2561" s="81"/>
      <c r="AY2561" s="81"/>
      <c r="AZ2561" s="81"/>
      <c r="BA2561" s="81"/>
      <c r="BB2561" s="81"/>
    </row>
    <row r="2562" spans="1:54" x14ac:dyDescent="0.35">
      <c r="A2562" s="66" t="s">
        <v>12634</v>
      </c>
      <c r="B2562" s="66" t="s">
        <v>12664</v>
      </c>
      <c r="C2562" s="67"/>
      <c r="D2562" s="68"/>
      <c r="E2562" s="69"/>
      <c r="F2562" s="70"/>
      <c r="G2562" s="67"/>
      <c r="H2562" s="71"/>
      <c r="I2562" s="72"/>
      <c r="J2562" s="72"/>
      <c r="K2562" s="36"/>
      <c r="L2562" s="79"/>
      <c r="M2562" s="79"/>
      <c r="N2562" s="74"/>
      <c r="O2562" s="81" t="s">
        <v>693</v>
      </c>
      <c r="P2562" s="83">
        <v>44469.025682870371</v>
      </c>
      <c r="Q2562" s="81" t="s">
        <v>12800</v>
      </c>
      <c r="R2562" s="81"/>
      <c r="S2562" s="81"/>
      <c r="T2562" s="86" t="s">
        <v>314</v>
      </c>
      <c r="U2562" s="84" t="str">
        <f>HYPERLINK("https://pbs.twimg.com/media/FAeE8WOVQAIxGko.jpg")</f>
        <v>https://pbs.twimg.com/media/FAeE8WOVQAIxGko.jpg</v>
      </c>
      <c r="V2562" s="84" t="str">
        <f>HYPERLINK("https://pbs.twimg.com/media/FAeE8WOVQAIxGko.jpg")</f>
        <v>https://pbs.twimg.com/media/FAeE8WOVQAIxGko.jpg</v>
      </c>
      <c r="W2562" s="83">
        <v>44469.025682870371</v>
      </c>
      <c r="X2562" s="89">
        <v>44469</v>
      </c>
      <c r="Y2562" s="86" t="s">
        <v>13072</v>
      </c>
      <c r="Z2562" s="84" t="str">
        <f>HYPERLINK("https://twitter.com/jwisungwy/status/1443374277730844675")</f>
        <v>https://twitter.com/jwisungwy/status/1443374277730844675</v>
      </c>
      <c r="AA2562" s="81"/>
      <c r="AB2562" s="81"/>
      <c r="AC2562" s="86" t="s">
        <v>13314</v>
      </c>
      <c r="AD2562" s="81"/>
      <c r="AE2562" s="81" t="b">
        <v>0</v>
      </c>
      <c r="AF2562" s="81">
        <v>0</v>
      </c>
      <c r="AG2562" s="86" t="s">
        <v>2084</v>
      </c>
      <c r="AH2562" s="81" t="b">
        <v>0</v>
      </c>
      <c r="AI2562" s="81" t="s">
        <v>2168</v>
      </c>
      <c r="AJ2562" s="81"/>
      <c r="AK2562" s="86" t="s">
        <v>2084</v>
      </c>
      <c r="AL2562" s="81" t="b">
        <v>0</v>
      </c>
      <c r="AM2562" s="81">
        <v>31</v>
      </c>
      <c r="AN2562" s="86" t="s">
        <v>13353</v>
      </c>
      <c r="AO2562" s="86" t="s">
        <v>2179</v>
      </c>
      <c r="AP2562" s="81" t="b">
        <v>0</v>
      </c>
      <c r="AQ2562" s="86" t="s">
        <v>13353</v>
      </c>
      <c r="AR2562" s="81" t="s">
        <v>179</v>
      </c>
      <c r="AS2562" s="81">
        <v>0</v>
      </c>
      <c r="AT2562" s="81">
        <v>0</v>
      </c>
      <c r="AU2562" s="81"/>
      <c r="AV2562" s="81"/>
      <c r="AW2562" s="81"/>
      <c r="AX2562" s="81"/>
      <c r="AY2562" s="81"/>
      <c r="AZ2562" s="81"/>
      <c r="BA2562" s="81"/>
      <c r="BB2562" s="81"/>
    </row>
    <row r="2563" spans="1:54" x14ac:dyDescent="0.35">
      <c r="A2563" s="66" t="s">
        <v>12634</v>
      </c>
      <c r="B2563" s="66" t="s">
        <v>12664</v>
      </c>
      <c r="C2563" s="67"/>
      <c r="D2563" s="68"/>
      <c r="E2563" s="69"/>
      <c r="F2563" s="70"/>
      <c r="G2563" s="67"/>
      <c r="H2563" s="71"/>
      <c r="I2563" s="72"/>
      <c r="J2563" s="72"/>
      <c r="K2563" s="36"/>
      <c r="L2563" s="79"/>
      <c r="M2563" s="79"/>
      <c r="N2563" s="74"/>
      <c r="O2563" s="81" t="s">
        <v>693</v>
      </c>
      <c r="P2563" s="83">
        <v>44469.087256944447</v>
      </c>
      <c r="Q2563" s="81" t="s">
        <v>12799</v>
      </c>
      <c r="R2563" s="81"/>
      <c r="S2563" s="81"/>
      <c r="T2563" s="86" t="s">
        <v>314</v>
      </c>
      <c r="U2563" s="84" t="str">
        <f>HYPERLINK("https://pbs.twimg.com/media/FAeEF_8UcAAAgih.jpg")</f>
        <v>https://pbs.twimg.com/media/FAeEF_8UcAAAgih.jpg</v>
      </c>
      <c r="V2563" s="84" t="str">
        <f>HYPERLINK("https://pbs.twimg.com/media/FAeEF_8UcAAAgih.jpg")</f>
        <v>https://pbs.twimg.com/media/FAeEF_8UcAAAgih.jpg</v>
      </c>
      <c r="W2563" s="83">
        <v>44469.087256944447</v>
      </c>
      <c r="X2563" s="89">
        <v>44469</v>
      </c>
      <c r="Y2563" s="86" t="s">
        <v>13073</v>
      </c>
      <c r="Z2563" s="84" t="str">
        <f>HYPERLINK("https://twitter.com/jwisungwy/status/1443396593839837190")</f>
        <v>https://twitter.com/jwisungwy/status/1443396593839837190</v>
      </c>
      <c r="AA2563" s="81"/>
      <c r="AB2563" s="81"/>
      <c r="AC2563" s="86" t="s">
        <v>13315</v>
      </c>
      <c r="AD2563" s="81"/>
      <c r="AE2563" s="81" t="b">
        <v>0</v>
      </c>
      <c r="AF2563" s="81">
        <v>0</v>
      </c>
      <c r="AG2563" s="86" t="s">
        <v>2084</v>
      </c>
      <c r="AH2563" s="81" t="b">
        <v>0</v>
      </c>
      <c r="AI2563" s="81" t="s">
        <v>2168</v>
      </c>
      <c r="AJ2563" s="81"/>
      <c r="AK2563" s="86" t="s">
        <v>2084</v>
      </c>
      <c r="AL2563" s="81" t="b">
        <v>0</v>
      </c>
      <c r="AM2563" s="81">
        <v>42</v>
      </c>
      <c r="AN2563" s="86" t="s">
        <v>13352</v>
      </c>
      <c r="AO2563" s="86" t="s">
        <v>2179</v>
      </c>
      <c r="AP2563" s="81" t="b">
        <v>0</v>
      </c>
      <c r="AQ2563" s="86" t="s">
        <v>13352</v>
      </c>
      <c r="AR2563" s="81" t="s">
        <v>179</v>
      </c>
      <c r="AS2563" s="81">
        <v>0</v>
      </c>
      <c r="AT2563" s="81">
        <v>0</v>
      </c>
      <c r="AU2563" s="81"/>
      <c r="AV2563" s="81"/>
      <c r="AW2563" s="81"/>
      <c r="AX2563" s="81"/>
      <c r="AY2563" s="81"/>
      <c r="AZ2563" s="81"/>
      <c r="BA2563" s="81"/>
      <c r="BB2563" s="81"/>
    </row>
    <row r="2564" spans="1:54" x14ac:dyDescent="0.35">
      <c r="A2564" s="66" t="s">
        <v>12635</v>
      </c>
      <c r="B2564" s="66" t="s">
        <v>12664</v>
      </c>
      <c r="C2564" s="67"/>
      <c r="D2564" s="68"/>
      <c r="E2564" s="69"/>
      <c r="F2564" s="70"/>
      <c r="G2564" s="67"/>
      <c r="H2564" s="71"/>
      <c r="I2564" s="72"/>
      <c r="J2564" s="72"/>
      <c r="K2564" s="36"/>
      <c r="L2564" s="79"/>
      <c r="M2564" s="79"/>
      <c r="N2564" s="74"/>
      <c r="O2564" s="81" t="s">
        <v>693</v>
      </c>
      <c r="P2564" s="83">
        <v>44469.066527777781</v>
      </c>
      <c r="Q2564" s="81" t="s">
        <v>12799</v>
      </c>
      <c r="R2564" s="81"/>
      <c r="S2564" s="81"/>
      <c r="T2564" s="86" t="s">
        <v>314</v>
      </c>
      <c r="U2564" s="84" t="str">
        <f>HYPERLINK("https://pbs.twimg.com/media/FAeEF_8UcAAAgih.jpg")</f>
        <v>https://pbs.twimg.com/media/FAeEF_8UcAAAgih.jpg</v>
      </c>
      <c r="V2564" s="84" t="str">
        <f>HYPERLINK("https://pbs.twimg.com/media/FAeEF_8UcAAAgih.jpg")</f>
        <v>https://pbs.twimg.com/media/FAeEF_8UcAAAgih.jpg</v>
      </c>
      <c r="W2564" s="83">
        <v>44469.066527777781</v>
      </c>
      <c r="X2564" s="89">
        <v>44469</v>
      </c>
      <c r="Y2564" s="86" t="s">
        <v>13074</v>
      </c>
      <c r="Z2564" s="84" t="str">
        <f>HYPERLINK("https://twitter.com/yangyang335/status/1443389080222404610")</f>
        <v>https://twitter.com/yangyang335/status/1443389080222404610</v>
      </c>
      <c r="AA2564" s="81"/>
      <c r="AB2564" s="81"/>
      <c r="AC2564" s="86" t="s">
        <v>13316</v>
      </c>
      <c r="AD2564" s="81"/>
      <c r="AE2564" s="81" t="b">
        <v>0</v>
      </c>
      <c r="AF2564" s="81">
        <v>0</v>
      </c>
      <c r="AG2564" s="86" t="s">
        <v>2084</v>
      </c>
      <c r="AH2564" s="81" t="b">
        <v>0</v>
      </c>
      <c r="AI2564" s="81" t="s">
        <v>2168</v>
      </c>
      <c r="AJ2564" s="81"/>
      <c r="AK2564" s="86" t="s">
        <v>2084</v>
      </c>
      <c r="AL2564" s="81" t="b">
        <v>0</v>
      </c>
      <c r="AM2564" s="81">
        <v>42</v>
      </c>
      <c r="AN2564" s="86" t="s">
        <v>13352</v>
      </c>
      <c r="AO2564" s="86" t="s">
        <v>2179</v>
      </c>
      <c r="AP2564" s="81" t="b">
        <v>0</v>
      </c>
      <c r="AQ2564" s="86" t="s">
        <v>13352</v>
      </c>
      <c r="AR2564" s="81" t="s">
        <v>179</v>
      </c>
      <c r="AS2564" s="81">
        <v>0</v>
      </c>
      <c r="AT2564" s="81">
        <v>0</v>
      </c>
      <c r="AU2564" s="81"/>
      <c r="AV2564" s="81"/>
      <c r="AW2564" s="81"/>
      <c r="AX2564" s="81"/>
      <c r="AY2564" s="81"/>
      <c r="AZ2564" s="81"/>
      <c r="BA2564" s="81"/>
      <c r="BB2564" s="81"/>
    </row>
    <row r="2565" spans="1:54" x14ac:dyDescent="0.35">
      <c r="A2565" s="66" t="s">
        <v>12635</v>
      </c>
      <c r="B2565" s="66" t="s">
        <v>12664</v>
      </c>
      <c r="C2565" s="67"/>
      <c r="D2565" s="68"/>
      <c r="E2565" s="69"/>
      <c r="F2565" s="70"/>
      <c r="G2565" s="67"/>
      <c r="H2565" s="71"/>
      <c r="I2565" s="72"/>
      <c r="J2565" s="72"/>
      <c r="K2565" s="36"/>
      <c r="L2565" s="79"/>
      <c r="M2565" s="79"/>
      <c r="N2565" s="74"/>
      <c r="O2565" s="81" t="s">
        <v>693</v>
      </c>
      <c r="P2565" s="83">
        <v>44469.088506944441</v>
      </c>
      <c r="Q2565" s="81" t="s">
        <v>12800</v>
      </c>
      <c r="R2565" s="81"/>
      <c r="S2565" s="81"/>
      <c r="T2565" s="86" t="s">
        <v>314</v>
      </c>
      <c r="U2565" s="84" t="str">
        <f>HYPERLINK("https://pbs.twimg.com/media/FAeE8WOVQAIxGko.jpg")</f>
        <v>https://pbs.twimg.com/media/FAeE8WOVQAIxGko.jpg</v>
      </c>
      <c r="V2565" s="84" t="str">
        <f>HYPERLINK("https://pbs.twimg.com/media/FAeE8WOVQAIxGko.jpg")</f>
        <v>https://pbs.twimg.com/media/FAeE8WOVQAIxGko.jpg</v>
      </c>
      <c r="W2565" s="83">
        <v>44469.088506944441</v>
      </c>
      <c r="X2565" s="89">
        <v>44469</v>
      </c>
      <c r="Y2565" s="86" t="s">
        <v>13075</v>
      </c>
      <c r="Z2565" s="84" t="str">
        <f>HYPERLINK("https://twitter.com/yangyang335/status/1443397045377658884")</f>
        <v>https://twitter.com/yangyang335/status/1443397045377658884</v>
      </c>
      <c r="AA2565" s="81"/>
      <c r="AB2565" s="81"/>
      <c r="AC2565" s="86" t="s">
        <v>13317</v>
      </c>
      <c r="AD2565" s="81"/>
      <c r="AE2565" s="81" t="b">
        <v>0</v>
      </c>
      <c r="AF2565" s="81">
        <v>0</v>
      </c>
      <c r="AG2565" s="86" t="s">
        <v>2084</v>
      </c>
      <c r="AH2565" s="81" t="b">
        <v>0</v>
      </c>
      <c r="AI2565" s="81" t="s">
        <v>2168</v>
      </c>
      <c r="AJ2565" s="81"/>
      <c r="AK2565" s="86" t="s">
        <v>2084</v>
      </c>
      <c r="AL2565" s="81" t="b">
        <v>0</v>
      </c>
      <c r="AM2565" s="81">
        <v>31</v>
      </c>
      <c r="AN2565" s="86" t="s">
        <v>13353</v>
      </c>
      <c r="AO2565" s="86" t="s">
        <v>2179</v>
      </c>
      <c r="AP2565" s="81" t="b">
        <v>0</v>
      </c>
      <c r="AQ2565" s="86" t="s">
        <v>13353</v>
      </c>
      <c r="AR2565" s="81" t="s">
        <v>179</v>
      </c>
      <c r="AS2565" s="81">
        <v>0</v>
      </c>
      <c r="AT2565" s="81">
        <v>0</v>
      </c>
      <c r="AU2565" s="81"/>
      <c r="AV2565" s="81"/>
      <c r="AW2565" s="81"/>
      <c r="AX2565" s="81"/>
      <c r="AY2565" s="81"/>
      <c r="AZ2565" s="81"/>
      <c r="BA2565" s="81"/>
      <c r="BB2565" s="81"/>
    </row>
    <row r="2566" spans="1:54" x14ac:dyDescent="0.35">
      <c r="A2566" s="66" t="s">
        <v>12636</v>
      </c>
      <c r="B2566" s="66" t="s">
        <v>12664</v>
      </c>
      <c r="C2566" s="67"/>
      <c r="D2566" s="68"/>
      <c r="E2566" s="69"/>
      <c r="F2566" s="70"/>
      <c r="G2566" s="67"/>
      <c r="H2566" s="71"/>
      <c r="I2566" s="72"/>
      <c r="J2566" s="72"/>
      <c r="K2566" s="36"/>
      <c r="L2566" s="79"/>
      <c r="M2566" s="79"/>
      <c r="N2566" s="74"/>
      <c r="O2566" s="81" t="s">
        <v>693</v>
      </c>
      <c r="P2566" s="83">
        <v>44469.089467592596</v>
      </c>
      <c r="Q2566" s="81" t="s">
        <v>12799</v>
      </c>
      <c r="R2566" s="81"/>
      <c r="S2566" s="81"/>
      <c r="T2566" s="86" t="s">
        <v>314</v>
      </c>
      <c r="U2566" s="84" t="str">
        <f>HYPERLINK("https://pbs.twimg.com/media/FAeEF_8UcAAAgih.jpg")</f>
        <v>https://pbs.twimg.com/media/FAeEF_8UcAAAgih.jpg</v>
      </c>
      <c r="V2566" s="84" t="str">
        <f>HYPERLINK("https://pbs.twimg.com/media/FAeEF_8UcAAAgih.jpg")</f>
        <v>https://pbs.twimg.com/media/FAeEF_8UcAAAgih.jpg</v>
      </c>
      <c r="W2566" s="83">
        <v>44469.089467592596</v>
      </c>
      <c r="X2566" s="89">
        <v>44469</v>
      </c>
      <c r="Y2566" s="86" t="s">
        <v>13076</v>
      </c>
      <c r="Z2566" s="84" t="str">
        <f>HYPERLINK("https://twitter.com/mylifesiwon/status/1443397392288534531")</f>
        <v>https://twitter.com/mylifesiwon/status/1443397392288534531</v>
      </c>
      <c r="AA2566" s="81"/>
      <c r="AB2566" s="81"/>
      <c r="AC2566" s="86" t="s">
        <v>13318</v>
      </c>
      <c r="AD2566" s="81"/>
      <c r="AE2566" s="81" t="b">
        <v>0</v>
      </c>
      <c r="AF2566" s="81">
        <v>0</v>
      </c>
      <c r="AG2566" s="86" t="s">
        <v>2084</v>
      </c>
      <c r="AH2566" s="81" t="b">
        <v>0</v>
      </c>
      <c r="AI2566" s="81" t="s">
        <v>2168</v>
      </c>
      <c r="AJ2566" s="81"/>
      <c r="AK2566" s="86" t="s">
        <v>2084</v>
      </c>
      <c r="AL2566" s="81" t="b">
        <v>0</v>
      </c>
      <c r="AM2566" s="81">
        <v>42</v>
      </c>
      <c r="AN2566" s="86" t="s">
        <v>13352</v>
      </c>
      <c r="AO2566" s="86" t="s">
        <v>2181</v>
      </c>
      <c r="AP2566" s="81" t="b">
        <v>0</v>
      </c>
      <c r="AQ2566" s="86" t="s">
        <v>13352</v>
      </c>
      <c r="AR2566" s="81" t="s">
        <v>179</v>
      </c>
      <c r="AS2566" s="81">
        <v>0</v>
      </c>
      <c r="AT2566" s="81">
        <v>0</v>
      </c>
      <c r="AU2566" s="81"/>
      <c r="AV2566" s="81"/>
      <c r="AW2566" s="81"/>
      <c r="AX2566" s="81"/>
      <c r="AY2566" s="81"/>
      <c r="AZ2566" s="81"/>
      <c r="BA2566" s="81"/>
      <c r="BB2566" s="81"/>
    </row>
    <row r="2567" spans="1:54" x14ac:dyDescent="0.35">
      <c r="A2567" s="66" t="s">
        <v>12637</v>
      </c>
      <c r="B2567" s="66" t="s">
        <v>12664</v>
      </c>
      <c r="C2567" s="67"/>
      <c r="D2567" s="68"/>
      <c r="E2567" s="69"/>
      <c r="F2567" s="70"/>
      <c r="G2567" s="67"/>
      <c r="H2567" s="71"/>
      <c r="I2567" s="72"/>
      <c r="J2567" s="72"/>
      <c r="K2567" s="36"/>
      <c r="L2567" s="79"/>
      <c r="M2567" s="79"/>
      <c r="N2567" s="74"/>
      <c r="O2567" s="81" t="s">
        <v>693</v>
      </c>
      <c r="P2567" s="83">
        <v>44469.089907407404</v>
      </c>
      <c r="Q2567" s="81" t="s">
        <v>12799</v>
      </c>
      <c r="R2567" s="81"/>
      <c r="S2567" s="81"/>
      <c r="T2567" s="86" t="s">
        <v>314</v>
      </c>
      <c r="U2567" s="84" t="str">
        <f>HYPERLINK("https://pbs.twimg.com/media/FAeEF_8UcAAAgih.jpg")</f>
        <v>https://pbs.twimg.com/media/FAeEF_8UcAAAgih.jpg</v>
      </c>
      <c r="V2567" s="84" t="str">
        <f>HYPERLINK("https://pbs.twimg.com/media/FAeEF_8UcAAAgih.jpg")</f>
        <v>https://pbs.twimg.com/media/FAeEF_8UcAAAgih.jpg</v>
      </c>
      <c r="W2567" s="83">
        <v>44469.089907407404</v>
      </c>
      <c r="X2567" s="89">
        <v>44469</v>
      </c>
      <c r="Y2567" s="86" t="s">
        <v>13077</v>
      </c>
      <c r="Z2567" s="84" t="str">
        <f>HYPERLINK("https://twitter.com/lilkdyct/status/1443397554603839488")</f>
        <v>https://twitter.com/lilkdyct/status/1443397554603839488</v>
      </c>
      <c r="AA2567" s="81"/>
      <c r="AB2567" s="81"/>
      <c r="AC2567" s="86" t="s">
        <v>13319</v>
      </c>
      <c r="AD2567" s="81"/>
      <c r="AE2567" s="81" t="b">
        <v>0</v>
      </c>
      <c r="AF2567" s="81">
        <v>0</v>
      </c>
      <c r="AG2567" s="86" t="s">
        <v>2084</v>
      </c>
      <c r="AH2567" s="81" t="b">
        <v>0</v>
      </c>
      <c r="AI2567" s="81" t="s">
        <v>2168</v>
      </c>
      <c r="AJ2567" s="81"/>
      <c r="AK2567" s="86" t="s">
        <v>2084</v>
      </c>
      <c r="AL2567" s="81" t="b">
        <v>0</v>
      </c>
      <c r="AM2567" s="81">
        <v>42</v>
      </c>
      <c r="AN2567" s="86" t="s">
        <v>13352</v>
      </c>
      <c r="AO2567" s="86" t="s">
        <v>2179</v>
      </c>
      <c r="AP2567" s="81" t="b">
        <v>0</v>
      </c>
      <c r="AQ2567" s="86" t="s">
        <v>13352</v>
      </c>
      <c r="AR2567" s="81" t="s">
        <v>179</v>
      </c>
      <c r="AS2567" s="81">
        <v>0</v>
      </c>
      <c r="AT2567" s="81">
        <v>0</v>
      </c>
      <c r="AU2567" s="81"/>
      <c r="AV2567" s="81"/>
      <c r="AW2567" s="81"/>
      <c r="AX2567" s="81"/>
      <c r="AY2567" s="81"/>
      <c r="AZ2567" s="81"/>
      <c r="BA2567" s="81"/>
      <c r="BB2567" s="81"/>
    </row>
    <row r="2568" spans="1:54" x14ac:dyDescent="0.35">
      <c r="A2568" s="66" t="s">
        <v>12638</v>
      </c>
      <c r="B2568" s="66" t="s">
        <v>5082</v>
      </c>
      <c r="C2568" s="67"/>
      <c r="D2568" s="68"/>
      <c r="E2568" s="69"/>
      <c r="F2568" s="70"/>
      <c r="G2568" s="67"/>
      <c r="H2568" s="71"/>
      <c r="I2568" s="72"/>
      <c r="J2568" s="72"/>
      <c r="K2568" s="36"/>
      <c r="L2568" s="79"/>
      <c r="M2568" s="79"/>
      <c r="N2568" s="74"/>
      <c r="O2568" s="81" t="s">
        <v>695</v>
      </c>
      <c r="P2568" s="83">
        <v>44469.094039351854</v>
      </c>
      <c r="Q2568" s="81" t="s">
        <v>12829</v>
      </c>
      <c r="R2568" s="81"/>
      <c r="S2568" s="81"/>
      <c r="T2568" s="81"/>
      <c r="U2568" s="81"/>
      <c r="V2568" s="84" t="str">
        <f>HYPERLINK("https://pbs.twimg.com/profile_images/1420860412078268416/QkcBKyoi_normal.png")</f>
        <v>https://pbs.twimg.com/profile_images/1420860412078268416/QkcBKyoi_normal.png</v>
      </c>
      <c r="W2568" s="83">
        <v>44469.094039351854</v>
      </c>
      <c r="X2568" s="89">
        <v>44469</v>
      </c>
      <c r="Y2568" s="86" t="s">
        <v>13078</v>
      </c>
      <c r="Z2568" s="84" t="str">
        <f>HYPERLINK("https://twitter.com/josemaralves/status/1443399052717084673")</f>
        <v>https://twitter.com/josemaralves/status/1443399052717084673</v>
      </c>
      <c r="AA2568" s="81"/>
      <c r="AB2568" s="81"/>
      <c r="AC2568" s="86" t="s">
        <v>13320</v>
      </c>
      <c r="AD2568" s="86" t="s">
        <v>13393</v>
      </c>
      <c r="AE2568" s="81" t="b">
        <v>0</v>
      </c>
      <c r="AF2568" s="81">
        <v>0</v>
      </c>
      <c r="AG2568" s="86" t="s">
        <v>7859</v>
      </c>
      <c r="AH2568" s="81" t="b">
        <v>0</v>
      </c>
      <c r="AI2568" s="81" t="s">
        <v>2171</v>
      </c>
      <c r="AJ2568" s="81"/>
      <c r="AK2568" s="86" t="s">
        <v>2084</v>
      </c>
      <c r="AL2568" s="81" t="b">
        <v>0</v>
      </c>
      <c r="AM2568" s="81">
        <v>0</v>
      </c>
      <c r="AN2568" s="86" t="s">
        <v>2084</v>
      </c>
      <c r="AO2568" s="86" t="s">
        <v>2178</v>
      </c>
      <c r="AP2568" s="81" t="b">
        <v>0</v>
      </c>
      <c r="AQ2568" s="86" t="s">
        <v>13393</v>
      </c>
      <c r="AR2568" s="81" t="s">
        <v>179</v>
      </c>
      <c r="AS2568" s="81">
        <v>0</v>
      </c>
      <c r="AT2568" s="81">
        <v>0</v>
      </c>
      <c r="AU2568" s="81"/>
      <c r="AV2568" s="81"/>
      <c r="AW2568" s="81"/>
      <c r="AX2568" s="81"/>
      <c r="AY2568" s="81"/>
      <c r="AZ2568" s="81"/>
      <c r="BA2568" s="81"/>
      <c r="BB2568" s="81"/>
    </row>
    <row r="2569" spans="1:54" x14ac:dyDescent="0.35">
      <c r="A2569" s="66" t="s">
        <v>12639</v>
      </c>
      <c r="B2569" s="66" t="s">
        <v>12664</v>
      </c>
      <c r="C2569" s="67"/>
      <c r="D2569" s="68"/>
      <c r="E2569" s="69"/>
      <c r="F2569" s="70"/>
      <c r="G2569" s="67"/>
      <c r="H2569" s="71"/>
      <c r="I2569" s="72"/>
      <c r="J2569" s="72"/>
      <c r="K2569" s="36"/>
      <c r="L2569" s="79"/>
      <c r="M2569" s="79"/>
      <c r="N2569" s="74"/>
      <c r="O2569" s="81" t="s">
        <v>693</v>
      </c>
      <c r="P2569" s="83">
        <v>44469.022916666669</v>
      </c>
      <c r="Q2569" s="81" t="s">
        <v>12800</v>
      </c>
      <c r="R2569" s="81"/>
      <c r="S2569" s="81"/>
      <c r="T2569" s="86" t="s">
        <v>314</v>
      </c>
      <c r="U2569" s="84" t="str">
        <f>HYPERLINK("https://pbs.twimg.com/media/FAeE8WOVQAIxGko.jpg")</f>
        <v>https://pbs.twimg.com/media/FAeE8WOVQAIxGko.jpg</v>
      </c>
      <c r="V2569" s="84" t="str">
        <f>HYPERLINK("https://pbs.twimg.com/media/FAeE8WOVQAIxGko.jpg")</f>
        <v>https://pbs.twimg.com/media/FAeE8WOVQAIxGko.jpg</v>
      </c>
      <c r="W2569" s="83">
        <v>44469.022916666669</v>
      </c>
      <c r="X2569" s="89">
        <v>44469</v>
      </c>
      <c r="Y2569" s="86" t="s">
        <v>13079</v>
      </c>
      <c r="Z2569" s="84" t="str">
        <f>HYPERLINK("https://twitter.com/eewiinn_/status/1443373278521741312")</f>
        <v>https://twitter.com/eewiinn_/status/1443373278521741312</v>
      </c>
      <c r="AA2569" s="81"/>
      <c r="AB2569" s="81"/>
      <c r="AC2569" s="86" t="s">
        <v>13321</v>
      </c>
      <c r="AD2569" s="81"/>
      <c r="AE2569" s="81" t="b">
        <v>0</v>
      </c>
      <c r="AF2569" s="81">
        <v>0</v>
      </c>
      <c r="AG2569" s="86" t="s">
        <v>2084</v>
      </c>
      <c r="AH2569" s="81" t="b">
        <v>0</v>
      </c>
      <c r="AI2569" s="81" t="s">
        <v>2168</v>
      </c>
      <c r="AJ2569" s="81"/>
      <c r="AK2569" s="86" t="s">
        <v>2084</v>
      </c>
      <c r="AL2569" s="81" t="b">
        <v>0</v>
      </c>
      <c r="AM2569" s="81">
        <v>31</v>
      </c>
      <c r="AN2569" s="86" t="s">
        <v>13353</v>
      </c>
      <c r="AO2569" s="86" t="s">
        <v>2181</v>
      </c>
      <c r="AP2569" s="81" t="b">
        <v>0</v>
      </c>
      <c r="AQ2569" s="86" t="s">
        <v>13353</v>
      </c>
      <c r="AR2569" s="81" t="s">
        <v>179</v>
      </c>
      <c r="AS2569" s="81">
        <v>0</v>
      </c>
      <c r="AT2569" s="81">
        <v>0</v>
      </c>
      <c r="AU2569" s="81"/>
      <c r="AV2569" s="81"/>
      <c r="AW2569" s="81"/>
      <c r="AX2569" s="81"/>
      <c r="AY2569" s="81"/>
      <c r="AZ2569" s="81"/>
      <c r="BA2569" s="81"/>
      <c r="BB2569" s="81"/>
    </row>
    <row r="2570" spans="1:54" x14ac:dyDescent="0.35">
      <c r="A2570" s="66" t="s">
        <v>12639</v>
      </c>
      <c r="B2570" s="66" t="s">
        <v>12664</v>
      </c>
      <c r="C2570" s="67"/>
      <c r="D2570" s="68"/>
      <c r="E2570" s="69"/>
      <c r="F2570" s="70"/>
      <c r="G2570" s="67"/>
      <c r="H2570" s="71"/>
      <c r="I2570" s="72"/>
      <c r="J2570" s="72"/>
      <c r="K2570" s="36"/>
      <c r="L2570" s="79"/>
      <c r="M2570" s="79"/>
      <c r="N2570" s="74"/>
      <c r="O2570" s="81" t="s">
        <v>693</v>
      </c>
      <c r="P2570" s="83">
        <v>44469.094270833331</v>
      </c>
      <c r="Q2570" s="81" t="s">
        <v>12799</v>
      </c>
      <c r="R2570" s="81"/>
      <c r="S2570" s="81"/>
      <c r="T2570" s="86" t="s">
        <v>314</v>
      </c>
      <c r="U2570" s="84" t="str">
        <f>HYPERLINK("https://pbs.twimg.com/media/FAeEF_8UcAAAgih.jpg")</f>
        <v>https://pbs.twimg.com/media/FAeEF_8UcAAAgih.jpg</v>
      </c>
      <c r="V2570" s="84" t="str">
        <f>HYPERLINK("https://pbs.twimg.com/media/FAeEF_8UcAAAgih.jpg")</f>
        <v>https://pbs.twimg.com/media/FAeEF_8UcAAAgih.jpg</v>
      </c>
      <c r="W2570" s="83">
        <v>44469.094270833331</v>
      </c>
      <c r="X2570" s="89">
        <v>44469</v>
      </c>
      <c r="Y2570" s="86" t="s">
        <v>13080</v>
      </c>
      <c r="Z2570" s="84" t="str">
        <f>HYPERLINK("https://twitter.com/eewiinn_/status/1443399135797735424")</f>
        <v>https://twitter.com/eewiinn_/status/1443399135797735424</v>
      </c>
      <c r="AA2570" s="81"/>
      <c r="AB2570" s="81"/>
      <c r="AC2570" s="86" t="s">
        <v>13322</v>
      </c>
      <c r="AD2570" s="81"/>
      <c r="AE2570" s="81" t="b">
        <v>0</v>
      </c>
      <c r="AF2570" s="81">
        <v>0</v>
      </c>
      <c r="AG2570" s="86" t="s">
        <v>2084</v>
      </c>
      <c r="AH2570" s="81" t="b">
        <v>0</v>
      </c>
      <c r="AI2570" s="81" t="s">
        <v>2168</v>
      </c>
      <c r="AJ2570" s="81"/>
      <c r="AK2570" s="86" t="s">
        <v>2084</v>
      </c>
      <c r="AL2570" s="81" t="b">
        <v>0</v>
      </c>
      <c r="AM2570" s="81">
        <v>42</v>
      </c>
      <c r="AN2570" s="86" t="s">
        <v>13352</v>
      </c>
      <c r="AO2570" s="86" t="s">
        <v>2179</v>
      </c>
      <c r="AP2570" s="81" t="b">
        <v>0</v>
      </c>
      <c r="AQ2570" s="86" t="s">
        <v>13352</v>
      </c>
      <c r="AR2570" s="81" t="s">
        <v>179</v>
      </c>
      <c r="AS2570" s="81">
        <v>0</v>
      </c>
      <c r="AT2570" s="81">
        <v>0</v>
      </c>
      <c r="AU2570" s="81"/>
      <c r="AV2570" s="81"/>
      <c r="AW2570" s="81"/>
      <c r="AX2570" s="81"/>
      <c r="AY2570" s="81"/>
      <c r="AZ2570" s="81"/>
      <c r="BA2570" s="81"/>
      <c r="BB2570" s="81"/>
    </row>
    <row r="2571" spans="1:54" x14ac:dyDescent="0.35">
      <c r="A2571" s="66" t="s">
        <v>12640</v>
      </c>
      <c r="B2571" s="66" t="s">
        <v>12664</v>
      </c>
      <c r="C2571" s="67"/>
      <c r="D2571" s="68"/>
      <c r="E2571" s="69"/>
      <c r="F2571" s="70"/>
      <c r="G2571" s="67"/>
      <c r="H2571" s="71"/>
      <c r="I2571" s="72"/>
      <c r="J2571" s="72"/>
      <c r="K2571" s="36"/>
      <c r="L2571" s="79"/>
      <c r="M2571" s="79"/>
      <c r="N2571" s="74"/>
      <c r="O2571" s="81" t="s">
        <v>693</v>
      </c>
      <c r="P2571" s="83">
        <v>44469.096851851849</v>
      </c>
      <c r="Q2571" s="81" t="s">
        <v>12799</v>
      </c>
      <c r="R2571" s="81"/>
      <c r="S2571" s="81"/>
      <c r="T2571" s="86" t="s">
        <v>314</v>
      </c>
      <c r="U2571" s="84" t="str">
        <f>HYPERLINK("https://pbs.twimg.com/media/FAeEF_8UcAAAgih.jpg")</f>
        <v>https://pbs.twimg.com/media/FAeEF_8UcAAAgih.jpg</v>
      </c>
      <c r="V2571" s="84" t="str">
        <f>HYPERLINK("https://pbs.twimg.com/media/FAeEF_8UcAAAgih.jpg")</f>
        <v>https://pbs.twimg.com/media/FAeEF_8UcAAAgih.jpg</v>
      </c>
      <c r="W2571" s="83">
        <v>44469.096851851849</v>
      </c>
      <c r="X2571" s="89">
        <v>44469</v>
      </c>
      <c r="Y2571" s="86" t="s">
        <v>13081</v>
      </c>
      <c r="Z2571" s="84" t="str">
        <f>HYPERLINK("https://twitter.com/wnrashida1/status/1443400071609946115")</f>
        <v>https://twitter.com/wnrashida1/status/1443400071609946115</v>
      </c>
      <c r="AA2571" s="81"/>
      <c r="AB2571" s="81"/>
      <c r="AC2571" s="86" t="s">
        <v>13323</v>
      </c>
      <c r="AD2571" s="81"/>
      <c r="AE2571" s="81" t="b">
        <v>0</v>
      </c>
      <c r="AF2571" s="81">
        <v>0</v>
      </c>
      <c r="AG2571" s="86" t="s">
        <v>2084</v>
      </c>
      <c r="AH2571" s="81" t="b">
        <v>0</v>
      </c>
      <c r="AI2571" s="81" t="s">
        <v>2168</v>
      </c>
      <c r="AJ2571" s="81"/>
      <c r="AK2571" s="86" t="s">
        <v>2084</v>
      </c>
      <c r="AL2571" s="81" t="b">
        <v>0</v>
      </c>
      <c r="AM2571" s="81">
        <v>42</v>
      </c>
      <c r="AN2571" s="86" t="s">
        <v>13352</v>
      </c>
      <c r="AO2571" s="86" t="s">
        <v>2178</v>
      </c>
      <c r="AP2571" s="81" t="b">
        <v>0</v>
      </c>
      <c r="AQ2571" s="86" t="s">
        <v>13352</v>
      </c>
      <c r="AR2571" s="81" t="s">
        <v>179</v>
      </c>
      <c r="AS2571" s="81">
        <v>0</v>
      </c>
      <c r="AT2571" s="81">
        <v>0</v>
      </c>
      <c r="AU2571" s="81"/>
      <c r="AV2571" s="81"/>
      <c r="AW2571" s="81"/>
      <c r="AX2571" s="81"/>
      <c r="AY2571" s="81"/>
      <c r="AZ2571" s="81"/>
      <c r="BA2571" s="81"/>
      <c r="BB2571" s="81"/>
    </row>
    <row r="2572" spans="1:54" x14ac:dyDescent="0.35">
      <c r="A2572" s="66" t="s">
        <v>12641</v>
      </c>
      <c r="B2572" s="66" t="s">
        <v>12664</v>
      </c>
      <c r="C2572" s="67"/>
      <c r="D2572" s="68"/>
      <c r="E2572" s="69"/>
      <c r="F2572" s="70"/>
      <c r="G2572" s="67"/>
      <c r="H2572" s="71"/>
      <c r="I2572" s="72"/>
      <c r="J2572" s="72"/>
      <c r="K2572" s="36"/>
      <c r="L2572" s="79"/>
      <c r="M2572" s="79"/>
      <c r="N2572" s="74"/>
      <c r="O2572" s="81" t="s">
        <v>693</v>
      </c>
      <c r="P2572" s="83">
        <v>44469.100289351853</v>
      </c>
      <c r="Q2572" s="81" t="s">
        <v>12799</v>
      </c>
      <c r="R2572" s="81"/>
      <c r="S2572" s="81"/>
      <c r="T2572" s="86" t="s">
        <v>314</v>
      </c>
      <c r="U2572" s="84" t="str">
        <f>HYPERLINK("https://pbs.twimg.com/media/FAeEF_8UcAAAgih.jpg")</f>
        <v>https://pbs.twimg.com/media/FAeEF_8UcAAAgih.jpg</v>
      </c>
      <c r="V2572" s="84" t="str">
        <f>HYPERLINK("https://pbs.twimg.com/media/FAeEF_8UcAAAgih.jpg")</f>
        <v>https://pbs.twimg.com/media/FAeEF_8UcAAAgih.jpg</v>
      </c>
      <c r="W2572" s="83">
        <v>44469.100289351853</v>
      </c>
      <c r="X2572" s="89">
        <v>44469</v>
      </c>
      <c r="Y2572" s="86" t="s">
        <v>13082</v>
      </c>
      <c r="Z2572" s="84" t="str">
        <f>HYPERLINK("https://twitter.com/ttalgijaemdonut/status/1443401314168279042")</f>
        <v>https://twitter.com/ttalgijaemdonut/status/1443401314168279042</v>
      </c>
      <c r="AA2572" s="81"/>
      <c r="AB2572" s="81"/>
      <c r="AC2572" s="86" t="s">
        <v>13324</v>
      </c>
      <c r="AD2572" s="81"/>
      <c r="AE2572" s="81" t="b">
        <v>0</v>
      </c>
      <c r="AF2572" s="81">
        <v>0</v>
      </c>
      <c r="AG2572" s="86" t="s">
        <v>2084</v>
      </c>
      <c r="AH2572" s="81" t="b">
        <v>0</v>
      </c>
      <c r="AI2572" s="81" t="s">
        <v>2168</v>
      </c>
      <c r="AJ2572" s="81"/>
      <c r="AK2572" s="86" t="s">
        <v>2084</v>
      </c>
      <c r="AL2572" s="81" t="b">
        <v>0</v>
      </c>
      <c r="AM2572" s="81">
        <v>42</v>
      </c>
      <c r="AN2572" s="86" t="s">
        <v>13352</v>
      </c>
      <c r="AO2572" s="86" t="s">
        <v>2179</v>
      </c>
      <c r="AP2572" s="81" t="b">
        <v>0</v>
      </c>
      <c r="AQ2572" s="86" t="s">
        <v>13352</v>
      </c>
      <c r="AR2572" s="81" t="s">
        <v>179</v>
      </c>
      <c r="AS2572" s="81">
        <v>0</v>
      </c>
      <c r="AT2572" s="81">
        <v>0</v>
      </c>
      <c r="AU2572" s="81"/>
      <c r="AV2572" s="81"/>
      <c r="AW2572" s="81"/>
      <c r="AX2572" s="81"/>
      <c r="AY2572" s="81"/>
      <c r="AZ2572" s="81"/>
      <c r="BA2572" s="81"/>
      <c r="BB2572" s="81"/>
    </row>
    <row r="2573" spans="1:54" x14ac:dyDescent="0.35">
      <c r="A2573" s="66" t="s">
        <v>12642</v>
      </c>
      <c r="B2573" s="66" t="s">
        <v>12664</v>
      </c>
      <c r="C2573" s="67"/>
      <c r="D2573" s="68"/>
      <c r="E2573" s="69"/>
      <c r="F2573" s="70"/>
      <c r="G2573" s="67"/>
      <c r="H2573" s="71"/>
      <c r="I2573" s="72"/>
      <c r="J2573" s="72"/>
      <c r="K2573" s="36"/>
      <c r="L2573" s="79"/>
      <c r="M2573" s="79"/>
      <c r="N2573" s="74"/>
      <c r="O2573" s="81" t="s">
        <v>693</v>
      </c>
      <c r="P2573" s="83">
        <v>44469.105590277781</v>
      </c>
      <c r="Q2573" s="81" t="s">
        <v>12799</v>
      </c>
      <c r="R2573" s="81"/>
      <c r="S2573" s="81"/>
      <c r="T2573" s="86" t="s">
        <v>314</v>
      </c>
      <c r="U2573" s="84" t="str">
        <f>HYPERLINK("https://pbs.twimg.com/media/FAeEF_8UcAAAgih.jpg")</f>
        <v>https://pbs.twimg.com/media/FAeEF_8UcAAAgih.jpg</v>
      </c>
      <c r="V2573" s="84" t="str">
        <f>HYPERLINK("https://pbs.twimg.com/media/FAeEF_8UcAAAgih.jpg")</f>
        <v>https://pbs.twimg.com/media/FAeEF_8UcAAAgih.jpg</v>
      </c>
      <c r="W2573" s="83">
        <v>44469.105590277781</v>
      </c>
      <c r="X2573" s="89">
        <v>44469</v>
      </c>
      <c r="Y2573" s="86" t="s">
        <v>13083</v>
      </c>
      <c r="Z2573" s="84" t="str">
        <f>HYPERLINK("https://twitter.com/f41ryygyuu/status/1443403236736569346")</f>
        <v>https://twitter.com/f41ryygyuu/status/1443403236736569346</v>
      </c>
      <c r="AA2573" s="81"/>
      <c r="AB2573" s="81"/>
      <c r="AC2573" s="86" t="s">
        <v>13325</v>
      </c>
      <c r="AD2573" s="81"/>
      <c r="AE2573" s="81" t="b">
        <v>0</v>
      </c>
      <c r="AF2573" s="81">
        <v>0</v>
      </c>
      <c r="AG2573" s="86" t="s">
        <v>2084</v>
      </c>
      <c r="AH2573" s="81" t="b">
        <v>0</v>
      </c>
      <c r="AI2573" s="81" t="s">
        <v>2168</v>
      </c>
      <c r="AJ2573" s="81"/>
      <c r="AK2573" s="86" t="s">
        <v>2084</v>
      </c>
      <c r="AL2573" s="81" t="b">
        <v>0</v>
      </c>
      <c r="AM2573" s="81">
        <v>42</v>
      </c>
      <c r="AN2573" s="86" t="s">
        <v>13352</v>
      </c>
      <c r="AO2573" s="86" t="s">
        <v>2178</v>
      </c>
      <c r="AP2573" s="81" t="b">
        <v>0</v>
      </c>
      <c r="AQ2573" s="86" t="s">
        <v>13352</v>
      </c>
      <c r="AR2573" s="81" t="s">
        <v>179</v>
      </c>
      <c r="AS2573" s="81">
        <v>0</v>
      </c>
      <c r="AT2573" s="81">
        <v>0</v>
      </c>
      <c r="AU2573" s="81"/>
      <c r="AV2573" s="81"/>
      <c r="AW2573" s="81"/>
      <c r="AX2573" s="81"/>
      <c r="AY2573" s="81"/>
      <c r="AZ2573" s="81"/>
      <c r="BA2573" s="81"/>
      <c r="BB2573" s="81"/>
    </row>
    <row r="2574" spans="1:54" x14ac:dyDescent="0.35">
      <c r="A2574" s="66" t="s">
        <v>12643</v>
      </c>
      <c r="B2574" s="66" t="s">
        <v>12664</v>
      </c>
      <c r="C2574" s="67"/>
      <c r="D2574" s="68"/>
      <c r="E2574" s="69"/>
      <c r="F2574" s="70"/>
      <c r="G2574" s="67"/>
      <c r="H2574" s="71"/>
      <c r="I2574" s="72"/>
      <c r="J2574" s="72"/>
      <c r="K2574" s="36"/>
      <c r="L2574" s="79"/>
      <c r="M2574" s="79"/>
      <c r="N2574" s="74"/>
      <c r="O2574" s="81" t="s">
        <v>693</v>
      </c>
      <c r="P2574" s="83">
        <v>44469.106608796297</v>
      </c>
      <c r="Q2574" s="81" t="s">
        <v>12799</v>
      </c>
      <c r="R2574" s="81"/>
      <c r="S2574" s="81"/>
      <c r="T2574" s="86" t="s">
        <v>314</v>
      </c>
      <c r="U2574" s="84" t="str">
        <f>HYPERLINK("https://pbs.twimg.com/media/FAeEF_8UcAAAgih.jpg")</f>
        <v>https://pbs.twimg.com/media/FAeEF_8UcAAAgih.jpg</v>
      </c>
      <c r="V2574" s="84" t="str">
        <f>HYPERLINK("https://pbs.twimg.com/media/FAeEF_8UcAAAgih.jpg")</f>
        <v>https://pbs.twimg.com/media/FAeEF_8UcAAAgih.jpg</v>
      </c>
      <c r="W2574" s="83">
        <v>44469.106608796297</v>
      </c>
      <c r="X2574" s="89">
        <v>44469</v>
      </c>
      <c r="Y2574" s="86" t="s">
        <v>13084</v>
      </c>
      <c r="Z2574" s="84" t="str">
        <f>HYPERLINK("https://twitter.com/j3rrybbo_/status/1443403607211057153")</f>
        <v>https://twitter.com/j3rrybbo_/status/1443403607211057153</v>
      </c>
      <c r="AA2574" s="81"/>
      <c r="AB2574" s="81"/>
      <c r="AC2574" s="86" t="s">
        <v>13326</v>
      </c>
      <c r="AD2574" s="81"/>
      <c r="AE2574" s="81" t="b">
        <v>0</v>
      </c>
      <c r="AF2574" s="81">
        <v>0</v>
      </c>
      <c r="AG2574" s="86" t="s">
        <v>2084</v>
      </c>
      <c r="AH2574" s="81" t="b">
        <v>0</v>
      </c>
      <c r="AI2574" s="81" t="s">
        <v>2168</v>
      </c>
      <c r="AJ2574" s="81"/>
      <c r="AK2574" s="86" t="s">
        <v>2084</v>
      </c>
      <c r="AL2574" s="81" t="b">
        <v>0</v>
      </c>
      <c r="AM2574" s="81">
        <v>42</v>
      </c>
      <c r="AN2574" s="86" t="s">
        <v>13352</v>
      </c>
      <c r="AO2574" s="86" t="s">
        <v>2178</v>
      </c>
      <c r="AP2574" s="81" t="b">
        <v>0</v>
      </c>
      <c r="AQ2574" s="86" t="s">
        <v>13352</v>
      </c>
      <c r="AR2574" s="81" t="s">
        <v>179</v>
      </c>
      <c r="AS2574" s="81">
        <v>0</v>
      </c>
      <c r="AT2574" s="81">
        <v>0</v>
      </c>
      <c r="AU2574" s="81"/>
      <c r="AV2574" s="81"/>
      <c r="AW2574" s="81"/>
      <c r="AX2574" s="81"/>
      <c r="AY2574" s="81"/>
      <c r="AZ2574" s="81"/>
      <c r="BA2574" s="81"/>
      <c r="BB2574" s="81"/>
    </row>
    <row r="2575" spans="1:54" x14ac:dyDescent="0.35">
      <c r="A2575" s="66" t="s">
        <v>12644</v>
      </c>
      <c r="B2575" s="66" t="s">
        <v>12664</v>
      </c>
      <c r="C2575" s="67"/>
      <c r="D2575" s="68"/>
      <c r="E2575" s="69"/>
      <c r="F2575" s="70"/>
      <c r="G2575" s="67"/>
      <c r="H2575" s="71"/>
      <c r="I2575" s="72"/>
      <c r="J2575" s="72"/>
      <c r="K2575" s="36"/>
      <c r="L2575" s="79"/>
      <c r="M2575" s="79"/>
      <c r="N2575" s="74"/>
      <c r="O2575" s="81" t="s">
        <v>693</v>
      </c>
      <c r="P2575" s="83">
        <v>44469.10670138889</v>
      </c>
      <c r="Q2575" s="81" t="s">
        <v>12799</v>
      </c>
      <c r="R2575" s="81"/>
      <c r="S2575" s="81"/>
      <c r="T2575" s="86" t="s">
        <v>314</v>
      </c>
      <c r="U2575" s="84" t="str">
        <f>HYPERLINK("https://pbs.twimg.com/media/FAeEF_8UcAAAgih.jpg")</f>
        <v>https://pbs.twimg.com/media/FAeEF_8UcAAAgih.jpg</v>
      </c>
      <c r="V2575" s="84" t="str">
        <f>HYPERLINK("https://pbs.twimg.com/media/FAeEF_8UcAAAgih.jpg")</f>
        <v>https://pbs.twimg.com/media/FAeEF_8UcAAAgih.jpg</v>
      </c>
      <c r="W2575" s="83">
        <v>44469.10670138889</v>
      </c>
      <c r="X2575" s="89">
        <v>44469</v>
      </c>
      <c r="Y2575" s="86" t="s">
        <v>13085</v>
      </c>
      <c r="Z2575" s="84" t="str">
        <f>HYPERLINK("https://twitter.com/lilytrisy/status/1443403640291528712")</f>
        <v>https://twitter.com/lilytrisy/status/1443403640291528712</v>
      </c>
      <c r="AA2575" s="81"/>
      <c r="AB2575" s="81"/>
      <c r="AC2575" s="86" t="s">
        <v>13327</v>
      </c>
      <c r="AD2575" s="81"/>
      <c r="AE2575" s="81" t="b">
        <v>0</v>
      </c>
      <c r="AF2575" s="81">
        <v>0</v>
      </c>
      <c r="AG2575" s="86" t="s">
        <v>2084</v>
      </c>
      <c r="AH2575" s="81" t="b">
        <v>0</v>
      </c>
      <c r="AI2575" s="81" t="s">
        <v>2168</v>
      </c>
      <c r="AJ2575" s="81"/>
      <c r="AK2575" s="86" t="s">
        <v>2084</v>
      </c>
      <c r="AL2575" s="81" t="b">
        <v>0</v>
      </c>
      <c r="AM2575" s="81">
        <v>42</v>
      </c>
      <c r="AN2575" s="86" t="s">
        <v>13352</v>
      </c>
      <c r="AO2575" s="86" t="s">
        <v>2178</v>
      </c>
      <c r="AP2575" s="81" t="b">
        <v>0</v>
      </c>
      <c r="AQ2575" s="86" t="s">
        <v>13352</v>
      </c>
      <c r="AR2575" s="81" t="s">
        <v>179</v>
      </c>
      <c r="AS2575" s="81">
        <v>0</v>
      </c>
      <c r="AT2575" s="81">
        <v>0</v>
      </c>
      <c r="AU2575" s="81"/>
      <c r="AV2575" s="81"/>
      <c r="AW2575" s="81"/>
      <c r="AX2575" s="81"/>
      <c r="AY2575" s="81"/>
      <c r="AZ2575" s="81"/>
      <c r="BA2575" s="81"/>
      <c r="BB2575" s="81"/>
    </row>
    <row r="2576" spans="1:54" x14ac:dyDescent="0.35">
      <c r="A2576" s="66" t="s">
        <v>12645</v>
      </c>
      <c r="B2576" s="66" t="s">
        <v>12726</v>
      </c>
      <c r="C2576" s="67"/>
      <c r="D2576" s="68"/>
      <c r="E2576" s="69"/>
      <c r="F2576" s="70"/>
      <c r="G2576" s="67"/>
      <c r="H2576" s="71"/>
      <c r="I2576" s="72"/>
      <c r="J2576" s="72"/>
      <c r="K2576" s="36"/>
      <c r="L2576" s="79"/>
      <c r="M2576" s="79"/>
      <c r="N2576" s="74"/>
      <c r="O2576" s="81" t="s">
        <v>696</v>
      </c>
      <c r="P2576" s="83">
        <v>44469.106898148151</v>
      </c>
      <c r="Q2576" s="81" t="s">
        <v>12830</v>
      </c>
      <c r="R2576" s="81"/>
      <c r="S2576" s="81"/>
      <c r="T2576" s="81"/>
      <c r="U2576" s="81"/>
      <c r="V2576" s="84" t="str">
        <f>HYPERLINK("https://pbs.twimg.com/profile_images/419744958464020480/UvMhsXQC_normal.jpeg")</f>
        <v>https://pbs.twimg.com/profile_images/419744958464020480/UvMhsXQC_normal.jpeg</v>
      </c>
      <c r="W2576" s="83">
        <v>44469.106898148151</v>
      </c>
      <c r="X2576" s="89">
        <v>44469</v>
      </c>
      <c r="Y2576" s="86" t="s">
        <v>13086</v>
      </c>
      <c r="Z2576" s="84" t="str">
        <f>HYPERLINK("https://twitter.com/rebeccaeberger/status/1443403712840486918")</f>
        <v>https://twitter.com/rebeccaeberger/status/1443403712840486918</v>
      </c>
      <c r="AA2576" s="81"/>
      <c r="AB2576" s="81"/>
      <c r="AC2576" s="86" t="s">
        <v>13328</v>
      </c>
      <c r="AD2576" s="86" t="s">
        <v>13394</v>
      </c>
      <c r="AE2576" s="81" t="b">
        <v>0</v>
      </c>
      <c r="AF2576" s="81">
        <v>1</v>
      </c>
      <c r="AG2576" s="86" t="s">
        <v>13430</v>
      </c>
      <c r="AH2576" s="81" t="b">
        <v>0</v>
      </c>
      <c r="AI2576" s="81" t="s">
        <v>2168</v>
      </c>
      <c r="AJ2576" s="81"/>
      <c r="AK2576" s="86" t="s">
        <v>2084</v>
      </c>
      <c r="AL2576" s="81" t="b">
        <v>0</v>
      </c>
      <c r="AM2576" s="81">
        <v>0</v>
      </c>
      <c r="AN2576" s="86" t="s">
        <v>2084</v>
      </c>
      <c r="AO2576" s="86" t="s">
        <v>2179</v>
      </c>
      <c r="AP2576" s="81" t="b">
        <v>0</v>
      </c>
      <c r="AQ2576" s="86" t="s">
        <v>13394</v>
      </c>
      <c r="AR2576" s="81" t="s">
        <v>179</v>
      </c>
      <c r="AS2576" s="81">
        <v>0</v>
      </c>
      <c r="AT2576" s="81">
        <v>0</v>
      </c>
      <c r="AU2576" s="81"/>
      <c r="AV2576" s="81"/>
      <c r="AW2576" s="81"/>
      <c r="AX2576" s="81"/>
      <c r="AY2576" s="81"/>
      <c r="AZ2576" s="81"/>
      <c r="BA2576" s="81"/>
      <c r="BB2576" s="81"/>
    </row>
    <row r="2577" spans="1:54" x14ac:dyDescent="0.35">
      <c r="A2577" s="66" t="s">
        <v>12645</v>
      </c>
      <c r="B2577" s="66" t="s">
        <v>12727</v>
      </c>
      <c r="C2577" s="67"/>
      <c r="D2577" s="68"/>
      <c r="E2577" s="69"/>
      <c r="F2577" s="70"/>
      <c r="G2577" s="67"/>
      <c r="H2577" s="71"/>
      <c r="I2577" s="72"/>
      <c r="J2577" s="72"/>
      <c r="K2577" s="36"/>
      <c r="L2577" s="79"/>
      <c r="M2577" s="79"/>
      <c r="N2577" s="74"/>
      <c r="O2577" s="81" t="s">
        <v>696</v>
      </c>
      <c r="P2577" s="83">
        <v>44469.106898148151</v>
      </c>
      <c r="Q2577" s="81" t="s">
        <v>12830</v>
      </c>
      <c r="R2577" s="81"/>
      <c r="S2577" s="81"/>
      <c r="T2577" s="81"/>
      <c r="U2577" s="81"/>
      <c r="V2577" s="84" t="str">
        <f>HYPERLINK("https://pbs.twimg.com/profile_images/419744958464020480/UvMhsXQC_normal.jpeg")</f>
        <v>https://pbs.twimg.com/profile_images/419744958464020480/UvMhsXQC_normal.jpeg</v>
      </c>
      <c r="W2577" s="83">
        <v>44469.106898148151</v>
      </c>
      <c r="X2577" s="89">
        <v>44469</v>
      </c>
      <c r="Y2577" s="86" t="s">
        <v>13086</v>
      </c>
      <c r="Z2577" s="84" t="str">
        <f>HYPERLINK("https://twitter.com/rebeccaeberger/status/1443403712840486918")</f>
        <v>https://twitter.com/rebeccaeberger/status/1443403712840486918</v>
      </c>
      <c r="AA2577" s="81"/>
      <c r="AB2577" s="81"/>
      <c r="AC2577" s="86" t="s">
        <v>13328</v>
      </c>
      <c r="AD2577" s="86" t="s">
        <v>13394</v>
      </c>
      <c r="AE2577" s="81" t="b">
        <v>0</v>
      </c>
      <c r="AF2577" s="81">
        <v>1</v>
      </c>
      <c r="AG2577" s="86" t="s">
        <v>13430</v>
      </c>
      <c r="AH2577" s="81" t="b">
        <v>0</v>
      </c>
      <c r="AI2577" s="81" t="s">
        <v>2168</v>
      </c>
      <c r="AJ2577" s="81"/>
      <c r="AK2577" s="86" t="s">
        <v>2084</v>
      </c>
      <c r="AL2577" s="81" t="b">
        <v>0</v>
      </c>
      <c r="AM2577" s="81">
        <v>0</v>
      </c>
      <c r="AN2577" s="86" t="s">
        <v>2084</v>
      </c>
      <c r="AO2577" s="86" t="s">
        <v>2179</v>
      </c>
      <c r="AP2577" s="81" t="b">
        <v>0</v>
      </c>
      <c r="AQ2577" s="86" t="s">
        <v>13394</v>
      </c>
      <c r="AR2577" s="81" t="s">
        <v>179</v>
      </c>
      <c r="AS2577" s="81">
        <v>0</v>
      </c>
      <c r="AT2577" s="81">
        <v>0</v>
      </c>
      <c r="AU2577" s="81"/>
      <c r="AV2577" s="81"/>
      <c r="AW2577" s="81"/>
      <c r="AX2577" s="81"/>
      <c r="AY2577" s="81"/>
      <c r="AZ2577" s="81"/>
      <c r="BA2577" s="81"/>
      <c r="BB2577" s="81"/>
    </row>
    <row r="2578" spans="1:54" x14ac:dyDescent="0.35">
      <c r="A2578" s="66" t="s">
        <v>12645</v>
      </c>
      <c r="B2578" s="66" t="s">
        <v>12728</v>
      </c>
      <c r="C2578" s="67"/>
      <c r="D2578" s="68"/>
      <c r="E2578" s="69"/>
      <c r="F2578" s="70"/>
      <c r="G2578" s="67"/>
      <c r="H2578" s="71"/>
      <c r="I2578" s="72"/>
      <c r="J2578" s="72"/>
      <c r="K2578" s="36"/>
      <c r="L2578" s="79"/>
      <c r="M2578" s="79"/>
      <c r="N2578" s="74"/>
      <c r="O2578" s="81" t="s">
        <v>695</v>
      </c>
      <c r="P2578" s="83">
        <v>44469.106898148151</v>
      </c>
      <c r="Q2578" s="81" t="s">
        <v>12830</v>
      </c>
      <c r="R2578" s="81"/>
      <c r="S2578" s="81"/>
      <c r="T2578" s="81"/>
      <c r="U2578" s="81"/>
      <c r="V2578" s="84" t="str">
        <f>HYPERLINK("https://pbs.twimg.com/profile_images/419744958464020480/UvMhsXQC_normal.jpeg")</f>
        <v>https://pbs.twimg.com/profile_images/419744958464020480/UvMhsXQC_normal.jpeg</v>
      </c>
      <c r="W2578" s="83">
        <v>44469.106898148151</v>
      </c>
      <c r="X2578" s="89">
        <v>44469</v>
      </c>
      <c r="Y2578" s="86" t="s">
        <v>13086</v>
      </c>
      <c r="Z2578" s="84" t="str">
        <f>HYPERLINK("https://twitter.com/rebeccaeberger/status/1443403712840486918")</f>
        <v>https://twitter.com/rebeccaeberger/status/1443403712840486918</v>
      </c>
      <c r="AA2578" s="81"/>
      <c r="AB2578" s="81"/>
      <c r="AC2578" s="86" t="s">
        <v>13328</v>
      </c>
      <c r="AD2578" s="86" t="s">
        <v>13394</v>
      </c>
      <c r="AE2578" s="81" t="b">
        <v>0</v>
      </c>
      <c r="AF2578" s="81">
        <v>1</v>
      </c>
      <c r="AG2578" s="86" t="s">
        <v>13430</v>
      </c>
      <c r="AH2578" s="81" t="b">
        <v>0</v>
      </c>
      <c r="AI2578" s="81" t="s">
        <v>2168</v>
      </c>
      <c r="AJ2578" s="81"/>
      <c r="AK2578" s="86" t="s">
        <v>2084</v>
      </c>
      <c r="AL2578" s="81" t="b">
        <v>0</v>
      </c>
      <c r="AM2578" s="81">
        <v>0</v>
      </c>
      <c r="AN2578" s="86" t="s">
        <v>2084</v>
      </c>
      <c r="AO2578" s="86" t="s">
        <v>2179</v>
      </c>
      <c r="AP2578" s="81" t="b">
        <v>0</v>
      </c>
      <c r="AQ2578" s="86" t="s">
        <v>13394</v>
      </c>
      <c r="AR2578" s="81" t="s">
        <v>179</v>
      </c>
      <c r="AS2578" s="81">
        <v>0</v>
      </c>
      <c r="AT2578" s="81">
        <v>0</v>
      </c>
      <c r="AU2578" s="81"/>
      <c r="AV2578" s="81"/>
      <c r="AW2578" s="81"/>
      <c r="AX2578" s="81"/>
      <c r="AY2578" s="81"/>
      <c r="AZ2578" s="81"/>
      <c r="BA2578" s="81"/>
      <c r="BB2578" s="81"/>
    </row>
    <row r="2579" spans="1:54" x14ac:dyDescent="0.35">
      <c r="A2579" s="66" t="s">
        <v>12646</v>
      </c>
      <c r="B2579" s="66" t="s">
        <v>12664</v>
      </c>
      <c r="C2579" s="67"/>
      <c r="D2579" s="68"/>
      <c r="E2579" s="69"/>
      <c r="F2579" s="70"/>
      <c r="G2579" s="67"/>
      <c r="H2579" s="71"/>
      <c r="I2579" s="72"/>
      <c r="J2579" s="72"/>
      <c r="K2579" s="36"/>
      <c r="L2579" s="79"/>
      <c r="M2579" s="79"/>
      <c r="N2579" s="74"/>
      <c r="O2579" s="81" t="s">
        <v>693</v>
      </c>
      <c r="P2579" s="83">
        <v>44469.108518518522</v>
      </c>
      <c r="Q2579" s="81" t="s">
        <v>12799</v>
      </c>
      <c r="R2579" s="81"/>
      <c r="S2579" s="81"/>
      <c r="T2579" s="86" t="s">
        <v>314</v>
      </c>
      <c r="U2579" s="84" t="str">
        <f>HYPERLINK("https://pbs.twimg.com/media/FAeEF_8UcAAAgih.jpg")</f>
        <v>https://pbs.twimg.com/media/FAeEF_8UcAAAgih.jpg</v>
      </c>
      <c r="V2579" s="84" t="str">
        <f>HYPERLINK("https://pbs.twimg.com/media/FAeEF_8UcAAAgih.jpg")</f>
        <v>https://pbs.twimg.com/media/FAeEF_8UcAAAgih.jpg</v>
      </c>
      <c r="W2579" s="83">
        <v>44469.108518518522</v>
      </c>
      <c r="X2579" s="89">
        <v>44469</v>
      </c>
      <c r="Y2579" s="86" t="s">
        <v>13087</v>
      </c>
      <c r="Z2579" s="84" t="str">
        <f>HYPERLINK("https://twitter.com/jenddongie_/status/1443404298277113865")</f>
        <v>https://twitter.com/jenddongie_/status/1443404298277113865</v>
      </c>
      <c r="AA2579" s="81"/>
      <c r="AB2579" s="81"/>
      <c r="AC2579" s="86" t="s">
        <v>13329</v>
      </c>
      <c r="AD2579" s="81"/>
      <c r="AE2579" s="81" t="b">
        <v>0</v>
      </c>
      <c r="AF2579" s="81">
        <v>0</v>
      </c>
      <c r="AG2579" s="86" t="s">
        <v>2084</v>
      </c>
      <c r="AH2579" s="81" t="b">
        <v>0</v>
      </c>
      <c r="AI2579" s="81" t="s">
        <v>2168</v>
      </c>
      <c r="AJ2579" s="81"/>
      <c r="AK2579" s="86" t="s">
        <v>2084</v>
      </c>
      <c r="AL2579" s="81" t="b">
        <v>0</v>
      </c>
      <c r="AM2579" s="81">
        <v>42</v>
      </c>
      <c r="AN2579" s="86" t="s">
        <v>13352</v>
      </c>
      <c r="AO2579" s="86" t="s">
        <v>2181</v>
      </c>
      <c r="AP2579" s="81" t="b">
        <v>0</v>
      </c>
      <c r="AQ2579" s="86" t="s">
        <v>13352</v>
      </c>
      <c r="AR2579" s="81" t="s">
        <v>179</v>
      </c>
      <c r="AS2579" s="81">
        <v>0</v>
      </c>
      <c r="AT2579" s="81">
        <v>0</v>
      </c>
      <c r="AU2579" s="81"/>
      <c r="AV2579" s="81"/>
      <c r="AW2579" s="81"/>
      <c r="AX2579" s="81"/>
      <c r="AY2579" s="81"/>
      <c r="AZ2579" s="81"/>
      <c r="BA2579" s="81"/>
      <c r="BB2579" s="81"/>
    </row>
    <row r="2580" spans="1:54" x14ac:dyDescent="0.35">
      <c r="A2580" s="66" t="s">
        <v>12647</v>
      </c>
      <c r="B2580" s="66" t="s">
        <v>12664</v>
      </c>
      <c r="C2580" s="67"/>
      <c r="D2580" s="68"/>
      <c r="E2580" s="69"/>
      <c r="F2580" s="70"/>
      <c r="G2580" s="67"/>
      <c r="H2580" s="71"/>
      <c r="I2580" s="72"/>
      <c r="J2580" s="72"/>
      <c r="K2580" s="36"/>
      <c r="L2580" s="79"/>
      <c r="M2580" s="79"/>
      <c r="N2580" s="74"/>
      <c r="O2580" s="81" t="s">
        <v>693</v>
      </c>
      <c r="P2580" s="83">
        <v>44469.111400462964</v>
      </c>
      <c r="Q2580" s="81" t="s">
        <v>12799</v>
      </c>
      <c r="R2580" s="81"/>
      <c r="S2580" s="81"/>
      <c r="T2580" s="86" t="s">
        <v>314</v>
      </c>
      <c r="U2580" s="84" t="str">
        <f>HYPERLINK("https://pbs.twimg.com/media/FAeEF_8UcAAAgih.jpg")</f>
        <v>https://pbs.twimg.com/media/FAeEF_8UcAAAgih.jpg</v>
      </c>
      <c r="V2580" s="84" t="str">
        <f>HYPERLINK("https://pbs.twimg.com/media/FAeEF_8UcAAAgih.jpg")</f>
        <v>https://pbs.twimg.com/media/FAeEF_8UcAAAgih.jpg</v>
      </c>
      <c r="W2580" s="83">
        <v>44469.111400462964</v>
      </c>
      <c r="X2580" s="89">
        <v>44469</v>
      </c>
      <c r="Y2580" s="86" t="s">
        <v>13088</v>
      </c>
      <c r="Z2580" s="84" t="str">
        <f>HYPERLINK("https://twitter.com/glittooglitchie/status/1443405340947582980")</f>
        <v>https://twitter.com/glittooglitchie/status/1443405340947582980</v>
      </c>
      <c r="AA2580" s="81"/>
      <c r="AB2580" s="81"/>
      <c r="AC2580" s="86" t="s">
        <v>13330</v>
      </c>
      <c r="AD2580" s="81"/>
      <c r="AE2580" s="81" t="b">
        <v>0</v>
      </c>
      <c r="AF2580" s="81">
        <v>0</v>
      </c>
      <c r="AG2580" s="86" t="s">
        <v>2084</v>
      </c>
      <c r="AH2580" s="81" t="b">
        <v>0</v>
      </c>
      <c r="AI2580" s="81" t="s">
        <v>2168</v>
      </c>
      <c r="AJ2580" s="81"/>
      <c r="AK2580" s="86" t="s">
        <v>2084</v>
      </c>
      <c r="AL2580" s="81" t="b">
        <v>0</v>
      </c>
      <c r="AM2580" s="81">
        <v>42</v>
      </c>
      <c r="AN2580" s="86" t="s">
        <v>13352</v>
      </c>
      <c r="AO2580" s="86" t="s">
        <v>2178</v>
      </c>
      <c r="AP2580" s="81" t="b">
        <v>0</v>
      </c>
      <c r="AQ2580" s="86" t="s">
        <v>13352</v>
      </c>
      <c r="AR2580" s="81" t="s">
        <v>179</v>
      </c>
      <c r="AS2580" s="81">
        <v>0</v>
      </c>
      <c r="AT2580" s="81">
        <v>0</v>
      </c>
      <c r="AU2580" s="81"/>
      <c r="AV2580" s="81"/>
      <c r="AW2580" s="81"/>
      <c r="AX2580" s="81"/>
      <c r="AY2580" s="81"/>
      <c r="AZ2580" s="81"/>
      <c r="BA2580" s="81"/>
      <c r="BB2580" s="81"/>
    </row>
    <row r="2581" spans="1:54" x14ac:dyDescent="0.35">
      <c r="A2581" s="66" t="s">
        <v>12648</v>
      </c>
      <c r="B2581" s="66" t="s">
        <v>12648</v>
      </c>
      <c r="C2581" s="67"/>
      <c r="D2581" s="68"/>
      <c r="E2581" s="69"/>
      <c r="F2581" s="70"/>
      <c r="G2581" s="67"/>
      <c r="H2581" s="71"/>
      <c r="I2581" s="72"/>
      <c r="J2581" s="72"/>
      <c r="K2581" s="36"/>
      <c r="L2581" s="79"/>
      <c r="M2581" s="79"/>
      <c r="N2581" s="74"/>
      <c r="O2581" s="81" t="s">
        <v>179</v>
      </c>
      <c r="P2581" s="83">
        <v>44468.574618055558</v>
      </c>
      <c r="Q2581" s="81" t="s">
        <v>12831</v>
      </c>
      <c r="R2581" s="84" t="str">
        <f>HYPERLINK("https://pt.euronews.com/2021/09/29/franca-acusa-britanicos-de-tomarem-pescadores-como-refens?utm_term=Autofeed&amp;utm_medium=Social&amp;utm_source=Twitter#Echobox=1632922784")</f>
        <v>https://pt.euronews.com/2021/09/29/franca-acusa-britanicos-de-tomarem-pescadores-como-refens?utm_term=Autofeed&amp;utm_medium=Social&amp;utm_source=Twitter#Echobox=1632922784</v>
      </c>
      <c r="S2581" s="81" t="s">
        <v>12860</v>
      </c>
      <c r="T2581" s="86" t="s">
        <v>12873</v>
      </c>
      <c r="U2581" s="81"/>
      <c r="V2581" s="84" t="str">
        <f>HYPERLINK("https://pbs.twimg.com/profile_images/1168825837396869122/9s0sF91N_normal.jpg")</f>
        <v>https://pbs.twimg.com/profile_images/1168825837396869122/9s0sF91N_normal.jpg</v>
      </c>
      <c r="W2581" s="83">
        <v>44468.574618055558</v>
      </c>
      <c r="X2581" s="89">
        <v>44468</v>
      </c>
      <c r="Y2581" s="86" t="s">
        <v>13089</v>
      </c>
      <c r="Z2581" s="84" t="str">
        <f>HYPERLINK("https://twitter.com/euronewspt/status/1443210818192089094")</f>
        <v>https://twitter.com/euronewspt/status/1443210818192089094</v>
      </c>
      <c r="AA2581" s="81"/>
      <c r="AB2581" s="81"/>
      <c r="AC2581" s="86" t="s">
        <v>13331</v>
      </c>
      <c r="AD2581" s="81"/>
      <c r="AE2581" s="81" t="b">
        <v>0</v>
      </c>
      <c r="AF2581" s="81">
        <v>1</v>
      </c>
      <c r="AG2581" s="86" t="s">
        <v>2084</v>
      </c>
      <c r="AH2581" s="81" t="b">
        <v>0</v>
      </c>
      <c r="AI2581" s="81" t="s">
        <v>2171</v>
      </c>
      <c r="AJ2581" s="81"/>
      <c r="AK2581" s="86" t="s">
        <v>2084</v>
      </c>
      <c r="AL2581" s="81" t="b">
        <v>0</v>
      </c>
      <c r="AM2581" s="81">
        <v>1</v>
      </c>
      <c r="AN2581" s="86" t="s">
        <v>2084</v>
      </c>
      <c r="AO2581" s="86" t="s">
        <v>2186</v>
      </c>
      <c r="AP2581" s="81" t="b">
        <v>0</v>
      </c>
      <c r="AQ2581" s="86" t="s">
        <v>13331</v>
      </c>
      <c r="AR2581" s="81" t="s">
        <v>179</v>
      </c>
      <c r="AS2581" s="81">
        <v>0</v>
      </c>
      <c r="AT2581" s="81">
        <v>0</v>
      </c>
      <c r="AU2581" s="81"/>
      <c r="AV2581" s="81"/>
      <c r="AW2581" s="81"/>
      <c r="AX2581" s="81"/>
      <c r="AY2581" s="81"/>
      <c r="AZ2581" s="81"/>
      <c r="BA2581" s="81"/>
      <c r="BB2581" s="81"/>
    </row>
    <row r="2582" spans="1:54" x14ac:dyDescent="0.35">
      <c r="A2582" s="66" t="s">
        <v>12649</v>
      </c>
      <c r="B2582" s="66" t="s">
        <v>12648</v>
      </c>
      <c r="C2582" s="67"/>
      <c r="D2582" s="68"/>
      <c r="E2582" s="69"/>
      <c r="F2582" s="70"/>
      <c r="G2582" s="67"/>
      <c r="H2582" s="71"/>
      <c r="I2582" s="72"/>
      <c r="J2582" s="72"/>
      <c r="K2582" s="36"/>
      <c r="L2582" s="79"/>
      <c r="M2582" s="79"/>
      <c r="N2582" s="74"/>
      <c r="O2582" s="81" t="s">
        <v>693</v>
      </c>
      <c r="P2582" s="83">
        <v>44469.115555555552</v>
      </c>
      <c r="Q2582" s="81" t="s">
        <v>12831</v>
      </c>
      <c r="R2582" s="84" t="str">
        <f>HYPERLINK("https://pt.euronews.com/2021/09/29/franca-acusa-britanicos-de-tomarem-pescadores-como-refens?utm_term=Autofeed&amp;utm_medium=Social&amp;utm_source=Twitter#Echobox=1632922784")</f>
        <v>https://pt.euronews.com/2021/09/29/franca-acusa-britanicos-de-tomarem-pescadores-como-refens?utm_term=Autofeed&amp;utm_medium=Social&amp;utm_source=Twitter#Echobox=1632922784</v>
      </c>
      <c r="S2582" s="81" t="s">
        <v>12860</v>
      </c>
      <c r="T2582" s="86" t="s">
        <v>12873</v>
      </c>
      <c r="U2582" s="81"/>
      <c r="V2582" s="84" t="str">
        <f>HYPERLINK("https://pbs.twimg.com/profile_images/761376416151826432/-Z5AT5mk_normal.jpg")</f>
        <v>https://pbs.twimg.com/profile_images/761376416151826432/-Z5AT5mk_normal.jpg</v>
      </c>
      <c r="W2582" s="83">
        <v>44469.115555555552</v>
      </c>
      <c r="X2582" s="89">
        <v>44469</v>
      </c>
      <c r="Y2582" s="86" t="s">
        <v>13090</v>
      </c>
      <c r="Z2582" s="84" t="str">
        <f>HYPERLINK("https://twitter.com/anamarchetti/status/1443406848443523077")</f>
        <v>https://twitter.com/anamarchetti/status/1443406848443523077</v>
      </c>
      <c r="AA2582" s="81"/>
      <c r="AB2582" s="81"/>
      <c r="AC2582" s="86" t="s">
        <v>13332</v>
      </c>
      <c r="AD2582" s="81"/>
      <c r="AE2582" s="81" t="b">
        <v>0</v>
      </c>
      <c r="AF2582" s="81">
        <v>0</v>
      </c>
      <c r="AG2582" s="86" t="s">
        <v>2084</v>
      </c>
      <c r="AH2582" s="81" t="b">
        <v>0</v>
      </c>
      <c r="AI2582" s="81" t="s">
        <v>2171</v>
      </c>
      <c r="AJ2582" s="81"/>
      <c r="AK2582" s="86" t="s">
        <v>2084</v>
      </c>
      <c r="AL2582" s="81" t="b">
        <v>0</v>
      </c>
      <c r="AM2582" s="81">
        <v>1</v>
      </c>
      <c r="AN2582" s="86" t="s">
        <v>13331</v>
      </c>
      <c r="AO2582" s="86" t="s">
        <v>2178</v>
      </c>
      <c r="AP2582" s="81" t="b">
        <v>0</v>
      </c>
      <c r="AQ2582" s="86" t="s">
        <v>13331</v>
      </c>
      <c r="AR2582" s="81" t="s">
        <v>179</v>
      </c>
      <c r="AS2582" s="81">
        <v>0</v>
      </c>
      <c r="AT2582" s="81">
        <v>0</v>
      </c>
      <c r="AU2582" s="81"/>
      <c r="AV2582" s="81"/>
      <c r="AW2582" s="81"/>
      <c r="AX2582" s="81"/>
      <c r="AY2582" s="81"/>
      <c r="AZ2582" s="81"/>
      <c r="BA2582" s="81"/>
      <c r="BB2582" s="81"/>
    </row>
    <row r="2583" spans="1:54" x14ac:dyDescent="0.35">
      <c r="A2583" s="66" t="s">
        <v>12650</v>
      </c>
      <c r="B2583" s="66" t="s">
        <v>12650</v>
      </c>
      <c r="C2583" s="67"/>
      <c r="D2583" s="68"/>
      <c r="E2583" s="69"/>
      <c r="F2583" s="70"/>
      <c r="G2583" s="67"/>
      <c r="H2583" s="71"/>
      <c r="I2583" s="72"/>
      <c r="J2583" s="72"/>
      <c r="K2583" s="36"/>
      <c r="L2583" s="79"/>
      <c r="M2583" s="79"/>
      <c r="N2583" s="74"/>
      <c r="O2583" s="81" t="s">
        <v>179</v>
      </c>
      <c r="P2583" s="83">
        <v>44469.040706018517</v>
      </c>
      <c r="Q2583" s="81" t="s">
        <v>12832</v>
      </c>
      <c r="R2583" s="84" t="str">
        <f>HYPERLINK("https://m.facebook.com/story.php?story_fbid=407343514088540&amp;id=100044386840817")</f>
        <v>https://m.facebook.com/story.php?story_fbid=407343514088540&amp;id=100044386840817</v>
      </c>
      <c r="S2583" s="81" t="s">
        <v>5715</v>
      </c>
      <c r="T2583" s="81"/>
      <c r="U2583" s="84" t="str">
        <f>HYPERLINK("https://pbs.twimg.com/media/FAfqLwBVQAMkNik.jpg")</f>
        <v>https://pbs.twimg.com/media/FAfqLwBVQAMkNik.jpg</v>
      </c>
      <c r="V2583" s="84" t="str">
        <f>HYPERLINK("https://pbs.twimg.com/media/FAfqLwBVQAMkNik.jpg")</f>
        <v>https://pbs.twimg.com/media/FAfqLwBVQAMkNik.jpg</v>
      </c>
      <c r="W2583" s="83">
        <v>44469.040706018517</v>
      </c>
      <c r="X2583" s="89">
        <v>44469</v>
      </c>
      <c r="Y2583" s="86" t="s">
        <v>13091</v>
      </c>
      <c r="Z2583" s="84" t="str">
        <f>HYPERLINK("https://twitter.com/hary_tanoe/status/1443379722910507011")</f>
        <v>https://twitter.com/hary_tanoe/status/1443379722910507011</v>
      </c>
      <c r="AA2583" s="81"/>
      <c r="AB2583" s="81"/>
      <c r="AC2583" s="86" t="s">
        <v>13333</v>
      </c>
      <c r="AD2583" s="81"/>
      <c r="AE2583" s="81" t="b">
        <v>0</v>
      </c>
      <c r="AF2583" s="81">
        <v>9</v>
      </c>
      <c r="AG2583" s="86" t="s">
        <v>2084</v>
      </c>
      <c r="AH2583" s="81" t="b">
        <v>0</v>
      </c>
      <c r="AI2583" s="81" t="s">
        <v>2167</v>
      </c>
      <c r="AJ2583" s="81"/>
      <c r="AK2583" s="86" t="s">
        <v>2084</v>
      </c>
      <c r="AL2583" s="81" t="b">
        <v>0</v>
      </c>
      <c r="AM2583" s="81">
        <v>1</v>
      </c>
      <c r="AN2583" s="86" t="s">
        <v>2084</v>
      </c>
      <c r="AO2583" s="86" t="s">
        <v>2178</v>
      </c>
      <c r="AP2583" s="81" t="b">
        <v>0</v>
      </c>
      <c r="AQ2583" s="86" t="s">
        <v>13333</v>
      </c>
      <c r="AR2583" s="81" t="s">
        <v>179</v>
      </c>
      <c r="AS2583" s="81">
        <v>0</v>
      </c>
      <c r="AT2583" s="81">
        <v>0</v>
      </c>
      <c r="AU2583" s="81"/>
      <c r="AV2583" s="81"/>
      <c r="AW2583" s="81"/>
      <c r="AX2583" s="81"/>
      <c r="AY2583" s="81"/>
      <c r="AZ2583" s="81"/>
      <c r="BA2583" s="81"/>
      <c r="BB2583" s="81"/>
    </row>
    <row r="2584" spans="1:54" x14ac:dyDescent="0.35">
      <c r="A2584" s="66" t="s">
        <v>12650</v>
      </c>
      <c r="B2584" s="66" t="s">
        <v>12650</v>
      </c>
      <c r="C2584" s="67"/>
      <c r="D2584" s="68"/>
      <c r="E2584" s="69"/>
      <c r="F2584" s="70"/>
      <c r="G2584" s="67"/>
      <c r="H2584" s="71"/>
      <c r="I2584" s="72"/>
      <c r="J2584" s="72"/>
      <c r="K2584" s="36"/>
      <c r="L2584" s="79"/>
      <c r="M2584" s="79"/>
      <c r="N2584" s="74"/>
      <c r="O2584" s="81" t="s">
        <v>179</v>
      </c>
      <c r="P2584" s="83">
        <v>44469.041643518518</v>
      </c>
      <c r="Q2584" s="81" t="s">
        <v>12833</v>
      </c>
      <c r="R2584" s="84" t="str">
        <f>HYPERLINK("https://m.facebook.com/story.php?story_fbid=407818180707740&amp;id=100044386840817")</f>
        <v>https://m.facebook.com/story.php?story_fbid=407818180707740&amp;id=100044386840817</v>
      </c>
      <c r="S2584" s="81" t="s">
        <v>5715</v>
      </c>
      <c r="T2584" s="81"/>
      <c r="U2584" s="81"/>
      <c r="V2584" s="84" t="str">
        <f>HYPERLINK("https://pbs.twimg.com/profile_images/468039168262549504/IMDAvsCA_normal.jpeg")</f>
        <v>https://pbs.twimg.com/profile_images/468039168262549504/IMDAvsCA_normal.jpeg</v>
      </c>
      <c r="W2584" s="83">
        <v>44469.041643518518</v>
      </c>
      <c r="X2584" s="89">
        <v>44469</v>
      </c>
      <c r="Y2584" s="86" t="s">
        <v>13092</v>
      </c>
      <c r="Z2584" s="84" t="str">
        <f>HYPERLINK("https://twitter.com/hary_tanoe/status/1443380062980435970")</f>
        <v>https://twitter.com/hary_tanoe/status/1443380062980435970</v>
      </c>
      <c r="AA2584" s="81"/>
      <c r="AB2584" s="81"/>
      <c r="AC2584" s="86" t="s">
        <v>13334</v>
      </c>
      <c r="AD2584" s="81"/>
      <c r="AE2584" s="81" t="b">
        <v>0</v>
      </c>
      <c r="AF2584" s="81">
        <v>6</v>
      </c>
      <c r="AG2584" s="86" t="s">
        <v>2084</v>
      </c>
      <c r="AH2584" s="81" t="b">
        <v>0</v>
      </c>
      <c r="AI2584" s="81" t="s">
        <v>2167</v>
      </c>
      <c r="AJ2584" s="81"/>
      <c r="AK2584" s="86" t="s">
        <v>2084</v>
      </c>
      <c r="AL2584" s="81" t="b">
        <v>0</v>
      </c>
      <c r="AM2584" s="81">
        <v>2</v>
      </c>
      <c r="AN2584" s="86" t="s">
        <v>2084</v>
      </c>
      <c r="AO2584" s="86" t="s">
        <v>2178</v>
      </c>
      <c r="AP2584" s="81" t="b">
        <v>0</v>
      </c>
      <c r="AQ2584" s="86" t="s">
        <v>13334</v>
      </c>
      <c r="AR2584" s="81" t="s">
        <v>179</v>
      </c>
      <c r="AS2584" s="81">
        <v>0</v>
      </c>
      <c r="AT2584" s="81">
        <v>0</v>
      </c>
      <c r="AU2584" s="81"/>
      <c r="AV2584" s="81"/>
      <c r="AW2584" s="81"/>
      <c r="AX2584" s="81"/>
      <c r="AY2584" s="81"/>
      <c r="AZ2584" s="81"/>
      <c r="BA2584" s="81"/>
      <c r="BB2584" s="81"/>
    </row>
    <row r="2585" spans="1:54" x14ac:dyDescent="0.35">
      <c r="A2585" s="66" t="s">
        <v>12651</v>
      </c>
      <c r="B2585" s="66" t="s">
        <v>12650</v>
      </c>
      <c r="C2585" s="67"/>
      <c r="D2585" s="68"/>
      <c r="E2585" s="69"/>
      <c r="F2585" s="70"/>
      <c r="G2585" s="67"/>
      <c r="H2585" s="71"/>
      <c r="I2585" s="72"/>
      <c r="J2585" s="72"/>
      <c r="K2585" s="36"/>
      <c r="L2585" s="79"/>
      <c r="M2585" s="79"/>
      <c r="N2585" s="74"/>
      <c r="O2585" s="81" t="s">
        <v>693</v>
      </c>
      <c r="P2585" s="83">
        <v>44469.109259259261</v>
      </c>
      <c r="Q2585" s="81" t="s">
        <v>12832</v>
      </c>
      <c r="R2585" s="84" t="str">
        <f>HYPERLINK("https://m.facebook.com/story.php?story_fbid=407343514088540&amp;id=100044386840817")</f>
        <v>https://m.facebook.com/story.php?story_fbid=407343514088540&amp;id=100044386840817</v>
      </c>
      <c r="S2585" s="81" t="s">
        <v>5715</v>
      </c>
      <c r="T2585" s="81"/>
      <c r="U2585" s="84" t="str">
        <f>HYPERLINK("https://pbs.twimg.com/media/FAfqLwBVQAMkNik.jpg")</f>
        <v>https://pbs.twimg.com/media/FAfqLwBVQAMkNik.jpg</v>
      </c>
      <c r="V2585" s="84" t="str">
        <f>HYPERLINK("https://pbs.twimg.com/media/FAfqLwBVQAMkNik.jpg")</f>
        <v>https://pbs.twimg.com/media/FAfqLwBVQAMkNik.jpg</v>
      </c>
      <c r="W2585" s="83">
        <v>44469.109259259261</v>
      </c>
      <c r="X2585" s="89">
        <v>44469</v>
      </c>
      <c r="Y2585" s="86" t="s">
        <v>13093</v>
      </c>
      <c r="Z2585" s="84" t="str">
        <f>HYPERLINK("https://twitter.com/lignummare/status/1443404568570712067")</f>
        <v>https://twitter.com/lignummare/status/1443404568570712067</v>
      </c>
      <c r="AA2585" s="81"/>
      <c r="AB2585" s="81"/>
      <c r="AC2585" s="86" t="s">
        <v>13335</v>
      </c>
      <c r="AD2585" s="81"/>
      <c r="AE2585" s="81" t="b">
        <v>0</v>
      </c>
      <c r="AF2585" s="81">
        <v>0</v>
      </c>
      <c r="AG2585" s="86" t="s">
        <v>2084</v>
      </c>
      <c r="AH2585" s="81" t="b">
        <v>0</v>
      </c>
      <c r="AI2585" s="81" t="s">
        <v>2167</v>
      </c>
      <c r="AJ2585" s="81"/>
      <c r="AK2585" s="86" t="s">
        <v>2084</v>
      </c>
      <c r="AL2585" s="81" t="b">
        <v>0</v>
      </c>
      <c r="AM2585" s="81">
        <v>1</v>
      </c>
      <c r="AN2585" s="86" t="s">
        <v>13333</v>
      </c>
      <c r="AO2585" s="86" t="s">
        <v>2178</v>
      </c>
      <c r="AP2585" s="81" t="b">
        <v>0</v>
      </c>
      <c r="AQ2585" s="86" t="s">
        <v>13333</v>
      </c>
      <c r="AR2585" s="81" t="s">
        <v>179</v>
      </c>
      <c r="AS2585" s="81">
        <v>0</v>
      </c>
      <c r="AT2585" s="81">
        <v>0</v>
      </c>
      <c r="AU2585" s="81"/>
      <c r="AV2585" s="81"/>
      <c r="AW2585" s="81"/>
      <c r="AX2585" s="81"/>
      <c r="AY2585" s="81"/>
      <c r="AZ2585" s="81"/>
      <c r="BA2585" s="81"/>
      <c r="BB2585" s="81"/>
    </row>
    <row r="2586" spans="1:54" x14ac:dyDescent="0.35">
      <c r="A2586" s="66" t="s">
        <v>12651</v>
      </c>
      <c r="B2586" s="66" t="s">
        <v>12650</v>
      </c>
      <c r="C2586" s="67"/>
      <c r="D2586" s="68"/>
      <c r="E2586" s="69"/>
      <c r="F2586" s="70"/>
      <c r="G2586" s="67"/>
      <c r="H2586" s="71"/>
      <c r="I2586" s="72"/>
      <c r="J2586" s="72"/>
      <c r="K2586" s="36"/>
      <c r="L2586" s="79"/>
      <c r="M2586" s="79"/>
      <c r="N2586" s="74"/>
      <c r="O2586" s="81" t="s">
        <v>693</v>
      </c>
      <c r="P2586" s="83">
        <v>44469.11582175926</v>
      </c>
      <c r="Q2586" s="81" t="s">
        <v>12833</v>
      </c>
      <c r="R2586" s="84" t="str">
        <f>HYPERLINK("https://m.facebook.com/story.php?story_fbid=407818180707740&amp;id=100044386840817")</f>
        <v>https://m.facebook.com/story.php?story_fbid=407818180707740&amp;id=100044386840817</v>
      </c>
      <c r="S2586" s="81" t="s">
        <v>5715</v>
      </c>
      <c r="T2586" s="81"/>
      <c r="U2586" s="81"/>
      <c r="V2586" s="84" t="str">
        <f>HYPERLINK("https://pbs.twimg.com/profile_images/1443406199152529408/e1e2c7KB_normal.jpg")</f>
        <v>https://pbs.twimg.com/profile_images/1443406199152529408/e1e2c7KB_normal.jpg</v>
      </c>
      <c r="W2586" s="83">
        <v>44469.11582175926</v>
      </c>
      <c r="X2586" s="89">
        <v>44469</v>
      </c>
      <c r="Y2586" s="86" t="s">
        <v>13094</v>
      </c>
      <c r="Z2586" s="84" t="str">
        <f>HYPERLINK("https://twitter.com/lignummare/status/1443406944283230212")</f>
        <v>https://twitter.com/lignummare/status/1443406944283230212</v>
      </c>
      <c r="AA2586" s="81"/>
      <c r="AB2586" s="81"/>
      <c r="AC2586" s="86" t="s">
        <v>13336</v>
      </c>
      <c r="AD2586" s="81"/>
      <c r="AE2586" s="81" t="b">
        <v>0</v>
      </c>
      <c r="AF2586" s="81">
        <v>0</v>
      </c>
      <c r="AG2586" s="86" t="s">
        <v>2084</v>
      </c>
      <c r="AH2586" s="81" t="b">
        <v>0</v>
      </c>
      <c r="AI2586" s="81" t="s">
        <v>2167</v>
      </c>
      <c r="AJ2586" s="81"/>
      <c r="AK2586" s="86" t="s">
        <v>2084</v>
      </c>
      <c r="AL2586" s="81" t="b">
        <v>0</v>
      </c>
      <c r="AM2586" s="81">
        <v>2</v>
      </c>
      <c r="AN2586" s="86" t="s">
        <v>13334</v>
      </c>
      <c r="AO2586" s="86" t="s">
        <v>2178</v>
      </c>
      <c r="AP2586" s="81" t="b">
        <v>0</v>
      </c>
      <c r="AQ2586" s="86" t="s">
        <v>13334</v>
      </c>
      <c r="AR2586" s="81" t="s">
        <v>179</v>
      </c>
      <c r="AS2586" s="81">
        <v>0</v>
      </c>
      <c r="AT2586" s="81">
        <v>0</v>
      </c>
      <c r="AU2586" s="81"/>
      <c r="AV2586" s="81"/>
      <c r="AW2586" s="81"/>
      <c r="AX2586" s="81"/>
      <c r="AY2586" s="81"/>
      <c r="AZ2586" s="81"/>
      <c r="BA2586" s="81"/>
      <c r="BB2586" s="81"/>
    </row>
    <row r="2587" spans="1:54" x14ac:dyDescent="0.35">
      <c r="A2587" s="66" t="s">
        <v>12652</v>
      </c>
      <c r="B2587" s="66" t="s">
        <v>12664</v>
      </c>
      <c r="C2587" s="67"/>
      <c r="D2587" s="68"/>
      <c r="E2587" s="69"/>
      <c r="F2587" s="70"/>
      <c r="G2587" s="67"/>
      <c r="H2587" s="71"/>
      <c r="I2587" s="72"/>
      <c r="J2587" s="72"/>
      <c r="K2587" s="36"/>
      <c r="L2587" s="79"/>
      <c r="M2587" s="79"/>
      <c r="N2587" s="74"/>
      <c r="O2587" s="81" t="s">
        <v>693</v>
      </c>
      <c r="P2587" s="83">
        <v>44469.118275462963</v>
      </c>
      <c r="Q2587" s="81" t="s">
        <v>12799</v>
      </c>
      <c r="R2587" s="81"/>
      <c r="S2587" s="81"/>
      <c r="T2587" s="86" t="s">
        <v>314</v>
      </c>
      <c r="U2587" s="84" t="str">
        <f>HYPERLINK("https://pbs.twimg.com/media/FAeEF_8UcAAAgih.jpg")</f>
        <v>https://pbs.twimg.com/media/FAeEF_8UcAAAgih.jpg</v>
      </c>
      <c r="V2587" s="84" t="str">
        <f>HYPERLINK("https://pbs.twimg.com/media/FAeEF_8UcAAAgih.jpg")</f>
        <v>https://pbs.twimg.com/media/FAeEF_8UcAAAgih.jpg</v>
      </c>
      <c r="W2587" s="83">
        <v>44469.118275462963</v>
      </c>
      <c r="X2587" s="89">
        <v>44469</v>
      </c>
      <c r="Y2587" s="86" t="s">
        <v>13095</v>
      </c>
      <c r="Z2587" s="84" t="str">
        <f>HYPERLINK("https://twitter.com/cinemjaem/status/1443407833706287112")</f>
        <v>https://twitter.com/cinemjaem/status/1443407833706287112</v>
      </c>
      <c r="AA2587" s="81"/>
      <c r="AB2587" s="81"/>
      <c r="AC2587" s="86" t="s">
        <v>13337</v>
      </c>
      <c r="AD2587" s="81"/>
      <c r="AE2587" s="81" t="b">
        <v>0</v>
      </c>
      <c r="AF2587" s="81">
        <v>0</v>
      </c>
      <c r="AG2587" s="86" t="s">
        <v>2084</v>
      </c>
      <c r="AH2587" s="81" t="b">
        <v>0</v>
      </c>
      <c r="AI2587" s="81" t="s">
        <v>2168</v>
      </c>
      <c r="AJ2587" s="81"/>
      <c r="AK2587" s="86" t="s">
        <v>2084</v>
      </c>
      <c r="AL2587" s="81" t="b">
        <v>0</v>
      </c>
      <c r="AM2587" s="81">
        <v>42</v>
      </c>
      <c r="AN2587" s="86" t="s">
        <v>13352</v>
      </c>
      <c r="AO2587" s="86" t="s">
        <v>2179</v>
      </c>
      <c r="AP2587" s="81" t="b">
        <v>0</v>
      </c>
      <c r="AQ2587" s="86" t="s">
        <v>13352</v>
      </c>
      <c r="AR2587" s="81" t="s">
        <v>179</v>
      </c>
      <c r="AS2587" s="81">
        <v>0</v>
      </c>
      <c r="AT2587" s="81">
        <v>0</v>
      </c>
      <c r="AU2587" s="81"/>
      <c r="AV2587" s="81"/>
      <c r="AW2587" s="81"/>
      <c r="AX2587" s="81"/>
      <c r="AY2587" s="81"/>
      <c r="AZ2587" s="81"/>
      <c r="BA2587" s="81"/>
      <c r="BB2587" s="81"/>
    </row>
    <row r="2588" spans="1:54" x14ac:dyDescent="0.35">
      <c r="A2588" s="66" t="s">
        <v>12653</v>
      </c>
      <c r="B2588" s="66" t="s">
        <v>12653</v>
      </c>
      <c r="C2588" s="67"/>
      <c r="D2588" s="68"/>
      <c r="E2588" s="69"/>
      <c r="F2588" s="70"/>
      <c r="G2588" s="67"/>
      <c r="H2588" s="71"/>
      <c r="I2588" s="72"/>
      <c r="J2588" s="72"/>
      <c r="K2588" s="36"/>
      <c r="L2588" s="79"/>
      <c r="M2588" s="79"/>
      <c r="N2588" s="74"/>
      <c r="O2588" s="81" t="s">
        <v>179</v>
      </c>
      <c r="P2588" s="83">
        <v>44469.120833333334</v>
      </c>
      <c r="Q2588" s="81" t="s">
        <v>12834</v>
      </c>
      <c r="R2588" s="81"/>
      <c r="S2588" s="81"/>
      <c r="T2588" s="81"/>
      <c r="U2588" s="84" t="str">
        <f>HYPERLINK("https://pbs.twimg.com/media/FAgEng9XIAARz79.jpg")</f>
        <v>https://pbs.twimg.com/media/FAgEng9XIAARz79.jpg</v>
      </c>
      <c r="V2588" s="84" t="str">
        <f>HYPERLINK("https://pbs.twimg.com/media/FAgEng9XIAARz79.jpg")</f>
        <v>https://pbs.twimg.com/media/FAgEng9XIAARz79.jpg</v>
      </c>
      <c r="W2588" s="83">
        <v>44469.120833333334</v>
      </c>
      <c r="X2588" s="89">
        <v>44469</v>
      </c>
      <c r="Y2588" s="86" t="s">
        <v>13096</v>
      </c>
      <c r="Z2588" s="84" t="str">
        <f>HYPERLINK("https://twitter.com/mintainfo1/status/1443408759351615494")</f>
        <v>https://twitter.com/mintainfo1/status/1443408759351615494</v>
      </c>
      <c r="AA2588" s="81"/>
      <c r="AB2588" s="81"/>
      <c r="AC2588" s="86" t="s">
        <v>13338</v>
      </c>
      <c r="AD2588" s="81"/>
      <c r="AE2588" s="81" t="b">
        <v>0</v>
      </c>
      <c r="AF2588" s="81">
        <v>0</v>
      </c>
      <c r="AG2588" s="86" t="s">
        <v>2084</v>
      </c>
      <c r="AH2588" s="81" t="b">
        <v>0</v>
      </c>
      <c r="AI2588" s="81" t="s">
        <v>2167</v>
      </c>
      <c r="AJ2588" s="81"/>
      <c r="AK2588" s="86" t="s">
        <v>2084</v>
      </c>
      <c r="AL2588" s="81" t="b">
        <v>0</v>
      </c>
      <c r="AM2588" s="81">
        <v>0</v>
      </c>
      <c r="AN2588" s="86" t="s">
        <v>2084</v>
      </c>
      <c r="AO2588" s="86" t="s">
        <v>2183</v>
      </c>
      <c r="AP2588" s="81" t="b">
        <v>0</v>
      </c>
      <c r="AQ2588" s="86" t="s">
        <v>13338</v>
      </c>
      <c r="AR2588" s="81" t="s">
        <v>179</v>
      </c>
      <c r="AS2588" s="81">
        <v>0</v>
      </c>
      <c r="AT2588" s="81">
        <v>0</v>
      </c>
      <c r="AU2588" s="81"/>
      <c r="AV2588" s="81"/>
      <c r="AW2588" s="81"/>
      <c r="AX2588" s="81"/>
      <c r="AY2588" s="81"/>
      <c r="AZ2588" s="81"/>
      <c r="BA2588" s="81"/>
      <c r="BB2588" s="81"/>
    </row>
    <row r="2589" spans="1:54" x14ac:dyDescent="0.35">
      <c r="A2589" s="66" t="s">
        <v>12654</v>
      </c>
      <c r="B2589" s="66" t="s">
        <v>12729</v>
      </c>
      <c r="C2589" s="67"/>
      <c r="D2589" s="68"/>
      <c r="E2589" s="69"/>
      <c r="F2589" s="70"/>
      <c r="G2589" s="67"/>
      <c r="H2589" s="71"/>
      <c r="I2589" s="72"/>
      <c r="J2589" s="72"/>
      <c r="K2589" s="36"/>
      <c r="L2589" s="79"/>
      <c r="M2589" s="79"/>
      <c r="N2589" s="74"/>
      <c r="O2589" s="81" t="s">
        <v>695</v>
      </c>
      <c r="P2589" s="83">
        <v>44469.123530092591</v>
      </c>
      <c r="Q2589" s="81" t="s">
        <v>12835</v>
      </c>
      <c r="R2589" s="81"/>
      <c r="S2589" s="81"/>
      <c r="T2589" s="81"/>
      <c r="U2589" s="81"/>
      <c r="V2589" s="84" t="str">
        <f>HYPERLINK("https://pbs.twimg.com/profile_images/1411661928041222147/SXMBA9--_normal.jpg")</f>
        <v>https://pbs.twimg.com/profile_images/1411661928041222147/SXMBA9--_normal.jpg</v>
      </c>
      <c r="W2589" s="83">
        <v>44469.123530092591</v>
      </c>
      <c r="X2589" s="89">
        <v>44469</v>
      </c>
      <c r="Y2589" s="86" t="s">
        <v>13097</v>
      </c>
      <c r="Z2589" s="84" t="str">
        <f>HYPERLINK("https://twitter.com/duualexandrejr/status/1443409737761099777")</f>
        <v>https://twitter.com/duualexandrejr/status/1443409737761099777</v>
      </c>
      <c r="AA2589" s="81"/>
      <c r="AB2589" s="81"/>
      <c r="AC2589" s="86" t="s">
        <v>13339</v>
      </c>
      <c r="AD2589" s="86" t="s">
        <v>13395</v>
      </c>
      <c r="AE2589" s="81" t="b">
        <v>0</v>
      </c>
      <c r="AF2589" s="81">
        <v>0</v>
      </c>
      <c r="AG2589" s="86" t="s">
        <v>13431</v>
      </c>
      <c r="AH2589" s="81" t="b">
        <v>0</v>
      </c>
      <c r="AI2589" s="81" t="s">
        <v>2171</v>
      </c>
      <c r="AJ2589" s="81"/>
      <c r="AK2589" s="86" t="s">
        <v>2084</v>
      </c>
      <c r="AL2589" s="81" t="b">
        <v>0</v>
      </c>
      <c r="AM2589" s="81">
        <v>0</v>
      </c>
      <c r="AN2589" s="86" t="s">
        <v>2084</v>
      </c>
      <c r="AO2589" s="86" t="s">
        <v>2179</v>
      </c>
      <c r="AP2589" s="81" t="b">
        <v>0</v>
      </c>
      <c r="AQ2589" s="86" t="s">
        <v>13395</v>
      </c>
      <c r="AR2589" s="81" t="s">
        <v>179</v>
      </c>
      <c r="AS2589" s="81">
        <v>0</v>
      </c>
      <c r="AT2589" s="81">
        <v>0</v>
      </c>
      <c r="AU2589" s="81"/>
      <c r="AV2589" s="81"/>
      <c r="AW2589" s="81"/>
      <c r="AX2589" s="81"/>
      <c r="AY2589" s="81"/>
      <c r="AZ2589" s="81"/>
      <c r="BA2589" s="81"/>
      <c r="BB2589" s="81"/>
    </row>
    <row r="2590" spans="1:54" x14ac:dyDescent="0.35">
      <c r="A2590" s="66" t="s">
        <v>12655</v>
      </c>
      <c r="B2590" s="66" t="s">
        <v>12664</v>
      </c>
      <c r="C2590" s="67"/>
      <c r="D2590" s="68"/>
      <c r="E2590" s="69"/>
      <c r="F2590" s="70"/>
      <c r="G2590" s="67"/>
      <c r="H2590" s="71"/>
      <c r="I2590" s="72"/>
      <c r="J2590" s="72"/>
      <c r="K2590" s="36"/>
      <c r="L2590" s="79"/>
      <c r="M2590" s="79"/>
      <c r="N2590" s="74"/>
      <c r="O2590" s="81" t="s">
        <v>693</v>
      </c>
      <c r="P2590" s="83">
        <v>44469.1330787037</v>
      </c>
      <c r="Q2590" s="81" t="s">
        <v>12799</v>
      </c>
      <c r="R2590" s="81"/>
      <c r="S2590" s="81"/>
      <c r="T2590" s="86" t="s">
        <v>314</v>
      </c>
      <c r="U2590" s="84" t="str">
        <f>HYPERLINK("https://pbs.twimg.com/media/FAeEF_8UcAAAgih.jpg")</f>
        <v>https://pbs.twimg.com/media/FAeEF_8UcAAAgih.jpg</v>
      </c>
      <c r="V2590" s="84" t="str">
        <f>HYPERLINK("https://pbs.twimg.com/media/FAeEF_8UcAAAgih.jpg")</f>
        <v>https://pbs.twimg.com/media/FAeEF_8UcAAAgih.jpg</v>
      </c>
      <c r="W2590" s="83">
        <v>44469.1330787037</v>
      </c>
      <c r="X2590" s="89">
        <v>44469</v>
      </c>
      <c r="Y2590" s="86" t="s">
        <v>13098</v>
      </c>
      <c r="Z2590" s="84" t="str">
        <f>HYPERLINK("https://twitter.com/frrznh/status/1443413197025734660")</f>
        <v>https://twitter.com/frrznh/status/1443413197025734660</v>
      </c>
      <c r="AA2590" s="81"/>
      <c r="AB2590" s="81"/>
      <c r="AC2590" s="86" t="s">
        <v>13340</v>
      </c>
      <c r="AD2590" s="81"/>
      <c r="AE2590" s="81" t="b">
        <v>0</v>
      </c>
      <c r="AF2590" s="81">
        <v>0</v>
      </c>
      <c r="AG2590" s="86" t="s">
        <v>2084</v>
      </c>
      <c r="AH2590" s="81" t="b">
        <v>0</v>
      </c>
      <c r="AI2590" s="81" t="s">
        <v>2168</v>
      </c>
      <c r="AJ2590" s="81"/>
      <c r="AK2590" s="86" t="s">
        <v>2084</v>
      </c>
      <c r="AL2590" s="81" t="b">
        <v>0</v>
      </c>
      <c r="AM2590" s="81">
        <v>42</v>
      </c>
      <c r="AN2590" s="86" t="s">
        <v>13352</v>
      </c>
      <c r="AO2590" s="86" t="s">
        <v>2178</v>
      </c>
      <c r="AP2590" s="81" t="b">
        <v>0</v>
      </c>
      <c r="AQ2590" s="86" t="s">
        <v>13352</v>
      </c>
      <c r="AR2590" s="81" t="s">
        <v>179</v>
      </c>
      <c r="AS2590" s="81">
        <v>0</v>
      </c>
      <c r="AT2590" s="81">
        <v>0</v>
      </c>
      <c r="AU2590" s="81"/>
      <c r="AV2590" s="81"/>
      <c r="AW2590" s="81"/>
      <c r="AX2590" s="81"/>
      <c r="AY2590" s="81"/>
      <c r="AZ2590" s="81"/>
      <c r="BA2590" s="81"/>
      <c r="BB2590" s="81"/>
    </row>
    <row r="2591" spans="1:54" x14ac:dyDescent="0.35">
      <c r="A2591" s="66" t="s">
        <v>4797</v>
      </c>
      <c r="B2591" s="66" t="s">
        <v>5085</v>
      </c>
      <c r="C2591" s="67"/>
      <c r="D2591" s="68"/>
      <c r="E2591" s="69"/>
      <c r="F2591" s="70"/>
      <c r="G2591" s="67"/>
      <c r="H2591" s="71"/>
      <c r="I2591" s="72"/>
      <c r="J2591" s="72"/>
      <c r="K2591" s="36"/>
      <c r="L2591" s="79"/>
      <c r="M2591" s="79"/>
      <c r="N2591" s="74"/>
      <c r="O2591" s="81" t="s">
        <v>695</v>
      </c>
      <c r="P2591" s="83">
        <v>44463.885821759257</v>
      </c>
      <c r="Q2591" s="81" t="s">
        <v>5435</v>
      </c>
      <c r="R259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2591" s="81" t="s">
        <v>5686</v>
      </c>
      <c r="T2591" s="81"/>
      <c r="U2591" s="81"/>
      <c r="V2591" s="84" t="str">
        <f>HYPERLINK("https://pbs.twimg.com/profile_images/759021393270931456/WYXH4uJU_normal.jpg")</f>
        <v>https://pbs.twimg.com/profile_images/759021393270931456/WYXH4uJU_normal.jpg</v>
      </c>
      <c r="W2591" s="83">
        <v>44463.885821759257</v>
      </c>
      <c r="X2591" s="89">
        <v>44463</v>
      </c>
      <c r="Y2591" s="86" t="s">
        <v>6441</v>
      </c>
      <c r="Z2591" s="84" t="str">
        <f>HYPERLINK("https://twitter.com/janainadobrasil/status/1441511656274661383")</f>
        <v>https://twitter.com/janainadobrasil/status/1441511656274661383</v>
      </c>
      <c r="AA2591" s="81"/>
      <c r="AB2591" s="81"/>
      <c r="AC2591" s="86" t="s">
        <v>7358</v>
      </c>
      <c r="AD2591" s="86" t="s">
        <v>7729</v>
      </c>
      <c r="AE2591" s="81" t="b">
        <v>0</v>
      </c>
      <c r="AF2591" s="81">
        <v>157</v>
      </c>
      <c r="AG2591" s="86" t="s">
        <v>7904</v>
      </c>
      <c r="AH2591" s="81" t="b">
        <v>0</v>
      </c>
      <c r="AI2591" s="81" t="s">
        <v>2173</v>
      </c>
      <c r="AJ2591" s="81"/>
      <c r="AK2591" s="86" t="s">
        <v>2084</v>
      </c>
      <c r="AL2591" s="81" t="b">
        <v>0</v>
      </c>
      <c r="AM2591" s="81">
        <v>21</v>
      </c>
      <c r="AN2591" s="86" t="s">
        <v>2084</v>
      </c>
      <c r="AO2591" s="86" t="s">
        <v>2178</v>
      </c>
      <c r="AP2591" s="81" t="b">
        <v>0</v>
      </c>
      <c r="AQ2591" s="86" t="s">
        <v>7729</v>
      </c>
      <c r="AR2591" s="81" t="s">
        <v>179</v>
      </c>
      <c r="AS2591" s="81">
        <v>0</v>
      </c>
      <c r="AT2591" s="81">
        <v>0</v>
      </c>
      <c r="AU2591" s="81"/>
      <c r="AV2591" s="81"/>
      <c r="AW2591" s="81"/>
      <c r="AX2591" s="81"/>
      <c r="AY2591" s="81"/>
      <c r="AZ2591" s="81"/>
      <c r="BA2591" s="81"/>
      <c r="BB2591" s="81"/>
    </row>
    <row r="2592" spans="1:54" x14ac:dyDescent="0.35">
      <c r="A2592" s="66" t="s">
        <v>12656</v>
      </c>
      <c r="B2592" s="66" t="s">
        <v>5085</v>
      </c>
      <c r="C2592" s="67"/>
      <c r="D2592" s="68"/>
      <c r="E2592" s="69"/>
      <c r="F2592" s="70"/>
      <c r="G2592" s="67"/>
      <c r="H2592" s="71"/>
      <c r="I2592" s="72"/>
      <c r="J2592" s="72"/>
      <c r="K2592" s="36"/>
      <c r="L2592" s="79"/>
      <c r="M2592" s="79"/>
      <c r="N2592" s="74"/>
      <c r="O2592" s="81" t="s">
        <v>695</v>
      </c>
      <c r="P2592" s="83">
        <v>44469.13994212963</v>
      </c>
      <c r="Q2592" s="81" t="s">
        <v>5435</v>
      </c>
      <c r="R2592"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2592" s="81" t="s">
        <v>5686</v>
      </c>
      <c r="T2592" s="81"/>
      <c r="U2592" s="81"/>
      <c r="V2592" s="84" t="str">
        <f>HYPERLINK("https://pbs.twimg.com/profile_images/1404289325106348032/JuM5d5K7_normal.jpg")</f>
        <v>https://pbs.twimg.com/profile_images/1404289325106348032/JuM5d5K7_normal.jpg</v>
      </c>
      <c r="W2592" s="83">
        <v>44469.13994212963</v>
      </c>
      <c r="X2592" s="89">
        <v>44469</v>
      </c>
      <c r="Y2592" s="86" t="s">
        <v>13099</v>
      </c>
      <c r="Z2592" s="84" t="str">
        <f>HYPERLINK("https://twitter.com/rosanaa80357793/status/1443415684009111553")</f>
        <v>https://twitter.com/rosanaa80357793/status/1443415684009111553</v>
      </c>
      <c r="AA2592" s="81"/>
      <c r="AB2592" s="81"/>
      <c r="AC2592" s="86" t="s">
        <v>13341</v>
      </c>
      <c r="AD2592" s="81"/>
      <c r="AE2592" s="81" t="b">
        <v>0</v>
      </c>
      <c r="AF2592" s="81">
        <v>0</v>
      </c>
      <c r="AG2592" s="86" t="s">
        <v>2084</v>
      </c>
      <c r="AH2592" s="81" t="b">
        <v>0</v>
      </c>
      <c r="AI2592" s="81" t="s">
        <v>2173</v>
      </c>
      <c r="AJ2592" s="81"/>
      <c r="AK2592" s="86" t="s">
        <v>2084</v>
      </c>
      <c r="AL2592" s="81" t="b">
        <v>0</v>
      </c>
      <c r="AM2592" s="81">
        <v>21</v>
      </c>
      <c r="AN2592" s="86" t="s">
        <v>7358</v>
      </c>
      <c r="AO2592" s="86" t="s">
        <v>2178</v>
      </c>
      <c r="AP2592" s="81" t="b">
        <v>0</v>
      </c>
      <c r="AQ2592" s="86" t="s">
        <v>7358</v>
      </c>
      <c r="AR2592" s="81" t="s">
        <v>179</v>
      </c>
      <c r="AS2592" s="81">
        <v>0</v>
      </c>
      <c r="AT2592" s="81">
        <v>0</v>
      </c>
      <c r="AU2592" s="81"/>
      <c r="AV2592" s="81"/>
      <c r="AW2592" s="81"/>
      <c r="AX2592" s="81"/>
      <c r="AY2592" s="81"/>
      <c r="AZ2592" s="81"/>
      <c r="BA2592" s="81"/>
      <c r="BB2592" s="81"/>
    </row>
    <row r="2593" spans="1:54" x14ac:dyDescent="0.35">
      <c r="A2593" s="66" t="s">
        <v>12656</v>
      </c>
      <c r="B2593" s="66" t="s">
        <v>4797</v>
      </c>
      <c r="C2593" s="67"/>
      <c r="D2593" s="68"/>
      <c r="E2593" s="69"/>
      <c r="F2593" s="70"/>
      <c r="G2593" s="67"/>
      <c r="H2593" s="71"/>
      <c r="I2593" s="72"/>
      <c r="J2593" s="72"/>
      <c r="K2593" s="36"/>
      <c r="L2593" s="79"/>
      <c r="M2593" s="79"/>
      <c r="N2593" s="74"/>
      <c r="O2593" s="81" t="s">
        <v>693</v>
      </c>
      <c r="P2593" s="83">
        <v>44469.13994212963</v>
      </c>
      <c r="Q2593" s="81" t="s">
        <v>5435</v>
      </c>
      <c r="R2593"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2593" s="81" t="s">
        <v>5686</v>
      </c>
      <c r="T2593" s="81"/>
      <c r="U2593" s="81"/>
      <c r="V2593" s="84" t="str">
        <f>HYPERLINK("https://pbs.twimg.com/profile_images/1404289325106348032/JuM5d5K7_normal.jpg")</f>
        <v>https://pbs.twimg.com/profile_images/1404289325106348032/JuM5d5K7_normal.jpg</v>
      </c>
      <c r="W2593" s="83">
        <v>44469.13994212963</v>
      </c>
      <c r="X2593" s="89">
        <v>44469</v>
      </c>
      <c r="Y2593" s="86" t="s">
        <v>13099</v>
      </c>
      <c r="Z2593" s="84" t="str">
        <f>HYPERLINK("https://twitter.com/rosanaa80357793/status/1443415684009111553")</f>
        <v>https://twitter.com/rosanaa80357793/status/1443415684009111553</v>
      </c>
      <c r="AA2593" s="81"/>
      <c r="AB2593" s="81"/>
      <c r="AC2593" s="86" t="s">
        <v>13341</v>
      </c>
      <c r="AD2593" s="81"/>
      <c r="AE2593" s="81" t="b">
        <v>0</v>
      </c>
      <c r="AF2593" s="81">
        <v>0</v>
      </c>
      <c r="AG2593" s="86" t="s">
        <v>2084</v>
      </c>
      <c r="AH2593" s="81" t="b">
        <v>0</v>
      </c>
      <c r="AI2593" s="81" t="s">
        <v>2173</v>
      </c>
      <c r="AJ2593" s="81"/>
      <c r="AK2593" s="86" t="s">
        <v>2084</v>
      </c>
      <c r="AL2593" s="81" t="b">
        <v>0</v>
      </c>
      <c r="AM2593" s="81">
        <v>21</v>
      </c>
      <c r="AN2593" s="86" t="s">
        <v>7358</v>
      </c>
      <c r="AO2593" s="86" t="s">
        <v>2178</v>
      </c>
      <c r="AP2593" s="81" t="b">
        <v>0</v>
      </c>
      <c r="AQ2593" s="86" t="s">
        <v>7358</v>
      </c>
      <c r="AR2593" s="81" t="s">
        <v>179</v>
      </c>
      <c r="AS2593" s="81">
        <v>0</v>
      </c>
      <c r="AT2593" s="81">
        <v>0</v>
      </c>
      <c r="AU2593" s="81"/>
      <c r="AV2593" s="81"/>
      <c r="AW2593" s="81"/>
      <c r="AX2593" s="81"/>
      <c r="AY2593" s="81"/>
      <c r="AZ2593" s="81"/>
      <c r="BA2593" s="81"/>
      <c r="BB2593" s="81"/>
    </row>
    <row r="2594" spans="1:54" x14ac:dyDescent="0.35">
      <c r="A2594" s="66" t="s">
        <v>12657</v>
      </c>
      <c r="B2594" s="66" t="s">
        <v>12657</v>
      </c>
      <c r="C2594" s="67"/>
      <c r="D2594" s="68"/>
      <c r="E2594" s="69"/>
      <c r="F2594" s="70"/>
      <c r="G2594" s="67"/>
      <c r="H2594" s="71"/>
      <c r="I2594" s="72"/>
      <c r="J2594" s="72"/>
      <c r="K2594" s="36"/>
      <c r="L2594" s="79"/>
      <c r="M2594" s="79"/>
      <c r="N2594" s="74"/>
      <c r="O2594" s="81" t="s">
        <v>179</v>
      </c>
      <c r="P2594" s="83">
        <v>44469.140057870369</v>
      </c>
      <c r="Q2594" s="81" t="s">
        <v>12836</v>
      </c>
      <c r="R2594" s="84" t="str">
        <f>HYPERLINK("https://shopee.com.my/product/190941413/6275475941?smtt=0.190944228-1632972009.9")</f>
        <v>https://shopee.com.my/product/190941413/6275475941?smtt=0.190944228-1632972009.9</v>
      </c>
      <c r="S2594" s="81" t="s">
        <v>12861</v>
      </c>
      <c r="T2594" s="81"/>
      <c r="U2594" s="81"/>
      <c r="V2594" s="84" t="str">
        <f>HYPERLINK("https://pbs.twimg.com/profile_images/1434861494106136577/h0LWOF7g_normal.jpg")</f>
        <v>https://pbs.twimg.com/profile_images/1434861494106136577/h0LWOF7g_normal.jpg</v>
      </c>
      <c r="W2594" s="83">
        <v>44469.140057870369</v>
      </c>
      <c r="X2594" s="89">
        <v>44469</v>
      </c>
      <c r="Y2594" s="86" t="s">
        <v>6654</v>
      </c>
      <c r="Z2594" s="84" t="str">
        <f>HYPERLINK("https://twitter.com/hellowawawax/status/1443415727499739142")</f>
        <v>https://twitter.com/hellowawawax/status/1443415727499739142</v>
      </c>
      <c r="AA2594" s="81"/>
      <c r="AB2594" s="81"/>
      <c r="AC2594" s="86" t="s">
        <v>13342</v>
      </c>
      <c r="AD2594" s="86" t="s">
        <v>13396</v>
      </c>
      <c r="AE2594" s="81" t="b">
        <v>0</v>
      </c>
      <c r="AF2594" s="81">
        <v>0</v>
      </c>
      <c r="AG2594" s="86" t="s">
        <v>13432</v>
      </c>
      <c r="AH2594" s="81" t="b">
        <v>0</v>
      </c>
      <c r="AI2594" s="81" t="s">
        <v>2167</v>
      </c>
      <c r="AJ2594" s="81"/>
      <c r="AK2594" s="86" t="s">
        <v>2084</v>
      </c>
      <c r="AL2594" s="81" t="b">
        <v>0</v>
      </c>
      <c r="AM2594" s="81">
        <v>0</v>
      </c>
      <c r="AN2594" s="86" t="s">
        <v>2084</v>
      </c>
      <c r="AO2594" s="86" t="s">
        <v>2178</v>
      </c>
      <c r="AP2594" s="81" t="b">
        <v>0</v>
      </c>
      <c r="AQ2594" s="86" t="s">
        <v>13396</v>
      </c>
      <c r="AR2594" s="81" t="s">
        <v>179</v>
      </c>
      <c r="AS2594" s="81">
        <v>0</v>
      </c>
      <c r="AT2594" s="81">
        <v>0</v>
      </c>
      <c r="AU2594" s="81"/>
      <c r="AV2594" s="81"/>
      <c r="AW2594" s="81"/>
      <c r="AX2594" s="81"/>
      <c r="AY2594" s="81"/>
      <c r="AZ2594" s="81"/>
      <c r="BA2594" s="81"/>
      <c r="BB2594" s="81"/>
    </row>
    <row r="2595" spans="1:54" x14ac:dyDescent="0.35">
      <c r="A2595" s="66" t="s">
        <v>4797</v>
      </c>
      <c r="B2595" s="66" t="s">
        <v>4797</v>
      </c>
      <c r="C2595" s="67"/>
      <c r="D2595" s="68"/>
      <c r="E2595" s="69"/>
      <c r="F2595" s="70"/>
      <c r="G2595" s="67"/>
      <c r="H2595" s="71"/>
      <c r="I2595" s="72"/>
      <c r="J2595" s="72"/>
      <c r="K2595" s="36"/>
      <c r="L2595" s="79"/>
      <c r="M2595" s="79"/>
      <c r="N2595" s="74"/>
      <c r="O2595" s="81" t="s">
        <v>179</v>
      </c>
      <c r="P2595" s="83">
        <v>44463.888287037036</v>
      </c>
      <c r="Q2595" s="84" t="str">
        <f>HYPERLINK("https://t.co/t5CziaW0dH")</f>
        <v>https://t.co/t5CziaW0dH</v>
      </c>
      <c r="R2595"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2595" s="81" t="s">
        <v>5686</v>
      </c>
      <c r="T2595" s="81"/>
      <c r="U2595" s="81"/>
      <c r="V2595" s="84" t="str">
        <f>HYPERLINK("https://pbs.twimg.com/profile_images/759021393270931456/WYXH4uJU_normal.jpg")</f>
        <v>https://pbs.twimg.com/profile_images/759021393270931456/WYXH4uJU_normal.jpg</v>
      </c>
      <c r="W2595" s="83">
        <v>44463.888287037036</v>
      </c>
      <c r="X2595" s="89">
        <v>44463</v>
      </c>
      <c r="Y2595" s="86" t="s">
        <v>6475</v>
      </c>
      <c r="Z2595" s="84" t="str">
        <f>HYPERLINK("https://twitter.com/janainadobrasil/status/1441512549296521217")</f>
        <v>https://twitter.com/janainadobrasil/status/1441512549296521217</v>
      </c>
      <c r="AA2595" s="81"/>
      <c r="AB2595" s="81"/>
      <c r="AC2595" s="86" t="s">
        <v>7395</v>
      </c>
      <c r="AD2595" s="81"/>
      <c r="AE2595" s="81" t="b">
        <v>0</v>
      </c>
      <c r="AF2595" s="81">
        <v>467</v>
      </c>
      <c r="AG2595" s="86" t="s">
        <v>2084</v>
      </c>
      <c r="AH2595" s="81" t="b">
        <v>0</v>
      </c>
      <c r="AI2595" s="81" t="s">
        <v>2173</v>
      </c>
      <c r="AJ2595" s="81"/>
      <c r="AK2595" s="86" t="s">
        <v>2084</v>
      </c>
      <c r="AL2595" s="81" t="b">
        <v>0</v>
      </c>
      <c r="AM2595" s="81">
        <v>50</v>
      </c>
      <c r="AN2595" s="86" t="s">
        <v>2084</v>
      </c>
      <c r="AO2595" s="86" t="s">
        <v>2178</v>
      </c>
      <c r="AP2595" s="81" t="b">
        <v>0</v>
      </c>
      <c r="AQ2595" s="86" t="s">
        <v>7395</v>
      </c>
      <c r="AR2595" s="81" t="s">
        <v>179</v>
      </c>
      <c r="AS2595" s="81">
        <v>0</v>
      </c>
      <c r="AT2595" s="81">
        <v>0</v>
      </c>
      <c r="AU2595" s="81"/>
      <c r="AV2595" s="81"/>
      <c r="AW2595" s="81"/>
      <c r="AX2595" s="81"/>
      <c r="AY2595" s="81"/>
      <c r="AZ2595" s="81"/>
      <c r="BA2595" s="81"/>
      <c r="BB2595" s="81"/>
    </row>
    <row r="2596" spans="1:54" x14ac:dyDescent="0.35">
      <c r="A2596" s="66" t="s">
        <v>12658</v>
      </c>
      <c r="B2596" s="66" t="s">
        <v>4797</v>
      </c>
      <c r="C2596" s="67"/>
      <c r="D2596" s="68"/>
      <c r="E2596" s="69"/>
      <c r="F2596" s="70"/>
      <c r="G2596" s="67"/>
      <c r="H2596" s="71"/>
      <c r="I2596" s="72"/>
      <c r="J2596" s="72"/>
      <c r="K2596" s="36"/>
      <c r="L2596" s="79"/>
      <c r="M2596" s="79"/>
      <c r="N2596" s="74"/>
      <c r="O2596" s="81" t="s">
        <v>696</v>
      </c>
      <c r="P2596" s="83">
        <v>44468.732546296298</v>
      </c>
      <c r="Q2596" s="81" t="s">
        <v>12837</v>
      </c>
      <c r="R2596" s="84" t="str">
        <f>HYPERLINK("https://www.gov.br/anvisa/pt-br/assuntos/noticias-anvisa/2021/anvisa-alerta-sobre-risco-de-miocardite-e-pericardite-pos-vacinacao")</f>
        <v>https://www.gov.br/anvisa/pt-br/assuntos/noticias-anvisa/2021/anvisa-alerta-sobre-risco-de-miocardite-e-pericardite-pos-vacinacao</v>
      </c>
      <c r="S2596" s="81" t="s">
        <v>5686</v>
      </c>
      <c r="T2596" s="81"/>
      <c r="U2596" s="81"/>
      <c r="V2596" s="84" t="str">
        <f>HYPERLINK("https://pbs.twimg.com/profile_images/1210458035614896128/7LSJSfDg_normal.jpg")</f>
        <v>https://pbs.twimg.com/profile_images/1210458035614896128/7LSJSfDg_normal.jpg</v>
      </c>
      <c r="W2596" s="83">
        <v>44468.732546296298</v>
      </c>
      <c r="X2596" s="89">
        <v>44468</v>
      </c>
      <c r="Y2596" s="86" t="s">
        <v>13100</v>
      </c>
      <c r="Z2596" s="84" t="str">
        <f>HYPERLINK("https://twitter.com/marlisilveira/status/1443268052368384002")</f>
        <v>https://twitter.com/marlisilveira/status/1443268052368384002</v>
      </c>
      <c r="AA2596" s="81"/>
      <c r="AB2596" s="81"/>
      <c r="AC2596" s="86" t="s">
        <v>13343</v>
      </c>
      <c r="AD2596" s="86" t="s">
        <v>13397</v>
      </c>
      <c r="AE2596" s="81" t="b">
        <v>0</v>
      </c>
      <c r="AF2596" s="81">
        <v>3</v>
      </c>
      <c r="AG2596" s="86" t="s">
        <v>13433</v>
      </c>
      <c r="AH2596" s="81" t="b">
        <v>0</v>
      </c>
      <c r="AI2596" s="81" t="s">
        <v>2171</v>
      </c>
      <c r="AJ2596" s="81"/>
      <c r="AK2596" s="86" t="s">
        <v>2084</v>
      </c>
      <c r="AL2596" s="81" t="b">
        <v>0</v>
      </c>
      <c r="AM2596" s="81">
        <v>1</v>
      </c>
      <c r="AN2596" s="86" t="s">
        <v>2084</v>
      </c>
      <c r="AO2596" s="86" t="s">
        <v>2181</v>
      </c>
      <c r="AP2596" s="81" t="b">
        <v>0</v>
      </c>
      <c r="AQ2596" s="86" t="s">
        <v>13397</v>
      </c>
      <c r="AR2596" s="81" t="s">
        <v>179</v>
      </c>
      <c r="AS2596" s="81">
        <v>0</v>
      </c>
      <c r="AT2596" s="81">
        <v>0</v>
      </c>
      <c r="AU2596" s="81"/>
      <c r="AV2596" s="81"/>
      <c r="AW2596" s="81"/>
      <c r="AX2596" s="81"/>
      <c r="AY2596" s="81"/>
      <c r="AZ2596" s="81"/>
      <c r="BA2596" s="81"/>
      <c r="BB2596" s="81"/>
    </row>
    <row r="2597" spans="1:54" x14ac:dyDescent="0.35">
      <c r="A2597" s="66" t="s">
        <v>12659</v>
      </c>
      <c r="B2597" s="66" t="s">
        <v>4797</v>
      </c>
      <c r="C2597" s="67"/>
      <c r="D2597" s="68"/>
      <c r="E2597" s="69"/>
      <c r="F2597" s="70"/>
      <c r="G2597" s="67"/>
      <c r="H2597" s="71"/>
      <c r="I2597" s="72"/>
      <c r="J2597" s="72"/>
      <c r="K2597" s="36"/>
      <c r="L2597" s="79"/>
      <c r="M2597" s="79"/>
      <c r="N2597" s="74"/>
      <c r="O2597" s="81" t="s">
        <v>694</v>
      </c>
      <c r="P2597" s="83">
        <v>44469.149155092593</v>
      </c>
      <c r="Q2597" s="81" t="s">
        <v>12837</v>
      </c>
      <c r="R2597" s="84" t="str">
        <f>HYPERLINK("https://www.gov.br/anvisa/pt-br/assuntos/noticias-anvisa/2021/anvisa-alerta-sobre-risco-de-miocardite-e-pericardite-pos-vacinacao")</f>
        <v>https://www.gov.br/anvisa/pt-br/assuntos/noticias-anvisa/2021/anvisa-alerta-sobre-risco-de-miocardite-e-pericardite-pos-vacinacao</v>
      </c>
      <c r="S2597" s="81" t="s">
        <v>5686</v>
      </c>
      <c r="T2597" s="81"/>
      <c r="U2597" s="81"/>
      <c r="V2597" s="84" t="str">
        <f>HYPERLINK("https://pbs.twimg.com/profile_images/1341141614564175872/sNxUMZcL_normal.jpg")</f>
        <v>https://pbs.twimg.com/profile_images/1341141614564175872/sNxUMZcL_normal.jpg</v>
      </c>
      <c r="W2597" s="83">
        <v>44469.149155092593</v>
      </c>
      <c r="X2597" s="89">
        <v>44469</v>
      </c>
      <c r="Y2597" s="86" t="s">
        <v>13101</v>
      </c>
      <c r="Z2597" s="84" t="str">
        <f>HYPERLINK("https://twitter.com/dorapereira2/status/1443419024357040128")</f>
        <v>https://twitter.com/dorapereira2/status/1443419024357040128</v>
      </c>
      <c r="AA2597" s="81"/>
      <c r="AB2597" s="81"/>
      <c r="AC2597" s="86" t="s">
        <v>13344</v>
      </c>
      <c r="AD2597" s="81"/>
      <c r="AE2597" s="81" t="b">
        <v>0</v>
      </c>
      <c r="AF2597" s="81">
        <v>0</v>
      </c>
      <c r="AG2597" s="86" t="s">
        <v>2084</v>
      </c>
      <c r="AH2597" s="81" t="b">
        <v>0</v>
      </c>
      <c r="AI2597" s="81" t="s">
        <v>2171</v>
      </c>
      <c r="AJ2597" s="81"/>
      <c r="AK2597" s="86" t="s">
        <v>2084</v>
      </c>
      <c r="AL2597" s="81" t="b">
        <v>0</v>
      </c>
      <c r="AM2597" s="81">
        <v>1</v>
      </c>
      <c r="AN2597" s="86" t="s">
        <v>13343</v>
      </c>
      <c r="AO2597" s="86" t="s">
        <v>2179</v>
      </c>
      <c r="AP2597" s="81" t="b">
        <v>0</v>
      </c>
      <c r="AQ2597" s="86" t="s">
        <v>13343</v>
      </c>
      <c r="AR2597" s="81" t="s">
        <v>179</v>
      </c>
      <c r="AS2597" s="81">
        <v>0</v>
      </c>
      <c r="AT2597" s="81">
        <v>0</v>
      </c>
      <c r="AU2597" s="81"/>
      <c r="AV2597" s="81"/>
      <c r="AW2597" s="81"/>
      <c r="AX2597" s="81"/>
      <c r="AY2597" s="81"/>
      <c r="AZ2597" s="81"/>
      <c r="BA2597" s="81"/>
      <c r="BB2597" s="81"/>
    </row>
    <row r="2598" spans="1:54" x14ac:dyDescent="0.35">
      <c r="A2598" s="66" t="s">
        <v>12658</v>
      </c>
      <c r="B2598" s="66" t="s">
        <v>12730</v>
      </c>
      <c r="C2598" s="67"/>
      <c r="D2598" s="68"/>
      <c r="E2598" s="69"/>
      <c r="F2598" s="70"/>
      <c r="G2598" s="67"/>
      <c r="H2598" s="71"/>
      <c r="I2598" s="72"/>
      <c r="J2598" s="72"/>
      <c r="K2598" s="36"/>
      <c r="L2598" s="79"/>
      <c r="M2598" s="79"/>
      <c r="N2598" s="74"/>
      <c r="O2598" s="81" t="s">
        <v>696</v>
      </c>
      <c r="P2598" s="83">
        <v>44468.732546296298</v>
      </c>
      <c r="Q2598" s="81" t="s">
        <v>12837</v>
      </c>
      <c r="R2598" s="84" t="str">
        <f>HYPERLINK("https://www.gov.br/anvisa/pt-br/assuntos/noticias-anvisa/2021/anvisa-alerta-sobre-risco-de-miocardite-e-pericardite-pos-vacinacao")</f>
        <v>https://www.gov.br/anvisa/pt-br/assuntos/noticias-anvisa/2021/anvisa-alerta-sobre-risco-de-miocardite-e-pericardite-pos-vacinacao</v>
      </c>
      <c r="S2598" s="81" t="s">
        <v>5686</v>
      </c>
      <c r="T2598" s="81"/>
      <c r="U2598" s="81"/>
      <c r="V2598" s="84" t="str">
        <f>HYPERLINK("https://pbs.twimg.com/profile_images/1210458035614896128/7LSJSfDg_normal.jpg")</f>
        <v>https://pbs.twimg.com/profile_images/1210458035614896128/7LSJSfDg_normal.jpg</v>
      </c>
      <c r="W2598" s="83">
        <v>44468.732546296298</v>
      </c>
      <c r="X2598" s="89">
        <v>44468</v>
      </c>
      <c r="Y2598" s="86" t="s">
        <v>13100</v>
      </c>
      <c r="Z2598" s="84" t="str">
        <f>HYPERLINK("https://twitter.com/marlisilveira/status/1443268052368384002")</f>
        <v>https://twitter.com/marlisilveira/status/1443268052368384002</v>
      </c>
      <c r="AA2598" s="81"/>
      <c r="AB2598" s="81"/>
      <c r="AC2598" s="86" t="s">
        <v>13343</v>
      </c>
      <c r="AD2598" s="86" t="s">
        <v>13397</v>
      </c>
      <c r="AE2598" s="81" t="b">
        <v>0</v>
      </c>
      <c r="AF2598" s="81">
        <v>3</v>
      </c>
      <c r="AG2598" s="86" t="s">
        <v>13433</v>
      </c>
      <c r="AH2598" s="81" t="b">
        <v>0</v>
      </c>
      <c r="AI2598" s="81" t="s">
        <v>2171</v>
      </c>
      <c r="AJ2598" s="81"/>
      <c r="AK2598" s="86" t="s">
        <v>2084</v>
      </c>
      <c r="AL2598" s="81" t="b">
        <v>0</v>
      </c>
      <c r="AM2598" s="81">
        <v>1</v>
      </c>
      <c r="AN2598" s="86" t="s">
        <v>2084</v>
      </c>
      <c r="AO2598" s="86" t="s">
        <v>2181</v>
      </c>
      <c r="AP2598" s="81" t="b">
        <v>0</v>
      </c>
      <c r="AQ2598" s="86" t="s">
        <v>13397</v>
      </c>
      <c r="AR2598" s="81" t="s">
        <v>179</v>
      </c>
      <c r="AS2598" s="81">
        <v>0</v>
      </c>
      <c r="AT2598" s="81">
        <v>0</v>
      </c>
      <c r="AU2598" s="81"/>
      <c r="AV2598" s="81"/>
      <c r="AW2598" s="81"/>
      <c r="AX2598" s="81"/>
      <c r="AY2598" s="81"/>
      <c r="AZ2598" s="81"/>
      <c r="BA2598" s="81"/>
      <c r="BB2598" s="81"/>
    </row>
    <row r="2599" spans="1:54" x14ac:dyDescent="0.35">
      <c r="A2599" s="66" t="s">
        <v>12659</v>
      </c>
      <c r="B2599" s="66" t="s">
        <v>12730</v>
      </c>
      <c r="C2599" s="67"/>
      <c r="D2599" s="68"/>
      <c r="E2599" s="69"/>
      <c r="F2599" s="70"/>
      <c r="G2599" s="67"/>
      <c r="H2599" s="71"/>
      <c r="I2599" s="72"/>
      <c r="J2599" s="72"/>
      <c r="K2599" s="36"/>
      <c r="L2599" s="79"/>
      <c r="M2599" s="79"/>
      <c r="N2599" s="74"/>
      <c r="O2599" s="81" t="s">
        <v>694</v>
      </c>
      <c r="P2599" s="83">
        <v>44469.149155092593</v>
      </c>
      <c r="Q2599" s="81" t="s">
        <v>12837</v>
      </c>
      <c r="R2599" s="84" t="str">
        <f>HYPERLINK("https://www.gov.br/anvisa/pt-br/assuntos/noticias-anvisa/2021/anvisa-alerta-sobre-risco-de-miocardite-e-pericardite-pos-vacinacao")</f>
        <v>https://www.gov.br/anvisa/pt-br/assuntos/noticias-anvisa/2021/anvisa-alerta-sobre-risco-de-miocardite-e-pericardite-pos-vacinacao</v>
      </c>
      <c r="S2599" s="81" t="s">
        <v>5686</v>
      </c>
      <c r="T2599" s="81"/>
      <c r="U2599" s="81"/>
      <c r="V2599" s="84" t="str">
        <f>HYPERLINK("https://pbs.twimg.com/profile_images/1341141614564175872/sNxUMZcL_normal.jpg")</f>
        <v>https://pbs.twimg.com/profile_images/1341141614564175872/sNxUMZcL_normal.jpg</v>
      </c>
      <c r="W2599" s="83">
        <v>44469.149155092593</v>
      </c>
      <c r="X2599" s="89">
        <v>44469</v>
      </c>
      <c r="Y2599" s="86" t="s">
        <v>13101</v>
      </c>
      <c r="Z2599" s="84" t="str">
        <f>HYPERLINK("https://twitter.com/dorapereira2/status/1443419024357040128")</f>
        <v>https://twitter.com/dorapereira2/status/1443419024357040128</v>
      </c>
      <c r="AA2599" s="81"/>
      <c r="AB2599" s="81"/>
      <c r="AC2599" s="86" t="s">
        <v>13344</v>
      </c>
      <c r="AD2599" s="81"/>
      <c r="AE2599" s="81" t="b">
        <v>0</v>
      </c>
      <c r="AF2599" s="81">
        <v>0</v>
      </c>
      <c r="AG2599" s="86" t="s">
        <v>2084</v>
      </c>
      <c r="AH2599" s="81" t="b">
        <v>0</v>
      </c>
      <c r="AI2599" s="81" t="s">
        <v>2171</v>
      </c>
      <c r="AJ2599" s="81"/>
      <c r="AK2599" s="86" t="s">
        <v>2084</v>
      </c>
      <c r="AL2599" s="81" t="b">
        <v>0</v>
      </c>
      <c r="AM2599" s="81">
        <v>1</v>
      </c>
      <c r="AN2599" s="86" t="s">
        <v>13343</v>
      </c>
      <c r="AO2599" s="86" t="s">
        <v>2179</v>
      </c>
      <c r="AP2599" s="81" t="b">
        <v>0</v>
      </c>
      <c r="AQ2599" s="86" t="s">
        <v>13343</v>
      </c>
      <c r="AR2599" s="81" t="s">
        <v>179</v>
      </c>
      <c r="AS2599" s="81">
        <v>0</v>
      </c>
      <c r="AT2599" s="81">
        <v>0</v>
      </c>
      <c r="AU2599" s="81"/>
      <c r="AV2599" s="81"/>
      <c r="AW2599" s="81"/>
      <c r="AX2599" s="81"/>
      <c r="AY2599" s="81"/>
      <c r="AZ2599" s="81"/>
      <c r="BA2599" s="81"/>
      <c r="BB2599" s="81"/>
    </row>
    <row r="2600" spans="1:54" x14ac:dyDescent="0.35">
      <c r="A2600" s="66" t="s">
        <v>12658</v>
      </c>
      <c r="B2600" s="66" t="s">
        <v>12731</v>
      </c>
      <c r="C2600" s="67"/>
      <c r="D2600" s="68"/>
      <c r="E2600" s="69"/>
      <c r="F2600" s="70"/>
      <c r="G2600" s="67"/>
      <c r="H2600" s="71"/>
      <c r="I2600" s="72"/>
      <c r="J2600" s="72"/>
      <c r="K2600" s="36"/>
      <c r="L2600" s="79"/>
      <c r="M2600" s="79"/>
      <c r="N2600" s="74"/>
      <c r="O2600" s="81" t="s">
        <v>695</v>
      </c>
      <c r="P2600" s="83">
        <v>44468.732546296298</v>
      </c>
      <c r="Q2600" s="81" t="s">
        <v>12837</v>
      </c>
      <c r="R2600" s="84" t="str">
        <f>HYPERLINK("https://www.gov.br/anvisa/pt-br/assuntos/noticias-anvisa/2021/anvisa-alerta-sobre-risco-de-miocardite-e-pericardite-pos-vacinacao")</f>
        <v>https://www.gov.br/anvisa/pt-br/assuntos/noticias-anvisa/2021/anvisa-alerta-sobre-risco-de-miocardite-e-pericardite-pos-vacinacao</v>
      </c>
      <c r="S2600" s="81" t="s">
        <v>5686</v>
      </c>
      <c r="T2600" s="81"/>
      <c r="U2600" s="81"/>
      <c r="V2600" s="84" t="str">
        <f>HYPERLINK("https://pbs.twimg.com/profile_images/1210458035614896128/7LSJSfDg_normal.jpg")</f>
        <v>https://pbs.twimg.com/profile_images/1210458035614896128/7LSJSfDg_normal.jpg</v>
      </c>
      <c r="W2600" s="83">
        <v>44468.732546296298</v>
      </c>
      <c r="X2600" s="89">
        <v>44468</v>
      </c>
      <c r="Y2600" s="86" t="s">
        <v>13100</v>
      </c>
      <c r="Z2600" s="84" t="str">
        <f>HYPERLINK("https://twitter.com/marlisilveira/status/1443268052368384002")</f>
        <v>https://twitter.com/marlisilveira/status/1443268052368384002</v>
      </c>
      <c r="AA2600" s="81"/>
      <c r="AB2600" s="81"/>
      <c r="AC2600" s="86" t="s">
        <v>13343</v>
      </c>
      <c r="AD2600" s="86" t="s">
        <v>13397</v>
      </c>
      <c r="AE2600" s="81" t="b">
        <v>0</v>
      </c>
      <c r="AF2600" s="81">
        <v>3</v>
      </c>
      <c r="AG2600" s="86" t="s">
        <v>13433</v>
      </c>
      <c r="AH2600" s="81" t="b">
        <v>0</v>
      </c>
      <c r="AI2600" s="81" t="s">
        <v>2171</v>
      </c>
      <c r="AJ2600" s="81"/>
      <c r="AK2600" s="86" t="s">
        <v>2084</v>
      </c>
      <c r="AL2600" s="81" t="b">
        <v>0</v>
      </c>
      <c r="AM2600" s="81">
        <v>1</v>
      </c>
      <c r="AN2600" s="86" t="s">
        <v>2084</v>
      </c>
      <c r="AO2600" s="86" t="s">
        <v>2181</v>
      </c>
      <c r="AP2600" s="81" t="b">
        <v>0</v>
      </c>
      <c r="AQ2600" s="86" t="s">
        <v>13397</v>
      </c>
      <c r="AR2600" s="81" t="s">
        <v>179</v>
      </c>
      <c r="AS2600" s="81">
        <v>0</v>
      </c>
      <c r="AT2600" s="81">
        <v>0</v>
      </c>
      <c r="AU2600" s="81"/>
      <c r="AV2600" s="81"/>
      <c r="AW2600" s="81"/>
      <c r="AX2600" s="81"/>
      <c r="AY2600" s="81"/>
      <c r="AZ2600" s="81"/>
      <c r="BA2600" s="81"/>
      <c r="BB2600" s="81"/>
    </row>
    <row r="2601" spans="1:54" x14ac:dyDescent="0.35">
      <c r="A2601" s="66" t="s">
        <v>12659</v>
      </c>
      <c r="B2601" s="66" t="s">
        <v>12658</v>
      </c>
      <c r="C2601" s="67"/>
      <c r="D2601" s="68"/>
      <c r="E2601" s="69"/>
      <c r="F2601" s="70"/>
      <c r="G2601" s="67"/>
      <c r="H2601" s="71"/>
      <c r="I2601" s="72"/>
      <c r="J2601" s="72"/>
      <c r="K2601" s="36"/>
      <c r="L2601" s="79"/>
      <c r="M2601" s="79"/>
      <c r="N2601" s="74"/>
      <c r="O2601" s="81" t="s">
        <v>693</v>
      </c>
      <c r="P2601" s="83">
        <v>44469.149155092593</v>
      </c>
      <c r="Q2601" s="81" t="s">
        <v>12837</v>
      </c>
      <c r="R2601" s="84" t="str">
        <f>HYPERLINK("https://www.gov.br/anvisa/pt-br/assuntos/noticias-anvisa/2021/anvisa-alerta-sobre-risco-de-miocardite-e-pericardite-pos-vacinacao")</f>
        <v>https://www.gov.br/anvisa/pt-br/assuntos/noticias-anvisa/2021/anvisa-alerta-sobre-risco-de-miocardite-e-pericardite-pos-vacinacao</v>
      </c>
      <c r="S2601" s="81" t="s">
        <v>5686</v>
      </c>
      <c r="T2601" s="81"/>
      <c r="U2601" s="81"/>
      <c r="V2601" s="84" t="str">
        <f>HYPERLINK("https://pbs.twimg.com/profile_images/1341141614564175872/sNxUMZcL_normal.jpg")</f>
        <v>https://pbs.twimg.com/profile_images/1341141614564175872/sNxUMZcL_normal.jpg</v>
      </c>
      <c r="W2601" s="83">
        <v>44469.149155092593</v>
      </c>
      <c r="X2601" s="89">
        <v>44469</v>
      </c>
      <c r="Y2601" s="86" t="s">
        <v>13101</v>
      </c>
      <c r="Z2601" s="84" t="str">
        <f>HYPERLINK("https://twitter.com/dorapereira2/status/1443419024357040128")</f>
        <v>https://twitter.com/dorapereira2/status/1443419024357040128</v>
      </c>
      <c r="AA2601" s="81"/>
      <c r="AB2601" s="81"/>
      <c r="AC2601" s="86" t="s">
        <v>13344</v>
      </c>
      <c r="AD2601" s="81"/>
      <c r="AE2601" s="81" t="b">
        <v>0</v>
      </c>
      <c r="AF2601" s="81">
        <v>0</v>
      </c>
      <c r="AG2601" s="86" t="s">
        <v>2084</v>
      </c>
      <c r="AH2601" s="81" t="b">
        <v>0</v>
      </c>
      <c r="AI2601" s="81" t="s">
        <v>2171</v>
      </c>
      <c r="AJ2601" s="81"/>
      <c r="AK2601" s="86" t="s">
        <v>2084</v>
      </c>
      <c r="AL2601" s="81" t="b">
        <v>0</v>
      </c>
      <c r="AM2601" s="81">
        <v>1</v>
      </c>
      <c r="AN2601" s="86" t="s">
        <v>13343</v>
      </c>
      <c r="AO2601" s="86" t="s">
        <v>2179</v>
      </c>
      <c r="AP2601" s="81" t="b">
        <v>0</v>
      </c>
      <c r="AQ2601" s="86" t="s">
        <v>13343</v>
      </c>
      <c r="AR2601" s="81" t="s">
        <v>179</v>
      </c>
      <c r="AS2601" s="81">
        <v>0</v>
      </c>
      <c r="AT2601" s="81">
        <v>0</v>
      </c>
      <c r="AU2601" s="81"/>
      <c r="AV2601" s="81"/>
      <c r="AW2601" s="81"/>
      <c r="AX2601" s="81"/>
      <c r="AY2601" s="81"/>
      <c r="AZ2601" s="81"/>
      <c r="BA2601" s="81"/>
      <c r="BB2601" s="81"/>
    </row>
    <row r="2602" spans="1:54" x14ac:dyDescent="0.35">
      <c r="A2602" s="66" t="s">
        <v>12659</v>
      </c>
      <c r="B2602" s="66" t="s">
        <v>12731</v>
      </c>
      <c r="C2602" s="67"/>
      <c r="D2602" s="68"/>
      <c r="E2602" s="69"/>
      <c r="F2602" s="70"/>
      <c r="G2602" s="67"/>
      <c r="H2602" s="71"/>
      <c r="I2602" s="72"/>
      <c r="J2602" s="72"/>
      <c r="K2602" s="36"/>
      <c r="L2602" s="79"/>
      <c r="M2602" s="79"/>
      <c r="N2602" s="74"/>
      <c r="O2602" s="81" t="s">
        <v>695</v>
      </c>
      <c r="P2602" s="83">
        <v>44469.149155092593</v>
      </c>
      <c r="Q2602" s="81" t="s">
        <v>12837</v>
      </c>
      <c r="R2602" s="84" t="str">
        <f>HYPERLINK("https://www.gov.br/anvisa/pt-br/assuntos/noticias-anvisa/2021/anvisa-alerta-sobre-risco-de-miocardite-e-pericardite-pos-vacinacao")</f>
        <v>https://www.gov.br/anvisa/pt-br/assuntos/noticias-anvisa/2021/anvisa-alerta-sobre-risco-de-miocardite-e-pericardite-pos-vacinacao</v>
      </c>
      <c r="S2602" s="81" t="s">
        <v>5686</v>
      </c>
      <c r="T2602" s="81"/>
      <c r="U2602" s="81"/>
      <c r="V2602" s="84" t="str">
        <f>HYPERLINK("https://pbs.twimg.com/profile_images/1341141614564175872/sNxUMZcL_normal.jpg")</f>
        <v>https://pbs.twimg.com/profile_images/1341141614564175872/sNxUMZcL_normal.jpg</v>
      </c>
      <c r="W2602" s="83">
        <v>44469.149155092593</v>
      </c>
      <c r="X2602" s="89">
        <v>44469</v>
      </c>
      <c r="Y2602" s="86" t="s">
        <v>13101</v>
      </c>
      <c r="Z2602" s="84" t="str">
        <f>HYPERLINK("https://twitter.com/dorapereira2/status/1443419024357040128")</f>
        <v>https://twitter.com/dorapereira2/status/1443419024357040128</v>
      </c>
      <c r="AA2602" s="81"/>
      <c r="AB2602" s="81"/>
      <c r="AC2602" s="86" t="s">
        <v>13344</v>
      </c>
      <c r="AD2602" s="81"/>
      <c r="AE2602" s="81" t="b">
        <v>0</v>
      </c>
      <c r="AF2602" s="81">
        <v>0</v>
      </c>
      <c r="AG2602" s="86" t="s">
        <v>2084</v>
      </c>
      <c r="AH2602" s="81" t="b">
        <v>0</v>
      </c>
      <c r="AI2602" s="81" t="s">
        <v>2171</v>
      </c>
      <c r="AJ2602" s="81"/>
      <c r="AK2602" s="86" t="s">
        <v>2084</v>
      </c>
      <c r="AL2602" s="81" t="b">
        <v>0</v>
      </c>
      <c r="AM2602" s="81">
        <v>1</v>
      </c>
      <c r="AN2602" s="86" t="s">
        <v>13343</v>
      </c>
      <c r="AO2602" s="86" t="s">
        <v>2179</v>
      </c>
      <c r="AP2602" s="81" t="b">
        <v>0</v>
      </c>
      <c r="AQ2602" s="86" t="s">
        <v>13343</v>
      </c>
      <c r="AR2602" s="81" t="s">
        <v>179</v>
      </c>
      <c r="AS2602" s="81">
        <v>0</v>
      </c>
      <c r="AT2602" s="81">
        <v>0</v>
      </c>
      <c r="AU2602" s="81"/>
      <c r="AV2602" s="81"/>
      <c r="AW2602" s="81"/>
      <c r="AX2602" s="81"/>
      <c r="AY2602" s="81"/>
      <c r="AZ2602" s="81"/>
      <c r="BA2602" s="81"/>
      <c r="BB2602" s="81"/>
    </row>
    <row r="2603" spans="1:54" x14ac:dyDescent="0.35">
      <c r="A2603" s="66" t="s">
        <v>12660</v>
      </c>
      <c r="B2603" s="66" t="s">
        <v>12732</v>
      </c>
      <c r="C2603" s="67"/>
      <c r="D2603" s="68"/>
      <c r="E2603" s="69"/>
      <c r="F2603" s="70"/>
      <c r="G2603" s="67"/>
      <c r="H2603" s="71"/>
      <c r="I2603" s="72"/>
      <c r="J2603" s="72"/>
      <c r="K2603" s="36"/>
      <c r="L2603" s="79"/>
      <c r="M2603" s="79"/>
      <c r="N2603" s="74"/>
      <c r="O2603" s="81" t="s">
        <v>696</v>
      </c>
      <c r="P2603" s="83">
        <v>44469.16138888889</v>
      </c>
      <c r="Q2603" s="81" t="s">
        <v>12838</v>
      </c>
      <c r="R2603" s="81"/>
      <c r="S2603" s="81"/>
      <c r="T2603" s="81"/>
      <c r="U2603" s="81"/>
      <c r="V2603" s="84" t="str">
        <f>HYPERLINK("https://pbs.twimg.com/profile_images/1402131563379191812/aL3FsZpw_normal.jpg")</f>
        <v>https://pbs.twimg.com/profile_images/1402131563379191812/aL3FsZpw_normal.jpg</v>
      </c>
      <c r="W2603" s="83">
        <v>44469.16138888889</v>
      </c>
      <c r="X2603" s="89">
        <v>44469</v>
      </c>
      <c r="Y2603" s="86" t="s">
        <v>13102</v>
      </c>
      <c r="Z2603" s="84" t="str">
        <f>HYPERLINK("https://twitter.com/gusticputra/status/1443423456997961728")</f>
        <v>https://twitter.com/gusticputra/status/1443423456997961728</v>
      </c>
      <c r="AA2603" s="81"/>
      <c r="AB2603" s="81"/>
      <c r="AC2603" s="86" t="s">
        <v>13345</v>
      </c>
      <c r="AD2603" s="81"/>
      <c r="AE2603" s="81" t="b">
        <v>0</v>
      </c>
      <c r="AF2603" s="81">
        <v>0</v>
      </c>
      <c r="AG2603" s="86" t="s">
        <v>13434</v>
      </c>
      <c r="AH2603" s="81" t="b">
        <v>0</v>
      </c>
      <c r="AI2603" s="81" t="s">
        <v>2167</v>
      </c>
      <c r="AJ2603" s="81"/>
      <c r="AK2603" s="86" t="s">
        <v>2084</v>
      </c>
      <c r="AL2603" s="81" t="b">
        <v>0</v>
      </c>
      <c r="AM2603" s="81">
        <v>0</v>
      </c>
      <c r="AN2603" s="86" t="s">
        <v>2084</v>
      </c>
      <c r="AO2603" s="86" t="s">
        <v>2179</v>
      </c>
      <c r="AP2603" s="81" t="b">
        <v>0</v>
      </c>
      <c r="AQ2603" s="86" t="s">
        <v>13345</v>
      </c>
      <c r="AR2603" s="81" t="s">
        <v>179</v>
      </c>
      <c r="AS2603" s="81">
        <v>0</v>
      </c>
      <c r="AT2603" s="81">
        <v>0</v>
      </c>
      <c r="AU2603" s="81"/>
      <c r="AV2603" s="81"/>
      <c r="AW2603" s="81"/>
      <c r="AX2603" s="81"/>
      <c r="AY2603" s="81"/>
      <c r="AZ2603" s="81"/>
      <c r="BA2603" s="81"/>
      <c r="BB2603" s="81"/>
    </row>
    <row r="2604" spans="1:54" x14ac:dyDescent="0.35">
      <c r="A2604" s="66" t="s">
        <v>12660</v>
      </c>
      <c r="B2604" s="66" t="s">
        <v>12733</v>
      </c>
      <c r="C2604" s="67"/>
      <c r="D2604" s="68"/>
      <c r="E2604" s="69"/>
      <c r="F2604" s="70"/>
      <c r="G2604" s="67"/>
      <c r="H2604" s="71"/>
      <c r="I2604" s="72"/>
      <c r="J2604" s="72"/>
      <c r="K2604" s="36"/>
      <c r="L2604" s="79"/>
      <c r="M2604" s="79"/>
      <c r="N2604" s="74"/>
      <c r="O2604" s="81" t="s">
        <v>695</v>
      </c>
      <c r="P2604" s="83">
        <v>44469.16138888889</v>
      </c>
      <c r="Q2604" s="81" t="s">
        <v>12838</v>
      </c>
      <c r="R2604" s="81"/>
      <c r="S2604" s="81"/>
      <c r="T2604" s="81"/>
      <c r="U2604" s="81"/>
      <c r="V2604" s="84" t="str">
        <f>HYPERLINK("https://pbs.twimg.com/profile_images/1402131563379191812/aL3FsZpw_normal.jpg")</f>
        <v>https://pbs.twimg.com/profile_images/1402131563379191812/aL3FsZpw_normal.jpg</v>
      </c>
      <c r="W2604" s="83">
        <v>44469.16138888889</v>
      </c>
      <c r="X2604" s="89">
        <v>44469</v>
      </c>
      <c r="Y2604" s="86" t="s">
        <v>13102</v>
      </c>
      <c r="Z2604" s="84" t="str">
        <f>HYPERLINK("https://twitter.com/gusticputra/status/1443423456997961728")</f>
        <v>https://twitter.com/gusticputra/status/1443423456997961728</v>
      </c>
      <c r="AA2604" s="81"/>
      <c r="AB2604" s="81"/>
      <c r="AC2604" s="86" t="s">
        <v>13345</v>
      </c>
      <c r="AD2604" s="81"/>
      <c r="AE2604" s="81" t="b">
        <v>0</v>
      </c>
      <c r="AF2604" s="81">
        <v>0</v>
      </c>
      <c r="AG2604" s="86" t="s">
        <v>13434</v>
      </c>
      <c r="AH2604" s="81" t="b">
        <v>0</v>
      </c>
      <c r="AI2604" s="81" t="s">
        <v>2167</v>
      </c>
      <c r="AJ2604" s="81"/>
      <c r="AK2604" s="86" t="s">
        <v>2084</v>
      </c>
      <c r="AL2604" s="81" t="b">
        <v>0</v>
      </c>
      <c r="AM2604" s="81">
        <v>0</v>
      </c>
      <c r="AN2604" s="86" t="s">
        <v>2084</v>
      </c>
      <c r="AO2604" s="86" t="s">
        <v>2179</v>
      </c>
      <c r="AP2604" s="81" t="b">
        <v>0</v>
      </c>
      <c r="AQ2604" s="86" t="s">
        <v>13345</v>
      </c>
      <c r="AR2604" s="81" t="s">
        <v>179</v>
      </c>
      <c r="AS2604" s="81">
        <v>0</v>
      </c>
      <c r="AT2604" s="81">
        <v>0</v>
      </c>
      <c r="AU2604" s="81"/>
      <c r="AV2604" s="81"/>
      <c r="AW2604" s="81"/>
      <c r="AX2604" s="81"/>
      <c r="AY2604" s="81"/>
      <c r="AZ2604" s="81"/>
      <c r="BA2604" s="81"/>
      <c r="BB2604" s="81"/>
    </row>
    <row r="2605" spans="1:54" x14ac:dyDescent="0.35">
      <c r="A2605" s="66" t="s">
        <v>12661</v>
      </c>
      <c r="B2605" s="66" t="s">
        <v>12734</v>
      </c>
      <c r="C2605" s="67"/>
      <c r="D2605" s="68"/>
      <c r="E2605" s="69"/>
      <c r="F2605" s="70"/>
      <c r="G2605" s="67"/>
      <c r="H2605" s="71"/>
      <c r="I2605" s="72"/>
      <c r="J2605" s="72"/>
      <c r="K2605" s="36"/>
      <c r="L2605" s="79"/>
      <c r="M2605" s="79"/>
      <c r="N2605" s="74"/>
      <c r="O2605" s="81" t="s">
        <v>695</v>
      </c>
      <c r="P2605" s="83">
        <v>44469.162997685184</v>
      </c>
      <c r="Q2605" s="81" t="s">
        <v>12839</v>
      </c>
      <c r="R2605" s="81"/>
      <c r="S2605" s="81"/>
      <c r="T2605" s="81"/>
      <c r="U2605" s="81"/>
      <c r="V2605" s="84" t="str">
        <f>HYPERLINK("https://pbs.twimg.com/profile_images/1358771272654614530/I_CwXrZ7_normal.jpg")</f>
        <v>https://pbs.twimg.com/profile_images/1358771272654614530/I_CwXrZ7_normal.jpg</v>
      </c>
      <c r="W2605" s="83">
        <v>44469.162997685184</v>
      </c>
      <c r="X2605" s="89">
        <v>44469</v>
      </c>
      <c r="Y2605" s="86" t="s">
        <v>13103</v>
      </c>
      <c r="Z2605" s="84" t="str">
        <f>HYPERLINK("https://twitter.com/stefanusdians/status/1443424042191495176")</f>
        <v>https://twitter.com/stefanusdians/status/1443424042191495176</v>
      </c>
      <c r="AA2605" s="81"/>
      <c r="AB2605" s="81"/>
      <c r="AC2605" s="86" t="s">
        <v>13346</v>
      </c>
      <c r="AD2605" s="86" t="s">
        <v>13398</v>
      </c>
      <c r="AE2605" s="81" t="b">
        <v>0</v>
      </c>
      <c r="AF2605" s="81">
        <v>0</v>
      </c>
      <c r="AG2605" s="86" t="s">
        <v>13435</v>
      </c>
      <c r="AH2605" s="81" t="b">
        <v>0</v>
      </c>
      <c r="AI2605" s="81" t="s">
        <v>2167</v>
      </c>
      <c r="AJ2605" s="81"/>
      <c r="AK2605" s="86" t="s">
        <v>2084</v>
      </c>
      <c r="AL2605" s="81" t="b">
        <v>0</v>
      </c>
      <c r="AM2605" s="81">
        <v>0</v>
      </c>
      <c r="AN2605" s="86" t="s">
        <v>2084</v>
      </c>
      <c r="AO2605" s="86" t="s">
        <v>2178</v>
      </c>
      <c r="AP2605" s="81" t="b">
        <v>0</v>
      </c>
      <c r="AQ2605" s="86" t="s">
        <v>13398</v>
      </c>
      <c r="AR2605" s="81" t="s">
        <v>179</v>
      </c>
      <c r="AS2605" s="81">
        <v>0</v>
      </c>
      <c r="AT2605" s="81">
        <v>0</v>
      </c>
      <c r="AU2605" s="81" t="s">
        <v>13449</v>
      </c>
      <c r="AV2605" s="81" t="s">
        <v>2202</v>
      </c>
      <c r="AW2605" s="81" t="s">
        <v>12</v>
      </c>
      <c r="AX2605" s="81" t="s">
        <v>3716</v>
      </c>
      <c r="AY2605" s="81" t="s">
        <v>13456</v>
      </c>
      <c r="AZ2605" s="81" t="s">
        <v>13459</v>
      </c>
      <c r="BA2605" s="81" t="s">
        <v>2212</v>
      </c>
      <c r="BB2605" s="84" t="str">
        <f>HYPERLINK("https://api.twitter.com/1.1/geo/id/cfa79d6dc1e95750.json")</f>
        <v>https://api.twitter.com/1.1/geo/id/cfa79d6dc1e95750.json</v>
      </c>
    </row>
    <row r="2606" spans="1:54" x14ac:dyDescent="0.35">
      <c r="A2606" s="66" t="s">
        <v>4460</v>
      </c>
      <c r="B2606" s="66" t="s">
        <v>4460</v>
      </c>
      <c r="C2606" s="67"/>
      <c r="D2606" s="68"/>
      <c r="E2606" s="69"/>
      <c r="F2606" s="70"/>
      <c r="G2606" s="67"/>
      <c r="H2606" s="71"/>
      <c r="I2606" s="72"/>
      <c r="J2606" s="72"/>
      <c r="K2606" s="36"/>
      <c r="L2606" s="79"/>
      <c r="M2606" s="79"/>
      <c r="N2606" s="74"/>
      <c r="O2606" s="81" t="s">
        <v>179</v>
      </c>
      <c r="P2606" s="83">
        <v>44450.571157407408</v>
      </c>
      <c r="Q2606" s="81" t="s">
        <v>5440</v>
      </c>
      <c r="R2606" s="81"/>
      <c r="S2606" s="81"/>
      <c r="T2606" s="81"/>
      <c r="U2606" s="84" t="str">
        <f>HYPERLINK("https://pbs.twimg.com/media/E_AimDdUUAAknb9.jpg")</f>
        <v>https://pbs.twimg.com/media/E_AimDdUUAAknb9.jpg</v>
      </c>
      <c r="V2606" s="84" t="str">
        <f>HYPERLINK("https://pbs.twimg.com/media/E_AimDdUUAAknb9.jpg")</f>
        <v>https://pbs.twimg.com/media/E_AimDdUUAAknb9.jpg</v>
      </c>
      <c r="W2606" s="83">
        <v>44450.571157407408</v>
      </c>
      <c r="X2606" s="89">
        <v>44450</v>
      </c>
      <c r="Y2606" s="86" t="s">
        <v>6098</v>
      </c>
      <c r="Z2606" s="84" t="str">
        <f>HYPERLINK("https://twitter.com/ditpamobvit_btn/status/1436686583554473994")</f>
        <v>https://twitter.com/ditpamobvit_btn/status/1436686583554473994</v>
      </c>
      <c r="AA2606" s="81"/>
      <c r="AB2606" s="81"/>
      <c r="AC2606" s="86" t="s">
        <v>7003</v>
      </c>
      <c r="AD2606" s="81"/>
      <c r="AE2606" s="81" t="b">
        <v>0</v>
      </c>
      <c r="AF2606" s="81">
        <v>1</v>
      </c>
      <c r="AG2606" s="86" t="s">
        <v>2084</v>
      </c>
      <c r="AH2606" s="81" t="b">
        <v>0</v>
      </c>
      <c r="AI2606" s="81" t="s">
        <v>2167</v>
      </c>
      <c r="AJ2606" s="81"/>
      <c r="AK2606" s="86" t="s">
        <v>2084</v>
      </c>
      <c r="AL2606" s="81" t="b">
        <v>0</v>
      </c>
      <c r="AM2606" s="81">
        <v>1</v>
      </c>
      <c r="AN2606" s="86" t="s">
        <v>2084</v>
      </c>
      <c r="AO2606" s="86" t="s">
        <v>2181</v>
      </c>
      <c r="AP2606" s="81" t="b">
        <v>0</v>
      </c>
      <c r="AQ2606" s="86" t="s">
        <v>7003</v>
      </c>
      <c r="AR2606" s="81" t="s">
        <v>693</v>
      </c>
      <c r="AS2606" s="81">
        <v>0</v>
      </c>
      <c r="AT2606" s="81">
        <v>0</v>
      </c>
      <c r="AU2606" s="81"/>
      <c r="AV2606" s="81"/>
      <c r="AW2606" s="81"/>
      <c r="AX2606" s="81"/>
      <c r="AY2606" s="81"/>
      <c r="AZ2606" s="81"/>
      <c r="BA2606" s="81"/>
      <c r="BB2606" s="81"/>
    </row>
    <row r="2607" spans="1:54" x14ac:dyDescent="0.35">
      <c r="A2607" s="66" t="s">
        <v>4460</v>
      </c>
      <c r="B2607" s="66" t="s">
        <v>4460</v>
      </c>
      <c r="C2607" s="67"/>
      <c r="D2607" s="68"/>
      <c r="E2607" s="69"/>
      <c r="F2607" s="70"/>
      <c r="G2607" s="67"/>
      <c r="H2607" s="71"/>
      <c r="I2607" s="72"/>
      <c r="J2607" s="72"/>
      <c r="K2607" s="36"/>
      <c r="L2607" s="79"/>
      <c r="M2607" s="79"/>
      <c r="N2607" s="74"/>
      <c r="O2607" s="81" t="s">
        <v>179</v>
      </c>
      <c r="P2607" s="83">
        <v>44448.205243055556</v>
      </c>
      <c r="Q2607" s="81" t="s">
        <v>5441</v>
      </c>
      <c r="R2607" s="81"/>
      <c r="S2607" s="81"/>
      <c r="T2607" s="81"/>
      <c r="U2607" s="84" t="str">
        <f>HYPERLINK("https://pbs.twimg.com/media/E-0W7DgVkAAS5RT.jpg")</f>
        <v>https://pbs.twimg.com/media/E-0W7DgVkAAS5RT.jpg</v>
      </c>
      <c r="V2607" s="84" t="str">
        <f>HYPERLINK("https://pbs.twimg.com/media/E-0W7DgVkAAS5RT.jpg")</f>
        <v>https://pbs.twimg.com/media/E-0W7DgVkAAS5RT.jpg</v>
      </c>
      <c r="W2607" s="83">
        <v>44448.205243055556</v>
      </c>
      <c r="X2607" s="89">
        <v>44448</v>
      </c>
      <c r="Y2607" s="86" t="s">
        <v>6099</v>
      </c>
      <c r="Z2607" s="84" t="str">
        <f>HYPERLINK("https://twitter.com/ditpamobvit_btn/status/1435829204168310786")</f>
        <v>https://twitter.com/ditpamobvit_btn/status/1435829204168310786</v>
      </c>
      <c r="AA2607" s="81"/>
      <c r="AB2607" s="81"/>
      <c r="AC2607" s="86" t="s">
        <v>7004</v>
      </c>
      <c r="AD2607" s="81"/>
      <c r="AE2607" s="81" t="b">
        <v>0</v>
      </c>
      <c r="AF2607" s="81">
        <v>1</v>
      </c>
      <c r="AG2607" s="86" t="s">
        <v>2084</v>
      </c>
      <c r="AH2607" s="81" t="b">
        <v>0</v>
      </c>
      <c r="AI2607" s="81" t="s">
        <v>2167</v>
      </c>
      <c r="AJ2607" s="81"/>
      <c r="AK2607" s="86" t="s">
        <v>2084</v>
      </c>
      <c r="AL2607" s="81" t="b">
        <v>0</v>
      </c>
      <c r="AM2607" s="81">
        <v>1</v>
      </c>
      <c r="AN2607" s="86" t="s">
        <v>2084</v>
      </c>
      <c r="AO2607" s="86" t="s">
        <v>2181</v>
      </c>
      <c r="AP2607" s="81" t="b">
        <v>0</v>
      </c>
      <c r="AQ2607" s="86" t="s">
        <v>7004</v>
      </c>
      <c r="AR2607" s="81" t="s">
        <v>693</v>
      </c>
      <c r="AS2607" s="81">
        <v>0</v>
      </c>
      <c r="AT2607" s="81">
        <v>0</v>
      </c>
      <c r="AU2607" s="81"/>
      <c r="AV2607" s="81"/>
      <c r="AW2607" s="81"/>
      <c r="AX2607" s="81"/>
      <c r="AY2607" s="81"/>
      <c r="AZ2607" s="81"/>
      <c r="BA2607" s="81"/>
      <c r="BB2607" s="81"/>
    </row>
    <row r="2608" spans="1:54" x14ac:dyDescent="0.35">
      <c r="A2608" s="66" t="s">
        <v>4460</v>
      </c>
      <c r="B2608" s="66" t="s">
        <v>4460</v>
      </c>
      <c r="C2608" s="67"/>
      <c r="D2608" s="68"/>
      <c r="E2608" s="69"/>
      <c r="F2608" s="70"/>
      <c r="G2608" s="67"/>
      <c r="H2608" s="71"/>
      <c r="I2608" s="72"/>
      <c r="J2608" s="72"/>
      <c r="K2608" s="36"/>
      <c r="L2608" s="79"/>
      <c r="M2608" s="79"/>
      <c r="N2608" s="74"/>
      <c r="O2608" s="81" t="s">
        <v>179</v>
      </c>
      <c r="P2608" s="83">
        <v>44469.158472222225</v>
      </c>
      <c r="Q2608" s="81" t="s">
        <v>12840</v>
      </c>
      <c r="R2608" s="81"/>
      <c r="S2608" s="81"/>
      <c r="T2608" s="81"/>
      <c r="U2608" s="84" t="str">
        <f>HYPERLINK("https://pbs.twimg.com/media/FAgQ5vOUYAcExex.jpg")</f>
        <v>https://pbs.twimg.com/media/FAgQ5vOUYAcExex.jpg</v>
      </c>
      <c r="V2608" s="84" t="str">
        <f>HYPERLINK("https://pbs.twimg.com/media/FAgQ5vOUYAcExex.jpg")</f>
        <v>https://pbs.twimg.com/media/FAgQ5vOUYAcExex.jpg</v>
      </c>
      <c r="W2608" s="83">
        <v>44469.158472222225</v>
      </c>
      <c r="X2608" s="89">
        <v>44469</v>
      </c>
      <c r="Y2608" s="86" t="s">
        <v>13104</v>
      </c>
      <c r="Z2608" s="84" t="str">
        <f>HYPERLINK("https://twitter.com/ditpamobvit_btn/status/1443422400654102532")</f>
        <v>https://twitter.com/ditpamobvit_btn/status/1443422400654102532</v>
      </c>
      <c r="AA2608" s="81"/>
      <c r="AB2608" s="81"/>
      <c r="AC2608" s="86" t="s">
        <v>13347</v>
      </c>
      <c r="AD2608" s="81"/>
      <c r="AE2608" s="81" t="b">
        <v>0</v>
      </c>
      <c r="AF2608" s="81">
        <v>0</v>
      </c>
      <c r="AG2608" s="86" t="s">
        <v>2084</v>
      </c>
      <c r="AH2608" s="81" t="b">
        <v>0</v>
      </c>
      <c r="AI2608" s="81" t="s">
        <v>2167</v>
      </c>
      <c r="AJ2608" s="81"/>
      <c r="AK2608" s="86" t="s">
        <v>2084</v>
      </c>
      <c r="AL2608" s="81" t="b">
        <v>0</v>
      </c>
      <c r="AM2608" s="81">
        <v>0</v>
      </c>
      <c r="AN2608" s="86" t="s">
        <v>2084</v>
      </c>
      <c r="AO2608" s="86" t="s">
        <v>2181</v>
      </c>
      <c r="AP2608" s="81" t="b">
        <v>0</v>
      </c>
      <c r="AQ2608" s="86" t="s">
        <v>13347</v>
      </c>
      <c r="AR2608" s="81" t="s">
        <v>179</v>
      </c>
      <c r="AS2608" s="81">
        <v>0</v>
      </c>
      <c r="AT2608" s="81">
        <v>0</v>
      </c>
      <c r="AU2608" s="81"/>
      <c r="AV2608" s="81"/>
      <c r="AW2608" s="81"/>
      <c r="AX2608" s="81"/>
      <c r="AY2608" s="81"/>
      <c r="AZ2608" s="81"/>
      <c r="BA2608" s="81"/>
      <c r="BB2608" s="81"/>
    </row>
    <row r="2609" spans="1:54" x14ac:dyDescent="0.35">
      <c r="A2609" s="66" t="s">
        <v>4460</v>
      </c>
      <c r="B2609" s="66" t="s">
        <v>4460</v>
      </c>
      <c r="C2609" s="67"/>
      <c r="D2609" s="68"/>
      <c r="E2609" s="69"/>
      <c r="F2609" s="70"/>
      <c r="G2609" s="67"/>
      <c r="H2609" s="71"/>
      <c r="I2609" s="72"/>
      <c r="J2609" s="72"/>
      <c r="K2609" s="36"/>
      <c r="L2609" s="79"/>
      <c r="M2609" s="79"/>
      <c r="N2609" s="74"/>
      <c r="O2609" s="81" t="s">
        <v>179</v>
      </c>
      <c r="P2609" s="83">
        <v>44469.167361111111</v>
      </c>
      <c r="Q2609" s="81" t="s">
        <v>12841</v>
      </c>
      <c r="R2609" s="81"/>
      <c r="S2609" s="81"/>
      <c r="T2609" s="81"/>
      <c r="U2609" s="84" t="str">
        <f>HYPERLINK("https://pbs.twimg.com/media/FAgT5R5VEA027Xp.jpg")</f>
        <v>https://pbs.twimg.com/media/FAgT5R5VEA027Xp.jpg</v>
      </c>
      <c r="V2609" s="84" t="str">
        <f>HYPERLINK("https://pbs.twimg.com/media/FAgT5R5VEA027Xp.jpg")</f>
        <v>https://pbs.twimg.com/media/FAgT5R5VEA027Xp.jpg</v>
      </c>
      <c r="W2609" s="83">
        <v>44469.167361111111</v>
      </c>
      <c r="X2609" s="89">
        <v>44469</v>
      </c>
      <c r="Y2609" s="86" t="s">
        <v>13105</v>
      </c>
      <c r="Z2609" s="84" t="str">
        <f>HYPERLINK("https://twitter.com/ditpamobvit_btn/status/1443425622932353027")</f>
        <v>https://twitter.com/ditpamobvit_btn/status/1443425622932353027</v>
      </c>
      <c r="AA2609" s="81"/>
      <c r="AB2609" s="81"/>
      <c r="AC2609" s="86" t="s">
        <v>13348</v>
      </c>
      <c r="AD2609" s="81"/>
      <c r="AE2609" s="81" t="b">
        <v>0</v>
      </c>
      <c r="AF2609" s="81">
        <v>0</v>
      </c>
      <c r="AG2609" s="86" t="s">
        <v>2084</v>
      </c>
      <c r="AH2609" s="81" t="b">
        <v>0</v>
      </c>
      <c r="AI2609" s="81" t="s">
        <v>2167</v>
      </c>
      <c r="AJ2609" s="81"/>
      <c r="AK2609" s="86" t="s">
        <v>2084</v>
      </c>
      <c r="AL2609" s="81" t="b">
        <v>0</v>
      </c>
      <c r="AM2609" s="81">
        <v>0</v>
      </c>
      <c r="AN2609" s="86" t="s">
        <v>2084</v>
      </c>
      <c r="AO2609" s="86" t="s">
        <v>2181</v>
      </c>
      <c r="AP2609" s="81" t="b">
        <v>0</v>
      </c>
      <c r="AQ2609" s="86" t="s">
        <v>13348</v>
      </c>
      <c r="AR2609" s="81" t="s">
        <v>179</v>
      </c>
      <c r="AS2609" s="81">
        <v>0</v>
      </c>
      <c r="AT2609" s="81">
        <v>0</v>
      </c>
      <c r="AU2609" s="81"/>
      <c r="AV2609" s="81"/>
      <c r="AW2609" s="81"/>
      <c r="AX2609" s="81"/>
      <c r="AY2609" s="81"/>
      <c r="AZ2609" s="81"/>
      <c r="BA2609" s="81"/>
      <c r="BB2609" s="81"/>
    </row>
    <row r="2610" spans="1:54" x14ac:dyDescent="0.35">
      <c r="A2610" s="66" t="s">
        <v>12662</v>
      </c>
      <c r="B2610" s="66" t="s">
        <v>12662</v>
      </c>
      <c r="C2610" s="67"/>
      <c r="D2610" s="68"/>
      <c r="E2610" s="69"/>
      <c r="F2610" s="70"/>
      <c r="G2610" s="67"/>
      <c r="H2610" s="71"/>
      <c r="I2610" s="72"/>
      <c r="J2610" s="72"/>
      <c r="K2610" s="36"/>
      <c r="L2610" s="79"/>
      <c r="M2610" s="79"/>
      <c r="N2610" s="74"/>
      <c r="O2610" s="81" t="s">
        <v>179</v>
      </c>
      <c r="P2610" s="83">
        <v>44468.632916666669</v>
      </c>
      <c r="Q2610" s="81" t="s">
        <v>12842</v>
      </c>
      <c r="R2610" s="81"/>
      <c r="S2610" s="81"/>
      <c r="T2610" s="81"/>
      <c r="U2610" s="81"/>
      <c r="V2610" s="84" t="str">
        <f>HYPERLINK("https://pbs.twimg.com/profile_images/1292308998172160007/mq_moTvL_normal.jpg")</f>
        <v>https://pbs.twimg.com/profile_images/1292308998172160007/mq_moTvL_normal.jpg</v>
      </c>
      <c r="W2610" s="83">
        <v>44468.632916666669</v>
      </c>
      <c r="X2610" s="89">
        <v>44468</v>
      </c>
      <c r="Y2610" s="86" t="s">
        <v>6295</v>
      </c>
      <c r="Z2610" s="84" t="str">
        <f>HYPERLINK("https://twitter.com/cortez_hsp/status/1443231946381926402")</f>
        <v>https://twitter.com/cortez_hsp/status/1443231946381926402</v>
      </c>
      <c r="AA2610" s="81"/>
      <c r="AB2610" s="81"/>
      <c r="AC2610" s="86" t="s">
        <v>13349</v>
      </c>
      <c r="AD2610" s="81"/>
      <c r="AE2610" s="81" t="b">
        <v>0</v>
      </c>
      <c r="AF2610" s="81">
        <v>55</v>
      </c>
      <c r="AG2610" s="86" t="s">
        <v>2084</v>
      </c>
      <c r="AH2610" s="81" t="b">
        <v>0</v>
      </c>
      <c r="AI2610" s="81" t="s">
        <v>2168</v>
      </c>
      <c r="AJ2610" s="81"/>
      <c r="AK2610" s="86" t="s">
        <v>2084</v>
      </c>
      <c r="AL2610" s="81" t="b">
        <v>0</v>
      </c>
      <c r="AM2610" s="81">
        <v>10</v>
      </c>
      <c r="AN2610" s="86" t="s">
        <v>2084</v>
      </c>
      <c r="AO2610" s="86" t="s">
        <v>2179</v>
      </c>
      <c r="AP2610" s="81" t="b">
        <v>0</v>
      </c>
      <c r="AQ2610" s="86" t="s">
        <v>13349</v>
      </c>
      <c r="AR2610" s="81" t="s">
        <v>693</v>
      </c>
      <c r="AS2610" s="81">
        <v>0</v>
      </c>
      <c r="AT2610" s="81">
        <v>0</v>
      </c>
      <c r="AU2610" s="81"/>
      <c r="AV2610" s="81"/>
      <c r="AW2610" s="81"/>
      <c r="AX2610" s="81"/>
      <c r="AY2610" s="81"/>
      <c r="AZ2610" s="81"/>
      <c r="BA2610" s="81"/>
      <c r="BB2610" s="81"/>
    </row>
    <row r="2611" spans="1:54" x14ac:dyDescent="0.35">
      <c r="A2611" s="66" t="s">
        <v>12663</v>
      </c>
      <c r="B2611" s="66" t="s">
        <v>12662</v>
      </c>
      <c r="C2611" s="67"/>
      <c r="D2611" s="68"/>
      <c r="E2611" s="69"/>
      <c r="F2611" s="70"/>
      <c r="G2611" s="67"/>
      <c r="H2611" s="71"/>
      <c r="I2611" s="72"/>
      <c r="J2611" s="72"/>
      <c r="K2611" s="36"/>
      <c r="L2611" s="79"/>
      <c r="M2611" s="79"/>
      <c r="N2611" s="74"/>
      <c r="O2611" s="81" t="s">
        <v>693</v>
      </c>
      <c r="P2611" s="83">
        <v>44469.181261574071</v>
      </c>
      <c r="Q2611" s="81" t="s">
        <v>12842</v>
      </c>
      <c r="R2611" s="81"/>
      <c r="S2611" s="81"/>
      <c r="T2611" s="81"/>
      <c r="U2611" s="81"/>
      <c r="V2611" s="84" t="str">
        <f>HYPERLINK("https://pbs.twimg.com/profile_images/1360275843755483143/aEaFl9o-_normal.jpg")</f>
        <v>https://pbs.twimg.com/profile_images/1360275843755483143/aEaFl9o-_normal.jpg</v>
      </c>
      <c r="W2611" s="83">
        <v>44469.181261574071</v>
      </c>
      <c r="X2611" s="89">
        <v>44469</v>
      </c>
      <c r="Y2611" s="86" t="s">
        <v>13106</v>
      </c>
      <c r="Z2611" s="84" t="str">
        <f>HYPERLINK("https://twitter.com/pos_vibes_24/status/1443430658106433538")</f>
        <v>https://twitter.com/pos_vibes_24/status/1443430658106433538</v>
      </c>
      <c r="AA2611" s="81"/>
      <c r="AB2611" s="81"/>
      <c r="AC2611" s="86" t="s">
        <v>13350</v>
      </c>
      <c r="AD2611" s="81"/>
      <c r="AE2611" s="81" t="b">
        <v>0</v>
      </c>
      <c r="AF2611" s="81">
        <v>0</v>
      </c>
      <c r="AG2611" s="86" t="s">
        <v>2084</v>
      </c>
      <c r="AH2611" s="81" t="b">
        <v>0</v>
      </c>
      <c r="AI2611" s="81" t="s">
        <v>2168</v>
      </c>
      <c r="AJ2611" s="81"/>
      <c r="AK2611" s="86" t="s">
        <v>2084</v>
      </c>
      <c r="AL2611" s="81" t="b">
        <v>0</v>
      </c>
      <c r="AM2611" s="81">
        <v>10</v>
      </c>
      <c r="AN2611" s="86" t="s">
        <v>13349</v>
      </c>
      <c r="AO2611" s="86" t="s">
        <v>2179</v>
      </c>
      <c r="AP2611" s="81" t="b">
        <v>0</v>
      </c>
      <c r="AQ2611" s="86" t="s">
        <v>13349</v>
      </c>
      <c r="AR2611" s="81" t="s">
        <v>179</v>
      </c>
      <c r="AS2611" s="81">
        <v>0</v>
      </c>
      <c r="AT2611" s="81">
        <v>0</v>
      </c>
      <c r="AU2611" s="81"/>
      <c r="AV2611" s="81"/>
      <c r="AW2611" s="81"/>
      <c r="AX2611" s="81"/>
      <c r="AY2611" s="81"/>
      <c r="AZ2611" s="81"/>
      <c r="BA2611" s="81"/>
      <c r="BB2611" s="81"/>
    </row>
    <row r="2612" spans="1:54" x14ac:dyDescent="0.35">
      <c r="A2612" s="66" t="s">
        <v>12664</v>
      </c>
      <c r="B2612" s="66" t="s">
        <v>12664</v>
      </c>
      <c r="C2612" s="67"/>
      <c r="D2612" s="68"/>
      <c r="E2612" s="69"/>
      <c r="F2612" s="70"/>
      <c r="G2612" s="67"/>
      <c r="H2612" s="71"/>
      <c r="I2612" s="72"/>
      <c r="J2612" s="72"/>
      <c r="K2612" s="36"/>
      <c r="L2612" s="79"/>
      <c r="M2612" s="79"/>
      <c r="N2612" s="74"/>
      <c r="O2612" s="81" t="s">
        <v>179</v>
      </c>
      <c r="P2612" s="83">
        <v>44468.728275462963</v>
      </c>
      <c r="Q2612" s="81" t="s">
        <v>12801</v>
      </c>
      <c r="R2612" s="81"/>
      <c r="S2612" s="81"/>
      <c r="T2612" s="86" t="s">
        <v>314</v>
      </c>
      <c r="U2612" s="84" t="str">
        <f>HYPERLINK("https://pbs.twimg.com/media/FAeDNwSUcAI4G5e.jpg")</f>
        <v>https://pbs.twimg.com/media/FAeDNwSUcAI4G5e.jpg</v>
      </c>
      <c r="V2612" s="84" t="str">
        <f>HYPERLINK("https://pbs.twimg.com/media/FAeDNwSUcAI4G5e.jpg")</f>
        <v>https://pbs.twimg.com/media/FAeDNwSUcAI4G5e.jpg</v>
      </c>
      <c r="W2612" s="83">
        <v>44468.728275462963</v>
      </c>
      <c r="X2612" s="89">
        <v>44468</v>
      </c>
      <c r="Y2612" s="86" t="s">
        <v>13107</v>
      </c>
      <c r="Z2612" s="84" t="str">
        <f>HYPERLINK("https://twitter.com/lilieslalisamn/status/1443266503743139844")</f>
        <v>https://twitter.com/lilieslalisamn/status/1443266503743139844</v>
      </c>
      <c r="AA2612" s="81"/>
      <c r="AB2612" s="81"/>
      <c r="AC2612" s="86" t="s">
        <v>13351</v>
      </c>
      <c r="AD2612" s="81"/>
      <c r="AE2612" s="81" t="b">
        <v>0</v>
      </c>
      <c r="AF2612" s="81">
        <v>2</v>
      </c>
      <c r="AG2612" s="86" t="s">
        <v>2084</v>
      </c>
      <c r="AH2612" s="81" t="b">
        <v>0</v>
      </c>
      <c r="AI2612" s="81" t="s">
        <v>2168</v>
      </c>
      <c r="AJ2612" s="81"/>
      <c r="AK2612" s="86" t="s">
        <v>2084</v>
      </c>
      <c r="AL2612" s="81" t="b">
        <v>0</v>
      </c>
      <c r="AM2612" s="81">
        <v>3</v>
      </c>
      <c r="AN2612" s="86" t="s">
        <v>2084</v>
      </c>
      <c r="AO2612" s="86" t="s">
        <v>2179</v>
      </c>
      <c r="AP2612" s="81" t="b">
        <v>0</v>
      </c>
      <c r="AQ2612" s="86" t="s">
        <v>13351</v>
      </c>
      <c r="AR2612" s="81" t="s">
        <v>179</v>
      </c>
      <c r="AS2612" s="81">
        <v>0</v>
      </c>
      <c r="AT2612" s="81">
        <v>0</v>
      </c>
      <c r="AU2612" s="81"/>
      <c r="AV2612" s="81"/>
      <c r="AW2612" s="81"/>
      <c r="AX2612" s="81"/>
      <c r="AY2612" s="81"/>
      <c r="AZ2612" s="81"/>
      <c r="BA2612" s="81"/>
      <c r="BB2612" s="81"/>
    </row>
    <row r="2613" spans="1:54" x14ac:dyDescent="0.35">
      <c r="A2613" s="66" t="s">
        <v>12664</v>
      </c>
      <c r="B2613" s="66" t="s">
        <v>12664</v>
      </c>
      <c r="C2613" s="67"/>
      <c r="D2613" s="68"/>
      <c r="E2613" s="69"/>
      <c r="F2613" s="70"/>
      <c r="G2613" s="67"/>
      <c r="H2613" s="71"/>
      <c r="I2613" s="72"/>
      <c r="J2613" s="72"/>
      <c r="K2613" s="36"/>
      <c r="L2613" s="79"/>
      <c r="M2613" s="79"/>
      <c r="N2613" s="74"/>
      <c r="O2613" s="81" t="s">
        <v>179</v>
      </c>
      <c r="P2613" s="83">
        <v>44468.730914351851</v>
      </c>
      <c r="Q2613" s="81" t="s">
        <v>12799</v>
      </c>
      <c r="R2613" s="81"/>
      <c r="S2613" s="81"/>
      <c r="T2613" s="86" t="s">
        <v>314</v>
      </c>
      <c r="U2613" s="84" t="str">
        <f>HYPERLINK("https://pbs.twimg.com/media/FAeEF_8UcAAAgih.jpg")</f>
        <v>https://pbs.twimg.com/media/FAeEF_8UcAAAgih.jpg</v>
      </c>
      <c r="V2613" s="84" t="str">
        <f>HYPERLINK("https://pbs.twimg.com/media/FAeEF_8UcAAAgih.jpg")</f>
        <v>https://pbs.twimg.com/media/FAeEF_8UcAAAgih.jpg</v>
      </c>
      <c r="W2613" s="83">
        <v>44468.730914351851</v>
      </c>
      <c r="X2613" s="89">
        <v>44468</v>
      </c>
      <c r="Y2613" s="86" t="s">
        <v>13108</v>
      </c>
      <c r="Z2613" s="84" t="str">
        <f>HYPERLINK("https://twitter.com/lilieslalisamn/status/1443267457129467904")</f>
        <v>https://twitter.com/lilieslalisamn/status/1443267457129467904</v>
      </c>
      <c r="AA2613" s="81"/>
      <c r="AB2613" s="81"/>
      <c r="AC2613" s="86" t="s">
        <v>13352</v>
      </c>
      <c r="AD2613" s="81"/>
      <c r="AE2613" s="81" t="b">
        <v>0</v>
      </c>
      <c r="AF2613" s="81">
        <v>18</v>
      </c>
      <c r="AG2613" s="86" t="s">
        <v>2084</v>
      </c>
      <c r="AH2613" s="81" t="b">
        <v>0</v>
      </c>
      <c r="AI2613" s="81" t="s">
        <v>2168</v>
      </c>
      <c r="AJ2613" s="81"/>
      <c r="AK2613" s="86" t="s">
        <v>2084</v>
      </c>
      <c r="AL2613" s="81" t="b">
        <v>0</v>
      </c>
      <c r="AM2613" s="81">
        <v>42</v>
      </c>
      <c r="AN2613" s="86" t="s">
        <v>2084</v>
      </c>
      <c r="AO2613" s="86" t="s">
        <v>2179</v>
      </c>
      <c r="AP2613" s="81" t="b">
        <v>0</v>
      </c>
      <c r="AQ2613" s="86" t="s">
        <v>13352</v>
      </c>
      <c r="AR2613" s="81" t="s">
        <v>179</v>
      </c>
      <c r="AS2613" s="81">
        <v>0</v>
      </c>
      <c r="AT2613" s="81">
        <v>0</v>
      </c>
      <c r="AU2613" s="81"/>
      <c r="AV2613" s="81"/>
      <c r="AW2613" s="81"/>
      <c r="AX2613" s="81"/>
      <c r="AY2613" s="81"/>
      <c r="AZ2613" s="81"/>
      <c r="BA2613" s="81"/>
      <c r="BB2613" s="81"/>
    </row>
    <row r="2614" spans="1:54" x14ac:dyDescent="0.35">
      <c r="A2614" s="66" t="s">
        <v>12664</v>
      </c>
      <c r="B2614" s="66" t="s">
        <v>12664</v>
      </c>
      <c r="C2614" s="67"/>
      <c r="D2614" s="68"/>
      <c r="E2614" s="69"/>
      <c r="F2614" s="70"/>
      <c r="G2614" s="67"/>
      <c r="H2614" s="71"/>
      <c r="I2614" s="72"/>
      <c r="J2614" s="72"/>
      <c r="K2614" s="36"/>
      <c r="L2614" s="79"/>
      <c r="M2614" s="79"/>
      <c r="N2614" s="74"/>
      <c r="O2614" s="81" t="s">
        <v>179</v>
      </c>
      <c r="P2614" s="83">
        <v>44468.733495370368</v>
      </c>
      <c r="Q2614" s="81" t="s">
        <v>12800</v>
      </c>
      <c r="R2614" s="81"/>
      <c r="S2614" s="81"/>
      <c r="T2614" s="86" t="s">
        <v>314</v>
      </c>
      <c r="U2614" s="84" t="str">
        <f>HYPERLINK("https://pbs.twimg.com/media/FAeE8WOVQAIxGko.jpg")</f>
        <v>https://pbs.twimg.com/media/FAeE8WOVQAIxGko.jpg</v>
      </c>
      <c r="V2614" s="84" t="str">
        <f>HYPERLINK("https://pbs.twimg.com/media/FAeE8WOVQAIxGko.jpg")</f>
        <v>https://pbs.twimg.com/media/FAeE8WOVQAIxGko.jpg</v>
      </c>
      <c r="W2614" s="83">
        <v>44468.733495370368</v>
      </c>
      <c r="X2614" s="89">
        <v>44468</v>
      </c>
      <c r="Y2614" s="86" t="s">
        <v>13109</v>
      </c>
      <c r="Z2614" s="84" t="str">
        <f>HYPERLINK("https://twitter.com/lilieslalisamn/status/1443268392996139009")</f>
        <v>https://twitter.com/lilieslalisamn/status/1443268392996139009</v>
      </c>
      <c r="AA2614" s="81"/>
      <c r="AB2614" s="81"/>
      <c r="AC2614" s="86" t="s">
        <v>13353</v>
      </c>
      <c r="AD2614" s="81"/>
      <c r="AE2614" s="81" t="b">
        <v>0</v>
      </c>
      <c r="AF2614" s="81">
        <v>14</v>
      </c>
      <c r="AG2614" s="86" t="s">
        <v>2084</v>
      </c>
      <c r="AH2614" s="81" t="b">
        <v>0</v>
      </c>
      <c r="AI2614" s="81" t="s">
        <v>2168</v>
      </c>
      <c r="AJ2614" s="81"/>
      <c r="AK2614" s="86" t="s">
        <v>2084</v>
      </c>
      <c r="AL2614" s="81" t="b">
        <v>0</v>
      </c>
      <c r="AM2614" s="81">
        <v>31</v>
      </c>
      <c r="AN2614" s="86" t="s">
        <v>2084</v>
      </c>
      <c r="AO2614" s="86" t="s">
        <v>2179</v>
      </c>
      <c r="AP2614" s="81" t="b">
        <v>0</v>
      </c>
      <c r="AQ2614" s="86" t="s">
        <v>13353</v>
      </c>
      <c r="AR2614" s="81" t="s">
        <v>179</v>
      </c>
      <c r="AS2614" s="81">
        <v>0</v>
      </c>
      <c r="AT2614" s="81">
        <v>0</v>
      </c>
      <c r="AU2614" s="81"/>
      <c r="AV2614" s="81"/>
      <c r="AW2614" s="81"/>
      <c r="AX2614" s="81"/>
      <c r="AY2614" s="81"/>
      <c r="AZ2614" s="81"/>
      <c r="BA2614" s="81"/>
      <c r="BB2614" s="81"/>
    </row>
    <row r="2615" spans="1:54" x14ac:dyDescent="0.35">
      <c r="A2615" s="66" t="s">
        <v>12665</v>
      </c>
      <c r="B2615" s="66" t="s">
        <v>12664</v>
      </c>
      <c r="C2615" s="67"/>
      <c r="D2615" s="68"/>
      <c r="E2615" s="69"/>
      <c r="F2615" s="70"/>
      <c r="G2615" s="67"/>
      <c r="H2615" s="71"/>
      <c r="I2615" s="72"/>
      <c r="J2615" s="72"/>
      <c r="K2615" s="36"/>
      <c r="L2615" s="79"/>
      <c r="M2615" s="79"/>
      <c r="N2615" s="74"/>
      <c r="O2615" s="81" t="s">
        <v>693</v>
      </c>
      <c r="P2615" s="83">
        <v>44469.188287037039</v>
      </c>
      <c r="Q2615" s="81" t="s">
        <v>12799</v>
      </c>
      <c r="R2615" s="81"/>
      <c r="S2615" s="81"/>
      <c r="T2615" s="86" t="s">
        <v>314</v>
      </c>
      <c r="U2615" s="84" t="str">
        <f>HYPERLINK("https://pbs.twimg.com/media/FAeEF_8UcAAAgih.jpg")</f>
        <v>https://pbs.twimg.com/media/FAeEF_8UcAAAgih.jpg</v>
      </c>
      <c r="V2615" s="84" t="str">
        <f>HYPERLINK("https://pbs.twimg.com/media/FAeEF_8UcAAAgih.jpg")</f>
        <v>https://pbs.twimg.com/media/FAeEF_8UcAAAgih.jpg</v>
      </c>
      <c r="W2615" s="83">
        <v>44469.188287037039</v>
      </c>
      <c r="X2615" s="89">
        <v>44469</v>
      </c>
      <c r="Y2615" s="86" t="s">
        <v>13110</v>
      </c>
      <c r="Z2615" s="84" t="str">
        <f>HYPERLINK("https://twitter.com/jaejaesy/status/1443433205957152769")</f>
        <v>https://twitter.com/jaejaesy/status/1443433205957152769</v>
      </c>
      <c r="AA2615" s="81"/>
      <c r="AB2615" s="81"/>
      <c r="AC2615" s="86" t="s">
        <v>13354</v>
      </c>
      <c r="AD2615" s="81"/>
      <c r="AE2615" s="81" t="b">
        <v>0</v>
      </c>
      <c r="AF2615" s="81">
        <v>0</v>
      </c>
      <c r="AG2615" s="86" t="s">
        <v>2084</v>
      </c>
      <c r="AH2615" s="81" t="b">
        <v>0</v>
      </c>
      <c r="AI2615" s="81" t="s">
        <v>2168</v>
      </c>
      <c r="AJ2615" s="81"/>
      <c r="AK2615" s="86" t="s">
        <v>2084</v>
      </c>
      <c r="AL2615" s="81" t="b">
        <v>0</v>
      </c>
      <c r="AM2615" s="81">
        <v>42</v>
      </c>
      <c r="AN2615" s="86" t="s">
        <v>13352</v>
      </c>
      <c r="AO2615" s="86" t="s">
        <v>2179</v>
      </c>
      <c r="AP2615" s="81" t="b">
        <v>0</v>
      </c>
      <c r="AQ2615" s="86" t="s">
        <v>13352</v>
      </c>
      <c r="AR2615" s="81" t="s">
        <v>179</v>
      </c>
      <c r="AS2615" s="81">
        <v>0</v>
      </c>
      <c r="AT2615" s="81">
        <v>0</v>
      </c>
      <c r="AU2615" s="81"/>
      <c r="AV2615" s="81"/>
      <c r="AW2615" s="81"/>
      <c r="AX2615" s="81"/>
      <c r="AY2615" s="81"/>
      <c r="AZ2615" s="81"/>
      <c r="BA2615" s="81"/>
      <c r="BB2615" s="81"/>
    </row>
    <row r="2616" spans="1:54" x14ac:dyDescent="0.35">
      <c r="A2616" s="66" t="s">
        <v>12666</v>
      </c>
      <c r="B2616" s="66" t="s">
        <v>12666</v>
      </c>
      <c r="C2616" s="67"/>
      <c r="D2616" s="68"/>
      <c r="E2616" s="69"/>
      <c r="F2616" s="70"/>
      <c r="G2616" s="67"/>
      <c r="H2616" s="71"/>
      <c r="I2616" s="72"/>
      <c r="J2616" s="72"/>
      <c r="K2616" s="36"/>
      <c r="L2616" s="79"/>
      <c r="M2616" s="79"/>
      <c r="N2616" s="74"/>
      <c r="O2616" s="81" t="s">
        <v>179</v>
      </c>
      <c r="P2616" s="83">
        <v>44469.188472222224</v>
      </c>
      <c r="Q2616" s="81" t="s">
        <v>12843</v>
      </c>
      <c r="R2616" s="81"/>
      <c r="S2616" s="81"/>
      <c r="T2616" s="86" t="s">
        <v>12874</v>
      </c>
      <c r="U2616" s="81"/>
      <c r="V2616" s="84" t="str">
        <f>HYPERLINK("https://pbs.twimg.com/profile_images/1429703844045279235/16vNpAKz_normal.jpg")</f>
        <v>https://pbs.twimg.com/profile_images/1429703844045279235/16vNpAKz_normal.jpg</v>
      </c>
      <c r="W2616" s="83">
        <v>44469.188472222224</v>
      </c>
      <c r="X2616" s="89">
        <v>44469</v>
      </c>
      <c r="Y2616" s="86" t="s">
        <v>13111</v>
      </c>
      <c r="Z2616" s="84" t="str">
        <f>HYPERLINK("https://twitter.com/panutmanee/status/1443433270742433794")</f>
        <v>https://twitter.com/panutmanee/status/1443433270742433794</v>
      </c>
      <c r="AA2616" s="81"/>
      <c r="AB2616" s="81"/>
      <c r="AC2616" s="86" t="s">
        <v>13355</v>
      </c>
      <c r="AD2616" s="81"/>
      <c r="AE2616" s="81" t="b">
        <v>0</v>
      </c>
      <c r="AF2616" s="81">
        <v>0</v>
      </c>
      <c r="AG2616" s="86" t="s">
        <v>2084</v>
      </c>
      <c r="AH2616" s="81" t="b">
        <v>0</v>
      </c>
      <c r="AI2616" s="81" t="s">
        <v>7960</v>
      </c>
      <c r="AJ2616" s="81"/>
      <c r="AK2616" s="86" t="s">
        <v>2084</v>
      </c>
      <c r="AL2616" s="81" t="b">
        <v>0</v>
      </c>
      <c r="AM2616" s="81">
        <v>0</v>
      </c>
      <c r="AN2616" s="86" t="s">
        <v>2084</v>
      </c>
      <c r="AO2616" s="86" t="s">
        <v>2179</v>
      </c>
      <c r="AP2616" s="81" t="b">
        <v>0</v>
      </c>
      <c r="AQ2616" s="86" t="s">
        <v>13355</v>
      </c>
      <c r="AR2616" s="81" t="s">
        <v>179</v>
      </c>
      <c r="AS2616" s="81">
        <v>0</v>
      </c>
      <c r="AT2616" s="81">
        <v>0</v>
      </c>
      <c r="AU2616" s="81"/>
      <c r="AV2616" s="81"/>
      <c r="AW2616" s="81"/>
      <c r="AX2616" s="81"/>
      <c r="AY2616" s="81"/>
      <c r="AZ2616" s="81"/>
      <c r="BA2616" s="81"/>
      <c r="BB2616" s="81"/>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616"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616" xr:uid="{00000000-0002-0000-0000-000001000000}"/>
    <dataValidation allowBlank="1" showErrorMessage="1" sqref="N2:N2616"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616"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616" xr:uid="{00000000-0002-0000-0000-000004000000}"/>
    <dataValidation allowBlank="1" showInputMessage="1" promptTitle="Edge Color" prompt="To select an optional edge color, right-click and select Select Color on the right-click menu." sqref="C3:C2616" xr:uid="{00000000-0002-0000-0000-000005000000}"/>
    <dataValidation allowBlank="1" showInputMessage="1" errorTitle="Invalid Edge Width" error="The optional edge width must be a whole number between 1 and 10." promptTitle="Edge Width" prompt="Enter an optional edge width between 1 and 10." sqref="D3:D2616"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616"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616" xr:uid="{00000000-0002-0000-0000-000008000000}">
      <formula1>ValidEdgeVisibilities</formula1>
    </dataValidation>
    <dataValidation allowBlank="1" showInputMessage="1" showErrorMessage="1" promptTitle="Vertex 1 Name" prompt="Enter the name of the edge's first vertex." sqref="A3:A2616" xr:uid="{00000000-0002-0000-0000-000009000000}"/>
    <dataValidation allowBlank="1" showInputMessage="1" showErrorMessage="1" promptTitle="Vertex 2 Name" prompt="Enter the name of the edge's second vertex." sqref="B3:B2616"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616"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616"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616" xr:uid="{00000000-0002-0000-0000-00000D000000}"/>
  </dataValidations>
  <hyperlinks>
    <hyperlink ref="R355" r:id="rId1" location=":~:text=pericardite%20p%C3%B3s%2Dvacina%C3%A7%C3%A3o-,Anvisa%20alerta%20sobre%20risco%20de%20miocardite%20e%20pericardite%20p%C3%B3s%2Dvacina%C3%A7%C3%A3o" display="https://www.gov.br/anvisa/pt-br/assuntos/noticias-anvisa/2021/anvisa-alerta-sobre-risco-de-miocardite-e-pericardite-pos-vacinacao#:~:text=pericardite%20p%C3%B3s%2Dvacina%C3%A7%C3%A3o-,Anvisa%20alerta%20sobre%20risco%20de%20miocardite%20e%20pericardite%20p%C3%B3s%2Dvacina%C3%A7%C3%A3o" xr:uid="{CEC95376-015D-42A2-B237-0A02C09A80A7}"/>
    <hyperlink ref="R356" r:id="rId2" location=":~:text=pericardite%20p%C3%B3s%2Dvacina%C3%A7%C3%A3o-,Anvisa%20alerta%20sobre%20risco%20de%20miocardite%20e%20pericardite%20p%C3%B3s%2Dvacina%C3%A7%C3%A3o" display="https://www.gov.br/anvisa/pt-br/assuntos/noticias-anvisa/2021/anvisa-alerta-sobre-risco-de-miocardite-e-pericardite-pos-vacinacao#:~:text=pericardite%20p%C3%B3s%2Dvacina%C3%A7%C3%A3o-,Anvisa%20alerta%20sobre%20risco%20de%20miocardite%20e%20pericardite%20p%C3%B3s%2Dvacina%C3%A7%C3%A3o" xr:uid="{2207F1B7-3E89-463A-BAB3-6EED1FC5693D}"/>
    <hyperlink ref="R400" r:id="rId3" display="https://m.tiktok.com/v/7010535652437560582.html?_d=secCgYIASAHKAESPgo8fiplwZO67T%2ByGv57xGVR9rXYPZh1VTKFW5I%2FeyV%2FgsK%2BE0%2BIxFzBjK4mb7NePnjwtshxtqF2CAwQWBI3GgA%3D&amp;checksum=4b8cb6097e9e9048cd2fa26e598ee9e3da22099fe36751d23fa290bb5b089a44&amp;language=pt&amp;preview_pb=0&amp;sec_user_id=MS4wLjABAAAASuT8Di8yuE_CjQ98N6BysXkETK4_QuQhvq61vuw2Qe9HA5IeYD4eBK6S7wILNqHX&amp;share_app_id=1233&amp;share_item_id=7010535652437560582&amp;share_link_id=b69f68be-5781-4ff3-ba5d-71aa1b8cb041&amp;source=h5_m&amp;timestamp=1632350334&amp;u_code=dfb6h097c120c0&amp;user_id=6891952189411181569&amp;utm_campaign=client_share&amp;utm_medium=android&amp;utm_source=copy" xr:uid="{9B0188E6-7DB1-487E-8557-79430829FE97}"/>
    <hyperlink ref="R422" r:id="rId4" display="https://www.google.com/url?rct=j&amp;sa=t&amp;url=https%3A%2F%2Fm.tribunnews.com%2Fnasional%2F2021%2F09%2F23%2Flowongan-kerja-pt-pos-indonesia-persero-makassar-2021-frontliner-dibuka-hingga-24-september-2021&amp;ct=ga&amp;cd=CAIyGjJiMmE5MjhmODMwMjFjNzI6Y29tOmlkOlVT&amp;usg=AFQjCNEU5BB7QgR2kc_9NC1JiBDqEd_IJw&amp;utm_source=dlvr.it&amp;utm_medium=twitter" xr:uid="{4BAD2EBE-C7A0-4BFE-9E57-B795E83F7BBE}"/>
    <hyperlink ref="R1904" r:id="rId5" display="https://m.tiktok.com/v/7013197634210893062.html?_d=secCgYIASAHKAESPgo8Aq5SygrOjixvWk7T0ax%2B%2B5sl6VjL2z5xHcTn1BoX8LHTTzSEm2hKS3UdTADtQppLz%2BRoNPfcWYxcULDEGgA%3D&amp;checksum=87474f934abedbff5c9b11828a0f34a8f029594fe7043182f2b95715dadfd587&amp;language=pt&amp;preview_pb=0&amp;sec_user_id=MS4wLjABAAAAI2lm3O5FsyjK4c6-OPIosdNQp_IKQOMG6-uZ9fYO1oqOMj9lF2nXHPPG06ubY80J&amp;share_app_id=1233&amp;share_item_id=7013197634210893062&amp;share_link_id=fa29d094-fb4b-4934-a184-c7986210af36&amp;source=h5_m&amp;timestamp=1632887177&amp;u_code=dacal0131bbbl5&amp;user_id=6783504759765861378&amp;utm_campaign=client_share&amp;utm_medium=android&amp;utm_source=twitter" xr:uid="{72937B4D-AF34-4968-AAED-6E24DCA4CE55}"/>
  </hyperlinks>
  <pageMargins left="0.7" right="0.7" top="0.75" bottom="0.75" header="0.3" footer="0.3"/>
  <pageSetup orientation="portrait" verticalDpi="0" r:id="rId6"/>
  <legacyDrawing r:id="rId7"/>
  <tableParts count="1">
    <tablePart r:id="rId8"/>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E1822"/>
  <sheetViews>
    <sheetView tabSelected="1" workbookViewId="0">
      <pane xSplit="1" ySplit="2" topLeftCell="B3" activePane="bottomRight" state="frozen"/>
      <selection pane="topRight" activeCell="B1" sqref="B1"/>
      <selection pane="bottomLeft" activeCell="A3" sqref="A3"/>
      <selection pane="bottomRight" activeCell="A3" sqref="A3"/>
    </sheetView>
  </sheetViews>
  <sheetFormatPr defaultRowHeight="14.5" x14ac:dyDescent="0.35"/>
  <cols>
    <col min="1" max="1" width="9.1796875" style="1"/>
    <col min="2" max="2" width="7.81640625" customWidth="1"/>
    <col min="3" max="3" width="8.54296875" customWidth="1"/>
    <col min="4" max="4" width="6.7265625" customWidth="1"/>
    <col min="5" max="5" width="9.81640625" customWidth="1"/>
    <col min="6" max="6" width="7.7265625" customWidth="1"/>
    <col min="7" max="7" width="11" customWidth="1"/>
    <col min="8" max="8" width="8.54296875" customWidth="1"/>
    <col min="9" max="9" width="9.7265625" customWidth="1"/>
    <col min="10" max="10" width="10.54296875" style="3" customWidth="1"/>
    <col min="11" max="11" width="9.1796875" customWidth="1"/>
    <col min="12" max="12" width="9.1796875" hidden="1" customWidth="1"/>
    <col min="13" max="14" width="4.26953125" hidden="1" customWidth="1"/>
    <col min="15" max="15" width="10.26953125" hidden="1" customWidth="1"/>
    <col min="16" max="16" width="6.453125" hidden="1" customWidth="1"/>
    <col min="17" max="17" width="8.26953125" hidden="1" customWidth="1"/>
    <col min="18" max="18" width="9.54296875" hidden="1" customWidth="1"/>
    <col min="19" max="19" width="9.26953125" hidden="1" customWidth="1"/>
    <col min="20" max="20" width="9.54296875" hidden="1" customWidth="1"/>
    <col min="21" max="23" width="14.26953125" hidden="1" customWidth="1"/>
    <col min="24" max="24" width="11.81640625" hidden="1" customWidth="1"/>
    <col min="25" max="25" width="14.453125" hidden="1" customWidth="1"/>
    <col min="26" max="26" width="18.26953125" hidden="1" customWidth="1"/>
    <col min="27" max="27" width="5" style="3" hidden="1" customWidth="1"/>
    <col min="28" max="28" width="16" style="3" hidden="1" customWidth="1"/>
    <col min="29" max="29" width="16" style="6" bestFit="1" customWidth="1"/>
    <col min="30" max="30" width="8" style="2" bestFit="1" customWidth="1"/>
    <col min="31" max="31" width="9.1796875" style="3" bestFit="1" customWidth="1"/>
    <col min="32" max="32" width="10.6328125" style="3" bestFit="1" customWidth="1"/>
    <col min="33" max="33" width="11.08984375" style="3" bestFit="1" customWidth="1"/>
    <col min="34" max="34" width="9" style="3" bestFit="1" customWidth="1"/>
    <col min="35" max="35" width="8.81640625" bestFit="1" customWidth="1"/>
    <col min="36" max="36" width="16.81640625" bestFit="1" customWidth="1"/>
    <col min="37" max="37" width="12.54296875" bestFit="1" customWidth="1"/>
    <col min="38" max="38" width="10.08984375" bestFit="1" customWidth="1"/>
    <col min="39" max="39" width="7" bestFit="1" customWidth="1"/>
    <col min="40" max="40" width="7.6328125" bestFit="1" customWidth="1"/>
    <col min="41" max="41" width="15.36328125" bestFit="1" customWidth="1"/>
    <col min="42" max="42" width="12" bestFit="1" customWidth="1"/>
    <col min="43" max="43" width="9.6328125" bestFit="1" customWidth="1"/>
    <col min="44" max="44" width="15.54296875" bestFit="1" customWidth="1"/>
    <col min="45" max="45" width="9.81640625" bestFit="1" customWidth="1"/>
    <col min="46" max="46" width="10.90625" bestFit="1" customWidth="1"/>
    <col min="47" max="47" width="8.36328125" bestFit="1" customWidth="1"/>
    <col min="48" max="48" width="19.36328125" bestFit="1" customWidth="1"/>
    <col min="49" max="49" width="9.54296875" bestFit="1" customWidth="1"/>
    <col min="50" max="51" width="15.36328125" bestFit="1" customWidth="1"/>
    <col min="52" max="52" width="14.36328125" bestFit="1" customWidth="1"/>
  </cols>
  <sheetData>
    <row r="1" spans="1:57" x14ac:dyDescent="0.3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7" ht="30" customHeight="1" x14ac:dyDescent="0.3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2214</v>
      </c>
      <c r="AE2" s="13" t="s">
        <v>2215</v>
      </c>
      <c r="AF2" s="13" t="s">
        <v>2216</v>
      </c>
      <c r="AG2" s="13" t="s">
        <v>2217</v>
      </c>
      <c r="AH2" s="13" t="s">
        <v>2218</v>
      </c>
      <c r="AI2" s="13" t="s">
        <v>2219</v>
      </c>
      <c r="AJ2" s="13" t="s">
        <v>2220</v>
      </c>
      <c r="AK2" s="13" t="s">
        <v>2221</v>
      </c>
      <c r="AL2" s="13" t="s">
        <v>2222</v>
      </c>
      <c r="AM2" s="13" t="s">
        <v>2223</v>
      </c>
      <c r="AN2" s="13" t="s">
        <v>2224</v>
      </c>
      <c r="AO2" s="13" t="s">
        <v>2225</v>
      </c>
      <c r="AP2" s="13" t="s">
        <v>2226</v>
      </c>
      <c r="AQ2" s="13" t="s">
        <v>2227</v>
      </c>
      <c r="AR2" s="13" t="s">
        <v>2228</v>
      </c>
      <c r="AS2" s="13" t="s">
        <v>2229</v>
      </c>
      <c r="AT2" s="13" t="s">
        <v>197</v>
      </c>
      <c r="AU2" s="13" t="s">
        <v>2230</v>
      </c>
      <c r="AV2" s="13" t="s">
        <v>2231</v>
      </c>
      <c r="AW2" s="13" t="s">
        <v>2232</v>
      </c>
      <c r="AX2" s="13" t="s">
        <v>2233</v>
      </c>
      <c r="AY2" s="13" t="s">
        <v>2234</v>
      </c>
      <c r="AZ2" s="13" t="s">
        <v>2235</v>
      </c>
      <c r="BA2" s="3"/>
      <c r="BB2" s="3"/>
    </row>
    <row r="3" spans="1:57" ht="15" customHeight="1" x14ac:dyDescent="0.35">
      <c r="A3" s="66" t="s">
        <v>4167</v>
      </c>
      <c r="B3" s="67"/>
      <c r="C3" s="67"/>
      <c r="D3" s="68"/>
      <c r="E3" s="70"/>
      <c r="F3" s="93" t="str">
        <f>HYPERLINK("https://pbs.twimg.com/profile_images/1403000828596613121/cx4tIgmb_normal.jpg")</f>
        <v>https://pbs.twimg.com/profile_images/1403000828596613121/cx4tIgmb_normal.jpg</v>
      </c>
      <c r="G3" s="67"/>
      <c r="H3" s="71"/>
      <c r="I3" s="72"/>
      <c r="J3" s="72"/>
      <c r="K3" s="71" t="s">
        <v>11402</v>
      </c>
      <c r="L3" s="75"/>
      <c r="M3" s="76"/>
      <c r="N3" s="76"/>
      <c r="O3" s="77"/>
      <c r="P3" s="78"/>
      <c r="Q3" s="78"/>
      <c r="R3" s="50"/>
      <c r="S3" s="50"/>
      <c r="T3" s="50"/>
      <c r="U3" s="50"/>
      <c r="V3" s="51"/>
      <c r="W3" s="51"/>
      <c r="X3" s="52"/>
      <c r="Y3" s="51"/>
      <c r="Z3" s="51"/>
      <c r="AA3" s="73"/>
      <c r="AB3" s="73"/>
      <c r="AC3" s="74"/>
      <c r="AD3" s="80" t="s">
        <v>8035</v>
      </c>
      <c r="AE3" s="85" t="s">
        <v>9111</v>
      </c>
      <c r="AF3" s="80">
        <v>1718</v>
      </c>
      <c r="AG3" s="80">
        <v>1134</v>
      </c>
      <c r="AH3" s="80">
        <v>9224</v>
      </c>
      <c r="AI3" s="80">
        <v>5689</v>
      </c>
      <c r="AJ3" s="80"/>
      <c r="AK3" s="80" t="s">
        <v>10063</v>
      </c>
      <c r="AL3" s="80" t="s">
        <v>10985</v>
      </c>
      <c r="AM3" s="87" t="str">
        <f>HYPERLINK("https://t.co/kdC2sgznXO")</f>
        <v>https://t.co/kdC2sgznXO</v>
      </c>
      <c r="AN3" s="80"/>
      <c r="AO3" s="82">
        <v>39901.887337962966</v>
      </c>
      <c r="AP3" s="87" t="str">
        <f>HYPERLINK("https://pbs.twimg.com/profile_banners/27506495/1566782737")</f>
        <v>https://pbs.twimg.com/profile_banners/27506495/1566782737</v>
      </c>
      <c r="AQ3" s="80" t="b">
        <v>0</v>
      </c>
      <c r="AR3" s="80" t="b">
        <v>0</v>
      </c>
      <c r="AS3" s="80" t="b">
        <v>1</v>
      </c>
      <c r="AT3" s="80"/>
      <c r="AU3" s="80">
        <v>7</v>
      </c>
      <c r="AV3" s="87" t="str">
        <f>HYPERLINK("https://abs.twimg.com/images/themes/theme8/bg.gif")</f>
        <v>https://abs.twimg.com/images/themes/theme8/bg.gif</v>
      </c>
      <c r="AW3" s="80" t="b">
        <v>0</v>
      </c>
      <c r="AX3" s="80" t="s">
        <v>3728</v>
      </c>
      <c r="AY3" s="87" t="str">
        <f>HYPERLINK("https://twitter.com/gillcombr")</f>
        <v>https://twitter.com/gillcombr</v>
      </c>
      <c r="AZ3" s="80" t="s">
        <v>66</v>
      </c>
      <c r="BA3" s="3"/>
      <c r="BB3" s="3"/>
    </row>
    <row r="4" spans="1:57" x14ac:dyDescent="0.35">
      <c r="A4" s="66" t="s">
        <v>4168</v>
      </c>
      <c r="B4" s="67"/>
      <c r="C4" s="67"/>
      <c r="D4" s="68"/>
      <c r="E4" s="94"/>
      <c r="F4" s="93" t="str">
        <f>HYPERLINK("https://pbs.twimg.com/profile_images/1301807251880112129/DwEZO-_S_normal.jpg")</f>
        <v>https://pbs.twimg.com/profile_images/1301807251880112129/DwEZO-_S_normal.jpg</v>
      </c>
      <c r="G4" s="95"/>
      <c r="H4" s="71"/>
      <c r="I4" s="72"/>
      <c r="J4" s="96"/>
      <c r="K4" s="71" t="s">
        <v>11403</v>
      </c>
      <c r="L4" s="97"/>
      <c r="M4" s="76"/>
      <c r="N4" s="76"/>
      <c r="O4" s="77"/>
      <c r="P4" s="78"/>
      <c r="Q4" s="78"/>
      <c r="R4" s="92"/>
      <c r="S4" s="92"/>
      <c r="T4" s="92"/>
      <c r="U4" s="92"/>
      <c r="V4" s="52"/>
      <c r="W4" s="52"/>
      <c r="X4" s="52"/>
      <c r="Y4" s="52"/>
      <c r="Z4" s="51"/>
      <c r="AA4" s="73"/>
      <c r="AB4" s="73"/>
      <c r="AC4" s="74"/>
      <c r="AD4" s="81" t="s">
        <v>8036</v>
      </c>
      <c r="AE4" s="86" t="s">
        <v>9112</v>
      </c>
      <c r="AF4" s="81">
        <v>337</v>
      </c>
      <c r="AG4" s="81">
        <v>2361</v>
      </c>
      <c r="AH4" s="81">
        <v>860</v>
      </c>
      <c r="AI4" s="81">
        <v>2514</v>
      </c>
      <c r="AJ4" s="81"/>
      <c r="AK4" s="81" t="s">
        <v>10064</v>
      </c>
      <c r="AL4" s="81" t="s">
        <v>10995</v>
      </c>
      <c r="AM4" s="84" t="str">
        <f>HYPERLINK("https://t.co/GXEb5HWUPn")</f>
        <v>https://t.co/GXEb5HWUPn</v>
      </c>
      <c r="AN4" s="81"/>
      <c r="AO4" s="83">
        <v>42098.385729166665</v>
      </c>
      <c r="AP4" s="84" t="str">
        <f>HYPERLINK("https://pbs.twimg.com/profile_banners/3133060425/1561992313")</f>
        <v>https://pbs.twimg.com/profile_banners/3133060425/1561992313</v>
      </c>
      <c r="AQ4" s="81" t="b">
        <v>0</v>
      </c>
      <c r="AR4" s="81" t="b">
        <v>0</v>
      </c>
      <c r="AS4" s="81" t="b">
        <v>1</v>
      </c>
      <c r="AT4" s="81"/>
      <c r="AU4" s="81">
        <v>23</v>
      </c>
      <c r="AV4" s="84" t="str">
        <f>HYPERLINK("https://abs.twimg.com/images/themes/theme4/bg.gif")</f>
        <v>https://abs.twimg.com/images/themes/theme4/bg.gif</v>
      </c>
      <c r="AW4" s="81" t="b">
        <v>0</v>
      </c>
      <c r="AX4" s="81" t="s">
        <v>3728</v>
      </c>
      <c r="AY4" s="84" t="str">
        <f>HYPERLINK("https://twitter.com/sreboleira")</f>
        <v>https://twitter.com/sreboleira</v>
      </c>
      <c r="AZ4" s="81" t="s">
        <v>66</v>
      </c>
      <c r="BA4" s="2"/>
      <c r="BB4" s="3"/>
      <c r="BC4" s="3"/>
      <c r="BD4" s="3"/>
      <c r="BE4" s="3"/>
    </row>
    <row r="5" spans="1:57" x14ac:dyDescent="0.35">
      <c r="A5" s="66" t="s">
        <v>4170</v>
      </c>
      <c r="B5" s="67"/>
      <c r="C5" s="67"/>
      <c r="D5" s="68"/>
      <c r="E5" s="94"/>
      <c r="F5" s="93" t="str">
        <f>HYPERLINK("https://pbs.twimg.com/profile_images/942713863908265984/-6gaKjpl_normal.jpg")</f>
        <v>https://pbs.twimg.com/profile_images/942713863908265984/-6gaKjpl_normal.jpg</v>
      </c>
      <c r="G5" s="95"/>
      <c r="H5" s="71"/>
      <c r="I5" s="72"/>
      <c r="J5" s="96"/>
      <c r="K5" s="71" t="s">
        <v>11404</v>
      </c>
      <c r="L5" s="97"/>
      <c r="M5" s="76"/>
      <c r="N5" s="76"/>
      <c r="O5" s="77"/>
      <c r="P5" s="78"/>
      <c r="Q5" s="78"/>
      <c r="R5" s="92"/>
      <c r="S5" s="92"/>
      <c r="T5" s="92"/>
      <c r="U5" s="92"/>
      <c r="V5" s="52"/>
      <c r="W5" s="52"/>
      <c r="X5" s="52"/>
      <c r="Y5" s="52"/>
      <c r="Z5" s="51"/>
      <c r="AA5" s="73"/>
      <c r="AB5" s="73"/>
      <c r="AC5" s="74"/>
      <c r="AD5" s="81" t="s">
        <v>8037</v>
      </c>
      <c r="AE5" s="86" t="s">
        <v>9113</v>
      </c>
      <c r="AF5" s="81">
        <v>748</v>
      </c>
      <c r="AG5" s="81">
        <v>3518</v>
      </c>
      <c r="AH5" s="81">
        <v>4070</v>
      </c>
      <c r="AI5" s="81">
        <v>1581</v>
      </c>
      <c r="AJ5" s="81"/>
      <c r="AK5" s="81" t="s">
        <v>10065</v>
      </c>
      <c r="AL5" s="81" t="s">
        <v>10990</v>
      </c>
      <c r="AM5" s="84" t="str">
        <f>HYPERLINK("http://t.co/i59OddYqqx")</f>
        <v>http://t.co/i59OddYqqx</v>
      </c>
      <c r="AN5" s="81"/>
      <c r="AO5" s="83">
        <v>40382.572094907409</v>
      </c>
      <c r="AP5" s="84" t="str">
        <f>HYPERLINK("https://pbs.twimg.com/profile_banners/169913717/1572886131")</f>
        <v>https://pbs.twimg.com/profile_banners/169913717/1572886131</v>
      </c>
      <c r="AQ5" s="81" t="b">
        <v>0</v>
      </c>
      <c r="AR5" s="81" t="b">
        <v>0</v>
      </c>
      <c r="AS5" s="81" t="b">
        <v>1</v>
      </c>
      <c r="AT5" s="81"/>
      <c r="AU5" s="81">
        <v>34</v>
      </c>
      <c r="AV5" s="84" t="str">
        <f>HYPERLINK("https://abs.twimg.com/images/themes/theme4/bg.gif")</f>
        <v>https://abs.twimg.com/images/themes/theme4/bg.gif</v>
      </c>
      <c r="AW5" s="81" t="b">
        <v>0</v>
      </c>
      <c r="AX5" s="81" t="s">
        <v>3728</v>
      </c>
      <c r="AY5" s="84" t="str">
        <f>HYPERLINK("https://twitter.com/fc_ul")</f>
        <v>https://twitter.com/fc_ul</v>
      </c>
      <c r="AZ5" s="81" t="s">
        <v>66</v>
      </c>
      <c r="BA5" s="2"/>
      <c r="BB5" s="3"/>
      <c r="BC5" s="3"/>
      <c r="BD5" s="3"/>
      <c r="BE5" s="3"/>
    </row>
    <row r="6" spans="1:57" x14ac:dyDescent="0.35">
      <c r="A6" s="66" t="s">
        <v>4169</v>
      </c>
      <c r="B6" s="67"/>
      <c r="C6" s="67"/>
      <c r="D6" s="68"/>
      <c r="E6" s="94"/>
      <c r="F6" s="93" t="str">
        <f>HYPERLINK("https://pbs.twimg.com/profile_images/1042319000888328193/0Pyu16rJ_normal.jpg")</f>
        <v>https://pbs.twimg.com/profile_images/1042319000888328193/0Pyu16rJ_normal.jpg</v>
      </c>
      <c r="G6" s="95"/>
      <c r="H6" s="71"/>
      <c r="I6" s="72"/>
      <c r="J6" s="96"/>
      <c r="K6" s="71" t="s">
        <v>11405</v>
      </c>
      <c r="L6" s="97"/>
      <c r="M6" s="76"/>
      <c r="N6" s="76"/>
      <c r="O6" s="77"/>
      <c r="P6" s="78"/>
      <c r="Q6" s="78"/>
      <c r="R6" s="92"/>
      <c r="S6" s="92"/>
      <c r="T6" s="92"/>
      <c r="U6" s="92"/>
      <c r="V6" s="52"/>
      <c r="W6" s="52"/>
      <c r="X6" s="52"/>
      <c r="Y6" s="52"/>
      <c r="Z6" s="51"/>
      <c r="AA6" s="73"/>
      <c r="AB6" s="73"/>
      <c r="AC6" s="74"/>
      <c r="AD6" s="81" t="s">
        <v>8038</v>
      </c>
      <c r="AE6" s="86" t="s">
        <v>9114</v>
      </c>
      <c r="AF6" s="81">
        <v>81</v>
      </c>
      <c r="AG6" s="81">
        <v>244</v>
      </c>
      <c r="AH6" s="81">
        <v>179</v>
      </c>
      <c r="AI6" s="81">
        <v>127</v>
      </c>
      <c r="AJ6" s="81"/>
      <c r="AK6" s="81" t="s">
        <v>10066</v>
      </c>
      <c r="AL6" s="81"/>
      <c r="AM6" s="84" t="str">
        <f>HYPERLINK("https://t.co/NTy2cI8zgh")</f>
        <v>https://t.co/NTy2cI8zgh</v>
      </c>
      <c r="AN6" s="81"/>
      <c r="AO6" s="83">
        <v>43071.522685185184</v>
      </c>
      <c r="AP6" s="84" t="str">
        <f>HYPERLINK("https://pbs.twimg.com/profile_banners/936936150769569793/1512218337")</f>
        <v>https://pbs.twimg.com/profile_banners/936936150769569793/1512218337</v>
      </c>
      <c r="AQ6" s="81" t="b">
        <v>1</v>
      </c>
      <c r="AR6" s="81" t="b">
        <v>0</v>
      </c>
      <c r="AS6" s="81" t="b">
        <v>1</v>
      </c>
      <c r="AT6" s="81"/>
      <c r="AU6" s="81">
        <v>1</v>
      </c>
      <c r="AV6" s="81"/>
      <c r="AW6" s="81" t="b">
        <v>0</v>
      </c>
      <c r="AX6" s="81" t="s">
        <v>3728</v>
      </c>
      <c r="AY6" s="84" t="str">
        <f>HYPERLINK("https://twitter.com/reboleiralab")</f>
        <v>https://twitter.com/reboleiralab</v>
      </c>
      <c r="AZ6" s="81" t="s">
        <v>66</v>
      </c>
      <c r="BA6" s="2"/>
      <c r="BB6" s="3"/>
      <c r="BC6" s="3"/>
      <c r="BD6" s="3"/>
      <c r="BE6" s="3"/>
    </row>
    <row r="7" spans="1:57" x14ac:dyDescent="0.35">
      <c r="A7" s="66" t="s">
        <v>4171</v>
      </c>
      <c r="B7" s="67"/>
      <c r="C7" s="67"/>
      <c r="D7" s="68"/>
      <c r="E7" s="94"/>
      <c r="F7" s="93" t="str">
        <f>HYPERLINK("https://pbs.twimg.com/profile_images/1309129468687060996/KKuKz0SI_normal.png")</f>
        <v>https://pbs.twimg.com/profile_images/1309129468687060996/KKuKz0SI_normal.png</v>
      </c>
      <c r="G7" s="95"/>
      <c r="H7" s="71"/>
      <c r="I7" s="72"/>
      <c r="J7" s="96"/>
      <c r="K7" s="71" t="s">
        <v>11406</v>
      </c>
      <c r="L7" s="97"/>
      <c r="M7" s="76"/>
      <c r="N7" s="76"/>
      <c r="O7" s="77"/>
      <c r="P7" s="78"/>
      <c r="Q7" s="78"/>
      <c r="R7" s="92"/>
      <c r="S7" s="92"/>
      <c r="T7" s="92"/>
      <c r="U7" s="92"/>
      <c r="V7" s="52"/>
      <c r="W7" s="52"/>
      <c r="X7" s="52"/>
      <c r="Y7" s="52"/>
      <c r="Z7" s="51"/>
      <c r="AA7" s="73"/>
      <c r="AB7" s="73"/>
      <c r="AC7" s="74"/>
      <c r="AD7" s="81" t="s">
        <v>8039</v>
      </c>
      <c r="AE7" s="86" t="s">
        <v>9115</v>
      </c>
      <c r="AF7" s="81">
        <v>93</v>
      </c>
      <c r="AG7" s="81">
        <v>151</v>
      </c>
      <c r="AH7" s="81">
        <v>179</v>
      </c>
      <c r="AI7" s="81">
        <v>112</v>
      </c>
      <c r="AJ7" s="81"/>
      <c r="AK7" s="81" t="s">
        <v>10067</v>
      </c>
      <c r="AL7" s="81" t="s">
        <v>10995</v>
      </c>
      <c r="AM7" s="84" t="str">
        <f>HYPERLINK("https://t.co/tYwpoVi2Ky")</f>
        <v>https://t.co/tYwpoVi2Ky</v>
      </c>
      <c r="AN7" s="81"/>
      <c r="AO7" s="83">
        <v>44098.579930555556</v>
      </c>
      <c r="AP7" s="84" t="str">
        <f>HYPERLINK("https://pbs.twimg.com/profile_banners/1309129157834682368/1601565607")</f>
        <v>https://pbs.twimg.com/profile_banners/1309129157834682368/1601565607</v>
      </c>
      <c r="AQ7" s="81" t="b">
        <v>1</v>
      </c>
      <c r="AR7" s="81" t="b">
        <v>0</v>
      </c>
      <c r="AS7" s="81" t="b">
        <v>0</v>
      </c>
      <c r="AT7" s="81"/>
      <c r="AU7" s="81">
        <v>1</v>
      </c>
      <c r="AV7" s="81"/>
      <c r="AW7" s="81" t="b">
        <v>0</v>
      </c>
      <c r="AX7" s="81" t="s">
        <v>3728</v>
      </c>
      <c r="AY7" s="84" t="str">
        <f>HYPERLINK("https://twitter.com/tmb_ce3c")</f>
        <v>https://twitter.com/tmb_ce3c</v>
      </c>
      <c r="AZ7" s="81" t="s">
        <v>66</v>
      </c>
      <c r="BA7" s="2"/>
      <c r="BB7" s="3"/>
      <c r="BC7" s="3"/>
      <c r="BD7" s="3"/>
      <c r="BE7" s="3"/>
    </row>
    <row r="8" spans="1:57" x14ac:dyDescent="0.35">
      <c r="A8" s="66" t="s">
        <v>220</v>
      </c>
      <c r="B8" s="67"/>
      <c r="C8" s="67"/>
      <c r="D8" s="68"/>
      <c r="E8" s="94"/>
      <c r="F8" s="93" t="str">
        <f>HYPERLINK("https://pbs.twimg.com/profile_images/1369920100074094595/lCDyxNMn_normal.jpg")</f>
        <v>https://pbs.twimg.com/profile_images/1369920100074094595/lCDyxNMn_normal.jpg</v>
      </c>
      <c r="G8" s="95"/>
      <c r="H8" s="71"/>
      <c r="I8" s="72"/>
      <c r="J8" s="96"/>
      <c r="K8" s="71" t="s">
        <v>3738</v>
      </c>
      <c r="L8" s="97"/>
      <c r="M8" s="76"/>
      <c r="N8" s="76"/>
      <c r="O8" s="77"/>
      <c r="P8" s="78"/>
      <c r="Q8" s="78"/>
      <c r="R8" s="92"/>
      <c r="S8" s="92"/>
      <c r="T8" s="92"/>
      <c r="U8" s="92"/>
      <c r="V8" s="52"/>
      <c r="W8" s="52"/>
      <c r="X8" s="52"/>
      <c r="Y8" s="52"/>
      <c r="Z8" s="51"/>
      <c r="AA8" s="73"/>
      <c r="AB8" s="73"/>
      <c r="AC8" s="74"/>
      <c r="AD8" s="81" t="s">
        <v>8040</v>
      </c>
      <c r="AE8" s="86" t="s">
        <v>2688</v>
      </c>
      <c r="AF8" s="81">
        <v>15</v>
      </c>
      <c r="AG8" s="81">
        <v>23</v>
      </c>
      <c r="AH8" s="81">
        <v>600</v>
      </c>
      <c r="AI8" s="81">
        <v>181</v>
      </c>
      <c r="AJ8" s="81"/>
      <c r="AK8" s="81" t="s">
        <v>10068</v>
      </c>
      <c r="AL8" s="81" t="s">
        <v>3528</v>
      </c>
      <c r="AM8" s="84" t="str">
        <f>HYPERLINK("https://t.co/9X396rNwQF")</f>
        <v>https://t.co/9X396rNwQF</v>
      </c>
      <c r="AN8" s="81"/>
      <c r="AO8" s="83">
        <v>44266.298900462964</v>
      </c>
      <c r="AP8" s="84" t="str">
        <f>HYPERLINK("https://pbs.twimg.com/profile_banners/1369908501959512064/1630660513")</f>
        <v>https://pbs.twimg.com/profile_banners/1369908501959512064/1630660513</v>
      </c>
      <c r="AQ8" s="81" t="b">
        <v>1</v>
      </c>
      <c r="AR8" s="81" t="b">
        <v>0</v>
      </c>
      <c r="AS8" s="81" t="b">
        <v>0</v>
      </c>
      <c r="AT8" s="81"/>
      <c r="AU8" s="81">
        <v>0</v>
      </c>
      <c r="AV8" s="81"/>
      <c r="AW8" s="81" t="b">
        <v>0</v>
      </c>
      <c r="AX8" s="81" t="s">
        <v>3728</v>
      </c>
      <c r="AY8" s="84" t="str">
        <f>HYPERLINK("https://twitter.com/chyuns99")</f>
        <v>https://twitter.com/chyuns99</v>
      </c>
      <c r="AZ8" s="81" t="s">
        <v>66</v>
      </c>
      <c r="BA8" s="2"/>
      <c r="BB8" s="3"/>
      <c r="BC8" s="3"/>
      <c r="BD8" s="3"/>
      <c r="BE8" s="3"/>
    </row>
    <row r="9" spans="1:57" x14ac:dyDescent="0.35">
      <c r="A9" s="66" t="s">
        <v>592</v>
      </c>
      <c r="B9" s="67"/>
      <c r="C9" s="67"/>
      <c r="D9" s="68"/>
      <c r="E9" s="94"/>
      <c r="F9" s="93" t="str">
        <f>HYPERLINK("https://pbs.twimg.com/profile_images/1433456933713838081/4Ox3kgNB_normal.jpg")</f>
        <v>https://pbs.twimg.com/profile_images/1433456933713838081/4Ox3kgNB_normal.jpg</v>
      </c>
      <c r="G9" s="95"/>
      <c r="H9" s="71"/>
      <c r="I9" s="72"/>
      <c r="J9" s="96"/>
      <c r="K9" s="71" t="s">
        <v>3737</v>
      </c>
      <c r="L9" s="97"/>
      <c r="M9" s="76"/>
      <c r="N9" s="76"/>
      <c r="O9" s="77"/>
      <c r="P9" s="78"/>
      <c r="Q9" s="78"/>
      <c r="R9" s="92"/>
      <c r="S9" s="92"/>
      <c r="T9" s="92"/>
      <c r="U9" s="92"/>
      <c r="V9" s="52"/>
      <c r="W9" s="52"/>
      <c r="X9" s="52"/>
      <c r="Y9" s="52"/>
      <c r="Z9" s="51"/>
      <c r="AA9" s="73"/>
      <c r="AB9" s="73"/>
      <c r="AC9" s="74"/>
      <c r="AD9" s="81" t="s">
        <v>2251</v>
      </c>
      <c r="AE9" s="86" t="s">
        <v>2687</v>
      </c>
      <c r="AF9" s="81">
        <v>338</v>
      </c>
      <c r="AG9" s="81">
        <v>114</v>
      </c>
      <c r="AH9" s="81">
        <v>4141</v>
      </c>
      <c r="AI9" s="81">
        <v>22057</v>
      </c>
      <c r="AJ9" s="81"/>
      <c r="AK9" s="81" t="s">
        <v>3090</v>
      </c>
      <c r="AL9" s="81" t="s">
        <v>3526</v>
      </c>
      <c r="AM9" s="81"/>
      <c r="AN9" s="81"/>
      <c r="AO9" s="83">
        <v>44008.38753472222</v>
      </c>
      <c r="AP9" s="84" t="str">
        <f>HYPERLINK("https://pbs.twimg.com/profile_banners/1276444510520635392/1631329191")</f>
        <v>https://pbs.twimg.com/profile_banners/1276444510520635392/1631329191</v>
      </c>
      <c r="AQ9" s="81" t="b">
        <v>1</v>
      </c>
      <c r="AR9" s="81" t="b">
        <v>0</v>
      </c>
      <c r="AS9" s="81" t="b">
        <v>0</v>
      </c>
      <c r="AT9" s="81"/>
      <c r="AU9" s="81">
        <v>5</v>
      </c>
      <c r="AV9" s="81"/>
      <c r="AW9" s="81" t="b">
        <v>0</v>
      </c>
      <c r="AX9" s="81" t="s">
        <v>3728</v>
      </c>
      <c r="AY9" s="84" t="str">
        <f>HYPERLINK("https://twitter.com/linorieng")</f>
        <v>https://twitter.com/linorieng</v>
      </c>
      <c r="AZ9" s="81" t="s">
        <v>66</v>
      </c>
      <c r="BA9" s="2"/>
      <c r="BB9" s="3"/>
      <c r="BC9" s="3"/>
      <c r="BD9" s="3"/>
      <c r="BE9" s="3"/>
    </row>
    <row r="10" spans="1:57" x14ac:dyDescent="0.35">
      <c r="A10" s="66" t="s">
        <v>221</v>
      </c>
      <c r="B10" s="67"/>
      <c r="C10" s="67"/>
      <c r="D10" s="68"/>
      <c r="E10" s="94"/>
      <c r="F10" s="93" t="str">
        <f>HYPERLINK("https://pbs.twimg.com/profile_images/1439231613066354691/yC32kpqj_normal.jpg")</f>
        <v>https://pbs.twimg.com/profile_images/1439231613066354691/yC32kpqj_normal.jpg</v>
      </c>
      <c r="G10" s="95"/>
      <c r="H10" s="71"/>
      <c r="I10" s="72"/>
      <c r="J10" s="96"/>
      <c r="K10" s="71" t="s">
        <v>3739</v>
      </c>
      <c r="L10" s="97"/>
      <c r="M10" s="76"/>
      <c r="N10" s="76"/>
      <c r="O10" s="77"/>
      <c r="P10" s="78"/>
      <c r="Q10" s="78"/>
      <c r="R10" s="92"/>
      <c r="S10" s="92"/>
      <c r="T10" s="92"/>
      <c r="U10" s="92"/>
      <c r="V10" s="52"/>
      <c r="W10" s="52"/>
      <c r="X10" s="52"/>
      <c r="Y10" s="52"/>
      <c r="Z10" s="51"/>
      <c r="AA10" s="73"/>
      <c r="AB10" s="73"/>
      <c r="AC10" s="74"/>
      <c r="AD10" s="81" t="s">
        <v>2252</v>
      </c>
      <c r="AE10" s="86" t="s">
        <v>2689</v>
      </c>
      <c r="AF10" s="81">
        <v>731</v>
      </c>
      <c r="AG10" s="81">
        <v>495</v>
      </c>
      <c r="AH10" s="81">
        <v>84533</v>
      </c>
      <c r="AI10" s="81">
        <v>102385</v>
      </c>
      <c r="AJ10" s="81"/>
      <c r="AK10" s="81" t="s">
        <v>3091</v>
      </c>
      <c r="AL10" s="81" t="s">
        <v>3529</v>
      </c>
      <c r="AM10" s="84" t="str">
        <f>HYPERLINK("https://t.co/vqsZ71ULao")</f>
        <v>https://t.co/vqsZ71ULao</v>
      </c>
      <c r="AN10" s="81"/>
      <c r="AO10" s="83">
        <v>42036.128587962965</v>
      </c>
      <c r="AP10" s="84" t="str">
        <f>HYPERLINK("https://pbs.twimg.com/profile_banners/3005720286/1622685343")</f>
        <v>https://pbs.twimg.com/profile_banners/3005720286/1622685343</v>
      </c>
      <c r="AQ10" s="81" t="b">
        <v>0</v>
      </c>
      <c r="AR10" s="81" t="b">
        <v>0</v>
      </c>
      <c r="AS10" s="81" t="b">
        <v>1</v>
      </c>
      <c r="AT10" s="81"/>
      <c r="AU10" s="81">
        <v>3</v>
      </c>
      <c r="AV10" s="84" t="str">
        <f>HYPERLINK("https://abs.twimg.com/images/themes/theme1/bg.png")</f>
        <v>https://abs.twimg.com/images/themes/theme1/bg.png</v>
      </c>
      <c r="AW10" s="81" t="b">
        <v>0</v>
      </c>
      <c r="AX10" s="81" t="s">
        <v>3728</v>
      </c>
      <c r="AY10" s="84" t="str">
        <f>HYPERLINK("https://twitter.com/fais_mohder")</f>
        <v>https://twitter.com/fais_mohder</v>
      </c>
      <c r="AZ10" s="81" t="s">
        <v>66</v>
      </c>
      <c r="BA10" s="2"/>
      <c r="BB10" s="3"/>
      <c r="BC10" s="3"/>
      <c r="BD10" s="3"/>
      <c r="BE10" s="3"/>
    </row>
    <row r="11" spans="1:57" x14ac:dyDescent="0.35">
      <c r="A11" s="66" t="s">
        <v>217</v>
      </c>
      <c r="B11" s="67"/>
      <c r="C11" s="67"/>
      <c r="D11" s="68"/>
      <c r="E11" s="94"/>
      <c r="F11" s="93" t="str">
        <f>HYPERLINK("https://pbs.twimg.com/profile_images/1409364757623185412/aK1A9LPz_normal.jpg")</f>
        <v>https://pbs.twimg.com/profile_images/1409364757623185412/aK1A9LPz_normal.jpg</v>
      </c>
      <c r="G11" s="95"/>
      <c r="H11" s="71"/>
      <c r="I11" s="72"/>
      <c r="J11" s="96"/>
      <c r="K11" s="71" t="s">
        <v>14263</v>
      </c>
      <c r="L11" s="97"/>
      <c r="M11" s="76"/>
      <c r="N11" s="76"/>
      <c r="O11" s="77"/>
      <c r="P11" s="78"/>
      <c r="Q11" s="78"/>
      <c r="R11" s="92"/>
      <c r="S11" s="92"/>
      <c r="T11" s="92"/>
      <c r="U11" s="92"/>
      <c r="V11" s="52"/>
      <c r="W11" s="52"/>
      <c r="X11" s="52"/>
      <c r="Y11" s="52"/>
      <c r="Z11" s="51"/>
      <c r="AA11" s="73"/>
      <c r="AB11" s="73"/>
      <c r="AC11" s="74"/>
      <c r="AD11" s="81" t="s">
        <v>2241</v>
      </c>
      <c r="AE11" s="86" t="s">
        <v>2086</v>
      </c>
      <c r="AF11" s="81">
        <v>183</v>
      </c>
      <c r="AG11" s="81">
        <v>458</v>
      </c>
      <c r="AH11" s="81">
        <v>8130</v>
      </c>
      <c r="AI11" s="81">
        <v>1962</v>
      </c>
      <c r="AJ11" s="81"/>
      <c r="AK11" s="81" t="s">
        <v>3082</v>
      </c>
      <c r="AL11" s="81"/>
      <c r="AM11" s="81"/>
      <c r="AN11" s="81"/>
      <c r="AO11" s="83">
        <v>42385.265694444446</v>
      </c>
      <c r="AP11" s="84" t="str">
        <f>HYPERLINK("https://pbs.twimg.com/profile_banners/4766895456/1614157109")</f>
        <v>https://pbs.twimg.com/profile_banners/4766895456/1614157109</v>
      </c>
      <c r="AQ11" s="81" t="b">
        <v>1</v>
      </c>
      <c r="AR11" s="81" t="b">
        <v>0</v>
      </c>
      <c r="AS11" s="81" t="b">
        <v>1</v>
      </c>
      <c r="AT11" s="81"/>
      <c r="AU11" s="81">
        <v>0</v>
      </c>
      <c r="AV11" s="81"/>
      <c r="AW11" s="81" t="b">
        <v>0</v>
      </c>
      <c r="AX11" s="81" t="s">
        <v>3728</v>
      </c>
      <c r="AY11" s="84" t="str">
        <f>HYPERLINK("https://twitter.com/amierah___")</f>
        <v>https://twitter.com/amierah___</v>
      </c>
      <c r="AZ11" s="81" t="s">
        <v>66</v>
      </c>
      <c r="BA11" s="2"/>
      <c r="BB11" s="3"/>
      <c r="BC11" s="3"/>
      <c r="BD11" s="3"/>
      <c r="BE11" s="3"/>
    </row>
    <row r="12" spans="1:57" x14ac:dyDescent="0.35">
      <c r="A12" s="66" t="s">
        <v>222</v>
      </c>
      <c r="B12" s="67"/>
      <c r="C12" s="67"/>
      <c r="D12" s="68"/>
      <c r="E12" s="94"/>
      <c r="F12" s="93" t="str">
        <f>HYPERLINK("https://pbs.twimg.com/profile_images/1432899524230406146/J30tORrm_normal.jpg")</f>
        <v>https://pbs.twimg.com/profile_images/1432899524230406146/J30tORrm_normal.jpg</v>
      </c>
      <c r="G12" s="95"/>
      <c r="H12" s="71"/>
      <c r="I12" s="72"/>
      <c r="J12" s="96"/>
      <c r="K12" s="71" t="s">
        <v>3740</v>
      </c>
      <c r="L12" s="97"/>
      <c r="M12" s="76"/>
      <c r="N12" s="76"/>
      <c r="O12" s="77"/>
      <c r="P12" s="78"/>
      <c r="Q12" s="78"/>
      <c r="R12" s="92"/>
      <c r="S12" s="92"/>
      <c r="T12" s="92"/>
      <c r="U12" s="92"/>
      <c r="V12" s="52"/>
      <c r="W12" s="52"/>
      <c r="X12" s="52"/>
      <c r="Y12" s="52"/>
      <c r="Z12" s="51"/>
      <c r="AA12" s="73"/>
      <c r="AB12" s="73"/>
      <c r="AC12" s="74"/>
      <c r="AD12" s="81" t="s">
        <v>2253</v>
      </c>
      <c r="AE12" s="86" t="s">
        <v>2690</v>
      </c>
      <c r="AF12" s="81">
        <v>1219</v>
      </c>
      <c r="AG12" s="81">
        <v>545</v>
      </c>
      <c r="AH12" s="81">
        <v>9771</v>
      </c>
      <c r="AI12" s="81">
        <v>10328</v>
      </c>
      <c r="AJ12" s="81"/>
      <c r="AK12" s="81" t="s">
        <v>3092</v>
      </c>
      <c r="AL12" s="81" t="s">
        <v>3530</v>
      </c>
      <c r="AM12" s="81"/>
      <c r="AN12" s="81"/>
      <c r="AO12" s="83">
        <v>41276.347361111111</v>
      </c>
      <c r="AP12" s="84" t="str">
        <f>HYPERLINK("https://pbs.twimg.com/profile_banners/1054520214/1629126221")</f>
        <v>https://pbs.twimg.com/profile_banners/1054520214/1629126221</v>
      </c>
      <c r="AQ12" s="81" t="b">
        <v>0</v>
      </c>
      <c r="AR12" s="81" t="b">
        <v>0</v>
      </c>
      <c r="AS12" s="81" t="b">
        <v>1</v>
      </c>
      <c r="AT12" s="81"/>
      <c r="AU12" s="81">
        <v>2</v>
      </c>
      <c r="AV12" s="84" t="str">
        <f>HYPERLINK("https://abs.twimg.com/images/themes/theme1/bg.png")</f>
        <v>https://abs.twimg.com/images/themes/theme1/bg.png</v>
      </c>
      <c r="AW12" s="81" t="b">
        <v>0</v>
      </c>
      <c r="AX12" s="81" t="s">
        <v>3728</v>
      </c>
      <c r="AY12" s="84" t="str">
        <f>HYPERLINK("https://twitter.com/yellowlixeu")</f>
        <v>https://twitter.com/yellowlixeu</v>
      </c>
      <c r="AZ12" s="81" t="s">
        <v>66</v>
      </c>
      <c r="BA12" s="2"/>
      <c r="BB12" s="3"/>
      <c r="BC12" s="3"/>
      <c r="BD12" s="3"/>
      <c r="BE12" s="3"/>
    </row>
    <row r="13" spans="1:57" x14ac:dyDescent="0.35">
      <c r="A13" s="66" t="s">
        <v>4172</v>
      </c>
      <c r="B13" s="67"/>
      <c r="C13" s="67"/>
      <c r="D13" s="68"/>
      <c r="E13" s="94"/>
      <c r="F13" s="93" t="str">
        <f>HYPERLINK("https://pbs.twimg.com/profile_images/3033648374/af8a4633eba1c0bae052fcd6b8fdfbd9_normal.jpeg")</f>
        <v>https://pbs.twimg.com/profile_images/3033648374/af8a4633eba1c0bae052fcd6b8fdfbd9_normal.jpeg</v>
      </c>
      <c r="G13" s="95"/>
      <c r="H13" s="71"/>
      <c r="I13" s="72"/>
      <c r="J13" s="96"/>
      <c r="K13" s="71" t="s">
        <v>11407</v>
      </c>
      <c r="L13" s="97"/>
      <c r="M13" s="76"/>
      <c r="N13" s="76"/>
      <c r="O13" s="77"/>
      <c r="P13" s="78"/>
      <c r="Q13" s="78"/>
      <c r="R13" s="92"/>
      <c r="S13" s="92"/>
      <c r="T13" s="92"/>
      <c r="U13" s="92"/>
      <c r="V13" s="52"/>
      <c r="W13" s="52"/>
      <c r="X13" s="52"/>
      <c r="Y13" s="52"/>
      <c r="Z13" s="51"/>
      <c r="AA13" s="73"/>
      <c r="AB13" s="73"/>
      <c r="AC13" s="74"/>
      <c r="AD13" s="81" t="s">
        <v>8041</v>
      </c>
      <c r="AE13" s="86" t="s">
        <v>9116</v>
      </c>
      <c r="AF13" s="81">
        <v>4966</v>
      </c>
      <c r="AG13" s="81">
        <v>3089</v>
      </c>
      <c r="AH13" s="81">
        <v>192481</v>
      </c>
      <c r="AI13" s="81">
        <v>21</v>
      </c>
      <c r="AJ13" s="81"/>
      <c r="AK13" s="81"/>
      <c r="AL13" s="81" t="s">
        <v>10996</v>
      </c>
      <c r="AM13" s="81"/>
      <c r="AN13" s="81"/>
      <c r="AO13" s="83">
        <v>40917.074143518519</v>
      </c>
      <c r="AP13" s="81"/>
      <c r="AQ13" s="81" t="b">
        <v>0</v>
      </c>
      <c r="AR13" s="81" t="b">
        <v>0</v>
      </c>
      <c r="AS13" s="81" t="b">
        <v>0</v>
      </c>
      <c r="AT13" s="81"/>
      <c r="AU13" s="81">
        <v>13</v>
      </c>
      <c r="AV13" s="84" t="str">
        <f>HYPERLINK("https://abs.twimg.com/images/themes/theme1/bg.png")</f>
        <v>https://abs.twimg.com/images/themes/theme1/bg.png</v>
      </c>
      <c r="AW13" s="81" t="b">
        <v>0</v>
      </c>
      <c r="AX13" s="81" t="s">
        <v>3728</v>
      </c>
      <c r="AY13" s="84" t="str">
        <f>HYPERLINK("https://twitter.com/gaseduardo")</f>
        <v>https://twitter.com/gaseduardo</v>
      </c>
      <c r="AZ13" s="81" t="s">
        <v>66</v>
      </c>
      <c r="BA13" s="2"/>
      <c r="BB13" s="3"/>
      <c r="BC13" s="3"/>
      <c r="BD13" s="3"/>
      <c r="BE13" s="3"/>
    </row>
    <row r="14" spans="1:57" x14ac:dyDescent="0.35">
      <c r="A14" s="66" t="s">
        <v>223</v>
      </c>
      <c r="B14" s="67"/>
      <c r="C14" s="67"/>
      <c r="D14" s="68"/>
      <c r="E14" s="94"/>
      <c r="F14" s="93" t="str">
        <f>HYPERLINK("https://pbs.twimg.com/profile_images/1382367745979817987/hMqSS_wX_normal.jpg")</f>
        <v>https://pbs.twimg.com/profile_images/1382367745979817987/hMqSS_wX_normal.jpg</v>
      </c>
      <c r="G14" s="95"/>
      <c r="H14" s="71"/>
      <c r="I14" s="72"/>
      <c r="J14" s="96"/>
      <c r="K14" s="71" t="s">
        <v>3741</v>
      </c>
      <c r="L14" s="97"/>
      <c r="M14" s="76"/>
      <c r="N14" s="76"/>
      <c r="O14" s="77"/>
      <c r="P14" s="78"/>
      <c r="Q14" s="78"/>
      <c r="R14" s="92"/>
      <c r="S14" s="92"/>
      <c r="T14" s="92"/>
      <c r="U14" s="92"/>
      <c r="V14" s="52"/>
      <c r="W14" s="52"/>
      <c r="X14" s="52"/>
      <c r="Y14" s="52"/>
      <c r="Z14" s="51"/>
      <c r="AA14" s="73"/>
      <c r="AB14" s="73"/>
      <c r="AC14" s="74"/>
      <c r="AD14" s="81" t="s">
        <v>2254</v>
      </c>
      <c r="AE14" s="86" t="s">
        <v>2691</v>
      </c>
      <c r="AF14" s="81">
        <v>390</v>
      </c>
      <c r="AG14" s="81">
        <v>238</v>
      </c>
      <c r="AH14" s="81">
        <v>42381</v>
      </c>
      <c r="AI14" s="81">
        <v>6322</v>
      </c>
      <c r="AJ14" s="81"/>
      <c r="AK14" s="81" t="s">
        <v>3093</v>
      </c>
      <c r="AL14" s="81" t="s">
        <v>3531</v>
      </c>
      <c r="AM14" s="81"/>
      <c r="AN14" s="81"/>
      <c r="AO14" s="83">
        <v>42558.265868055554</v>
      </c>
      <c r="AP14" s="84" t="str">
        <f>HYPERLINK("https://pbs.twimg.com/profile_banners/750938107529269248/1618417011")</f>
        <v>https://pbs.twimg.com/profile_banners/750938107529269248/1618417011</v>
      </c>
      <c r="AQ14" s="81" t="b">
        <v>1</v>
      </c>
      <c r="AR14" s="81" t="b">
        <v>0</v>
      </c>
      <c r="AS14" s="81" t="b">
        <v>0</v>
      </c>
      <c r="AT14" s="81"/>
      <c r="AU14" s="81">
        <v>1</v>
      </c>
      <c r="AV14" s="81"/>
      <c r="AW14" s="81" t="b">
        <v>0</v>
      </c>
      <c r="AX14" s="81" t="s">
        <v>3728</v>
      </c>
      <c r="AY14" s="84" t="str">
        <f>HYPERLINK("https://twitter.com/nur_alisyaaa")</f>
        <v>https://twitter.com/nur_alisyaaa</v>
      </c>
      <c r="AZ14" s="81" t="s">
        <v>66</v>
      </c>
      <c r="BA14" s="2"/>
      <c r="BB14" s="3"/>
      <c r="BC14" s="3"/>
      <c r="BD14" s="3"/>
      <c r="BE14" s="3"/>
    </row>
    <row r="15" spans="1:57" x14ac:dyDescent="0.35">
      <c r="A15" s="66" t="s">
        <v>4173</v>
      </c>
      <c r="B15" s="67"/>
      <c r="C15" s="67"/>
      <c r="D15" s="68"/>
      <c r="E15" s="94"/>
      <c r="F15" s="93" t="str">
        <f>HYPERLINK("https://pbs.twimg.com/profile_images/1360570134805544964/frL9kO3K_normal.jpg")</f>
        <v>https://pbs.twimg.com/profile_images/1360570134805544964/frL9kO3K_normal.jpg</v>
      </c>
      <c r="G15" s="95"/>
      <c r="H15" s="71"/>
      <c r="I15" s="72"/>
      <c r="J15" s="96"/>
      <c r="K15" s="71" t="s">
        <v>11408</v>
      </c>
      <c r="L15" s="97"/>
      <c r="M15" s="76"/>
      <c r="N15" s="76"/>
      <c r="O15" s="77"/>
      <c r="P15" s="78"/>
      <c r="Q15" s="78"/>
      <c r="R15" s="92"/>
      <c r="S15" s="92"/>
      <c r="T15" s="92"/>
      <c r="U15" s="92"/>
      <c r="V15" s="52"/>
      <c r="W15" s="52"/>
      <c r="X15" s="52"/>
      <c r="Y15" s="52"/>
      <c r="Z15" s="51"/>
      <c r="AA15" s="73"/>
      <c r="AB15" s="73"/>
      <c r="AC15" s="74"/>
      <c r="AD15" s="81" t="s">
        <v>8042</v>
      </c>
      <c r="AE15" s="86" t="s">
        <v>9117</v>
      </c>
      <c r="AF15" s="81">
        <v>184</v>
      </c>
      <c r="AG15" s="81">
        <v>111</v>
      </c>
      <c r="AH15" s="81">
        <v>35345</v>
      </c>
      <c r="AI15" s="81">
        <v>12629</v>
      </c>
      <c r="AJ15" s="81"/>
      <c r="AK15" s="81" t="s">
        <v>10069</v>
      </c>
      <c r="AL15" s="81" t="s">
        <v>10997</v>
      </c>
      <c r="AM15" s="81"/>
      <c r="AN15" s="81"/>
      <c r="AO15" s="83">
        <v>42291.670706018522</v>
      </c>
      <c r="AP15" s="81"/>
      <c r="AQ15" s="81" t="b">
        <v>1</v>
      </c>
      <c r="AR15" s="81" t="b">
        <v>0</v>
      </c>
      <c r="AS15" s="81" t="b">
        <v>0</v>
      </c>
      <c r="AT15" s="81"/>
      <c r="AU15" s="81">
        <v>0</v>
      </c>
      <c r="AV15" s="84" t="str">
        <f>HYPERLINK("https://abs.twimg.com/images/themes/theme1/bg.png")</f>
        <v>https://abs.twimg.com/images/themes/theme1/bg.png</v>
      </c>
      <c r="AW15" s="81" t="b">
        <v>0</v>
      </c>
      <c r="AX15" s="81" t="s">
        <v>3728</v>
      </c>
      <c r="AY15" s="84" t="str">
        <f>HYPERLINK("https://twitter.com/rgvillalba")</f>
        <v>https://twitter.com/rgvillalba</v>
      </c>
      <c r="AZ15" s="81" t="s">
        <v>66</v>
      </c>
      <c r="BA15" s="2"/>
      <c r="BB15" s="3"/>
      <c r="BC15" s="3"/>
      <c r="BD15" s="3"/>
      <c r="BE15" s="3"/>
    </row>
    <row r="16" spans="1:57" x14ac:dyDescent="0.35">
      <c r="A16" s="66" t="s">
        <v>4495</v>
      </c>
      <c r="B16" s="67"/>
      <c r="C16" s="67"/>
      <c r="D16" s="68"/>
      <c r="E16" s="94"/>
      <c r="F16" s="93" t="str">
        <f>HYPERLINK("https://pbs.twimg.com/profile_images/1441883576497287172/tXDjV1W__normal.jpg")</f>
        <v>https://pbs.twimg.com/profile_images/1441883576497287172/tXDjV1W__normal.jpg</v>
      </c>
      <c r="G16" s="95"/>
      <c r="H16" s="71"/>
      <c r="I16" s="72"/>
      <c r="J16" s="96"/>
      <c r="K16" s="71" t="s">
        <v>11390</v>
      </c>
      <c r="L16" s="97"/>
      <c r="M16" s="76"/>
      <c r="N16" s="76"/>
      <c r="O16" s="77"/>
      <c r="P16" s="78"/>
      <c r="Q16" s="78"/>
      <c r="R16" s="92"/>
      <c r="S16" s="92"/>
      <c r="T16" s="92"/>
      <c r="U16" s="92"/>
      <c r="V16" s="52"/>
      <c r="W16" s="52"/>
      <c r="X16" s="52"/>
      <c r="Y16" s="52"/>
      <c r="Z16" s="51"/>
      <c r="AA16" s="73"/>
      <c r="AB16" s="73"/>
      <c r="AC16" s="74"/>
      <c r="AD16" s="81" t="s">
        <v>8024</v>
      </c>
      <c r="AE16" s="86" t="s">
        <v>9109</v>
      </c>
      <c r="AF16" s="81">
        <v>2923</v>
      </c>
      <c r="AG16" s="81">
        <v>30564</v>
      </c>
      <c r="AH16" s="81">
        <v>20984</v>
      </c>
      <c r="AI16" s="81">
        <v>48306</v>
      </c>
      <c r="AJ16" s="81"/>
      <c r="AK16" s="81" t="s">
        <v>10051</v>
      </c>
      <c r="AL16" s="81" t="s">
        <v>10970</v>
      </c>
      <c r="AM16" s="84" t="str">
        <f>HYPERLINK("https://t.co/7kKiKC3vI1")</f>
        <v>https://t.co/7kKiKC3vI1</v>
      </c>
      <c r="AN16" s="81"/>
      <c r="AO16" s="83">
        <v>40128.882708333331</v>
      </c>
      <c r="AP16" s="84" t="str">
        <f>HYPERLINK("https://pbs.twimg.com/profile_banners/89282975/1632364472")</f>
        <v>https://pbs.twimg.com/profile_banners/89282975/1632364472</v>
      </c>
      <c r="AQ16" s="81" t="b">
        <v>1</v>
      </c>
      <c r="AR16" s="81" t="b">
        <v>0</v>
      </c>
      <c r="AS16" s="81" t="b">
        <v>1</v>
      </c>
      <c r="AT16" s="81"/>
      <c r="AU16" s="81">
        <v>39</v>
      </c>
      <c r="AV16" s="84" t="str">
        <f>HYPERLINK("https://abs.twimg.com/images/themes/theme1/bg.png")</f>
        <v>https://abs.twimg.com/images/themes/theme1/bg.png</v>
      </c>
      <c r="AW16" s="81" t="b">
        <v>0</v>
      </c>
      <c r="AX16" s="81" t="s">
        <v>3728</v>
      </c>
      <c r="AY16" s="84" t="str">
        <f>HYPERLINK("https://twitter.com/valeriascher")</f>
        <v>https://twitter.com/valeriascher</v>
      </c>
      <c r="AZ16" s="81" t="s">
        <v>66</v>
      </c>
      <c r="BA16" s="2"/>
      <c r="BB16" s="3"/>
      <c r="BC16" s="3"/>
      <c r="BD16" s="3"/>
      <c r="BE16" s="3"/>
    </row>
    <row r="17" spans="1:57" x14ac:dyDescent="0.35">
      <c r="A17" s="66" t="s">
        <v>4174</v>
      </c>
      <c r="B17" s="67"/>
      <c r="C17" s="67"/>
      <c r="D17" s="68"/>
      <c r="E17" s="94"/>
      <c r="F17" s="93" t="str">
        <f>HYPERLINK("https://pbs.twimg.com/profile_images/1217408894823256064/DlCEh3px_normal.jpg")</f>
        <v>https://pbs.twimg.com/profile_images/1217408894823256064/DlCEh3px_normal.jpg</v>
      </c>
      <c r="G17" s="95"/>
      <c r="H17" s="71"/>
      <c r="I17" s="72"/>
      <c r="J17" s="96"/>
      <c r="K17" s="71" t="s">
        <v>11409</v>
      </c>
      <c r="L17" s="97"/>
      <c r="M17" s="76"/>
      <c r="N17" s="76"/>
      <c r="O17" s="77"/>
      <c r="P17" s="78"/>
      <c r="Q17" s="78"/>
      <c r="R17" s="92"/>
      <c r="S17" s="92"/>
      <c r="T17" s="92"/>
      <c r="U17" s="92"/>
      <c r="V17" s="52"/>
      <c r="W17" s="52"/>
      <c r="X17" s="52"/>
      <c r="Y17" s="52"/>
      <c r="Z17" s="51"/>
      <c r="AA17" s="73"/>
      <c r="AB17" s="73"/>
      <c r="AC17" s="74"/>
      <c r="AD17" s="81" t="s">
        <v>8043</v>
      </c>
      <c r="AE17" s="86" t="s">
        <v>9118</v>
      </c>
      <c r="AF17" s="81">
        <v>3</v>
      </c>
      <c r="AG17" s="81">
        <v>3217</v>
      </c>
      <c r="AH17" s="81">
        <v>8025</v>
      </c>
      <c r="AI17" s="81">
        <v>52</v>
      </c>
      <c r="AJ17" s="81"/>
      <c r="AK17" s="81" t="s">
        <v>10070</v>
      </c>
      <c r="AL17" s="81" t="s">
        <v>10998</v>
      </c>
      <c r="AM17" s="84" t="str">
        <f>HYPERLINK("https://t.co/8rVdIKQEMm")</f>
        <v>https://t.co/8rVdIKQEMm</v>
      </c>
      <c r="AN17" s="81"/>
      <c r="AO17" s="83">
        <v>43797.633715277778</v>
      </c>
      <c r="AP17" s="84" t="str">
        <f>HYPERLINK("https://pbs.twimg.com/profile_banners/1200069794336247808/1620892977")</f>
        <v>https://pbs.twimg.com/profile_banners/1200069794336247808/1620892977</v>
      </c>
      <c r="AQ17" s="81" t="b">
        <v>1</v>
      </c>
      <c r="AR17" s="81" t="b">
        <v>0</v>
      </c>
      <c r="AS17" s="81" t="b">
        <v>0</v>
      </c>
      <c r="AT17" s="81"/>
      <c r="AU17" s="81">
        <v>18</v>
      </c>
      <c r="AV17" s="81"/>
      <c r="AW17" s="81" t="b">
        <v>0</v>
      </c>
      <c r="AX17" s="81" t="s">
        <v>3728</v>
      </c>
      <c r="AY17" s="84" t="str">
        <f>HYPERLINK("https://twitter.com/leoninopt")</f>
        <v>https://twitter.com/leoninopt</v>
      </c>
      <c r="AZ17" s="81" t="s">
        <v>66</v>
      </c>
      <c r="BA17" s="2"/>
      <c r="BB17" s="3"/>
      <c r="BC17" s="3"/>
      <c r="BD17" s="3"/>
      <c r="BE17" s="3"/>
    </row>
    <row r="18" spans="1:57" x14ac:dyDescent="0.35">
      <c r="A18" s="66" t="s">
        <v>4175</v>
      </c>
      <c r="B18" s="67"/>
      <c r="C18" s="67"/>
      <c r="D18" s="68"/>
      <c r="E18" s="94"/>
      <c r="F18" s="93" t="str">
        <f>HYPERLINK("https://pbs.twimg.com/profile_images/1289676007922860032/MNK-9AWy_normal.jpg")</f>
        <v>https://pbs.twimg.com/profile_images/1289676007922860032/MNK-9AWy_normal.jpg</v>
      </c>
      <c r="G18" s="95"/>
      <c r="H18" s="71"/>
      <c r="I18" s="72"/>
      <c r="J18" s="96"/>
      <c r="K18" s="71" t="s">
        <v>11410</v>
      </c>
      <c r="L18" s="97"/>
      <c r="M18" s="76"/>
      <c r="N18" s="76"/>
      <c r="O18" s="77"/>
      <c r="P18" s="78"/>
      <c r="Q18" s="78"/>
      <c r="R18" s="92"/>
      <c r="S18" s="92"/>
      <c r="T18" s="92"/>
      <c r="U18" s="92"/>
      <c r="V18" s="52"/>
      <c r="W18" s="52"/>
      <c r="X18" s="52"/>
      <c r="Y18" s="52"/>
      <c r="Z18" s="51"/>
      <c r="AA18" s="73"/>
      <c r="AB18" s="73"/>
      <c r="AC18" s="74"/>
      <c r="AD18" s="81" t="s">
        <v>2385</v>
      </c>
      <c r="AE18" s="86" t="s">
        <v>9119</v>
      </c>
      <c r="AF18" s="81">
        <v>46</v>
      </c>
      <c r="AG18" s="81">
        <v>49244</v>
      </c>
      <c r="AH18" s="81">
        <v>8604</v>
      </c>
      <c r="AI18" s="81">
        <v>198</v>
      </c>
      <c r="AJ18" s="81"/>
      <c r="AK18" s="81" t="s">
        <v>10071</v>
      </c>
      <c r="AL18" s="81" t="s">
        <v>10999</v>
      </c>
      <c r="AM18" s="84" t="str">
        <f>HYPERLINK("https://t.co/z9vvvbncHm")</f>
        <v>https://t.co/z9vvvbncHm</v>
      </c>
      <c r="AN18" s="81"/>
      <c r="AO18" s="83">
        <v>43733.682592592595</v>
      </c>
      <c r="AP18" s="84" t="str">
        <f>HYPERLINK("https://pbs.twimg.com/profile_banners/1176894795907837952/1632957251")</f>
        <v>https://pbs.twimg.com/profile_banners/1176894795907837952/1632957251</v>
      </c>
      <c r="AQ18" s="81" t="b">
        <v>1</v>
      </c>
      <c r="AR18" s="81" t="b">
        <v>0</v>
      </c>
      <c r="AS18" s="81" t="b">
        <v>1</v>
      </c>
      <c r="AT18" s="81"/>
      <c r="AU18" s="81">
        <v>73</v>
      </c>
      <c r="AV18" s="81"/>
      <c r="AW18" s="81" t="b">
        <v>1</v>
      </c>
      <c r="AX18" s="81" t="s">
        <v>3728</v>
      </c>
      <c r="AY18" s="84" t="str">
        <f>HYPERLINK("https://twitter.com/juventusfcpt")</f>
        <v>https://twitter.com/juventusfcpt</v>
      </c>
      <c r="AZ18" s="81" t="s">
        <v>66</v>
      </c>
      <c r="BA18" s="2"/>
      <c r="BB18" s="3"/>
      <c r="BC18" s="3"/>
      <c r="BD18" s="3"/>
      <c r="BE18" s="3"/>
    </row>
    <row r="19" spans="1:57" x14ac:dyDescent="0.35">
      <c r="A19" s="66" t="s">
        <v>4176</v>
      </c>
      <c r="B19" s="67"/>
      <c r="C19" s="67"/>
      <c r="D19" s="68"/>
      <c r="E19" s="94"/>
      <c r="F19" s="93" t="str">
        <f>HYPERLINK("https://pbs.twimg.com/profile_images/1430274926745989120/QSCq0pNy_normal.jpg")</f>
        <v>https://pbs.twimg.com/profile_images/1430274926745989120/QSCq0pNy_normal.jpg</v>
      </c>
      <c r="G19" s="95"/>
      <c r="H19" s="71"/>
      <c r="I19" s="72"/>
      <c r="J19" s="96"/>
      <c r="K19" s="71" t="s">
        <v>11411</v>
      </c>
      <c r="L19" s="97"/>
      <c r="M19" s="76"/>
      <c r="N19" s="76"/>
      <c r="O19" s="77"/>
      <c r="P19" s="78"/>
      <c r="Q19" s="78"/>
      <c r="R19" s="92"/>
      <c r="S19" s="92"/>
      <c r="T19" s="92"/>
      <c r="U19" s="92"/>
      <c r="V19" s="52"/>
      <c r="W19" s="52"/>
      <c r="X19" s="52"/>
      <c r="Y19" s="52"/>
      <c r="Z19" s="51"/>
      <c r="AA19" s="73"/>
      <c r="AB19" s="73"/>
      <c r="AC19" s="74"/>
      <c r="AD19" s="81" t="s">
        <v>8044</v>
      </c>
      <c r="AE19" s="86" t="s">
        <v>9120</v>
      </c>
      <c r="AF19" s="81">
        <v>92</v>
      </c>
      <c r="AG19" s="81">
        <v>194</v>
      </c>
      <c r="AH19" s="81">
        <v>33257</v>
      </c>
      <c r="AI19" s="81">
        <v>16325</v>
      </c>
      <c r="AJ19" s="81"/>
      <c r="AK19" s="81" t="s">
        <v>10072</v>
      </c>
      <c r="AL19" s="81"/>
      <c r="AM19" s="81"/>
      <c r="AN19" s="81"/>
      <c r="AO19" s="83">
        <v>43797.034837962965</v>
      </c>
      <c r="AP19" s="84" t="str">
        <f>HYPERLINK("https://pbs.twimg.com/profile_banners/1199852856972652544/1629839090")</f>
        <v>https://pbs.twimg.com/profile_banners/1199852856972652544/1629839090</v>
      </c>
      <c r="AQ19" s="81" t="b">
        <v>1</v>
      </c>
      <c r="AR19" s="81" t="b">
        <v>0</v>
      </c>
      <c r="AS19" s="81" t="b">
        <v>0</v>
      </c>
      <c r="AT19" s="81"/>
      <c r="AU19" s="81">
        <v>0</v>
      </c>
      <c r="AV19" s="81"/>
      <c r="AW19" s="81" t="b">
        <v>0</v>
      </c>
      <c r="AX19" s="81" t="s">
        <v>3728</v>
      </c>
      <c r="AY19" s="84" t="str">
        <f>HYPERLINK("https://twitter.com/moyanoestefania")</f>
        <v>https://twitter.com/moyanoestefania</v>
      </c>
      <c r="AZ19" s="81" t="s">
        <v>66</v>
      </c>
      <c r="BA19" s="2"/>
      <c r="BB19" s="3"/>
      <c r="BC19" s="3"/>
      <c r="BD19" s="3"/>
      <c r="BE19" s="3"/>
    </row>
    <row r="20" spans="1:57" x14ac:dyDescent="0.35">
      <c r="A20" s="66" t="s">
        <v>224</v>
      </c>
      <c r="B20" s="67"/>
      <c r="C20" s="67"/>
      <c r="D20" s="68"/>
      <c r="E20" s="94"/>
      <c r="F20" s="93" t="str">
        <f>HYPERLINK("https://pbs.twimg.com/profile_images/1437871797039517699/g_eZSuoB_normal.jpg")</f>
        <v>https://pbs.twimg.com/profile_images/1437871797039517699/g_eZSuoB_normal.jpg</v>
      </c>
      <c r="G20" s="95"/>
      <c r="H20" s="71"/>
      <c r="I20" s="72"/>
      <c r="J20" s="96"/>
      <c r="K20" s="71" t="s">
        <v>3742</v>
      </c>
      <c r="L20" s="97"/>
      <c r="M20" s="76"/>
      <c r="N20" s="76"/>
      <c r="O20" s="77"/>
      <c r="P20" s="78"/>
      <c r="Q20" s="78"/>
      <c r="R20" s="92"/>
      <c r="S20" s="92"/>
      <c r="T20" s="92"/>
      <c r="U20" s="92"/>
      <c r="V20" s="52"/>
      <c r="W20" s="52"/>
      <c r="X20" s="52"/>
      <c r="Y20" s="52"/>
      <c r="Z20" s="51"/>
      <c r="AA20" s="73"/>
      <c r="AB20" s="73"/>
      <c r="AC20" s="74"/>
      <c r="AD20" s="81" t="s">
        <v>2255</v>
      </c>
      <c r="AE20" s="86" t="s">
        <v>2692</v>
      </c>
      <c r="AF20" s="81">
        <v>440</v>
      </c>
      <c r="AG20" s="81">
        <v>4</v>
      </c>
      <c r="AH20" s="81">
        <v>556</v>
      </c>
      <c r="AI20" s="81">
        <v>17</v>
      </c>
      <c r="AJ20" s="81"/>
      <c r="AK20" s="81" t="s">
        <v>3094</v>
      </c>
      <c r="AL20" s="81"/>
      <c r="AM20" s="81"/>
      <c r="AN20" s="81"/>
      <c r="AO20" s="83">
        <v>44119.18545138889</v>
      </c>
      <c r="AP20" s="84" t="str">
        <f>HYPERLINK("https://pbs.twimg.com/profile_banners/1316596243343310849/1631650343")</f>
        <v>https://pbs.twimg.com/profile_banners/1316596243343310849/1631650343</v>
      </c>
      <c r="AQ20" s="81" t="b">
        <v>1</v>
      </c>
      <c r="AR20" s="81" t="b">
        <v>0</v>
      </c>
      <c r="AS20" s="81" t="b">
        <v>0</v>
      </c>
      <c r="AT20" s="81"/>
      <c r="AU20" s="81">
        <v>0</v>
      </c>
      <c r="AV20" s="81"/>
      <c r="AW20" s="81" t="b">
        <v>0</v>
      </c>
      <c r="AX20" s="81" t="s">
        <v>3728</v>
      </c>
      <c r="AY20" s="84" t="str">
        <f>HYPERLINK("https://twitter.com/saifull04800784")</f>
        <v>https://twitter.com/saifull04800784</v>
      </c>
      <c r="AZ20" s="81" t="s">
        <v>66</v>
      </c>
      <c r="BA20" s="2"/>
      <c r="BB20" s="3"/>
      <c r="BC20" s="3"/>
      <c r="BD20" s="3"/>
      <c r="BE20" s="3"/>
    </row>
    <row r="21" spans="1:57" x14ac:dyDescent="0.35">
      <c r="A21" s="66" t="s">
        <v>602</v>
      </c>
      <c r="B21" s="67"/>
      <c r="C21" s="67"/>
      <c r="D21" s="68"/>
      <c r="E21" s="94"/>
      <c r="F21" s="93" t="str">
        <f>HYPERLINK("https://pbs.twimg.com/profile_images/1440187260381511680/VHDs5S7L_normal.jpg")</f>
        <v>https://pbs.twimg.com/profile_images/1440187260381511680/VHDs5S7L_normal.jpg</v>
      </c>
      <c r="G21" s="95"/>
      <c r="H21" s="71"/>
      <c r="I21" s="72"/>
      <c r="J21" s="96"/>
      <c r="K21" s="71" t="s">
        <v>3729</v>
      </c>
      <c r="L21" s="97"/>
      <c r="M21" s="76"/>
      <c r="N21" s="76"/>
      <c r="O21" s="77"/>
      <c r="P21" s="78"/>
      <c r="Q21" s="78"/>
      <c r="R21" s="92"/>
      <c r="S21" s="92"/>
      <c r="T21" s="92"/>
      <c r="U21" s="92"/>
      <c r="V21" s="52"/>
      <c r="W21" s="52"/>
      <c r="X21" s="52"/>
      <c r="Y21" s="52"/>
      <c r="Z21" s="51"/>
      <c r="AA21" s="73"/>
      <c r="AB21" s="73"/>
      <c r="AC21" s="74"/>
      <c r="AD21" s="81" t="s">
        <v>2236</v>
      </c>
      <c r="AE21" s="86" t="s">
        <v>2163</v>
      </c>
      <c r="AF21" s="81">
        <v>66</v>
      </c>
      <c r="AG21" s="81">
        <v>252500</v>
      </c>
      <c r="AH21" s="81">
        <v>3097</v>
      </c>
      <c r="AI21" s="81">
        <v>11</v>
      </c>
      <c r="AJ21" s="81"/>
      <c r="AK21" s="81" t="s">
        <v>3078</v>
      </c>
      <c r="AL21" s="81" t="s">
        <v>2202</v>
      </c>
      <c r="AM21" s="84" t="str">
        <f>HYPERLINK("https://t.co/Z8NYjzePhP")</f>
        <v>https://t.co/Z8NYjzePhP</v>
      </c>
      <c r="AN21" s="81"/>
      <c r="AO21" s="83">
        <v>39961.461689814816</v>
      </c>
      <c r="AP21" s="84" t="str">
        <f>HYPERLINK("https://pbs.twimg.com/profile_banners/43088704/1548867892")</f>
        <v>https://pbs.twimg.com/profile_banners/43088704/1548867892</v>
      </c>
      <c r="AQ21" s="81" t="b">
        <v>1</v>
      </c>
      <c r="AR21" s="81" t="b">
        <v>0</v>
      </c>
      <c r="AS21" s="81" t="b">
        <v>0</v>
      </c>
      <c r="AT21" s="81"/>
      <c r="AU21" s="81">
        <v>246</v>
      </c>
      <c r="AV21" s="84" t="str">
        <f>HYPERLINK("https://abs.twimg.com/images/themes/theme1/bg.png")</f>
        <v>https://abs.twimg.com/images/themes/theme1/bg.png</v>
      </c>
      <c r="AW21" s="81" t="b">
        <v>1</v>
      </c>
      <c r="AX21" s="81" t="s">
        <v>3728</v>
      </c>
      <c r="AY21" s="84" t="str">
        <f>HYPERLINK("https://twitter.com/erickthohir")</f>
        <v>https://twitter.com/erickthohir</v>
      </c>
      <c r="AZ21" s="81" t="s">
        <v>65</v>
      </c>
      <c r="BA21" s="2"/>
      <c r="BB21" s="3"/>
      <c r="BC21" s="3"/>
      <c r="BD21" s="3"/>
      <c r="BE21" s="3"/>
    </row>
    <row r="22" spans="1:57" x14ac:dyDescent="0.35">
      <c r="A22" s="66" t="s">
        <v>272</v>
      </c>
      <c r="B22" s="67"/>
      <c r="C22" s="67"/>
      <c r="D22" s="68"/>
      <c r="E22" s="94"/>
      <c r="F22" s="93" t="str">
        <f>HYPERLINK("https://pbs.twimg.com/profile_images/1431434807393742851/zr4RpExI_normal.jpg")</f>
        <v>https://pbs.twimg.com/profile_images/1431434807393742851/zr4RpExI_normal.jpg</v>
      </c>
      <c r="G22" s="95"/>
      <c r="H22" s="71"/>
      <c r="I22" s="72"/>
      <c r="J22" s="96"/>
      <c r="K22" s="71" t="s">
        <v>3730</v>
      </c>
      <c r="L22" s="97"/>
      <c r="M22" s="76"/>
      <c r="N22" s="76"/>
      <c r="O22" s="77"/>
      <c r="P22" s="78"/>
      <c r="Q22" s="78"/>
      <c r="R22" s="92"/>
      <c r="S22" s="92"/>
      <c r="T22" s="92"/>
      <c r="U22" s="92"/>
      <c r="V22" s="52"/>
      <c r="W22" s="52"/>
      <c r="X22" s="52"/>
      <c r="Y22" s="52"/>
      <c r="Z22" s="51"/>
      <c r="AA22" s="73"/>
      <c r="AB22" s="73"/>
      <c r="AC22" s="74"/>
      <c r="AD22" s="81" t="s">
        <v>2237</v>
      </c>
      <c r="AE22" s="86" t="s">
        <v>2681</v>
      </c>
      <c r="AF22" s="81">
        <v>745</v>
      </c>
      <c r="AG22" s="81">
        <v>955</v>
      </c>
      <c r="AH22" s="81">
        <v>2876</v>
      </c>
      <c r="AI22" s="81">
        <v>1498</v>
      </c>
      <c r="AJ22" s="81"/>
      <c r="AK22" s="81" t="s">
        <v>3079</v>
      </c>
      <c r="AL22" s="81"/>
      <c r="AM22" s="81"/>
      <c r="AN22" s="81"/>
      <c r="AO22" s="83">
        <v>43805.254837962966</v>
      </c>
      <c r="AP22" s="81"/>
      <c r="AQ22" s="81" t="b">
        <v>1</v>
      </c>
      <c r="AR22" s="81" t="b">
        <v>0</v>
      </c>
      <c r="AS22" s="81" t="b">
        <v>0</v>
      </c>
      <c r="AT22" s="81"/>
      <c r="AU22" s="81">
        <v>0</v>
      </c>
      <c r="AV22" s="81"/>
      <c r="AW22" s="81" t="b">
        <v>0</v>
      </c>
      <c r="AX22" s="81" t="s">
        <v>3728</v>
      </c>
      <c r="AY22" s="84" t="str">
        <f>HYPERLINK("https://twitter.com/madelin252")</f>
        <v>https://twitter.com/madelin252</v>
      </c>
      <c r="AZ22" s="81" t="s">
        <v>66</v>
      </c>
      <c r="BA22" s="2"/>
      <c r="BB22" s="3"/>
      <c r="BC22" s="3"/>
      <c r="BD22" s="3"/>
      <c r="BE22" s="3"/>
    </row>
    <row r="23" spans="1:57" x14ac:dyDescent="0.35">
      <c r="A23" s="66" t="s">
        <v>225</v>
      </c>
      <c r="B23" s="67"/>
      <c r="C23" s="67"/>
      <c r="D23" s="68"/>
      <c r="E23" s="94"/>
      <c r="F23" s="93" t="str">
        <f>HYPERLINK("https://pbs.twimg.com/profile_images/1442790623505903621/ACpXIe0J_normal.jpg")</f>
        <v>https://pbs.twimg.com/profile_images/1442790623505903621/ACpXIe0J_normal.jpg</v>
      </c>
      <c r="G23" s="95"/>
      <c r="H23" s="71"/>
      <c r="I23" s="72"/>
      <c r="J23" s="96"/>
      <c r="K23" s="71" t="s">
        <v>3743</v>
      </c>
      <c r="L23" s="97"/>
      <c r="M23" s="76"/>
      <c r="N23" s="76"/>
      <c r="O23" s="77"/>
      <c r="P23" s="78"/>
      <c r="Q23" s="78"/>
      <c r="R23" s="92"/>
      <c r="S23" s="92"/>
      <c r="T23" s="92"/>
      <c r="U23" s="92"/>
      <c r="V23" s="52"/>
      <c r="W23" s="52"/>
      <c r="X23" s="52"/>
      <c r="Y23" s="52"/>
      <c r="Z23" s="51"/>
      <c r="AA23" s="73"/>
      <c r="AB23" s="73"/>
      <c r="AC23" s="74"/>
      <c r="AD23" s="81" t="s">
        <v>13460</v>
      </c>
      <c r="AE23" s="86" t="s">
        <v>2693</v>
      </c>
      <c r="AF23" s="81">
        <v>5001</v>
      </c>
      <c r="AG23" s="81">
        <v>474</v>
      </c>
      <c r="AH23" s="81">
        <v>135648</v>
      </c>
      <c r="AI23" s="81">
        <v>157385</v>
      </c>
      <c r="AJ23" s="81"/>
      <c r="AK23" s="81" t="s">
        <v>13919</v>
      </c>
      <c r="AL23" s="81"/>
      <c r="AM23" s="81"/>
      <c r="AN23" s="81"/>
      <c r="AO23" s="83">
        <v>42951.571770833332</v>
      </c>
      <c r="AP23" s="84" t="str">
        <f>HYPERLINK("https://pbs.twimg.com/profile_banners/893467394936512512/1632925261")</f>
        <v>https://pbs.twimg.com/profile_banners/893467394936512512/1632925261</v>
      </c>
      <c r="AQ23" s="81" t="b">
        <v>1</v>
      </c>
      <c r="AR23" s="81" t="b">
        <v>0</v>
      </c>
      <c r="AS23" s="81" t="b">
        <v>0</v>
      </c>
      <c r="AT23" s="81"/>
      <c r="AU23" s="81">
        <v>0</v>
      </c>
      <c r="AV23" s="81"/>
      <c r="AW23" s="81" t="b">
        <v>0</v>
      </c>
      <c r="AX23" s="81" t="s">
        <v>3728</v>
      </c>
      <c r="AY23" s="84" t="str">
        <f>HYPERLINK("https://twitter.com/jierahrsli")</f>
        <v>https://twitter.com/jierahrsli</v>
      </c>
      <c r="AZ23" s="81" t="s">
        <v>66</v>
      </c>
      <c r="BA23" s="2"/>
      <c r="BB23" s="3"/>
      <c r="BC23" s="3"/>
      <c r="BD23" s="3"/>
      <c r="BE23" s="3"/>
    </row>
    <row r="24" spans="1:57" x14ac:dyDescent="0.35">
      <c r="A24" s="66" t="s">
        <v>226</v>
      </c>
      <c r="B24" s="67"/>
      <c r="C24" s="67"/>
      <c r="D24" s="68"/>
      <c r="E24" s="94"/>
      <c r="F24" s="93" t="str">
        <f>HYPERLINK("https://pbs.twimg.com/profile_images/1441989345922064386/DMkpEl4U_normal.jpg")</f>
        <v>https://pbs.twimg.com/profile_images/1441989345922064386/DMkpEl4U_normal.jpg</v>
      </c>
      <c r="G24" s="95"/>
      <c r="H24" s="71"/>
      <c r="I24" s="72"/>
      <c r="J24" s="96"/>
      <c r="K24" s="71" t="s">
        <v>3744</v>
      </c>
      <c r="L24" s="97"/>
      <c r="M24" s="76"/>
      <c r="N24" s="76"/>
      <c r="O24" s="77"/>
      <c r="P24" s="78"/>
      <c r="Q24" s="78"/>
      <c r="R24" s="92"/>
      <c r="S24" s="92"/>
      <c r="T24" s="92"/>
      <c r="U24" s="92"/>
      <c r="V24" s="52"/>
      <c r="W24" s="52"/>
      <c r="X24" s="52"/>
      <c r="Y24" s="52"/>
      <c r="Z24" s="51"/>
      <c r="AA24" s="73"/>
      <c r="AB24" s="73"/>
      <c r="AC24" s="74"/>
      <c r="AD24" s="81" t="s">
        <v>13461</v>
      </c>
      <c r="AE24" s="86" t="s">
        <v>2694</v>
      </c>
      <c r="AF24" s="81">
        <v>462</v>
      </c>
      <c r="AG24" s="81">
        <v>514</v>
      </c>
      <c r="AH24" s="81">
        <v>26295</v>
      </c>
      <c r="AI24" s="81">
        <v>33835</v>
      </c>
      <c r="AJ24" s="81"/>
      <c r="AK24" s="81" t="s">
        <v>3095</v>
      </c>
      <c r="AL24" s="81" t="s">
        <v>3508</v>
      </c>
      <c r="AM24" s="84" t="str">
        <f>HYPERLINK("https://t.co/rGEu05yhkT")</f>
        <v>https://t.co/rGEu05yhkT</v>
      </c>
      <c r="AN24" s="81"/>
      <c r="AO24" s="83">
        <v>44025.207928240743</v>
      </c>
      <c r="AP24" s="84" t="str">
        <f>HYPERLINK("https://pbs.twimg.com/profile_banners/1282539963783864322/1631279165")</f>
        <v>https://pbs.twimg.com/profile_banners/1282539963783864322/1631279165</v>
      </c>
      <c r="AQ24" s="81" t="b">
        <v>1</v>
      </c>
      <c r="AR24" s="81" t="b">
        <v>0</v>
      </c>
      <c r="AS24" s="81" t="b">
        <v>0</v>
      </c>
      <c r="AT24" s="81"/>
      <c r="AU24" s="81">
        <v>1</v>
      </c>
      <c r="AV24" s="81"/>
      <c r="AW24" s="81" t="b">
        <v>0</v>
      </c>
      <c r="AX24" s="81" t="s">
        <v>3728</v>
      </c>
      <c r="AY24" s="84" t="str">
        <f>HYPERLINK("https://twitter.com/qwertyahsksk")</f>
        <v>https://twitter.com/qwertyahsksk</v>
      </c>
      <c r="AZ24" s="81" t="s">
        <v>66</v>
      </c>
      <c r="BA24" s="2"/>
      <c r="BB24" s="3"/>
      <c r="BC24" s="3"/>
      <c r="BD24" s="3"/>
      <c r="BE24" s="3"/>
    </row>
    <row r="25" spans="1:57" x14ac:dyDescent="0.35">
      <c r="A25" s="66" t="s">
        <v>227</v>
      </c>
      <c r="B25" s="67"/>
      <c r="C25" s="67"/>
      <c r="D25" s="68"/>
      <c r="E25" s="94"/>
      <c r="F25" s="93" t="str">
        <f>HYPERLINK("https://pbs.twimg.com/profile_images/1442500757916291079/TUM3yGJG_normal.jpg")</f>
        <v>https://pbs.twimg.com/profile_images/1442500757916291079/TUM3yGJG_normal.jpg</v>
      </c>
      <c r="G25" s="95"/>
      <c r="H25" s="71"/>
      <c r="I25" s="72"/>
      <c r="J25" s="96"/>
      <c r="K25" s="71" t="s">
        <v>3745</v>
      </c>
      <c r="L25" s="97"/>
      <c r="M25" s="76"/>
      <c r="N25" s="76"/>
      <c r="O25" s="77"/>
      <c r="P25" s="78"/>
      <c r="Q25" s="78"/>
      <c r="R25" s="92"/>
      <c r="S25" s="92"/>
      <c r="T25" s="92"/>
      <c r="U25" s="92"/>
      <c r="V25" s="52"/>
      <c r="W25" s="52"/>
      <c r="X25" s="52"/>
      <c r="Y25" s="52"/>
      <c r="Z25" s="51"/>
      <c r="AA25" s="73"/>
      <c r="AB25" s="73"/>
      <c r="AC25" s="74"/>
      <c r="AD25" s="81" t="s">
        <v>2256</v>
      </c>
      <c r="AE25" s="86" t="s">
        <v>2695</v>
      </c>
      <c r="AF25" s="81">
        <v>253</v>
      </c>
      <c r="AG25" s="81">
        <v>266</v>
      </c>
      <c r="AH25" s="81">
        <v>14749</v>
      </c>
      <c r="AI25" s="81">
        <v>14757</v>
      </c>
      <c r="AJ25" s="81"/>
      <c r="AK25" s="81" t="s">
        <v>3096</v>
      </c>
      <c r="AL25" s="81" t="s">
        <v>3532</v>
      </c>
      <c r="AM25" s="84" t="str">
        <f>HYPERLINK("https://t.co/jQQsPPPR4v")</f>
        <v>https://t.co/jQQsPPPR4v</v>
      </c>
      <c r="AN25" s="81"/>
      <c r="AO25" s="83">
        <v>44346.540046296293</v>
      </c>
      <c r="AP25" s="84" t="str">
        <f>HYPERLINK("https://pbs.twimg.com/profile_banners/1398986910530359301/1632754508")</f>
        <v>https://pbs.twimg.com/profile_banners/1398986910530359301/1632754508</v>
      </c>
      <c r="AQ25" s="81" t="b">
        <v>1</v>
      </c>
      <c r="AR25" s="81" t="b">
        <v>0</v>
      </c>
      <c r="AS25" s="81" t="b">
        <v>0</v>
      </c>
      <c r="AT25" s="81"/>
      <c r="AU25" s="81">
        <v>0</v>
      </c>
      <c r="AV25" s="81"/>
      <c r="AW25" s="81" t="b">
        <v>0</v>
      </c>
      <c r="AX25" s="81" t="s">
        <v>3728</v>
      </c>
      <c r="AY25" s="84" t="str">
        <f>HYPERLINK("https://twitter.com/sevngjinluvr")</f>
        <v>https://twitter.com/sevngjinluvr</v>
      </c>
      <c r="AZ25" s="81" t="s">
        <v>66</v>
      </c>
      <c r="BA25" s="2"/>
      <c r="BB25" s="3"/>
      <c r="BC25" s="3"/>
      <c r="BD25" s="3"/>
      <c r="BE25" s="3"/>
    </row>
    <row r="26" spans="1:57" x14ac:dyDescent="0.35">
      <c r="A26" s="66" t="s">
        <v>4177</v>
      </c>
      <c r="B26" s="67"/>
      <c r="C26" s="67"/>
      <c r="D26" s="68"/>
      <c r="E26" s="94"/>
      <c r="F26" s="93" t="str">
        <f>HYPERLINK("https://pbs.twimg.com/profile_images/1362415919335493632/9nda495G_normal.jpg")</f>
        <v>https://pbs.twimg.com/profile_images/1362415919335493632/9nda495G_normal.jpg</v>
      </c>
      <c r="G26" s="95"/>
      <c r="H26" s="71"/>
      <c r="I26" s="72"/>
      <c r="J26" s="96"/>
      <c r="K26" s="71" t="s">
        <v>11412</v>
      </c>
      <c r="L26" s="97"/>
      <c r="M26" s="76"/>
      <c r="N26" s="76"/>
      <c r="O26" s="77"/>
      <c r="P26" s="78"/>
      <c r="Q26" s="78"/>
      <c r="R26" s="92"/>
      <c r="S26" s="92"/>
      <c r="T26" s="92"/>
      <c r="U26" s="92"/>
      <c r="V26" s="52"/>
      <c r="W26" s="52"/>
      <c r="X26" s="52"/>
      <c r="Y26" s="52"/>
      <c r="Z26" s="51"/>
      <c r="AA26" s="73"/>
      <c r="AB26" s="73"/>
      <c r="AC26" s="74"/>
      <c r="AD26" s="81" t="s">
        <v>8045</v>
      </c>
      <c r="AE26" s="86" t="s">
        <v>7795</v>
      </c>
      <c r="AF26" s="81">
        <v>30</v>
      </c>
      <c r="AG26" s="81">
        <v>1917</v>
      </c>
      <c r="AH26" s="81">
        <v>6327</v>
      </c>
      <c r="AI26" s="81">
        <v>210</v>
      </c>
      <c r="AJ26" s="81"/>
      <c r="AK26" s="81" t="s">
        <v>10073</v>
      </c>
      <c r="AL26" s="81" t="s">
        <v>11000</v>
      </c>
      <c r="AM26" s="84" t="str">
        <f>HYPERLINK("https://t.co/scrWmwwyAN")</f>
        <v>https://t.co/scrWmwwyAN</v>
      </c>
      <c r="AN26" s="81"/>
      <c r="AO26" s="83">
        <v>41598.259270833332</v>
      </c>
      <c r="AP26" s="81"/>
      <c r="AQ26" s="81" t="b">
        <v>1</v>
      </c>
      <c r="AR26" s="81" t="b">
        <v>0</v>
      </c>
      <c r="AS26" s="81" t="b">
        <v>0</v>
      </c>
      <c r="AT26" s="81"/>
      <c r="AU26" s="81">
        <v>13</v>
      </c>
      <c r="AV26" s="84" t="str">
        <f>HYPERLINK("https://abs.twimg.com/images/themes/theme1/bg.png")</f>
        <v>https://abs.twimg.com/images/themes/theme1/bg.png</v>
      </c>
      <c r="AW26" s="81" t="b">
        <v>0</v>
      </c>
      <c r="AX26" s="81" t="s">
        <v>3728</v>
      </c>
      <c r="AY26" s="84" t="str">
        <f>HYPERLINK("https://twitter.com/kmerchsss")</f>
        <v>https://twitter.com/kmerchsss</v>
      </c>
      <c r="AZ26" s="81" t="s">
        <v>66</v>
      </c>
      <c r="BA26" s="2"/>
      <c r="BB26" s="3"/>
      <c r="BC26" s="3"/>
      <c r="BD26" s="3"/>
      <c r="BE26" s="3"/>
    </row>
    <row r="27" spans="1:57" x14ac:dyDescent="0.35">
      <c r="A27" s="66" t="s">
        <v>228</v>
      </c>
      <c r="B27" s="67"/>
      <c r="C27" s="67"/>
      <c r="D27" s="68"/>
      <c r="E27" s="94"/>
      <c r="F27" s="93" t="str">
        <f>HYPERLINK("https://pbs.twimg.com/profile_images/1440178941013069829/HLMLfJXP_normal.jpg")</f>
        <v>https://pbs.twimg.com/profile_images/1440178941013069829/HLMLfJXP_normal.jpg</v>
      </c>
      <c r="G27" s="95"/>
      <c r="H27" s="71"/>
      <c r="I27" s="72"/>
      <c r="J27" s="96"/>
      <c r="K27" s="71" t="s">
        <v>3746</v>
      </c>
      <c r="L27" s="97"/>
      <c r="M27" s="76"/>
      <c r="N27" s="76"/>
      <c r="O27" s="77"/>
      <c r="P27" s="78"/>
      <c r="Q27" s="78"/>
      <c r="R27" s="92"/>
      <c r="S27" s="92"/>
      <c r="T27" s="92"/>
      <c r="U27" s="92"/>
      <c r="V27" s="52"/>
      <c r="W27" s="52"/>
      <c r="X27" s="52"/>
      <c r="Y27" s="52"/>
      <c r="Z27" s="51"/>
      <c r="AA27" s="73"/>
      <c r="AB27" s="73"/>
      <c r="AC27" s="74"/>
      <c r="AD27" s="81" t="s">
        <v>2257</v>
      </c>
      <c r="AE27" s="86" t="s">
        <v>2696</v>
      </c>
      <c r="AF27" s="81">
        <v>1428</v>
      </c>
      <c r="AG27" s="81">
        <v>59677</v>
      </c>
      <c r="AH27" s="81">
        <v>283850</v>
      </c>
      <c r="AI27" s="81">
        <v>17030</v>
      </c>
      <c r="AJ27" s="81"/>
      <c r="AK27" s="98">
        <v>0.20277777777777781</v>
      </c>
      <c r="AL27" s="81" t="s">
        <v>3533</v>
      </c>
      <c r="AM27" s="81"/>
      <c r="AN27" s="81"/>
      <c r="AO27" s="83">
        <v>39939.601331018515</v>
      </c>
      <c r="AP27" s="84" t="str">
        <f>HYPERLINK("https://pbs.twimg.com/profile_banners/38187845/1609093388")</f>
        <v>https://pbs.twimg.com/profile_banners/38187845/1609093388</v>
      </c>
      <c r="AQ27" s="81" t="b">
        <v>0</v>
      </c>
      <c r="AR27" s="81" t="b">
        <v>0</v>
      </c>
      <c r="AS27" s="81" t="b">
        <v>1</v>
      </c>
      <c r="AT27" s="81"/>
      <c r="AU27" s="81">
        <v>225</v>
      </c>
      <c r="AV27" s="84" t="str">
        <f>HYPERLINK("https://abs.twimg.com/images/themes/theme1/bg.png")</f>
        <v>https://abs.twimg.com/images/themes/theme1/bg.png</v>
      </c>
      <c r="AW27" s="81" t="b">
        <v>0</v>
      </c>
      <c r="AX27" s="81" t="s">
        <v>3728</v>
      </c>
      <c r="AY27" s="84" t="str">
        <f>HYPERLINK("https://twitter.com/gembrit")</f>
        <v>https://twitter.com/gembrit</v>
      </c>
      <c r="AZ27" s="81" t="s">
        <v>66</v>
      </c>
      <c r="BA27" s="2"/>
      <c r="BB27" s="3"/>
      <c r="BC27" s="3"/>
      <c r="BD27" s="3"/>
      <c r="BE27" s="3"/>
    </row>
    <row r="28" spans="1:57" x14ac:dyDescent="0.35">
      <c r="A28" s="66" t="s">
        <v>596</v>
      </c>
      <c r="B28" s="67"/>
      <c r="C28" s="67"/>
      <c r="D28" s="68"/>
      <c r="E28" s="94"/>
      <c r="F28" s="93" t="str">
        <f>HYPERLINK("https://pbs.twimg.com/profile_images/1437384983451107334/ONFcXxtG_normal.jpg")</f>
        <v>https://pbs.twimg.com/profile_images/1437384983451107334/ONFcXxtG_normal.jpg</v>
      </c>
      <c r="G28" s="95"/>
      <c r="H28" s="71"/>
      <c r="I28" s="72"/>
      <c r="J28" s="96"/>
      <c r="K28" s="71" t="s">
        <v>3747</v>
      </c>
      <c r="L28" s="97"/>
      <c r="M28" s="76"/>
      <c r="N28" s="76"/>
      <c r="O28" s="77"/>
      <c r="P28" s="78"/>
      <c r="Q28" s="78"/>
      <c r="R28" s="92"/>
      <c r="S28" s="92"/>
      <c r="T28" s="92"/>
      <c r="U28" s="92"/>
      <c r="V28" s="52"/>
      <c r="W28" s="52"/>
      <c r="X28" s="52"/>
      <c r="Y28" s="52"/>
      <c r="Z28" s="51"/>
      <c r="AA28" s="73"/>
      <c r="AB28" s="73"/>
      <c r="AC28" s="74"/>
      <c r="AD28" s="81" t="s">
        <v>2258</v>
      </c>
      <c r="AE28" s="86" t="s">
        <v>2697</v>
      </c>
      <c r="AF28" s="81">
        <v>1170</v>
      </c>
      <c r="AG28" s="81">
        <v>11897</v>
      </c>
      <c r="AH28" s="81">
        <v>159246</v>
      </c>
      <c r="AI28" s="81">
        <v>9858</v>
      </c>
      <c r="AJ28" s="81"/>
      <c r="AK28" s="81" t="s">
        <v>3097</v>
      </c>
      <c r="AL28" s="81" t="s">
        <v>3534</v>
      </c>
      <c r="AM28" s="81"/>
      <c r="AN28" s="81"/>
      <c r="AO28" s="83">
        <v>40512.627662037034</v>
      </c>
      <c r="AP28" s="84" t="str">
        <f>HYPERLINK("https://pbs.twimg.com/profile_banners/221392511/1466736295")</f>
        <v>https://pbs.twimg.com/profile_banners/221392511/1466736295</v>
      </c>
      <c r="AQ28" s="81" t="b">
        <v>0</v>
      </c>
      <c r="AR28" s="81" t="b">
        <v>0</v>
      </c>
      <c r="AS28" s="81" t="b">
        <v>1</v>
      </c>
      <c r="AT28" s="81"/>
      <c r="AU28" s="81">
        <v>34</v>
      </c>
      <c r="AV28" s="84" t="str">
        <f>HYPERLINK("https://abs.twimg.com/images/themes/theme10/bg.gif")</f>
        <v>https://abs.twimg.com/images/themes/theme10/bg.gif</v>
      </c>
      <c r="AW28" s="81" t="b">
        <v>0</v>
      </c>
      <c r="AX28" s="81" t="s">
        <v>3728</v>
      </c>
      <c r="AY28" s="84" t="str">
        <f>HYPERLINK("https://twitter.com/amwidyou")</f>
        <v>https://twitter.com/amwidyou</v>
      </c>
      <c r="AZ28" s="81" t="s">
        <v>66</v>
      </c>
      <c r="BA28" s="2"/>
      <c r="BB28" s="3"/>
      <c r="BC28" s="3"/>
      <c r="BD28" s="3"/>
      <c r="BE28" s="3"/>
    </row>
    <row r="29" spans="1:57" x14ac:dyDescent="0.35">
      <c r="A29" s="66" t="s">
        <v>229</v>
      </c>
      <c r="B29" s="67"/>
      <c r="C29" s="67"/>
      <c r="D29" s="68"/>
      <c r="E29" s="94"/>
      <c r="F29" s="93" t="str">
        <f>HYPERLINK("https://pbs.twimg.com/profile_images/2403233207/1ureqe990iqtocwup1fb_normal.jpeg")</f>
        <v>https://pbs.twimg.com/profile_images/2403233207/1ureqe990iqtocwup1fb_normal.jpeg</v>
      </c>
      <c r="G29" s="95"/>
      <c r="H29" s="71"/>
      <c r="I29" s="72"/>
      <c r="J29" s="96"/>
      <c r="K29" s="71" t="s">
        <v>3748</v>
      </c>
      <c r="L29" s="97"/>
      <c r="M29" s="76"/>
      <c r="N29" s="76"/>
      <c r="O29" s="77"/>
      <c r="P29" s="78"/>
      <c r="Q29" s="78"/>
      <c r="R29" s="92"/>
      <c r="S29" s="92"/>
      <c r="T29" s="92"/>
      <c r="U29" s="92"/>
      <c r="V29" s="52"/>
      <c r="W29" s="52"/>
      <c r="X29" s="52"/>
      <c r="Y29" s="52"/>
      <c r="Z29" s="51"/>
      <c r="AA29" s="73"/>
      <c r="AB29" s="73"/>
      <c r="AC29" s="74"/>
      <c r="AD29" s="81" t="s">
        <v>2259</v>
      </c>
      <c r="AE29" s="86" t="s">
        <v>2698</v>
      </c>
      <c r="AF29" s="81">
        <v>75</v>
      </c>
      <c r="AG29" s="81">
        <v>687</v>
      </c>
      <c r="AH29" s="81">
        <v>73204</v>
      </c>
      <c r="AI29" s="81">
        <v>2</v>
      </c>
      <c r="AJ29" s="81"/>
      <c r="AK29" s="81" t="s">
        <v>3098</v>
      </c>
      <c r="AL29" s="81"/>
      <c r="AM29" s="81"/>
      <c r="AN29" s="81"/>
      <c r="AO29" s="83">
        <v>39958.458078703705</v>
      </c>
      <c r="AP29" s="84" t="str">
        <f>HYPERLINK("https://pbs.twimg.com/profile_banners/42387292/1398598611")</f>
        <v>https://pbs.twimg.com/profile_banners/42387292/1398598611</v>
      </c>
      <c r="AQ29" s="81" t="b">
        <v>0</v>
      </c>
      <c r="AR29" s="81" t="b">
        <v>0</v>
      </c>
      <c r="AS29" s="81" t="b">
        <v>0</v>
      </c>
      <c r="AT29" s="81"/>
      <c r="AU29" s="81">
        <v>4</v>
      </c>
      <c r="AV29" s="84" t="str">
        <f>HYPERLINK("https://abs.twimg.com/images/themes/theme9/bg.gif")</f>
        <v>https://abs.twimg.com/images/themes/theme9/bg.gif</v>
      </c>
      <c r="AW29" s="81" t="b">
        <v>0</v>
      </c>
      <c r="AX29" s="81" t="s">
        <v>3728</v>
      </c>
      <c r="AY29" s="84" t="str">
        <f>HYPERLINK("https://twitter.com/kabigon89")</f>
        <v>https://twitter.com/kabigon89</v>
      </c>
      <c r="AZ29" s="81" t="s">
        <v>66</v>
      </c>
      <c r="BA29" s="2"/>
      <c r="BB29" s="3"/>
      <c r="BC29" s="3"/>
      <c r="BD29" s="3"/>
      <c r="BE29" s="3"/>
    </row>
    <row r="30" spans="1:57" x14ac:dyDescent="0.35">
      <c r="A30" s="66" t="s">
        <v>4178</v>
      </c>
      <c r="B30" s="67"/>
      <c r="C30" s="67"/>
      <c r="D30" s="68"/>
      <c r="E30" s="94"/>
      <c r="F30" s="93" t="str">
        <f>HYPERLINK("https://pbs.twimg.com/profile_images/1363982208260841474/l_a-LpT8_normal.jpg")</f>
        <v>https://pbs.twimg.com/profile_images/1363982208260841474/l_a-LpT8_normal.jpg</v>
      </c>
      <c r="G30" s="95"/>
      <c r="H30" s="71"/>
      <c r="I30" s="72"/>
      <c r="J30" s="96"/>
      <c r="K30" s="71" t="s">
        <v>11413</v>
      </c>
      <c r="L30" s="97"/>
      <c r="M30" s="76"/>
      <c r="N30" s="76"/>
      <c r="O30" s="77"/>
      <c r="P30" s="78"/>
      <c r="Q30" s="78"/>
      <c r="R30" s="92"/>
      <c r="S30" s="92"/>
      <c r="T30" s="92"/>
      <c r="U30" s="92"/>
      <c r="V30" s="52"/>
      <c r="W30" s="52"/>
      <c r="X30" s="52"/>
      <c r="Y30" s="52"/>
      <c r="Z30" s="51"/>
      <c r="AA30" s="73"/>
      <c r="AB30" s="73"/>
      <c r="AC30" s="74"/>
      <c r="AD30" s="81" t="s">
        <v>8046</v>
      </c>
      <c r="AE30" s="86" t="s">
        <v>9121</v>
      </c>
      <c r="AF30" s="81">
        <v>2717</v>
      </c>
      <c r="AG30" s="81">
        <v>197731</v>
      </c>
      <c r="AH30" s="81">
        <v>380585</v>
      </c>
      <c r="AI30" s="81">
        <v>5</v>
      </c>
      <c r="AJ30" s="81"/>
      <c r="AK30" s="84" t="str">
        <f>HYPERLINK("https://t.co/7vNDhEGEIv")</f>
        <v>https://t.co/7vNDhEGEIv</v>
      </c>
      <c r="AL30" s="81" t="s">
        <v>10990</v>
      </c>
      <c r="AM30" s="84" t="str">
        <f>HYPERLINK("http://t.co/WtCMNnz4rk")</f>
        <v>http://t.co/WtCMNnz4rk</v>
      </c>
      <c r="AN30" s="81"/>
      <c r="AO30" s="83">
        <v>39776.7187962963</v>
      </c>
      <c r="AP30" s="84" t="str">
        <f>HYPERLINK("https://pbs.twimg.com/profile_banners/17595890/1626272506")</f>
        <v>https://pbs.twimg.com/profile_banners/17595890/1626272506</v>
      </c>
      <c r="AQ30" s="81" t="b">
        <v>0</v>
      </c>
      <c r="AR30" s="81" t="b">
        <v>0</v>
      </c>
      <c r="AS30" s="81" t="b">
        <v>1</v>
      </c>
      <c r="AT30" s="81"/>
      <c r="AU30" s="81">
        <v>896</v>
      </c>
      <c r="AV30" s="84" t="str">
        <f>HYPERLINK("https://abs.twimg.com/images/themes/theme1/bg.png")</f>
        <v>https://abs.twimg.com/images/themes/theme1/bg.png</v>
      </c>
      <c r="AW30" s="81" t="b">
        <v>0</v>
      </c>
      <c r="AX30" s="81" t="s">
        <v>3728</v>
      </c>
      <c r="AY30" s="84" t="str">
        <f>HYPERLINK("https://twitter.com/ojogo")</f>
        <v>https://twitter.com/ojogo</v>
      </c>
      <c r="AZ30" s="81" t="s">
        <v>66</v>
      </c>
      <c r="BA30" s="2"/>
      <c r="BB30" s="3"/>
      <c r="BC30" s="3"/>
      <c r="BD30" s="3"/>
      <c r="BE30" s="3"/>
    </row>
    <row r="31" spans="1:57" x14ac:dyDescent="0.35">
      <c r="A31" s="66" t="s">
        <v>4179</v>
      </c>
      <c r="B31" s="67"/>
      <c r="C31" s="67"/>
      <c r="D31" s="68"/>
      <c r="E31" s="94"/>
      <c r="F31" s="93" t="str">
        <f>HYPERLINK("https://pbs.twimg.com/profile_images/1427932727546896392/gFwFtIq1_normal.jpg")</f>
        <v>https://pbs.twimg.com/profile_images/1427932727546896392/gFwFtIq1_normal.jpg</v>
      </c>
      <c r="G31" s="95"/>
      <c r="H31" s="71"/>
      <c r="I31" s="72"/>
      <c r="J31" s="96"/>
      <c r="K31" s="71" t="s">
        <v>11414</v>
      </c>
      <c r="L31" s="97"/>
      <c r="M31" s="76"/>
      <c r="N31" s="76"/>
      <c r="O31" s="77"/>
      <c r="P31" s="78"/>
      <c r="Q31" s="78"/>
      <c r="R31" s="92"/>
      <c r="S31" s="92"/>
      <c r="T31" s="92"/>
      <c r="U31" s="92"/>
      <c r="V31" s="52"/>
      <c r="W31" s="52"/>
      <c r="X31" s="52"/>
      <c r="Y31" s="52"/>
      <c r="Z31" s="51"/>
      <c r="AA31" s="73"/>
      <c r="AB31" s="73"/>
      <c r="AC31" s="74"/>
      <c r="AD31" s="81" t="s">
        <v>8047</v>
      </c>
      <c r="AE31" s="86" t="s">
        <v>9122</v>
      </c>
      <c r="AF31" s="81">
        <v>714</v>
      </c>
      <c r="AG31" s="81">
        <v>255</v>
      </c>
      <c r="AH31" s="81">
        <v>580</v>
      </c>
      <c r="AI31" s="81">
        <v>8061</v>
      </c>
      <c r="AJ31" s="81"/>
      <c r="AK31" s="81" t="s">
        <v>10074</v>
      </c>
      <c r="AL31" s="81" t="s">
        <v>10970</v>
      </c>
      <c r="AM31" s="81"/>
      <c r="AN31" s="81"/>
      <c r="AO31" s="83">
        <v>43730.326562499999</v>
      </c>
      <c r="AP31" s="84" t="str">
        <f>HYPERLINK("https://pbs.twimg.com/profile_banners/1175678623069720576/1629280666")</f>
        <v>https://pbs.twimg.com/profile_banners/1175678623069720576/1629280666</v>
      </c>
      <c r="AQ31" s="81" t="b">
        <v>1</v>
      </c>
      <c r="AR31" s="81" t="b">
        <v>0</v>
      </c>
      <c r="AS31" s="81" t="b">
        <v>0</v>
      </c>
      <c r="AT31" s="81"/>
      <c r="AU31" s="81">
        <v>0</v>
      </c>
      <c r="AV31" s="81"/>
      <c r="AW31" s="81" t="b">
        <v>0</v>
      </c>
      <c r="AX31" s="81" t="s">
        <v>3728</v>
      </c>
      <c r="AY31" s="84" t="str">
        <f>HYPERLINK("https://twitter.com/jardani_gun")</f>
        <v>https://twitter.com/jardani_gun</v>
      </c>
      <c r="AZ31" s="81" t="s">
        <v>66</v>
      </c>
      <c r="BA31" s="2"/>
      <c r="BB31" s="3"/>
      <c r="BC31" s="3"/>
      <c r="BD31" s="3"/>
      <c r="BE31" s="3"/>
    </row>
    <row r="32" spans="1:57" x14ac:dyDescent="0.35">
      <c r="A32" s="66" t="s">
        <v>230</v>
      </c>
      <c r="B32" s="67"/>
      <c r="C32" s="67"/>
      <c r="D32" s="68"/>
      <c r="E32" s="94"/>
      <c r="F32" s="93" t="str">
        <f>HYPERLINK("https://pbs.twimg.com/profile_images/1438319250788126722/AilxXsSH_normal.jpg")</f>
        <v>https://pbs.twimg.com/profile_images/1438319250788126722/AilxXsSH_normal.jpg</v>
      </c>
      <c r="G32" s="95"/>
      <c r="H32" s="71"/>
      <c r="I32" s="72"/>
      <c r="J32" s="96"/>
      <c r="K32" s="71" t="s">
        <v>3749</v>
      </c>
      <c r="L32" s="97"/>
      <c r="M32" s="76"/>
      <c r="N32" s="76"/>
      <c r="O32" s="77"/>
      <c r="P32" s="78"/>
      <c r="Q32" s="78"/>
      <c r="R32" s="92"/>
      <c r="S32" s="92"/>
      <c r="T32" s="92"/>
      <c r="U32" s="92"/>
      <c r="V32" s="52"/>
      <c r="W32" s="52"/>
      <c r="X32" s="52"/>
      <c r="Y32" s="52"/>
      <c r="Z32" s="51"/>
      <c r="AA32" s="73"/>
      <c r="AB32" s="73"/>
      <c r="AC32" s="74"/>
      <c r="AD32" s="81" t="s">
        <v>2260</v>
      </c>
      <c r="AE32" s="86" t="s">
        <v>2699</v>
      </c>
      <c r="AF32" s="81">
        <v>921</v>
      </c>
      <c r="AG32" s="81">
        <v>5</v>
      </c>
      <c r="AH32" s="81">
        <v>475</v>
      </c>
      <c r="AI32" s="81">
        <v>34</v>
      </c>
      <c r="AJ32" s="81"/>
      <c r="AK32" s="81" t="s">
        <v>3099</v>
      </c>
      <c r="AL32" s="81"/>
      <c r="AM32" s="81"/>
      <c r="AN32" s="81"/>
      <c r="AO32" s="83">
        <v>44455.076203703706</v>
      </c>
      <c r="AP32" s="81"/>
      <c r="AQ32" s="81" t="b">
        <v>1</v>
      </c>
      <c r="AR32" s="81" t="b">
        <v>0</v>
      </c>
      <c r="AS32" s="81" t="b">
        <v>0</v>
      </c>
      <c r="AT32" s="81"/>
      <c r="AU32" s="81">
        <v>0</v>
      </c>
      <c r="AV32" s="81"/>
      <c r="AW32" s="81" t="b">
        <v>0</v>
      </c>
      <c r="AX32" s="81" t="s">
        <v>3728</v>
      </c>
      <c r="AY32" s="84" t="str">
        <f>HYPERLINK("https://twitter.com/khan0348700")</f>
        <v>https://twitter.com/khan0348700</v>
      </c>
      <c r="AZ32" s="81" t="s">
        <v>66</v>
      </c>
      <c r="BA32" s="2"/>
      <c r="BB32" s="3"/>
      <c r="BC32" s="3"/>
      <c r="BD32" s="3"/>
      <c r="BE32" s="3"/>
    </row>
    <row r="33" spans="1:57" x14ac:dyDescent="0.35">
      <c r="A33" s="66" t="s">
        <v>4180</v>
      </c>
      <c r="B33" s="67"/>
      <c r="C33" s="67"/>
      <c r="D33" s="68"/>
      <c r="E33" s="94"/>
      <c r="F33" s="93" t="str">
        <f>HYPERLINK("https://pbs.twimg.com/profile_images/1442600267178856452/1YnyAY82_normal.jpg")</f>
        <v>https://pbs.twimg.com/profile_images/1442600267178856452/1YnyAY82_normal.jpg</v>
      </c>
      <c r="G33" s="95"/>
      <c r="H33" s="71"/>
      <c r="I33" s="72"/>
      <c r="J33" s="96"/>
      <c r="K33" s="71" t="s">
        <v>11415</v>
      </c>
      <c r="L33" s="97"/>
      <c r="M33" s="76"/>
      <c r="N33" s="76"/>
      <c r="O33" s="77"/>
      <c r="P33" s="78"/>
      <c r="Q33" s="78"/>
      <c r="R33" s="92"/>
      <c r="S33" s="92"/>
      <c r="T33" s="92"/>
      <c r="U33" s="92"/>
      <c r="V33" s="52"/>
      <c r="W33" s="52"/>
      <c r="X33" s="52"/>
      <c r="Y33" s="52"/>
      <c r="Z33" s="51"/>
      <c r="AA33" s="73"/>
      <c r="AB33" s="73"/>
      <c r="AC33" s="74"/>
      <c r="AD33" s="81" t="s">
        <v>8048</v>
      </c>
      <c r="AE33" s="86" t="s">
        <v>9123</v>
      </c>
      <c r="AF33" s="81">
        <v>655</v>
      </c>
      <c r="AG33" s="81">
        <v>10924</v>
      </c>
      <c r="AH33" s="81">
        <v>34443</v>
      </c>
      <c r="AI33" s="81">
        <v>20490</v>
      </c>
      <c r="AJ33" s="81"/>
      <c r="AK33" s="81"/>
      <c r="AL33" s="81" t="s">
        <v>10975</v>
      </c>
      <c r="AM33" s="81"/>
      <c r="AN33" s="81"/>
      <c r="AO33" s="83">
        <v>40484.51290509259</v>
      </c>
      <c r="AP33" s="84" t="str">
        <f>HYPERLINK("https://pbs.twimg.com/profile_banners/211132548/1621910656")</f>
        <v>https://pbs.twimg.com/profile_banners/211132548/1621910656</v>
      </c>
      <c r="AQ33" s="81" t="b">
        <v>0</v>
      </c>
      <c r="AR33" s="81" t="b">
        <v>0</v>
      </c>
      <c r="AS33" s="81" t="b">
        <v>1</v>
      </c>
      <c r="AT33" s="81"/>
      <c r="AU33" s="81">
        <v>549</v>
      </c>
      <c r="AV33" s="84" t="str">
        <f>HYPERLINK("https://abs.twimg.com/images/themes/theme14/bg.gif")</f>
        <v>https://abs.twimg.com/images/themes/theme14/bg.gif</v>
      </c>
      <c r="AW33" s="81" t="b">
        <v>0</v>
      </c>
      <c r="AX33" s="81" t="s">
        <v>3728</v>
      </c>
      <c r="AY33" s="84" t="str">
        <f>HYPERLINK("https://twitter.com/lucasnicoo_")</f>
        <v>https://twitter.com/lucasnicoo_</v>
      </c>
      <c r="AZ33" s="81" t="s">
        <v>66</v>
      </c>
      <c r="BA33" s="2"/>
      <c r="BB33" s="3"/>
      <c r="BC33" s="3"/>
      <c r="BD33" s="3"/>
      <c r="BE33" s="3"/>
    </row>
    <row r="34" spans="1:57" x14ac:dyDescent="0.35">
      <c r="A34" s="66" t="s">
        <v>4985</v>
      </c>
      <c r="B34" s="67"/>
      <c r="C34" s="67"/>
      <c r="D34" s="68"/>
      <c r="E34" s="94"/>
      <c r="F34" s="93" t="str">
        <f>HYPERLINK("https://pbs.twimg.com/profile_images/1439299612423118858/Tdt9nXDN_normal.jpg")</f>
        <v>https://pbs.twimg.com/profile_images/1439299612423118858/Tdt9nXDN_normal.jpg</v>
      </c>
      <c r="G34" s="95"/>
      <c r="H34" s="71"/>
      <c r="I34" s="72"/>
      <c r="J34" s="96"/>
      <c r="K34" s="71" t="s">
        <v>11416</v>
      </c>
      <c r="L34" s="97"/>
      <c r="M34" s="76"/>
      <c r="N34" s="76"/>
      <c r="O34" s="77"/>
      <c r="P34" s="78"/>
      <c r="Q34" s="78"/>
      <c r="R34" s="92"/>
      <c r="S34" s="92"/>
      <c r="T34" s="92"/>
      <c r="U34" s="92"/>
      <c r="V34" s="52"/>
      <c r="W34" s="52"/>
      <c r="X34" s="52"/>
      <c r="Y34" s="52"/>
      <c r="Z34" s="51"/>
      <c r="AA34" s="73"/>
      <c r="AB34" s="73"/>
      <c r="AC34" s="74"/>
      <c r="AD34" s="81" t="s">
        <v>8049</v>
      </c>
      <c r="AE34" s="86" t="s">
        <v>7796</v>
      </c>
      <c r="AF34" s="81">
        <v>767</v>
      </c>
      <c r="AG34" s="81">
        <v>314901</v>
      </c>
      <c r="AH34" s="81">
        <v>56787</v>
      </c>
      <c r="AI34" s="81">
        <v>11640</v>
      </c>
      <c r="AJ34" s="81"/>
      <c r="AK34" s="81" t="s">
        <v>10075</v>
      </c>
      <c r="AL34" s="81" t="s">
        <v>11001</v>
      </c>
      <c r="AM34" s="84" t="str">
        <f>HYPERLINK("https://t.co/hOjPK10SiP")</f>
        <v>https://t.co/hOjPK10SiP</v>
      </c>
      <c r="AN34" s="81"/>
      <c r="AO34" s="83">
        <v>40018.957916666666</v>
      </c>
      <c r="AP34" s="84" t="str">
        <f>HYPERLINK("https://pbs.twimg.com/profile_banners/59912646/1611685416")</f>
        <v>https://pbs.twimg.com/profile_banners/59912646/1611685416</v>
      </c>
      <c r="AQ34" s="81" t="b">
        <v>0</v>
      </c>
      <c r="AR34" s="81" t="b">
        <v>0</v>
      </c>
      <c r="AS34" s="81" t="b">
        <v>0</v>
      </c>
      <c r="AT34" s="81"/>
      <c r="AU34" s="81">
        <v>1490</v>
      </c>
      <c r="AV34" s="84" t="str">
        <f>HYPERLINK("https://abs.twimg.com/images/themes/theme1/bg.png")</f>
        <v>https://abs.twimg.com/images/themes/theme1/bg.png</v>
      </c>
      <c r="AW34" s="81" t="b">
        <v>1</v>
      </c>
      <c r="AX34" s="81" t="s">
        <v>3728</v>
      </c>
      <c r="AY34" s="84" t="str">
        <f>HYPERLINK("https://twitter.com/ticostacruz")</f>
        <v>https://twitter.com/ticostacruz</v>
      </c>
      <c r="AZ34" s="81" t="s">
        <v>65</v>
      </c>
      <c r="BA34" s="2"/>
      <c r="BB34" s="3"/>
      <c r="BC34" s="3"/>
      <c r="BD34" s="3"/>
      <c r="BE34" s="3"/>
    </row>
    <row r="35" spans="1:57" x14ac:dyDescent="0.35">
      <c r="A35" s="66" t="s">
        <v>231</v>
      </c>
      <c r="B35" s="67"/>
      <c r="C35" s="67"/>
      <c r="D35" s="68"/>
      <c r="E35" s="94"/>
      <c r="F35" s="93" t="str">
        <f>HYPERLINK("https://pbs.twimg.com/profile_images/1443186679536177154/ngf7WuY6_normal.png")</f>
        <v>https://pbs.twimg.com/profile_images/1443186679536177154/ngf7WuY6_normal.png</v>
      </c>
      <c r="G35" s="95"/>
      <c r="H35" s="71"/>
      <c r="I35" s="72"/>
      <c r="J35" s="96"/>
      <c r="K35" s="71" t="s">
        <v>3750</v>
      </c>
      <c r="L35" s="97"/>
      <c r="M35" s="76"/>
      <c r="N35" s="76"/>
      <c r="O35" s="77"/>
      <c r="P35" s="78"/>
      <c r="Q35" s="78"/>
      <c r="R35" s="92"/>
      <c r="S35" s="92"/>
      <c r="T35" s="92"/>
      <c r="U35" s="92"/>
      <c r="V35" s="52"/>
      <c r="W35" s="52"/>
      <c r="X35" s="52"/>
      <c r="Y35" s="52"/>
      <c r="Z35" s="51"/>
      <c r="AA35" s="73"/>
      <c r="AB35" s="73"/>
      <c r="AC35" s="74"/>
      <c r="AD35" s="81" t="s">
        <v>2261</v>
      </c>
      <c r="AE35" s="86" t="s">
        <v>2700</v>
      </c>
      <c r="AF35" s="81">
        <v>726</v>
      </c>
      <c r="AG35" s="81">
        <v>478</v>
      </c>
      <c r="AH35" s="81">
        <v>23830</v>
      </c>
      <c r="AI35" s="81">
        <v>22312</v>
      </c>
      <c r="AJ35" s="81"/>
      <c r="AK35" s="81" t="s">
        <v>3100</v>
      </c>
      <c r="AL35" s="81"/>
      <c r="AM35" s="81"/>
      <c r="AN35" s="81"/>
      <c r="AO35" s="83">
        <v>44138.591863425929</v>
      </c>
      <c r="AP35" s="84" t="str">
        <f>HYPERLINK("https://pbs.twimg.com/profile_banners/1323628884395356161/1616421751")</f>
        <v>https://pbs.twimg.com/profile_banners/1323628884395356161/1616421751</v>
      </c>
      <c r="AQ35" s="81" t="b">
        <v>1</v>
      </c>
      <c r="AR35" s="81" t="b">
        <v>0</v>
      </c>
      <c r="AS35" s="81" t="b">
        <v>1</v>
      </c>
      <c r="AT35" s="81"/>
      <c r="AU35" s="81">
        <v>2</v>
      </c>
      <c r="AV35" s="81"/>
      <c r="AW35" s="81" t="b">
        <v>0</v>
      </c>
      <c r="AX35" s="81" t="s">
        <v>3728</v>
      </c>
      <c r="AY35" s="84" t="str">
        <f>HYPERLINK("https://twitter.com/_chrisnini")</f>
        <v>https://twitter.com/_chrisnini</v>
      </c>
      <c r="AZ35" s="81" t="s">
        <v>66</v>
      </c>
      <c r="BA35" s="2"/>
      <c r="BB35" s="3"/>
      <c r="BC35" s="3"/>
      <c r="BD35" s="3"/>
      <c r="BE35" s="3"/>
    </row>
    <row r="36" spans="1:57" x14ac:dyDescent="0.35">
      <c r="A36" s="66" t="s">
        <v>297</v>
      </c>
      <c r="B36" s="67"/>
      <c r="C36" s="67"/>
      <c r="D36" s="68"/>
      <c r="E36" s="94"/>
      <c r="F36" s="93" t="str">
        <f>HYPERLINK("https://pbs.twimg.com/profile_images/1438883525336256519/4NtsUscU_normal.jpg")</f>
        <v>https://pbs.twimg.com/profile_images/1438883525336256519/4NtsUscU_normal.jpg</v>
      </c>
      <c r="G36" s="95"/>
      <c r="H36" s="71"/>
      <c r="I36" s="72"/>
      <c r="J36" s="96"/>
      <c r="K36" s="71" t="s">
        <v>3751</v>
      </c>
      <c r="L36" s="97"/>
      <c r="M36" s="76"/>
      <c r="N36" s="76"/>
      <c r="O36" s="77"/>
      <c r="P36" s="78"/>
      <c r="Q36" s="78"/>
      <c r="R36" s="92"/>
      <c r="S36" s="92"/>
      <c r="T36" s="92"/>
      <c r="U36" s="92"/>
      <c r="V36" s="52"/>
      <c r="W36" s="52"/>
      <c r="X36" s="52"/>
      <c r="Y36" s="52"/>
      <c r="Z36" s="51"/>
      <c r="AA36" s="73"/>
      <c r="AB36" s="73"/>
      <c r="AC36" s="74"/>
      <c r="AD36" s="81" t="s">
        <v>2262</v>
      </c>
      <c r="AE36" s="86" t="s">
        <v>2701</v>
      </c>
      <c r="AF36" s="81">
        <v>4</v>
      </c>
      <c r="AG36" s="81">
        <v>10</v>
      </c>
      <c r="AH36" s="81">
        <v>85</v>
      </c>
      <c r="AI36" s="81">
        <v>1</v>
      </c>
      <c r="AJ36" s="81"/>
      <c r="AK36" s="81" t="s">
        <v>3101</v>
      </c>
      <c r="AL36" s="81"/>
      <c r="AM36" s="81"/>
      <c r="AN36" s="81"/>
      <c r="AO36" s="83">
        <v>44452.245000000003</v>
      </c>
      <c r="AP36" s="84" t="str">
        <f>HYPERLINK("https://pbs.twimg.com/profile_banners/1437293115031711744/1631512981")</f>
        <v>https://pbs.twimg.com/profile_banners/1437293115031711744/1631512981</v>
      </c>
      <c r="AQ36" s="81" t="b">
        <v>1</v>
      </c>
      <c r="AR36" s="81" t="b">
        <v>0</v>
      </c>
      <c r="AS36" s="81" t="b">
        <v>0</v>
      </c>
      <c r="AT36" s="81"/>
      <c r="AU36" s="81">
        <v>0</v>
      </c>
      <c r="AV36" s="81"/>
      <c r="AW36" s="81" t="b">
        <v>0</v>
      </c>
      <c r="AX36" s="81" t="s">
        <v>3728</v>
      </c>
      <c r="AY36" s="84" t="str">
        <f>HYPERLINK("https://twitter.com/jiniretselling")</f>
        <v>https://twitter.com/jiniretselling</v>
      </c>
      <c r="AZ36" s="81" t="s">
        <v>66</v>
      </c>
      <c r="BA36" s="2"/>
      <c r="BB36" s="3"/>
      <c r="BC36" s="3"/>
      <c r="BD36" s="3"/>
      <c r="BE36" s="3"/>
    </row>
    <row r="37" spans="1:57" x14ac:dyDescent="0.35">
      <c r="A37" s="66" t="s">
        <v>232</v>
      </c>
      <c r="B37" s="67"/>
      <c r="C37" s="67"/>
      <c r="D37" s="68"/>
      <c r="E37" s="94"/>
      <c r="F37" s="93" t="str">
        <f>HYPERLINK("https://pbs.twimg.com/profile_images/1442372318563475459/3gMMs6Yg_normal.jpg")</f>
        <v>https://pbs.twimg.com/profile_images/1442372318563475459/3gMMs6Yg_normal.jpg</v>
      </c>
      <c r="G37" s="95"/>
      <c r="H37" s="71"/>
      <c r="I37" s="72"/>
      <c r="J37" s="96"/>
      <c r="K37" s="71" t="s">
        <v>3752</v>
      </c>
      <c r="L37" s="97"/>
      <c r="M37" s="76"/>
      <c r="N37" s="76"/>
      <c r="O37" s="77"/>
      <c r="P37" s="78"/>
      <c r="Q37" s="78"/>
      <c r="R37" s="92"/>
      <c r="S37" s="92"/>
      <c r="T37" s="92"/>
      <c r="U37" s="92"/>
      <c r="V37" s="52"/>
      <c r="W37" s="52"/>
      <c r="X37" s="52"/>
      <c r="Y37" s="52"/>
      <c r="Z37" s="51"/>
      <c r="AA37" s="73"/>
      <c r="AB37" s="73"/>
      <c r="AC37" s="74"/>
      <c r="AD37" s="81" t="s">
        <v>2263</v>
      </c>
      <c r="AE37" s="86" t="s">
        <v>2702</v>
      </c>
      <c r="AF37" s="81">
        <v>185</v>
      </c>
      <c r="AG37" s="81">
        <v>180</v>
      </c>
      <c r="AH37" s="81">
        <v>3180</v>
      </c>
      <c r="AI37" s="81">
        <v>5815</v>
      </c>
      <c r="AJ37" s="81"/>
      <c r="AK37" s="81"/>
      <c r="AL37" s="81"/>
      <c r="AM37" s="81"/>
      <c r="AN37" s="81"/>
      <c r="AO37" s="83">
        <v>44346.118217592593</v>
      </c>
      <c r="AP37" s="84" t="str">
        <f>HYPERLINK("https://pbs.twimg.com/profile_banners/1398834068620419076/1632670563")</f>
        <v>https://pbs.twimg.com/profile_banners/1398834068620419076/1632670563</v>
      </c>
      <c r="AQ37" s="81" t="b">
        <v>1</v>
      </c>
      <c r="AR37" s="81" t="b">
        <v>0</v>
      </c>
      <c r="AS37" s="81" t="b">
        <v>0</v>
      </c>
      <c r="AT37" s="81"/>
      <c r="AU37" s="81">
        <v>1</v>
      </c>
      <c r="AV37" s="81"/>
      <c r="AW37" s="81" t="b">
        <v>0</v>
      </c>
      <c r="AX37" s="81" t="s">
        <v>3728</v>
      </c>
      <c r="AY37" s="84" t="str">
        <f>HYPERLINK("https://twitter.com/_h0wling_")</f>
        <v>https://twitter.com/_h0wling_</v>
      </c>
      <c r="AZ37" s="81" t="s">
        <v>66</v>
      </c>
      <c r="BA37" s="2"/>
      <c r="BB37" s="3"/>
      <c r="BC37" s="3"/>
      <c r="BD37" s="3"/>
      <c r="BE37" s="3"/>
    </row>
    <row r="38" spans="1:57" x14ac:dyDescent="0.35">
      <c r="A38" s="66" t="s">
        <v>4181</v>
      </c>
      <c r="B38" s="67"/>
      <c r="C38" s="67"/>
      <c r="D38" s="68"/>
      <c r="E38" s="94"/>
      <c r="F38" s="93" t="str">
        <f>HYPERLINK("https://pbs.twimg.com/profile_images/1442527634622013442/Fv1X9i6n_normal.jpg")</f>
        <v>https://pbs.twimg.com/profile_images/1442527634622013442/Fv1X9i6n_normal.jpg</v>
      </c>
      <c r="G38" s="95"/>
      <c r="H38" s="71"/>
      <c r="I38" s="72"/>
      <c r="J38" s="96"/>
      <c r="K38" s="71" t="s">
        <v>11417</v>
      </c>
      <c r="L38" s="97"/>
      <c r="M38" s="76"/>
      <c r="N38" s="76"/>
      <c r="O38" s="77"/>
      <c r="P38" s="78"/>
      <c r="Q38" s="78"/>
      <c r="R38" s="92"/>
      <c r="S38" s="92"/>
      <c r="T38" s="92"/>
      <c r="U38" s="92"/>
      <c r="V38" s="52"/>
      <c r="W38" s="52"/>
      <c r="X38" s="52"/>
      <c r="Y38" s="52"/>
      <c r="Z38" s="51"/>
      <c r="AA38" s="73"/>
      <c r="AB38" s="73"/>
      <c r="AC38" s="74"/>
      <c r="AD38" s="81" t="s">
        <v>8050</v>
      </c>
      <c r="AE38" s="86" t="s">
        <v>9124</v>
      </c>
      <c r="AF38" s="81">
        <v>122</v>
      </c>
      <c r="AG38" s="81">
        <v>112</v>
      </c>
      <c r="AH38" s="81">
        <v>3320</v>
      </c>
      <c r="AI38" s="81">
        <v>934</v>
      </c>
      <c r="AJ38" s="81"/>
      <c r="AK38" s="81" t="s">
        <v>10076</v>
      </c>
      <c r="AL38" s="81"/>
      <c r="AM38" s="81"/>
      <c r="AN38" s="81"/>
      <c r="AO38" s="83">
        <v>44447.275277777779</v>
      </c>
      <c r="AP38" s="84" t="str">
        <f>HYPERLINK("https://pbs.twimg.com/profile_banners/1435492153895972867/1631472045")</f>
        <v>https://pbs.twimg.com/profile_banners/1435492153895972867/1631472045</v>
      </c>
      <c r="AQ38" s="81" t="b">
        <v>1</v>
      </c>
      <c r="AR38" s="81" t="b">
        <v>0</v>
      </c>
      <c r="AS38" s="81" t="b">
        <v>0</v>
      </c>
      <c r="AT38" s="81"/>
      <c r="AU38" s="81">
        <v>0</v>
      </c>
      <c r="AV38" s="81"/>
      <c r="AW38" s="81" t="b">
        <v>0</v>
      </c>
      <c r="AX38" s="81" t="s">
        <v>3728</v>
      </c>
      <c r="AY38" s="84" t="str">
        <f>HYPERLINK("https://twitter.com/erzabellchan")</f>
        <v>https://twitter.com/erzabellchan</v>
      </c>
      <c r="AZ38" s="81" t="s">
        <v>66</v>
      </c>
      <c r="BA38" s="2"/>
      <c r="BB38" s="3"/>
      <c r="BC38" s="3"/>
      <c r="BD38" s="3"/>
      <c r="BE38" s="3"/>
    </row>
    <row r="39" spans="1:57" x14ac:dyDescent="0.35">
      <c r="A39" s="66" t="s">
        <v>233</v>
      </c>
      <c r="B39" s="67"/>
      <c r="C39" s="67"/>
      <c r="D39" s="68"/>
      <c r="E39" s="94"/>
      <c r="F39" s="93" t="str">
        <f>HYPERLINK("https://pbs.twimg.com/profile_images/1440620803310047233/5UPA2qf8_normal.jpg")</f>
        <v>https://pbs.twimg.com/profile_images/1440620803310047233/5UPA2qf8_normal.jpg</v>
      </c>
      <c r="G39" s="95"/>
      <c r="H39" s="71"/>
      <c r="I39" s="72"/>
      <c r="J39" s="96"/>
      <c r="K39" s="71" t="s">
        <v>3753</v>
      </c>
      <c r="L39" s="97"/>
      <c r="M39" s="76"/>
      <c r="N39" s="76"/>
      <c r="O39" s="77"/>
      <c r="P39" s="78"/>
      <c r="Q39" s="78"/>
      <c r="R39" s="92"/>
      <c r="S39" s="92"/>
      <c r="T39" s="92"/>
      <c r="U39" s="92"/>
      <c r="V39" s="52"/>
      <c r="W39" s="52"/>
      <c r="X39" s="52"/>
      <c r="Y39" s="52"/>
      <c r="Z39" s="51"/>
      <c r="AA39" s="73"/>
      <c r="AB39" s="73"/>
      <c r="AC39" s="74"/>
      <c r="AD39" s="81" t="s">
        <v>2264</v>
      </c>
      <c r="AE39" s="86" t="s">
        <v>2703</v>
      </c>
      <c r="AF39" s="81">
        <v>496</v>
      </c>
      <c r="AG39" s="81">
        <v>491</v>
      </c>
      <c r="AH39" s="81">
        <v>10556</v>
      </c>
      <c r="AI39" s="81">
        <v>161</v>
      </c>
      <c r="AJ39" s="81"/>
      <c r="AK39" s="81">
        <v>1987</v>
      </c>
      <c r="AL39" s="81"/>
      <c r="AM39" s="81"/>
      <c r="AN39" s="81"/>
      <c r="AO39" s="83">
        <v>43421.737245370372</v>
      </c>
      <c r="AP39" s="84" t="str">
        <f>HYPERLINK("https://pbs.twimg.com/profile_banners/1063849657338519552/1631806167")</f>
        <v>https://pbs.twimg.com/profile_banners/1063849657338519552/1631806167</v>
      </c>
      <c r="AQ39" s="81" t="b">
        <v>1</v>
      </c>
      <c r="AR39" s="81" t="b">
        <v>0</v>
      </c>
      <c r="AS39" s="81" t="b">
        <v>0</v>
      </c>
      <c r="AT39" s="81"/>
      <c r="AU39" s="81">
        <v>4</v>
      </c>
      <c r="AV39" s="81"/>
      <c r="AW39" s="81" t="b">
        <v>0</v>
      </c>
      <c r="AX39" s="81" t="s">
        <v>3728</v>
      </c>
      <c r="AY39" s="84" t="str">
        <f>HYPERLINK("https://twitter.com/aimonogatari_")</f>
        <v>https://twitter.com/aimonogatari_</v>
      </c>
      <c r="AZ39" s="81" t="s">
        <v>66</v>
      </c>
      <c r="BA39" s="2"/>
      <c r="BB39" s="3"/>
      <c r="BC39" s="3"/>
      <c r="BD39" s="3"/>
      <c r="BE39" s="3"/>
    </row>
    <row r="40" spans="1:57" x14ac:dyDescent="0.35">
      <c r="A40" s="66" t="s">
        <v>606</v>
      </c>
      <c r="B40" s="67"/>
      <c r="C40" s="67"/>
      <c r="D40" s="68"/>
      <c r="E40" s="94"/>
      <c r="F40" s="93" t="str">
        <f>HYPERLINK("https://pbs.twimg.com/profile_images/1438158004453400578/ephnhB73_normal.jpg")</f>
        <v>https://pbs.twimg.com/profile_images/1438158004453400578/ephnhB73_normal.jpg</v>
      </c>
      <c r="G40" s="95"/>
      <c r="H40" s="71"/>
      <c r="I40" s="72"/>
      <c r="J40" s="96"/>
      <c r="K40" s="71" t="s">
        <v>3754</v>
      </c>
      <c r="L40" s="97"/>
      <c r="M40" s="76"/>
      <c r="N40" s="76"/>
      <c r="O40" s="77"/>
      <c r="P40" s="78"/>
      <c r="Q40" s="78"/>
      <c r="R40" s="92"/>
      <c r="S40" s="92"/>
      <c r="T40" s="92"/>
      <c r="U40" s="92"/>
      <c r="V40" s="52"/>
      <c r="W40" s="52"/>
      <c r="X40" s="52"/>
      <c r="Y40" s="52"/>
      <c r="Z40" s="51"/>
      <c r="AA40" s="73"/>
      <c r="AB40" s="73"/>
      <c r="AC40" s="74"/>
      <c r="AD40" s="81" t="s">
        <v>2265</v>
      </c>
      <c r="AE40" s="86" t="s">
        <v>2089</v>
      </c>
      <c r="AF40" s="81">
        <v>478</v>
      </c>
      <c r="AG40" s="81">
        <v>302</v>
      </c>
      <c r="AH40" s="81">
        <v>43982</v>
      </c>
      <c r="AI40" s="81">
        <v>3872</v>
      </c>
      <c r="AJ40" s="81"/>
      <c r="AK40" s="81" t="s">
        <v>3102</v>
      </c>
      <c r="AL40" s="81" t="s">
        <v>3535</v>
      </c>
      <c r="AM40" s="84" t="str">
        <f>HYPERLINK("https://t.co/IwFYnHhhAW")</f>
        <v>https://t.co/IwFYnHhhAW</v>
      </c>
      <c r="AN40" s="81"/>
      <c r="AO40" s="83">
        <v>41834.282939814817</v>
      </c>
      <c r="AP40" s="84" t="str">
        <f>HYPERLINK("https://pbs.twimg.com/profile_banners/2643905629/1632020118")</f>
        <v>https://pbs.twimg.com/profile_banners/2643905629/1632020118</v>
      </c>
      <c r="AQ40" s="81" t="b">
        <v>0</v>
      </c>
      <c r="AR40" s="81" t="b">
        <v>0</v>
      </c>
      <c r="AS40" s="81" t="b">
        <v>0</v>
      </c>
      <c r="AT40" s="81"/>
      <c r="AU40" s="81">
        <v>3</v>
      </c>
      <c r="AV40" s="84" t="str">
        <f>HYPERLINK("https://abs.twimg.com/images/themes/theme1/bg.png")</f>
        <v>https://abs.twimg.com/images/themes/theme1/bg.png</v>
      </c>
      <c r="AW40" s="81" t="b">
        <v>0</v>
      </c>
      <c r="AX40" s="81" t="s">
        <v>3728</v>
      </c>
      <c r="AY40" s="84" t="str">
        <f>HYPERLINK("https://twitter.com/xylonj_")</f>
        <v>https://twitter.com/xylonj_</v>
      </c>
      <c r="AZ40" s="81" t="s">
        <v>65</v>
      </c>
      <c r="BA40" s="2"/>
      <c r="BB40" s="3"/>
      <c r="BC40" s="3"/>
      <c r="BD40" s="3"/>
      <c r="BE40" s="3"/>
    </row>
    <row r="41" spans="1:57" x14ac:dyDescent="0.35">
      <c r="A41" s="66" t="s">
        <v>234</v>
      </c>
      <c r="B41" s="67"/>
      <c r="C41" s="67"/>
      <c r="D41" s="68"/>
      <c r="E41" s="94"/>
      <c r="F41" s="93" t="str">
        <f>HYPERLINK("https://pbs.twimg.com/profile_images/1413561736599310338/ls6aYoc-_normal.jpg")</f>
        <v>https://pbs.twimg.com/profile_images/1413561736599310338/ls6aYoc-_normal.jpg</v>
      </c>
      <c r="G41" s="95"/>
      <c r="H41" s="71"/>
      <c r="I41" s="72"/>
      <c r="J41" s="96"/>
      <c r="K41" s="71" t="s">
        <v>3755</v>
      </c>
      <c r="L41" s="97"/>
      <c r="M41" s="76"/>
      <c r="N41" s="76"/>
      <c r="O41" s="77"/>
      <c r="P41" s="78"/>
      <c r="Q41" s="78"/>
      <c r="R41" s="92"/>
      <c r="S41" s="92"/>
      <c r="T41" s="92"/>
      <c r="U41" s="92"/>
      <c r="V41" s="52"/>
      <c r="W41" s="52"/>
      <c r="X41" s="52"/>
      <c r="Y41" s="52"/>
      <c r="Z41" s="51"/>
      <c r="AA41" s="73"/>
      <c r="AB41" s="73"/>
      <c r="AC41" s="74"/>
      <c r="AD41" s="81" t="s">
        <v>2266</v>
      </c>
      <c r="AE41" s="86" t="s">
        <v>2704</v>
      </c>
      <c r="AF41" s="81">
        <v>971</v>
      </c>
      <c r="AG41" s="81">
        <v>30</v>
      </c>
      <c r="AH41" s="81">
        <v>685</v>
      </c>
      <c r="AI41" s="81">
        <v>282</v>
      </c>
      <c r="AJ41" s="81"/>
      <c r="AK41" s="81" t="s">
        <v>3103</v>
      </c>
      <c r="AL41" s="81"/>
      <c r="AM41" s="81"/>
      <c r="AN41" s="81"/>
      <c r="AO41" s="83">
        <v>44386.758379629631</v>
      </c>
      <c r="AP41" s="81"/>
      <c r="AQ41" s="81" t="b">
        <v>1</v>
      </c>
      <c r="AR41" s="81" t="b">
        <v>0</v>
      </c>
      <c r="AS41" s="81" t="b">
        <v>1</v>
      </c>
      <c r="AT41" s="81"/>
      <c r="AU41" s="81">
        <v>0</v>
      </c>
      <c r="AV41" s="81"/>
      <c r="AW41" s="81" t="b">
        <v>0</v>
      </c>
      <c r="AX41" s="81" t="s">
        <v>3728</v>
      </c>
      <c r="AY41" s="84" t="str">
        <f>HYPERLINK("https://twitter.com/abdulre26789541")</f>
        <v>https://twitter.com/abdulre26789541</v>
      </c>
      <c r="AZ41" s="81" t="s">
        <v>66</v>
      </c>
      <c r="BA41" s="2"/>
      <c r="BB41" s="3"/>
      <c r="BC41" s="3"/>
      <c r="BD41" s="3"/>
      <c r="BE41" s="3"/>
    </row>
    <row r="42" spans="1:57" x14ac:dyDescent="0.35">
      <c r="A42" s="66" t="s">
        <v>4182</v>
      </c>
      <c r="B42" s="67"/>
      <c r="C42" s="67"/>
      <c r="D42" s="68"/>
      <c r="E42" s="94"/>
      <c r="F42" s="93" t="str">
        <f>HYPERLINK("https://pbs.twimg.com/profile_images/641048558469271552/WAbL9LlF_normal.jpg")</f>
        <v>https://pbs.twimg.com/profile_images/641048558469271552/WAbL9LlF_normal.jpg</v>
      </c>
      <c r="G42" s="95"/>
      <c r="H42" s="71"/>
      <c r="I42" s="72"/>
      <c r="J42" s="96"/>
      <c r="K42" s="71" t="s">
        <v>11418</v>
      </c>
      <c r="L42" s="97"/>
      <c r="M42" s="76"/>
      <c r="N42" s="76"/>
      <c r="O42" s="77"/>
      <c r="P42" s="78"/>
      <c r="Q42" s="78"/>
      <c r="R42" s="92"/>
      <c r="S42" s="92"/>
      <c r="T42" s="92"/>
      <c r="U42" s="92"/>
      <c r="V42" s="52"/>
      <c r="W42" s="52"/>
      <c r="X42" s="52"/>
      <c r="Y42" s="52"/>
      <c r="Z42" s="51"/>
      <c r="AA42" s="73"/>
      <c r="AB42" s="73"/>
      <c r="AC42" s="74"/>
      <c r="AD42" s="81" t="s">
        <v>8051</v>
      </c>
      <c r="AE42" s="86" t="s">
        <v>9125</v>
      </c>
      <c r="AF42" s="81">
        <v>5152</v>
      </c>
      <c r="AG42" s="81">
        <v>6295</v>
      </c>
      <c r="AH42" s="81">
        <v>164996</v>
      </c>
      <c r="AI42" s="81">
        <v>52690</v>
      </c>
      <c r="AJ42" s="81"/>
      <c r="AK42" s="81" t="s">
        <v>10077</v>
      </c>
      <c r="AL42" s="81"/>
      <c r="AM42" s="81"/>
      <c r="AN42" s="81"/>
      <c r="AO42" s="83">
        <v>40824.853761574072</v>
      </c>
      <c r="AP42" s="84" t="str">
        <f>HYPERLINK("https://pbs.twimg.com/profile_banners/387304906/1587844581")</f>
        <v>https://pbs.twimg.com/profile_banners/387304906/1587844581</v>
      </c>
      <c r="AQ42" s="81" t="b">
        <v>1</v>
      </c>
      <c r="AR42" s="81" t="b">
        <v>0</v>
      </c>
      <c r="AS42" s="81" t="b">
        <v>1</v>
      </c>
      <c r="AT42" s="81"/>
      <c r="AU42" s="81">
        <v>18</v>
      </c>
      <c r="AV42" s="84" t="str">
        <f>HYPERLINK("https://abs.twimg.com/images/themes/theme1/bg.png")</f>
        <v>https://abs.twimg.com/images/themes/theme1/bg.png</v>
      </c>
      <c r="AW42" s="81" t="b">
        <v>0</v>
      </c>
      <c r="AX42" s="81" t="s">
        <v>3728</v>
      </c>
      <c r="AY42" s="84" t="str">
        <f>HYPERLINK("https://twitter.com/lelecaa3")</f>
        <v>https://twitter.com/lelecaa3</v>
      </c>
      <c r="AZ42" s="81" t="s">
        <v>66</v>
      </c>
      <c r="BA42" s="2"/>
      <c r="BB42" s="3"/>
      <c r="BC42" s="3"/>
      <c r="BD42" s="3"/>
      <c r="BE42" s="3"/>
    </row>
    <row r="43" spans="1:57" x14ac:dyDescent="0.35">
      <c r="A43" s="66" t="s">
        <v>4183</v>
      </c>
      <c r="B43" s="67"/>
      <c r="C43" s="67"/>
      <c r="D43" s="68"/>
      <c r="E43" s="94"/>
      <c r="F43" s="93" t="str">
        <f>HYPERLINK("https://pbs.twimg.com/profile_images/1400566614085582850/SKpnje7E_normal.jpg")</f>
        <v>https://pbs.twimg.com/profile_images/1400566614085582850/SKpnje7E_normal.jpg</v>
      </c>
      <c r="G43" s="95"/>
      <c r="H43" s="71"/>
      <c r="I43" s="72"/>
      <c r="J43" s="96"/>
      <c r="K43" s="71" t="s">
        <v>11419</v>
      </c>
      <c r="L43" s="97"/>
      <c r="M43" s="76"/>
      <c r="N43" s="76"/>
      <c r="O43" s="77"/>
      <c r="P43" s="78"/>
      <c r="Q43" s="78"/>
      <c r="R43" s="92"/>
      <c r="S43" s="92"/>
      <c r="T43" s="92"/>
      <c r="U43" s="92"/>
      <c r="V43" s="52"/>
      <c r="W43" s="52"/>
      <c r="X43" s="52"/>
      <c r="Y43" s="52"/>
      <c r="Z43" s="51"/>
      <c r="AA43" s="73"/>
      <c r="AB43" s="73"/>
      <c r="AC43" s="74"/>
      <c r="AD43" s="81" t="s">
        <v>8052</v>
      </c>
      <c r="AE43" s="86" t="s">
        <v>9126</v>
      </c>
      <c r="AF43" s="81">
        <v>11797</v>
      </c>
      <c r="AG43" s="81">
        <v>12031</v>
      </c>
      <c r="AH43" s="81">
        <v>33496</v>
      </c>
      <c r="AI43" s="81">
        <v>50970</v>
      </c>
      <c r="AJ43" s="81"/>
      <c r="AK43" s="81" t="s">
        <v>10078</v>
      </c>
      <c r="AL43" s="81" t="s">
        <v>11002</v>
      </c>
      <c r="AM43" s="81"/>
      <c r="AN43" s="81"/>
      <c r="AO43" s="83">
        <v>43660.724907407406</v>
      </c>
      <c r="AP43" s="84" t="str">
        <f>HYPERLINK("https://pbs.twimg.com/profile_banners/1150455884310560777/1590760176")</f>
        <v>https://pbs.twimg.com/profile_banners/1150455884310560777/1590760176</v>
      </c>
      <c r="AQ43" s="81" t="b">
        <v>1</v>
      </c>
      <c r="AR43" s="81" t="b">
        <v>0</v>
      </c>
      <c r="AS43" s="81" t="b">
        <v>0</v>
      </c>
      <c r="AT43" s="81"/>
      <c r="AU43" s="81">
        <v>2</v>
      </c>
      <c r="AV43" s="81"/>
      <c r="AW43" s="81" t="b">
        <v>0</v>
      </c>
      <c r="AX43" s="81" t="s">
        <v>3728</v>
      </c>
      <c r="AY43" s="84" t="str">
        <f>HYPERLINK("https://twitter.com/bravo_zulu86")</f>
        <v>https://twitter.com/bravo_zulu86</v>
      </c>
      <c r="AZ43" s="81" t="s">
        <v>66</v>
      </c>
      <c r="BA43" s="2"/>
      <c r="BB43" s="3"/>
      <c r="BC43" s="3"/>
      <c r="BD43" s="3"/>
      <c r="BE43" s="3"/>
    </row>
    <row r="44" spans="1:57" x14ac:dyDescent="0.35">
      <c r="A44" s="66" t="s">
        <v>235</v>
      </c>
      <c r="B44" s="67"/>
      <c r="C44" s="67"/>
      <c r="D44" s="68"/>
      <c r="E44" s="94"/>
      <c r="F44" s="93" t="str">
        <f>HYPERLINK("https://pbs.twimg.com/profile_images/1436008513579323393/CbaoMHsp_normal.jpg")</f>
        <v>https://pbs.twimg.com/profile_images/1436008513579323393/CbaoMHsp_normal.jpg</v>
      </c>
      <c r="G44" s="95"/>
      <c r="H44" s="71"/>
      <c r="I44" s="72"/>
      <c r="J44" s="96"/>
      <c r="K44" s="71" t="s">
        <v>3756</v>
      </c>
      <c r="L44" s="97"/>
      <c r="M44" s="76"/>
      <c r="N44" s="76"/>
      <c r="O44" s="77"/>
      <c r="P44" s="78"/>
      <c r="Q44" s="78"/>
      <c r="R44" s="92"/>
      <c r="S44" s="92"/>
      <c r="T44" s="92"/>
      <c r="U44" s="92"/>
      <c r="V44" s="52"/>
      <c r="W44" s="52"/>
      <c r="X44" s="52"/>
      <c r="Y44" s="52"/>
      <c r="Z44" s="51"/>
      <c r="AA44" s="73"/>
      <c r="AB44" s="73"/>
      <c r="AC44" s="74"/>
      <c r="AD44" s="81" t="s">
        <v>2267</v>
      </c>
      <c r="AE44" s="86" t="s">
        <v>2705</v>
      </c>
      <c r="AF44" s="81">
        <v>589</v>
      </c>
      <c r="AG44" s="81">
        <v>7</v>
      </c>
      <c r="AH44" s="81">
        <v>419</v>
      </c>
      <c r="AI44" s="81">
        <v>343</v>
      </c>
      <c r="AJ44" s="81"/>
      <c r="AK44" s="81" t="s">
        <v>3088</v>
      </c>
      <c r="AL44" s="81"/>
      <c r="AM44" s="81"/>
      <c r="AN44" s="81"/>
      <c r="AO44" s="83">
        <v>44447.463518518518</v>
      </c>
      <c r="AP44" s="81"/>
      <c r="AQ44" s="81" t="b">
        <v>1</v>
      </c>
      <c r="AR44" s="81" t="b">
        <v>0</v>
      </c>
      <c r="AS44" s="81" t="b">
        <v>0</v>
      </c>
      <c r="AT44" s="81"/>
      <c r="AU44" s="81">
        <v>0</v>
      </c>
      <c r="AV44" s="81"/>
      <c r="AW44" s="81" t="b">
        <v>0</v>
      </c>
      <c r="AX44" s="81" t="s">
        <v>3728</v>
      </c>
      <c r="AY44" s="84" t="str">
        <f>HYPERLINK("https://twitter.com/parvinabasi")</f>
        <v>https://twitter.com/parvinabasi</v>
      </c>
      <c r="AZ44" s="81" t="s">
        <v>66</v>
      </c>
      <c r="BA44" s="2"/>
      <c r="BB44" s="3"/>
      <c r="BC44" s="3"/>
      <c r="BD44" s="3"/>
      <c r="BE44" s="3"/>
    </row>
    <row r="45" spans="1:57" x14ac:dyDescent="0.35">
      <c r="A45" s="66" t="s">
        <v>236</v>
      </c>
      <c r="B45" s="67"/>
      <c r="C45" s="67"/>
      <c r="D45" s="68"/>
      <c r="E45" s="94"/>
      <c r="F45" s="93" t="str">
        <f>HYPERLINK("https://pbs.twimg.com/profile_images/1442159998553841666/p-a-iuqX_normal.jpg")</f>
        <v>https://pbs.twimg.com/profile_images/1442159998553841666/p-a-iuqX_normal.jpg</v>
      </c>
      <c r="G45" s="95"/>
      <c r="H45" s="71"/>
      <c r="I45" s="72"/>
      <c r="J45" s="96"/>
      <c r="K45" s="71" t="s">
        <v>3757</v>
      </c>
      <c r="L45" s="97"/>
      <c r="M45" s="76"/>
      <c r="N45" s="76"/>
      <c r="O45" s="77"/>
      <c r="P45" s="78"/>
      <c r="Q45" s="78"/>
      <c r="R45" s="92"/>
      <c r="S45" s="92"/>
      <c r="T45" s="92"/>
      <c r="U45" s="92"/>
      <c r="V45" s="52"/>
      <c r="W45" s="52"/>
      <c r="X45" s="52"/>
      <c r="Y45" s="52"/>
      <c r="Z45" s="51"/>
      <c r="AA45" s="73"/>
      <c r="AB45" s="73"/>
      <c r="AC45" s="74"/>
      <c r="AD45" s="81" t="s">
        <v>2268</v>
      </c>
      <c r="AE45" s="86" t="s">
        <v>2706</v>
      </c>
      <c r="AF45" s="81">
        <v>62</v>
      </c>
      <c r="AG45" s="81">
        <v>45</v>
      </c>
      <c r="AH45" s="81">
        <v>1277</v>
      </c>
      <c r="AI45" s="81">
        <v>809</v>
      </c>
      <c r="AJ45" s="81"/>
      <c r="AK45" s="81" t="s">
        <v>3104</v>
      </c>
      <c r="AL45" s="81"/>
      <c r="AM45" s="81"/>
      <c r="AN45" s="81"/>
      <c r="AO45" s="83">
        <v>43950.627442129633</v>
      </c>
      <c r="AP45" s="84" t="str">
        <f>HYPERLINK("https://pbs.twimg.com/profile_banners/1255513015639834629/1631436805")</f>
        <v>https://pbs.twimg.com/profile_banners/1255513015639834629/1631436805</v>
      </c>
      <c r="AQ45" s="81" t="b">
        <v>1</v>
      </c>
      <c r="AR45" s="81" t="b">
        <v>0</v>
      </c>
      <c r="AS45" s="81" t="b">
        <v>0</v>
      </c>
      <c r="AT45" s="81"/>
      <c r="AU45" s="81">
        <v>0</v>
      </c>
      <c r="AV45" s="81"/>
      <c r="AW45" s="81" t="b">
        <v>0</v>
      </c>
      <c r="AX45" s="81" t="s">
        <v>3728</v>
      </c>
      <c r="AY45" s="84" t="str">
        <f>HYPERLINK("https://twitter.com/leenoninxx")</f>
        <v>https://twitter.com/leenoninxx</v>
      </c>
      <c r="AZ45" s="81" t="s">
        <v>66</v>
      </c>
      <c r="BA45" s="2"/>
      <c r="BB45" s="3"/>
      <c r="BC45" s="3"/>
      <c r="BD45" s="3"/>
      <c r="BE45" s="3"/>
    </row>
    <row r="46" spans="1:57" x14ac:dyDescent="0.35">
      <c r="A46" s="66" t="s">
        <v>238</v>
      </c>
      <c r="B46" s="67"/>
      <c r="C46" s="67"/>
      <c r="D46" s="68"/>
      <c r="E46" s="94"/>
      <c r="F46" s="93" t="str">
        <f>HYPERLINK("https://pbs.twimg.com/profile_images/1402847123557605379/GXffAPgT_normal.jpg")</f>
        <v>https://pbs.twimg.com/profile_images/1402847123557605379/GXffAPgT_normal.jpg</v>
      </c>
      <c r="G46" s="95"/>
      <c r="H46" s="71"/>
      <c r="I46" s="72"/>
      <c r="J46" s="96"/>
      <c r="K46" s="71" t="s">
        <v>3758</v>
      </c>
      <c r="L46" s="97"/>
      <c r="M46" s="76"/>
      <c r="N46" s="76"/>
      <c r="O46" s="77"/>
      <c r="P46" s="78"/>
      <c r="Q46" s="78"/>
      <c r="R46" s="92"/>
      <c r="S46" s="92"/>
      <c r="T46" s="92"/>
      <c r="U46" s="92"/>
      <c r="V46" s="52"/>
      <c r="W46" s="52"/>
      <c r="X46" s="52"/>
      <c r="Y46" s="52"/>
      <c r="Z46" s="51"/>
      <c r="AA46" s="73"/>
      <c r="AB46" s="73"/>
      <c r="AC46" s="74"/>
      <c r="AD46" s="81" t="s">
        <v>2269</v>
      </c>
      <c r="AE46" s="86" t="s">
        <v>2708</v>
      </c>
      <c r="AF46" s="81">
        <v>327</v>
      </c>
      <c r="AG46" s="81">
        <v>484</v>
      </c>
      <c r="AH46" s="81">
        <v>22158</v>
      </c>
      <c r="AI46" s="81">
        <v>29746</v>
      </c>
      <c r="AJ46" s="81"/>
      <c r="AK46" s="81" t="s">
        <v>3106</v>
      </c>
      <c r="AL46" s="81"/>
      <c r="AM46" s="81"/>
      <c r="AN46" s="81"/>
      <c r="AO46" s="83">
        <v>42055.320509259262</v>
      </c>
      <c r="AP46" s="84" t="str">
        <f>HYPERLINK("https://pbs.twimg.com/profile_banners/3032351012/1622740073")</f>
        <v>https://pbs.twimg.com/profile_banners/3032351012/1622740073</v>
      </c>
      <c r="AQ46" s="81" t="b">
        <v>1</v>
      </c>
      <c r="AR46" s="81" t="b">
        <v>0</v>
      </c>
      <c r="AS46" s="81" t="b">
        <v>1</v>
      </c>
      <c r="AT46" s="81"/>
      <c r="AU46" s="81">
        <v>2</v>
      </c>
      <c r="AV46" s="84" t="str">
        <f>HYPERLINK("https://abs.twimg.com/images/themes/theme1/bg.png")</f>
        <v>https://abs.twimg.com/images/themes/theme1/bg.png</v>
      </c>
      <c r="AW46" s="81" t="b">
        <v>0</v>
      </c>
      <c r="AX46" s="81" t="s">
        <v>3728</v>
      </c>
      <c r="AY46" s="84" t="str">
        <f>HYPERLINK("https://twitter.com/alikmrdnn")</f>
        <v>https://twitter.com/alikmrdnn</v>
      </c>
      <c r="AZ46" s="81" t="s">
        <v>66</v>
      </c>
      <c r="BA46" s="2"/>
      <c r="BB46" s="3"/>
      <c r="BC46" s="3"/>
      <c r="BD46" s="3"/>
      <c r="BE46" s="3"/>
    </row>
    <row r="47" spans="1:57" x14ac:dyDescent="0.35">
      <c r="A47" s="66" t="s">
        <v>4184</v>
      </c>
      <c r="B47" s="67"/>
      <c r="C47" s="67"/>
      <c r="D47" s="68"/>
      <c r="E47" s="94"/>
      <c r="F47" s="93" t="str">
        <f>HYPERLINK("https://pbs.twimg.com/profile_images/1301309377635328001/os4zI6cU_normal.jpg")</f>
        <v>https://pbs.twimg.com/profile_images/1301309377635328001/os4zI6cU_normal.jpg</v>
      </c>
      <c r="G47" s="95"/>
      <c r="H47" s="71"/>
      <c r="I47" s="72"/>
      <c r="J47" s="96"/>
      <c r="K47" s="71" t="s">
        <v>11420</v>
      </c>
      <c r="L47" s="97"/>
      <c r="M47" s="76"/>
      <c r="N47" s="76"/>
      <c r="O47" s="77"/>
      <c r="P47" s="78"/>
      <c r="Q47" s="78"/>
      <c r="R47" s="92"/>
      <c r="S47" s="92"/>
      <c r="T47" s="92"/>
      <c r="U47" s="92"/>
      <c r="V47" s="52"/>
      <c r="W47" s="52"/>
      <c r="X47" s="52"/>
      <c r="Y47" s="52"/>
      <c r="Z47" s="51"/>
      <c r="AA47" s="73"/>
      <c r="AB47" s="73"/>
      <c r="AC47" s="74"/>
      <c r="AD47" s="81" t="s">
        <v>8053</v>
      </c>
      <c r="AE47" s="86" t="s">
        <v>9127</v>
      </c>
      <c r="AF47" s="81">
        <v>609</v>
      </c>
      <c r="AG47" s="81">
        <v>276</v>
      </c>
      <c r="AH47" s="81">
        <v>555</v>
      </c>
      <c r="AI47" s="81">
        <v>8433</v>
      </c>
      <c r="AJ47" s="81"/>
      <c r="AK47" s="81" t="s">
        <v>10079</v>
      </c>
      <c r="AL47" s="81" t="s">
        <v>10985</v>
      </c>
      <c r="AM47" s="81"/>
      <c r="AN47" s="81"/>
      <c r="AO47" s="83">
        <v>42285.016898148147</v>
      </c>
      <c r="AP47" s="84" t="str">
        <f>HYPERLINK("https://pbs.twimg.com/profile_banners/3894621507/1599091689")</f>
        <v>https://pbs.twimg.com/profile_banners/3894621507/1599091689</v>
      </c>
      <c r="AQ47" s="81" t="b">
        <v>0</v>
      </c>
      <c r="AR47" s="81" t="b">
        <v>0</v>
      </c>
      <c r="AS47" s="81" t="b">
        <v>0</v>
      </c>
      <c r="AT47" s="81"/>
      <c r="AU47" s="81">
        <v>4</v>
      </c>
      <c r="AV47" s="84" t="str">
        <f>HYPERLINK("https://abs.twimg.com/images/themes/theme1/bg.png")</f>
        <v>https://abs.twimg.com/images/themes/theme1/bg.png</v>
      </c>
      <c r="AW47" s="81" t="b">
        <v>0</v>
      </c>
      <c r="AX47" s="81" t="s">
        <v>3728</v>
      </c>
      <c r="AY47" s="84" t="str">
        <f>HYPERLINK("https://twitter.com/karinaoliveirs")</f>
        <v>https://twitter.com/karinaoliveirs</v>
      </c>
      <c r="AZ47" s="81" t="s">
        <v>66</v>
      </c>
      <c r="BA47" s="2"/>
      <c r="BB47" s="3"/>
      <c r="BC47" s="3"/>
      <c r="BD47" s="3"/>
      <c r="BE47" s="3"/>
    </row>
    <row r="48" spans="1:57" x14ac:dyDescent="0.35">
      <c r="A48" s="66" t="s">
        <v>4939</v>
      </c>
      <c r="B48" s="67"/>
      <c r="C48" s="67"/>
      <c r="D48" s="68"/>
      <c r="E48" s="94"/>
      <c r="F48" s="93" t="str">
        <f>HYPERLINK("https://pbs.twimg.com/profile_images/1101592240273657856/oIh9qBcm_normal.png")</f>
        <v>https://pbs.twimg.com/profile_images/1101592240273657856/oIh9qBcm_normal.png</v>
      </c>
      <c r="G48" s="95"/>
      <c r="H48" s="71"/>
      <c r="I48" s="72"/>
      <c r="J48" s="96"/>
      <c r="K48" s="71" t="s">
        <v>11421</v>
      </c>
      <c r="L48" s="97"/>
      <c r="M48" s="76"/>
      <c r="N48" s="76"/>
      <c r="O48" s="77"/>
      <c r="P48" s="78"/>
      <c r="Q48" s="78"/>
      <c r="R48" s="92"/>
      <c r="S48" s="92"/>
      <c r="T48" s="92"/>
      <c r="U48" s="92"/>
      <c r="V48" s="52"/>
      <c r="W48" s="52"/>
      <c r="X48" s="52"/>
      <c r="Y48" s="52"/>
      <c r="Z48" s="51"/>
      <c r="AA48" s="73"/>
      <c r="AB48" s="73"/>
      <c r="AC48" s="74"/>
      <c r="AD48" s="81" t="s">
        <v>8054</v>
      </c>
      <c r="AE48" s="86" t="s">
        <v>7940</v>
      </c>
      <c r="AF48" s="81">
        <v>690</v>
      </c>
      <c r="AG48" s="81">
        <v>10777</v>
      </c>
      <c r="AH48" s="81">
        <v>4180</v>
      </c>
      <c r="AI48" s="81">
        <v>2460</v>
      </c>
      <c r="AJ48" s="81"/>
      <c r="AK48" s="81" t="s">
        <v>10080</v>
      </c>
      <c r="AL48" s="81" t="s">
        <v>8001</v>
      </c>
      <c r="AM48" s="84" t="str">
        <f>HYPERLINK("http://t.co/N94JbnTTaC")</f>
        <v>http://t.co/N94JbnTTaC</v>
      </c>
      <c r="AN48" s="81"/>
      <c r="AO48" s="83">
        <v>41742.670613425929</v>
      </c>
      <c r="AP48" s="84" t="str">
        <f>HYPERLINK("https://pbs.twimg.com/profile_banners/2441912605/1625087213")</f>
        <v>https://pbs.twimg.com/profile_banners/2441912605/1625087213</v>
      </c>
      <c r="AQ48" s="81" t="b">
        <v>1</v>
      </c>
      <c r="AR48" s="81" t="b">
        <v>0</v>
      </c>
      <c r="AS48" s="81" t="b">
        <v>1</v>
      </c>
      <c r="AT48" s="81"/>
      <c r="AU48" s="81">
        <v>199</v>
      </c>
      <c r="AV48" s="84" t="str">
        <f>HYPERLINK("https://abs.twimg.com/images/themes/theme1/bg.png")</f>
        <v>https://abs.twimg.com/images/themes/theme1/bg.png</v>
      </c>
      <c r="AW48" s="81" t="b">
        <v>1</v>
      </c>
      <c r="AX48" s="81" t="s">
        <v>3728</v>
      </c>
      <c r="AY48" s="84" t="str">
        <f>HYPERLINK("https://twitter.com/internetlabbr")</f>
        <v>https://twitter.com/internetlabbr</v>
      </c>
      <c r="AZ48" s="81" t="s">
        <v>66</v>
      </c>
      <c r="BA48" s="2"/>
      <c r="BB48" s="3"/>
      <c r="BC48" s="3"/>
      <c r="BD48" s="3"/>
      <c r="BE48" s="3"/>
    </row>
    <row r="49" spans="1:57" x14ac:dyDescent="0.35">
      <c r="A49" s="66" t="s">
        <v>239</v>
      </c>
      <c r="B49" s="67"/>
      <c r="C49" s="67"/>
      <c r="D49" s="68"/>
      <c r="E49" s="94"/>
      <c r="F49" s="93" t="str">
        <f>HYPERLINK("https://pbs.twimg.com/profile_images/780659330676731905/wcQ_XcYe_normal.jpg")</f>
        <v>https://pbs.twimg.com/profile_images/780659330676731905/wcQ_XcYe_normal.jpg</v>
      </c>
      <c r="G49" s="95"/>
      <c r="H49" s="71"/>
      <c r="I49" s="72"/>
      <c r="J49" s="96"/>
      <c r="K49" s="71" t="s">
        <v>3759</v>
      </c>
      <c r="L49" s="97"/>
      <c r="M49" s="76"/>
      <c r="N49" s="76"/>
      <c r="O49" s="77"/>
      <c r="P49" s="78"/>
      <c r="Q49" s="78"/>
      <c r="R49" s="92"/>
      <c r="S49" s="92"/>
      <c r="T49" s="92"/>
      <c r="U49" s="92"/>
      <c r="V49" s="52"/>
      <c r="W49" s="52"/>
      <c r="X49" s="52"/>
      <c r="Y49" s="52"/>
      <c r="Z49" s="51"/>
      <c r="AA49" s="73"/>
      <c r="AB49" s="73"/>
      <c r="AC49" s="74"/>
      <c r="AD49" s="81" t="s">
        <v>2270</v>
      </c>
      <c r="AE49" s="86" t="s">
        <v>2709</v>
      </c>
      <c r="AF49" s="81">
        <v>1</v>
      </c>
      <c r="AG49" s="81">
        <v>544641</v>
      </c>
      <c r="AH49" s="81">
        <v>1500610</v>
      </c>
      <c r="AI49" s="81">
        <v>16</v>
      </c>
      <c r="AJ49" s="81"/>
      <c r="AK49" s="81" t="s">
        <v>3107</v>
      </c>
      <c r="AL49" s="81" t="s">
        <v>2202</v>
      </c>
      <c r="AM49" s="84" t="str">
        <f>HYPERLINK("https://t.co/FUKIPm0L1e")</f>
        <v>https://t.co/FUKIPm0L1e</v>
      </c>
      <c r="AN49" s="81"/>
      <c r="AO49" s="83">
        <v>41019.343298611115</v>
      </c>
      <c r="AP49" s="84" t="str">
        <f>HYPERLINK("https://pbs.twimg.com/profile_banners/558516132/1603034157")</f>
        <v>https://pbs.twimg.com/profile_banners/558516132/1603034157</v>
      </c>
      <c r="AQ49" s="81" t="b">
        <v>1</v>
      </c>
      <c r="AR49" s="81" t="b">
        <v>0</v>
      </c>
      <c r="AS49" s="81" t="b">
        <v>1</v>
      </c>
      <c r="AT49" s="81"/>
      <c r="AU49" s="81">
        <v>460</v>
      </c>
      <c r="AV49" s="84" t="str">
        <f>HYPERLINK("https://abs.twimg.com/images/themes/theme1/bg.png")</f>
        <v>https://abs.twimg.com/images/themes/theme1/bg.png</v>
      </c>
      <c r="AW49" s="81" t="b">
        <v>1</v>
      </c>
      <c r="AX49" s="81" t="s">
        <v>3728</v>
      </c>
      <c r="AY49" s="84" t="str">
        <f>HYPERLINK("https://twitter.com/pln_123")</f>
        <v>https://twitter.com/pln_123</v>
      </c>
      <c r="AZ49" s="81" t="s">
        <v>66</v>
      </c>
      <c r="BA49" s="2"/>
      <c r="BB49" s="3"/>
      <c r="BC49" s="3"/>
      <c r="BD49" s="3"/>
      <c r="BE49" s="3"/>
    </row>
    <row r="50" spans="1:57" x14ac:dyDescent="0.35">
      <c r="A50" s="66" t="s">
        <v>607</v>
      </c>
      <c r="B50" s="67"/>
      <c r="C50" s="67"/>
      <c r="D50" s="68"/>
      <c r="E50" s="94"/>
      <c r="F50" s="93" t="str">
        <f>HYPERLINK("https://pbs.twimg.com/profile_images/1076060230616662016/_6GDncHA_normal.jpg")</f>
        <v>https://pbs.twimg.com/profile_images/1076060230616662016/_6GDncHA_normal.jpg</v>
      </c>
      <c r="G50" s="95"/>
      <c r="H50" s="71"/>
      <c r="I50" s="72"/>
      <c r="J50" s="96"/>
      <c r="K50" s="71" t="s">
        <v>3760</v>
      </c>
      <c r="L50" s="97"/>
      <c r="M50" s="76"/>
      <c r="N50" s="76"/>
      <c r="O50" s="77"/>
      <c r="P50" s="78"/>
      <c r="Q50" s="78"/>
      <c r="R50" s="92"/>
      <c r="S50" s="92"/>
      <c r="T50" s="92"/>
      <c r="U50" s="92"/>
      <c r="V50" s="52"/>
      <c r="W50" s="52"/>
      <c r="X50" s="52"/>
      <c r="Y50" s="52"/>
      <c r="Z50" s="51"/>
      <c r="AA50" s="73"/>
      <c r="AB50" s="73"/>
      <c r="AC50" s="74"/>
      <c r="AD50" s="81" t="s">
        <v>2271</v>
      </c>
      <c r="AE50" s="86" t="s">
        <v>2710</v>
      </c>
      <c r="AF50" s="81">
        <v>38201</v>
      </c>
      <c r="AG50" s="81">
        <v>218479</v>
      </c>
      <c r="AH50" s="81">
        <v>929914</v>
      </c>
      <c r="AI50" s="81">
        <v>98</v>
      </c>
      <c r="AJ50" s="81"/>
      <c r="AK50" s="81" t="s">
        <v>3108</v>
      </c>
      <c r="AL50" s="81"/>
      <c r="AM50" s="84" t="str">
        <f>HYPERLINK("https://t.co/6ecDNM0ky2")</f>
        <v>https://t.co/6ecDNM0ky2</v>
      </c>
      <c r="AN50" s="81"/>
      <c r="AO50" s="83">
        <v>43454.363622685189</v>
      </c>
      <c r="AP50" s="84" t="str">
        <f>HYPERLINK("https://pbs.twimg.com/profile_banners/1075673058931806208/1628068991")</f>
        <v>https://pbs.twimg.com/profile_banners/1075673058931806208/1628068991</v>
      </c>
      <c r="AQ50" s="81" t="b">
        <v>1</v>
      </c>
      <c r="AR50" s="81" t="b">
        <v>0</v>
      </c>
      <c r="AS50" s="81" t="b">
        <v>0</v>
      </c>
      <c r="AT50" s="81"/>
      <c r="AU50" s="81">
        <v>72</v>
      </c>
      <c r="AV50" s="81"/>
      <c r="AW50" s="81" t="b">
        <v>1</v>
      </c>
      <c r="AX50" s="81" t="s">
        <v>3728</v>
      </c>
      <c r="AY50" s="84" t="str">
        <f>HYPERLINK("https://twitter.com/indihome")</f>
        <v>https://twitter.com/indihome</v>
      </c>
      <c r="AZ50" s="81" t="s">
        <v>65</v>
      </c>
      <c r="BA50" s="2"/>
      <c r="BB50" s="3"/>
      <c r="BC50" s="3"/>
      <c r="BD50" s="3"/>
      <c r="BE50" s="3"/>
    </row>
    <row r="51" spans="1:57" x14ac:dyDescent="0.35">
      <c r="A51" s="66" t="s">
        <v>608</v>
      </c>
      <c r="B51" s="67"/>
      <c r="C51" s="67"/>
      <c r="D51" s="68"/>
      <c r="E51" s="94"/>
      <c r="F51" s="93" t="str">
        <f>HYPERLINK("https://pbs.twimg.com/profile_images/1114889621840650240/s-T7tlV7_normal.jpg")</f>
        <v>https://pbs.twimg.com/profile_images/1114889621840650240/s-T7tlV7_normal.jpg</v>
      </c>
      <c r="G51" s="95"/>
      <c r="H51" s="71"/>
      <c r="I51" s="72"/>
      <c r="J51" s="96"/>
      <c r="K51" s="71" t="s">
        <v>3761</v>
      </c>
      <c r="L51" s="97"/>
      <c r="M51" s="76"/>
      <c r="N51" s="76"/>
      <c r="O51" s="77"/>
      <c r="P51" s="78"/>
      <c r="Q51" s="78"/>
      <c r="R51" s="92"/>
      <c r="S51" s="92"/>
      <c r="T51" s="92"/>
      <c r="U51" s="92"/>
      <c r="V51" s="52"/>
      <c r="W51" s="52"/>
      <c r="X51" s="52"/>
      <c r="Y51" s="52"/>
      <c r="Z51" s="51"/>
      <c r="AA51" s="73"/>
      <c r="AB51" s="73"/>
      <c r="AC51" s="74"/>
      <c r="AD51" s="81" t="s">
        <v>2272</v>
      </c>
      <c r="AE51" s="86" t="s">
        <v>2090</v>
      </c>
      <c r="AF51" s="81">
        <v>75</v>
      </c>
      <c r="AG51" s="81">
        <v>6</v>
      </c>
      <c r="AH51" s="81">
        <v>643</v>
      </c>
      <c r="AI51" s="81">
        <v>402</v>
      </c>
      <c r="AJ51" s="81"/>
      <c r="AK51" s="81"/>
      <c r="AL51" s="81"/>
      <c r="AM51" s="81"/>
      <c r="AN51" s="81"/>
      <c r="AO51" s="83">
        <v>43465.258125</v>
      </c>
      <c r="AP51" s="81"/>
      <c r="AQ51" s="81" t="b">
        <v>1</v>
      </c>
      <c r="AR51" s="81" t="b">
        <v>0</v>
      </c>
      <c r="AS51" s="81" t="b">
        <v>1</v>
      </c>
      <c r="AT51" s="81"/>
      <c r="AU51" s="81">
        <v>0</v>
      </c>
      <c r="AV51" s="81"/>
      <c r="AW51" s="81" t="b">
        <v>0</v>
      </c>
      <c r="AX51" s="81" t="s">
        <v>3728</v>
      </c>
      <c r="AY51" s="84" t="str">
        <f>HYPERLINK("https://twitter.com/jahja81285550")</f>
        <v>https://twitter.com/jahja81285550</v>
      </c>
      <c r="AZ51" s="81" t="s">
        <v>65</v>
      </c>
      <c r="BA51" s="2"/>
      <c r="BB51" s="3"/>
      <c r="BC51" s="3"/>
      <c r="BD51" s="3"/>
      <c r="BE51" s="3"/>
    </row>
    <row r="52" spans="1:57" x14ac:dyDescent="0.35">
      <c r="A52" s="66" t="s">
        <v>240</v>
      </c>
      <c r="B52" s="67"/>
      <c r="C52" s="67"/>
      <c r="D52" s="68"/>
      <c r="E52" s="94"/>
      <c r="F52" s="93" t="str">
        <f>HYPERLINK("https://pbs.twimg.com/profile_images/1419169594397192198/M32wnBjZ_normal.jpg")</f>
        <v>https://pbs.twimg.com/profile_images/1419169594397192198/M32wnBjZ_normal.jpg</v>
      </c>
      <c r="G52" s="95"/>
      <c r="H52" s="71"/>
      <c r="I52" s="72"/>
      <c r="J52" s="96"/>
      <c r="K52" s="71" t="s">
        <v>3762</v>
      </c>
      <c r="L52" s="97"/>
      <c r="M52" s="76"/>
      <c r="N52" s="76"/>
      <c r="O52" s="77"/>
      <c r="P52" s="78"/>
      <c r="Q52" s="78"/>
      <c r="R52" s="92"/>
      <c r="S52" s="92"/>
      <c r="T52" s="92"/>
      <c r="U52" s="92"/>
      <c r="V52" s="52"/>
      <c r="W52" s="52"/>
      <c r="X52" s="52"/>
      <c r="Y52" s="52"/>
      <c r="Z52" s="51"/>
      <c r="AA52" s="73"/>
      <c r="AB52" s="73"/>
      <c r="AC52" s="74"/>
      <c r="AD52" s="81" t="s">
        <v>2273</v>
      </c>
      <c r="AE52" s="86" t="s">
        <v>2711</v>
      </c>
      <c r="AF52" s="81">
        <v>271</v>
      </c>
      <c r="AG52" s="81">
        <v>429</v>
      </c>
      <c r="AH52" s="81">
        <v>20929</v>
      </c>
      <c r="AI52" s="81">
        <v>1113</v>
      </c>
      <c r="AJ52" s="81"/>
      <c r="AK52" s="81" t="s">
        <v>3109</v>
      </c>
      <c r="AL52" s="81"/>
      <c r="AM52" s="81"/>
      <c r="AN52" s="81"/>
      <c r="AO52" s="83">
        <v>40329.608622685184</v>
      </c>
      <c r="AP52" s="84" t="str">
        <f>HYPERLINK("https://pbs.twimg.com/profile_banners/150274980/1627191402")</f>
        <v>https://pbs.twimg.com/profile_banners/150274980/1627191402</v>
      </c>
      <c r="AQ52" s="81" t="b">
        <v>0</v>
      </c>
      <c r="AR52" s="81" t="b">
        <v>0</v>
      </c>
      <c r="AS52" s="81" t="b">
        <v>1</v>
      </c>
      <c r="AT52" s="81"/>
      <c r="AU52" s="81">
        <v>2</v>
      </c>
      <c r="AV52" s="84" t="str">
        <f>HYPERLINK("https://abs.twimg.com/images/themes/theme9/bg.gif")</f>
        <v>https://abs.twimg.com/images/themes/theme9/bg.gif</v>
      </c>
      <c r="AW52" s="81" t="b">
        <v>0</v>
      </c>
      <c r="AX52" s="81" t="s">
        <v>3728</v>
      </c>
      <c r="AY52" s="84" t="str">
        <f>HYPERLINK("https://twitter.com/ivonnnn")</f>
        <v>https://twitter.com/ivonnnn</v>
      </c>
      <c r="AZ52" s="81" t="s">
        <v>66</v>
      </c>
      <c r="BA52" s="2"/>
      <c r="BB52" s="3"/>
      <c r="BC52" s="3"/>
      <c r="BD52" s="3"/>
      <c r="BE52" s="3"/>
    </row>
    <row r="53" spans="1:57" x14ac:dyDescent="0.35">
      <c r="A53" s="66" t="s">
        <v>241</v>
      </c>
      <c r="B53" s="67"/>
      <c r="C53" s="67"/>
      <c r="D53" s="68"/>
      <c r="E53" s="94"/>
      <c r="F53" s="93" t="str">
        <f>HYPERLINK("https://pbs.twimg.com/profile_images/1441328642362019851/kgCuJREq_normal.jpg")</f>
        <v>https://pbs.twimg.com/profile_images/1441328642362019851/kgCuJREq_normal.jpg</v>
      </c>
      <c r="G53" s="95"/>
      <c r="H53" s="71"/>
      <c r="I53" s="72"/>
      <c r="J53" s="96"/>
      <c r="K53" s="71" t="s">
        <v>3763</v>
      </c>
      <c r="L53" s="97"/>
      <c r="M53" s="76"/>
      <c r="N53" s="76"/>
      <c r="O53" s="77"/>
      <c r="P53" s="78"/>
      <c r="Q53" s="78"/>
      <c r="R53" s="92"/>
      <c r="S53" s="92"/>
      <c r="T53" s="92"/>
      <c r="U53" s="92"/>
      <c r="V53" s="52"/>
      <c r="W53" s="52"/>
      <c r="X53" s="52"/>
      <c r="Y53" s="52"/>
      <c r="Z53" s="51"/>
      <c r="AA53" s="73"/>
      <c r="AB53" s="73"/>
      <c r="AC53" s="74"/>
      <c r="AD53" s="81" t="s">
        <v>2274</v>
      </c>
      <c r="AE53" s="86" t="s">
        <v>2712</v>
      </c>
      <c r="AF53" s="81">
        <v>376</v>
      </c>
      <c r="AG53" s="81">
        <v>295</v>
      </c>
      <c r="AH53" s="81">
        <v>5660</v>
      </c>
      <c r="AI53" s="81">
        <v>6767</v>
      </c>
      <c r="AJ53" s="81"/>
      <c r="AK53" s="81" t="s">
        <v>3110</v>
      </c>
      <c r="AL53" s="81" t="s">
        <v>3525</v>
      </c>
      <c r="AM53" s="84" t="str">
        <f>HYPERLINK("https://t.co/i7aD5j3Nra")</f>
        <v>https://t.co/i7aD5j3Nra</v>
      </c>
      <c r="AN53" s="81"/>
      <c r="AO53" s="83">
        <v>43816.60974537037</v>
      </c>
      <c r="AP53" s="84" t="str">
        <f>HYPERLINK("https://pbs.twimg.com/profile_banners/1206946606161022976/1626843760")</f>
        <v>https://pbs.twimg.com/profile_banners/1206946606161022976/1626843760</v>
      </c>
      <c r="AQ53" s="81" t="b">
        <v>1</v>
      </c>
      <c r="AR53" s="81" t="b">
        <v>0</v>
      </c>
      <c r="AS53" s="81" t="b">
        <v>0</v>
      </c>
      <c r="AT53" s="81"/>
      <c r="AU53" s="81">
        <v>2</v>
      </c>
      <c r="AV53" s="81"/>
      <c r="AW53" s="81" t="b">
        <v>0</v>
      </c>
      <c r="AX53" s="81" t="s">
        <v>3728</v>
      </c>
      <c r="AY53" s="84" t="str">
        <f>HYPERLINK("https://twitter.com/4v0cado1")</f>
        <v>https://twitter.com/4v0cado1</v>
      </c>
      <c r="AZ53" s="81" t="s">
        <v>66</v>
      </c>
      <c r="BA53" s="2"/>
      <c r="BB53" s="3"/>
      <c r="BC53" s="3"/>
      <c r="BD53" s="3"/>
      <c r="BE53" s="3"/>
    </row>
    <row r="54" spans="1:57" x14ac:dyDescent="0.35">
      <c r="A54" s="66" t="s">
        <v>609</v>
      </c>
      <c r="B54" s="67"/>
      <c r="C54" s="67"/>
      <c r="D54" s="68"/>
      <c r="E54" s="94"/>
      <c r="F54" s="93" t="str">
        <f>HYPERLINK("https://pbs.twimg.com/profile_images/1437697502971453447/U_OztyDS_normal.jpg")</f>
        <v>https://pbs.twimg.com/profile_images/1437697502971453447/U_OztyDS_normal.jpg</v>
      </c>
      <c r="G54" s="95"/>
      <c r="H54" s="71"/>
      <c r="I54" s="72"/>
      <c r="J54" s="96"/>
      <c r="K54" s="71" t="s">
        <v>3764</v>
      </c>
      <c r="L54" s="97"/>
      <c r="M54" s="76"/>
      <c r="N54" s="76"/>
      <c r="O54" s="77"/>
      <c r="P54" s="78"/>
      <c r="Q54" s="78"/>
      <c r="R54" s="92"/>
      <c r="S54" s="92"/>
      <c r="T54" s="92"/>
      <c r="U54" s="92"/>
      <c r="V54" s="52"/>
      <c r="W54" s="52"/>
      <c r="X54" s="52"/>
      <c r="Y54" s="52"/>
      <c r="Z54" s="51"/>
      <c r="AA54" s="73"/>
      <c r="AB54" s="73"/>
      <c r="AC54" s="74"/>
      <c r="AD54" s="81" t="s">
        <v>2275</v>
      </c>
      <c r="AE54" s="86" t="s">
        <v>2713</v>
      </c>
      <c r="AF54" s="81">
        <v>223</v>
      </c>
      <c r="AG54" s="81">
        <v>194</v>
      </c>
      <c r="AH54" s="81">
        <v>2439</v>
      </c>
      <c r="AI54" s="81">
        <v>8236</v>
      </c>
      <c r="AJ54" s="81"/>
      <c r="AK54" s="86" t="s">
        <v>3111</v>
      </c>
      <c r="AL54" s="81" t="s">
        <v>3537</v>
      </c>
      <c r="AM54" s="81"/>
      <c r="AN54" s="81"/>
      <c r="AO54" s="83">
        <v>44078.021354166667</v>
      </c>
      <c r="AP54" s="84" t="str">
        <f>HYPERLINK("https://pbs.twimg.com/profile_banners/1301678758256996352/1631608775")</f>
        <v>https://pbs.twimg.com/profile_banners/1301678758256996352/1631608775</v>
      </c>
      <c r="AQ54" s="81" t="b">
        <v>1</v>
      </c>
      <c r="AR54" s="81" t="b">
        <v>0</v>
      </c>
      <c r="AS54" s="81" t="b">
        <v>0</v>
      </c>
      <c r="AT54" s="81"/>
      <c r="AU54" s="81">
        <v>0</v>
      </c>
      <c r="AV54" s="81"/>
      <c r="AW54" s="81" t="b">
        <v>0</v>
      </c>
      <c r="AX54" s="81" t="s">
        <v>3728</v>
      </c>
      <c r="AY54" s="84" t="str">
        <f>HYPERLINK("https://twitter.com/sshmyyy")</f>
        <v>https://twitter.com/sshmyyy</v>
      </c>
      <c r="AZ54" s="81" t="s">
        <v>65</v>
      </c>
      <c r="BA54" s="2"/>
      <c r="BB54" s="3"/>
      <c r="BC54" s="3"/>
      <c r="BD54" s="3"/>
      <c r="BE54" s="3"/>
    </row>
    <row r="55" spans="1:57" x14ac:dyDescent="0.35">
      <c r="A55" s="66" t="s">
        <v>610</v>
      </c>
      <c r="B55" s="67"/>
      <c r="C55" s="67"/>
      <c r="D55" s="68"/>
      <c r="E55" s="94"/>
      <c r="F55" s="93" t="str">
        <f>HYPERLINK("https://pbs.twimg.com/profile_images/1440704394060697608/zk2y82E3_normal.jpg")</f>
        <v>https://pbs.twimg.com/profile_images/1440704394060697608/zk2y82E3_normal.jpg</v>
      </c>
      <c r="G55" s="95"/>
      <c r="H55" s="71"/>
      <c r="I55" s="72"/>
      <c r="J55" s="96"/>
      <c r="K55" s="71" t="s">
        <v>3765</v>
      </c>
      <c r="L55" s="97"/>
      <c r="M55" s="76"/>
      <c r="N55" s="76"/>
      <c r="O55" s="77"/>
      <c r="P55" s="78"/>
      <c r="Q55" s="78"/>
      <c r="R55" s="92"/>
      <c r="S55" s="92"/>
      <c r="T55" s="92"/>
      <c r="U55" s="92"/>
      <c r="V55" s="52"/>
      <c r="W55" s="52"/>
      <c r="X55" s="52"/>
      <c r="Y55" s="52"/>
      <c r="Z55" s="51"/>
      <c r="AA55" s="73"/>
      <c r="AB55" s="73"/>
      <c r="AC55" s="74"/>
      <c r="AD55" s="81" t="s">
        <v>2276</v>
      </c>
      <c r="AE55" s="86" t="s">
        <v>2714</v>
      </c>
      <c r="AF55" s="81">
        <v>326</v>
      </c>
      <c r="AG55" s="81">
        <v>287</v>
      </c>
      <c r="AH55" s="81">
        <v>2480</v>
      </c>
      <c r="AI55" s="81">
        <v>22627</v>
      </c>
      <c r="AJ55" s="81"/>
      <c r="AK55" s="81" t="s">
        <v>3112</v>
      </c>
      <c r="AL55" s="81" t="s">
        <v>3538</v>
      </c>
      <c r="AM55" s="81"/>
      <c r="AN55" s="81"/>
      <c r="AO55" s="83">
        <v>43953.963217592594</v>
      </c>
      <c r="AP55" s="84" t="str">
        <f>HYPERLINK("https://pbs.twimg.com/profile_banners/1256721786928017420/1632411943")</f>
        <v>https://pbs.twimg.com/profile_banners/1256721786928017420/1632411943</v>
      </c>
      <c r="AQ55" s="81" t="b">
        <v>1</v>
      </c>
      <c r="AR55" s="81" t="b">
        <v>0</v>
      </c>
      <c r="AS55" s="81" t="b">
        <v>1</v>
      </c>
      <c r="AT55" s="81"/>
      <c r="AU55" s="81">
        <v>0</v>
      </c>
      <c r="AV55" s="81"/>
      <c r="AW55" s="81" t="b">
        <v>0</v>
      </c>
      <c r="AX55" s="81" t="s">
        <v>3728</v>
      </c>
      <c r="AY55" s="84" t="str">
        <f>HYPERLINK("https://twitter.com/breadeujinnie")</f>
        <v>https://twitter.com/breadeujinnie</v>
      </c>
      <c r="AZ55" s="81" t="s">
        <v>65</v>
      </c>
      <c r="BA55" s="2"/>
      <c r="BB55" s="3"/>
      <c r="BC55" s="3"/>
      <c r="BD55" s="3"/>
      <c r="BE55" s="3"/>
    </row>
    <row r="56" spans="1:57" x14ac:dyDescent="0.35">
      <c r="A56" s="66" t="s">
        <v>611</v>
      </c>
      <c r="B56" s="67"/>
      <c r="C56" s="67"/>
      <c r="D56" s="68"/>
      <c r="E56" s="94"/>
      <c r="F56" s="93" t="str">
        <f>HYPERLINK("https://pbs.twimg.com/profile_images/1442016121230553093/8chl_p5__normal.jpg")</f>
        <v>https://pbs.twimg.com/profile_images/1442016121230553093/8chl_p5__normal.jpg</v>
      </c>
      <c r="G56" s="95"/>
      <c r="H56" s="71"/>
      <c r="I56" s="72"/>
      <c r="J56" s="96"/>
      <c r="K56" s="71" t="s">
        <v>3766</v>
      </c>
      <c r="L56" s="97"/>
      <c r="M56" s="76"/>
      <c r="N56" s="76"/>
      <c r="O56" s="77"/>
      <c r="P56" s="78"/>
      <c r="Q56" s="78"/>
      <c r="R56" s="92"/>
      <c r="S56" s="92"/>
      <c r="T56" s="92"/>
      <c r="U56" s="92"/>
      <c r="V56" s="52"/>
      <c r="W56" s="52"/>
      <c r="X56" s="52"/>
      <c r="Y56" s="52"/>
      <c r="Z56" s="51"/>
      <c r="AA56" s="73"/>
      <c r="AB56" s="73"/>
      <c r="AC56" s="74"/>
      <c r="AD56" s="81" t="s">
        <v>2277</v>
      </c>
      <c r="AE56" s="86" t="s">
        <v>2091</v>
      </c>
      <c r="AF56" s="81">
        <v>477</v>
      </c>
      <c r="AG56" s="81">
        <v>814</v>
      </c>
      <c r="AH56" s="81">
        <v>9825</v>
      </c>
      <c r="AI56" s="81">
        <v>15148</v>
      </c>
      <c r="AJ56" s="81"/>
      <c r="AK56" s="81" t="s">
        <v>3113</v>
      </c>
      <c r="AL56" s="81" t="s">
        <v>3539</v>
      </c>
      <c r="AM56" s="81"/>
      <c r="AN56" s="81"/>
      <c r="AO56" s="83">
        <v>44168.284143518518</v>
      </c>
      <c r="AP56" s="84" t="str">
        <f>HYPERLINK("https://pbs.twimg.com/profile_banners/1334389129929363457/1632805624")</f>
        <v>https://pbs.twimg.com/profile_banners/1334389129929363457/1632805624</v>
      </c>
      <c r="AQ56" s="81" t="b">
        <v>1</v>
      </c>
      <c r="AR56" s="81" t="b">
        <v>0</v>
      </c>
      <c r="AS56" s="81" t="b">
        <v>0</v>
      </c>
      <c r="AT56" s="81"/>
      <c r="AU56" s="81">
        <v>4</v>
      </c>
      <c r="AV56" s="81"/>
      <c r="AW56" s="81" t="b">
        <v>0</v>
      </c>
      <c r="AX56" s="81" t="s">
        <v>3728</v>
      </c>
      <c r="AY56" s="84" t="str">
        <f>HYPERLINK("https://twitter.com/lovlypjs_")</f>
        <v>https://twitter.com/lovlypjs_</v>
      </c>
      <c r="AZ56" s="81" t="s">
        <v>65</v>
      </c>
      <c r="BA56" s="2"/>
      <c r="BB56" s="3"/>
      <c r="BC56" s="3"/>
      <c r="BD56" s="3"/>
      <c r="BE56" s="3"/>
    </row>
    <row r="57" spans="1:57" x14ac:dyDescent="0.35">
      <c r="A57" s="66" t="s">
        <v>4185</v>
      </c>
      <c r="B57" s="67"/>
      <c r="C57" s="67"/>
      <c r="D57" s="68"/>
      <c r="E57" s="94"/>
      <c r="F57" s="93" t="str">
        <f>HYPERLINK("https://pbs.twimg.com/profile_images/1435416132899545088/CW4xO0UI_normal.jpg")</f>
        <v>https://pbs.twimg.com/profile_images/1435416132899545088/CW4xO0UI_normal.jpg</v>
      </c>
      <c r="G57" s="95"/>
      <c r="H57" s="71"/>
      <c r="I57" s="72"/>
      <c r="J57" s="96"/>
      <c r="K57" s="71" t="s">
        <v>11422</v>
      </c>
      <c r="L57" s="97"/>
      <c r="M57" s="76"/>
      <c r="N57" s="76"/>
      <c r="O57" s="77"/>
      <c r="P57" s="78"/>
      <c r="Q57" s="78"/>
      <c r="R57" s="92"/>
      <c r="S57" s="92"/>
      <c r="T57" s="92"/>
      <c r="U57" s="92"/>
      <c r="V57" s="52"/>
      <c r="W57" s="52"/>
      <c r="X57" s="52"/>
      <c r="Y57" s="52"/>
      <c r="Z57" s="51"/>
      <c r="AA57" s="73"/>
      <c r="AB57" s="73"/>
      <c r="AC57" s="74"/>
      <c r="AD57" s="81" t="s">
        <v>8055</v>
      </c>
      <c r="AE57" s="86" t="s">
        <v>9128</v>
      </c>
      <c r="AF57" s="81">
        <v>164</v>
      </c>
      <c r="AG57" s="81">
        <v>75</v>
      </c>
      <c r="AH57" s="81">
        <v>274</v>
      </c>
      <c r="AI57" s="81">
        <v>1112</v>
      </c>
      <c r="AJ57" s="81"/>
      <c r="AK57" s="81" t="s">
        <v>10081</v>
      </c>
      <c r="AL57" s="81"/>
      <c r="AM57" s="81"/>
      <c r="AN57" s="81"/>
      <c r="AO57" s="83">
        <v>44082.845497685186</v>
      </c>
      <c r="AP57" s="84" t="str">
        <f>HYPERLINK("https://pbs.twimg.com/profile_banners/1303427223609847814/1631064850")</f>
        <v>https://pbs.twimg.com/profile_banners/1303427223609847814/1631064850</v>
      </c>
      <c r="AQ57" s="81" t="b">
        <v>1</v>
      </c>
      <c r="AR57" s="81" t="b">
        <v>0</v>
      </c>
      <c r="AS57" s="81" t="b">
        <v>0</v>
      </c>
      <c r="AT57" s="81"/>
      <c r="AU57" s="81">
        <v>1</v>
      </c>
      <c r="AV57" s="81"/>
      <c r="AW57" s="81" t="b">
        <v>0</v>
      </c>
      <c r="AX57" s="81" t="s">
        <v>3728</v>
      </c>
      <c r="AY57" s="84" t="str">
        <f>HYPERLINK("https://twitter.com/rebeca_capozzi")</f>
        <v>https://twitter.com/rebeca_capozzi</v>
      </c>
      <c r="AZ57" s="81" t="s">
        <v>66</v>
      </c>
      <c r="BA57" s="2"/>
      <c r="BB57" s="3"/>
      <c r="BC57" s="3"/>
      <c r="BD57" s="3"/>
      <c r="BE57" s="3"/>
    </row>
    <row r="58" spans="1:57" x14ac:dyDescent="0.35">
      <c r="A58" s="66" t="s">
        <v>4193</v>
      </c>
      <c r="B58" s="67"/>
      <c r="C58" s="67"/>
      <c r="D58" s="68"/>
      <c r="E58" s="94"/>
      <c r="F58" s="93" t="str">
        <f>HYPERLINK("https://pbs.twimg.com/profile_images/1407433215678291971/9lgEQ3en_normal.jpg")</f>
        <v>https://pbs.twimg.com/profile_images/1407433215678291971/9lgEQ3en_normal.jpg</v>
      </c>
      <c r="G58" s="95"/>
      <c r="H58" s="71"/>
      <c r="I58" s="72"/>
      <c r="J58" s="96"/>
      <c r="K58" s="71" t="s">
        <v>11392</v>
      </c>
      <c r="L58" s="97"/>
      <c r="M58" s="76"/>
      <c r="N58" s="76"/>
      <c r="O58" s="77"/>
      <c r="P58" s="78"/>
      <c r="Q58" s="78"/>
      <c r="R58" s="92"/>
      <c r="S58" s="92"/>
      <c r="T58" s="92"/>
      <c r="U58" s="92"/>
      <c r="V58" s="52"/>
      <c r="W58" s="52"/>
      <c r="X58" s="52"/>
      <c r="Y58" s="52"/>
      <c r="Z58" s="51"/>
      <c r="AA58" s="73"/>
      <c r="AB58" s="73"/>
      <c r="AC58" s="74"/>
      <c r="AD58" s="81" t="s">
        <v>8026</v>
      </c>
      <c r="AE58" s="86" t="s">
        <v>9110</v>
      </c>
      <c r="AF58" s="81">
        <v>245</v>
      </c>
      <c r="AG58" s="81">
        <v>8737</v>
      </c>
      <c r="AH58" s="81">
        <v>3449</v>
      </c>
      <c r="AI58" s="81">
        <v>1389</v>
      </c>
      <c r="AJ58" s="81"/>
      <c r="AK58" s="81" t="s">
        <v>10053</v>
      </c>
      <c r="AL58" s="81" t="s">
        <v>10973</v>
      </c>
      <c r="AM58" s="84" t="str">
        <f>HYPERLINK("https://t.co/WgPGDuHUZP")</f>
        <v>https://t.co/WgPGDuHUZP</v>
      </c>
      <c r="AN58" s="81"/>
      <c r="AO58" s="83">
        <v>40283.776828703703</v>
      </c>
      <c r="AP58" s="84" t="str">
        <f>HYPERLINK("https://pbs.twimg.com/profile_banners/133415058/1624380506")</f>
        <v>https://pbs.twimg.com/profile_banners/133415058/1624380506</v>
      </c>
      <c r="AQ58" s="81" t="b">
        <v>0</v>
      </c>
      <c r="AR58" s="81" t="b">
        <v>0</v>
      </c>
      <c r="AS58" s="81" t="b">
        <v>1</v>
      </c>
      <c r="AT58" s="81"/>
      <c r="AU58" s="81">
        <v>120</v>
      </c>
      <c r="AV58" s="84" t="str">
        <f>HYPERLINK("https://abs.twimg.com/images/themes/theme8/bg.gif")</f>
        <v>https://abs.twimg.com/images/themes/theme8/bg.gif</v>
      </c>
      <c r="AW58" s="81" t="b">
        <v>1</v>
      </c>
      <c r="AX58" s="81" t="s">
        <v>3728</v>
      </c>
      <c r="AY58" s="84" t="str">
        <f>HYPERLINK("https://twitter.com/casaoswaldocruz")</f>
        <v>https://twitter.com/casaoswaldocruz</v>
      </c>
      <c r="AZ58" s="81" t="s">
        <v>66</v>
      </c>
      <c r="BA58" s="2"/>
      <c r="BB58" s="3"/>
      <c r="BC58" s="3"/>
      <c r="BD58" s="3"/>
      <c r="BE58" s="3"/>
    </row>
    <row r="59" spans="1:57" x14ac:dyDescent="0.35">
      <c r="A59" s="66" t="s">
        <v>242</v>
      </c>
      <c r="B59" s="67"/>
      <c r="C59" s="67"/>
      <c r="D59" s="68"/>
      <c r="E59" s="94"/>
      <c r="F59" s="93" t="str">
        <f>HYPERLINK("https://pbs.twimg.com/profile_images/1434843546813702147/1XfLrlDJ_normal.jpg")</f>
        <v>https://pbs.twimg.com/profile_images/1434843546813702147/1XfLrlDJ_normal.jpg</v>
      </c>
      <c r="G59" s="95"/>
      <c r="H59" s="71"/>
      <c r="I59" s="72"/>
      <c r="J59" s="96"/>
      <c r="K59" s="71" t="s">
        <v>3767</v>
      </c>
      <c r="L59" s="97"/>
      <c r="M59" s="76"/>
      <c r="N59" s="76"/>
      <c r="O59" s="77"/>
      <c r="P59" s="78"/>
      <c r="Q59" s="78"/>
      <c r="R59" s="92"/>
      <c r="S59" s="92"/>
      <c r="T59" s="92"/>
      <c r="U59" s="92"/>
      <c r="V59" s="52"/>
      <c r="W59" s="52"/>
      <c r="X59" s="52"/>
      <c r="Y59" s="52"/>
      <c r="Z59" s="51"/>
      <c r="AA59" s="73"/>
      <c r="AB59" s="73"/>
      <c r="AC59" s="74"/>
      <c r="AD59" s="81" t="s">
        <v>2278</v>
      </c>
      <c r="AE59" s="86" t="s">
        <v>2715</v>
      </c>
      <c r="AF59" s="81">
        <v>168</v>
      </c>
      <c r="AG59" s="81">
        <v>10</v>
      </c>
      <c r="AH59" s="81">
        <v>817</v>
      </c>
      <c r="AI59" s="81">
        <v>491</v>
      </c>
      <c r="AJ59" s="81"/>
      <c r="AK59" s="81" t="s">
        <v>3114</v>
      </c>
      <c r="AL59" s="81"/>
      <c r="AM59" s="81"/>
      <c r="AN59" s="81"/>
      <c r="AO59" s="83">
        <v>44445.485000000001</v>
      </c>
      <c r="AP59" s="81"/>
      <c r="AQ59" s="81" t="b">
        <v>1</v>
      </c>
      <c r="AR59" s="81" t="b">
        <v>0</v>
      </c>
      <c r="AS59" s="81" t="b">
        <v>0</v>
      </c>
      <c r="AT59" s="81"/>
      <c r="AU59" s="81">
        <v>0</v>
      </c>
      <c r="AV59" s="81"/>
      <c r="AW59" s="81" t="b">
        <v>0</v>
      </c>
      <c r="AX59" s="81" t="s">
        <v>3728</v>
      </c>
      <c r="AY59" s="84" t="str">
        <f>HYPERLINK("https://twitter.com/oyehero4200")</f>
        <v>https://twitter.com/oyehero4200</v>
      </c>
      <c r="AZ59" s="81" t="s">
        <v>66</v>
      </c>
      <c r="BA59" s="2"/>
      <c r="BB59" s="3"/>
      <c r="BC59" s="3"/>
      <c r="BD59" s="3"/>
      <c r="BE59" s="3"/>
    </row>
    <row r="60" spans="1:57" x14ac:dyDescent="0.35">
      <c r="A60" s="66" t="s">
        <v>12496</v>
      </c>
      <c r="B60" s="67"/>
      <c r="C60" s="67"/>
      <c r="D60" s="68"/>
      <c r="E60" s="94"/>
      <c r="F60" s="93" t="str">
        <f>HYPERLINK("https://pbs.twimg.com/profile_images/1423128470708580359/W5R0P1T1_normal.jpg")</f>
        <v>https://pbs.twimg.com/profile_images/1423128470708580359/W5R0P1T1_normal.jpg</v>
      </c>
      <c r="G60" s="95"/>
      <c r="H60" s="71"/>
      <c r="I60" s="72"/>
      <c r="J60" s="96"/>
      <c r="K60" s="71" t="s">
        <v>14264</v>
      </c>
      <c r="L60" s="97"/>
      <c r="M60" s="76"/>
      <c r="N60" s="76"/>
      <c r="O60" s="77"/>
      <c r="P60" s="78"/>
      <c r="Q60" s="78"/>
      <c r="R60" s="92"/>
      <c r="S60" s="92"/>
      <c r="T60" s="92"/>
      <c r="U60" s="92"/>
      <c r="V60" s="52"/>
      <c r="W60" s="52"/>
      <c r="X60" s="52"/>
      <c r="Y60" s="52"/>
      <c r="Z60" s="51"/>
      <c r="AA60" s="73"/>
      <c r="AB60" s="73"/>
      <c r="AC60" s="74"/>
      <c r="AD60" s="81" t="s">
        <v>13462</v>
      </c>
      <c r="AE60" s="86" t="s">
        <v>13721</v>
      </c>
      <c r="AF60" s="81">
        <v>423</v>
      </c>
      <c r="AG60" s="81">
        <v>1046</v>
      </c>
      <c r="AH60" s="81">
        <v>4134</v>
      </c>
      <c r="AI60" s="81">
        <v>81755</v>
      </c>
      <c r="AJ60" s="81"/>
      <c r="AK60" s="81" t="s">
        <v>13920</v>
      </c>
      <c r="AL60" s="81"/>
      <c r="AM60" s="81"/>
      <c r="AN60" s="81"/>
      <c r="AO60" s="83">
        <v>44217.577650462961</v>
      </c>
      <c r="AP60" s="84" t="str">
        <f>HYPERLINK("https://pbs.twimg.com/profile_banners/1352252468260818946/1631216929")</f>
        <v>https://pbs.twimg.com/profile_banners/1352252468260818946/1631216929</v>
      </c>
      <c r="AQ60" s="81" t="b">
        <v>1</v>
      </c>
      <c r="AR60" s="81" t="b">
        <v>0</v>
      </c>
      <c r="AS60" s="81" t="b">
        <v>1</v>
      </c>
      <c r="AT60" s="81"/>
      <c r="AU60" s="81">
        <v>0</v>
      </c>
      <c r="AV60" s="81"/>
      <c r="AW60" s="81" t="b">
        <v>0</v>
      </c>
      <c r="AX60" s="81" t="s">
        <v>3728</v>
      </c>
      <c r="AY60" s="84" t="str">
        <f>HYPERLINK("https://twitter.com/kagu_al")</f>
        <v>https://twitter.com/kagu_al</v>
      </c>
      <c r="AZ60" s="81" t="s">
        <v>66</v>
      </c>
      <c r="BA60" s="2"/>
      <c r="BB60" s="3"/>
      <c r="BC60" s="3"/>
      <c r="BD60" s="3"/>
      <c r="BE60" s="3"/>
    </row>
    <row r="61" spans="1:57" x14ac:dyDescent="0.35">
      <c r="A61" s="66" t="s">
        <v>12667</v>
      </c>
      <c r="B61" s="67"/>
      <c r="C61" s="67"/>
      <c r="D61" s="68"/>
      <c r="E61" s="94"/>
      <c r="F61" s="93" t="str">
        <f>HYPERLINK("https://pbs.twimg.com/profile_images/1439620326539730946/L_iVMliL_normal.jpg")</f>
        <v>https://pbs.twimg.com/profile_images/1439620326539730946/L_iVMliL_normal.jpg</v>
      </c>
      <c r="G61" s="95"/>
      <c r="H61" s="71"/>
      <c r="I61" s="72"/>
      <c r="J61" s="96"/>
      <c r="K61" s="71" t="s">
        <v>14265</v>
      </c>
      <c r="L61" s="97"/>
      <c r="M61" s="76"/>
      <c r="N61" s="76"/>
      <c r="O61" s="77"/>
      <c r="P61" s="78"/>
      <c r="Q61" s="78"/>
      <c r="R61" s="92"/>
      <c r="S61" s="92"/>
      <c r="T61" s="92"/>
      <c r="U61" s="92"/>
      <c r="V61" s="52"/>
      <c r="W61" s="52"/>
      <c r="X61" s="52"/>
      <c r="Y61" s="52"/>
      <c r="Z61" s="51"/>
      <c r="AA61" s="73"/>
      <c r="AB61" s="73"/>
      <c r="AC61" s="74"/>
      <c r="AD61" s="81" t="s">
        <v>13463</v>
      </c>
      <c r="AE61" s="86" t="s">
        <v>13399</v>
      </c>
      <c r="AF61" s="81">
        <v>80</v>
      </c>
      <c r="AG61" s="81">
        <v>157</v>
      </c>
      <c r="AH61" s="81">
        <v>2494</v>
      </c>
      <c r="AI61" s="81">
        <v>5759</v>
      </c>
      <c r="AJ61" s="81"/>
      <c r="AK61" s="81" t="s">
        <v>13921</v>
      </c>
      <c r="AL61" s="81"/>
      <c r="AM61" s="84" t="str">
        <f>HYPERLINK("https://t.co/GCS1mwM1qe")</f>
        <v>https://t.co/GCS1mwM1qe</v>
      </c>
      <c r="AN61" s="81"/>
      <c r="AO61" s="83">
        <v>44209.593287037038</v>
      </c>
      <c r="AP61" s="84" t="str">
        <f>HYPERLINK("https://pbs.twimg.com/profile_banners/1349359086727426050/1632067252")</f>
        <v>https://pbs.twimg.com/profile_banners/1349359086727426050/1632067252</v>
      </c>
      <c r="AQ61" s="81" t="b">
        <v>1</v>
      </c>
      <c r="AR61" s="81" t="b">
        <v>0</v>
      </c>
      <c r="AS61" s="81" t="b">
        <v>0</v>
      </c>
      <c r="AT61" s="81"/>
      <c r="AU61" s="81">
        <v>0</v>
      </c>
      <c r="AV61" s="81"/>
      <c r="AW61" s="81" t="b">
        <v>0</v>
      </c>
      <c r="AX61" s="81" t="s">
        <v>3728</v>
      </c>
      <c r="AY61" s="84" t="str">
        <f>HYPERLINK("https://twitter.com/mentalyupiiiiii")</f>
        <v>https://twitter.com/mentalyupiiiiii</v>
      </c>
      <c r="AZ61" s="81" t="s">
        <v>65</v>
      </c>
      <c r="BA61" s="2"/>
      <c r="BB61" s="3"/>
      <c r="BC61" s="3"/>
      <c r="BD61" s="3"/>
      <c r="BE61" s="3"/>
    </row>
    <row r="62" spans="1:57" x14ac:dyDescent="0.35">
      <c r="A62" s="66" t="s">
        <v>243</v>
      </c>
      <c r="B62" s="67"/>
      <c r="C62" s="67"/>
      <c r="D62" s="68"/>
      <c r="E62" s="94"/>
      <c r="F62" s="93" t="str">
        <f>HYPERLINK("https://pbs.twimg.com/profile_images/1431264894297382919/iqMmDMsn_normal.jpg")</f>
        <v>https://pbs.twimg.com/profile_images/1431264894297382919/iqMmDMsn_normal.jpg</v>
      </c>
      <c r="G62" s="95"/>
      <c r="H62" s="71"/>
      <c r="I62" s="72"/>
      <c r="J62" s="96"/>
      <c r="K62" s="71" t="s">
        <v>3768</v>
      </c>
      <c r="L62" s="97"/>
      <c r="M62" s="76"/>
      <c r="N62" s="76"/>
      <c r="O62" s="77"/>
      <c r="P62" s="78"/>
      <c r="Q62" s="78"/>
      <c r="R62" s="92"/>
      <c r="S62" s="92"/>
      <c r="T62" s="92"/>
      <c r="U62" s="92"/>
      <c r="V62" s="52"/>
      <c r="W62" s="52"/>
      <c r="X62" s="52"/>
      <c r="Y62" s="52"/>
      <c r="Z62" s="51"/>
      <c r="AA62" s="73"/>
      <c r="AB62" s="73"/>
      <c r="AC62" s="74"/>
      <c r="AD62" s="81" t="s">
        <v>2239</v>
      </c>
      <c r="AE62" s="86" t="s">
        <v>2716</v>
      </c>
      <c r="AF62" s="81">
        <v>7</v>
      </c>
      <c r="AG62" s="81">
        <v>9</v>
      </c>
      <c r="AH62" s="81">
        <v>1197</v>
      </c>
      <c r="AI62" s="81">
        <v>2</v>
      </c>
      <c r="AJ62" s="81"/>
      <c r="AK62" s="81" t="s">
        <v>3115</v>
      </c>
      <c r="AL62" s="81"/>
      <c r="AM62" s="81"/>
      <c r="AN62" s="81"/>
      <c r="AO62" s="83">
        <v>44435.599988425929</v>
      </c>
      <c r="AP62" s="81"/>
      <c r="AQ62" s="81" t="b">
        <v>1</v>
      </c>
      <c r="AR62" s="81" t="b">
        <v>0</v>
      </c>
      <c r="AS62" s="81" t="b">
        <v>0</v>
      </c>
      <c r="AT62" s="81"/>
      <c r="AU62" s="81">
        <v>0</v>
      </c>
      <c r="AV62" s="81"/>
      <c r="AW62" s="81" t="b">
        <v>0</v>
      </c>
      <c r="AX62" s="81" t="s">
        <v>3728</v>
      </c>
      <c r="AY62" s="84" t="str">
        <f>HYPERLINK("https://twitter.com/malangdorn1")</f>
        <v>https://twitter.com/malangdorn1</v>
      </c>
      <c r="AZ62" s="81" t="s">
        <v>66</v>
      </c>
      <c r="BA62" s="2"/>
      <c r="BB62" s="3"/>
      <c r="BC62" s="3"/>
      <c r="BD62" s="3"/>
      <c r="BE62" s="3"/>
    </row>
    <row r="63" spans="1:57" x14ac:dyDescent="0.35">
      <c r="A63" s="66" t="s">
        <v>244</v>
      </c>
      <c r="B63" s="67"/>
      <c r="C63" s="67"/>
      <c r="D63" s="68"/>
      <c r="E63" s="94"/>
      <c r="F63" s="93" t="str">
        <f>HYPERLINK("https://pbs.twimg.com/profile_images/1435997564898217985/wEp96SUf_normal.jpg")</f>
        <v>https://pbs.twimg.com/profile_images/1435997564898217985/wEp96SUf_normal.jpg</v>
      </c>
      <c r="G63" s="95"/>
      <c r="H63" s="71"/>
      <c r="I63" s="72"/>
      <c r="J63" s="96"/>
      <c r="K63" s="71" t="s">
        <v>3769</v>
      </c>
      <c r="L63" s="97"/>
      <c r="M63" s="76"/>
      <c r="N63" s="76"/>
      <c r="O63" s="77"/>
      <c r="P63" s="78"/>
      <c r="Q63" s="78"/>
      <c r="R63" s="92"/>
      <c r="S63" s="92"/>
      <c r="T63" s="92"/>
      <c r="U63" s="92"/>
      <c r="V63" s="52"/>
      <c r="W63" s="52"/>
      <c r="X63" s="52"/>
      <c r="Y63" s="52"/>
      <c r="Z63" s="51"/>
      <c r="AA63" s="73"/>
      <c r="AB63" s="73"/>
      <c r="AC63" s="74"/>
      <c r="AD63" s="81" t="s">
        <v>2279</v>
      </c>
      <c r="AE63" s="86" t="s">
        <v>2717</v>
      </c>
      <c r="AF63" s="81">
        <v>417</v>
      </c>
      <c r="AG63" s="81">
        <v>6</v>
      </c>
      <c r="AH63" s="81">
        <v>265</v>
      </c>
      <c r="AI63" s="81">
        <v>30</v>
      </c>
      <c r="AJ63" s="81"/>
      <c r="AK63" s="81" t="s">
        <v>3116</v>
      </c>
      <c r="AL63" s="81"/>
      <c r="AM63" s="81"/>
      <c r="AN63" s="81"/>
      <c r="AO63" s="83">
        <v>44447.687002314815</v>
      </c>
      <c r="AP63" s="81"/>
      <c r="AQ63" s="81" t="b">
        <v>1</v>
      </c>
      <c r="AR63" s="81" t="b">
        <v>0</v>
      </c>
      <c r="AS63" s="81" t="b">
        <v>0</v>
      </c>
      <c r="AT63" s="81"/>
      <c r="AU63" s="81">
        <v>0</v>
      </c>
      <c r="AV63" s="81"/>
      <c r="AW63" s="81" t="b">
        <v>0</v>
      </c>
      <c r="AX63" s="81" t="s">
        <v>3728</v>
      </c>
      <c r="AY63" s="84" t="str">
        <f>HYPERLINK("https://twitter.com/fatemeh50692110")</f>
        <v>https://twitter.com/fatemeh50692110</v>
      </c>
      <c r="AZ63" s="81" t="s">
        <v>66</v>
      </c>
      <c r="BA63" s="2"/>
      <c r="BB63" s="3"/>
      <c r="BC63" s="3"/>
      <c r="BD63" s="3"/>
      <c r="BE63" s="3"/>
    </row>
    <row r="64" spans="1:57" x14ac:dyDescent="0.35">
      <c r="A64" s="66" t="s">
        <v>245</v>
      </c>
      <c r="B64" s="67"/>
      <c r="C64" s="67"/>
      <c r="D64" s="68"/>
      <c r="E64" s="94"/>
      <c r="F64" s="93" t="str">
        <f>HYPERLINK("https://pbs.twimg.com/profile_images/1430762952697647104/sYtyW0hc_normal.jpg")</f>
        <v>https://pbs.twimg.com/profile_images/1430762952697647104/sYtyW0hc_normal.jpg</v>
      </c>
      <c r="G64" s="95"/>
      <c r="H64" s="71"/>
      <c r="I64" s="72"/>
      <c r="J64" s="96"/>
      <c r="K64" s="71" t="s">
        <v>3770</v>
      </c>
      <c r="L64" s="97"/>
      <c r="M64" s="76"/>
      <c r="N64" s="76"/>
      <c r="O64" s="77"/>
      <c r="P64" s="78"/>
      <c r="Q64" s="78"/>
      <c r="R64" s="92"/>
      <c r="S64" s="92"/>
      <c r="T64" s="92"/>
      <c r="U64" s="92"/>
      <c r="V64" s="52"/>
      <c r="W64" s="52"/>
      <c r="X64" s="52"/>
      <c r="Y64" s="52"/>
      <c r="Z64" s="51"/>
      <c r="AA64" s="73"/>
      <c r="AB64" s="73"/>
      <c r="AC64" s="74"/>
      <c r="AD64" s="81" t="s">
        <v>2280</v>
      </c>
      <c r="AE64" s="86" t="s">
        <v>2718</v>
      </c>
      <c r="AF64" s="81">
        <v>292</v>
      </c>
      <c r="AG64" s="81">
        <v>96</v>
      </c>
      <c r="AH64" s="81">
        <v>662</v>
      </c>
      <c r="AI64" s="81">
        <v>2217</v>
      </c>
      <c r="AJ64" s="81"/>
      <c r="AK64" s="81" t="s">
        <v>3117</v>
      </c>
      <c r="AL64" s="81" t="s">
        <v>3514</v>
      </c>
      <c r="AM64" s="81"/>
      <c r="AN64" s="81"/>
      <c r="AO64" s="83">
        <v>44201.480428240742</v>
      </c>
      <c r="AP64" s="84" t="str">
        <f>HYPERLINK("https://pbs.twimg.com/profile_banners/1346419008510119937/1609846535")</f>
        <v>https://pbs.twimg.com/profile_banners/1346419008510119937/1609846535</v>
      </c>
      <c r="AQ64" s="81" t="b">
        <v>1</v>
      </c>
      <c r="AR64" s="81" t="b">
        <v>0</v>
      </c>
      <c r="AS64" s="81" t="b">
        <v>0</v>
      </c>
      <c r="AT64" s="81"/>
      <c r="AU64" s="81">
        <v>1</v>
      </c>
      <c r="AV64" s="81"/>
      <c r="AW64" s="81" t="b">
        <v>0</v>
      </c>
      <c r="AX64" s="81" t="s">
        <v>3728</v>
      </c>
      <c r="AY64" s="84" t="str">
        <f>HYPERLINK("https://twitter.com/bangqiha")</f>
        <v>https://twitter.com/bangqiha</v>
      </c>
      <c r="AZ64" s="81" t="s">
        <v>66</v>
      </c>
      <c r="BA64" s="2"/>
      <c r="BB64" s="3"/>
      <c r="BC64" s="3"/>
      <c r="BD64" s="3"/>
      <c r="BE64" s="3"/>
    </row>
    <row r="65" spans="1:57" x14ac:dyDescent="0.35">
      <c r="A65" s="66" t="s">
        <v>246</v>
      </c>
      <c r="B65" s="67"/>
      <c r="C65" s="67"/>
      <c r="D65" s="68"/>
      <c r="E65" s="94"/>
      <c r="F65" s="93" t="str">
        <f>HYPERLINK("https://pbs.twimg.com/profile_images/1433485471779201051/cSlmP3Zg_normal.jpg")</f>
        <v>https://pbs.twimg.com/profile_images/1433485471779201051/cSlmP3Zg_normal.jpg</v>
      </c>
      <c r="G65" s="95"/>
      <c r="H65" s="71"/>
      <c r="I65" s="72"/>
      <c r="J65" s="96"/>
      <c r="K65" s="71" t="s">
        <v>3771</v>
      </c>
      <c r="L65" s="97"/>
      <c r="M65" s="76"/>
      <c r="N65" s="76"/>
      <c r="O65" s="77"/>
      <c r="P65" s="78"/>
      <c r="Q65" s="78"/>
      <c r="R65" s="92"/>
      <c r="S65" s="92"/>
      <c r="T65" s="92"/>
      <c r="U65" s="92"/>
      <c r="V65" s="52"/>
      <c r="W65" s="52"/>
      <c r="X65" s="52"/>
      <c r="Y65" s="52"/>
      <c r="Z65" s="51"/>
      <c r="AA65" s="73"/>
      <c r="AB65" s="73"/>
      <c r="AC65" s="74"/>
      <c r="AD65" s="81" t="s">
        <v>2281</v>
      </c>
      <c r="AE65" s="86" t="s">
        <v>2719</v>
      </c>
      <c r="AF65" s="81">
        <v>1252</v>
      </c>
      <c r="AG65" s="81">
        <v>1141</v>
      </c>
      <c r="AH65" s="81">
        <v>8804</v>
      </c>
      <c r="AI65" s="81">
        <v>20663</v>
      </c>
      <c r="AJ65" s="81"/>
      <c r="AK65" s="81" t="s">
        <v>10082</v>
      </c>
      <c r="AL65" s="81" t="s">
        <v>3509</v>
      </c>
      <c r="AM65" s="81"/>
      <c r="AN65" s="81"/>
      <c r="AO65" s="83">
        <v>44296.65079861111</v>
      </c>
      <c r="AP65" s="84" t="str">
        <f>HYPERLINK("https://pbs.twimg.com/profile_banners/1380907660342554625/1629215303")</f>
        <v>https://pbs.twimg.com/profile_banners/1380907660342554625/1629215303</v>
      </c>
      <c r="AQ65" s="81" t="b">
        <v>1</v>
      </c>
      <c r="AR65" s="81" t="b">
        <v>0</v>
      </c>
      <c r="AS65" s="81" t="b">
        <v>0</v>
      </c>
      <c r="AT65" s="81"/>
      <c r="AU65" s="81">
        <v>3</v>
      </c>
      <c r="AV65" s="81"/>
      <c r="AW65" s="81" t="b">
        <v>0</v>
      </c>
      <c r="AX65" s="81" t="s">
        <v>3728</v>
      </c>
      <c r="AY65" s="84" t="str">
        <f>HYPERLINK("https://twitter.com/skzanddstay")</f>
        <v>https://twitter.com/skzanddstay</v>
      </c>
      <c r="AZ65" s="81" t="s">
        <v>66</v>
      </c>
      <c r="BA65" s="2"/>
      <c r="BB65" s="3"/>
      <c r="BC65" s="3"/>
      <c r="BD65" s="3"/>
      <c r="BE65" s="3"/>
    </row>
    <row r="66" spans="1:57" x14ac:dyDescent="0.35">
      <c r="A66" s="66" t="s">
        <v>4186</v>
      </c>
      <c r="B66" s="67"/>
      <c r="C66" s="67"/>
      <c r="D66" s="68"/>
      <c r="E66" s="94"/>
      <c r="F66" s="93" t="str">
        <f>HYPERLINK("https://pbs.twimg.com/profile_images/1440308280874528770/F5qwztVT_normal.jpg")</f>
        <v>https://pbs.twimg.com/profile_images/1440308280874528770/F5qwztVT_normal.jpg</v>
      </c>
      <c r="G66" s="95"/>
      <c r="H66" s="71"/>
      <c r="I66" s="72"/>
      <c r="J66" s="96"/>
      <c r="K66" s="71" t="s">
        <v>11423</v>
      </c>
      <c r="L66" s="97"/>
      <c r="M66" s="76"/>
      <c r="N66" s="76"/>
      <c r="O66" s="77"/>
      <c r="P66" s="78"/>
      <c r="Q66" s="78"/>
      <c r="R66" s="92"/>
      <c r="S66" s="92"/>
      <c r="T66" s="92"/>
      <c r="U66" s="92"/>
      <c r="V66" s="52"/>
      <c r="W66" s="52"/>
      <c r="X66" s="52"/>
      <c r="Y66" s="52"/>
      <c r="Z66" s="51"/>
      <c r="AA66" s="73"/>
      <c r="AB66" s="73"/>
      <c r="AC66" s="74"/>
      <c r="AD66" s="81" t="s">
        <v>8056</v>
      </c>
      <c r="AE66" s="86" t="s">
        <v>7797</v>
      </c>
      <c r="AF66" s="81">
        <v>174</v>
      </c>
      <c r="AG66" s="81">
        <v>201</v>
      </c>
      <c r="AH66" s="81">
        <v>19156</v>
      </c>
      <c r="AI66" s="81">
        <v>5463</v>
      </c>
      <c r="AJ66" s="81"/>
      <c r="AK66" s="81" t="s">
        <v>10083</v>
      </c>
      <c r="AL66" s="81"/>
      <c r="AM66" s="81"/>
      <c r="AN66" s="81"/>
      <c r="AO66" s="83">
        <v>40510.849652777775</v>
      </c>
      <c r="AP66" s="84" t="str">
        <f>HYPERLINK("https://pbs.twimg.com/profile_banners/220780288/1587589547")</f>
        <v>https://pbs.twimg.com/profile_banners/220780288/1587589547</v>
      </c>
      <c r="AQ66" s="81" t="b">
        <v>0</v>
      </c>
      <c r="AR66" s="81" t="b">
        <v>0</v>
      </c>
      <c r="AS66" s="81" t="b">
        <v>0</v>
      </c>
      <c r="AT66" s="81"/>
      <c r="AU66" s="81">
        <v>2</v>
      </c>
      <c r="AV66" s="84" t="str">
        <f>HYPERLINK("https://abs.twimg.com/images/themes/theme14/bg.gif")</f>
        <v>https://abs.twimg.com/images/themes/theme14/bg.gif</v>
      </c>
      <c r="AW66" s="81" t="b">
        <v>0</v>
      </c>
      <c r="AX66" s="81" t="s">
        <v>3728</v>
      </c>
      <c r="AY66" s="84" t="str">
        <f>HYPERLINK("https://twitter.com/wwnnddff")</f>
        <v>https://twitter.com/wwnnddff</v>
      </c>
      <c r="AZ66" s="81" t="s">
        <v>66</v>
      </c>
      <c r="BA66" s="2"/>
      <c r="BB66" s="3"/>
      <c r="BC66" s="3"/>
      <c r="BD66" s="3"/>
      <c r="BE66" s="3"/>
    </row>
    <row r="67" spans="1:57" x14ac:dyDescent="0.35">
      <c r="A67" s="66" t="s">
        <v>247</v>
      </c>
      <c r="B67" s="67"/>
      <c r="C67" s="67"/>
      <c r="D67" s="68"/>
      <c r="E67" s="94"/>
      <c r="F67" s="93" t="str">
        <f>HYPERLINK("https://pbs.twimg.com/profile_images/832225583828316160/05RUCyjH_normal.jpg")</f>
        <v>https://pbs.twimg.com/profile_images/832225583828316160/05RUCyjH_normal.jpg</v>
      </c>
      <c r="G67" s="95"/>
      <c r="H67" s="71"/>
      <c r="I67" s="72"/>
      <c r="J67" s="96"/>
      <c r="K67" s="71" t="s">
        <v>3772</v>
      </c>
      <c r="L67" s="97"/>
      <c r="M67" s="76"/>
      <c r="N67" s="76"/>
      <c r="O67" s="77"/>
      <c r="P67" s="78"/>
      <c r="Q67" s="78"/>
      <c r="R67" s="92"/>
      <c r="S67" s="92"/>
      <c r="T67" s="92"/>
      <c r="U67" s="92"/>
      <c r="V67" s="52"/>
      <c r="W67" s="52"/>
      <c r="X67" s="52"/>
      <c r="Y67" s="52"/>
      <c r="Z67" s="51"/>
      <c r="AA67" s="73"/>
      <c r="AB67" s="73"/>
      <c r="AC67" s="74"/>
      <c r="AD67" s="81" t="s">
        <v>2282</v>
      </c>
      <c r="AE67" s="86" t="s">
        <v>2720</v>
      </c>
      <c r="AF67" s="81">
        <v>319</v>
      </c>
      <c r="AG67" s="81">
        <v>83</v>
      </c>
      <c r="AH67" s="81">
        <v>17923</v>
      </c>
      <c r="AI67" s="81">
        <v>218</v>
      </c>
      <c r="AJ67" s="81"/>
      <c r="AK67" s="81" t="s">
        <v>3118</v>
      </c>
      <c r="AL67" s="81" t="s">
        <v>3540</v>
      </c>
      <c r="AM67" s="81"/>
      <c r="AN67" s="81"/>
      <c r="AO67" s="83">
        <v>39968.385740740741</v>
      </c>
      <c r="AP67" s="84" t="str">
        <f>HYPERLINK("https://pbs.twimg.com/profile_banners/44580036/1413834882")</f>
        <v>https://pbs.twimg.com/profile_banners/44580036/1413834882</v>
      </c>
      <c r="AQ67" s="81" t="b">
        <v>0</v>
      </c>
      <c r="AR67" s="81" t="b">
        <v>0</v>
      </c>
      <c r="AS67" s="81" t="b">
        <v>1</v>
      </c>
      <c r="AT67" s="81"/>
      <c r="AU67" s="81">
        <v>0</v>
      </c>
      <c r="AV67" s="84" t="str">
        <f>HYPERLINK("https://abs.twimg.com/images/themes/theme3/bg.gif")</f>
        <v>https://abs.twimg.com/images/themes/theme3/bg.gif</v>
      </c>
      <c r="AW67" s="81" t="b">
        <v>0</v>
      </c>
      <c r="AX67" s="81" t="s">
        <v>3728</v>
      </c>
      <c r="AY67" s="84" t="str">
        <f>HYPERLINK("https://twitter.com/ponilempar")</f>
        <v>https://twitter.com/ponilempar</v>
      </c>
      <c r="AZ67" s="81" t="s">
        <v>66</v>
      </c>
      <c r="BA67" s="2"/>
      <c r="BB67" s="3"/>
      <c r="BC67" s="3"/>
      <c r="BD67" s="3"/>
      <c r="BE67" s="3"/>
    </row>
    <row r="68" spans="1:57" x14ac:dyDescent="0.35">
      <c r="A68" s="66" t="s">
        <v>4187</v>
      </c>
      <c r="B68" s="67"/>
      <c r="C68" s="67"/>
      <c r="D68" s="68"/>
      <c r="E68" s="94"/>
      <c r="F68" s="93" t="str">
        <f>HYPERLINK("https://pbs.twimg.com/profile_images/1345129110813683715/gfG00DUk_normal.jpg")</f>
        <v>https://pbs.twimg.com/profile_images/1345129110813683715/gfG00DUk_normal.jpg</v>
      </c>
      <c r="G68" s="95"/>
      <c r="H68" s="71"/>
      <c r="I68" s="72"/>
      <c r="J68" s="96"/>
      <c r="K68" s="71" t="s">
        <v>11424</v>
      </c>
      <c r="L68" s="97"/>
      <c r="M68" s="76"/>
      <c r="N68" s="76"/>
      <c r="O68" s="77"/>
      <c r="P68" s="78"/>
      <c r="Q68" s="78"/>
      <c r="R68" s="92"/>
      <c r="S68" s="92"/>
      <c r="T68" s="92"/>
      <c r="U68" s="92"/>
      <c r="V68" s="52"/>
      <c r="W68" s="52"/>
      <c r="X68" s="52"/>
      <c r="Y68" s="52"/>
      <c r="Z68" s="51"/>
      <c r="AA68" s="73"/>
      <c r="AB68" s="73"/>
      <c r="AC68" s="74"/>
      <c r="AD68" s="81" t="s">
        <v>8057</v>
      </c>
      <c r="AE68" s="86" t="s">
        <v>9129</v>
      </c>
      <c r="AF68" s="81">
        <v>3566</v>
      </c>
      <c r="AG68" s="81">
        <v>169141</v>
      </c>
      <c r="AH68" s="81">
        <v>16023</v>
      </c>
      <c r="AI68" s="81">
        <v>121111</v>
      </c>
      <c r="AJ68" s="81"/>
      <c r="AK68" s="81" t="s">
        <v>10084</v>
      </c>
      <c r="AL68" s="81" t="s">
        <v>11003</v>
      </c>
      <c r="AM68" s="84" t="str">
        <f>HYPERLINK("https://t.co/hQKYS6pOxg")</f>
        <v>https://t.co/hQKYS6pOxg</v>
      </c>
      <c r="AN68" s="81"/>
      <c r="AO68" s="83">
        <v>39561.80972222222</v>
      </c>
      <c r="AP68" s="84" t="str">
        <f>HYPERLINK("https://pbs.twimg.com/profile_banners/14499351/1614734250")</f>
        <v>https://pbs.twimg.com/profile_banners/14499351/1614734250</v>
      </c>
      <c r="AQ68" s="81" t="b">
        <v>0</v>
      </c>
      <c r="AR68" s="81" t="b">
        <v>0</v>
      </c>
      <c r="AS68" s="81" t="b">
        <v>1</v>
      </c>
      <c r="AT68" s="81"/>
      <c r="AU68" s="81">
        <v>1021</v>
      </c>
      <c r="AV68" s="84" t="str">
        <f>HYPERLINK("https://abs.twimg.com/images/themes/theme3/bg.gif")</f>
        <v>https://abs.twimg.com/images/themes/theme3/bg.gif</v>
      </c>
      <c r="AW68" s="81" t="b">
        <v>1</v>
      </c>
      <c r="AX68" s="81" t="s">
        <v>3728</v>
      </c>
      <c r="AY68" s="84" t="str">
        <f>HYPERLINK("https://twitter.com/cecillia")</f>
        <v>https://twitter.com/cecillia</v>
      </c>
      <c r="AZ68" s="81" t="s">
        <v>66</v>
      </c>
      <c r="BA68" s="2"/>
      <c r="BB68" s="3"/>
      <c r="BC68" s="3"/>
      <c r="BD68" s="3"/>
      <c r="BE68" s="3"/>
    </row>
    <row r="69" spans="1:57" x14ac:dyDescent="0.35">
      <c r="A69" s="66" t="s">
        <v>4188</v>
      </c>
      <c r="B69" s="67"/>
      <c r="C69" s="67"/>
      <c r="D69" s="68"/>
      <c r="E69" s="94"/>
      <c r="F69" s="93" t="str">
        <f>HYPERLINK("https://pbs.twimg.com/profile_images/1294312664282337280/uWoMCmJh_normal.jpg")</f>
        <v>https://pbs.twimg.com/profile_images/1294312664282337280/uWoMCmJh_normal.jpg</v>
      </c>
      <c r="G69" s="95"/>
      <c r="H69" s="71"/>
      <c r="I69" s="72"/>
      <c r="J69" s="96"/>
      <c r="K69" s="71" t="s">
        <v>11425</v>
      </c>
      <c r="L69" s="97"/>
      <c r="M69" s="76"/>
      <c r="N69" s="76"/>
      <c r="O69" s="77"/>
      <c r="P69" s="78"/>
      <c r="Q69" s="78"/>
      <c r="R69" s="92"/>
      <c r="S69" s="92"/>
      <c r="T69" s="92"/>
      <c r="U69" s="92"/>
      <c r="V69" s="52"/>
      <c r="W69" s="52"/>
      <c r="X69" s="52"/>
      <c r="Y69" s="52"/>
      <c r="Z69" s="51"/>
      <c r="AA69" s="73"/>
      <c r="AB69" s="73"/>
      <c r="AC69" s="74"/>
      <c r="AD69" s="81" t="s">
        <v>8058</v>
      </c>
      <c r="AE69" s="86" t="s">
        <v>9130</v>
      </c>
      <c r="AF69" s="81">
        <v>97</v>
      </c>
      <c r="AG69" s="81">
        <v>1809</v>
      </c>
      <c r="AH69" s="81">
        <v>15623</v>
      </c>
      <c r="AI69" s="81">
        <v>3544</v>
      </c>
      <c r="AJ69" s="81"/>
      <c r="AK69" s="81" t="s">
        <v>10085</v>
      </c>
      <c r="AL69" s="81"/>
      <c r="AM69" s="84" t="str">
        <f>HYPERLINK("https://t.co/p6KlrUjaEW")</f>
        <v>https://t.co/p6KlrUjaEW</v>
      </c>
      <c r="AN69" s="81"/>
      <c r="AO69" s="83">
        <v>40350.953240740739</v>
      </c>
      <c r="AP69" s="84" t="str">
        <f>HYPERLINK("https://pbs.twimg.com/profile_banners/158151456/1597423162")</f>
        <v>https://pbs.twimg.com/profile_banners/158151456/1597423162</v>
      </c>
      <c r="AQ69" s="81" t="b">
        <v>0</v>
      </c>
      <c r="AR69" s="81" t="b">
        <v>0</v>
      </c>
      <c r="AS69" s="81" t="b">
        <v>1</v>
      </c>
      <c r="AT69" s="81"/>
      <c r="AU69" s="81">
        <v>248</v>
      </c>
      <c r="AV69" s="84" t="str">
        <f>HYPERLINK("https://abs.twimg.com/images/themes/theme14/bg.gif")</f>
        <v>https://abs.twimg.com/images/themes/theme14/bg.gif</v>
      </c>
      <c r="AW69" s="81" t="b">
        <v>0</v>
      </c>
      <c r="AX69" s="81" t="s">
        <v>3728</v>
      </c>
      <c r="AY69" s="84" t="str">
        <f>HYPERLINK("https://twitter.com/coletividad")</f>
        <v>https://twitter.com/coletividad</v>
      </c>
      <c r="AZ69" s="81" t="s">
        <v>66</v>
      </c>
      <c r="BA69" s="2"/>
      <c r="BB69" s="3"/>
      <c r="BC69" s="3"/>
      <c r="BD69" s="3"/>
      <c r="BE69" s="3"/>
    </row>
    <row r="70" spans="1:57" x14ac:dyDescent="0.35">
      <c r="A70" s="66" t="s">
        <v>248</v>
      </c>
      <c r="B70" s="67"/>
      <c r="C70" s="67"/>
      <c r="D70" s="68"/>
      <c r="E70" s="94"/>
      <c r="F70" s="93" t="str">
        <f>HYPERLINK("https://pbs.twimg.com/profile_images/1220615110382649344/dKRc82fC_normal.jpg")</f>
        <v>https://pbs.twimg.com/profile_images/1220615110382649344/dKRc82fC_normal.jpg</v>
      </c>
      <c r="G70" s="95"/>
      <c r="H70" s="71"/>
      <c r="I70" s="72"/>
      <c r="J70" s="96"/>
      <c r="K70" s="71" t="s">
        <v>3773</v>
      </c>
      <c r="L70" s="97"/>
      <c r="M70" s="76"/>
      <c r="N70" s="76"/>
      <c r="O70" s="77"/>
      <c r="P70" s="78"/>
      <c r="Q70" s="78"/>
      <c r="R70" s="92"/>
      <c r="S70" s="92"/>
      <c r="T70" s="92"/>
      <c r="U70" s="92"/>
      <c r="V70" s="52"/>
      <c r="W70" s="52"/>
      <c r="X70" s="52"/>
      <c r="Y70" s="52"/>
      <c r="Z70" s="51"/>
      <c r="AA70" s="73"/>
      <c r="AB70" s="73"/>
      <c r="AC70" s="74"/>
      <c r="AD70" s="81" t="s">
        <v>2283</v>
      </c>
      <c r="AE70" s="86" t="s">
        <v>2721</v>
      </c>
      <c r="AF70" s="81">
        <v>1209</v>
      </c>
      <c r="AG70" s="81">
        <v>100</v>
      </c>
      <c r="AH70" s="81">
        <v>19117</v>
      </c>
      <c r="AI70" s="81">
        <v>41696</v>
      </c>
      <c r="AJ70" s="81"/>
      <c r="AK70" s="81" t="s">
        <v>3119</v>
      </c>
      <c r="AL70" s="81"/>
      <c r="AM70" s="81"/>
      <c r="AN70" s="81"/>
      <c r="AO70" s="83">
        <v>43561.697453703702</v>
      </c>
      <c r="AP70" s="81"/>
      <c r="AQ70" s="81" t="b">
        <v>1</v>
      </c>
      <c r="AR70" s="81" t="b">
        <v>0</v>
      </c>
      <c r="AS70" s="81" t="b">
        <v>0</v>
      </c>
      <c r="AT70" s="81"/>
      <c r="AU70" s="81">
        <v>0</v>
      </c>
      <c r="AV70" s="81"/>
      <c r="AW70" s="81" t="b">
        <v>0</v>
      </c>
      <c r="AX70" s="81" t="s">
        <v>3728</v>
      </c>
      <c r="AY70" s="84" t="str">
        <f>HYPERLINK("https://twitter.com/theblsss")</f>
        <v>https://twitter.com/theblsss</v>
      </c>
      <c r="AZ70" s="81" t="s">
        <v>66</v>
      </c>
      <c r="BA70" s="2"/>
      <c r="BB70" s="3"/>
      <c r="BC70" s="3"/>
      <c r="BD70" s="3"/>
      <c r="BE70" s="3"/>
    </row>
    <row r="71" spans="1:57" x14ac:dyDescent="0.35">
      <c r="A71" s="66" t="s">
        <v>4189</v>
      </c>
      <c r="B71" s="67"/>
      <c r="C71" s="67"/>
      <c r="D71" s="68"/>
      <c r="E71" s="94"/>
      <c r="F71" s="93" t="str">
        <f>HYPERLINK("https://pbs.twimg.com/profile_images/1260134007561486336/aVVDOdHo_normal.jpg")</f>
        <v>https://pbs.twimg.com/profile_images/1260134007561486336/aVVDOdHo_normal.jpg</v>
      </c>
      <c r="G71" s="95"/>
      <c r="H71" s="71"/>
      <c r="I71" s="72"/>
      <c r="J71" s="96"/>
      <c r="K71" s="71" t="s">
        <v>11426</v>
      </c>
      <c r="L71" s="97"/>
      <c r="M71" s="76"/>
      <c r="N71" s="76"/>
      <c r="O71" s="77"/>
      <c r="P71" s="78"/>
      <c r="Q71" s="78"/>
      <c r="R71" s="92"/>
      <c r="S71" s="92"/>
      <c r="T71" s="92"/>
      <c r="U71" s="92"/>
      <c r="V71" s="52"/>
      <c r="W71" s="52"/>
      <c r="X71" s="52"/>
      <c r="Y71" s="52"/>
      <c r="Z71" s="51"/>
      <c r="AA71" s="73"/>
      <c r="AB71" s="73"/>
      <c r="AC71" s="74"/>
      <c r="AD71" s="81" t="s">
        <v>8059</v>
      </c>
      <c r="AE71" s="86" t="s">
        <v>9131</v>
      </c>
      <c r="AF71" s="81">
        <v>1663</v>
      </c>
      <c r="AG71" s="81">
        <v>1667</v>
      </c>
      <c r="AH71" s="81">
        <v>9576</v>
      </c>
      <c r="AI71" s="81">
        <v>1020</v>
      </c>
      <c r="AJ71" s="81"/>
      <c r="AK71" s="81" t="s">
        <v>10086</v>
      </c>
      <c r="AL71" s="81" t="s">
        <v>11004</v>
      </c>
      <c r="AM71" s="84" t="str">
        <f>HYPERLINK("https://t.co/fxqGZ5z15Z")</f>
        <v>https://t.co/fxqGZ5z15Z</v>
      </c>
      <c r="AN71" s="81"/>
      <c r="AO71" s="83">
        <v>39841.96334490741</v>
      </c>
      <c r="AP71" s="84" t="str">
        <f>HYPERLINK("https://pbs.twimg.com/profile_banners/19682772/1589274336")</f>
        <v>https://pbs.twimg.com/profile_banners/19682772/1589274336</v>
      </c>
      <c r="AQ71" s="81" t="b">
        <v>0</v>
      </c>
      <c r="AR71" s="81" t="b">
        <v>0</v>
      </c>
      <c r="AS71" s="81" t="b">
        <v>0</v>
      </c>
      <c r="AT71" s="81"/>
      <c r="AU71" s="81">
        <v>47</v>
      </c>
      <c r="AV71" s="84" t="str">
        <f>HYPERLINK("https://abs.twimg.com/images/themes/theme2/bg.gif")</f>
        <v>https://abs.twimg.com/images/themes/theme2/bg.gif</v>
      </c>
      <c r="AW71" s="81" t="b">
        <v>0</v>
      </c>
      <c r="AX71" s="81" t="s">
        <v>3728</v>
      </c>
      <c r="AY71" s="84" t="str">
        <f>HYPERLINK("https://twitter.com/filocri_p4c")</f>
        <v>https://twitter.com/filocri_p4c</v>
      </c>
      <c r="AZ71" s="81" t="s">
        <v>66</v>
      </c>
      <c r="BA71" s="2"/>
      <c r="BB71" s="3"/>
      <c r="BC71" s="3"/>
      <c r="BD71" s="3"/>
      <c r="BE71" s="3"/>
    </row>
    <row r="72" spans="1:57" x14ac:dyDescent="0.35">
      <c r="A72" s="66" t="s">
        <v>249</v>
      </c>
      <c r="B72" s="67"/>
      <c r="C72" s="67"/>
      <c r="D72" s="68"/>
      <c r="E72" s="94"/>
      <c r="F72" s="93" t="str">
        <f>HYPERLINK("https://pbs.twimg.com/profile_images/1436535696978706435/Q7s_YNJJ_normal.jpg")</f>
        <v>https://pbs.twimg.com/profile_images/1436535696978706435/Q7s_YNJJ_normal.jpg</v>
      </c>
      <c r="G72" s="95"/>
      <c r="H72" s="71"/>
      <c r="I72" s="72"/>
      <c r="J72" s="96"/>
      <c r="K72" s="71" t="s">
        <v>3774</v>
      </c>
      <c r="L72" s="97"/>
      <c r="M72" s="76"/>
      <c r="N72" s="76"/>
      <c r="O72" s="77"/>
      <c r="P72" s="78"/>
      <c r="Q72" s="78"/>
      <c r="R72" s="92"/>
      <c r="S72" s="92"/>
      <c r="T72" s="92"/>
      <c r="U72" s="92"/>
      <c r="V72" s="52"/>
      <c r="W72" s="52"/>
      <c r="X72" s="52"/>
      <c r="Y72" s="52"/>
      <c r="Z72" s="51"/>
      <c r="AA72" s="73"/>
      <c r="AB72" s="73"/>
      <c r="AC72" s="74"/>
      <c r="AD72" s="81" t="s">
        <v>2284</v>
      </c>
      <c r="AE72" s="86" t="s">
        <v>2722</v>
      </c>
      <c r="AF72" s="81">
        <v>105</v>
      </c>
      <c r="AG72" s="81">
        <v>28</v>
      </c>
      <c r="AH72" s="81">
        <v>2268</v>
      </c>
      <c r="AI72" s="81">
        <v>3111</v>
      </c>
      <c r="AJ72" s="81"/>
      <c r="AK72" s="81" t="s">
        <v>3120</v>
      </c>
      <c r="AL72" s="81"/>
      <c r="AM72" s="81"/>
      <c r="AN72" s="81"/>
      <c r="AO72" s="83">
        <v>44378.32304398148</v>
      </c>
      <c r="AP72" s="84" t="str">
        <f>HYPERLINK("https://pbs.twimg.com/profile_banners/1410504699044720648/1631914472")</f>
        <v>https://pbs.twimg.com/profile_banners/1410504699044720648/1631914472</v>
      </c>
      <c r="AQ72" s="81" t="b">
        <v>1</v>
      </c>
      <c r="AR72" s="81" t="b">
        <v>0</v>
      </c>
      <c r="AS72" s="81" t="b">
        <v>0</v>
      </c>
      <c r="AT72" s="81"/>
      <c r="AU72" s="81">
        <v>0</v>
      </c>
      <c r="AV72" s="81"/>
      <c r="AW72" s="81" t="b">
        <v>0</v>
      </c>
      <c r="AX72" s="81" t="s">
        <v>3728</v>
      </c>
      <c r="AY72" s="84" t="str">
        <f>HYPERLINK("https://twitter.com/wolfzenluv")</f>
        <v>https://twitter.com/wolfzenluv</v>
      </c>
      <c r="AZ72" s="81" t="s">
        <v>66</v>
      </c>
      <c r="BA72" s="2"/>
      <c r="BB72" s="3"/>
      <c r="BC72" s="3"/>
      <c r="BD72" s="3"/>
      <c r="BE72" s="3"/>
    </row>
    <row r="73" spans="1:57" x14ac:dyDescent="0.35">
      <c r="A73" s="66" t="s">
        <v>250</v>
      </c>
      <c r="B73" s="67"/>
      <c r="C73" s="67"/>
      <c r="D73" s="68"/>
      <c r="E73" s="94"/>
      <c r="F73" s="93" t="str">
        <f>HYPERLINK("https://pbs.twimg.com/profile_images/1348978369648447488/J6mwhzU6_normal.jpg")</f>
        <v>https://pbs.twimg.com/profile_images/1348978369648447488/J6mwhzU6_normal.jpg</v>
      </c>
      <c r="G73" s="95"/>
      <c r="H73" s="71"/>
      <c r="I73" s="72"/>
      <c r="J73" s="96"/>
      <c r="K73" s="71" t="s">
        <v>3775</v>
      </c>
      <c r="L73" s="97"/>
      <c r="M73" s="76"/>
      <c r="N73" s="76"/>
      <c r="O73" s="77"/>
      <c r="P73" s="78"/>
      <c r="Q73" s="78"/>
      <c r="R73" s="92"/>
      <c r="S73" s="92"/>
      <c r="T73" s="92"/>
      <c r="U73" s="92"/>
      <c r="V73" s="52"/>
      <c r="W73" s="52"/>
      <c r="X73" s="52"/>
      <c r="Y73" s="52"/>
      <c r="Z73" s="51"/>
      <c r="AA73" s="73"/>
      <c r="AB73" s="73"/>
      <c r="AC73" s="74"/>
      <c r="AD73" s="81" t="s">
        <v>2285</v>
      </c>
      <c r="AE73" s="86" t="s">
        <v>2723</v>
      </c>
      <c r="AF73" s="81">
        <v>75</v>
      </c>
      <c r="AG73" s="81">
        <v>5072</v>
      </c>
      <c r="AH73" s="81">
        <v>69163</v>
      </c>
      <c r="AI73" s="81">
        <v>6998</v>
      </c>
      <c r="AJ73" s="81"/>
      <c r="AK73" s="81" t="s">
        <v>3121</v>
      </c>
      <c r="AL73" s="81" t="s">
        <v>3541</v>
      </c>
      <c r="AM73" s="81"/>
      <c r="AN73" s="81"/>
      <c r="AO73" s="83">
        <v>40687.002905092595</v>
      </c>
      <c r="AP73" s="84" t="str">
        <f>HYPERLINK("https://pbs.twimg.com/profile_banners/304124400/1610456526")</f>
        <v>https://pbs.twimg.com/profile_banners/304124400/1610456526</v>
      </c>
      <c r="AQ73" s="81" t="b">
        <v>0</v>
      </c>
      <c r="AR73" s="81" t="b">
        <v>0</v>
      </c>
      <c r="AS73" s="81" t="b">
        <v>1</v>
      </c>
      <c r="AT73" s="81"/>
      <c r="AU73" s="81">
        <v>39</v>
      </c>
      <c r="AV73" s="84" t="str">
        <f>HYPERLINK("https://abs.twimg.com/images/themes/theme5/bg.gif")</f>
        <v>https://abs.twimg.com/images/themes/theme5/bg.gif</v>
      </c>
      <c r="AW73" s="81" t="b">
        <v>0</v>
      </c>
      <c r="AX73" s="81" t="s">
        <v>3728</v>
      </c>
      <c r="AY73" s="84" t="str">
        <f>HYPERLINK("https://twitter.com/kotamagetan_")</f>
        <v>https://twitter.com/kotamagetan_</v>
      </c>
      <c r="AZ73" s="81" t="s">
        <v>66</v>
      </c>
      <c r="BA73" s="2"/>
      <c r="BB73" s="3"/>
      <c r="BC73" s="3"/>
      <c r="BD73" s="3"/>
      <c r="BE73" s="3"/>
    </row>
    <row r="74" spans="1:57" x14ac:dyDescent="0.35">
      <c r="A74" s="66" t="s">
        <v>4190</v>
      </c>
      <c r="B74" s="67"/>
      <c r="C74" s="67"/>
      <c r="D74" s="68"/>
      <c r="E74" s="94"/>
      <c r="F74" s="93" t="str">
        <f>HYPERLINK("https://pbs.twimg.com/profile_images/1416398500682772482/ezzHCk_i_normal.jpg")</f>
        <v>https://pbs.twimg.com/profile_images/1416398500682772482/ezzHCk_i_normal.jpg</v>
      </c>
      <c r="G74" s="95"/>
      <c r="H74" s="71"/>
      <c r="I74" s="72"/>
      <c r="J74" s="96"/>
      <c r="K74" s="71" t="s">
        <v>11427</v>
      </c>
      <c r="L74" s="97"/>
      <c r="M74" s="76"/>
      <c r="N74" s="76"/>
      <c r="O74" s="77"/>
      <c r="P74" s="78"/>
      <c r="Q74" s="78"/>
      <c r="R74" s="92"/>
      <c r="S74" s="92"/>
      <c r="T74" s="92"/>
      <c r="U74" s="92"/>
      <c r="V74" s="52"/>
      <c r="W74" s="52"/>
      <c r="X74" s="52"/>
      <c r="Y74" s="52"/>
      <c r="Z74" s="51"/>
      <c r="AA74" s="73"/>
      <c r="AB74" s="73"/>
      <c r="AC74" s="74"/>
      <c r="AD74" s="81" t="s">
        <v>8060</v>
      </c>
      <c r="AE74" s="86" t="s">
        <v>9132</v>
      </c>
      <c r="AF74" s="81">
        <v>1074</v>
      </c>
      <c r="AG74" s="81">
        <v>1477</v>
      </c>
      <c r="AH74" s="81">
        <v>7383</v>
      </c>
      <c r="AI74" s="81">
        <v>40117</v>
      </c>
      <c r="AJ74" s="81"/>
      <c r="AK74" s="81" t="s">
        <v>10087</v>
      </c>
      <c r="AL74" s="81"/>
      <c r="AM74" s="84" t="str">
        <f>HYPERLINK("https://t.co/zND4xeHBJb")</f>
        <v>https://t.co/zND4xeHBJb</v>
      </c>
      <c r="AN74" s="81"/>
      <c r="AO74" s="83">
        <v>43412.569837962961</v>
      </c>
      <c r="AP74" s="84" t="str">
        <f>HYPERLINK("https://pbs.twimg.com/profile_banners/1060527500588130306/1541684820")</f>
        <v>https://pbs.twimg.com/profile_banners/1060527500588130306/1541684820</v>
      </c>
      <c r="AQ74" s="81" t="b">
        <v>0</v>
      </c>
      <c r="AR74" s="81" t="b">
        <v>0</v>
      </c>
      <c r="AS74" s="81" t="b">
        <v>1</v>
      </c>
      <c r="AT74" s="81"/>
      <c r="AU74" s="81">
        <v>10</v>
      </c>
      <c r="AV74" s="84" t="str">
        <f>HYPERLINK("https://abs.twimg.com/images/themes/theme1/bg.png")</f>
        <v>https://abs.twimg.com/images/themes/theme1/bg.png</v>
      </c>
      <c r="AW74" s="81" t="b">
        <v>0</v>
      </c>
      <c r="AX74" s="81" t="s">
        <v>3728</v>
      </c>
      <c r="AY74" s="84" t="str">
        <f>HYPERLINK("https://twitter.com/amandaevelynl")</f>
        <v>https://twitter.com/amandaevelynl</v>
      </c>
      <c r="AZ74" s="81" t="s">
        <v>66</v>
      </c>
      <c r="BA74" s="2"/>
      <c r="BB74" s="3"/>
      <c r="BC74" s="3"/>
      <c r="BD74" s="3"/>
      <c r="BE74" s="3"/>
    </row>
    <row r="75" spans="1:57" x14ac:dyDescent="0.35">
      <c r="A75" s="66" t="s">
        <v>4191</v>
      </c>
      <c r="B75" s="67"/>
      <c r="C75" s="67"/>
      <c r="D75" s="68"/>
      <c r="E75" s="94"/>
      <c r="F75" s="93" t="str">
        <f>HYPERLINK("https://pbs.twimg.com/profile_images/1345449294900424704/hh94qtVK_normal.jpg")</f>
        <v>https://pbs.twimg.com/profile_images/1345449294900424704/hh94qtVK_normal.jpg</v>
      </c>
      <c r="G75" s="95"/>
      <c r="H75" s="71"/>
      <c r="I75" s="72"/>
      <c r="J75" s="96"/>
      <c r="K75" s="71" t="s">
        <v>11428</v>
      </c>
      <c r="L75" s="97"/>
      <c r="M75" s="76"/>
      <c r="N75" s="76"/>
      <c r="O75" s="77"/>
      <c r="P75" s="78"/>
      <c r="Q75" s="78"/>
      <c r="R75" s="92"/>
      <c r="S75" s="92"/>
      <c r="T75" s="92"/>
      <c r="U75" s="92"/>
      <c r="V75" s="52"/>
      <c r="W75" s="52"/>
      <c r="X75" s="52"/>
      <c r="Y75" s="52"/>
      <c r="Z75" s="51"/>
      <c r="AA75" s="73"/>
      <c r="AB75" s="73"/>
      <c r="AC75" s="74"/>
      <c r="AD75" s="81" t="s">
        <v>8061</v>
      </c>
      <c r="AE75" s="86" t="s">
        <v>9133</v>
      </c>
      <c r="AF75" s="81">
        <v>1181</v>
      </c>
      <c r="AG75" s="81">
        <v>3124</v>
      </c>
      <c r="AH75" s="81">
        <v>121967</v>
      </c>
      <c r="AI75" s="81">
        <v>299264</v>
      </c>
      <c r="AJ75" s="81"/>
      <c r="AK75" s="81" t="s">
        <v>10088</v>
      </c>
      <c r="AL75" s="81" t="s">
        <v>11005</v>
      </c>
      <c r="AM75" s="81"/>
      <c r="AN75" s="81"/>
      <c r="AO75" s="83">
        <v>42175.576701388891</v>
      </c>
      <c r="AP75" s="84" t="str">
        <f>HYPERLINK("https://pbs.twimg.com/profile_banners/3336972946/1611450459")</f>
        <v>https://pbs.twimg.com/profile_banners/3336972946/1611450459</v>
      </c>
      <c r="AQ75" s="81" t="b">
        <v>0</v>
      </c>
      <c r="AR75" s="81" t="b">
        <v>0</v>
      </c>
      <c r="AS75" s="81" t="b">
        <v>1</v>
      </c>
      <c r="AT75" s="81"/>
      <c r="AU75" s="81">
        <v>4</v>
      </c>
      <c r="AV75" s="84" t="str">
        <f>HYPERLINK("https://abs.twimg.com/images/themes/theme1/bg.png")</f>
        <v>https://abs.twimg.com/images/themes/theme1/bg.png</v>
      </c>
      <c r="AW75" s="81" t="b">
        <v>0</v>
      </c>
      <c r="AX75" s="81" t="s">
        <v>3728</v>
      </c>
      <c r="AY75" s="84" t="str">
        <f>HYPERLINK("https://twitter.com/gerhardtbeatriz")</f>
        <v>https://twitter.com/gerhardtbeatriz</v>
      </c>
      <c r="AZ75" s="81" t="s">
        <v>66</v>
      </c>
      <c r="BA75" s="2"/>
      <c r="BB75" s="3"/>
      <c r="BC75" s="3"/>
      <c r="BD75" s="3"/>
      <c r="BE75" s="3"/>
    </row>
    <row r="76" spans="1:57" x14ac:dyDescent="0.35">
      <c r="A76" s="66" t="s">
        <v>4192</v>
      </c>
      <c r="B76" s="67"/>
      <c r="C76" s="67"/>
      <c r="D76" s="68"/>
      <c r="E76" s="94"/>
      <c r="F76" s="93" t="str">
        <f>HYPERLINK("https://pbs.twimg.com/profile_images/1267184380155478017/8ketDfjc_normal.jpg")</f>
        <v>https://pbs.twimg.com/profile_images/1267184380155478017/8ketDfjc_normal.jpg</v>
      </c>
      <c r="G76" s="95"/>
      <c r="H76" s="71"/>
      <c r="I76" s="72"/>
      <c r="J76" s="96"/>
      <c r="K76" s="71" t="s">
        <v>11429</v>
      </c>
      <c r="L76" s="97"/>
      <c r="M76" s="76"/>
      <c r="N76" s="76"/>
      <c r="O76" s="77"/>
      <c r="P76" s="78"/>
      <c r="Q76" s="78"/>
      <c r="R76" s="92"/>
      <c r="S76" s="92"/>
      <c r="T76" s="92"/>
      <c r="U76" s="92"/>
      <c r="V76" s="52"/>
      <c r="W76" s="52"/>
      <c r="X76" s="52"/>
      <c r="Y76" s="52"/>
      <c r="Z76" s="51"/>
      <c r="AA76" s="73"/>
      <c r="AB76" s="73"/>
      <c r="AC76" s="74"/>
      <c r="AD76" s="81" t="s">
        <v>8062</v>
      </c>
      <c r="AE76" s="86" t="s">
        <v>9134</v>
      </c>
      <c r="AF76" s="81">
        <v>482</v>
      </c>
      <c r="AG76" s="81">
        <v>652</v>
      </c>
      <c r="AH76" s="81">
        <v>25037</v>
      </c>
      <c r="AI76" s="81">
        <v>12848</v>
      </c>
      <c r="AJ76" s="81"/>
      <c r="AK76" s="81" t="s">
        <v>10089</v>
      </c>
      <c r="AL76" s="81" t="s">
        <v>11006</v>
      </c>
      <c r="AM76" s="84" t="str">
        <f>HYPERLINK("https://t.co/2ASzLbJoMd")</f>
        <v>https://t.co/2ASzLbJoMd</v>
      </c>
      <c r="AN76" s="81"/>
      <c r="AO76" s="83">
        <v>40151.515069444446</v>
      </c>
      <c r="AP76" s="84" t="str">
        <f>HYPERLINK("https://pbs.twimg.com/profile_banners/94547604/1352499983")</f>
        <v>https://pbs.twimg.com/profile_banners/94547604/1352499983</v>
      </c>
      <c r="AQ76" s="81" t="b">
        <v>0</v>
      </c>
      <c r="AR76" s="81" t="b">
        <v>0</v>
      </c>
      <c r="AS76" s="81" t="b">
        <v>0</v>
      </c>
      <c r="AT76" s="81"/>
      <c r="AU76" s="81">
        <v>6</v>
      </c>
      <c r="AV76" s="84" t="str">
        <f>HYPERLINK("https://abs.twimg.com/images/themes/theme10/bg.gif")</f>
        <v>https://abs.twimg.com/images/themes/theme10/bg.gif</v>
      </c>
      <c r="AW76" s="81" t="b">
        <v>0</v>
      </c>
      <c r="AX76" s="81" t="s">
        <v>3728</v>
      </c>
      <c r="AY76" s="84" t="str">
        <f>HYPERLINK("https://twitter.com/nelisteixeira")</f>
        <v>https://twitter.com/nelisteixeira</v>
      </c>
      <c r="AZ76" s="81" t="s">
        <v>66</v>
      </c>
      <c r="BA76" s="2"/>
      <c r="BB76" s="3"/>
      <c r="BC76" s="3"/>
      <c r="BD76" s="3"/>
      <c r="BE76" s="3"/>
    </row>
    <row r="77" spans="1:57" x14ac:dyDescent="0.35">
      <c r="A77" s="66" t="s">
        <v>4986</v>
      </c>
      <c r="B77" s="67"/>
      <c r="C77" s="67"/>
      <c r="D77" s="68"/>
      <c r="E77" s="94"/>
      <c r="F77" s="93" t="str">
        <f>HYPERLINK("https://pbs.twimg.com/profile_images/1342619062036279302/vmH8GR5r_normal.jpg")</f>
        <v>https://pbs.twimg.com/profile_images/1342619062036279302/vmH8GR5r_normal.jpg</v>
      </c>
      <c r="G77" s="95"/>
      <c r="H77" s="71"/>
      <c r="I77" s="72"/>
      <c r="J77" s="96"/>
      <c r="K77" s="71" t="s">
        <v>11430</v>
      </c>
      <c r="L77" s="97"/>
      <c r="M77" s="76"/>
      <c r="N77" s="76"/>
      <c r="O77" s="77"/>
      <c r="P77" s="78"/>
      <c r="Q77" s="78"/>
      <c r="R77" s="92"/>
      <c r="S77" s="92"/>
      <c r="T77" s="92"/>
      <c r="U77" s="92"/>
      <c r="V77" s="52"/>
      <c r="W77" s="52"/>
      <c r="X77" s="52"/>
      <c r="Y77" s="52"/>
      <c r="Z77" s="51"/>
      <c r="AA77" s="73"/>
      <c r="AB77" s="73"/>
      <c r="AC77" s="74"/>
      <c r="AD77" s="81" t="s">
        <v>8063</v>
      </c>
      <c r="AE77" s="86" t="s">
        <v>7798</v>
      </c>
      <c r="AF77" s="81">
        <v>1269</v>
      </c>
      <c r="AG77" s="81">
        <v>896</v>
      </c>
      <c r="AH77" s="81">
        <v>18833</v>
      </c>
      <c r="AI77" s="81">
        <v>64421</v>
      </c>
      <c r="AJ77" s="81"/>
      <c r="AK77" s="81" t="s">
        <v>10090</v>
      </c>
      <c r="AL77" s="81"/>
      <c r="AM77" s="81"/>
      <c r="AN77" s="81"/>
      <c r="AO77" s="83">
        <v>40003.033472222225</v>
      </c>
      <c r="AP77" s="84" t="str">
        <f>HYPERLINK("https://pbs.twimg.com/profile_banners/55087834/1610464387")</f>
        <v>https://pbs.twimg.com/profile_banners/55087834/1610464387</v>
      </c>
      <c r="AQ77" s="81" t="b">
        <v>0</v>
      </c>
      <c r="AR77" s="81" t="b">
        <v>0</v>
      </c>
      <c r="AS77" s="81" t="b">
        <v>0</v>
      </c>
      <c r="AT77" s="81"/>
      <c r="AU77" s="81">
        <v>5</v>
      </c>
      <c r="AV77" s="84" t="str">
        <f>HYPERLINK("https://abs.twimg.com/images/themes/theme9/bg.gif")</f>
        <v>https://abs.twimg.com/images/themes/theme9/bg.gif</v>
      </c>
      <c r="AW77" s="81" t="b">
        <v>0</v>
      </c>
      <c r="AX77" s="81" t="s">
        <v>3728</v>
      </c>
      <c r="AY77" s="84" t="str">
        <f>HYPERLINK("https://twitter.com/viniciusgrg")</f>
        <v>https://twitter.com/viniciusgrg</v>
      </c>
      <c r="AZ77" s="81" t="s">
        <v>65</v>
      </c>
      <c r="BA77" s="2"/>
      <c r="BB77" s="3"/>
      <c r="BC77" s="3"/>
      <c r="BD77" s="3"/>
      <c r="BE77" s="3"/>
    </row>
    <row r="78" spans="1:57" x14ac:dyDescent="0.35">
      <c r="A78" s="66" t="s">
        <v>4987</v>
      </c>
      <c r="B78" s="67"/>
      <c r="C78" s="67"/>
      <c r="D78" s="68"/>
      <c r="E78" s="94"/>
      <c r="F78" s="93" t="str">
        <f>HYPERLINK("https://pbs.twimg.com/profile_images/1410744596326490112/51SvejYC_normal.jpg")</f>
        <v>https://pbs.twimg.com/profile_images/1410744596326490112/51SvejYC_normal.jpg</v>
      </c>
      <c r="G78" s="95"/>
      <c r="H78" s="71"/>
      <c r="I78" s="72"/>
      <c r="J78" s="96"/>
      <c r="K78" s="71" t="s">
        <v>11431</v>
      </c>
      <c r="L78" s="97"/>
      <c r="M78" s="76"/>
      <c r="N78" s="76"/>
      <c r="O78" s="77"/>
      <c r="P78" s="78"/>
      <c r="Q78" s="78"/>
      <c r="R78" s="92"/>
      <c r="S78" s="92"/>
      <c r="T78" s="92"/>
      <c r="U78" s="92"/>
      <c r="V78" s="52"/>
      <c r="W78" s="52"/>
      <c r="X78" s="52"/>
      <c r="Y78" s="52"/>
      <c r="Z78" s="51"/>
      <c r="AA78" s="73"/>
      <c r="AB78" s="73"/>
      <c r="AC78" s="74"/>
      <c r="AD78" s="81" t="s">
        <v>8064</v>
      </c>
      <c r="AE78" s="86" t="s">
        <v>7956</v>
      </c>
      <c r="AF78" s="81">
        <v>7561</v>
      </c>
      <c r="AG78" s="81">
        <v>6802908</v>
      </c>
      <c r="AH78" s="81">
        <v>425233</v>
      </c>
      <c r="AI78" s="81">
        <v>121</v>
      </c>
      <c r="AJ78" s="81"/>
      <c r="AK78" s="81" t="s">
        <v>10091</v>
      </c>
      <c r="AL78" s="81"/>
      <c r="AM78" s="84" t="str">
        <f>HYPERLINK("https://t.co/0M6BkoeCRz")</f>
        <v>https://t.co/0M6BkoeCRz</v>
      </c>
      <c r="AN78" s="81"/>
      <c r="AO78" s="83">
        <v>40000.900613425925</v>
      </c>
      <c r="AP78" s="84" t="str">
        <f>HYPERLINK("https://pbs.twimg.com/profile_banners/54341363/1549713482")</f>
        <v>https://pbs.twimg.com/profile_banners/54341363/1549713482</v>
      </c>
      <c r="AQ78" s="81" t="b">
        <v>0</v>
      </c>
      <c r="AR78" s="81" t="b">
        <v>0</v>
      </c>
      <c r="AS78" s="81" t="b">
        <v>1</v>
      </c>
      <c r="AT78" s="81"/>
      <c r="AU78" s="81">
        <v>12637</v>
      </c>
      <c r="AV78" s="84" t="str">
        <f>HYPERLINK("https://abs.twimg.com/images/themes/theme1/bg.png")</f>
        <v>https://abs.twimg.com/images/themes/theme1/bg.png</v>
      </c>
      <c r="AW78" s="81" t="b">
        <v>1</v>
      </c>
      <c r="AX78" s="81" t="s">
        <v>3728</v>
      </c>
      <c r="AY78" s="84" t="str">
        <f>HYPERLINK("https://twitter.com/jornaloglobo")</f>
        <v>https://twitter.com/jornaloglobo</v>
      </c>
      <c r="AZ78" s="81" t="s">
        <v>65</v>
      </c>
      <c r="BA78" s="2"/>
      <c r="BB78" s="3"/>
      <c r="BC78" s="3"/>
      <c r="BD78" s="3"/>
      <c r="BE78" s="3"/>
    </row>
    <row r="79" spans="1:57" x14ac:dyDescent="0.35">
      <c r="A79" s="66" t="s">
        <v>4194</v>
      </c>
      <c r="B79" s="67"/>
      <c r="C79" s="67"/>
      <c r="D79" s="68"/>
      <c r="E79" s="94"/>
      <c r="F79" s="93" t="str">
        <f>HYPERLINK("https://pbs.twimg.com/profile_images/974368074752290818/3YH4sEpl_normal.jpg")</f>
        <v>https://pbs.twimg.com/profile_images/974368074752290818/3YH4sEpl_normal.jpg</v>
      </c>
      <c r="G79" s="95"/>
      <c r="H79" s="71"/>
      <c r="I79" s="72"/>
      <c r="J79" s="96"/>
      <c r="K79" s="71" t="s">
        <v>11432</v>
      </c>
      <c r="L79" s="97"/>
      <c r="M79" s="76"/>
      <c r="N79" s="76"/>
      <c r="O79" s="77"/>
      <c r="P79" s="78"/>
      <c r="Q79" s="78"/>
      <c r="R79" s="92"/>
      <c r="S79" s="92"/>
      <c r="T79" s="92"/>
      <c r="U79" s="92"/>
      <c r="V79" s="52"/>
      <c r="W79" s="52"/>
      <c r="X79" s="52"/>
      <c r="Y79" s="52"/>
      <c r="Z79" s="51"/>
      <c r="AA79" s="73"/>
      <c r="AB79" s="73"/>
      <c r="AC79" s="74"/>
      <c r="AD79" s="81" t="s">
        <v>8065</v>
      </c>
      <c r="AE79" s="86" t="s">
        <v>9135</v>
      </c>
      <c r="AF79" s="81">
        <v>373</v>
      </c>
      <c r="AG79" s="81">
        <v>863</v>
      </c>
      <c r="AH79" s="81">
        <v>3517</v>
      </c>
      <c r="AI79" s="81">
        <v>552</v>
      </c>
      <c r="AJ79" s="81"/>
      <c r="AK79" s="81" t="s">
        <v>10092</v>
      </c>
      <c r="AL79" s="81" t="s">
        <v>10969</v>
      </c>
      <c r="AM79" s="84" t="str">
        <f>HYPERLINK("https://t.co/Vf8yUmwWOJ")</f>
        <v>https://t.co/Vf8yUmwWOJ</v>
      </c>
      <c r="AN79" s="81"/>
      <c r="AO79" s="83">
        <v>43174.80636574074</v>
      </c>
      <c r="AP79" s="81"/>
      <c r="AQ79" s="81" t="b">
        <v>0</v>
      </c>
      <c r="AR79" s="81" t="b">
        <v>0</v>
      </c>
      <c r="AS79" s="81" t="b">
        <v>1</v>
      </c>
      <c r="AT79" s="81"/>
      <c r="AU79" s="81">
        <v>1</v>
      </c>
      <c r="AV79" s="84" t="str">
        <f>HYPERLINK("https://abs.twimg.com/images/themes/theme1/bg.png")</f>
        <v>https://abs.twimg.com/images/themes/theme1/bg.png</v>
      </c>
      <c r="AW79" s="81" t="b">
        <v>0</v>
      </c>
      <c r="AX79" s="81" t="s">
        <v>3728</v>
      </c>
      <c r="AY79" s="84" t="str">
        <f>HYPERLINK("https://twitter.com/comunicacaoifch")</f>
        <v>https://twitter.com/comunicacaoifch</v>
      </c>
      <c r="AZ79" s="81" t="s">
        <v>66</v>
      </c>
      <c r="BA79" s="2"/>
      <c r="BB79" s="3"/>
      <c r="BC79" s="3"/>
      <c r="BD79" s="3"/>
      <c r="BE79" s="3"/>
    </row>
    <row r="80" spans="1:57" x14ac:dyDescent="0.35">
      <c r="A80" s="66" t="s">
        <v>4195</v>
      </c>
      <c r="B80" s="67"/>
      <c r="C80" s="67"/>
      <c r="D80" s="68"/>
      <c r="E80" s="94"/>
      <c r="F80" s="93" t="str">
        <f>HYPERLINK("https://pbs.twimg.com/profile_images/781912748049522688/3D0weOme_normal.jpg")</f>
        <v>https://pbs.twimg.com/profile_images/781912748049522688/3D0weOme_normal.jpg</v>
      </c>
      <c r="G80" s="95"/>
      <c r="H80" s="71"/>
      <c r="I80" s="72"/>
      <c r="J80" s="96"/>
      <c r="K80" s="71" t="s">
        <v>11433</v>
      </c>
      <c r="L80" s="97"/>
      <c r="M80" s="76"/>
      <c r="N80" s="76"/>
      <c r="O80" s="77"/>
      <c r="P80" s="78"/>
      <c r="Q80" s="78"/>
      <c r="R80" s="92"/>
      <c r="S80" s="92"/>
      <c r="T80" s="92"/>
      <c r="U80" s="92"/>
      <c r="V80" s="52"/>
      <c r="W80" s="52"/>
      <c r="X80" s="52"/>
      <c r="Y80" s="52"/>
      <c r="Z80" s="51"/>
      <c r="AA80" s="73"/>
      <c r="AB80" s="73"/>
      <c r="AC80" s="74"/>
      <c r="AD80" s="81" t="s">
        <v>8066</v>
      </c>
      <c r="AE80" s="86" t="s">
        <v>9136</v>
      </c>
      <c r="AF80" s="81">
        <v>377</v>
      </c>
      <c r="AG80" s="81">
        <v>103</v>
      </c>
      <c r="AH80" s="81">
        <v>46731</v>
      </c>
      <c r="AI80" s="81">
        <v>37026</v>
      </c>
      <c r="AJ80" s="81"/>
      <c r="AK80" s="81"/>
      <c r="AL80" s="81" t="s">
        <v>11007</v>
      </c>
      <c r="AM80" s="81"/>
      <c r="AN80" s="81"/>
      <c r="AO80" s="83">
        <v>40196.480497685188</v>
      </c>
      <c r="AP80" s="84" t="str">
        <f>HYPERLINK("https://pbs.twimg.com/profile_banners/106065260/1438277550")</f>
        <v>https://pbs.twimg.com/profile_banners/106065260/1438277550</v>
      </c>
      <c r="AQ80" s="81" t="b">
        <v>1</v>
      </c>
      <c r="AR80" s="81" t="b">
        <v>0</v>
      </c>
      <c r="AS80" s="81" t="b">
        <v>0</v>
      </c>
      <c r="AT80" s="81"/>
      <c r="AU80" s="81">
        <v>0</v>
      </c>
      <c r="AV80" s="84" t="str">
        <f>HYPERLINK("https://abs.twimg.com/images/themes/theme1/bg.png")</f>
        <v>https://abs.twimg.com/images/themes/theme1/bg.png</v>
      </c>
      <c r="AW80" s="81" t="b">
        <v>0</v>
      </c>
      <c r="AX80" s="81" t="s">
        <v>3728</v>
      </c>
      <c r="AY80" s="84" t="str">
        <f>HYPERLINK("https://twitter.com/mirsantos")</f>
        <v>https://twitter.com/mirsantos</v>
      </c>
      <c r="AZ80" s="81" t="s">
        <v>66</v>
      </c>
      <c r="BA80" s="2"/>
      <c r="BB80" s="3"/>
      <c r="BC80" s="3"/>
      <c r="BD80" s="3"/>
      <c r="BE80" s="3"/>
    </row>
    <row r="81" spans="1:57" x14ac:dyDescent="0.35">
      <c r="A81" s="66" t="s">
        <v>4196</v>
      </c>
      <c r="B81" s="67"/>
      <c r="C81" s="67"/>
      <c r="D81" s="68"/>
      <c r="E81" s="94"/>
      <c r="F81" s="93" t="str">
        <f>HYPERLINK("https://pbs.twimg.com/profile_images/1271168714705076224/bPmxCyVB_normal.jpg")</f>
        <v>https://pbs.twimg.com/profile_images/1271168714705076224/bPmxCyVB_normal.jpg</v>
      </c>
      <c r="G81" s="95"/>
      <c r="H81" s="71"/>
      <c r="I81" s="72"/>
      <c r="J81" s="96"/>
      <c r="K81" s="71" t="s">
        <v>11434</v>
      </c>
      <c r="L81" s="97"/>
      <c r="M81" s="76"/>
      <c r="N81" s="76"/>
      <c r="O81" s="77"/>
      <c r="P81" s="78"/>
      <c r="Q81" s="78"/>
      <c r="R81" s="92"/>
      <c r="S81" s="92"/>
      <c r="T81" s="92"/>
      <c r="U81" s="92"/>
      <c r="V81" s="52"/>
      <c r="W81" s="52"/>
      <c r="X81" s="52"/>
      <c r="Y81" s="52"/>
      <c r="Z81" s="51"/>
      <c r="AA81" s="73"/>
      <c r="AB81" s="73"/>
      <c r="AC81" s="74"/>
      <c r="AD81" s="81" t="s">
        <v>8067</v>
      </c>
      <c r="AE81" s="86" t="s">
        <v>9137</v>
      </c>
      <c r="AF81" s="81">
        <v>72</v>
      </c>
      <c r="AG81" s="81">
        <v>5</v>
      </c>
      <c r="AH81" s="81">
        <v>37</v>
      </c>
      <c r="AI81" s="81">
        <v>52</v>
      </c>
      <c r="AJ81" s="81"/>
      <c r="AK81" s="81" t="s">
        <v>10093</v>
      </c>
      <c r="AL81" s="81"/>
      <c r="AM81" s="81"/>
      <c r="AN81" s="81"/>
      <c r="AO81" s="83">
        <v>43980.924386574072</v>
      </c>
      <c r="AP81" s="81"/>
      <c r="AQ81" s="81" t="b">
        <v>1</v>
      </c>
      <c r="AR81" s="81" t="b">
        <v>0</v>
      </c>
      <c r="AS81" s="81" t="b">
        <v>0</v>
      </c>
      <c r="AT81" s="81"/>
      <c r="AU81" s="81">
        <v>0</v>
      </c>
      <c r="AV81" s="81"/>
      <c r="AW81" s="81" t="b">
        <v>0</v>
      </c>
      <c r="AX81" s="81" t="s">
        <v>3728</v>
      </c>
      <c r="AY81" s="84" t="str">
        <f>HYPERLINK("https://twitter.com/carlosgolle")</f>
        <v>https://twitter.com/carlosgolle</v>
      </c>
      <c r="AZ81" s="81" t="s">
        <v>66</v>
      </c>
      <c r="BA81" s="2"/>
      <c r="BB81" s="3"/>
      <c r="BC81" s="3"/>
      <c r="BD81" s="3"/>
      <c r="BE81" s="3"/>
    </row>
    <row r="82" spans="1:57" x14ac:dyDescent="0.35">
      <c r="A82" s="66" t="s">
        <v>4981</v>
      </c>
      <c r="B82" s="67"/>
      <c r="C82" s="67"/>
      <c r="D82" s="68"/>
      <c r="E82" s="94"/>
      <c r="F82" s="93" t="str">
        <f>HYPERLINK("https://pbs.twimg.com/profile_images/1349792305037930501/5Xl4Bn5m_normal.jpg")</f>
        <v>https://pbs.twimg.com/profile_images/1349792305037930501/5Xl4Bn5m_normal.jpg</v>
      </c>
      <c r="G82" s="95"/>
      <c r="H82" s="71"/>
      <c r="I82" s="72"/>
      <c r="J82" s="96"/>
      <c r="K82" s="71" t="s">
        <v>11397</v>
      </c>
      <c r="L82" s="97"/>
      <c r="M82" s="76"/>
      <c r="N82" s="76"/>
      <c r="O82" s="77"/>
      <c r="P82" s="78"/>
      <c r="Q82" s="78"/>
      <c r="R82" s="92"/>
      <c r="S82" s="92"/>
      <c r="T82" s="92"/>
      <c r="U82" s="92"/>
      <c r="V82" s="52"/>
      <c r="W82" s="52"/>
      <c r="X82" s="52"/>
      <c r="Y82" s="52"/>
      <c r="Z82" s="51"/>
      <c r="AA82" s="73"/>
      <c r="AB82" s="73"/>
      <c r="AC82" s="74"/>
      <c r="AD82" s="81" t="s">
        <v>8031</v>
      </c>
      <c r="AE82" s="86" t="s">
        <v>7799</v>
      </c>
      <c r="AF82" s="81">
        <v>1411</v>
      </c>
      <c r="AG82" s="81">
        <v>494696</v>
      </c>
      <c r="AH82" s="81">
        <v>29009</v>
      </c>
      <c r="AI82" s="81">
        <v>4236</v>
      </c>
      <c r="AJ82" s="81"/>
      <c r="AK82" s="81" t="s">
        <v>10058</v>
      </c>
      <c r="AL82" s="81" t="s">
        <v>10982</v>
      </c>
      <c r="AM82" s="84" t="str">
        <f>HYPERLINK("https://t.co/pi0mXBJndD")</f>
        <v>https://t.co/pi0mXBJndD</v>
      </c>
      <c r="AN82" s="81"/>
      <c r="AO82" s="83">
        <v>40112.603912037041</v>
      </c>
      <c r="AP82" s="84" t="str">
        <f>HYPERLINK("https://pbs.twimg.com/profile_banners/85327394/1631735715")</f>
        <v>https://pbs.twimg.com/profile_banners/85327394/1631735715</v>
      </c>
      <c r="AQ82" s="81" t="b">
        <v>0</v>
      </c>
      <c r="AR82" s="81" t="b">
        <v>0</v>
      </c>
      <c r="AS82" s="81" t="b">
        <v>1</v>
      </c>
      <c r="AT82" s="81"/>
      <c r="AU82" s="81">
        <v>1262</v>
      </c>
      <c r="AV82" s="84" t="str">
        <f>HYPERLINK("https://abs.twimg.com/images/themes/theme1/bg.png")</f>
        <v>https://abs.twimg.com/images/themes/theme1/bg.png</v>
      </c>
      <c r="AW82" s="81" t="b">
        <v>1</v>
      </c>
      <c r="AX82" s="81" t="s">
        <v>3728</v>
      </c>
      <c r="AY82" s="84" t="str">
        <f>HYPERLINK("https://twitter.com/randolfeap")</f>
        <v>https://twitter.com/randolfeap</v>
      </c>
      <c r="AZ82" s="81" t="s">
        <v>65</v>
      </c>
      <c r="BA82" s="2"/>
      <c r="BB82" s="3"/>
      <c r="BC82" s="3"/>
      <c r="BD82" s="3"/>
      <c r="BE82" s="3"/>
    </row>
    <row r="83" spans="1:57" x14ac:dyDescent="0.35">
      <c r="A83" s="66" t="s">
        <v>541</v>
      </c>
      <c r="B83" s="67"/>
      <c r="C83" s="67"/>
      <c r="D83" s="68"/>
      <c r="E83" s="94"/>
      <c r="F83" s="93" t="str">
        <f>HYPERLINK("https://pbs.twimg.com/profile_images/1184408993088724994/MC06j95i_normal.png")</f>
        <v>https://pbs.twimg.com/profile_images/1184408993088724994/MC06j95i_normal.png</v>
      </c>
      <c r="G83" s="95"/>
      <c r="H83" s="71"/>
      <c r="I83" s="72"/>
      <c r="J83" s="96"/>
      <c r="K83" s="71" t="s">
        <v>11435</v>
      </c>
      <c r="L83" s="97"/>
      <c r="M83" s="76"/>
      <c r="N83" s="76"/>
      <c r="O83" s="77"/>
      <c r="P83" s="78"/>
      <c r="Q83" s="78"/>
      <c r="R83" s="92"/>
      <c r="S83" s="92"/>
      <c r="T83" s="92"/>
      <c r="U83" s="92"/>
      <c r="V83" s="52"/>
      <c r="W83" s="52"/>
      <c r="X83" s="52"/>
      <c r="Y83" s="52"/>
      <c r="Z83" s="51"/>
      <c r="AA83" s="73"/>
      <c r="AB83" s="73"/>
      <c r="AC83" s="74"/>
      <c r="AD83" s="81" t="s">
        <v>2288</v>
      </c>
      <c r="AE83" s="86" t="s">
        <v>2726</v>
      </c>
      <c r="AF83" s="81">
        <v>121</v>
      </c>
      <c r="AG83" s="81">
        <v>141644</v>
      </c>
      <c r="AH83" s="81">
        <v>31661</v>
      </c>
      <c r="AI83" s="81">
        <v>343</v>
      </c>
      <c r="AJ83" s="81"/>
      <c r="AK83" s="81" t="s">
        <v>3124</v>
      </c>
      <c r="AL83" s="81" t="s">
        <v>2202</v>
      </c>
      <c r="AM83" s="84" t="str">
        <f>HYPERLINK("https://t.co/D2HEi6nsqo")</f>
        <v>https://t.co/D2HEi6nsqo</v>
      </c>
      <c r="AN83" s="81"/>
      <c r="AO83" s="83">
        <v>40092.146203703705</v>
      </c>
      <c r="AP83" s="84" t="str">
        <f>HYPERLINK("https://pbs.twimg.com/profile_banners/80204488/1625522690")</f>
        <v>https://pbs.twimg.com/profile_banners/80204488/1625522690</v>
      </c>
      <c r="AQ83" s="81" t="b">
        <v>0</v>
      </c>
      <c r="AR83" s="81" t="b">
        <v>0</v>
      </c>
      <c r="AS83" s="81" t="b">
        <v>1</v>
      </c>
      <c r="AT83" s="81"/>
      <c r="AU83" s="81">
        <v>307</v>
      </c>
      <c r="AV83" s="84" t="str">
        <f>HYPERLINK("https://abs.twimg.com/images/themes/theme16/bg.gif")</f>
        <v>https://abs.twimg.com/images/themes/theme16/bg.gif</v>
      </c>
      <c r="AW83" s="81" t="b">
        <v>1</v>
      </c>
      <c r="AX83" s="81" t="s">
        <v>3728</v>
      </c>
      <c r="AY83" s="84" t="str">
        <f>HYPERLINK("https://twitter.com/telkomindonesia")</f>
        <v>https://twitter.com/telkomindonesia</v>
      </c>
      <c r="AZ83" s="81" t="s">
        <v>66</v>
      </c>
      <c r="BA83" s="2"/>
      <c r="BB83" s="3"/>
      <c r="BC83" s="3"/>
      <c r="BD83" s="3"/>
      <c r="BE83" s="3"/>
    </row>
    <row r="84" spans="1:57" x14ac:dyDescent="0.35">
      <c r="A84" s="66" t="s">
        <v>612</v>
      </c>
      <c r="B84" s="67"/>
      <c r="C84" s="67"/>
      <c r="D84" s="68"/>
      <c r="E84" s="94"/>
      <c r="F84" s="93" t="str">
        <f>HYPERLINK("https://pbs.twimg.com/profile_images/1143468616160956416/LphbuXZ-_normal.jpg")</f>
        <v>https://pbs.twimg.com/profile_images/1143468616160956416/LphbuXZ-_normal.jpg</v>
      </c>
      <c r="G84" s="95"/>
      <c r="H84" s="71"/>
      <c r="I84" s="72"/>
      <c r="J84" s="96"/>
      <c r="K84" s="71" t="s">
        <v>3777</v>
      </c>
      <c r="L84" s="97"/>
      <c r="M84" s="76"/>
      <c r="N84" s="76"/>
      <c r="O84" s="77"/>
      <c r="P84" s="78"/>
      <c r="Q84" s="78"/>
      <c r="R84" s="92"/>
      <c r="S84" s="92"/>
      <c r="T84" s="92"/>
      <c r="U84" s="92"/>
      <c r="V84" s="52"/>
      <c r="W84" s="52"/>
      <c r="X84" s="52"/>
      <c r="Y84" s="52"/>
      <c r="Z84" s="51"/>
      <c r="AA84" s="73"/>
      <c r="AB84" s="73"/>
      <c r="AC84" s="74"/>
      <c r="AD84" s="81" t="s">
        <v>2287</v>
      </c>
      <c r="AE84" s="86" t="s">
        <v>2725</v>
      </c>
      <c r="AF84" s="81">
        <v>109</v>
      </c>
      <c r="AG84" s="81">
        <v>80307</v>
      </c>
      <c r="AH84" s="81">
        <v>165264</v>
      </c>
      <c r="AI84" s="81">
        <v>6933</v>
      </c>
      <c r="AJ84" s="81"/>
      <c r="AK84" s="81" t="s">
        <v>3123</v>
      </c>
      <c r="AL84" s="81" t="s">
        <v>2202</v>
      </c>
      <c r="AM84" s="84" t="str">
        <f>HYPERLINK("https://t.co/FNaFPjBIMd")</f>
        <v>https://t.co/FNaFPjBIMd</v>
      </c>
      <c r="AN84" s="81"/>
      <c r="AO84" s="83">
        <v>40321.380486111113</v>
      </c>
      <c r="AP84" s="84" t="str">
        <f>HYPERLINK("https://pbs.twimg.com/profile_banners/147137991/1618225892")</f>
        <v>https://pbs.twimg.com/profile_banners/147137991/1618225892</v>
      </c>
      <c r="AQ84" s="81" t="b">
        <v>0</v>
      </c>
      <c r="AR84" s="81" t="b">
        <v>0</v>
      </c>
      <c r="AS84" s="81" t="b">
        <v>1</v>
      </c>
      <c r="AT84" s="81"/>
      <c r="AU84" s="81">
        <v>164</v>
      </c>
      <c r="AV84" s="84" t="str">
        <f>HYPERLINK("https://abs.twimg.com/images/themes/theme1/bg.png")</f>
        <v>https://abs.twimg.com/images/themes/theme1/bg.png</v>
      </c>
      <c r="AW84" s="81" t="b">
        <v>0</v>
      </c>
      <c r="AX84" s="81" t="s">
        <v>3728</v>
      </c>
      <c r="AY84" s="84" t="str">
        <f>HYPERLINK("https://twitter.com/posindonesia")</f>
        <v>https://twitter.com/posindonesia</v>
      </c>
      <c r="AZ84" s="81" t="s">
        <v>65</v>
      </c>
      <c r="BA84" s="2"/>
      <c r="BB84" s="3"/>
      <c r="BC84" s="3"/>
      <c r="BD84" s="3"/>
      <c r="BE84" s="3"/>
    </row>
    <row r="85" spans="1:57" x14ac:dyDescent="0.35">
      <c r="A85" s="66" t="s">
        <v>251</v>
      </c>
      <c r="B85" s="67"/>
      <c r="C85" s="67"/>
      <c r="D85" s="68"/>
      <c r="E85" s="94"/>
      <c r="F85" s="93" t="str">
        <f>HYPERLINK("https://pbs.twimg.com/profile_images/1440028716155895809/itw3Ntw__normal.jpg")</f>
        <v>https://pbs.twimg.com/profile_images/1440028716155895809/itw3Ntw__normal.jpg</v>
      </c>
      <c r="G85" s="95"/>
      <c r="H85" s="71"/>
      <c r="I85" s="72"/>
      <c r="J85" s="96"/>
      <c r="K85" s="71" t="s">
        <v>3776</v>
      </c>
      <c r="L85" s="97"/>
      <c r="M85" s="76"/>
      <c r="N85" s="76"/>
      <c r="O85" s="77"/>
      <c r="P85" s="78"/>
      <c r="Q85" s="78"/>
      <c r="R85" s="92"/>
      <c r="S85" s="92"/>
      <c r="T85" s="92"/>
      <c r="U85" s="92"/>
      <c r="V85" s="52"/>
      <c r="W85" s="52"/>
      <c r="X85" s="52"/>
      <c r="Y85" s="52"/>
      <c r="Z85" s="51"/>
      <c r="AA85" s="73"/>
      <c r="AB85" s="73"/>
      <c r="AC85" s="74"/>
      <c r="AD85" s="81" t="s">
        <v>2286</v>
      </c>
      <c r="AE85" s="86" t="s">
        <v>2724</v>
      </c>
      <c r="AF85" s="81">
        <v>116</v>
      </c>
      <c r="AG85" s="81">
        <v>6</v>
      </c>
      <c r="AH85" s="81">
        <v>205</v>
      </c>
      <c r="AI85" s="81">
        <v>186</v>
      </c>
      <c r="AJ85" s="81"/>
      <c r="AK85" s="81" t="s">
        <v>3122</v>
      </c>
      <c r="AL85" s="81"/>
      <c r="AM85" s="81"/>
      <c r="AN85" s="81"/>
      <c r="AO85" s="83">
        <v>44239.194722222222</v>
      </c>
      <c r="AP85" s="84" t="str">
        <f>HYPERLINK("https://pbs.twimg.com/profile_banners/1360085354057932801/1614764594")</f>
        <v>https://pbs.twimg.com/profile_banners/1360085354057932801/1614764594</v>
      </c>
      <c r="AQ85" s="81" t="b">
        <v>1</v>
      </c>
      <c r="AR85" s="81" t="b">
        <v>0</v>
      </c>
      <c r="AS85" s="81" t="b">
        <v>0</v>
      </c>
      <c r="AT85" s="81"/>
      <c r="AU85" s="81">
        <v>0</v>
      </c>
      <c r="AV85" s="81"/>
      <c r="AW85" s="81" t="b">
        <v>0</v>
      </c>
      <c r="AX85" s="81" t="s">
        <v>3728</v>
      </c>
      <c r="AY85" s="84" t="str">
        <f>HYPERLINK("https://twitter.com/yanup77")</f>
        <v>https://twitter.com/yanup77</v>
      </c>
      <c r="AZ85" s="81" t="s">
        <v>66</v>
      </c>
      <c r="BA85" s="2"/>
      <c r="BB85" s="3"/>
      <c r="BC85" s="3"/>
      <c r="BD85" s="3"/>
      <c r="BE85" s="3"/>
    </row>
    <row r="86" spans="1:57" x14ac:dyDescent="0.35">
      <c r="A86" s="66" t="s">
        <v>4197</v>
      </c>
      <c r="B86" s="67"/>
      <c r="C86" s="67"/>
      <c r="D86" s="68"/>
      <c r="E86" s="94"/>
      <c r="F86" s="93" t="str">
        <f>HYPERLINK("https://pbs.twimg.com/profile_images/1443184641054330883/INgVZino_normal.jpg")</f>
        <v>https://pbs.twimg.com/profile_images/1443184641054330883/INgVZino_normal.jpg</v>
      </c>
      <c r="G86" s="95"/>
      <c r="H86" s="71"/>
      <c r="I86" s="72"/>
      <c r="J86" s="96"/>
      <c r="K86" s="71" t="s">
        <v>11436</v>
      </c>
      <c r="L86" s="97"/>
      <c r="M86" s="76"/>
      <c r="N86" s="76"/>
      <c r="O86" s="77"/>
      <c r="P86" s="78"/>
      <c r="Q86" s="78"/>
      <c r="R86" s="92"/>
      <c r="S86" s="92"/>
      <c r="T86" s="92"/>
      <c r="U86" s="92"/>
      <c r="V86" s="52"/>
      <c r="W86" s="52"/>
      <c r="X86" s="52"/>
      <c r="Y86" s="52"/>
      <c r="Z86" s="51"/>
      <c r="AA86" s="73"/>
      <c r="AB86" s="73"/>
      <c r="AC86" s="74"/>
      <c r="AD86" s="81" t="s">
        <v>8068</v>
      </c>
      <c r="AE86" s="86" t="s">
        <v>9138</v>
      </c>
      <c r="AF86" s="81">
        <v>4022</v>
      </c>
      <c r="AG86" s="81">
        <v>2682</v>
      </c>
      <c r="AH86" s="81">
        <v>1524</v>
      </c>
      <c r="AI86" s="81">
        <v>4597</v>
      </c>
      <c r="AJ86" s="81"/>
      <c r="AK86" s="81" t="s">
        <v>10094</v>
      </c>
      <c r="AL86" s="81"/>
      <c r="AM86" s="81"/>
      <c r="AN86" s="81"/>
      <c r="AO86" s="83">
        <v>44434.585219907407</v>
      </c>
      <c r="AP86" s="84" t="str">
        <f>HYPERLINK("https://pbs.twimg.com/profile_banners/1430893385045319685/1632535807")</f>
        <v>https://pbs.twimg.com/profile_banners/1430893385045319685/1632535807</v>
      </c>
      <c r="AQ86" s="81" t="b">
        <v>1</v>
      </c>
      <c r="AR86" s="81" t="b">
        <v>0</v>
      </c>
      <c r="AS86" s="81" t="b">
        <v>0</v>
      </c>
      <c r="AT86" s="81"/>
      <c r="AU86" s="81">
        <v>0</v>
      </c>
      <c r="AV86" s="81"/>
      <c r="AW86" s="81" t="b">
        <v>0</v>
      </c>
      <c r="AX86" s="81" t="s">
        <v>3728</v>
      </c>
      <c r="AY86" s="84" t="str">
        <f>HYPERLINK("https://twitter.com/alexandreplaty2")</f>
        <v>https://twitter.com/alexandreplaty2</v>
      </c>
      <c r="AZ86" s="81" t="s">
        <v>66</v>
      </c>
      <c r="BA86" s="2"/>
      <c r="BB86" s="3"/>
      <c r="BC86" s="3"/>
      <c r="BD86" s="3"/>
      <c r="BE86" s="3"/>
    </row>
    <row r="87" spans="1:57" x14ac:dyDescent="0.35">
      <c r="A87" s="66" t="s">
        <v>4988</v>
      </c>
      <c r="B87" s="67"/>
      <c r="C87" s="67"/>
      <c r="D87" s="68"/>
      <c r="E87" s="94"/>
      <c r="F87" s="93" t="str">
        <f>HYPERLINK("https://pbs.twimg.com/profile_images/1433558886657585155/JFUELSoS_normal.jpg")</f>
        <v>https://pbs.twimg.com/profile_images/1433558886657585155/JFUELSoS_normal.jpg</v>
      </c>
      <c r="G87" s="95"/>
      <c r="H87" s="71"/>
      <c r="I87" s="72"/>
      <c r="J87" s="96"/>
      <c r="K87" s="71" t="s">
        <v>11437</v>
      </c>
      <c r="L87" s="97"/>
      <c r="M87" s="76"/>
      <c r="N87" s="76"/>
      <c r="O87" s="77"/>
      <c r="P87" s="78"/>
      <c r="Q87" s="78"/>
      <c r="R87" s="92"/>
      <c r="S87" s="92"/>
      <c r="T87" s="92"/>
      <c r="U87" s="92"/>
      <c r="V87" s="52"/>
      <c r="W87" s="52"/>
      <c r="X87" s="52"/>
      <c r="Y87" s="52"/>
      <c r="Z87" s="51"/>
      <c r="AA87" s="73"/>
      <c r="AB87" s="73"/>
      <c r="AC87" s="74"/>
      <c r="AD87" s="81" t="s">
        <v>8069</v>
      </c>
      <c r="AE87" s="86" t="s">
        <v>7800</v>
      </c>
      <c r="AF87" s="81">
        <v>13568</v>
      </c>
      <c r="AG87" s="81">
        <v>18629</v>
      </c>
      <c r="AH87" s="81">
        <v>287022</v>
      </c>
      <c r="AI87" s="81">
        <v>156796</v>
      </c>
      <c r="AJ87" s="81"/>
      <c r="AK87" s="81" t="s">
        <v>10095</v>
      </c>
      <c r="AL87" s="81" t="s">
        <v>11008</v>
      </c>
      <c r="AM87" s="81"/>
      <c r="AN87" s="81"/>
      <c r="AO87" s="83">
        <v>43961.094293981485</v>
      </c>
      <c r="AP87" s="84" t="str">
        <f>HYPERLINK("https://pbs.twimg.com/profile_banners/1259305899824484356/1607009127")</f>
        <v>https://pbs.twimg.com/profile_banners/1259305899824484356/1607009127</v>
      </c>
      <c r="AQ87" s="81" t="b">
        <v>1</v>
      </c>
      <c r="AR87" s="81" t="b">
        <v>0</v>
      </c>
      <c r="AS87" s="81" t="b">
        <v>1</v>
      </c>
      <c r="AT87" s="81"/>
      <c r="AU87" s="81">
        <v>11</v>
      </c>
      <c r="AV87" s="81"/>
      <c r="AW87" s="81" t="b">
        <v>0</v>
      </c>
      <c r="AX87" s="81" t="s">
        <v>3728</v>
      </c>
      <c r="AY87" s="84" t="str">
        <f>HYPERLINK("https://twitter.com/bastosjusmari")</f>
        <v>https://twitter.com/bastosjusmari</v>
      </c>
      <c r="AZ87" s="81" t="s">
        <v>65</v>
      </c>
      <c r="BA87" s="2"/>
      <c r="BB87" s="3"/>
      <c r="BC87" s="3"/>
      <c r="BD87" s="3"/>
      <c r="BE87" s="3"/>
    </row>
    <row r="88" spans="1:57" x14ac:dyDescent="0.35">
      <c r="A88" s="66" t="s">
        <v>4198</v>
      </c>
      <c r="B88" s="67"/>
      <c r="C88" s="67"/>
      <c r="D88" s="68"/>
      <c r="E88" s="94"/>
      <c r="F88" s="93" t="str">
        <f>HYPERLINK("https://pbs.twimg.com/profile_images/1435537370951176196/RmGOMZkx_normal.jpg")</f>
        <v>https://pbs.twimg.com/profile_images/1435537370951176196/RmGOMZkx_normal.jpg</v>
      </c>
      <c r="G88" s="95"/>
      <c r="H88" s="71"/>
      <c r="I88" s="72"/>
      <c r="J88" s="96"/>
      <c r="K88" s="71" t="s">
        <v>11438</v>
      </c>
      <c r="L88" s="97"/>
      <c r="M88" s="76"/>
      <c r="N88" s="76"/>
      <c r="O88" s="77"/>
      <c r="P88" s="78"/>
      <c r="Q88" s="78"/>
      <c r="R88" s="92"/>
      <c r="S88" s="92"/>
      <c r="T88" s="92"/>
      <c r="U88" s="92"/>
      <c r="V88" s="52"/>
      <c r="W88" s="52"/>
      <c r="X88" s="52"/>
      <c r="Y88" s="52"/>
      <c r="Z88" s="51"/>
      <c r="AA88" s="73"/>
      <c r="AB88" s="73"/>
      <c r="AC88" s="74"/>
      <c r="AD88" s="81" t="s">
        <v>8070</v>
      </c>
      <c r="AE88" s="86" t="s">
        <v>9139</v>
      </c>
      <c r="AF88" s="81">
        <v>1061</v>
      </c>
      <c r="AG88" s="81">
        <v>682</v>
      </c>
      <c r="AH88" s="81">
        <v>47262</v>
      </c>
      <c r="AI88" s="81">
        <v>53908</v>
      </c>
      <c r="AJ88" s="81"/>
      <c r="AK88" s="81" t="s">
        <v>10096</v>
      </c>
      <c r="AL88" s="81"/>
      <c r="AM88" s="81"/>
      <c r="AN88" s="81"/>
      <c r="AO88" s="83">
        <v>43348.646620370368</v>
      </c>
      <c r="AP88" s="84" t="str">
        <f>HYPERLINK("https://pbs.twimg.com/profile_banners/1037362499786604544/1621863228")</f>
        <v>https://pbs.twimg.com/profile_banners/1037362499786604544/1621863228</v>
      </c>
      <c r="AQ88" s="81" t="b">
        <v>1</v>
      </c>
      <c r="AR88" s="81" t="b">
        <v>0</v>
      </c>
      <c r="AS88" s="81" t="b">
        <v>0</v>
      </c>
      <c r="AT88" s="81"/>
      <c r="AU88" s="81">
        <v>1</v>
      </c>
      <c r="AV88" s="81"/>
      <c r="AW88" s="81" t="b">
        <v>0</v>
      </c>
      <c r="AX88" s="81" t="s">
        <v>3728</v>
      </c>
      <c r="AY88" s="84" t="str">
        <f>HYPERLINK("https://twitter.com/littleitamar")</f>
        <v>https://twitter.com/littleitamar</v>
      </c>
      <c r="AZ88" s="81" t="s">
        <v>66</v>
      </c>
      <c r="BA88" s="2"/>
      <c r="BB88" s="3"/>
      <c r="BC88" s="3"/>
      <c r="BD88" s="3"/>
      <c r="BE88" s="3"/>
    </row>
    <row r="89" spans="1:57" x14ac:dyDescent="0.35">
      <c r="A89" s="66" t="s">
        <v>4199</v>
      </c>
      <c r="B89" s="67"/>
      <c r="C89" s="67"/>
      <c r="D89" s="68"/>
      <c r="E89" s="94"/>
      <c r="F89" s="93" t="str">
        <f>HYPERLINK("https://pbs.twimg.com/profile_images/1439314599489179655/FEGPG9pR_normal.jpg")</f>
        <v>https://pbs.twimg.com/profile_images/1439314599489179655/FEGPG9pR_normal.jpg</v>
      </c>
      <c r="G89" s="95"/>
      <c r="H89" s="71"/>
      <c r="I89" s="72"/>
      <c r="J89" s="96"/>
      <c r="K89" s="71" t="s">
        <v>11439</v>
      </c>
      <c r="L89" s="97"/>
      <c r="M89" s="76"/>
      <c r="N89" s="76"/>
      <c r="O89" s="77"/>
      <c r="P89" s="78"/>
      <c r="Q89" s="78"/>
      <c r="R89" s="92"/>
      <c r="S89" s="92"/>
      <c r="T89" s="92"/>
      <c r="U89" s="92"/>
      <c r="V89" s="52"/>
      <c r="W89" s="52"/>
      <c r="X89" s="52"/>
      <c r="Y89" s="52"/>
      <c r="Z89" s="51"/>
      <c r="AA89" s="73"/>
      <c r="AB89" s="73"/>
      <c r="AC89" s="74"/>
      <c r="AD89" s="81" t="s">
        <v>8071</v>
      </c>
      <c r="AE89" s="86" t="s">
        <v>9140</v>
      </c>
      <c r="AF89" s="81">
        <v>1285</v>
      </c>
      <c r="AG89" s="81">
        <v>506</v>
      </c>
      <c r="AH89" s="81">
        <v>1193</v>
      </c>
      <c r="AI89" s="81">
        <v>53124</v>
      </c>
      <c r="AJ89" s="81"/>
      <c r="AK89" s="81" t="s">
        <v>10097</v>
      </c>
      <c r="AL89" s="81" t="s">
        <v>11009</v>
      </c>
      <c r="AM89" s="81"/>
      <c r="AN89" s="81"/>
      <c r="AO89" s="83">
        <v>43271.149247685185</v>
      </c>
      <c r="AP89" s="84" t="str">
        <f>HYPERLINK("https://pbs.twimg.com/profile_banners/1009278393945346049/1529466046")</f>
        <v>https://pbs.twimg.com/profile_banners/1009278393945346049/1529466046</v>
      </c>
      <c r="AQ89" s="81" t="b">
        <v>1</v>
      </c>
      <c r="AR89" s="81" t="b">
        <v>0</v>
      </c>
      <c r="AS89" s="81" t="b">
        <v>0</v>
      </c>
      <c r="AT89" s="81"/>
      <c r="AU89" s="81">
        <v>0</v>
      </c>
      <c r="AV89" s="81"/>
      <c r="AW89" s="81" t="b">
        <v>0</v>
      </c>
      <c r="AX89" s="81" t="s">
        <v>3728</v>
      </c>
      <c r="AY89" s="84" t="str">
        <f>HYPERLINK("https://twitter.com/eryckdouglas123")</f>
        <v>https://twitter.com/eryckdouglas123</v>
      </c>
      <c r="AZ89" s="81" t="s">
        <v>66</v>
      </c>
      <c r="BA89" s="2"/>
      <c r="BB89" s="3"/>
      <c r="BC89" s="3"/>
      <c r="BD89" s="3"/>
      <c r="BE89" s="3"/>
    </row>
    <row r="90" spans="1:57" x14ac:dyDescent="0.35">
      <c r="A90" s="66" t="s">
        <v>4200</v>
      </c>
      <c r="B90" s="67"/>
      <c r="C90" s="67"/>
      <c r="D90" s="68"/>
      <c r="E90" s="94"/>
      <c r="F90" s="93" t="str">
        <f>HYPERLINK("https://pbs.twimg.com/profile_images/1435082140945985539/DsrrdPan_normal.jpg")</f>
        <v>https://pbs.twimg.com/profile_images/1435082140945985539/DsrrdPan_normal.jpg</v>
      </c>
      <c r="G90" s="95"/>
      <c r="H90" s="71"/>
      <c r="I90" s="72"/>
      <c r="J90" s="96"/>
      <c r="K90" s="71" t="s">
        <v>11440</v>
      </c>
      <c r="L90" s="97"/>
      <c r="M90" s="76"/>
      <c r="N90" s="76"/>
      <c r="O90" s="77"/>
      <c r="P90" s="78"/>
      <c r="Q90" s="78"/>
      <c r="R90" s="92"/>
      <c r="S90" s="92"/>
      <c r="T90" s="92"/>
      <c r="U90" s="92"/>
      <c r="V90" s="52"/>
      <c r="W90" s="52"/>
      <c r="X90" s="52"/>
      <c r="Y90" s="52"/>
      <c r="Z90" s="51"/>
      <c r="AA90" s="73"/>
      <c r="AB90" s="73"/>
      <c r="AC90" s="74"/>
      <c r="AD90" s="81" t="s">
        <v>8072</v>
      </c>
      <c r="AE90" s="86" t="s">
        <v>9141</v>
      </c>
      <c r="AF90" s="81">
        <v>1594</v>
      </c>
      <c r="AG90" s="81">
        <v>1112</v>
      </c>
      <c r="AH90" s="81">
        <v>70245</v>
      </c>
      <c r="AI90" s="81">
        <v>110564</v>
      </c>
      <c r="AJ90" s="81"/>
      <c r="AK90" s="81" t="s">
        <v>10098</v>
      </c>
      <c r="AL90" s="81"/>
      <c r="AM90" s="81"/>
      <c r="AN90" s="81"/>
      <c r="AO90" s="83">
        <v>44301.854074074072</v>
      </c>
      <c r="AP90" s="84" t="str">
        <f>HYPERLINK("https://pbs.twimg.com/profile_banners/1382793181360754701/1630985084")</f>
        <v>https://pbs.twimg.com/profile_banners/1382793181360754701/1630985084</v>
      </c>
      <c r="AQ90" s="81" t="b">
        <v>1</v>
      </c>
      <c r="AR90" s="81" t="b">
        <v>0</v>
      </c>
      <c r="AS90" s="81" t="b">
        <v>0</v>
      </c>
      <c r="AT90" s="81"/>
      <c r="AU90" s="81">
        <v>0</v>
      </c>
      <c r="AV90" s="81"/>
      <c r="AW90" s="81" t="b">
        <v>0</v>
      </c>
      <c r="AX90" s="81" t="s">
        <v>3728</v>
      </c>
      <c r="AY90" s="84" t="str">
        <f>HYPERLINK("https://twitter.com/yasmin38conta2")</f>
        <v>https://twitter.com/yasmin38conta2</v>
      </c>
      <c r="AZ90" s="81" t="s">
        <v>66</v>
      </c>
      <c r="BA90" s="2"/>
      <c r="BB90" s="3"/>
      <c r="BC90" s="3"/>
      <c r="BD90" s="3"/>
      <c r="BE90" s="3"/>
    </row>
    <row r="91" spans="1:57" x14ac:dyDescent="0.35">
      <c r="A91" s="66" t="s">
        <v>4234</v>
      </c>
      <c r="B91" s="67"/>
      <c r="C91" s="67"/>
      <c r="D91" s="68"/>
      <c r="E91" s="94"/>
      <c r="F91" s="93" t="str">
        <f>HYPERLINK("https://pbs.twimg.com/profile_images/1436408800714579971/-9oBxu3f_normal.jpg")</f>
        <v>https://pbs.twimg.com/profile_images/1436408800714579971/-9oBxu3f_normal.jpg</v>
      </c>
      <c r="G91" s="95"/>
      <c r="H91" s="71"/>
      <c r="I91" s="72"/>
      <c r="J91" s="96"/>
      <c r="K91" s="71" t="s">
        <v>11441</v>
      </c>
      <c r="L91" s="97"/>
      <c r="M91" s="76"/>
      <c r="N91" s="76"/>
      <c r="O91" s="77"/>
      <c r="P91" s="78"/>
      <c r="Q91" s="78"/>
      <c r="R91" s="92"/>
      <c r="S91" s="92"/>
      <c r="T91" s="92"/>
      <c r="U91" s="92"/>
      <c r="V91" s="52"/>
      <c r="W91" s="52"/>
      <c r="X91" s="52"/>
      <c r="Y91" s="52"/>
      <c r="Z91" s="51"/>
      <c r="AA91" s="73"/>
      <c r="AB91" s="73"/>
      <c r="AC91" s="74"/>
      <c r="AD91" s="81" t="s">
        <v>8073</v>
      </c>
      <c r="AE91" s="86" t="s">
        <v>9142</v>
      </c>
      <c r="AF91" s="81">
        <v>266</v>
      </c>
      <c r="AG91" s="81">
        <v>354</v>
      </c>
      <c r="AH91" s="81">
        <v>2011</v>
      </c>
      <c r="AI91" s="81">
        <v>3149</v>
      </c>
      <c r="AJ91" s="81"/>
      <c r="AK91" s="81" t="s">
        <v>10099</v>
      </c>
      <c r="AL91" s="81"/>
      <c r="AM91" s="81"/>
      <c r="AN91" s="81"/>
      <c r="AO91" s="83">
        <v>44449.803668981483</v>
      </c>
      <c r="AP91" s="81"/>
      <c r="AQ91" s="81" t="b">
        <v>1</v>
      </c>
      <c r="AR91" s="81" t="b">
        <v>0</v>
      </c>
      <c r="AS91" s="81" t="b">
        <v>0</v>
      </c>
      <c r="AT91" s="81"/>
      <c r="AU91" s="81">
        <v>0</v>
      </c>
      <c r="AV91" s="81"/>
      <c r="AW91" s="81" t="b">
        <v>0</v>
      </c>
      <c r="AX91" s="81" t="s">
        <v>3728</v>
      </c>
      <c r="AY91" s="84" t="str">
        <f>HYPERLINK("https://twitter.com/marco88086753")</f>
        <v>https://twitter.com/marco88086753</v>
      </c>
      <c r="AZ91" s="81" t="s">
        <v>66</v>
      </c>
      <c r="BA91" s="2"/>
      <c r="BB91" s="3"/>
      <c r="BC91" s="3"/>
      <c r="BD91" s="3"/>
      <c r="BE91" s="3"/>
    </row>
    <row r="92" spans="1:57" x14ac:dyDescent="0.35">
      <c r="A92" s="66" t="s">
        <v>4201</v>
      </c>
      <c r="B92" s="67"/>
      <c r="C92" s="67"/>
      <c r="D92" s="68"/>
      <c r="E92" s="94"/>
      <c r="F92" s="93" t="str">
        <f>HYPERLINK("https://pbs.twimg.com/profile_images/1367879608922746880/TNnXuiP3_normal.jpg")</f>
        <v>https://pbs.twimg.com/profile_images/1367879608922746880/TNnXuiP3_normal.jpg</v>
      </c>
      <c r="G92" s="95"/>
      <c r="H92" s="71"/>
      <c r="I92" s="72"/>
      <c r="J92" s="96"/>
      <c r="K92" s="71" t="s">
        <v>11442</v>
      </c>
      <c r="L92" s="97"/>
      <c r="M92" s="76"/>
      <c r="N92" s="76"/>
      <c r="O92" s="77"/>
      <c r="P92" s="78"/>
      <c r="Q92" s="78"/>
      <c r="R92" s="92"/>
      <c r="S92" s="92"/>
      <c r="T92" s="92"/>
      <c r="U92" s="92"/>
      <c r="V92" s="52"/>
      <c r="W92" s="52"/>
      <c r="X92" s="52"/>
      <c r="Y92" s="52"/>
      <c r="Z92" s="51"/>
      <c r="AA92" s="73"/>
      <c r="AB92" s="73"/>
      <c r="AC92" s="74"/>
      <c r="AD92" s="81" t="s">
        <v>8074</v>
      </c>
      <c r="AE92" s="86" t="s">
        <v>9143</v>
      </c>
      <c r="AF92" s="81">
        <v>787</v>
      </c>
      <c r="AG92" s="81">
        <v>298</v>
      </c>
      <c r="AH92" s="81">
        <v>172</v>
      </c>
      <c r="AI92" s="81">
        <v>3362</v>
      </c>
      <c r="AJ92" s="81"/>
      <c r="AK92" s="81" t="s">
        <v>10100</v>
      </c>
      <c r="AL92" s="81" t="s">
        <v>11006</v>
      </c>
      <c r="AM92" s="81"/>
      <c r="AN92" s="81"/>
      <c r="AO92" s="83">
        <v>44260.506006944444</v>
      </c>
      <c r="AP92" s="84" t="str">
        <f>HYPERLINK("https://pbs.twimg.com/profile_banners/1367809246885249027/1614962735")</f>
        <v>https://pbs.twimg.com/profile_banners/1367809246885249027/1614962735</v>
      </c>
      <c r="AQ92" s="81" t="b">
        <v>1</v>
      </c>
      <c r="AR92" s="81" t="b">
        <v>0</v>
      </c>
      <c r="AS92" s="81" t="b">
        <v>0</v>
      </c>
      <c r="AT92" s="81"/>
      <c r="AU92" s="81">
        <v>2</v>
      </c>
      <c r="AV92" s="81"/>
      <c r="AW92" s="81" t="b">
        <v>0</v>
      </c>
      <c r="AX92" s="81" t="s">
        <v>3728</v>
      </c>
      <c r="AY92" s="84" t="str">
        <f>HYPERLINK("https://twitter.com/__esterborges")</f>
        <v>https://twitter.com/__esterborges</v>
      </c>
      <c r="AZ92" s="81" t="s">
        <v>66</v>
      </c>
      <c r="BA92" s="2"/>
      <c r="BB92" s="3"/>
      <c r="BC92" s="3"/>
      <c r="BD92" s="3"/>
      <c r="BE92" s="3"/>
    </row>
    <row r="93" spans="1:57" x14ac:dyDescent="0.35">
      <c r="A93" s="66" t="s">
        <v>4202</v>
      </c>
      <c r="B93" s="67"/>
      <c r="C93" s="67"/>
      <c r="D93" s="68"/>
      <c r="E93" s="94"/>
      <c r="F93" s="93" t="str">
        <f>HYPERLINK("https://pbs.twimg.com/profile_images/1431916545454841856/28ZF3EVx_normal.jpg")</f>
        <v>https://pbs.twimg.com/profile_images/1431916545454841856/28ZF3EVx_normal.jpg</v>
      </c>
      <c r="G93" s="95"/>
      <c r="H93" s="71"/>
      <c r="I93" s="72"/>
      <c r="J93" s="96"/>
      <c r="K93" s="71" t="s">
        <v>11443</v>
      </c>
      <c r="L93" s="97"/>
      <c r="M93" s="76"/>
      <c r="N93" s="76"/>
      <c r="O93" s="77"/>
      <c r="P93" s="78"/>
      <c r="Q93" s="78"/>
      <c r="R93" s="92"/>
      <c r="S93" s="92"/>
      <c r="T93" s="92"/>
      <c r="U93" s="92"/>
      <c r="V93" s="52"/>
      <c r="W93" s="52"/>
      <c r="X93" s="52"/>
      <c r="Y93" s="52"/>
      <c r="Z93" s="51"/>
      <c r="AA93" s="73"/>
      <c r="AB93" s="73"/>
      <c r="AC93" s="74"/>
      <c r="AD93" s="81" t="s">
        <v>8075</v>
      </c>
      <c r="AE93" s="86" t="s">
        <v>9144</v>
      </c>
      <c r="AF93" s="81">
        <v>1119</v>
      </c>
      <c r="AG93" s="81">
        <v>833</v>
      </c>
      <c r="AH93" s="81">
        <v>24814</v>
      </c>
      <c r="AI93" s="81">
        <v>68825</v>
      </c>
      <c r="AJ93" s="81"/>
      <c r="AK93" s="81" t="s">
        <v>10101</v>
      </c>
      <c r="AL93" s="81" t="s">
        <v>11010</v>
      </c>
      <c r="AM93" s="84" t="str">
        <f>HYPERLINK("https://t.co/zoeNy7FDAb")</f>
        <v>https://t.co/zoeNy7FDAb</v>
      </c>
      <c r="AN93" s="81"/>
      <c r="AO93" s="83">
        <v>41105.846435185187</v>
      </c>
      <c r="AP93" s="84" t="str">
        <f>HYPERLINK("https://pbs.twimg.com/profile_banners/636510528/1628529117")</f>
        <v>https://pbs.twimg.com/profile_banners/636510528/1628529117</v>
      </c>
      <c r="AQ93" s="81" t="b">
        <v>0</v>
      </c>
      <c r="AR93" s="81" t="b">
        <v>0</v>
      </c>
      <c r="AS93" s="81" t="b">
        <v>0</v>
      </c>
      <c r="AT93" s="81"/>
      <c r="AU93" s="81">
        <v>13</v>
      </c>
      <c r="AV93" s="84" t="str">
        <f>HYPERLINK("https://abs.twimg.com/images/themes/theme14/bg.gif")</f>
        <v>https://abs.twimg.com/images/themes/theme14/bg.gif</v>
      </c>
      <c r="AW93" s="81" t="b">
        <v>0</v>
      </c>
      <c r="AX93" s="81" t="s">
        <v>3728</v>
      </c>
      <c r="AY93" s="84" t="str">
        <f>HYPERLINK("https://twitter.com/xmissjjx")</f>
        <v>https://twitter.com/xmissjjx</v>
      </c>
      <c r="AZ93" s="81" t="s">
        <v>66</v>
      </c>
      <c r="BA93" s="2"/>
      <c r="BB93" s="3"/>
      <c r="BC93" s="3"/>
      <c r="BD93" s="3"/>
      <c r="BE93" s="3"/>
    </row>
    <row r="94" spans="1:57" x14ac:dyDescent="0.35">
      <c r="A94" s="66" t="s">
        <v>252</v>
      </c>
      <c r="B94" s="67"/>
      <c r="C94" s="67"/>
      <c r="D94" s="68"/>
      <c r="E94" s="94"/>
      <c r="F94" s="93" t="str">
        <f>HYPERLINK("https://pbs.twimg.com/profile_images/1431753342015971332/X4kOck84_normal.jpg")</f>
        <v>https://pbs.twimg.com/profile_images/1431753342015971332/X4kOck84_normal.jpg</v>
      </c>
      <c r="G94" s="95"/>
      <c r="H94" s="71"/>
      <c r="I94" s="72"/>
      <c r="J94" s="96"/>
      <c r="K94" s="71" t="s">
        <v>3778</v>
      </c>
      <c r="L94" s="97"/>
      <c r="M94" s="76"/>
      <c r="N94" s="76"/>
      <c r="O94" s="77"/>
      <c r="P94" s="78"/>
      <c r="Q94" s="78"/>
      <c r="R94" s="92"/>
      <c r="S94" s="92"/>
      <c r="T94" s="92"/>
      <c r="U94" s="92"/>
      <c r="V94" s="52"/>
      <c r="W94" s="52"/>
      <c r="X94" s="52"/>
      <c r="Y94" s="52"/>
      <c r="Z94" s="51"/>
      <c r="AA94" s="73"/>
      <c r="AB94" s="73"/>
      <c r="AC94" s="74"/>
      <c r="AD94" s="81" t="s">
        <v>2289</v>
      </c>
      <c r="AE94" s="86" t="s">
        <v>2727</v>
      </c>
      <c r="AF94" s="81">
        <v>1262</v>
      </c>
      <c r="AG94" s="81">
        <v>535</v>
      </c>
      <c r="AH94" s="81">
        <v>9201</v>
      </c>
      <c r="AI94" s="81">
        <v>16132</v>
      </c>
      <c r="AJ94" s="81"/>
      <c r="AK94" s="81" t="s">
        <v>3125</v>
      </c>
      <c r="AL94" s="81" t="s">
        <v>3542</v>
      </c>
      <c r="AM94" s="81"/>
      <c r="AN94" s="81"/>
      <c r="AO94" s="83">
        <v>43021.841851851852</v>
      </c>
      <c r="AP94" s="84" t="str">
        <f>HYPERLINK("https://pbs.twimg.com/profile_banners/918932420757458945/1576178425")</f>
        <v>https://pbs.twimg.com/profile_banners/918932420757458945/1576178425</v>
      </c>
      <c r="AQ94" s="81" t="b">
        <v>1</v>
      </c>
      <c r="AR94" s="81" t="b">
        <v>0</v>
      </c>
      <c r="AS94" s="81" t="b">
        <v>1</v>
      </c>
      <c r="AT94" s="81"/>
      <c r="AU94" s="81">
        <v>2</v>
      </c>
      <c r="AV94" s="81"/>
      <c r="AW94" s="81" t="b">
        <v>0</v>
      </c>
      <c r="AX94" s="81" t="s">
        <v>3728</v>
      </c>
      <c r="AY94" s="84" t="str">
        <f>HYPERLINK("https://twitter.com/gustavog22")</f>
        <v>https://twitter.com/gustavog22</v>
      </c>
      <c r="AZ94" s="81" t="s">
        <v>66</v>
      </c>
      <c r="BA94" s="2"/>
      <c r="BB94" s="3"/>
      <c r="BC94" s="3"/>
      <c r="BD94" s="3"/>
      <c r="BE94" s="3"/>
    </row>
    <row r="95" spans="1:57" x14ac:dyDescent="0.35">
      <c r="A95" s="66" t="s">
        <v>4203</v>
      </c>
      <c r="B95" s="67"/>
      <c r="C95" s="67"/>
      <c r="D95" s="68"/>
      <c r="E95" s="94"/>
      <c r="F95" s="93" t="str">
        <f>HYPERLINK("https://pbs.twimg.com/profile_images/1439726484697108486/r7rMCOcj_normal.jpg")</f>
        <v>https://pbs.twimg.com/profile_images/1439726484697108486/r7rMCOcj_normal.jpg</v>
      </c>
      <c r="G95" s="95"/>
      <c r="H95" s="71"/>
      <c r="I95" s="72"/>
      <c r="J95" s="96"/>
      <c r="K95" s="71" t="s">
        <v>11444</v>
      </c>
      <c r="L95" s="97"/>
      <c r="M95" s="76"/>
      <c r="N95" s="76"/>
      <c r="O95" s="77"/>
      <c r="P95" s="78"/>
      <c r="Q95" s="78"/>
      <c r="R95" s="92"/>
      <c r="S95" s="92"/>
      <c r="T95" s="92"/>
      <c r="U95" s="92"/>
      <c r="V95" s="52"/>
      <c r="W95" s="52"/>
      <c r="X95" s="52"/>
      <c r="Y95" s="52"/>
      <c r="Z95" s="51"/>
      <c r="AA95" s="73"/>
      <c r="AB95" s="73"/>
      <c r="AC95" s="74"/>
      <c r="AD95" s="81" t="s">
        <v>8076</v>
      </c>
      <c r="AE95" s="86" t="s">
        <v>9145</v>
      </c>
      <c r="AF95" s="81">
        <v>16843</v>
      </c>
      <c r="AG95" s="81">
        <v>18322</v>
      </c>
      <c r="AH95" s="81">
        <v>19711</v>
      </c>
      <c r="AI95" s="81">
        <v>79901</v>
      </c>
      <c r="AJ95" s="81"/>
      <c r="AK95" s="81" t="s">
        <v>10102</v>
      </c>
      <c r="AL95" s="81"/>
      <c r="AM95" s="81"/>
      <c r="AN95" s="81"/>
      <c r="AO95" s="83">
        <v>43149.667766203704</v>
      </c>
      <c r="AP95" s="84" t="str">
        <f>HYPERLINK("https://pbs.twimg.com/profile_banners/965254978397982720/1605268840")</f>
        <v>https://pbs.twimg.com/profile_banners/965254978397982720/1605268840</v>
      </c>
      <c r="AQ95" s="81" t="b">
        <v>1</v>
      </c>
      <c r="AR95" s="81" t="b">
        <v>0</v>
      </c>
      <c r="AS95" s="81" t="b">
        <v>0</v>
      </c>
      <c r="AT95" s="81"/>
      <c r="AU95" s="81">
        <v>3</v>
      </c>
      <c r="AV95" s="81"/>
      <c r="AW95" s="81" t="b">
        <v>0</v>
      </c>
      <c r="AX95" s="81" t="s">
        <v>3728</v>
      </c>
      <c r="AY95" s="84" t="str">
        <f>HYPERLINK("https://twitter.com/lumenaazevedo14")</f>
        <v>https://twitter.com/lumenaazevedo14</v>
      </c>
      <c r="AZ95" s="81" t="s">
        <v>66</v>
      </c>
      <c r="BA95" s="2"/>
      <c r="BB95" s="3"/>
      <c r="BC95" s="3"/>
      <c r="BD95" s="3"/>
      <c r="BE95" s="3"/>
    </row>
    <row r="96" spans="1:57" x14ac:dyDescent="0.35">
      <c r="A96" s="66" t="s">
        <v>4989</v>
      </c>
      <c r="B96" s="67"/>
      <c r="C96" s="67"/>
      <c r="D96" s="68"/>
      <c r="E96" s="94"/>
      <c r="F96" s="93" t="str">
        <f>HYPERLINK("https://pbs.twimg.com/profile_images/1396820675990540288/7Sbh25cA_normal.jpg")</f>
        <v>https://pbs.twimg.com/profile_images/1396820675990540288/7Sbh25cA_normal.jpg</v>
      </c>
      <c r="G96" s="95"/>
      <c r="H96" s="71"/>
      <c r="I96" s="72"/>
      <c r="J96" s="96"/>
      <c r="K96" s="71" t="s">
        <v>11445</v>
      </c>
      <c r="L96" s="97"/>
      <c r="M96" s="76"/>
      <c r="N96" s="76"/>
      <c r="O96" s="77"/>
      <c r="P96" s="78"/>
      <c r="Q96" s="78"/>
      <c r="R96" s="92"/>
      <c r="S96" s="92"/>
      <c r="T96" s="92"/>
      <c r="U96" s="92"/>
      <c r="V96" s="52"/>
      <c r="W96" s="52"/>
      <c r="X96" s="52"/>
      <c r="Y96" s="52"/>
      <c r="Z96" s="51"/>
      <c r="AA96" s="73"/>
      <c r="AB96" s="73"/>
      <c r="AC96" s="74"/>
      <c r="AD96" s="81" t="s">
        <v>8077</v>
      </c>
      <c r="AE96" s="86" t="s">
        <v>9146</v>
      </c>
      <c r="AF96" s="81">
        <v>4021</v>
      </c>
      <c r="AG96" s="81">
        <v>2695</v>
      </c>
      <c r="AH96" s="81">
        <v>2832</v>
      </c>
      <c r="AI96" s="81">
        <v>4194</v>
      </c>
      <c r="AJ96" s="81"/>
      <c r="AK96" s="81" t="s">
        <v>10103</v>
      </c>
      <c r="AL96" s="81" t="s">
        <v>11011</v>
      </c>
      <c r="AM96" s="81"/>
      <c r="AN96" s="81"/>
      <c r="AO96" s="83">
        <v>43888.116574074076</v>
      </c>
      <c r="AP96" s="84" t="str">
        <f>HYPERLINK("https://pbs.twimg.com/profile_banners/1232859792470925315/1618516313")</f>
        <v>https://pbs.twimg.com/profile_banners/1232859792470925315/1618516313</v>
      </c>
      <c r="AQ96" s="81" t="b">
        <v>1</v>
      </c>
      <c r="AR96" s="81" t="b">
        <v>0</v>
      </c>
      <c r="AS96" s="81" t="b">
        <v>0</v>
      </c>
      <c r="AT96" s="81"/>
      <c r="AU96" s="81">
        <v>0</v>
      </c>
      <c r="AV96" s="81"/>
      <c r="AW96" s="81" t="b">
        <v>0</v>
      </c>
      <c r="AX96" s="81" t="s">
        <v>3728</v>
      </c>
      <c r="AY96" s="84" t="str">
        <f>HYPERLINK("https://twitter.com/godinhoalmino")</f>
        <v>https://twitter.com/godinhoalmino</v>
      </c>
      <c r="AZ96" s="81" t="s">
        <v>65</v>
      </c>
      <c r="BA96" s="2"/>
      <c r="BB96" s="3"/>
      <c r="BC96" s="3"/>
      <c r="BD96" s="3"/>
      <c r="BE96" s="3"/>
    </row>
    <row r="97" spans="1:57" x14ac:dyDescent="0.35">
      <c r="A97" s="66" t="s">
        <v>4245</v>
      </c>
      <c r="B97" s="67"/>
      <c r="C97" s="67"/>
      <c r="D97" s="68"/>
      <c r="E97" s="94"/>
      <c r="F97" s="93" t="str">
        <f>HYPERLINK("https://pbs.twimg.com/profile_images/1437894004738306054/nrvhKAlv_normal.jpg")</f>
        <v>https://pbs.twimg.com/profile_images/1437894004738306054/nrvhKAlv_normal.jpg</v>
      </c>
      <c r="G97" s="95"/>
      <c r="H97" s="71"/>
      <c r="I97" s="72"/>
      <c r="J97" s="96"/>
      <c r="K97" s="71" t="s">
        <v>11446</v>
      </c>
      <c r="L97" s="97"/>
      <c r="M97" s="76"/>
      <c r="N97" s="76"/>
      <c r="O97" s="77"/>
      <c r="P97" s="78"/>
      <c r="Q97" s="78"/>
      <c r="R97" s="92"/>
      <c r="S97" s="92"/>
      <c r="T97" s="92"/>
      <c r="U97" s="92"/>
      <c r="V97" s="52"/>
      <c r="W97" s="52"/>
      <c r="X97" s="52"/>
      <c r="Y97" s="52"/>
      <c r="Z97" s="51"/>
      <c r="AA97" s="73"/>
      <c r="AB97" s="73"/>
      <c r="AC97" s="74"/>
      <c r="AD97" s="81" t="s">
        <v>8078</v>
      </c>
      <c r="AE97" s="86" t="s">
        <v>9147</v>
      </c>
      <c r="AF97" s="81">
        <v>731</v>
      </c>
      <c r="AG97" s="81">
        <v>588</v>
      </c>
      <c r="AH97" s="81">
        <v>19524</v>
      </c>
      <c r="AI97" s="81">
        <v>11307</v>
      </c>
      <c r="AJ97" s="81"/>
      <c r="AK97" s="81" t="s">
        <v>10104</v>
      </c>
      <c r="AL97" s="81" t="s">
        <v>11012</v>
      </c>
      <c r="AM97" s="81"/>
      <c r="AN97" s="81"/>
      <c r="AO97" s="83">
        <v>42470.639131944445</v>
      </c>
      <c r="AP97" s="84" t="str">
        <f>HYPERLINK("https://pbs.twimg.com/profile_banners/719183241027141633/1600030903")</f>
        <v>https://pbs.twimg.com/profile_banners/719183241027141633/1600030903</v>
      </c>
      <c r="AQ97" s="81" t="b">
        <v>1</v>
      </c>
      <c r="AR97" s="81" t="b">
        <v>0</v>
      </c>
      <c r="AS97" s="81" t="b">
        <v>0</v>
      </c>
      <c r="AT97" s="81"/>
      <c r="AU97" s="81">
        <v>0</v>
      </c>
      <c r="AV97" s="81"/>
      <c r="AW97" s="81" t="b">
        <v>0</v>
      </c>
      <c r="AX97" s="81" t="s">
        <v>3728</v>
      </c>
      <c r="AY97" s="84" t="str">
        <f>HYPERLINK("https://twitter.com/paulospcx")</f>
        <v>https://twitter.com/paulospcx</v>
      </c>
      <c r="AZ97" s="81" t="s">
        <v>66</v>
      </c>
      <c r="BA97" s="2"/>
      <c r="BB97" s="3"/>
      <c r="BC97" s="3"/>
      <c r="BD97" s="3"/>
      <c r="BE97" s="3"/>
    </row>
    <row r="98" spans="1:57" x14ac:dyDescent="0.35">
      <c r="A98" s="66" t="s">
        <v>4990</v>
      </c>
      <c r="B98" s="67"/>
      <c r="C98" s="67"/>
      <c r="D98" s="68"/>
      <c r="E98" s="94"/>
      <c r="F98" s="93" t="str">
        <f>HYPERLINK("https://pbs.twimg.com/profile_images/1359521933101068292/ZjqDO1OL_normal.jpg")</f>
        <v>https://pbs.twimg.com/profile_images/1359521933101068292/ZjqDO1OL_normal.jpg</v>
      </c>
      <c r="G98" s="95"/>
      <c r="H98" s="71"/>
      <c r="I98" s="72"/>
      <c r="J98" s="96"/>
      <c r="K98" s="71" t="s">
        <v>11447</v>
      </c>
      <c r="L98" s="97"/>
      <c r="M98" s="76"/>
      <c r="N98" s="76"/>
      <c r="O98" s="77"/>
      <c r="P98" s="78"/>
      <c r="Q98" s="78"/>
      <c r="R98" s="92"/>
      <c r="S98" s="92"/>
      <c r="T98" s="92"/>
      <c r="U98" s="92"/>
      <c r="V98" s="52"/>
      <c r="W98" s="52"/>
      <c r="X98" s="52"/>
      <c r="Y98" s="52"/>
      <c r="Z98" s="51"/>
      <c r="AA98" s="73"/>
      <c r="AB98" s="73"/>
      <c r="AC98" s="74"/>
      <c r="AD98" s="81" t="s">
        <v>8079</v>
      </c>
      <c r="AE98" s="86" t="s">
        <v>7806</v>
      </c>
      <c r="AF98" s="81">
        <v>16395</v>
      </c>
      <c r="AG98" s="81">
        <v>28440</v>
      </c>
      <c r="AH98" s="81">
        <v>15942</v>
      </c>
      <c r="AI98" s="81">
        <v>112502</v>
      </c>
      <c r="AJ98" s="81"/>
      <c r="AK98" s="81" t="s">
        <v>10105</v>
      </c>
      <c r="AL98" s="81" t="s">
        <v>11013</v>
      </c>
      <c r="AM98" s="81"/>
      <c r="AN98" s="81"/>
      <c r="AO98" s="83">
        <v>43382.663483796299</v>
      </c>
      <c r="AP98" s="84" t="str">
        <f>HYPERLINK("https://pbs.twimg.com/profile_banners/1049689799467122688/1566214533")</f>
        <v>https://pbs.twimg.com/profile_banners/1049689799467122688/1566214533</v>
      </c>
      <c r="AQ98" s="81" t="b">
        <v>1</v>
      </c>
      <c r="AR98" s="81" t="b">
        <v>0</v>
      </c>
      <c r="AS98" s="81" t="b">
        <v>1</v>
      </c>
      <c r="AT98" s="81"/>
      <c r="AU98" s="81">
        <v>18</v>
      </c>
      <c r="AV98" s="81"/>
      <c r="AW98" s="81" t="b">
        <v>0</v>
      </c>
      <c r="AX98" s="81" t="s">
        <v>3728</v>
      </c>
      <c r="AY98" s="84" t="str">
        <f>HYPERLINK("https://twitter.com/cdantas5")</f>
        <v>https://twitter.com/cdantas5</v>
      </c>
      <c r="AZ98" s="81" t="s">
        <v>65</v>
      </c>
      <c r="BA98" s="2"/>
      <c r="BB98" s="3"/>
      <c r="BC98" s="3"/>
      <c r="BD98" s="3"/>
      <c r="BE98" s="3"/>
    </row>
    <row r="99" spans="1:57" x14ac:dyDescent="0.35">
      <c r="A99" s="66" t="s">
        <v>4204</v>
      </c>
      <c r="B99" s="67"/>
      <c r="C99" s="67"/>
      <c r="D99" s="68"/>
      <c r="E99" s="94"/>
      <c r="F99" s="93" t="str">
        <f>HYPERLINK("https://pbs.twimg.com/profile_images/1298569483599122434/gd8wUvn9_normal.jpg")</f>
        <v>https://pbs.twimg.com/profile_images/1298569483599122434/gd8wUvn9_normal.jpg</v>
      </c>
      <c r="G99" s="95"/>
      <c r="H99" s="71"/>
      <c r="I99" s="72"/>
      <c r="J99" s="96"/>
      <c r="K99" s="71" t="s">
        <v>11448</v>
      </c>
      <c r="L99" s="97"/>
      <c r="M99" s="76"/>
      <c r="N99" s="76"/>
      <c r="O99" s="77"/>
      <c r="P99" s="78"/>
      <c r="Q99" s="78"/>
      <c r="R99" s="92"/>
      <c r="S99" s="92"/>
      <c r="T99" s="92"/>
      <c r="U99" s="92"/>
      <c r="V99" s="52"/>
      <c r="W99" s="52"/>
      <c r="X99" s="52"/>
      <c r="Y99" s="52"/>
      <c r="Z99" s="51"/>
      <c r="AA99" s="73"/>
      <c r="AB99" s="73"/>
      <c r="AC99" s="74"/>
      <c r="AD99" s="81" t="s">
        <v>8080</v>
      </c>
      <c r="AE99" s="86" t="s">
        <v>9148</v>
      </c>
      <c r="AF99" s="81">
        <v>4394</v>
      </c>
      <c r="AG99" s="81">
        <v>3569</v>
      </c>
      <c r="AH99" s="81">
        <v>29957</v>
      </c>
      <c r="AI99" s="81">
        <v>47419</v>
      </c>
      <c r="AJ99" s="81"/>
      <c r="AK99" s="81" t="s">
        <v>10106</v>
      </c>
      <c r="AL99" s="81" t="s">
        <v>11014</v>
      </c>
      <c r="AM99" s="81"/>
      <c r="AN99" s="81"/>
      <c r="AO99" s="83">
        <v>43518.634085648147</v>
      </c>
      <c r="AP99" s="81"/>
      <c r="AQ99" s="81" t="b">
        <v>1</v>
      </c>
      <c r="AR99" s="81" t="b">
        <v>0</v>
      </c>
      <c r="AS99" s="81" t="b">
        <v>1</v>
      </c>
      <c r="AT99" s="81"/>
      <c r="AU99" s="81">
        <v>1</v>
      </c>
      <c r="AV99" s="81"/>
      <c r="AW99" s="81" t="b">
        <v>0</v>
      </c>
      <c r="AX99" s="81" t="s">
        <v>3728</v>
      </c>
      <c r="AY99" s="84" t="str">
        <f>HYPERLINK("https://twitter.com/claudiopesse1")</f>
        <v>https://twitter.com/claudiopesse1</v>
      </c>
      <c r="AZ99" s="81" t="s">
        <v>66</v>
      </c>
      <c r="BA99" s="2"/>
      <c r="BB99" s="3"/>
      <c r="BC99" s="3"/>
      <c r="BD99" s="3"/>
      <c r="BE99" s="3"/>
    </row>
    <row r="100" spans="1:57" x14ac:dyDescent="0.35">
      <c r="A100" s="66" t="s">
        <v>4205</v>
      </c>
      <c r="B100" s="67"/>
      <c r="C100" s="67"/>
      <c r="D100" s="68"/>
      <c r="E100" s="94"/>
      <c r="F100" s="93" t="str">
        <f>HYPERLINK("https://pbs.twimg.com/profile_images/1348486814009536513/qnfvqhx6_normal.jpg")</f>
        <v>https://pbs.twimg.com/profile_images/1348486814009536513/qnfvqhx6_normal.jpg</v>
      </c>
      <c r="G100" s="95"/>
      <c r="H100" s="71"/>
      <c r="I100" s="72"/>
      <c r="J100" s="96"/>
      <c r="K100" s="71" t="s">
        <v>11449</v>
      </c>
      <c r="L100" s="97"/>
      <c r="M100" s="76"/>
      <c r="N100" s="76"/>
      <c r="O100" s="77"/>
      <c r="P100" s="78"/>
      <c r="Q100" s="78"/>
      <c r="R100" s="92"/>
      <c r="S100" s="92"/>
      <c r="T100" s="92"/>
      <c r="U100" s="92"/>
      <c r="V100" s="52"/>
      <c r="W100" s="52"/>
      <c r="X100" s="52"/>
      <c r="Y100" s="52"/>
      <c r="Z100" s="51"/>
      <c r="AA100" s="73"/>
      <c r="AB100" s="73"/>
      <c r="AC100" s="74"/>
      <c r="AD100" s="81" t="s">
        <v>8081</v>
      </c>
      <c r="AE100" s="86" t="s">
        <v>9149</v>
      </c>
      <c r="AF100" s="81">
        <v>4709</v>
      </c>
      <c r="AG100" s="81">
        <v>3431</v>
      </c>
      <c r="AH100" s="81">
        <v>47188</v>
      </c>
      <c r="AI100" s="81">
        <v>41495</v>
      </c>
      <c r="AJ100" s="81"/>
      <c r="AK100" s="81"/>
      <c r="AL100" s="81" t="s">
        <v>10975</v>
      </c>
      <c r="AM100" s="81"/>
      <c r="AN100" s="81"/>
      <c r="AO100" s="83">
        <v>41864.570092592592</v>
      </c>
      <c r="AP100" s="84" t="str">
        <f>HYPERLINK("https://pbs.twimg.com/profile_banners/2741738687/1610339286")</f>
        <v>https://pbs.twimg.com/profile_banners/2741738687/1610339286</v>
      </c>
      <c r="AQ100" s="81" t="b">
        <v>1</v>
      </c>
      <c r="AR100" s="81" t="b">
        <v>0</v>
      </c>
      <c r="AS100" s="81" t="b">
        <v>0</v>
      </c>
      <c r="AT100" s="81"/>
      <c r="AU100" s="81">
        <v>0</v>
      </c>
      <c r="AV100" s="84" t="str">
        <f>HYPERLINK("https://abs.twimg.com/images/themes/theme1/bg.png")</f>
        <v>https://abs.twimg.com/images/themes/theme1/bg.png</v>
      </c>
      <c r="AW100" s="81" t="b">
        <v>0</v>
      </c>
      <c r="AX100" s="81" t="s">
        <v>3728</v>
      </c>
      <c r="AY100" s="84" t="str">
        <f>HYPERLINK("https://twitter.com/souzacpedrosa40")</f>
        <v>https://twitter.com/souzacpedrosa40</v>
      </c>
      <c r="AZ100" s="81" t="s">
        <v>66</v>
      </c>
      <c r="BA100" s="2"/>
      <c r="BB100" s="3"/>
      <c r="BC100" s="3"/>
      <c r="BD100" s="3"/>
      <c r="BE100" s="3"/>
    </row>
    <row r="101" spans="1:57" x14ac:dyDescent="0.35">
      <c r="A101" s="66" t="s">
        <v>4206</v>
      </c>
      <c r="B101" s="67"/>
      <c r="C101" s="67"/>
      <c r="D101" s="68"/>
      <c r="E101" s="94"/>
      <c r="F101" s="93" t="str">
        <f>HYPERLINK("https://pbs.twimg.com/profile_images/1436025034871607296/lt8C7VIh_normal.jpg")</f>
        <v>https://pbs.twimg.com/profile_images/1436025034871607296/lt8C7VIh_normal.jpg</v>
      </c>
      <c r="G101" s="95"/>
      <c r="H101" s="71"/>
      <c r="I101" s="72"/>
      <c r="J101" s="96"/>
      <c r="K101" s="71" t="s">
        <v>11450</v>
      </c>
      <c r="L101" s="97"/>
      <c r="M101" s="76"/>
      <c r="N101" s="76"/>
      <c r="O101" s="77"/>
      <c r="P101" s="78"/>
      <c r="Q101" s="78"/>
      <c r="R101" s="92"/>
      <c r="S101" s="92"/>
      <c r="T101" s="92"/>
      <c r="U101" s="92"/>
      <c r="V101" s="52"/>
      <c r="W101" s="52"/>
      <c r="X101" s="52"/>
      <c r="Y101" s="52"/>
      <c r="Z101" s="51"/>
      <c r="AA101" s="73"/>
      <c r="AB101" s="73"/>
      <c r="AC101" s="74"/>
      <c r="AD101" s="81" t="s">
        <v>8082</v>
      </c>
      <c r="AE101" s="86" t="s">
        <v>9150</v>
      </c>
      <c r="AF101" s="81">
        <v>393</v>
      </c>
      <c r="AG101" s="81">
        <v>168</v>
      </c>
      <c r="AH101" s="81">
        <v>2850</v>
      </c>
      <c r="AI101" s="81">
        <v>29038</v>
      </c>
      <c r="AJ101" s="81"/>
      <c r="AK101" s="81" t="s">
        <v>10107</v>
      </c>
      <c r="AL101" s="81"/>
      <c r="AM101" s="81"/>
      <c r="AN101" s="81"/>
      <c r="AO101" s="83">
        <v>40766.780057870368</v>
      </c>
      <c r="AP101" s="84" t="str">
        <f>HYPERLINK("https://pbs.twimg.com/profile_banners/353216600/1593889577")</f>
        <v>https://pbs.twimg.com/profile_banners/353216600/1593889577</v>
      </c>
      <c r="AQ101" s="81" t="b">
        <v>1</v>
      </c>
      <c r="AR101" s="81" t="b">
        <v>0</v>
      </c>
      <c r="AS101" s="81" t="b">
        <v>0</v>
      </c>
      <c r="AT101" s="81"/>
      <c r="AU101" s="81">
        <v>0</v>
      </c>
      <c r="AV101" s="84" t="str">
        <f>HYPERLINK("https://abs.twimg.com/images/themes/theme1/bg.png")</f>
        <v>https://abs.twimg.com/images/themes/theme1/bg.png</v>
      </c>
      <c r="AW101" s="81" t="b">
        <v>0</v>
      </c>
      <c r="AX101" s="81" t="s">
        <v>3728</v>
      </c>
      <c r="AY101" s="84" t="str">
        <f>HYPERLINK("https://twitter.com/fernandowelten")</f>
        <v>https://twitter.com/fernandowelten</v>
      </c>
      <c r="AZ101" s="81" t="s">
        <v>66</v>
      </c>
      <c r="BA101" s="2"/>
      <c r="BB101" s="3"/>
      <c r="BC101" s="3"/>
      <c r="BD101" s="3"/>
      <c r="BE101" s="3"/>
    </row>
    <row r="102" spans="1:57" x14ac:dyDescent="0.35">
      <c r="A102" s="66" t="s">
        <v>253</v>
      </c>
      <c r="B102" s="67"/>
      <c r="C102" s="67"/>
      <c r="D102" s="68"/>
      <c r="E102" s="94"/>
      <c r="F102" s="93" t="str">
        <f>HYPERLINK("https://pbs.twimg.com/profile_images/1443303748638543874/EowJ8mD8_normal.jpg")</f>
        <v>https://pbs.twimg.com/profile_images/1443303748638543874/EowJ8mD8_normal.jpg</v>
      </c>
      <c r="G102" s="95"/>
      <c r="H102" s="71"/>
      <c r="I102" s="72"/>
      <c r="J102" s="96"/>
      <c r="K102" s="71" t="s">
        <v>3779</v>
      </c>
      <c r="L102" s="97"/>
      <c r="M102" s="76"/>
      <c r="N102" s="76"/>
      <c r="O102" s="77"/>
      <c r="P102" s="78"/>
      <c r="Q102" s="78"/>
      <c r="R102" s="92"/>
      <c r="S102" s="92"/>
      <c r="T102" s="92"/>
      <c r="U102" s="92"/>
      <c r="V102" s="52"/>
      <c r="W102" s="52"/>
      <c r="X102" s="52"/>
      <c r="Y102" s="52"/>
      <c r="Z102" s="51"/>
      <c r="AA102" s="73"/>
      <c r="AB102" s="73"/>
      <c r="AC102" s="74"/>
      <c r="AD102" s="81" t="s">
        <v>2290</v>
      </c>
      <c r="AE102" s="86" t="s">
        <v>2728</v>
      </c>
      <c r="AF102" s="81">
        <v>1001</v>
      </c>
      <c r="AG102" s="81">
        <v>836</v>
      </c>
      <c r="AH102" s="81">
        <v>27915</v>
      </c>
      <c r="AI102" s="81">
        <v>57823</v>
      </c>
      <c r="AJ102" s="81"/>
      <c r="AK102" s="81" t="s">
        <v>3126</v>
      </c>
      <c r="AL102" s="81" t="s">
        <v>3543</v>
      </c>
      <c r="AM102" s="81"/>
      <c r="AN102" s="81"/>
      <c r="AO102" s="83">
        <v>43143.818067129629</v>
      </c>
      <c r="AP102" s="84" t="str">
        <f>HYPERLINK("https://pbs.twimg.com/profile_banners/963135119774158849/1628108289")</f>
        <v>https://pbs.twimg.com/profile_banners/963135119774158849/1628108289</v>
      </c>
      <c r="AQ102" s="81" t="b">
        <v>1</v>
      </c>
      <c r="AR102" s="81" t="b">
        <v>0</v>
      </c>
      <c r="AS102" s="81" t="b">
        <v>0</v>
      </c>
      <c r="AT102" s="81"/>
      <c r="AU102" s="81">
        <v>3</v>
      </c>
      <c r="AV102" s="81"/>
      <c r="AW102" s="81" t="b">
        <v>0</v>
      </c>
      <c r="AX102" s="81" t="s">
        <v>3728</v>
      </c>
      <c r="AY102" s="84" t="str">
        <f>HYPERLINK("https://twitter.com/ikertxu_cero8")</f>
        <v>https://twitter.com/ikertxu_cero8</v>
      </c>
      <c r="AZ102" s="81" t="s">
        <v>66</v>
      </c>
      <c r="BA102" s="2"/>
      <c r="BB102" s="3"/>
      <c r="BC102" s="3"/>
      <c r="BD102" s="3"/>
      <c r="BE102" s="3"/>
    </row>
    <row r="103" spans="1:57" x14ac:dyDescent="0.35">
      <c r="A103" s="66" t="s">
        <v>254</v>
      </c>
      <c r="B103" s="67"/>
      <c r="C103" s="67"/>
      <c r="D103" s="68"/>
      <c r="E103" s="94"/>
      <c r="F103" s="93" t="str">
        <f>HYPERLINK("https://pbs.twimg.com/profile_images/1348576728067686401/MsJkmfdb_normal.jpg")</f>
        <v>https://pbs.twimg.com/profile_images/1348576728067686401/MsJkmfdb_normal.jpg</v>
      </c>
      <c r="G103" s="95"/>
      <c r="H103" s="71"/>
      <c r="I103" s="72"/>
      <c r="J103" s="96"/>
      <c r="K103" s="71" t="s">
        <v>3780</v>
      </c>
      <c r="L103" s="97"/>
      <c r="M103" s="76"/>
      <c r="N103" s="76"/>
      <c r="O103" s="77"/>
      <c r="P103" s="78"/>
      <c r="Q103" s="78"/>
      <c r="R103" s="92"/>
      <c r="S103" s="92"/>
      <c r="T103" s="92"/>
      <c r="U103" s="92"/>
      <c r="V103" s="52"/>
      <c r="W103" s="52"/>
      <c r="X103" s="52"/>
      <c r="Y103" s="52"/>
      <c r="Z103" s="51"/>
      <c r="AA103" s="73"/>
      <c r="AB103" s="73"/>
      <c r="AC103" s="74"/>
      <c r="AD103" s="81" t="s">
        <v>2291</v>
      </c>
      <c r="AE103" s="86" t="s">
        <v>2729</v>
      </c>
      <c r="AF103" s="81">
        <v>225</v>
      </c>
      <c r="AG103" s="81">
        <v>167</v>
      </c>
      <c r="AH103" s="81">
        <v>9096</v>
      </c>
      <c r="AI103" s="81">
        <v>9266</v>
      </c>
      <c r="AJ103" s="81"/>
      <c r="AK103" s="81" t="s">
        <v>3127</v>
      </c>
      <c r="AL103" s="81" t="s">
        <v>3519</v>
      </c>
      <c r="AM103" s="84" t="str">
        <f>HYPERLINK("https://t.co/B1INCNNLhn")</f>
        <v>https://t.co/B1INCNNLhn</v>
      </c>
      <c r="AN103" s="81"/>
      <c r="AO103" s="83">
        <v>43727.356504629628</v>
      </c>
      <c r="AP103" s="84" t="str">
        <f>HYPERLINK("https://pbs.twimg.com/profile_banners/1174602325119291392/1622300306")</f>
        <v>https://pbs.twimg.com/profile_banners/1174602325119291392/1622300306</v>
      </c>
      <c r="AQ103" s="81" t="b">
        <v>1</v>
      </c>
      <c r="AR103" s="81" t="b">
        <v>0</v>
      </c>
      <c r="AS103" s="81" t="b">
        <v>0</v>
      </c>
      <c r="AT103" s="81"/>
      <c r="AU103" s="81">
        <v>0</v>
      </c>
      <c r="AV103" s="81"/>
      <c r="AW103" s="81" t="b">
        <v>0</v>
      </c>
      <c r="AX103" s="81" t="s">
        <v>3728</v>
      </c>
      <c r="AY103" s="84" t="str">
        <f>HYPERLINK("https://twitter.com/alifmuamin")</f>
        <v>https://twitter.com/alifmuamin</v>
      </c>
      <c r="AZ103" s="81" t="s">
        <v>66</v>
      </c>
      <c r="BA103" s="2"/>
      <c r="BB103" s="3"/>
      <c r="BC103" s="3"/>
      <c r="BD103" s="3"/>
      <c r="BE103" s="3"/>
    </row>
    <row r="104" spans="1:57" x14ac:dyDescent="0.35">
      <c r="A104" s="66" t="s">
        <v>4207</v>
      </c>
      <c r="B104" s="67"/>
      <c r="C104" s="67"/>
      <c r="D104" s="68"/>
      <c r="E104" s="94"/>
      <c r="F104" s="93" t="str">
        <f>HYPERLINK("https://pbs.twimg.com/profile_images/589763891581874176/1Xp881CI_normal.jpg")</f>
        <v>https://pbs.twimg.com/profile_images/589763891581874176/1Xp881CI_normal.jpg</v>
      </c>
      <c r="G104" s="95"/>
      <c r="H104" s="71"/>
      <c r="I104" s="72"/>
      <c r="J104" s="96"/>
      <c r="K104" s="71" t="s">
        <v>11451</v>
      </c>
      <c r="L104" s="97"/>
      <c r="M104" s="76"/>
      <c r="N104" s="76"/>
      <c r="O104" s="77"/>
      <c r="P104" s="78"/>
      <c r="Q104" s="78"/>
      <c r="R104" s="92"/>
      <c r="S104" s="92"/>
      <c r="T104" s="92"/>
      <c r="U104" s="92"/>
      <c r="V104" s="52"/>
      <c r="W104" s="52"/>
      <c r="X104" s="52"/>
      <c r="Y104" s="52"/>
      <c r="Z104" s="51"/>
      <c r="AA104" s="73"/>
      <c r="AB104" s="73"/>
      <c r="AC104" s="74"/>
      <c r="AD104" s="81" t="s">
        <v>8083</v>
      </c>
      <c r="AE104" s="86" t="s">
        <v>7802</v>
      </c>
      <c r="AF104" s="81">
        <v>1037</v>
      </c>
      <c r="AG104" s="81">
        <v>166</v>
      </c>
      <c r="AH104" s="81">
        <v>58</v>
      </c>
      <c r="AI104" s="81">
        <v>241</v>
      </c>
      <c r="AJ104" s="81"/>
      <c r="AK104" s="81" t="s">
        <v>10108</v>
      </c>
      <c r="AL104" s="81" t="s">
        <v>11015</v>
      </c>
      <c r="AM104" s="84" t="str">
        <f>HYPERLINK("https://t.co/iHBxD9cKaP")</f>
        <v>https://t.co/iHBxD9cKaP</v>
      </c>
      <c r="AN104" s="81"/>
      <c r="AO104" s="83">
        <v>42113.50576388889</v>
      </c>
      <c r="AP104" s="81"/>
      <c r="AQ104" s="81" t="b">
        <v>0</v>
      </c>
      <c r="AR104" s="81" t="b">
        <v>0</v>
      </c>
      <c r="AS104" s="81" t="b">
        <v>0</v>
      </c>
      <c r="AT104" s="81"/>
      <c r="AU104" s="81">
        <v>1</v>
      </c>
      <c r="AV104" s="84" t="str">
        <f>HYPERLINK("https://abs.twimg.com/images/themes/theme1/bg.png")</f>
        <v>https://abs.twimg.com/images/themes/theme1/bg.png</v>
      </c>
      <c r="AW104" s="81" t="b">
        <v>0</v>
      </c>
      <c r="AX104" s="81" t="s">
        <v>3728</v>
      </c>
      <c r="AY104" s="84" t="str">
        <f>HYPERLINK("https://twitter.com/vaniamaiapress")</f>
        <v>https://twitter.com/vaniamaiapress</v>
      </c>
      <c r="AZ104" s="81" t="s">
        <v>66</v>
      </c>
      <c r="BA104" s="2"/>
      <c r="BB104" s="3"/>
      <c r="BC104" s="3"/>
      <c r="BD104" s="3"/>
      <c r="BE104" s="3"/>
    </row>
    <row r="105" spans="1:57" x14ac:dyDescent="0.35">
      <c r="A105" s="66" t="s">
        <v>4208</v>
      </c>
      <c r="B105" s="67"/>
      <c r="C105" s="67"/>
      <c r="D105" s="68"/>
      <c r="E105" s="94"/>
      <c r="F105" s="93" t="str">
        <f>HYPERLINK("https://pbs.twimg.com/profile_images/1235635923435438081/UIntYrgd_normal.jpg")</f>
        <v>https://pbs.twimg.com/profile_images/1235635923435438081/UIntYrgd_normal.jpg</v>
      </c>
      <c r="G105" s="95"/>
      <c r="H105" s="71"/>
      <c r="I105" s="72"/>
      <c r="J105" s="96"/>
      <c r="K105" s="71" t="s">
        <v>11452</v>
      </c>
      <c r="L105" s="97"/>
      <c r="M105" s="76"/>
      <c r="N105" s="76"/>
      <c r="O105" s="77"/>
      <c r="P105" s="78"/>
      <c r="Q105" s="78"/>
      <c r="R105" s="92"/>
      <c r="S105" s="92"/>
      <c r="T105" s="92"/>
      <c r="U105" s="92"/>
      <c r="V105" s="52"/>
      <c r="W105" s="52"/>
      <c r="X105" s="52"/>
      <c r="Y105" s="52"/>
      <c r="Z105" s="51"/>
      <c r="AA105" s="73"/>
      <c r="AB105" s="73"/>
      <c r="AC105" s="74"/>
      <c r="AD105" s="81" t="s">
        <v>8084</v>
      </c>
      <c r="AE105" s="86" t="s">
        <v>9151</v>
      </c>
      <c r="AF105" s="81">
        <v>2020</v>
      </c>
      <c r="AG105" s="81">
        <v>2696</v>
      </c>
      <c r="AH105" s="81">
        <v>2491</v>
      </c>
      <c r="AI105" s="81">
        <v>13105</v>
      </c>
      <c r="AJ105" s="81"/>
      <c r="AK105" s="81" t="s">
        <v>10109</v>
      </c>
      <c r="AL105" s="81" t="s">
        <v>2202</v>
      </c>
      <c r="AM105" s="81"/>
      <c r="AN105" s="81"/>
      <c r="AO105" s="83">
        <v>43895.776458333334</v>
      </c>
      <c r="AP105" s="84" t="str">
        <f>HYPERLINK("https://pbs.twimg.com/profile_banners/1235635671525515265/1625951049")</f>
        <v>https://pbs.twimg.com/profile_banners/1235635671525515265/1625951049</v>
      </c>
      <c r="AQ105" s="81" t="b">
        <v>1</v>
      </c>
      <c r="AR105" s="81" t="b">
        <v>0</v>
      </c>
      <c r="AS105" s="81" t="b">
        <v>0</v>
      </c>
      <c r="AT105" s="81"/>
      <c r="AU105" s="81">
        <v>1</v>
      </c>
      <c r="AV105" s="81"/>
      <c r="AW105" s="81" t="b">
        <v>0</v>
      </c>
      <c r="AX105" s="81" t="s">
        <v>3728</v>
      </c>
      <c r="AY105" s="84" t="str">
        <f>HYPERLINK("https://twitter.com/yusuf40566090")</f>
        <v>https://twitter.com/yusuf40566090</v>
      </c>
      <c r="AZ105" s="81" t="s">
        <v>66</v>
      </c>
      <c r="BA105" s="2"/>
      <c r="BB105" s="3"/>
      <c r="BC105" s="3"/>
      <c r="BD105" s="3"/>
      <c r="BE105" s="3"/>
    </row>
    <row r="106" spans="1:57" x14ac:dyDescent="0.35">
      <c r="A106" s="66" t="s">
        <v>4257</v>
      </c>
      <c r="B106" s="67"/>
      <c r="C106" s="67"/>
      <c r="D106" s="68"/>
      <c r="E106" s="94"/>
      <c r="F106" s="93" t="str">
        <f>HYPERLINK("https://pbs.twimg.com/profile_images/1392862013420756997/RIUdvWiT_normal.jpg")</f>
        <v>https://pbs.twimg.com/profile_images/1392862013420756997/RIUdvWiT_normal.jpg</v>
      </c>
      <c r="G106" s="95"/>
      <c r="H106" s="71"/>
      <c r="I106" s="72"/>
      <c r="J106" s="96"/>
      <c r="K106" s="71" t="s">
        <v>11453</v>
      </c>
      <c r="L106" s="97"/>
      <c r="M106" s="76"/>
      <c r="N106" s="76"/>
      <c r="O106" s="77"/>
      <c r="P106" s="78"/>
      <c r="Q106" s="78"/>
      <c r="R106" s="92"/>
      <c r="S106" s="92"/>
      <c r="T106" s="92"/>
      <c r="U106" s="92"/>
      <c r="V106" s="52"/>
      <c r="W106" s="52"/>
      <c r="X106" s="52"/>
      <c r="Y106" s="52"/>
      <c r="Z106" s="51"/>
      <c r="AA106" s="73"/>
      <c r="AB106" s="73"/>
      <c r="AC106" s="74"/>
      <c r="AD106" s="81" t="s">
        <v>8085</v>
      </c>
      <c r="AE106" s="86" t="s">
        <v>9152</v>
      </c>
      <c r="AF106" s="81">
        <v>546</v>
      </c>
      <c r="AG106" s="81">
        <v>43540</v>
      </c>
      <c r="AH106" s="81">
        <v>8769</v>
      </c>
      <c r="AI106" s="81">
        <v>7727</v>
      </c>
      <c r="AJ106" s="81"/>
      <c r="AK106" s="81" t="s">
        <v>10110</v>
      </c>
      <c r="AL106" s="81" t="s">
        <v>11016</v>
      </c>
      <c r="AM106" s="81"/>
      <c r="AN106" s="81"/>
      <c r="AO106" s="83">
        <v>40419.259097222224</v>
      </c>
      <c r="AP106" s="84" t="str">
        <f>HYPERLINK("https://pbs.twimg.com/profile_banners/184309039/1598861262")</f>
        <v>https://pbs.twimg.com/profile_banners/184309039/1598861262</v>
      </c>
      <c r="AQ106" s="81" t="b">
        <v>0</v>
      </c>
      <c r="AR106" s="81" t="b">
        <v>0</v>
      </c>
      <c r="AS106" s="81" t="b">
        <v>0</v>
      </c>
      <c r="AT106" s="81"/>
      <c r="AU106" s="81">
        <v>9</v>
      </c>
      <c r="AV106" s="84" t="str">
        <f>HYPERLINK("https://abs.twimg.com/images/themes/theme1/bg.png")</f>
        <v>https://abs.twimg.com/images/themes/theme1/bg.png</v>
      </c>
      <c r="AW106" s="81" t="b">
        <v>0</v>
      </c>
      <c r="AX106" s="81" t="s">
        <v>3728</v>
      </c>
      <c r="AY106" s="84" t="str">
        <f>HYPERLINK("https://twitter.com/kita_amltf")</f>
        <v>https://twitter.com/kita_amltf</v>
      </c>
      <c r="AZ106" s="81" t="s">
        <v>66</v>
      </c>
      <c r="BA106" s="2"/>
      <c r="BB106" s="3"/>
      <c r="BC106" s="3"/>
      <c r="BD106" s="3"/>
      <c r="BE106" s="3"/>
    </row>
    <row r="107" spans="1:57" x14ac:dyDescent="0.35">
      <c r="A107" s="66" t="s">
        <v>4209</v>
      </c>
      <c r="B107" s="67"/>
      <c r="C107" s="67"/>
      <c r="D107" s="68"/>
      <c r="E107" s="94"/>
      <c r="F107" s="93" t="str">
        <f>HYPERLINK("https://pbs.twimg.com/profile_images/1426605340334837762/Lp9Zwjco_normal.jpg")</f>
        <v>https://pbs.twimg.com/profile_images/1426605340334837762/Lp9Zwjco_normal.jpg</v>
      </c>
      <c r="G107" s="95"/>
      <c r="H107" s="71"/>
      <c r="I107" s="72"/>
      <c r="J107" s="96"/>
      <c r="K107" s="71" t="s">
        <v>11454</v>
      </c>
      <c r="L107" s="97"/>
      <c r="M107" s="76"/>
      <c r="N107" s="76"/>
      <c r="O107" s="77"/>
      <c r="P107" s="78"/>
      <c r="Q107" s="78"/>
      <c r="R107" s="92"/>
      <c r="S107" s="92"/>
      <c r="T107" s="92"/>
      <c r="U107" s="92"/>
      <c r="V107" s="52"/>
      <c r="W107" s="52"/>
      <c r="X107" s="52"/>
      <c r="Y107" s="52"/>
      <c r="Z107" s="51"/>
      <c r="AA107" s="73"/>
      <c r="AB107" s="73"/>
      <c r="AC107" s="74"/>
      <c r="AD107" s="81" t="s">
        <v>8086</v>
      </c>
      <c r="AE107" s="86" t="s">
        <v>9153</v>
      </c>
      <c r="AF107" s="81">
        <v>2568</v>
      </c>
      <c r="AG107" s="81">
        <v>1541</v>
      </c>
      <c r="AH107" s="81">
        <v>51221</v>
      </c>
      <c r="AI107" s="81">
        <v>75476</v>
      </c>
      <c r="AJ107" s="81"/>
      <c r="AK107" s="84" t="str">
        <f>HYPERLINK("https://t.co/guoGADke1X
#888contest
#NKRIBebasTPPU_PT
#Sofialegit
#HostGanteng
#Gantenglegit
#cutetesty
#SobatGarangan
#OlengTetapBersama
#ap8testi")</f>
        <v>https://t.co/guoGADke1X
#888contest
#NKRIBebasTPPU_PT
#Sofialegit
#HostGanteng
#Gantenglegit
#cutetesty
#SobatGarangan
#OlengTetapBersama
#ap8testi</v>
      </c>
      <c r="AL107" s="81" t="s">
        <v>11017</v>
      </c>
      <c r="AM107" s="81"/>
      <c r="AN107" s="81"/>
      <c r="AO107" s="83">
        <v>41798.265613425923</v>
      </c>
      <c r="AP107" s="84" t="str">
        <f>HYPERLINK("https://pbs.twimg.com/profile_banners/2554019484/1630502448")</f>
        <v>https://pbs.twimg.com/profile_banners/2554019484/1630502448</v>
      </c>
      <c r="AQ107" s="81" t="b">
        <v>1</v>
      </c>
      <c r="AR107" s="81" t="b">
        <v>0</v>
      </c>
      <c r="AS107" s="81" t="b">
        <v>1</v>
      </c>
      <c r="AT107" s="81"/>
      <c r="AU107" s="81">
        <v>1</v>
      </c>
      <c r="AV107" s="84" t="str">
        <f>HYPERLINK("https://abs.twimg.com/images/themes/theme1/bg.png")</f>
        <v>https://abs.twimg.com/images/themes/theme1/bg.png</v>
      </c>
      <c r="AW107" s="81" t="b">
        <v>0</v>
      </c>
      <c r="AX107" s="81" t="s">
        <v>3728</v>
      </c>
      <c r="AY107" s="84" t="str">
        <f>HYPERLINK("https://twitter.com/kulinerbocah")</f>
        <v>https://twitter.com/kulinerbocah</v>
      </c>
      <c r="AZ107" s="81" t="s">
        <v>66</v>
      </c>
      <c r="BA107" s="2"/>
      <c r="BB107" s="3"/>
      <c r="BC107" s="3"/>
      <c r="BD107" s="3"/>
      <c r="BE107" s="3"/>
    </row>
    <row r="108" spans="1:57" x14ac:dyDescent="0.35">
      <c r="A108" s="66" t="s">
        <v>4210</v>
      </c>
      <c r="B108" s="67"/>
      <c r="C108" s="67"/>
      <c r="D108" s="68"/>
      <c r="E108" s="94"/>
      <c r="F108" s="93" t="str">
        <f>HYPERLINK("https://pbs.twimg.com/profile_images/1432263813852581891/TatcC1xp_normal.jpg")</f>
        <v>https://pbs.twimg.com/profile_images/1432263813852581891/TatcC1xp_normal.jpg</v>
      </c>
      <c r="G108" s="95"/>
      <c r="H108" s="71"/>
      <c r="I108" s="72"/>
      <c r="J108" s="96"/>
      <c r="K108" s="71" t="s">
        <v>11455</v>
      </c>
      <c r="L108" s="97"/>
      <c r="M108" s="76"/>
      <c r="N108" s="76"/>
      <c r="O108" s="77"/>
      <c r="P108" s="78"/>
      <c r="Q108" s="78"/>
      <c r="R108" s="92"/>
      <c r="S108" s="92"/>
      <c r="T108" s="92"/>
      <c r="U108" s="92"/>
      <c r="V108" s="52"/>
      <c r="W108" s="52"/>
      <c r="X108" s="52"/>
      <c r="Y108" s="52"/>
      <c r="Z108" s="51"/>
      <c r="AA108" s="73"/>
      <c r="AB108" s="73"/>
      <c r="AC108" s="74"/>
      <c r="AD108" s="81" t="s">
        <v>8087</v>
      </c>
      <c r="AE108" s="86" t="s">
        <v>9154</v>
      </c>
      <c r="AF108" s="81">
        <v>542</v>
      </c>
      <c r="AG108" s="81">
        <v>189</v>
      </c>
      <c r="AH108" s="81">
        <v>4493</v>
      </c>
      <c r="AI108" s="81">
        <v>14238</v>
      </c>
      <c r="AJ108" s="81"/>
      <c r="AK108" s="81"/>
      <c r="AL108" s="81" t="s">
        <v>3619</v>
      </c>
      <c r="AM108" s="81"/>
      <c r="AN108" s="81"/>
      <c r="AO108" s="83">
        <v>41698.096608796295</v>
      </c>
      <c r="AP108" s="84" t="str">
        <f>HYPERLINK("https://pbs.twimg.com/profile_banners/2364929450/1629102264")</f>
        <v>https://pbs.twimg.com/profile_banners/2364929450/1629102264</v>
      </c>
      <c r="AQ108" s="81" t="b">
        <v>1</v>
      </c>
      <c r="AR108" s="81" t="b">
        <v>0</v>
      </c>
      <c r="AS108" s="81" t="b">
        <v>0</v>
      </c>
      <c r="AT108" s="81"/>
      <c r="AU108" s="81">
        <v>0</v>
      </c>
      <c r="AV108" s="84" t="str">
        <f>HYPERLINK("https://abs.twimg.com/images/themes/theme1/bg.png")</f>
        <v>https://abs.twimg.com/images/themes/theme1/bg.png</v>
      </c>
      <c r="AW108" s="81" t="b">
        <v>0</v>
      </c>
      <c r="AX108" s="81" t="s">
        <v>3728</v>
      </c>
      <c r="AY108" s="84" t="str">
        <f>HYPERLINK("https://twitter.com/chenatmadja")</f>
        <v>https://twitter.com/chenatmadja</v>
      </c>
      <c r="AZ108" s="81" t="s">
        <v>66</v>
      </c>
      <c r="BA108" s="2"/>
      <c r="BB108" s="3"/>
      <c r="BC108" s="3"/>
      <c r="BD108" s="3"/>
      <c r="BE108" s="3"/>
    </row>
    <row r="109" spans="1:57" x14ac:dyDescent="0.35">
      <c r="A109" s="66" t="s">
        <v>4211</v>
      </c>
      <c r="B109" s="67"/>
      <c r="C109" s="67"/>
      <c r="D109" s="68"/>
      <c r="E109" s="94"/>
      <c r="F109" s="93" t="str">
        <f>HYPERLINK("https://pbs.twimg.com/profile_images/1440579108543426569/xXAFdInO_normal.jpg")</f>
        <v>https://pbs.twimg.com/profile_images/1440579108543426569/xXAFdInO_normal.jpg</v>
      </c>
      <c r="G109" s="95"/>
      <c r="H109" s="71"/>
      <c r="I109" s="72"/>
      <c r="J109" s="96"/>
      <c r="K109" s="71" t="s">
        <v>11456</v>
      </c>
      <c r="L109" s="97"/>
      <c r="M109" s="76"/>
      <c r="N109" s="76"/>
      <c r="O109" s="77"/>
      <c r="P109" s="78"/>
      <c r="Q109" s="78"/>
      <c r="R109" s="92"/>
      <c r="S109" s="92"/>
      <c r="T109" s="92"/>
      <c r="U109" s="92"/>
      <c r="V109" s="52"/>
      <c r="W109" s="52"/>
      <c r="X109" s="52"/>
      <c r="Y109" s="52"/>
      <c r="Z109" s="51"/>
      <c r="AA109" s="73"/>
      <c r="AB109" s="73"/>
      <c r="AC109" s="74"/>
      <c r="AD109" s="81" t="s">
        <v>8088</v>
      </c>
      <c r="AE109" s="86" t="s">
        <v>9155</v>
      </c>
      <c r="AF109" s="81">
        <v>1241</v>
      </c>
      <c r="AG109" s="81">
        <v>66</v>
      </c>
      <c r="AH109" s="81">
        <v>5149</v>
      </c>
      <c r="AI109" s="81">
        <v>1159</v>
      </c>
      <c r="AJ109" s="81"/>
      <c r="AK109" s="81" t="s">
        <v>10111</v>
      </c>
      <c r="AL109" s="81" t="s">
        <v>2202</v>
      </c>
      <c r="AM109" s="84" t="str">
        <f>HYPERLINK("https://t.co/TZqWM0Ci3O")</f>
        <v>https://t.co/TZqWM0Ci3O</v>
      </c>
      <c r="AN109" s="81"/>
      <c r="AO109" s="83">
        <v>44163.296782407408</v>
      </c>
      <c r="AP109" s="84" t="str">
        <f>HYPERLINK("https://pbs.twimg.com/profile_banners/1332581764091371521/1632295798")</f>
        <v>https://pbs.twimg.com/profile_banners/1332581764091371521/1632295798</v>
      </c>
      <c r="AQ109" s="81" t="b">
        <v>1</v>
      </c>
      <c r="AR109" s="81" t="b">
        <v>0</v>
      </c>
      <c r="AS109" s="81" t="b">
        <v>0</v>
      </c>
      <c r="AT109" s="81"/>
      <c r="AU109" s="81">
        <v>0</v>
      </c>
      <c r="AV109" s="81"/>
      <c r="AW109" s="81" t="b">
        <v>0</v>
      </c>
      <c r="AX109" s="81" t="s">
        <v>3728</v>
      </c>
      <c r="AY109" s="84" t="str">
        <f>HYPERLINK("https://twitter.com/lannajjang")</f>
        <v>https://twitter.com/lannajjang</v>
      </c>
      <c r="AZ109" s="81" t="s">
        <v>66</v>
      </c>
      <c r="BA109" s="2"/>
      <c r="BB109" s="3"/>
      <c r="BC109" s="3"/>
      <c r="BD109" s="3"/>
      <c r="BE109" s="3"/>
    </row>
    <row r="110" spans="1:57" x14ac:dyDescent="0.35">
      <c r="A110" s="66" t="s">
        <v>4212</v>
      </c>
      <c r="B110" s="67"/>
      <c r="C110" s="67"/>
      <c r="D110" s="68"/>
      <c r="E110" s="94"/>
      <c r="F110" s="93" t="str">
        <f>HYPERLINK("https://pbs.twimg.com/profile_images/1427578642758918144/iJ_QlSnG_normal.jpg")</f>
        <v>https://pbs.twimg.com/profile_images/1427578642758918144/iJ_QlSnG_normal.jpg</v>
      </c>
      <c r="G110" s="95"/>
      <c r="H110" s="71"/>
      <c r="I110" s="72"/>
      <c r="J110" s="96"/>
      <c r="K110" s="71" t="s">
        <v>11457</v>
      </c>
      <c r="L110" s="97"/>
      <c r="M110" s="76"/>
      <c r="N110" s="76"/>
      <c r="O110" s="77"/>
      <c r="P110" s="78"/>
      <c r="Q110" s="78"/>
      <c r="R110" s="92"/>
      <c r="S110" s="92"/>
      <c r="T110" s="92"/>
      <c r="U110" s="92"/>
      <c r="V110" s="52"/>
      <c r="W110" s="52"/>
      <c r="X110" s="52"/>
      <c r="Y110" s="52"/>
      <c r="Z110" s="51"/>
      <c r="AA110" s="73"/>
      <c r="AB110" s="73"/>
      <c r="AC110" s="74"/>
      <c r="AD110" s="81" t="s">
        <v>8089</v>
      </c>
      <c r="AE110" s="86" t="s">
        <v>9156</v>
      </c>
      <c r="AF110" s="81">
        <v>1606</v>
      </c>
      <c r="AG110" s="81">
        <v>33</v>
      </c>
      <c r="AH110" s="81">
        <v>9983</v>
      </c>
      <c r="AI110" s="81">
        <v>4544</v>
      </c>
      <c r="AJ110" s="81"/>
      <c r="AK110" s="81" t="s">
        <v>10112</v>
      </c>
      <c r="AL110" s="81"/>
      <c r="AM110" s="81"/>
      <c r="AN110" s="81"/>
      <c r="AO110" s="83">
        <v>44292.067835648151</v>
      </c>
      <c r="AP110" s="84" t="str">
        <f>HYPERLINK("https://pbs.twimg.com/profile_banners/1379246716541542400/1627620140")</f>
        <v>https://pbs.twimg.com/profile_banners/1379246716541542400/1627620140</v>
      </c>
      <c r="AQ110" s="81" t="b">
        <v>1</v>
      </c>
      <c r="AR110" s="81" t="b">
        <v>0</v>
      </c>
      <c r="AS110" s="81" t="b">
        <v>0</v>
      </c>
      <c r="AT110" s="81"/>
      <c r="AU110" s="81">
        <v>0</v>
      </c>
      <c r="AV110" s="81"/>
      <c r="AW110" s="81" t="b">
        <v>0</v>
      </c>
      <c r="AX110" s="81" t="s">
        <v>3728</v>
      </c>
      <c r="AY110" s="84" t="str">
        <f>HYPERLINK("https://twitter.com/hoppeluckyyyy")</f>
        <v>https://twitter.com/hoppeluckyyyy</v>
      </c>
      <c r="AZ110" s="81" t="s">
        <v>66</v>
      </c>
      <c r="BA110" s="2"/>
      <c r="BB110" s="3"/>
      <c r="BC110" s="3"/>
      <c r="BD110" s="3"/>
      <c r="BE110" s="3"/>
    </row>
    <row r="111" spans="1:57" x14ac:dyDescent="0.35">
      <c r="A111" s="66" t="s">
        <v>4213</v>
      </c>
      <c r="B111" s="67"/>
      <c r="C111" s="67"/>
      <c r="D111" s="68"/>
      <c r="E111" s="94"/>
      <c r="F111" s="93" t="str">
        <f>HYPERLINK("https://pbs.twimg.com/profile_images/1443086309803786240/JKWRSv43_normal.jpg")</f>
        <v>https://pbs.twimg.com/profile_images/1443086309803786240/JKWRSv43_normal.jpg</v>
      </c>
      <c r="G111" s="95"/>
      <c r="H111" s="71"/>
      <c r="I111" s="72"/>
      <c r="J111" s="96"/>
      <c r="K111" s="71" t="s">
        <v>11458</v>
      </c>
      <c r="L111" s="97"/>
      <c r="M111" s="76"/>
      <c r="N111" s="76"/>
      <c r="O111" s="77"/>
      <c r="P111" s="78"/>
      <c r="Q111" s="78"/>
      <c r="R111" s="92"/>
      <c r="S111" s="92"/>
      <c r="T111" s="92"/>
      <c r="U111" s="92"/>
      <c r="V111" s="52"/>
      <c r="W111" s="52"/>
      <c r="X111" s="52"/>
      <c r="Y111" s="52"/>
      <c r="Z111" s="51"/>
      <c r="AA111" s="73"/>
      <c r="AB111" s="73"/>
      <c r="AC111" s="74"/>
      <c r="AD111" s="81" t="s">
        <v>13464</v>
      </c>
      <c r="AE111" s="86" t="s">
        <v>9157</v>
      </c>
      <c r="AF111" s="81">
        <v>2287</v>
      </c>
      <c r="AG111" s="81">
        <v>107</v>
      </c>
      <c r="AH111" s="81">
        <v>9416</v>
      </c>
      <c r="AI111" s="81">
        <v>1320</v>
      </c>
      <c r="AJ111" s="81"/>
      <c r="AK111" s="81" t="s">
        <v>13922</v>
      </c>
      <c r="AL111" s="81" t="s">
        <v>11018</v>
      </c>
      <c r="AM111" s="81"/>
      <c r="AN111" s="81"/>
      <c r="AO111" s="83">
        <v>40779.080555555556</v>
      </c>
      <c r="AP111" s="84" t="str">
        <f>HYPERLINK("https://pbs.twimg.com/profile_banners/360977327/1631435670")</f>
        <v>https://pbs.twimg.com/profile_banners/360977327/1631435670</v>
      </c>
      <c r="AQ111" s="81" t="b">
        <v>0</v>
      </c>
      <c r="AR111" s="81" t="b">
        <v>0</v>
      </c>
      <c r="AS111" s="81" t="b">
        <v>1</v>
      </c>
      <c r="AT111" s="81"/>
      <c r="AU111" s="81">
        <v>0</v>
      </c>
      <c r="AV111" s="84" t="str">
        <f>HYPERLINK("https://abs.twimg.com/images/themes/theme9/bg.gif")</f>
        <v>https://abs.twimg.com/images/themes/theme9/bg.gif</v>
      </c>
      <c r="AW111" s="81" t="b">
        <v>0</v>
      </c>
      <c r="AX111" s="81" t="s">
        <v>3728</v>
      </c>
      <c r="AY111" s="84" t="str">
        <f>HYPERLINK("https://twitter.com/bigwinoctocityx")</f>
        <v>https://twitter.com/bigwinoctocityx</v>
      </c>
      <c r="AZ111" s="81" t="s">
        <v>66</v>
      </c>
      <c r="BA111" s="2"/>
      <c r="BB111" s="3"/>
      <c r="BC111" s="3"/>
      <c r="BD111" s="3"/>
      <c r="BE111" s="3"/>
    </row>
    <row r="112" spans="1:57" x14ac:dyDescent="0.35">
      <c r="A112" s="66" t="s">
        <v>4214</v>
      </c>
      <c r="B112" s="67"/>
      <c r="C112" s="67"/>
      <c r="D112" s="68"/>
      <c r="E112" s="94"/>
      <c r="F112" s="93" t="str">
        <f>HYPERLINK("https://pbs.twimg.com/profile_images/1441621339106803713/WKqAhKCU_normal.jpg")</f>
        <v>https://pbs.twimg.com/profile_images/1441621339106803713/WKqAhKCU_normal.jpg</v>
      </c>
      <c r="G112" s="95"/>
      <c r="H112" s="71"/>
      <c r="I112" s="72"/>
      <c r="J112" s="96"/>
      <c r="K112" s="71" t="s">
        <v>11459</v>
      </c>
      <c r="L112" s="97"/>
      <c r="M112" s="76"/>
      <c r="N112" s="76"/>
      <c r="O112" s="77"/>
      <c r="P112" s="78"/>
      <c r="Q112" s="78"/>
      <c r="R112" s="92"/>
      <c r="S112" s="92"/>
      <c r="T112" s="92"/>
      <c r="U112" s="92"/>
      <c r="V112" s="52"/>
      <c r="W112" s="52"/>
      <c r="X112" s="52"/>
      <c r="Y112" s="52"/>
      <c r="Z112" s="51"/>
      <c r="AA112" s="73"/>
      <c r="AB112" s="73"/>
      <c r="AC112" s="74"/>
      <c r="AD112" s="81" t="s">
        <v>8090</v>
      </c>
      <c r="AE112" s="86" t="s">
        <v>9158</v>
      </c>
      <c r="AF112" s="81">
        <v>402</v>
      </c>
      <c r="AG112" s="81">
        <v>1188</v>
      </c>
      <c r="AH112" s="81">
        <v>8113</v>
      </c>
      <c r="AI112" s="81">
        <v>24489</v>
      </c>
      <c r="AJ112" s="81"/>
      <c r="AK112" s="81" t="s">
        <v>10113</v>
      </c>
      <c r="AL112" s="81" t="s">
        <v>3677</v>
      </c>
      <c r="AM112" s="81"/>
      <c r="AN112" s="81"/>
      <c r="AO112" s="83">
        <v>43992.475844907407</v>
      </c>
      <c r="AP112" s="84" t="str">
        <f>HYPERLINK("https://pbs.twimg.com/profile_banners/1270678342908342273/1624659206")</f>
        <v>https://pbs.twimg.com/profile_banners/1270678342908342273/1624659206</v>
      </c>
      <c r="AQ112" s="81" t="b">
        <v>1</v>
      </c>
      <c r="AR112" s="81" t="b">
        <v>0</v>
      </c>
      <c r="AS112" s="81" t="b">
        <v>0</v>
      </c>
      <c r="AT112" s="81"/>
      <c r="AU112" s="81">
        <v>2</v>
      </c>
      <c r="AV112" s="81"/>
      <c r="AW112" s="81" t="b">
        <v>0</v>
      </c>
      <c r="AX112" s="81" t="s">
        <v>3728</v>
      </c>
      <c r="AY112" s="84" t="str">
        <f>HYPERLINK("https://twitter.com/hadehehh")</f>
        <v>https://twitter.com/hadehehh</v>
      </c>
      <c r="AZ112" s="81" t="s">
        <v>66</v>
      </c>
      <c r="BA112" s="2"/>
      <c r="BB112" s="3"/>
      <c r="BC112" s="3"/>
      <c r="BD112" s="3"/>
      <c r="BE112" s="3"/>
    </row>
    <row r="113" spans="1:57" x14ac:dyDescent="0.35">
      <c r="A113" s="66" t="s">
        <v>4215</v>
      </c>
      <c r="B113" s="67"/>
      <c r="C113" s="67"/>
      <c r="D113" s="68"/>
      <c r="E113" s="94"/>
      <c r="F113" s="93" t="str">
        <f>HYPERLINK("https://pbs.twimg.com/profile_images/1312958651028578304/jjX6XkTA_normal.jpg")</f>
        <v>https://pbs.twimg.com/profile_images/1312958651028578304/jjX6XkTA_normal.jpg</v>
      </c>
      <c r="G113" s="95"/>
      <c r="H113" s="71"/>
      <c r="I113" s="72"/>
      <c r="J113" s="96"/>
      <c r="K113" s="71" t="s">
        <v>11460</v>
      </c>
      <c r="L113" s="97"/>
      <c r="M113" s="76"/>
      <c r="N113" s="76"/>
      <c r="O113" s="77"/>
      <c r="P113" s="78"/>
      <c r="Q113" s="78"/>
      <c r="R113" s="92"/>
      <c r="S113" s="92"/>
      <c r="T113" s="92"/>
      <c r="U113" s="92"/>
      <c r="V113" s="52"/>
      <c r="W113" s="52"/>
      <c r="X113" s="52"/>
      <c r="Y113" s="52"/>
      <c r="Z113" s="51"/>
      <c r="AA113" s="73"/>
      <c r="AB113" s="73"/>
      <c r="AC113" s="74"/>
      <c r="AD113" s="81" t="s">
        <v>8091</v>
      </c>
      <c r="AE113" s="86" t="s">
        <v>9159</v>
      </c>
      <c r="AF113" s="81">
        <v>2920</v>
      </c>
      <c r="AG113" s="81">
        <v>939</v>
      </c>
      <c r="AH113" s="81">
        <v>21398</v>
      </c>
      <c r="AI113" s="81">
        <v>8203</v>
      </c>
      <c r="AJ113" s="81"/>
      <c r="AK113" s="81" t="s">
        <v>10114</v>
      </c>
      <c r="AL113" s="81" t="s">
        <v>11019</v>
      </c>
      <c r="AM113" s="81"/>
      <c r="AN113" s="81"/>
      <c r="AO113" s="83">
        <v>43835.51284722222</v>
      </c>
      <c r="AP113" s="84" t="str">
        <f>HYPERLINK("https://pbs.twimg.com/profile_banners/1213796838370766848/1632652009")</f>
        <v>https://pbs.twimg.com/profile_banners/1213796838370766848/1632652009</v>
      </c>
      <c r="AQ113" s="81" t="b">
        <v>1</v>
      </c>
      <c r="AR113" s="81" t="b">
        <v>0</v>
      </c>
      <c r="AS113" s="81" t="b">
        <v>1</v>
      </c>
      <c r="AT113" s="81"/>
      <c r="AU113" s="81">
        <v>0</v>
      </c>
      <c r="AV113" s="81"/>
      <c r="AW113" s="81" t="b">
        <v>0</v>
      </c>
      <c r="AX113" s="81" t="s">
        <v>3728</v>
      </c>
      <c r="AY113" s="84" t="str">
        <f>HYPERLINK("https://twitter.com/terariniy")</f>
        <v>https://twitter.com/terariniy</v>
      </c>
      <c r="AZ113" s="81" t="s">
        <v>66</v>
      </c>
      <c r="BA113" s="2"/>
      <c r="BB113" s="3"/>
      <c r="BC113" s="3"/>
      <c r="BD113" s="3"/>
      <c r="BE113" s="3"/>
    </row>
    <row r="114" spans="1:57" x14ac:dyDescent="0.35">
      <c r="A114" s="66" t="s">
        <v>4216</v>
      </c>
      <c r="B114" s="67"/>
      <c r="C114" s="67"/>
      <c r="D114" s="68"/>
      <c r="E114" s="94"/>
      <c r="F114" s="93" t="str">
        <f>HYPERLINK("https://pbs.twimg.com/profile_images/1414218603939782665/lPwar3Un_normal.jpg")</f>
        <v>https://pbs.twimg.com/profile_images/1414218603939782665/lPwar3Un_normal.jpg</v>
      </c>
      <c r="G114" s="95"/>
      <c r="H114" s="71"/>
      <c r="I114" s="72"/>
      <c r="J114" s="96"/>
      <c r="K114" s="71" t="s">
        <v>11461</v>
      </c>
      <c r="L114" s="97"/>
      <c r="M114" s="76"/>
      <c r="N114" s="76"/>
      <c r="O114" s="77"/>
      <c r="P114" s="78"/>
      <c r="Q114" s="78"/>
      <c r="R114" s="92"/>
      <c r="S114" s="92"/>
      <c r="T114" s="92"/>
      <c r="U114" s="92"/>
      <c r="V114" s="52"/>
      <c r="W114" s="52"/>
      <c r="X114" s="52"/>
      <c r="Y114" s="52"/>
      <c r="Z114" s="51"/>
      <c r="AA114" s="73"/>
      <c r="AB114" s="73"/>
      <c r="AC114" s="74"/>
      <c r="AD114" s="81" t="s">
        <v>8092</v>
      </c>
      <c r="AE114" s="86" t="s">
        <v>9160</v>
      </c>
      <c r="AF114" s="81">
        <v>2357</v>
      </c>
      <c r="AG114" s="81">
        <v>625</v>
      </c>
      <c r="AH114" s="81">
        <v>33210</v>
      </c>
      <c r="AI114" s="81">
        <v>12328</v>
      </c>
      <c r="AJ114" s="81"/>
      <c r="AK114" s="81" t="s">
        <v>10115</v>
      </c>
      <c r="AL114" s="81" t="s">
        <v>3626</v>
      </c>
      <c r="AM114" s="81"/>
      <c r="AN114" s="81"/>
      <c r="AO114" s="83">
        <v>44328.031689814816</v>
      </c>
      <c r="AP114" s="84" t="str">
        <f>HYPERLINK("https://pbs.twimg.com/profile_banners/1392279727994392577/1621120812")</f>
        <v>https://pbs.twimg.com/profile_banners/1392279727994392577/1621120812</v>
      </c>
      <c r="AQ114" s="81" t="b">
        <v>1</v>
      </c>
      <c r="AR114" s="81" t="b">
        <v>0</v>
      </c>
      <c r="AS114" s="81" t="b">
        <v>0</v>
      </c>
      <c r="AT114" s="81"/>
      <c r="AU114" s="81">
        <v>0</v>
      </c>
      <c r="AV114" s="81"/>
      <c r="AW114" s="81" t="b">
        <v>0</v>
      </c>
      <c r="AX114" s="81" t="s">
        <v>3728</v>
      </c>
      <c r="AY114" s="84" t="str">
        <f>HYPERLINK("https://twitter.com/memetwin1707_")</f>
        <v>https://twitter.com/memetwin1707_</v>
      </c>
      <c r="AZ114" s="81" t="s">
        <v>66</v>
      </c>
      <c r="BA114" s="2"/>
      <c r="BB114" s="3"/>
      <c r="BC114" s="3"/>
      <c r="BD114" s="3"/>
      <c r="BE114" s="3"/>
    </row>
    <row r="115" spans="1:57" x14ac:dyDescent="0.35">
      <c r="A115" s="66" t="s">
        <v>255</v>
      </c>
      <c r="B115" s="67"/>
      <c r="C115" s="67"/>
      <c r="D115" s="68"/>
      <c r="E115" s="94"/>
      <c r="F115" s="93" t="str">
        <f>HYPERLINK("https://pbs.twimg.com/profile_images/1441227767731736576/wPIKq29D_normal.jpg")</f>
        <v>https://pbs.twimg.com/profile_images/1441227767731736576/wPIKq29D_normal.jpg</v>
      </c>
      <c r="G115" s="95"/>
      <c r="H115" s="71"/>
      <c r="I115" s="72"/>
      <c r="J115" s="96"/>
      <c r="K115" s="71" t="s">
        <v>3781</v>
      </c>
      <c r="L115" s="97"/>
      <c r="M115" s="76"/>
      <c r="N115" s="76"/>
      <c r="O115" s="77"/>
      <c r="P115" s="78"/>
      <c r="Q115" s="78"/>
      <c r="R115" s="92"/>
      <c r="S115" s="92"/>
      <c r="T115" s="92"/>
      <c r="U115" s="92"/>
      <c r="V115" s="52"/>
      <c r="W115" s="52"/>
      <c r="X115" s="52"/>
      <c r="Y115" s="52"/>
      <c r="Z115" s="51"/>
      <c r="AA115" s="73"/>
      <c r="AB115" s="73"/>
      <c r="AC115" s="74"/>
      <c r="AD115" s="81" t="s">
        <v>2292</v>
      </c>
      <c r="AE115" s="86" t="s">
        <v>2730</v>
      </c>
      <c r="AF115" s="81">
        <v>238</v>
      </c>
      <c r="AG115" s="81">
        <v>518</v>
      </c>
      <c r="AH115" s="81">
        <v>35453</v>
      </c>
      <c r="AI115" s="81">
        <v>742</v>
      </c>
      <c r="AJ115" s="81"/>
      <c r="AK115" s="81" t="s">
        <v>3128</v>
      </c>
      <c r="AL115" s="81"/>
      <c r="AM115" s="81"/>
      <c r="AN115" s="81"/>
      <c r="AO115" s="83">
        <v>39919.296620370369</v>
      </c>
      <c r="AP115" s="84" t="str">
        <f>HYPERLINK("https://pbs.twimg.com/profile_banners/31679256/1504434512")</f>
        <v>https://pbs.twimg.com/profile_banners/31679256/1504434512</v>
      </c>
      <c r="AQ115" s="81" t="b">
        <v>0</v>
      </c>
      <c r="AR115" s="81" t="b">
        <v>0</v>
      </c>
      <c r="AS115" s="81" t="b">
        <v>0</v>
      </c>
      <c r="AT115" s="81"/>
      <c r="AU115" s="81">
        <v>0</v>
      </c>
      <c r="AV115" s="84" t="str">
        <f>HYPERLINK("https://abs.twimg.com/images/themes/theme9/bg.gif")</f>
        <v>https://abs.twimg.com/images/themes/theme9/bg.gif</v>
      </c>
      <c r="AW115" s="81" t="b">
        <v>0</v>
      </c>
      <c r="AX115" s="81" t="s">
        <v>3728</v>
      </c>
      <c r="AY115" s="84" t="str">
        <f>HYPERLINK("https://twitter.com/alyssaaudy")</f>
        <v>https://twitter.com/alyssaaudy</v>
      </c>
      <c r="AZ115" s="81" t="s">
        <v>66</v>
      </c>
      <c r="BA115" s="2"/>
      <c r="BB115" s="3"/>
      <c r="BC115" s="3"/>
      <c r="BD115" s="3"/>
      <c r="BE115" s="3"/>
    </row>
    <row r="116" spans="1:57" x14ac:dyDescent="0.35">
      <c r="A116" s="66" t="s">
        <v>4217</v>
      </c>
      <c r="B116" s="67"/>
      <c r="C116" s="67"/>
      <c r="D116" s="68"/>
      <c r="E116" s="94"/>
      <c r="F116" s="93" t="str">
        <f>HYPERLINK("https://pbs.twimg.com/profile_images/1442114086481760257/vlJnlT1j_normal.jpg")</f>
        <v>https://pbs.twimg.com/profile_images/1442114086481760257/vlJnlT1j_normal.jpg</v>
      </c>
      <c r="G116" s="95"/>
      <c r="H116" s="71"/>
      <c r="I116" s="72"/>
      <c r="J116" s="96"/>
      <c r="K116" s="71" t="s">
        <v>11462</v>
      </c>
      <c r="L116" s="97"/>
      <c r="M116" s="76"/>
      <c r="N116" s="76"/>
      <c r="O116" s="77"/>
      <c r="P116" s="78"/>
      <c r="Q116" s="78"/>
      <c r="R116" s="92"/>
      <c r="S116" s="92"/>
      <c r="T116" s="92"/>
      <c r="U116" s="92"/>
      <c r="V116" s="52"/>
      <c r="W116" s="52"/>
      <c r="X116" s="52"/>
      <c r="Y116" s="52"/>
      <c r="Z116" s="51"/>
      <c r="AA116" s="73"/>
      <c r="AB116" s="73"/>
      <c r="AC116" s="74"/>
      <c r="AD116" s="81" t="s">
        <v>8093</v>
      </c>
      <c r="AE116" s="86" t="s">
        <v>9161</v>
      </c>
      <c r="AF116" s="81">
        <v>2119</v>
      </c>
      <c r="AG116" s="81">
        <v>203</v>
      </c>
      <c r="AH116" s="81">
        <v>12304</v>
      </c>
      <c r="AI116" s="81">
        <v>15674</v>
      </c>
      <c r="AJ116" s="81"/>
      <c r="AK116" s="81" t="s">
        <v>10116</v>
      </c>
      <c r="AL116" s="81"/>
      <c r="AM116" s="81"/>
      <c r="AN116" s="81"/>
      <c r="AO116" s="83">
        <v>42920.262164351851</v>
      </c>
      <c r="AP116" s="84" t="str">
        <f>HYPERLINK("https://pbs.twimg.com/profile_banners/882121175068942336/1614180381")</f>
        <v>https://pbs.twimg.com/profile_banners/882121175068942336/1614180381</v>
      </c>
      <c r="AQ116" s="81" t="b">
        <v>0</v>
      </c>
      <c r="AR116" s="81" t="b">
        <v>0</v>
      </c>
      <c r="AS116" s="81" t="b">
        <v>0</v>
      </c>
      <c r="AT116" s="81"/>
      <c r="AU116" s="81">
        <v>0</v>
      </c>
      <c r="AV116" s="84" t="str">
        <f>HYPERLINK("https://abs.twimg.com/images/themes/theme1/bg.png")</f>
        <v>https://abs.twimg.com/images/themes/theme1/bg.png</v>
      </c>
      <c r="AW116" s="81" t="b">
        <v>0</v>
      </c>
      <c r="AX116" s="81" t="s">
        <v>3728</v>
      </c>
      <c r="AY116" s="84" t="str">
        <f>HYPERLINK("https://twitter.com/dwi_adhliza")</f>
        <v>https://twitter.com/dwi_adhliza</v>
      </c>
      <c r="AZ116" s="81" t="s">
        <v>66</v>
      </c>
      <c r="BA116" s="2"/>
      <c r="BB116" s="3"/>
      <c r="BC116" s="3"/>
      <c r="BD116" s="3"/>
      <c r="BE116" s="3"/>
    </row>
    <row r="117" spans="1:57" x14ac:dyDescent="0.35">
      <c r="A117" s="66" t="s">
        <v>4218</v>
      </c>
      <c r="B117" s="67"/>
      <c r="C117" s="67"/>
      <c r="D117" s="68"/>
      <c r="E117" s="94"/>
      <c r="F117" s="93" t="str">
        <f>HYPERLINK("https://pbs.twimg.com/profile_images/1428584321959424000/EdUSK9b3_normal.jpg")</f>
        <v>https://pbs.twimg.com/profile_images/1428584321959424000/EdUSK9b3_normal.jpg</v>
      </c>
      <c r="G117" s="95"/>
      <c r="H117" s="71"/>
      <c r="I117" s="72"/>
      <c r="J117" s="96"/>
      <c r="K117" s="71" t="s">
        <v>11463</v>
      </c>
      <c r="L117" s="97"/>
      <c r="M117" s="76"/>
      <c r="N117" s="76"/>
      <c r="O117" s="77"/>
      <c r="P117" s="78"/>
      <c r="Q117" s="78"/>
      <c r="R117" s="92"/>
      <c r="S117" s="92"/>
      <c r="T117" s="92"/>
      <c r="U117" s="92"/>
      <c r="V117" s="52"/>
      <c r="W117" s="52"/>
      <c r="X117" s="52"/>
      <c r="Y117" s="52"/>
      <c r="Z117" s="51"/>
      <c r="AA117" s="73"/>
      <c r="AB117" s="73"/>
      <c r="AC117" s="74"/>
      <c r="AD117" s="81" t="s">
        <v>8094</v>
      </c>
      <c r="AE117" s="86" t="s">
        <v>9162</v>
      </c>
      <c r="AF117" s="81">
        <v>1087</v>
      </c>
      <c r="AG117" s="81">
        <v>72</v>
      </c>
      <c r="AH117" s="81">
        <v>4629</v>
      </c>
      <c r="AI117" s="81">
        <v>1279</v>
      </c>
      <c r="AJ117" s="81"/>
      <c r="AK117" s="81" t="s">
        <v>10117</v>
      </c>
      <c r="AL117" s="81"/>
      <c r="AM117" s="81"/>
      <c r="AN117" s="81"/>
      <c r="AO117" s="83">
        <v>44396.366087962961</v>
      </c>
      <c r="AP117" s="81"/>
      <c r="AQ117" s="81" t="b">
        <v>1</v>
      </c>
      <c r="AR117" s="81" t="b">
        <v>0</v>
      </c>
      <c r="AS117" s="81" t="b">
        <v>0</v>
      </c>
      <c r="AT117" s="81"/>
      <c r="AU117" s="81">
        <v>0</v>
      </c>
      <c r="AV117" s="81"/>
      <c r="AW117" s="81" t="b">
        <v>0</v>
      </c>
      <c r="AX117" s="81" t="s">
        <v>3728</v>
      </c>
      <c r="AY117" s="84" t="str">
        <f>HYPERLINK("https://twitter.com/jodohnyaugm22")</f>
        <v>https://twitter.com/jodohnyaugm22</v>
      </c>
      <c r="AZ117" s="81" t="s">
        <v>66</v>
      </c>
      <c r="BA117" s="2"/>
      <c r="BB117" s="3"/>
      <c r="BC117" s="3"/>
      <c r="BD117" s="3"/>
      <c r="BE117" s="3"/>
    </row>
    <row r="118" spans="1:57" x14ac:dyDescent="0.35">
      <c r="A118" s="66" t="s">
        <v>4219</v>
      </c>
      <c r="B118" s="67"/>
      <c r="C118" s="67"/>
      <c r="D118" s="68"/>
      <c r="E118" s="94"/>
      <c r="F118" s="93" t="str">
        <f>HYPERLINK("https://pbs.twimg.com/profile_images/1439990786599239685/6MLWURzs_normal.jpg")</f>
        <v>https://pbs.twimg.com/profile_images/1439990786599239685/6MLWURzs_normal.jpg</v>
      </c>
      <c r="G118" s="95"/>
      <c r="H118" s="71"/>
      <c r="I118" s="72"/>
      <c r="J118" s="96"/>
      <c r="K118" s="71" t="s">
        <v>11464</v>
      </c>
      <c r="L118" s="97"/>
      <c r="M118" s="76"/>
      <c r="N118" s="76"/>
      <c r="O118" s="77"/>
      <c r="P118" s="78"/>
      <c r="Q118" s="78"/>
      <c r="R118" s="92"/>
      <c r="S118" s="92"/>
      <c r="T118" s="92"/>
      <c r="U118" s="92"/>
      <c r="V118" s="52"/>
      <c r="W118" s="52"/>
      <c r="X118" s="52"/>
      <c r="Y118" s="52"/>
      <c r="Z118" s="51"/>
      <c r="AA118" s="73"/>
      <c r="AB118" s="73"/>
      <c r="AC118" s="74"/>
      <c r="AD118" s="81" t="s">
        <v>8095</v>
      </c>
      <c r="AE118" s="86" t="s">
        <v>9163</v>
      </c>
      <c r="AF118" s="81">
        <v>422</v>
      </c>
      <c r="AG118" s="81">
        <v>128</v>
      </c>
      <c r="AH118" s="81">
        <v>2570</v>
      </c>
      <c r="AI118" s="81">
        <v>2240</v>
      </c>
      <c r="AJ118" s="81"/>
      <c r="AK118" s="81" t="s">
        <v>10118</v>
      </c>
      <c r="AL118" s="81"/>
      <c r="AM118" s="81"/>
      <c r="AN118" s="81"/>
      <c r="AO118" s="83">
        <v>44342.19458333333</v>
      </c>
      <c r="AP118" s="84" t="str">
        <f>HYPERLINK("https://pbs.twimg.com/profile_banners/1397411959922839553/1628213969")</f>
        <v>https://pbs.twimg.com/profile_banners/1397411959922839553/1628213969</v>
      </c>
      <c r="AQ118" s="81" t="b">
        <v>1</v>
      </c>
      <c r="AR118" s="81" t="b">
        <v>0</v>
      </c>
      <c r="AS118" s="81" t="b">
        <v>1</v>
      </c>
      <c r="AT118" s="81"/>
      <c r="AU118" s="81">
        <v>0</v>
      </c>
      <c r="AV118" s="81"/>
      <c r="AW118" s="81" t="b">
        <v>0</v>
      </c>
      <c r="AX118" s="81" t="s">
        <v>3728</v>
      </c>
      <c r="AY118" s="84" t="str">
        <f>HYPERLINK("https://twitter.com/udud_bongwinner")</f>
        <v>https://twitter.com/udud_bongwinner</v>
      </c>
      <c r="AZ118" s="81" t="s">
        <v>66</v>
      </c>
      <c r="BA118" s="2"/>
      <c r="BB118" s="3"/>
      <c r="BC118" s="3"/>
      <c r="BD118" s="3"/>
      <c r="BE118" s="3"/>
    </row>
    <row r="119" spans="1:57" x14ac:dyDescent="0.35">
      <c r="A119" s="66" t="s">
        <v>4220</v>
      </c>
      <c r="B119" s="67"/>
      <c r="C119" s="67"/>
      <c r="D119" s="68"/>
      <c r="E119" s="94"/>
      <c r="F119" s="93" t="str">
        <f>HYPERLINK("https://pbs.twimg.com/profile_images/1442991242837520393/Vlp3Q7tQ_normal.jpg")</f>
        <v>https://pbs.twimg.com/profile_images/1442991242837520393/Vlp3Q7tQ_normal.jpg</v>
      </c>
      <c r="G119" s="95"/>
      <c r="H119" s="71"/>
      <c r="I119" s="72"/>
      <c r="J119" s="96"/>
      <c r="K119" s="71" t="s">
        <v>11465</v>
      </c>
      <c r="L119" s="97"/>
      <c r="M119" s="76"/>
      <c r="N119" s="76"/>
      <c r="O119" s="77"/>
      <c r="P119" s="78"/>
      <c r="Q119" s="78"/>
      <c r="R119" s="92"/>
      <c r="S119" s="92"/>
      <c r="T119" s="92"/>
      <c r="U119" s="92"/>
      <c r="V119" s="52"/>
      <c r="W119" s="52"/>
      <c r="X119" s="52"/>
      <c r="Y119" s="52"/>
      <c r="Z119" s="51"/>
      <c r="AA119" s="73"/>
      <c r="AB119" s="73"/>
      <c r="AC119" s="74"/>
      <c r="AD119" s="81" t="s">
        <v>8096</v>
      </c>
      <c r="AE119" s="86" t="s">
        <v>9164</v>
      </c>
      <c r="AF119" s="81">
        <v>518</v>
      </c>
      <c r="AG119" s="81">
        <v>454</v>
      </c>
      <c r="AH119" s="81">
        <v>8562</v>
      </c>
      <c r="AI119" s="81">
        <v>12310</v>
      </c>
      <c r="AJ119" s="81"/>
      <c r="AK119" s="81" t="s">
        <v>10119</v>
      </c>
      <c r="AL119" s="81" t="s">
        <v>11020</v>
      </c>
      <c r="AM119" s="81"/>
      <c r="AN119" s="81"/>
      <c r="AO119" s="83">
        <v>43975.607997685183</v>
      </c>
      <c r="AP119" s="84" t="str">
        <f>HYPERLINK("https://pbs.twimg.com/profile_banners/1264565662103465984/1632870897")</f>
        <v>https://pbs.twimg.com/profile_banners/1264565662103465984/1632870897</v>
      </c>
      <c r="AQ119" s="81" t="b">
        <v>1</v>
      </c>
      <c r="AR119" s="81" t="b">
        <v>0</v>
      </c>
      <c r="AS119" s="81" t="b">
        <v>1</v>
      </c>
      <c r="AT119" s="81"/>
      <c r="AU119" s="81">
        <v>0</v>
      </c>
      <c r="AV119" s="81"/>
      <c r="AW119" s="81" t="b">
        <v>0</v>
      </c>
      <c r="AX119" s="81" t="s">
        <v>3728</v>
      </c>
      <c r="AY119" s="84" t="str">
        <f>HYPERLINK("https://twitter.com/orangperancis")</f>
        <v>https://twitter.com/orangperancis</v>
      </c>
      <c r="AZ119" s="81" t="s">
        <v>66</v>
      </c>
      <c r="BA119" s="2"/>
      <c r="BB119" s="3"/>
      <c r="BC119" s="3"/>
      <c r="BD119" s="3"/>
      <c r="BE119" s="3"/>
    </row>
    <row r="120" spans="1:57" x14ac:dyDescent="0.35">
      <c r="A120" s="66" t="s">
        <v>4221</v>
      </c>
      <c r="B120" s="67"/>
      <c r="C120" s="67"/>
      <c r="D120" s="68"/>
      <c r="E120" s="94"/>
      <c r="F120" s="93" t="str">
        <f>HYPERLINK("https://pbs.twimg.com/profile_images/1381058636907229184/MChg7VHg_normal.jpg")</f>
        <v>https://pbs.twimg.com/profile_images/1381058636907229184/MChg7VHg_normal.jpg</v>
      </c>
      <c r="G120" s="95"/>
      <c r="H120" s="71"/>
      <c r="I120" s="72"/>
      <c r="J120" s="96"/>
      <c r="K120" s="71" t="s">
        <v>11466</v>
      </c>
      <c r="L120" s="97"/>
      <c r="M120" s="76"/>
      <c r="N120" s="76"/>
      <c r="O120" s="77"/>
      <c r="P120" s="78"/>
      <c r="Q120" s="78"/>
      <c r="R120" s="92"/>
      <c r="S120" s="92"/>
      <c r="T120" s="92"/>
      <c r="U120" s="92"/>
      <c r="V120" s="52"/>
      <c r="W120" s="52"/>
      <c r="X120" s="52"/>
      <c r="Y120" s="52"/>
      <c r="Z120" s="51"/>
      <c r="AA120" s="73"/>
      <c r="AB120" s="73"/>
      <c r="AC120" s="74"/>
      <c r="AD120" s="81" t="s">
        <v>8097</v>
      </c>
      <c r="AE120" s="86" t="s">
        <v>9165</v>
      </c>
      <c r="AF120" s="81">
        <v>372</v>
      </c>
      <c r="AG120" s="81">
        <v>119</v>
      </c>
      <c r="AH120" s="81">
        <v>5871</v>
      </c>
      <c r="AI120" s="81">
        <v>12022</v>
      </c>
      <c r="AJ120" s="81"/>
      <c r="AK120" s="81" t="s">
        <v>10120</v>
      </c>
      <c r="AL120" s="81" t="s">
        <v>10985</v>
      </c>
      <c r="AM120" s="81"/>
      <c r="AN120" s="81"/>
      <c r="AO120" s="83">
        <v>42512.020451388889</v>
      </c>
      <c r="AP120" s="84" t="str">
        <f>HYPERLINK("https://pbs.twimg.com/profile_banners/734179328020320256/1618104799")</f>
        <v>https://pbs.twimg.com/profile_banners/734179328020320256/1618104799</v>
      </c>
      <c r="AQ120" s="81" t="b">
        <v>1</v>
      </c>
      <c r="AR120" s="81" t="b">
        <v>0</v>
      </c>
      <c r="AS120" s="81" t="b">
        <v>1</v>
      </c>
      <c r="AT120" s="81"/>
      <c r="AU120" s="81">
        <v>0</v>
      </c>
      <c r="AV120" s="81"/>
      <c r="AW120" s="81" t="b">
        <v>0</v>
      </c>
      <c r="AX120" s="81" t="s">
        <v>3728</v>
      </c>
      <c r="AY120" s="84" t="str">
        <f>HYPERLINK("https://twitter.com/paulacrisbau")</f>
        <v>https://twitter.com/paulacrisbau</v>
      </c>
      <c r="AZ120" s="81" t="s">
        <v>66</v>
      </c>
      <c r="BA120" s="2"/>
      <c r="BB120" s="3"/>
      <c r="BC120" s="3"/>
      <c r="BD120" s="3"/>
      <c r="BE120" s="3"/>
    </row>
    <row r="121" spans="1:57" x14ac:dyDescent="0.35">
      <c r="A121" s="66" t="s">
        <v>4982</v>
      </c>
      <c r="B121" s="67"/>
      <c r="C121" s="67"/>
      <c r="D121" s="68"/>
      <c r="E121" s="94"/>
      <c r="F121" s="93" t="str">
        <f>HYPERLINK("https://pbs.twimg.com/profile_images/1057631480459886595/9VPdGJJz_normal.jpg")</f>
        <v>https://pbs.twimg.com/profile_images/1057631480459886595/9VPdGJJz_normal.jpg</v>
      </c>
      <c r="G121" s="95"/>
      <c r="H121" s="71"/>
      <c r="I121" s="72"/>
      <c r="J121" s="96"/>
      <c r="K121" s="71" t="s">
        <v>11398</v>
      </c>
      <c r="L121" s="97"/>
      <c r="M121" s="76"/>
      <c r="N121" s="76"/>
      <c r="O121" s="77"/>
      <c r="P121" s="78"/>
      <c r="Q121" s="78"/>
      <c r="R121" s="92"/>
      <c r="S121" s="92"/>
      <c r="T121" s="92"/>
      <c r="U121" s="92"/>
      <c r="V121" s="52"/>
      <c r="W121" s="52"/>
      <c r="X121" s="52"/>
      <c r="Y121" s="52"/>
      <c r="Z121" s="51"/>
      <c r="AA121" s="73"/>
      <c r="AB121" s="73"/>
      <c r="AC121" s="74"/>
      <c r="AD121" s="81" t="s">
        <v>8032</v>
      </c>
      <c r="AE121" s="86" t="s">
        <v>7803</v>
      </c>
      <c r="AF121" s="81">
        <v>587</v>
      </c>
      <c r="AG121" s="81">
        <v>7047502</v>
      </c>
      <c r="AH121" s="81">
        <v>12506</v>
      </c>
      <c r="AI121" s="81">
        <v>4468</v>
      </c>
      <c r="AJ121" s="81"/>
      <c r="AK121" s="81" t="s">
        <v>10059</v>
      </c>
      <c r="AL121" s="81" t="s">
        <v>10986</v>
      </c>
      <c r="AM121" s="84" t="str">
        <f>HYPERLINK("https://t.co/bqpNS6l0al")</f>
        <v>https://t.co/bqpNS6l0al</v>
      </c>
      <c r="AN121" s="81"/>
      <c r="AO121" s="83">
        <v>40268.967870370368</v>
      </c>
      <c r="AP121" s="84" t="str">
        <f>HYPERLINK("https://pbs.twimg.com/profile_banners/128372940/1540929521")</f>
        <v>https://pbs.twimg.com/profile_banners/128372940/1540929521</v>
      </c>
      <c r="AQ121" s="81" t="b">
        <v>0</v>
      </c>
      <c r="AR121" s="81" t="b">
        <v>0</v>
      </c>
      <c r="AS121" s="81" t="b">
        <v>0</v>
      </c>
      <c r="AT121" s="81"/>
      <c r="AU121" s="81">
        <v>7430</v>
      </c>
      <c r="AV121" s="84" t="str">
        <f>HYPERLINK("https://abs.twimg.com/images/themes/theme1/bg.png")</f>
        <v>https://abs.twimg.com/images/themes/theme1/bg.png</v>
      </c>
      <c r="AW121" s="81" t="b">
        <v>1</v>
      </c>
      <c r="AX121" s="81" t="s">
        <v>3728</v>
      </c>
      <c r="AY121" s="84" t="str">
        <f>HYPERLINK("https://twitter.com/jairbolsonaro")</f>
        <v>https://twitter.com/jairbolsonaro</v>
      </c>
      <c r="AZ121" s="81" t="s">
        <v>65</v>
      </c>
      <c r="BA121" s="2"/>
      <c r="BB121" s="3"/>
      <c r="BC121" s="3"/>
      <c r="BD121" s="3"/>
      <c r="BE121" s="3"/>
    </row>
    <row r="122" spans="1:57" x14ac:dyDescent="0.35">
      <c r="A122" s="66" t="s">
        <v>4222</v>
      </c>
      <c r="B122" s="67"/>
      <c r="C122" s="67"/>
      <c r="D122" s="68"/>
      <c r="E122" s="94"/>
      <c r="F122" s="93" t="str">
        <f>HYPERLINK("https://pbs.twimg.com/profile_images/1435659579140935681/YSqlmAiI_normal.jpg")</f>
        <v>https://pbs.twimg.com/profile_images/1435659579140935681/YSqlmAiI_normal.jpg</v>
      </c>
      <c r="G122" s="95"/>
      <c r="H122" s="71"/>
      <c r="I122" s="72"/>
      <c r="J122" s="96"/>
      <c r="K122" s="71" t="s">
        <v>11467</v>
      </c>
      <c r="L122" s="97"/>
      <c r="M122" s="76"/>
      <c r="N122" s="76"/>
      <c r="O122" s="77"/>
      <c r="P122" s="78"/>
      <c r="Q122" s="78"/>
      <c r="R122" s="92"/>
      <c r="S122" s="92"/>
      <c r="T122" s="92"/>
      <c r="U122" s="92"/>
      <c r="V122" s="52"/>
      <c r="W122" s="52"/>
      <c r="X122" s="52"/>
      <c r="Y122" s="52"/>
      <c r="Z122" s="51"/>
      <c r="AA122" s="73"/>
      <c r="AB122" s="73"/>
      <c r="AC122" s="74"/>
      <c r="AD122" s="81" t="s">
        <v>8098</v>
      </c>
      <c r="AE122" s="86" t="s">
        <v>9166</v>
      </c>
      <c r="AF122" s="81">
        <v>329</v>
      </c>
      <c r="AG122" s="81">
        <v>210</v>
      </c>
      <c r="AH122" s="81">
        <v>10257</v>
      </c>
      <c r="AI122" s="81">
        <v>3541</v>
      </c>
      <c r="AJ122" s="81"/>
      <c r="AK122" s="81" t="s">
        <v>10121</v>
      </c>
      <c r="AL122" s="81" t="s">
        <v>11021</v>
      </c>
      <c r="AM122" s="81"/>
      <c r="AN122" s="81"/>
      <c r="AO122" s="83">
        <v>40419.391412037039</v>
      </c>
      <c r="AP122" s="84" t="str">
        <f>HYPERLINK("https://pbs.twimg.com/profile_banners/184347679/1538135995")</f>
        <v>https://pbs.twimg.com/profile_banners/184347679/1538135995</v>
      </c>
      <c r="AQ122" s="81" t="b">
        <v>0</v>
      </c>
      <c r="AR122" s="81" t="b">
        <v>0</v>
      </c>
      <c r="AS122" s="81" t="b">
        <v>1</v>
      </c>
      <c r="AT122" s="81"/>
      <c r="AU122" s="81">
        <v>0</v>
      </c>
      <c r="AV122" s="84" t="str">
        <f>HYPERLINK("https://abs.twimg.com/images/themes/theme16/bg.gif")</f>
        <v>https://abs.twimg.com/images/themes/theme16/bg.gif</v>
      </c>
      <c r="AW122" s="81" t="b">
        <v>0</v>
      </c>
      <c r="AX122" s="81" t="s">
        <v>3728</v>
      </c>
      <c r="AY122" s="84" t="str">
        <f>HYPERLINK("https://twitter.com/pawithmarie")</f>
        <v>https://twitter.com/pawithmarie</v>
      </c>
      <c r="AZ122" s="81" t="s">
        <v>66</v>
      </c>
      <c r="BA122" s="2"/>
      <c r="BB122" s="3"/>
      <c r="BC122" s="3"/>
      <c r="BD122" s="3"/>
      <c r="BE122" s="3"/>
    </row>
    <row r="123" spans="1:57" x14ac:dyDescent="0.35">
      <c r="A123" s="66" t="s">
        <v>4223</v>
      </c>
      <c r="B123" s="67"/>
      <c r="C123" s="67"/>
      <c r="D123" s="68"/>
      <c r="E123" s="94"/>
      <c r="F123" s="93" t="str">
        <f>HYPERLINK("https://pbs.twimg.com/profile_images/1258408708306014208/9CC1kbpp_normal.jpg")</f>
        <v>https://pbs.twimg.com/profile_images/1258408708306014208/9CC1kbpp_normal.jpg</v>
      </c>
      <c r="G123" s="95"/>
      <c r="H123" s="71"/>
      <c r="I123" s="72"/>
      <c r="J123" s="96"/>
      <c r="K123" s="71" t="s">
        <v>11468</v>
      </c>
      <c r="L123" s="97"/>
      <c r="M123" s="76"/>
      <c r="N123" s="76"/>
      <c r="O123" s="77"/>
      <c r="P123" s="78"/>
      <c r="Q123" s="78"/>
      <c r="R123" s="92"/>
      <c r="S123" s="92"/>
      <c r="T123" s="92"/>
      <c r="U123" s="92"/>
      <c r="V123" s="52"/>
      <c r="W123" s="52"/>
      <c r="X123" s="52"/>
      <c r="Y123" s="52"/>
      <c r="Z123" s="51"/>
      <c r="AA123" s="73"/>
      <c r="AB123" s="73"/>
      <c r="AC123" s="74"/>
      <c r="AD123" s="81" t="s">
        <v>8099</v>
      </c>
      <c r="AE123" s="86" t="s">
        <v>9167</v>
      </c>
      <c r="AF123" s="81">
        <v>851</v>
      </c>
      <c r="AG123" s="81">
        <v>367</v>
      </c>
      <c r="AH123" s="81">
        <v>682</v>
      </c>
      <c r="AI123" s="81">
        <v>1872</v>
      </c>
      <c r="AJ123" s="81"/>
      <c r="AK123" s="81" t="s">
        <v>10122</v>
      </c>
      <c r="AL123" s="81" t="s">
        <v>11022</v>
      </c>
      <c r="AM123" s="84" t="str">
        <f>HYPERLINK("https://t.co/8GgoE4qHA2")</f>
        <v>https://t.co/8GgoE4qHA2</v>
      </c>
      <c r="AN123" s="81"/>
      <c r="AO123" s="83">
        <v>39610.583391203705</v>
      </c>
      <c r="AP123" s="81"/>
      <c r="AQ123" s="81" t="b">
        <v>1</v>
      </c>
      <c r="AR123" s="81" t="b">
        <v>0</v>
      </c>
      <c r="AS123" s="81" t="b">
        <v>0</v>
      </c>
      <c r="AT123" s="81"/>
      <c r="AU123" s="81">
        <v>4</v>
      </c>
      <c r="AV123" s="84" t="str">
        <f>HYPERLINK("https://abs.twimg.com/images/themes/theme1/bg.png")</f>
        <v>https://abs.twimg.com/images/themes/theme1/bg.png</v>
      </c>
      <c r="AW123" s="81" t="b">
        <v>0</v>
      </c>
      <c r="AX123" s="81" t="s">
        <v>3728</v>
      </c>
      <c r="AY123" s="84" t="str">
        <f>HYPERLINK("https://twitter.com/raonilourenco")</f>
        <v>https://twitter.com/raonilourenco</v>
      </c>
      <c r="AZ123" s="81" t="s">
        <v>66</v>
      </c>
      <c r="BA123" s="2"/>
      <c r="BB123" s="3"/>
      <c r="BC123" s="3"/>
      <c r="BD123" s="3"/>
      <c r="BE123" s="3"/>
    </row>
    <row r="124" spans="1:57" x14ac:dyDescent="0.35">
      <c r="A124" s="66" t="s">
        <v>4224</v>
      </c>
      <c r="B124" s="67"/>
      <c r="C124" s="67"/>
      <c r="D124" s="68"/>
      <c r="E124" s="94"/>
      <c r="F124" s="93" t="str">
        <f>HYPERLINK("https://pbs.twimg.com/profile_images/1107916564773244929/46TjaXhC_normal.jpg")</f>
        <v>https://pbs.twimg.com/profile_images/1107916564773244929/46TjaXhC_normal.jpg</v>
      </c>
      <c r="G124" s="95"/>
      <c r="H124" s="71"/>
      <c r="I124" s="72"/>
      <c r="J124" s="96"/>
      <c r="K124" s="71" t="s">
        <v>11469</v>
      </c>
      <c r="L124" s="97"/>
      <c r="M124" s="76"/>
      <c r="N124" s="76"/>
      <c r="O124" s="77"/>
      <c r="P124" s="78"/>
      <c r="Q124" s="78"/>
      <c r="R124" s="92"/>
      <c r="S124" s="92"/>
      <c r="T124" s="92"/>
      <c r="U124" s="92"/>
      <c r="V124" s="52"/>
      <c r="W124" s="52"/>
      <c r="X124" s="52"/>
      <c r="Y124" s="52"/>
      <c r="Z124" s="51"/>
      <c r="AA124" s="73"/>
      <c r="AB124" s="73"/>
      <c r="AC124" s="74"/>
      <c r="AD124" s="81" t="s">
        <v>8100</v>
      </c>
      <c r="AE124" s="86" t="s">
        <v>9168</v>
      </c>
      <c r="AF124" s="81">
        <v>240</v>
      </c>
      <c r="AG124" s="81">
        <v>53</v>
      </c>
      <c r="AH124" s="81">
        <v>818</v>
      </c>
      <c r="AI124" s="81">
        <v>3330</v>
      </c>
      <c r="AJ124" s="81"/>
      <c r="AK124" s="81" t="s">
        <v>10123</v>
      </c>
      <c r="AL124" s="81" t="s">
        <v>11023</v>
      </c>
      <c r="AM124" s="81"/>
      <c r="AN124" s="81"/>
      <c r="AO124" s="83">
        <v>42761.616851851853</v>
      </c>
      <c r="AP124" s="84" t="str">
        <f>HYPERLINK("https://pbs.twimg.com/profile_banners/824630037412343808/1548837381")</f>
        <v>https://pbs.twimg.com/profile_banners/824630037412343808/1548837381</v>
      </c>
      <c r="AQ124" s="81" t="b">
        <v>1</v>
      </c>
      <c r="AR124" s="81" t="b">
        <v>0</v>
      </c>
      <c r="AS124" s="81" t="b">
        <v>0</v>
      </c>
      <c r="AT124" s="81"/>
      <c r="AU124" s="81">
        <v>0</v>
      </c>
      <c r="AV124" s="81"/>
      <c r="AW124" s="81" t="b">
        <v>0</v>
      </c>
      <c r="AX124" s="81" t="s">
        <v>3728</v>
      </c>
      <c r="AY124" s="84" t="str">
        <f>HYPERLINK("https://twitter.com/astiani_ani")</f>
        <v>https://twitter.com/astiani_ani</v>
      </c>
      <c r="AZ124" s="81" t="s">
        <v>66</v>
      </c>
      <c r="BA124" s="2"/>
      <c r="BB124" s="3"/>
      <c r="BC124" s="3"/>
      <c r="BD124" s="3"/>
      <c r="BE124" s="3"/>
    </row>
    <row r="125" spans="1:57" x14ac:dyDescent="0.35">
      <c r="A125" s="66" t="s">
        <v>4225</v>
      </c>
      <c r="B125" s="67"/>
      <c r="C125" s="67"/>
      <c r="D125" s="68"/>
      <c r="E125" s="94"/>
      <c r="F125" s="93" t="str">
        <f>HYPERLINK("https://pbs.twimg.com/profile_images/1360568637833191432/UOTDEXeM_normal.jpg")</f>
        <v>https://pbs.twimg.com/profile_images/1360568637833191432/UOTDEXeM_normal.jpg</v>
      </c>
      <c r="G125" s="95"/>
      <c r="H125" s="71"/>
      <c r="I125" s="72"/>
      <c r="J125" s="96"/>
      <c r="K125" s="71" t="s">
        <v>11470</v>
      </c>
      <c r="L125" s="97"/>
      <c r="M125" s="76"/>
      <c r="N125" s="76"/>
      <c r="O125" s="77"/>
      <c r="P125" s="78"/>
      <c r="Q125" s="78"/>
      <c r="R125" s="92"/>
      <c r="S125" s="92"/>
      <c r="T125" s="92"/>
      <c r="U125" s="92"/>
      <c r="V125" s="52"/>
      <c r="W125" s="52"/>
      <c r="X125" s="52"/>
      <c r="Y125" s="52"/>
      <c r="Z125" s="51"/>
      <c r="AA125" s="73"/>
      <c r="AB125" s="73"/>
      <c r="AC125" s="74"/>
      <c r="AD125" s="81" t="s">
        <v>8101</v>
      </c>
      <c r="AE125" s="86" t="s">
        <v>9169</v>
      </c>
      <c r="AF125" s="81">
        <v>3944</v>
      </c>
      <c r="AG125" s="81">
        <v>3993</v>
      </c>
      <c r="AH125" s="81">
        <v>2871</v>
      </c>
      <c r="AI125" s="81">
        <v>39175</v>
      </c>
      <c r="AJ125" s="81"/>
      <c r="AK125" s="81" t="s">
        <v>10124</v>
      </c>
      <c r="AL125" s="81" t="s">
        <v>11024</v>
      </c>
      <c r="AM125" s="81"/>
      <c r="AN125" s="81"/>
      <c r="AO125" s="83">
        <v>43979.630891203706</v>
      </c>
      <c r="AP125" s="84" t="str">
        <f>HYPERLINK("https://pbs.twimg.com/profile_banners/1266023464663568396/1613355946")</f>
        <v>https://pbs.twimg.com/profile_banners/1266023464663568396/1613355946</v>
      </c>
      <c r="AQ125" s="81" t="b">
        <v>1</v>
      </c>
      <c r="AR125" s="81" t="b">
        <v>0</v>
      </c>
      <c r="AS125" s="81" t="b">
        <v>0</v>
      </c>
      <c r="AT125" s="81"/>
      <c r="AU125" s="81">
        <v>0</v>
      </c>
      <c r="AV125" s="81"/>
      <c r="AW125" s="81" t="b">
        <v>0</v>
      </c>
      <c r="AX125" s="81" t="s">
        <v>3728</v>
      </c>
      <c r="AY125" s="84" t="str">
        <f>HYPERLINK("https://twitter.com/musarudy_stpl")</f>
        <v>https://twitter.com/musarudy_stpl</v>
      </c>
      <c r="AZ125" s="81" t="s">
        <v>66</v>
      </c>
      <c r="BA125" s="2"/>
      <c r="BB125" s="3"/>
      <c r="BC125" s="3"/>
      <c r="BD125" s="3"/>
      <c r="BE125" s="3"/>
    </row>
    <row r="126" spans="1:57" x14ac:dyDescent="0.35">
      <c r="A126" s="66" t="s">
        <v>256</v>
      </c>
      <c r="B126" s="67"/>
      <c r="C126" s="67"/>
      <c r="D126" s="68"/>
      <c r="E126" s="94"/>
      <c r="F126" s="93" t="str">
        <f>HYPERLINK("https://pbs.twimg.com/profile_images/1433076098808438786/YEr4UQyd_normal.jpg")</f>
        <v>https://pbs.twimg.com/profile_images/1433076098808438786/YEr4UQyd_normal.jpg</v>
      </c>
      <c r="G126" s="95"/>
      <c r="H126" s="71"/>
      <c r="I126" s="72"/>
      <c r="J126" s="96"/>
      <c r="K126" s="71" t="s">
        <v>3782</v>
      </c>
      <c r="L126" s="97"/>
      <c r="M126" s="76"/>
      <c r="N126" s="76"/>
      <c r="O126" s="77"/>
      <c r="P126" s="78"/>
      <c r="Q126" s="78"/>
      <c r="R126" s="92"/>
      <c r="S126" s="92"/>
      <c r="T126" s="92"/>
      <c r="U126" s="92"/>
      <c r="V126" s="52"/>
      <c r="W126" s="52"/>
      <c r="X126" s="52"/>
      <c r="Y126" s="52"/>
      <c r="Z126" s="51"/>
      <c r="AA126" s="73"/>
      <c r="AB126" s="73"/>
      <c r="AC126" s="74"/>
      <c r="AD126" s="81" t="s">
        <v>2293</v>
      </c>
      <c r="AE126" s="86" t="s">
        <v>2731</v>
      </c>
      <c r="AF126" s="81">
        <v>21</v>
      </c>
      <c r="AG126" s="81">
        <v>8</v>
      </c>
      <c r="AH126" s="81">
        <v>836</v>
      </c>
      <c r="AI126" s="81">
        <v>593</v>
      </c>
      <c r="AJ126" s="81"/>
      <c r="AK126" s="81"/>
      <c r="AL126" s="81" t="s">
        <v>3514</v>
      </c>
      <c r="AM126" s="81"/>
      <c r="AN126" s="81"/>
      <c r="AO126" s="83">
        <v>44324.110243055555</v>
      </c>
      <c r="AP126" s="81"/>
      <c r="AQ126" s="81" t="b">
        <v>1</v>
      </c>
      <c r="AR126" s="81" t="b">
        <v>0</v>
      </c>
      <c r="AS126" s="81" t="b">
        <v>1</v>
      </c>
      <c r="AT126" s="81"/>
      <c r="AU126" s="81">
        <v>0</v>
      </c>
      <c r="AV126" s="81"/>
      <c r="AW126" s="81" t="b">
        <v>0</v>
      </c>
      <c r="AX126" s="81" t="s">
        <v>3728</v>
      </c>
      <c r="AY126" s="84" t="str">
        <f>HYPERLINK("https://twitter.com/cheesychoc")</f>
        <v>https://twitter.com/cheesychoc</v>
      </c>
      <c r="AZ126" s="81" t="s">
        <v>66</v>
      </c>
      <c r="BA126" s="2"/>
      <c r="BB126" s="3"/>
      <c r="BC126" s="3"/>
      <c r="BD126" s="3"/>
      <c r="BE126" s="3"/>
    </row>
    <row r="127" spans="1:57" x14ac:dyDescent="0.35">
      <c r="A127" s="66" t="s">
        <v>4226</v>
      </c>
      <c r="B127" s="67"/>
      <c r="C127" s="67"/>
      <c r="D127" s="68"/>
      <c r="E127" s="94"/>
      <c r="F127" s="93" t="str">
        <f>HYPERLINK("https://pbs.twimg.com/profile_images/1351535724567248896/2jMyxgiq_normal.jpg")</f>
        <v>https://pbs.twimg.com/profile_images/1351535724567248896/2jMyxgiq_normal.jpg</v>
      </c>
      <c r="G127" s="95"/>
      <c r="H127" s="71"/>
      <c r="I127" s="72"/>
      <c r="J127" s="96"/>
      <c r="K127" s="71" t="s">
        <v>11471</v>
      </c>
      <c r="L127" s="97"/>
      <c r="M127" s="76"/>
      <c r="N127" s="76"/>
      <c r="O127" s="77"/>
      <c r="P127" s="78"/>
      <c r="Q127" s="78"/>
      <c r="R127" s="92"/>
      <c r="S127" s="92"/>
      <c r="T127" s="92"/>
      <c r="U127" s="92"/>
      <c r="V127" s="52"/>
      <c r="W127" s="52"/>
      <c r="X127" s="52"/>
      <c r="Y127" s="52"/>
      <c r="Z127" s="51"/>
      <c r="AA127" s="73"/>
      <c r="AB127" s="73"/>
      <c r="AC127" s="74"/>
      <c r="AD127" s="81" t="s">
        <v>8102</v>
      </c>
      <c r="AE127" s="86" t="s">
        <v>9170</v>
      </c>
      <c r="AF127" s="81">
        <v>2031</v>
      </c>
      <c r="AG127" s="81">
        <v>2497</v>
      </c>
      <c r="AH127" s="81">
        <v>34250</v>
      </c>
      <c r="AI127" s="81">
        <v>103910</v>
      </c>
      <c r="AJ127" s="81"/>
      <c r="AK127" s="81" t="s">
        <v>10125</v>
      </c>
      <c r="AL127" s="81"/>
      <c r="AM127" s="81"/>
      <c r="AN127" s="81"/>
      <c r="AO127" s="83">
        <v>43572.501261574071</v>
      </c>
      <c r="AP127" s="84" t="str">
        <f>HYPERLINK("https://pbs.twimg.com/profile_banners/1118484708424216577/1605585222")</f>
        <v>https://pbs.twimg.com/profile_banners/1118484708424216577/1605585222</v>
      </c>
      <c r="AQ127" s="81" t="b">
        <v>1</v>
      </c>
      <c r="AR127" s="81" t="b">
        <v>0</v>
      </c>
      <c r="AS127" s="81" t="b">
        <v>1</v>
      </c>
      <c r="AT127" s="81"/>
      <c r="AU127" s="81">
        <v>0</v>
      </c>
      <c r="AV127" s="81"/>
      <c r="AW127" s="81" t="b">
        <v>0</v>
      </c>
      <c r="AX127" s="81" t="s">
        <v>3728</v>
      </c>
      <c r="AY127" s="84" t="str">
        <f>HYPERLINK("https://twitter.com/yusuwaw")</f>
        <v>https://twitter.com/yusuwaw</v>
      </c>
      <c r="AZ127" s="81" t="s">
        <v>66</v>
      </c>
      <c r="BA127" s="2"/>
      <c r="BB127" s="3"/>
      <c r="BC127" s="3"/>
      <c r="BD127" s="3"/>
      <c r="BE127" s="3"/>
    </row>
    <row r="128" spans="1:57" x14ac:dyDescent="0.35">
      <c r="A128" s="66" t="s">
        <v>4227</v>
      </c>
      <c r="B128" s="67"/>
      <c r="C128" s="67"/>
      <c r="D128" s="68"/>
      <c r="E128" s="94"/>
      <c r="F128" s="93" t="str">
        <f>HYPERLINK("https://pbs.twimg.com/profile_images/1420015638727245830/I2e18-Ic_normal.jpg")</f>
        <v>https://pbs.twimg.com/profile_images/1420015638727245830/I2e18-Ic_normal.jpg</v>
      </c>
      <c r="G128" s="95"/>
      <c r="H128" s="71"/>
      <c r="I128" s="72"/>
      <c r="J128" s="96"/>
      <c r="K128" s="71" t="s">
        <v>11472</v>
      </c>
      <c r="L128" s="97"/>
      <c r="M128" s="76"/>
      <c r="N128" s="76"/>
      <c r="O128" s="77"/>
      <c r="P128" s="78"/>
      <c r="Q128" s="78"/>
      <c r="R128" s="92"/>
      <c r="S128" s="92"/>
      <c r="T128" s="92"/>
      <c r="U128" s="92"/>
      <c r="V128" s="52"/>
      <c r="W128" s="52"/>
      <c r="X128" s="52"/>
      <c r="Y128" s="52"/>
      <c r="Z128" s="51"/>
      <c r="AA128" s="73"/>
      <c r="AB128" s="73"/>
      <c r="AC128" s="74"/>
      <c r="AD128" s="81" t="s">
        <v>8103</v>
      </c>
      <c r="AE128" s="86" t="s">
        <v>9171</v>
      </c>
      <c r="AF128" s="81">
        <v>221</v>
      </c>
      <c r="AG128" s="81">
        <v>183</v>
      </c>
      <c r="AH128" s="81">
        <v>3216</v>
      </c>
      <c r="AI128" s="81">
        <v>27188</v>
      </c>
      <c r="AJ128" s="81"/>
      <c r="AK128" s="81">
        <v>27</v>
      </c>
      <c r="AL128" s="81"/>
      <c r="AM128" s="81"/>
      <c r="AN128" s="81"/>
      <c r="AO128" s="83">
        <v>42012.801377314812</v>
      </c>
      <c r="AP128" s="84" t="str">
        <f>HYPERLINK("https://pbs.twimg.com/profile_banners/2968399834/1616691521")</f>
        <v>https://pbs.twimg.com/profile_banners/2968399834/1616691521</v>
      </c>
      <c r="AQ128" s="81" t="b">
        <v>1</v>
      </c>
      <c r="AR128" s="81" t="b">
        <v>0</v>
      </c>
      <c r="AS128" s="81" t="b">
        <v>1</v>
      </c>
      <c r="AT128" s="81"/>
      <c r="AU128" s="81">
        <v>0</v>
      </c>
      <c r="AV128" s="84" t="str">
        <f>HYPERLINK("https://abs.twimg.com/images/themes/theme1/bg.png")</f>
        <v>https://abs.twimg.com/images/themes/theme1/bg.png</v>
      </c>
      <c r="AW128" s="81" t="b">
        <v>0</v>
      </c>
      <c r="AX128" s="81" t="s">
        <v>3728</v>
      </c>
      <c r="AY128" s="84" t="str">
        <f>HYPERLINK("https://twitter.com/anapslu")</f>
        <v>https://twitter.com/anapslu</v>
      </c>
      <c r="AZ128" s="81" t="s">
        <v>66</v>
      </c>
      <c r="BA128" s="2"/>
      <c r="BB128" s="3"/>
      <c r="BC128" s="3"/>
      <c r="BD128" s="3"/>
      <c r="BE128" s="3"/>
    </row>
    <row r="129" spans="1:57" x14ac:dyDescent="0.35">
      <c r="A129" s="66" t="s">
        <v>4228</v>
      </c>
      <c r="B129" s="67"/>
      <c r="C129" s="67"/>
      <c r="D129" s="68"/>
      <c r="E129" s="94"/>
      <c r="F129" s="93" t="str">
        <f>HYPERLINK("https://pbs.twimg.com/profile_images/1254932341107154944/y9iFJBRU_normal.jpg")</f>
        <v>https://pbs.twimg.com/profile_images/1254932341107154944/y9iFJBRU_normal.jpg</v>
      </c>
      <c r="G129" s="95"/>
      <c r="H129" s="71"/>
      <c r="I129" s="72"/>
      <c r="J129" s="96"/>
      <c r="K129" s="71" t="s">
        <v>11473</v>
      </c>
      <c r="L129" s="97"/>
      <c r="M129" s="76"/>
      <c r="N129" s="76"/>
      <c r="O129" s="77"/>
      <c r="P129" s="78"/>
      <c r="Q129" s="78"/>
      <c r="R129" s="92"/>
      <c r="S129" s="92"/>
      <c r="T129" s="92"/>
      <c r="U129" s="92"/>
      <c r="V129" s="52"/>
      <c r="W129" s="52"/>
      <c r="X129" s="52"/>
      <c r="Y129" s="52"/>
      <c r="Z129" s="51"/>
      <c r="AA129" s="73"/>
      <c r="AB129" s="73"/>
      <c r="AC129" s="74"/>
      <c r="AD129" s="81" t="s">
        <v>8104</v>
      </c>
      <c r="AE129" s="86" t="s">
        <v>9172</v>
      </c>
      <c r="AF129" s="81">
        <v>168</v>
      </c>
      <c r="AG129" s="81">
        <v>83</v>
      </c>
      <c r="AH129" s="81">
        <v>1809</v>
      </c>
      <c r="AI129" s="81">
        <v>9657</v>
      </c>
      <c r="AJ129" s="81"/>
      <c r="AK129" s="81" t="s">
        <v>10126</v>
      </c>
      <c r="AL129" s="81"/>
      <c r="AM129" s="81"/>
      <c r="AN129" s="81"/>
      <c r="AO129" s="83">
        <v>43945.695694444446</v>
      </c>
      <c r="AP129" s="84" t="str">
        <f>HYPERLINK("https://pbs.twimg.com/profile_banners/1253725809350672390/1606709755")</f>
        <v>https://pbs.twimg.com/profile_banners/1253725809350672390/1606709755</v>
      </c>
      <c r="AQ129" s="81" t="b">
        <v>1</v>
      </c>
      <c r="AR129" s="81" t="b">
        <v>0</v>
      </c>
      <c r="AS129" s="81" t="b">
        <v>0</v>
      </c>
      <c r="AT129" s="81"/>
      <c r="AU129" s="81">
        <v>0</v>
      </c>
      <c r="AV129" s="81"/>
      <c r="AW129" s="81" t="b">
        <v>0</v>
      </c>
      <c r="AX129" s="81" t="s">
        <v>3728</v>
      </c>
      <c r="AY129" s="84" t="str">
        <f>HYPERLINK("https://twitter.com/sarita_montiell")</f>
        <v>https://twitter.com/sarita_montiell</v>
      </c>
      <c r="AZ129" s="81" t="s">
        <v>66</v>
      </c>
      <c r="BA129" s="2"/>
      <c r="BB129" s="3"/>
      <c r="BC129" s="3"/>
      <c r="BD129" s="3"/>
      <c r="BE129" s="3"/>
    </row>
    <row r="130" spans="1:57" x14ac:dyDescent="0.35">
      <c r="A130" s="66" t="s">
        <v>4229</v>
      </c>
      <c r="B130" s="67"/>
      <c r="C130" s="67"/>
      <c r="D130" s="68"/>
      <c r="E130" s="94"/>
      <c r="F130" s="93" t="str">
        <f>HYPERLINK("https://pbs.twimg.com/profile_images/1433485685688700936/nb-TcR8W_normal.jpg")</f>
        <v>https://pbs.twimg.com/profile_images/1433485685688700936/nb-TcR8W_normal.jpg</v>
      </c>
      <c r="G130" s="95"/>
      <c r="H130" s="71"/>
      <c r="I130" s="72"/>
      <c r="J130" s="96"/>
      <c r="K130" s="71" t="s">
        <v>11474</v>
      </c>
      <c r="L130" s="97"/>
      <c r="M130" s="76"/>
      <c r="N130" s="76"/>
      <c r="O130" s="77"/>
      <c r="P130" s="78"/>
      <c r="Q130" s="78"/>
      <c r="R130" s="92"/>
      <c r="S130" s="92"/>
      <c r="T130" s="92"/>
      <c r="U130" s="92"/>
      <c r="V130" s="52"/>
      <c r="W130" s="52"/>
      <c r="X130" s="52"/>
      <c r="Y130" s="52"/>
      <c r="Z130" s="51"/>
      <c r="AA130" s="73"/>
      <c r="AB130" s="73"/>
      <c r="AC130" s="74"/>
      <c r="AD130" s="81" t="s">
        <v>8105</v>
      </c>
      <c r="AE130" s="86" t="s">
        <v>9173</v>
      </c>
      <c r="AF130" s="81">
        <v>1121</v>
      </c>
      <c r="AG130" s="81">
        <v>247</v>
      </c>
      <c r="AH130" s="81">
        <v>4205</v>
      </c>
      <c r="AI130" s="81">
        <v>6678</v>
      </c>
      <c r="AJ130" s="81"/>
      <c r="AK130" s="81" t="s">
        <v>10127</v>
      </c>
      <c r="AL130" s="81" t="s">
        <v>11025</v>
      </c>
      <c r="AM130" s="84" t="str">
        <f>HYPERLINK("https://t.co/6BM5l3pgg8")</f>
        <v>https://t.co/6BM5l3pgg8</v>
      </c>
      <c r="AN130" s="81"/>
      <c r="AO130" s="83">
        <v>43282.554884259262</v>
      </c>
      <c r="AP130" s="84" t="str">
        <f>HYPERLINK("https://pbs.twimg.com/profile_banners/1013411658247442432/1627649992")</f>
        <v>https://pbs.twimg.com/profile_banners/1013411658247442432/1627649992</v>
      </c>
      <c r="AQ130" s="81" t="b">
        <v>1</v>
      </c>
      <c r="AR130" s="81" t="b">
        <v>0</v>
      </c>
      <c r="AS130" s="81" t="b">
        <v>1</v>
      </c>
      <c r="AT130" s="81"/>
      <c r="AU130" s="81">
        <v>0</v>
      </c>
      <c r="AV130" s="81"/>
      <c r="AW130" s="81" t="b">
        <v>0</v>
      </c>
      <c r="AX130" s="81" t="s">
        <v>3728</v>
      </c>
      <c r="AY130" s="84" t="str">
        <f>HYPERLINK("https://twitter.com/win_waw_wew")</f>
        <v>https://twitter.com/win_waw_wew</v>
      </c>
      <c r="AZ130" s="81" t="s">
        <v>66</v>
      </c>
      <c r="BA130" s="2"/>
      <c r="BB130" s="3"/>
      <c r="BC130" s="3"/>
      <c r="BD130" s="3"/>
      <c r="BE130" s="3"/>
    </row>
    <row r="131" spans="1:57" x14ac:dyDescent="0.35">
      <c r="A131" s="66" t="s">
        <v>4230</v>
      </c>
      <c r="B131" s="67"/>
      <c r="C131" s="67"/>
      <c r="D131" s="68"/>
      <c r="E131" s="94"/>
      <c r="F131" s="93" t="str">
        <f>HYPERLINK("https://pbs.twimg.com/profile_images/1436215972470296596/1byL7nLO_normal.jpg")</f>
        <v>https://pbs.twimg.com/profile_images/1436215972470296596/1byL7nLO_normal.jpg</v>
      </c>
      <c r="G131" s="95"/>
      <c r="H131" s="71"/>
      <c r="I131" s="72"/>
      <c r="J131" s="96"/>
      <c r="K131" s="71" t="s">
        <v>11475</v>
      </c>
      <c r="L131" s="97"/>
      <c r="M131" s="76"/>
      <c r="N131" s="76"/>
      <c r="O131" s="77"/>
      <c r="P131" s="78"/>
      <c r="Q131" s="78"/>
      <c r="R131" s="92"/>
      <c r="S131" s="92"/>
      <c r="T131" s="92"/>
      <c r="U131" s="92"/>
      <c r="V131" s="52"/>
      <c r="W131" s="52"/>
      <c r="X131" s="52"/>
      <c r="Y131" s="52"/>
      <c r="Z131" s="51"/>
      <c r="AA131" s="73"/>
      <c r="AB131" s="73"/>
      <c r="AC131" s="74"/>
      <c r="AD131" s="81" t="s">
        <v>8106</v>
      </c>
      <c r="AE131" s="86" t="s">
        <v>9174</v>
      </c>
      <c r="AF131" s="81">
        <v>5000</v>
      </c>
      <c r="AG131" s="81">
        <v>1921</v>
      </c>
      <c r="AH131" s="81">
        <v>68452</v>
      </c>
      <c r="AI131" s="81">
        <v>31952</v>
      </c>
      <c r="AJ131" s="81"/>
      <c r="AK131" s="81" t="s">
        <v>10128</v>
      </c>
      <c r="AL131" s="81"/>
      <c r="AM131" s="81"/>
      <c r="AN131" s="81"/>
      <c r="AO131" s="83">
        <v>42201.552754629629</v>
      </c>
      <c r="AP131" s="84" t="str">
        <f>HYPERLINK("https://pbs.twimg.com/profile_banners/3281646865/1627638264")</f>
        <v>https://pbs.twimg.com/profile_banners/3281646865/1627638264</v>
      </c>
      <c r="AQ131" s="81" t="b">
        <v>1</v>
      </c>
      <c r="AR131" s="81" t="b">
        <v>0</v>
      </c>
      <c r="AS131" s="81" t="b">
        <v>0</v>
      </c>
      <c r="AT131" s="81"/>
      <c r="AU131" s="81">
        <v>0</v>
      </c>
      <c r="AV131" s="84" t="str">
        <f>HYPERLINK("https://abs.twimg.com/images/themes/theme1/bg.png")</f>
        <v>https://abs.twimg.com/images/themes/theme1/bg.png</v>
      </c>
      <c r="AW131" s="81" t="b">
        <v>0</v>
      </c>
      <c r="AX131" s="81" t="s">
        <v>3728</v>
      </c>
      <c r="AY131" s="84" t="str">
        <f>HYPERLINK("https://twitter.com/kalitrizal")</f>
        <v>https://twitter.com/kalitrizal</v>
      </c>
      <c r="AZ131" s="81" t="s">
        <v>66</v>
      </c>
      <c r="BA131" s="2"/>
      <c r="BB131" s="3"/>
      <c r="BC131" s="3"/>
      <c r="BD131" s="3"/>
      <c r="BE131" s="3"/>
    </row>
    <row r="132" spans="1:57" x14ac:dyDescent="0.35">
      <c r="A132" s="66" t="s">
        <v>4231</v>
      </c>
      <c r="B132" s="67"/>
      <c r="C132" s="67"/>
      <c r="D132" s="68"/>
      <c r="E132" s="94"/>
      <c r="F132" s="93" t="str">
        <f>HYPERLINK("https://pbs.twimg.com/profile_images/1437027189845753861/i-daJ90-_normal.jpg")</f>
        <v>https://pbs.twimg.com/profile_images/1437027189845753861/i-daJ90-_normal.jpg</v>
      </c>
      <c r="G132" s="95"/>
      <c r="H132" s="71"/>
      <c r="I132" s="72"/>
      <c r="J132" s="96"/>
      <c r="K132" s="71" t="s">
        <v>11476</v>
      </c>
      <c r="L132" s="97"/>
      <c r="M132" s="76"/>
      <c r="N132" s="76"/>
      <c r="O132" s="77"/>
      <c r="P132" s="78"/>
      <c r="Q132" s="78"/>
      <c r="R132" s="92"/>
      <c r="S132" s="92"/>
      <c r="T132" s="92"/>
      <c r="U132" s="92"/>
      <c r="V132" s="52"/>
      <c r="W132" s="52"/>
      <c r="X132" s="52"/>
      <c r="Y132" s="52"/>
      <c r="Z132" s="51"/>
      <c r="AA132" s="73"/>
      <c r="AB132" s="73"/>
      <c r="AC132" s="74"/>
      <c r="AD132" s="81" t="s">
        <v>8107</v>
      </c>
      <c r="AE132" s="86" t="s">
        <v>9175</v>
      </c>
      <c r="AF132" s="81">
        <v>274</v>
      </c>
      <c r="AG132" s="81">
        <v>170</v>
      </c>
      <c r="AH132" s="81">
        <v>10090</v>
      </c>
      <c r="AI132" s="81">
        <v>2083</v>
      </c>
      <c r="AJ132" s="81"/>
      <c r="AK132" s="81" t="s">
        <v>10129</v>
      </c>
      <c r="AL132" s="81" t="s">
        <v>11026</v>
      </c>
      <c r="AM132" s="81"/>
      <c r="AN132" s="81"/>
      <c r="AO132" s="83">
        <v>41910.662546296298</v>
      </c>
      <c r="AP132" s="84" t="str">
        <f>HYPERLINK("https://pbs.twimg.com/profile_banners/2835212822/1629461731")</f>
        <v>https://pbs.twimg.com/profile_banners/2835212822/1629461731</v>
      </c>
      <c r="AQ132" s="81" t="b">
        <v>1</v>
      </c>
      <c r="AR132" s="81" t="b">
        <v>0</v>
      </c>
      <c r="AS132" s="81" t="b">
        <v>1</v>
      </c>
      <c r="AT132" s="81"/>
      <c r="AU132" s="81">
        <v>0</v>
      </c>
      <c r="AV132" s="84" t="str">
        <f>HYPERLINK("https://abs.twimg.com/images/themes/theme1/bg.png")</f>
        <v>https://abs.twimg.com/images/themes/theme1/bg.png</v>
      </c>
      <c r="AW132" s="81" t="b">
        <v>0</v>
      </c>
      <c r="AX132" s="81" t="s">
        <v>3728</v>
      </c>
      <c r="AY132" s="84" t="str">
        <f>HYPERLINK("https://twitter.com/b_adikusuma")</f>
        <v>https://twitter.com/b_adikusuma</v>
      </c>
      <c r="AZ132" s="81" t="s">
        <v>66</v>
      </c>
      <c r="BA132" s="2"/>
      <c r="BB132" s="3"/>
      <c r="BC132" s="3"/>
      <c r="BD132" s="3"/>
      <c r="BE132" s="3"/>
    </row>
    <row r="133" spans="1:57" x14ac:dyDescent="0.35">
      <c r="A133" s="66" t="s">
        <v>257</v>
      </c>
      <c r="B133" s="67"/>
      <c r="C133" s="67"/>
      <c r="D133" s="68"/>
      <c r="E133" s="94"/>
      <c r="F133" s="93" t="str">
        <f>HYPERLINK("https://pbs.twimg.com/profile_images/1430486611599392770/Jb6KWmpW_normal.jpg")</f>
        <v>https://pbs.twimg.com/profile_images/1430486611599392770/Jb6KWmpW_normal.jpg</v>
      </c>
      <c r="G133" s="95"/>
      <c r="H133" s="71"/>
      <c r="I133" s="72"/>
      <c r="J133" s="96"/>
      <c r="K133" s="71" t="s">
        <v>3783</v>
      </c>
      <c r="L133" s="97"/>
      <c r="M133" s="76"/>
      <c r="N133" s="76"/>
      <c r="O133" s="77"/>
      <c r="P133" s="78"/>
      <c r="Q133" s="78"/>
      <c r="R133" s="92"/>
      <c r="S133" s="92"/>
      <c r="T133" s="92"/>
      <c r="U133" s="92"/>
      <c r="V133" s="52"/>
      <c r="W133" s="52"/>
      <c r="X133" s="52"/>
      <c r="Y133" s="52"/>
      <c r="Z133" s="51"/>
      <c r="AA133" s="73"/>
      <c r="AB133" s="73"/>
      <c r="AC133" s="74"/>
      <c r="AD133" s="81" t="s">
        <v>2294</v>
      </c>
      <c r="AE133" s="86" t="s">
        <v>2732</v>
      </c>
      <c r="AF133" s="81">
        <v>16</v>
      </c>
      <c r="AG133" s="81">
        <v>2148</v>
      </c>
      <c r="AH133" s="81">
        <v>24373</v>
      </c>
      <c r="AI133" s="81">
        <v>42</v>
      </c>
      <c r="AJ133" s="81"/>
      <c r="AK133" s="81" t="s">
        <v>3129</v>
      </c>
      <c r="AL133" s="81" t="s">
        <v>3544</v>
      </c>
      <c r="AM133" s="84" t="str">
        <f>HYPERLINK("https://t.co/GLm6pSWUpU")</f>
        <v>https://t.co/GLm6pSWUpU</v>
      </c>
      <c r="AN133" s="81"/>
      <c r="AO133" s="83">
        <v>40183.328738425924</v>
      </c>
      <c r="AP133" s="84" t="str">
        <f>HYPERLINK("https://pbs.twimg.com/profile_banners/101995429/1555039835")</f>
        <v>https://pbs.twimg.com/profile_banners/101995429/1555039835</v>
      </c>
      <c r="AQ133" s="81" t="b">
        <v>0</v>
      </c>
      <c r="AR133" s="81" t="b">
        <v>0</v>
      </c>
      <c r="AS133" s="81" t="b">
        <v>1</v>
      </c>
      <c r="AT133" s="81"/>
      <c r="AU133" s="81">
        <v>17</v>
      </c>
      <c r="AV133" s="84" t="str">
        <f>HYPERLINK("https://abs.twimg.com/images/themes/theme9/bg.gif")</f>
        <v>https://abs.twimg.com/images/themes/theme9/bg.gif</v>
      </c>
      <c r="AW133" s="81" t="b">
        <v>0</v>
      </c>
      <c r="AX133" s="81" t="s">
        <v>3728</v>
      </c>
      <c r="AY133" s="84" t="str">
        <f>HYPERLINK("https://twitter.com/eljohnfmpku")</f>
        <v>https://twitter.com/eljohnfmpku</v>
      </c>
      <c r="AZ133" s="81" t="s">
        <v>66</v>
      </c>
      <c r="BA133" s="2"/>
      <c r="BB133" s="3"/>
      <c r="BC133" s="3"/>
      <c r="BD133" s="3"/>
      <c r="BE133" s="3"/>
    </row>
    <row r="134" spans="1:57" x14ac:dyDescent="0.35">
      <c r="A134" s="66" t="s">
        <v>4232</v>
      </c>
      <c r="B134" s="67"/>
      <c r="C134" s="67"/>
      <c r="D134" s="68"/>
      <c r="E134" s="94"/>
      <c r="F134" s="93" t="str">
        <f>HYPERLINK("https://pbs.twimg.com/profile_images/1441411997522821124/EWxv6sxo_normal.jpg")</f>
        <v>https://pbs.twimg.com/profile_images/1441411997522821124/EWxv6sxo_normal.jpg</v>
      </c>
      <c r="G134" s="95"/>
      <c r="H134" s="71"/>
      <c r="I134" s="72"/>
      <c r="J134" s="96"/>
      <c r="K134" s="71" t="s">
        <v>11477</v>
      </c>
      <c r="L134" s="97"/>
      <c r="M134" s="76"/>
      <c r="N134" s="76"/>
      <c r="O134" s="77"/>
      <c r="P134" s="78"/>
      <c r="Q134" s="78"/>
      <c r="R134" s="92"/>
      <c r="S134" s="92"/>
      <c r="T134" s="92"/>
      <c r="U134" s="92"/>
      <c r="V134" s="52"/>
      <c r="W134" s="52"/>
      <c r="X134" s="52"/>
      <c r="Y134" s="52"/>
      <c r="Z134" s="51"/>
      <c r="AA134" s="73"/>
      <c r="AB134" s="73"/>
      <c r="AC134" s="74"/>
      <c r="AD134" s="81" t="s">
        <v>8108</v>
      </c>
      <c r="AE134" s="86" t="s">
        <v>9176</v>
      </c>
      <c r="AF134" s="81">
        <v>2397</v>
      </c>
      <c r="AG134" s="81">
        <v>2018</v>
      </c>
      <c r="AH134" s="81">
        <v>9617</v>
      </c>
      <c r="AI134" s="81">
        <v>18934</v>
      </c>
      <c r="AJ134" s="81"/>
      <c r="AK134" s="81" t="s">
        <v>10130</v>
      </c>
      <c r="AL134" s="81" t="s">
        <v>11027</v>
      </c>
      <c r="AM134" s="81"/>
      <c r="AN134" s="81"/>
      <c r="AO134" s="83">
        <v>43802.023518518516</v>
      </c>
      <c r="AP134" s="84" t="str">
        <f>HYPERLINK("https://pbs.twimg.com/profile_banners/1201660704555536384/1610428209")</f>
        <v>https://pbs.twimg.com/profile_banners/1201660704555536384/1610428209</v>
      </c>
      <c r="AQ134" s="81" t="b">
        <v>1</v>
      </c>
      <c r="AR134" s="81" t="b">
        <v>0</v>
      </c>
      <c r="AS134" s="81" t="b">
        <v>1</v>
      </c>
      <c r="AT134" s="81"/>
      <c r="AU134" s="81">
        <v>4</v>
      </c>
      <c r="AV134" s="81"/>
      <c r="AW134" s="81" t="b">
        <v>0</v>
      </c>
      <c r="AX134" s="81" t="s">
        <v>3728</v>
      </c>
      <c r="AY134" s="84" t="str">
        <f>HYPERLINK("https://twitter.com/al_jendra")</f>
        <v>https://twitter.com/al_jendra</v>
      </c>
      <c r="AZ134" s="81" t="s">
        <v>66</v>
      </c>
      <c r="BA134" s="2"/>
      <c r="BB134" s="3"/>
      <c r="BC134" s="3"/>
      <c r="BD134" s="3"/>
      <c r="BE134" s="3"/>
    </row>
    <row r="135" spans="1:57" x14ac:dyDescent="0.35">
      <c r="A135" s="66" t="s">
        <v>4233</v>
      </c>
      <c r="B135" s="67"/>
      <c r="C135" s="67"/>
      <c r="D135" s="68"/>
      <c r="E135" s="94"/>
      <c r="F135" s="93" t="str">
        <f>HYPERLINK("https://pbs.twimg.com/profile_images/1194429391692058626/2EIxsTnf_normal.jpg")</f>
        <v>https://pbs.twimg.com/profile_images/1194429391692058626/2EIxsTnf_normal.jpg</v>
      </c>
      <c r="G135" s="95"/>
      <c r="H135" s="71"/>
      <c r="I135" s="72"/>
      <c r="J135" s="96"/>
      <c r="K135" s="71" t="s">
        <v>11478</v>
      </c>
      <c r="L135" s="97"/>
      <c r="M135" s="76"/>
      <c r="N135" s="76"/>
      <c r="O135" s="77"/>
      <c r="P135" s="78"/>
      <c r="Q135" s="78"/>
      <c r="R135" s="92"/>
      <c r="S135" s="92"/>
      <c r="T135" s="92"/>
      <c r="U135" s="92"/>
      <c r="V135" s="52"/>
      <c r="W135" s="52"/>
      <c r="X135" s="52"/>
      <c r="Y135" s="52"/>
      <c r="Z135" s="51"/>
      <c r="AA135" s="73"/>
      <c r="AB135" s="73"/>
      <c r="AC135" s="74"/>
      <c r="AD135" s="81" t="s">
        <v>8109</v>
      </c>
      <c r="AE135" s="86" t="s">
        <v>9177</v>
      </c>
      <c r="AF135" s="81">
        <v>2299</v>
      </c>
      <c r="AG135" s="81">
        <v>1532</v>
      </c>
      <c r="AH135" s="81">
        <v>48040</v>
      </c>
      <c r="AI135" s="81">
        <v>81536</v>
      </c>
      <c r="AJ135" s="81"/>
      <c r="AK135" s="81" t="s">
        <v>10131</v>
      </c>
      <c r="AL135" s="81"/>
      <c r="AM135" s="81"/>
      <c r="AN135" s="81"/>
      <c r="AO135" s="83">
        <v>43422.691145833334</v>
      </c>
      <c r="AP135" s="81"/>
      <c r="AQ135" s="81" t="b">
        <v>1</v>
      </c>
      <c r="AR135" s="81" t="b">
        <v>0</v>
      </c>
      <c r="AS135" s="81" t="b">
        <v>0</v>
      </c>
      <c r="AT135" s="81"/>
      <c r="AU135" s="81">
        <v>0</v>
      </c>
      <c r="AV135" s="81"/>
      <c r="AW135" s="81" t="b">
        <v>0</v>
      </c>
      <c r="AX135" s="81" t="s">
        <v>3728</v>
      </c>
      <c r="AY135" s="84" t="str">
        <f>HYPERLINK("https://twitter.com/veracariocabr")</f>
        <v>https://twitter.com/veracariocabr</v>
      </c>
      <c r="AZ135" s="81" t="s">
        <v>66</v>
      </c>
      <c r="BA135" s="2"/>
      <c r="BB135" s="3"/>
      <c r="BC135" s="3"/>
      <c r="BD135" s="3"/>
      <c r="BE135" s="3"/>
    </row>
    <row r="136" spans="1:57" x14ac:dyDescent="0.35">
      <c r="A136" s="66" t="s">
        <v>4235</v>
      </c>
      <c r="B136" s="67"/>
      <c r="C136" s="67"/>
      <c r="D136" s="68"/>
      <c r="E136" s="94"/>
      <c r="F136" s="93" t="str">
        <f>HYPERLINK("https://pbs.twimg.com/profile_images/1433925051275960324/4iDYk8I3_normal.jpg")</f>
        <v>https://pbs.twimg.com/profile_images/1433925051275960324/4iDYk8I3_normal.jpg</v>
      </c>
      <c r="G136" s="95"/>
      <c r="H136" s="71"/>
      <c r="I136" s="72"/>
      <c r="J136" s="96"/>
      <c r="K136" s="71" t="s">
        <v>11479</v>
      </c>
      <c r="L136" s="97"/>
      <c r="M136" s="76"/>
      <c r="N136" s="76"/>
      <c r="O136" s="77"/>
      <c r="P136" s="78"/>
      <c r="Q136" s="78"/>
      <c r="R136" s="92"/>
      <c r="S136" s="92"/>
      <c r="T136" s="92"/>
      <c r="U136" s="92"/>
      <c r="V136" s="52"/>
      <c r="W136" s="52"/>
      <c r="X136" s="52"/>
      <c r="Y136" s="52"/>
      <c r="Z136" s="51"/>
      <c r="AA136" s="73"/>
      <c r="AB136" s="73"/>
      <c r="AC136" s="74"/>
      <c r="AD136" s="81" t="s">
        <v>8110</v>
      </c>
      <c r="AE136" s="86" t="s">
        <v>9178</v>
      </c>
      <c r="AF136" s="81">
        <v>764</v>
      </c>
      <c r="AG136" s="81">
        <v>685</v>
      </c>
      <c r="AH136" s="81">
        <v>8595</v>
      </c>
      <c r="AI136" s="81">
        <v>9388</v>
      </c>
      <c r="AJ136" s="81"/>
      <c r="AK136" s="81" t="s">
        <v>10132</v>
      </c>
      <c r="AL136" s="81"/>
      <c r="AM136" s="81"/>
      <c r="AN136" s="81"/>
      <c r="AO136" s="83">
        <v>44442.94734953704</v>
      </c>
      <c r="AP136" s="84" t="str">
        <f>HYPERLINK("https://pbs.twimg.com/profile_banners/1433923721400627201/1630766445")</f>
        <v>https://pbs.twimg.com/profile_banners/1433923721400627201/1630766445</v>
      </c>
      <c r="AQ136" s="81" t="b">
        <v>1</v>
      </c>
      <c r="AR136" s="81" t="b">
        <v>0</v>
      </c>
      <c r="AS136" s="81" t="b">
        <v>0</v>
      </c>
      <c r="AT136" s="81"/>
      <c r="AU136" s="81">
        <v>0</v>
      </c>
      <c r="AV136" s="81"/>
      <c r="AW136" s="81" t="b">
        <v>0</v>
      </c>
      <c r="AX136" s="81" t="s">
        <v>3728</v>
      </c>
      <c r="AY136" s="84" t="str">
        <f>HYPERLINK("https://twitter.com/bolso228bolso22")</f>
        <v>https://twitter.com/bolso228bolso22</v>
      </c>
      <c r="AZ136" s="81" t="s">
        <v>66</v>
      </c>
      <c r="BA136" s="2"/>
      <c r="BB136" s="3"/>
      <c r="BC136" s="3"/>
      <c r="BD136" s="3"/>
      <c r="BE136" s="3"/>
    </row>
    <row r="137" spans="1:57" x14ac:dyDescent="0.35">
      <c r="A137" s="66" t="s">
        <v>4236</v>
      </c>
      <c r="B137" s="67"/>
      <c r="C137" s="67"/>
      <c r="D137" s="68"/>
      <c r="E137" s="94"/>
      <c r="F137" s="93" t="str">
        <f>HYPERLINK("https://pbs.twimg.com/profile_images/1382681490610401285/Po6hXpPT_normal.jpg")</f>
        <v>https://pbs.twimg.com/profile_images/1382681490610401285/Po6hXpPT_normal.jpg</v>
      </c>
      <c r="G137" s="95"/>
      <c r="H137" s="71"/>
      <c r="I137" s="72"/>
      <c r="J137" s="96"/>
      <c r="K137" s="71" t="s">
        <v>11480</v>
      </c>
      <c r="L137" s="97"/>
      <c r="M137" s="76"/>
      <c r="N137" s="76"/>
      <c r="O137" s="77"/>
      <c r="P137" s="78"/>
      <c r="Q137" s="78"/>
      <c r="R137" s="92"/>
      <c r="S137" s="92"/>
      <c r="T137" s="92"/>
      <c r="U137" s="92"/>
      <c r="V137" s="52"/>
      <c r="W137" s="52"/>
      <c r="X137" s="52"/>
      <c r="Y137" s="52"/>
      <c r="Z137" s="51"/>
      <c r="AA137" s="73"/>
      <c r="AB137" s="73"/>
      <c r="AC137" s="74"/>
      <c r="AD137" s="81" t="s">
        <v>8111</v>
      </c>
      <c r="AE137" s="86" t="s">
        <v>9179</v>
      </c>
      <c r="AF137" s="81">
        <v>2847</v>
      </c>
      <c r="AG137" s="81">
        <v>1728</v>
      </c>
      <c r="AH137" s="81">
        <v>4054</v>
      </c>
      <c r="AI137" s="81">
        <v>10331</v>
      </c>
      <c r="AJ137" s="81"/>
      <c r="AK137" s="81" t="s">
        <v>10133</v>
      </c>
      <c r="AL137" s="81" t="s">
        <v>3542</v>
      </c>
      <c r="AM137" s="81"/>
      <c r="AN137" s="81"/>
      <c r="AO137" s="83">
        <v>42437.655277777776</v>
      </c>
      <c r="AP137" s="84" t="str">
        <f>HYPERLINK("https://pbs.twimg.com/profile_banners/707230292596150272/1621616764")</f>
        <v>https://pbs.twimg.com/profile_banners/707230292596150272/1621616764</v>
      </c>
      <c r="AQ137" s="81" t="b">
        <v>0</v>
      </c>
      <c r="AR137" s="81" t="b">
        <v>0</v>
      </c>
      <c r="AS137" s="81" t="b">
        <v>1</v>
      </c>
      <c r="AT137" s="81"/>
      <c r="AU137" s="81">
        <v>0</v>
      </c>
      <c r="AV137" s="84" t="str">
        <f>HYPERLINK("https://abs.twimg.com/images/themes/theme1/bg.png")</f>
        <v>https://abs.twimg.com/images/themes/theme1/bg.png</v>
      </c>
      <c r="AW137" s="81" t="b">
        <v>0</v>
      </c>
      <c r="AX137" s="81" t="s">
        <v>3728</v>
      </c>
      <c r="AY137" s="84" t="str">
        <f>HYPERLINK("https://twitter.com/jalvespinheiro1")</f>
        <v>https://twitter.com/jalvespinheiro1</v>
      </c>
      <c r="AZ137" s="81" t="s">
        <v>66</v>
      </c>
      <c r="BA137" s="2"/>
      <c r="BB137" s="3"/>
      <c r="BC137" s="3"/>
      <c r="BD137" s="3"/>
      <c r="BE137" s="3"/>
    </row>
    <row r="138" spans="1:57" x14ac:dyDescent="0.35">
      <c r="A138" s="66" t="s">
        <v>258</v>
      </c>
      <c r="B138" s="67"/>
      <c r="C138" s="67"/>
      <c r="D138" s="68"/>
      <c r="E138" s="94"/>
      <c r="F138" s="93" t="str">
        <f>HYPERLINK("https://pbs.twimg.com/profile_images/1442709714844860419/BKrZk35-_normal.jpg")</f>
        <v>https://pbs.twimg.com/profile_images/1442709714844860419/BKrZk35-_normal.jpg</v>
      </c>
      <c r="G138" s="95"/>
      <c r="H138" s="71"/>
      <c r="I138" s="72"/>
      <c r="J138" s="96"/>
      <c r="K138" s="71" t="s">
        <v>3784</v>
      </c>
      <c r="L138" s="97"/>
      <c r="M138" s="76"/>
      <c r="N138" s="76"/>
      <c r="O138" s="77"/>
      <c r="P138" s="78"/>
      <c r="Q138" s="78"/>
      <c r="R138" s="92"/>
      <c r="S138" s="92"/>
      <c r="T138" s="92"/>
      <c r="U138" s="92"/>
      <c r="V138" s="52"/>
      <c r="W138" s="52"/>
      <c r="X138" s="52"/>
      <c r="Y138" s="52"/>
      <c r="Z138" s="51"/>
      <c r="AA138" s="73"/>
      <c r="AB138" s="73"/>
      <c r="AC138" s="74"/>
      <c r="AD138" s="81" t="s">
        <v>8112</v>
      </c>
      <c r="AE138" s="86" t="s">
        <v>2733</v>
      </c>
      <c r="AF138" s="81">
        <v>350</v>
      </c>
      <c r="AG138" s="81">
        <v>327</v>
      </c>
      <c r="AH138" s="81">
        <v>9318</v>
      </c>
      <c r="AI138" s="81">
        <v>5230</v>
      </c>
      <c r="AJ138" s="81"/>
      <c r="AK138" s="81"/>
      <c r="AL138" s="81" t="s">
        <v>3545</v>
      </c>
      <c r="AM138" s="84" t="str">
        <f>HYPERLINK("https://t.co/R5BsX2w6mS")</f>
        <v>https://t.co/R5BsX2w6mS</v>
      </c>
      <c r="AN138" s="81"/>
      <c r="AO138" s="83">
        <v>44010.110231481478</v>
      </c>
      <c r="AP138" s="84" t="str">
        <f>HYPERLINK("https://pbs.twimg.com/profile_banners/1277068835032449024/1629882279")</f>
        <v>https://pbs.twimg.com/profile_banners/1277068835032449024/1629882279</v>
      </c>
      <c r="AQ138" s="81" t="b">
        <v>1</v>
      </c>
      <c r="AR138" s="81" t="b">
        <v>0</v>
      </c>
      <c r="AS138" s="81" t="b">
        <v>0</v>
      </c>
      <c r="AT138" s="81"/>
      <c r="AU138" s="81">
        <v>7</v>
      </c>
      <c r="AV138" s="81"/>
      <c r="AW138" s="81" t="b">
        <v>0</v>
      </c>
      <c r="AX138" s="81" t="s">
        <v>3728</v>
      </c>
      <c r="AY138" s="84" t="str">
        <f>HYPERLINK("https://twitter.com/mcrkluv")</f>
        <v>https://twitter.com/mcrkluv</v>
      </c>
      <c r="AZ138" s="81" t="s">
        <v>66</v>
      </c>
      <c r="BA138" s="2"/>
      <c r="BB138" s="3"/>
      <c r="BC138" s="3"/>
      <c r="BD138" s="3"/>
      <c r="BE138" s="3"/>
    </row>
    <row r="139" spans="1:57" x14ac:dyDescent="0.35">
      <c r="A139" s="66" t="s">
        <v>259</v>
      </c>
      <c r="B139" s="67"/>
      <c r="C139" s="67"/>
      <c r="D139" s="68"/>
      <c r="E139" s="94"/>
      <c r="F139" s="93" t="str">
        <f>HYPERLINK("https://pbs.twimg.com/profile_images/1437053919201398784/WYwXVqCA_normal.png")</f>
        <v>https://pbs.twimg.com/profile_images/1437053919201398784/WYwXVqCA_normal.png</v>
      </c>
      <c r="G139" s="95"/>
      <c r="H139" s="71"/>
      <c r="I139" s="72"/>
      <c r="J139" s="96"/>
      <c r="K139" s="71" t="s">
        <v>3785</v>
      </c>
      <c r="L139" s="97"/>
      <c r="M139" s="76"/>
      <c r="N139" s="76"/>
      <c r="O139" s="77"/>
      <c r="P139" s="78"/>
      <c r="Q139" s="78"/>
      <c r="R139" s="92"/>
      <c r="S139" s="92"/>
      <c r="T139" s="92"/>
      <c r="U139" s="92"/>
      <c r="V139" s="52"/>
      <c r="W139" s="52"/>
      <c r="X139" s="52"/>
      <c r="Y139" s="52"/>
      <c r="Z139" s="51"/>
      <c r="AA139" s="73"/>
      <c r="AB139" s="73"/>
      <c r="AC139" s="74"/>
      <c r="AD139" s="81" t="s">
        <v>2295</v>
      </c>
      <c r="AE139" s="86" t="s">
        <v>2734</v>
      </c>
      <c r="AF139" s="81">
        <v>146</v>
      </c>
      <c r="AG139" s="81">
        <v>138</v>
      </c>
      <c r="AH139" s="81">
        <v>29910</v>
      </c>
      <c r="AI139" s="81">
        <v>121561</v>
      </c>
      <c r="AJ139" s="81"/>
      <c r="AK139" s="81" t="s">
        <v>3130</v>
      </c>
      <c r="AL139" s="81" t="s">
        <v>3546</v>
      </c>
      <c r="AM139" s="84" t="str">
        <f>HYPERLINK("https://t.co/Tizr1DrPnn")</f>
        <v>https://t.co/Tizr1DrPnn</v>
      </c>
      <c r="AN139" s="81"/>
      <c r="AO139" s="83">
        <v>44083.559583333335</v>
      </c>
      <c r="AP139" s="84" t="str">
        <f>HYPERLINK("https://pbs.twimg.com/profile_banners/1303685954406772737/1631455180")</f>
        <v>https://pbs.twimg.com/profile_banners/1303685954406772737/1631455180</v>
      </c>
      <c r="AQ139" s="81" t="b">
        <v>1</v>
      </c>
      <c r="AR139" s="81" t="b">
        <v>0</v>
      </c>
      <c r="AS139" s="81" t="b">
        <v>1</v>
      </c>
      <c r="AT139" s="81"/>
      <c r="AU139" s="81">
        <v>7</v>
      </c>
      <c r="AV139" s="81"/>
      <c r="AW139" s="81" t="b">
        <v>0</v>
      </c>
      <c r="AX139" s="81" t="s">
        <v>3728</v>
      </c>
      <c r="AY139" s="84" t="str">
        <f>HYPERLINK("https://twitter.com/hazirahbodo")</f>
        <v>https://twitter.com/hazirahbodo</v>
      </c>
      <c r="AZ139" s="81" t="s">
        <v>66</v>
      </c>
      <c r="BA139" s="2"/>
      <c r="BB139" s="3"/>
      <c r="BC139" s="3"/>
      <c r="BD139" s="3"/>
      <c r="BE139" s="3"/>
    </row>
    <row r="140" spans="1:57" x14ac:dyDescent="0.35">
      <c r="A140" s="66" t="s">
        <v>4237</v>
      </c>
      <c r="B140" s="67"/>
      <c r="C140" s="67"/>
      <c r="D140" s="68"/>
      <c r="E140" s="94"/>
      <c r="F140" s="93" t="str">
        <f>HYPERLINK("https://pbs.twimg.com/profile_images/1123438028805038081/-hbw0Mbl_normal.jpg")</f>
        <v>https://pbs.twimg.com/profile_images/1123438028805038081/-hbw0Mbl_normal.jpg</v>
      </c>
      <c r="G140" s="95"/>
      <c r="H140" s="71"/>
      <c r="I140" s="72"/>
      <c r="J140" s="96"/>
      <c r="K140" s="71" t="s">
        <v>11481</v>
      </c>
      <c r="L140" s="97"/>
      <c r="M140" s="76"/>
      <c r="N140" s="76"/>
      <c r="O140" s="77"/>
      <c r="P140" s="78"/>
      <c r="Q140" s="78"/>
      <c r="R140" s="92"/>
      <c r="S140" s="92"/>
      <c r="T140" s="92"/>
      <c r="U140" s="92"/>
      <c r="V140" s="52"/>
      <c r="W140" s="52"/>
      <c r="X140" s="52"/>
      <c r="Y140" s="52"/>
      <c r="Z140" s="51"/>
      <c r="AA140" s="73"/>
      <c r="AB140" s="73"/>
      <c r="AC140" s="74"/>
      <c r="AD140" s="81" t="s">
        <v>8113</v>
      </c>
      <c r="AE140" s="86" t="s">
        <v>7804</v>
      </c>
      <c r="AF140" s="81">
        <v>68</v>
      </c>
      <c r="AG140" s="81">
        <v>3</v>
      </c>
      <c r="AH140" s="81">
        <v>194</v>
      </c>
      <c r="AI140" s="81">
        <v>176</v>
      </c>
      <c r="AJ140" s="81"/>
      <c r="AK140" s="81" t="s">
        <v>10134</v>
      </c>
      <c r="AL140" s="81"/>
      <c r="AM140" s="81"/>
      <c r="AN140" s="81"/>
      <c r="AO140" s="83">
        <v>43586.167962962965</v>
      </c>
      <c r="AP140" s="81"/>
      <c r="AQ140" s="81" t="b">
        <v>1</v>
      </c>
      <c r="AR140" s="81" t="b">
        <v>0</v>
      </c>
      <c r="AS140" s="81" t="b">
        <v>0</v>
      </c>
      <c r="AT140" s="81"/>
      <c r="AU140" s="81">
        <v>0</v>
      </c>
      <c r="AV140" s="81"/>
      <c r="AW140" s="81" t="b">
        <v>0</v>
      </c>
      <c r="AX140" s="81" t="s">
        <v>3728</v>
      </c>
      <c r="AY140" s="84" t="str">
        <f>HYPERLINK("https://twitter.com/vanijkjk")</f>
        <v>https://twitter.com/vanijkjk</v>
      </c>
      <c r="AZ140" s="81" t="s">
        <v>66</v>
      </c>
      <c r="BA140" s="2"/>
      <c r="BB140" s="3"/>
      <c r="BC140" s="3"/>
      <c r="BD140" s="3"/>
      <c r="BE140" s="3"/>
    </row>
    <row r="141" spans="1:57" x14ac:dyDescent="0.35">
      <c r="A141" s="66" t="s">
        <v>4991</v>
      </c>
      <c r="B141" s="67"/>
      <c r="C141" s="67"/>
      <c r="D141" s="68"/>
      <c r="E141" s="94"/>
      <c r="F141" s="93" t="str">
        <f>HYPERLINK("https://pbs.twimg.com/profile_images/1432122218725654529/Z1Jusvc3_normal.jpg")</f>
        <v>https://pbs.twimg.com/profile_images/1432122218725654529/Z1Jusvc3_normal.jpg</v>
      </c>
      <c r="G141" s="95"/>
      <c r="H141" s="71"/>
      <c r="I141" s="72"/>
      <c r="J141" s="96"/>
      <c r="K141" s="71" t="s">
        <v>11482</v>
      </c>
      <c r="L141" s="97"/>
      <c r="M141" s="76"/>
      <c r="N141" s="76"/>
      <c r="O141" s="77"/>
      <c r="P141" s="78"/>
      <c r="Q141" s="78"/>
      <c r="R141" s="92"/>
      <c r="S141" s="92"/>
      <c r="T141" s="92"/>
      <c r="U141" s="92"/>
      <c r="V141" s="52"/>
      <c r="W141" s="52"/>
      <c r="X141" s="52"/>
      <c r="Y141" s="52"/>
      <c r="Z141" s="51"/>
      <c r="AA141" s="73"/>
      <c r="AB141" s="73"/>
      <c r="AC141" s="74"/>
      <c r="AD141" s="81" t="s">
        <v>8114</v>
      </c>
      <c r="AE141" s="86" t="s">
        <v>9180</v>
      </c>
      <c r="AF141" s="81">
        <v>260</v>
      </c>
      <c r="AG141" s="81">
        <v>27</v>
      </c>
      <c r="AH141" s="81">
        <v>1621</v>
      </c>
      <c r="AI141" s="81">
        <v>176</v>
      </c>
      <c r="AJ141" s="81"/>
      <c r="AK141" s="81" t="s">
        <v>10135</v>
      </c>
      <c r="AL141" s="81" t="s">
        <v>11028</v>
      </c>
      <c r="AM141" s="84" t="str">
        <f>HYPERLINK("https://t.co/n75pznDEMm")</f>
        <v>https://t.co/n75pznDEMm</v>
      </c>
      <c r="AN141" s="81"/>
      <c r="AO141" s="83">
        <v>40391.949166666665</v>
      </c>
      <c r="AP141" s="84" t="str">
        <f>HYPERLINK("https://pbs.twimg.com/profile_banners/173610629/1630279519")</f>
        <v>https://pbs.twimg.com/profile_banners/173610629/1630279519</v>
      </c>
      <c r="AQ141" s="81" t="b">
        <v>0</v>
      </c>
      <c r="AR141" s="81" t="b">
        <v>0</v>
      </c>
      <c r="AS141" s="81" t="b">
        <v>1</v>
      </c>
      <c r="AT141" s="81"/>
      <c r="AU141" s="81">
        <v>1</v>
      </c>
      <c r="AV141" s="84" t="str">
        <f>HYPERLINK("https://abs.twimg.com/images/themes/theme14/bg.gif")</f>
        <v>https://abs.twimg.com/images/themes/theme14/bg.gif</v>
      </c>
      <c r="AW141" s="81" t="b">
        <v>0</v>
      </c>
      <c r="AX141" s="81" t="s">
        <v>3728</v>
      </c>
      <c r="AY141" s="84" t="str">
        <f>HYPERLINK("https://twitter.com/eduardobkuhn")</f>
        <v>https://twitter.com/eduardobkuhn</v>
      </c>
      <c r="AZ141" s="81" t="s">
        <v>65</v>
      </c>
      <c r="BA141" s="2"/>
      <c r="BB141" s="3"/>
      <c r="BC141" s="3"/>
      <c r="BD141" s="3"/>
      <c r="BE141" s="3"/>
    </row>
    <row r="142" spans="1:57" x14ac:dyDescent="0.35">
      <c r="A142" s="66" t="s">
        <v>4992</v>
      </c>
      <c r="B142" s="67"/>
      <c r="C142" s="67"/>
      <c r="D142" s="68"/>
      <c r="E142" s="94"/>
      <c r="F142" s="93" t="str">
        <f>HYPERLINK("https://pbs.twimg.com/profile_images/1200635517416722438/UK6Lsw4G_normal.jpg")</f>
        <v>https://pbs.twimg.com/profile_images/1200635517416722438/UK6Lsw4G_normal.jpg</v>
      </c>
      <c r="G142" s="95"/>
      <c r="H142" s="71"/>
      <c r="I142" s="72"/>
      <c r="J142" s="96"/>
      <c r="K142" s="71" t="s">
        <v>11483</v>
      </c>
      <c r="L142" s="97"/>
      <c r="M142" s="76"/>
      <c r="N142" s="76"/>
      <c r="O142" s="77"/>
      <c r="P142" s="78"/>
      <c r="Q142" s="78"/>
      <c r="R142" s="92"/>
      <c r="S142" s="92"/>
      <c r="T142" s="92"/>
      <c r="U142" s="92"/>
      <c r="V142" s="52"/>
      <c r="W142" s="52"/>
      <c r="X142" s="52"/>
      <c r="Y142" s="52"/>
      <c r="Z142" s="51"/>
      <c r="AA142" s="73"/>
      <c r="AB142" s="73"/>
      <c r="AC142" s="74"/>
      <c r="AD142" s="81" t="s">
        <v>8115</v>
      </c>
      <c r="AE142" s="86" t="s">
        <v>9181</v>
      </c>
      <c r="AF142" s="81">
        <v>58</v>
      </c>
      <c r="AG142" s="81">
        <v>11</v>
      </c>
      <c r="AH142" s="81">
        <v>1499</v>
      </c>
      <c r="AI142" s="81">
        <v>249</v>
      </c>
      <c r="AJ142" s="81"/>
      <c r="AK142" s="81" t="s">
        <v>10136</v>
      </c>
      <c r="AL142" s="81" t="s">
        <v>10987</v>
      </c>
      <c r="AM142" s="81"/>
      <c r="AN142" s="81"/>
      <c r="AO142" s="83">
        <v>43330.730162037034</v>
      </c>
      <c r="AP142" s="81"/>
      <c r="AQ142" s="81" t="b">
        <v>1</v>
      </c>
      <c r="AR142" s="81" t="b">
        <v>0</v>
      </c>
      <c r="AS142" s="81" t="b">
        <v>0</v>
      </c>
      <c r="AT142" s="81"/>
      <c r="AU142" s="81">
        <v>0</v>
      </c>
      <c r="AV142" s="81"/>
      <c r="AW142" s="81" t="b">
        <v>0</v>
      </c>
      <c r="AX142" s="81" t="s">
        <v>3728</v>
      </c>
      <c r="AY142" s="84" t="str">
        <f>HYPERLINK("https://twitter.com/abbade_jose")</f>
        <v>https://twitter.com/abbade_jose</v>
      </c>
      <c r="AZ142" s="81" t="s">
        <v>65</v>
      </c>
      <c r="BA142" s="2"/>
      <c r="BB142" s="3"/>
      <c r="BC142" s="3"/>
      <c r="BD142" s="3"/>
      <c r="BE142" s="3"/>
    </row>
    <row r="143" spans="1:57" x14ac:dyDescent="0.35">
      <c r="A143" s="66" t="s">
        <v>260</v>
      </c>
      <c r="B143" s="67"/>
      <c r="C143" s="67"/>
      <c r="D143" s="68"/>
      <c r="E143" s="94"/>
      <c r="F143" s="93" t="str">
        <f>HYPERLINK("https://pbs.twimg.com/profile_images/1441310242529107970/jEwteGi9_normal.jpg")</f>
        <v>https://pbs.twimg.com/profile_images/1441310242529107970/jEwteGi9_normal.jpg</v>
      </c>
      <c r="G143" s="95"/>
      <c r="H143" s="71"/>
      <c r="I143" s="72"/>
      <c r="J143" s="96"/>
      <c r="K143" s="71" t="s">
        <v>3786</v>
      </c>
      <c r="L143" s="97"/>
      <c r="M143" s="76"/>
      <c r="N143" s="76"/>
      <c r="O143" s="77"/>
      <c r="P143" s="78"/>
      <c r="Q143" s="78"/>
      <c r="R143" s="92"/>
      <c r="S143" s="92"/>
      <c r="T143" s="92"/>
      <c r="U143" s="92"/>
      <c r="V143" s="52"/>
      <c r="W143" s="52"/>
      <c r="X143" s="52"/>
      <c r="Y143" s="52"/>
      <c r="Z143" s="51"/>
      <c r="AA143" s="73"/>
      <c r="AB143" s="73"/>
      <c r="AC143" s="74"/>
      <c r="AD143" s="81" t="s">
        <v>2297</v>
      </c>
      <c r="AE143" s="86" t="s">
        <v>2735</v>
      </c>
      <c r="AF143" s="81">
        <v>550</v>
      </c>
      <c r="AG143" s="81">
        <v>276</v>
      </c>
      <c r="AH143" s="81">
        <v>29191</v>
      </c>
      <c r="AI143" s="81">
        <v>18650</v>
      </c>
      <c r="AJ143" s="81"/>
      <c r="AK143" s="81" t="s">
        <v>3132</v>
      </c>
      <c r="AL143" s="81" t="s">
        <v>3547</v>
      </c>
      <c r="AM143" s="84" t="str">
        <f>HYPERLINK("https://t.co/FF57StbhEr")</f>
        <v>https://t.co/FF57StbhEr</v>
      </c>
      <c r="AN143" s="81"/>
      <c r="AO143" s="83">
        <v>42745.349652777775</v>
      </c>
      <c r="AP143" s="84" t="str">
        <f>HYPERLINK("https://pbs.twimg.com/profile_banners/818735000765874177/1630637514")</f>
        <v>https://pbs.twimg.com/profile_banners/818735000765874177/1630637514</v>
      </c>
      <c r="AQ143" s="81" t="b">
        <v>1</v>
      </c>
      <c r="AR143" s="81" t="b">
        <v>0</v>
      </c>
      <c r="AS143" s="81" t="b">
        <v>0</v>
      </c>
      <c r="AT143" s="81"/>
      <c r="AU143" s="81">
        <v>2</v>
      </c>
      <c r="AV143" s="81"/>
      <c r="AW143" s="81" t="b">
        <v>0</v>
      </c>
      <c r="AX143" s="81" t="s">
        <v>3728</v>
      </c>
      <c r="AY143" s="84" t="str">
        <f>HYPERLINK("https://twitter.com/_daisybea17")</f>
        <v>https://twitter.com/_daisybea17</v>
      </c>
      <c r="AZ143" s="81" t="s">
        <v>66</v>
      </c>
      <c r="BA143" s="2"/>
      <c r="BB143" s="3"/>
      <c r="BC143" s="3"/>
      <c r="BD143" s="3"/>
      <c r="BE143" s="3"/>
    </row>
    <row r="144" spans="1:57" x14ac:dyDescent="0.35">
      <c r="A144" s="66" t="s">
        <v>261</v>
      </c>
      <c r="B144" s="67"/>
      <c r="C144" s="67"/>
      <c r="D144" s="68"/>
      <c r="E144" s="94"/>
      <c r="F144" s="93" t="str">
        <f>HYPERLINK("https://pbs.twimg.com/profile_images/903977762225926144/8SSAsvZS_normal.jpg")</f>
        <v>https://pbs.twimg.com/profile_images/903977762225926144/8SSAsvZS_normal.jpg</v>
      </c>
      <c r="G144" s="95"/>
      <c r="H144" s="71"/>
      <c r="I144" s="72"/>
      <c r="J144" s="96"/>
      <c r="K144" s="71" t="s">
        <v>3787</v>
      </c>
      <c r="L144" s="97"/>
      <c r="M144" s="76"/>
      <c r="N144" s="76"/>
      <c r="O144" s="77"/>
      <c r="P144" s="78"/>
      <c r="Q144" s="78"/>
      <c r="R144" s="92"/>
      <c r="S144" s="92"/>
      <c r="T144" s="92"/>
      <c r="U144" s="92"/>
      <c r="V144" s="52"/>
      <c r="W144" s="52"/>
      <c r="X144" s="52"/>
      <c r="Y144" s="52"/>
      <c r="Z144" s="51"/>
      <c r="AA144" s="73"/>
      <c r="AB144" s="73"/>
      <c r="AC144" s="74"/>
      <c r="AD144" s="81" t="s">
        <v>2298</v>
      </c>
      <c r="AE144" s="86" t="s">
        <v>2736</v>
      </c>
      <c r="AF144" s="81">
        <v>379</v>
      </c>
      <c r="AG144" s="81">
        <v>827</v>
      </c>
      <c r="AH144" s="81">
        <v>26347</v>
      </c>
      <c r="AI144" s="81">
        <v>3</v>
      </c>
      <c r="AJ144" s="81"/>
      <c r="AK144" s="81" t="s">
        <v>3133</v>
      </c>
      <c r="AL144" s="81" t="s">
        <v>3550</v>
      </c>
      <c r="AM144" s="84" t="str">
        <f>HYPERLINK("https://t.co/LCqM25Rder")</f>
        <v>https://t.co/LCqM25Rder</v>
      </c>
      <c r="AN144" s="81"/>
      <c r="AO144" s="83">
        <v>41155.935601851852</v>
      </c>
      <c r="AP144" s="84" t="str">
        <f>HYPERLINK("https://pbs.twimg.com/profile_banners/801339782/1504360163")</f>
        <v>https://pbs.twimg.com/profile_banners/801339782/1504360163</v>
      </c>
      <c r="AQ144" s="81" t="b">
        <v>0</v>
      </c>
      <c r="AR144" s="81" t="b">
        <v>0</v>
      </c>
      <c r="AS144" s="81" t="b">
        <v>0</v>
      </c>
      <c r="AT144" s="81"/>
      <c r="AU144" s="81">
        <v>1</v>
      </c>
      <c r="AV144" s="84" t="str">
        <f>HYPERLINK("https://abs.twimg.com/images/themes/theme1/bg.png")</f>
        <v>https://abs.twimg.com/images/themes/theme1/bg.png</v>
      </c>
      <c r="AW144" s="81" t="b">
        <v>0</v>
      </c>
      <c r="AX144" s="81" t="s">
        <v>3728</v>
      </c>
      <c r="AY144" s="84" t="str">
        <f>HYPERLINK("https://twitter.com/jnedepok_id")</f>
        <v>https://twitter.com/jnedepok_id</v>
      </c>
      <c r="AZ144" s="81" t="s">
        <v>66</v>
      </c>
      <c r="BA144" s="2"/>
      <c r="BB144" s="3"/>
      <c r="BC144" s="3"/>
      <c r="BD144" s="3"/>
      <c r="BE144" s="3"/>
    </row>
    <row r="145" spans="1:57" x14ac:dyDescent="0.35">
      <c r="A145" s="66" t="s">
        <v>262</v>
      </c>
      <c r="B145" s="67"/>
      <c r="C145" s="67"/>
      <c r="D145" s="68"/>
      <c r="E145" s="94"/>
      <c r="F145" s="93" t="str">
        <f>HYPERLINK("https://pbs.twimg.com/profile_images/965662788583436288/rBrJHA-E_normal.jpg")</f>
        <v>https://pbs.twimg.com/profile_images/965662788583436288/rBrJHA-E_normal.jpg</v>
      </c>
      <c r="G145" s="95"/>
      <c r="H145" s="71"/>
      <c r="I145" s="72"/>
      <c r="J145" s="96"/>
      <c r="K145" s="71" t="s">
        <v>3788</v>
      </c>
      <c r="L145" s="97"/>
      <c r="M145" s="76"/>
      <c r="N145" s="76"/>
      <c r="O145" s="77"/>
      <c r="P145" s="78"/>
      <c r="Q145" s="78"/>
      <c r="R145" s="92"/>
      <c r="S145" s="92"/>
      <c r="T145" s="92"/>
      <c r="U145" s="92"/>
      <c r="V145" s="52"/>
      <c r="W145" s="52"/>
      <c r="X145" s="52"/>
      <c r="Y145" s="52"/>
      <c r="Z145" s="51"/>
      <c r="AA145" s="73"/>
      <c r="AB145" s="73"/>
      <c r="AC145" s="74"/>
      <c r="AD145" s="81" t="s">
        <v>2299</v>
      </c>
      <c r="AE145" s="86" t="s">
        <v>2737</v>
      </c>
      <c r="AF145" s="81">
        <v>94</v>
      </c>
      <c r="AG145" s="81">
        <v>788</v>
      </c>
      <c r="AH145" s="81">
        <v>3682</v>
      </c>
      <c r="AI145" s="81">
        <v>0</v>
      </c>
      <c r="AJ145" s="81"/>
      <c r="AK145" s="81" t="s">
        <v>3134</v>
      </c>
      <c r="AL145" s="81" t="s">
        <v>3551</v>
      </c>
      <c r="AM145" s="84" t="str">
        <f>HYPERLINK("https://t.co/5oUlcyBcAv")</f>
        <v>https://t.co/5oUlcyBcAv</v>
      </c>
      <c r="AN145" s="81"/>
      <c r="AO145" s="83">
        <v>43036.670312499999</v>
      </c>
      <c r="AP145" s="84" t="str">
        <f>HYPERLINK("https://pbs.twimg.com/profile_banners/924306074185777152/1509210812")</f>
        <v>https://pbs.twimg.com/profile_banners/924306074185777152/1509210812</v>
      </c>
      <c r="AQ145" s="81" t="b">
        <v>1</v>
      </c>
      <c r="AR145" s="81" t="b">
        <v>0</v>
      </c>
      <c r="AS145" s="81" t="b">
        <v>0</v>
      </c>
      <c r="AT145" s="81"/>
      <c r="AU145" s="81">
        <v>0</v>
      </c>
      <c r="AV145" s="81"/>
      <c r="AW145" s="81" t="b">
        <v>0</v>
      </c>
      <c r="AX145" s="81" t="s">
        <v>3728</v>
      </c>
      <c r="AY145" s="84" t="str">
        <f>HYPERLINK("https://twitter.com/padangjobs_id")</f>
        <v>https://twitter.com/padangjobs_id</v>
      </c>
      <c r="AZ145" s="81" t="s">
        <v>66</v>
      </c>
      <c r="BA145" s="2"/>
      <c r="BB145" s="3"/>
      <c r="BC145" s="3"/>
      <c r="BD145" s="3"/>
      <c r="BE145" s="3"/>
    </row>
    <row r="146" spans="1:57" x14ac:dyDescent="0.35">
      <c r="A146" s="66" t="s">
        <v>4238</v>
      </c>
      <c r="B146" s="67"/>
      <c r="C146" s="67"/>
      <c r="D146" s="68"/>
      <c r="E146" s="94"/>
      <c r="F146" s="93" t="str">
        <f>HYPERLINK("https://pbs.twimg.com/profile_images/1443380894346067972/q7glNPzP_normal.jpg")</f>
        <v>https://pbs.twimg.com/profile_images/1443380894346067972/q7glNPzP_normal.jpg</v>
      </c>
      <c r="G146" s="95"/>
      <c r="H146" s="71"/>
      <c r="I146" s="72"/>
      <c r="J146" s="96"/>
      <c r="K146" s="71" t="s">
        <v>11484</v>
      </c>
      <c r="L146" s="97"/>
      <c r="M146" s="76"/>
      <c r="N146" s="76"/>
      <c r="O146" s="77"/>
      <c r="P146" s="78"/>
      <c r="Q146" s="78"/>
      <c r="R146" s="92"/>
      <c r="S146" s="92"/>
      <c r="T146" s="92"/>
      <c r="U146" s="92"/>
      <c r="V146" s="52"/>
      <c r="W146" s="52"/>
      <c r="X146" s="52"/>
      <c r="Y146" s="52"/>
      <c r="Z146" s="51"/>
      <c r="AA146" s="73"/>
      <c r="AB146" s="73"/>
      <c r="AC146" s="74"/>
      <c r="AD146" s="81" t="s">
        <v>8116</v>
      </c>
      <c r="AE146" s="86" t="s">
        <v>9182</v>
      </c>
      <c r="AF146" s="81">
        <v>674</v>
      </c>
      <c r="AG146" s="81">
        <v>591</v>
      </c>
      <c r="AH146" s="81">
        <v>41249</v>
      </c>
      <c r="AI146" s="81">
        <v>7726</v>
      </c>
      <c r="AJ146" s="81"/>
      <c r="AK146" s="81" t="s">
        <v>10137</v>
      </c>
      <c r="AL146" s="81" t="s">
        <v>11029</v>
      </c>
      <c r="AM146" s="81"/>
      <c r="AN146" s="81"/>
      <c r="AO146" s="83">
        <v>43579.388310185182</v>
      </c>
      <c r="AP146" s="84" t="str">
        <f>HYPERLINK("https://pbs.twimg.com/profile_banners/1120980490956066816/1632011590")</f>
        <v>https://pbs.twimg.com/profile_banners/1120980490956066816/1632011590</v>
      </c>
      <c r="AQ146" s="81" t="b">
        <v>1</v>
      </c>
      <c r="AR146" s="81" t="b">
        <v>0</v>
      </c>
      <c r="AS146" s="81" t="b">
        <v>1</v>
      </c>
      <c r="AT146" s="81"/>
      <c r="AU146" s="81">
        <v>0</v>
      </c>
      <c r="AV146" s="81"/>
      <c r="AW146" s="81" t="b">
        <v>0</v>
      </c>
      <c r="AX146" s="81" t="s">
        <v>3728</v>
      </c>
      <c r="AY146" s="84" t="str">
        <f>HYPERLINK("https://twitter.com/tantinunna")</f>
        <v>https://twitter.com/tantinunna</v>
      </c>
      <c r="AZ146" s="81" t="s">
        <v>66</v>
      </c>
      <c r="BA146" s="2"/>
      <c r="BB146" s="3"/>
      <c r="BC146" s="3"/>
      <c r="BD146" s="3"/>
      <c r="BE146" s="3"/>
    </row>
    <row r="147" spans="1:57" x14ac:dyDescent="0.35">
      <c r="A147" s="66" t="s">
        <v>4239</v>
      </c>
      <c r="B147" s="67"/>
      <c r="C147" s="67"/>
      <c r="D147" s="68"/>
      <c r="E147" s="94"/>
      <c r="F147" s="93" t="str">
        <f>HYPERLINK("https://pbs.twimg.com/profile_images/1310395010240708610/hEigxZbD_normal.jpg")</f>
        <v>https://pbs.twimg.com/profile_images/1310395010240708610/hEigxZbD_normal.jpg</v>
      </c>
      <c r="G147" s="95"/>
      <c r="H147" s="71"/>
      <c r="I147" s="72"/>
      <c r="J147" s="96"/>
      <c r="K147" s="71" t="s">
        <v>11485</v>
      </c>
      <c r="L147" s="97"/>
      <c r="M147" s="76"/>
      <c r="N147" s="76"/>
      <c r="O147" s="77"/>
      <c r="P147" s="78"/>
      <c r="Q147" s="78"/>
      <c r="R147" s="92"/>
      <c r="S147" s="92"/>
      <c r="T147" s="92"/>
      <c r="U147" s="92"/>
      <c r="V147" s="52"/>
      <c r="W147" s="52"/>
      <c r="X147" s="52"/>
      <c r="Y147" s="52"/>
      <c r="Z147" s="51"/>
      <c r="AA147" s="73"/>
      <c r="AB147" s="73"/>
      <c r="AC147" s="74"/>
      <c r="AD147" s="81" t="s">
        <v>8117</v>
      </c>
      <c r="AE147" s="86" t="s">
        <v>9183</v>
      </c>
      <c r="AF147" s="81">
        <v>1043</v>
      </c>
      <c r="AG147" s="81">
        <v>51</v>
      </c>
      <c r="AH147" s="81">
        <v>710</v>
      </c>
      <c r="AI147" s="81">
        <v>1428</v>
      </c>
      <c r="AJ147" s="81"/>
      <c r="AK147" s="81" t="s">
        <v>10138</v>
      </c>
      <c r="AL147" s="81" t="s">
        <v>10975</v>
      </c>
      <c r="AM147" s="81"/>
      <c r="AN147" s="81"/>
      <c r="AO147" s="83">
        <v>40005.813275462962</v>
      </c>
      <c r="AP147" s="84" t="str">
        <f>HYPERLINK("https://pbs.twimg.com/profile_banners/55907875/1572300163")</f>
        <v>https://pbs.twimg.com/profile_banners/55907875/1572300163</v>
      </c>
      <c r="AQ147" s="81" t="b">
        <v>1</v>
      </c>
      <c r="AR147" s="81" t="b">
        <v>0</v>
      </c>
      <c r="AS147" s="81" t="b">
        <v>0</v>
      </c>
      <c r="AT147" s="81"/>
      <c r="AU147" s="81">
        <v>0</v>
      </c>
      <c r="AV147" s="84" t="str">
        <f>HYPERLINK("https://abs.twimg.com/images/themes/theme1/bg.png")</f>
        <v>https://abs.twimg.com/images/themes/theme1/bg.png</v>
      </c>
      <c r="AW147" s="81" t="b">
        <v>0</v>
      </c>
      <c r="AX147" s="81" t="s">
        <v>3728</v>
      </c>
      <c r="AY147" s="84" t="str">
        <f>HYPERLINK("https://twitter.com/1caipiramoderno")</f>
        <v>https://twitter.com/1caipiramoderno</v>
      </c>
      <c r="AZ147" s="81" t="s">
        <v>66</v>
      </c>
      <c r="BA147" s="2"/>
      <c r="BB147" s="3"/>
      <c r="BC147" s="3"/>
      <c r="BD147" s="3"/>
      <c r="BE147" s="3"/>
    </row>
    <row r="148" spans="1:57" x14ac:dyDescent="0.35">
      <c r="A148" s="66" t="s">
        <v>263</v>
      </c>
      <c r="B148" s="67"/>
      <c r="C148" s="67"/>
      <c r="D148" s="68"/>
      <c r="E148" s="94"/>
      <c r="F148" s="93" t="str">
        <f>HYPERLINK("https://pbs.twimg.com/profile_images/1217111739772239872/B_JjsamQ_normal.jpg")</f>
        <v>https://pbs.twimg.com/profile_images/1217111739772239872/B_JjsamQ_normal.jpg</v>
      </c>
      <c r="G148" s="95"/>
      <c r="H148" s="71"/>
      <c r="I148" s="72"/>
      <c r="J148" s="96"/>
      <c r="K148" s="71" t="s">
        <v>3789</v>
      </c>
      <c r="L148" s="97"/>
      <c r="M148" s="76"/>
      <c r="N148" s="76"/>
      <c r="O148" s="77"/>
      <c r="P148" s="78"/>
      <c r="Q148" s="78"/>
      <c r="R148" s="92"/>
      <c r="S148" s="92"/>
      <c r="T148" s="92"/>
      <c r="U148" s="92"/>
      <c r="V148" s="52"/>
      <c r="W148" s="52"/>
      <c r="X148" s="52"/>
      <c r="Y148" s="52"/>
      <c r="Z148" s="51"/>
      <c r="AA148" s="73"/>
      <c r="AB148" s="73"/>
      <c r="AC148" s="74"/>
      <c r="AD148" s="81" t="s">
        <v>2300</v>
      </c>
      <c r="AE148" s="86" t="s">
        <v>2738</v>
      </c>
      <c r="AF148" s="81">
        <v>1528</v>
      </c>
      <c r="AG148" s="81">
        <v>1034</v>
      </c>
      <c r="AH148" s="81">
        <v>64144</v>
      </c>
      <c r="AI148" s="81">
        <v>6841</v>
      </c>
      <c r="AJ148" s="81"/>
      <c r="AK148" s="81" t="s">
        <v>3135</v>
      </c>
      <c r="AL148" s="81"/>
      <c r="AM148" s="84" t="str">
        <f>HYPERLINK("https://t.co/daVRVEpax7")</f>
        <v>https://t.co/daVRVEpax7</v>
      </c>
      <c r="AN148" s="81"/>
      <c r="AO148" s="83">
        <v>41018.393495370372</v>
      </c>
      <c r="AP148" s="84" t="str">
        <f>HYPERLINK("https://pbs.twimg.com/profile_banners/557564732/1576413493")</f>
        <v>https://pbs.twimg.com/profile_banners/557564732/1576413493</v>
      </c>
      <c r="AQ148" s="81" t="b">
        <v>0</v>
      </c>
      <c r="AR148" s="81" t="b">
        <v>0</v>
      </c>
      <c r="AS148" s="81" t="b">
        <v>1</v>
      </c>
      <c r="AT148" s="81"/>
      <c r="AU148" s="81">
        <v>3</v>
      </c>
      <c r="AV148" s="84" t="str">
        <f>HYPERLINK("https://abs.twimg.com/images/themes/theme1/bg.png")</f>
        <v>https://abs.twimg.com/images/themes/theme1/bg.png</v>
      </c>
      <c r="AW148" s="81" t="b">
        <v>0</v>
      </c>
      <c r="AX148" s="81" t="s">
        <v>3728</v>
      </c>
      <c r="AY148" s="84" t="str">
        <f>HYPERLINK("https://twitter.com/atikahlahhh")</f>
        <v>https://twitter.com/atikahlahhh</v>
      </c>
      <c r="AZ148" s="81" t="s">
        <v>66</v>
      </c>
      <c r="BA148" s="2"/>
      <c r="BB148" s="3"/>
      <c r="BC148" s="3"/>
      <c r="BD148" s="3"/>
      <c r="BE148" s="3"/>
    </row>
    <row r="149" spans="1:57" x14ac:dyDescent="0.35">
      <c r="A149" s="66" t="s">
        <v>264</v>
      </c>
      <c r="B149" s="67"/>
      <c r="C149" s="67"/>
      <c r="D149" s="68"/>
      <c r="E149" s="94"/>
      <c r="F149" s="93" t="str">
        <f>HYPERLINK("https://pbs.twimg.com/profile_images/1121684138497458177/7LP5sagl_normal.png")</f>
        <v>https://pbs.twimg.com/profile_images/1121684138497458177/7LP5sagl_normal.png</v>
      </c>
      <c r="G149" s="95"/>
      <c r="H149" s="71"/>
      <c r="I149" s="72"/>
      <c r="J149" s="96"/>
      <c r="K149" s="71" t="s">
        <v>3790</v>
      </c>
      <c r="L149" s="97"/>
      <c r="M149" s="76"/>
      <c r="N149" s="76"/>
      <c r="O149" s="77"/>
      <c r="P149" s="78"/>
      <c r="Q149" s="78"/>
      <c r="R149" s="92"/>
      <c r="S149" s="92"/>
      <c r="T149" s="92"/>
      <c r="U149" s="92"/>
      <c r="V149" s="52"/>
      <c r="W149" s="52"/>
      <c r="X149" s="52"/>
      <c r="Y149" s="52"/>
      <c r="Z149" s="51"/>
      <c r="AA149" s="73"/>
      <c r="AB149" s="73"/>
      <c r="AC149" s="74"/>
      <c r="AD149" s="81" t="s">
        <v>2301</v>
      </c>
      <c r="AE149" s="86" t="s">
        <v>2739</v>
      </c>
      <c r="AF149" s="81">
        <v>19</v>
      </c>
      <c r="AG149" s="81">
        <v>101</v>
      </c>
      <c r="AH149" s="81">
        <v>1695</v>
      </c>
      <c r="AI149" s="81">
        <v>64</v>
      </c>
      <c r="AJ149" s="81"/>
      <c r="AK149" s="81" t="s">
        <v>3136</v>
      </c>
      <c r="AL149" s="81" t="s">
        <v>2202</v>
      </c>
      <c r="AM149" s="81"/>
      <c r="AN149" s="81"/>
      <c r="AO149" s="83">
        <v>43581.304120370369</v>
      </c>
      <c r="AP149" s="84" t="str">
        <f>HYPERLINK("https://pbs.twimg.com/profile_banners/1121674755868729344/1556263964")</f>
        <v>https://pbs.twimg.com/profile_banners/1121674755868729344/1556263964</v>
      </c>
      <c r="AQ149" s="81" t="b">
        <v>1</v>
      </c>
      <c r="AR149" s="81" t="b">
        <v>0</v>
      </c>
      <c r="AS149" s="81" t="b">
        <v>0</v>
      </c>
      <c r="AT149" s="81"/>
      <c r="AU149" s="81">
        <v>1</v>
      </c>
      <c r="AV149" s="81"/>
      <c r="AW149" s="81" t="b">
        <v>0</v>
      </c>
      <c r="AX149" s="81" t="s">
        <v>3728</v>
      </c>
      <c r="AY149" s="84" t="str">
        <f>HYPERLINK("https://twitter.com/kompaskerja")</f>
        <v>https://twitter.com/kompaskerja</v>
      </c>
      <c r="AZ149" s="81" t="s">
        <v>66</v>
      </c>
      <c r="BA149" s="2"/>
      <c r="BB149" s="3"/>
      <c r="BC149" s="3"/>
      <c r="BD149" s="3"/>
      <c r="BE149" s="3"/>
    </row>
    <row r="150" spans="1:57" x14ac:dyDescent="0.35">
      <c r="A150" s="66" t="s">
        <v>4240</v>
      </c>
      <c r="B150" s="67"/>
      <c r="C150" s="67"/>
      <c r="D150" s="68"/>
      <c r="E150" s="94"/>
      <c r="F150" s="93" t="str">
        <f>HYPERLINK("https://pbs.twimg.com/profile_images/1437010404731801600/N4k7fyVO_normal.jpg")</f>
        <v>https://pbs.twimg.com/profile_images/1437010404731801600/N4k7fyVO_normal.jpg</v>
      </c>
      <c r="G150" s="95"/>
      <c r="H150" s="71"/>
      <c r="I150" s="72"/>
      <c r="J150" s="96"/>
      <c r="K150" s="71" t="s">
        <v>11486</v>
      </c>
      <c r="L150" s="97"/>
      <c r="M150" s="76"/>
      <c r="N150" s="76"/>
      <c r="O150" s="77"/>
      <c r="P150" s="78"/>
      <c r="Q150" s="78"/>
      <c r="R150" s="92"/>
      <c r="S150" s="92"/>
      <c r="T150" s="92"/>
      <c r="U150" s="92"/>
      <c r="V150" s="52"/>
      <c r="W150" s="52"/>
      <c r="X150" s="52"/>
      <c r="Y150" s="52"/>
      <c r="Z150" s="51"/>
      <c r="AA150" s="73"/>
      <c r="AB150" s="73"/>
      <c r="AC150" s="74"/>
      <c r="AD150" s="81" t="s">
        <v>8118</v>
      </c>
      <c r="AE150" s="86" t="s">
        <v>9184</v>
      </c>
      <c r="AF150" s="81">
        <v>143</v>
      </c>
      <c r="AG150" s="81">
        <v>146</v>
      </c>
      <c r="AH150" s="81">
        <v>1037</v>
      </c>
      <c r="AI150" s="81">
        <v>878</v>
      </c>
      <c r="AJ150" s="81"/>
      <c r="AK150" s="81"/>
      <c r="AL150" s="81"/>
      <c r="AM150" s="81"/>
      <c r="AN150" s="81"/>
      <c r="AO150" s="83">
        <v>44184.575775462959</v>
      </c>
      <c r="AP150" s="84" t="str">
        <f>HYPERLINK("https://pbs.twimg.com/profile_banners/1340293026304802818/1630322666")</f>
        <v>https://pbs.twimg.com/profile_banners/1340293026304802818/1630322666</v>
      </c>
      <c r="AQ150" s="81" t="b">
        <v>1</v>
      </c>
      <c r="AR150" s="81" t="b">
        <v>0</v>
      </c>
      <c r="AS150" s="81" t="b">
        <v>0</v>
      </c>
      <c r="AT150" s="81"/>
      <c r="AU150" s="81">
        <v>1</v>
      </c>
      <c r="AV150" s="81"/>
      <c r="AW150" s="81" t="b">
        <v>0</v>
      </c>
      <c r="AX150" s="81" t="s">
        <v>3728</v>
      </c>
      <c r="AY150" s="84" t="str">
        <f>HYPERLINK("https://twitter.com/teezer_qrzx")</f>
        <v>https://twitter.com/teezer_qrzx</v>
      </c>
      <c r="AZ150" s="81" t="s">
        <v>66</v>
      </c>
      <c r="BA150" s="2"/>
      <c r="BB150" s="3"/>
      <c r="BC150" s="3"/>
      <c r="BD150" s="3"/>
      <c r="BE150" s="3"/>
    </row>
    <row r="151" spans="1:57" x14ac:dyDescent="0.35">
      <c r="A151" s="66" t="s">
        <v>4993</v>
      </c>
      <c r="B151" s="67"/>
      <c r="C151" s="67"/>
      <c r="D151" s="68"/>
      <c r="E151" s="94"/>
      <c r="F151" s="93" t="str">
        <f>HYPERLINK("https://pbs.twimg.com/profile_images/1437412654629285897/-E9e6Fv4_normal.jpg")</f>
        <v>https://pbs.twimg.com/profile_images/1437412654629285897/-E9e6Fv4_normal.jpg</v>
      </c>
      <c r="G151" s="95"/>
      <c r="H151" s="71"/>
      <c r="I151" s="72"/>
      <c r="J151" s="96"/>
      <c r="K151" s="71" t="s">
        <v>11487</v>
      </c>
      <c r="L151" s="97"/>
      <c r="M151" s="76"/>
      <c r="N151" s="76"/>
      <c r="O151" s="77"/>
      <c r="P151" s="78"/>
      <c r="Q151" s="78"/>
      <c r="R151" s="92"/>
      <c r="S151" s="92"/>
      <c r="T151" s="92"/>
      <c r="U151" s="92"/>
      <c r="V151" s="52"/>
      <c r="W151" s="52"/>
      <c r="X151" s="52"/>
      <c r="Y151" s="52"/>
      <c r="Z151" s="51"/>
      <c r="AA151" s="73"/>
      <c r="AB151" s="73"/>
      <c r="AC151" s="74"/>
      <c r="AD151" s="81" t="s">
        <v>8119</v>
      </c>
      <c r="AE151" s="86" t="s">
        <v>9185</v>
      </c>
      <c r="AF151" s="81">
        <v>226</v>
      </c>
      <c r="AG151" s="81">
        <v>85</v>
      </c>
      <c r="AH151" s="81">
        <v>22460</v>
      </c>
      <c r="AI151" s="81">
        <v>5777</v>
      </c>
      <c r="AJ151" s="81"/>
      <c r="AK151" s="81" t="s">
        <v>10139</v>
      </c>
      <c r="AL151" s="81"/>
      <c r="AM151" s="81"/>
      <c r="AN151" s="81"/>
      <c r="AO151" s="83">
        <v>43375.250219907408</v>
      </c>
      <c r="AP151" s="84" t="str">
        <f>HYPERLINK("https://pbs.twimg.com/profile_banners/1047003323340075009/1622387234")</f>
        <v>https://pbs.twimg.com/profile_banners/1047003323340075009/1622387234</v>
      </c>
      <c r="AQ151" s="81" t="b">
        <v>1</v>
      </c>
      <c r="AR151" s="81" t="b">
        <v>0</v>
      </c>
      <c r="AS151" s="81" t="b">
        <v>0</v>
      </c>
      <c r="AT151" s="81"/>
      <c r="AU151" s="81">
        <v>1</v>
      </c>
      <c r="AV151" s="81"/>
      <c r="AW151" s="81" t="b">
        <v>0</v>
      </c>
      <c r="AX151" s="81" t="s">
        <v>3728</v>
      </c>
      <c r="AY151" s="84" t="str">
        <f>HYPERLINK("https://twitter.com/_sanflwr")</f>
        <v>https://twitter.com/_sanflwr</v>
      </c>
      <c r="AZ151" s="81" t="s">
        <v>65</v>
      </c>
      <c r="BA151" s="2"/>
      <c r="BB151" s="3"/>
      <c r="BC151" s="3"/>
      <c r="BD151" s="3"/>
      <c r="BE151" s="3"/>
    </row>
    <row r="152" spans="1:57" x14ac:dyDescent="0.35">
      <c r="A152" s="66" t="s">
        <v>4994</v>
      </c>
      <c r="B152" s="67"/>
      <c r="C152" s="67"/>
      <c r="D152" s="68"/>
      <c r="E152" s="94"/>
      <c r="F152" s="93" t="str">
        <f>HYPERLINK("https://pbs.twimg.com/profile_images/1441937625804263426/6Pj3ziHR_normal.jpg")</f>
        <v>https://pbs.twimg.com/profile_images/1441937625804263426/6Pj3ziHR_normal.jpg</v>
      </c>
      <c r="G152" s="95"/>
      <c r="H152" s="71"/>
      <c r="I152" s="72"/>
      <c r="J152" s="96"/>
      <c r="K152" s="71" t="s">
        <v>11488</v>
      </c>
      <c r="L152" s="97"/>
      <c r="M152" s="76"/>
      <c r="N152" s="76"/>
      <c r="O152" s="77"/>
      <c r="P152" s="78"/>
      <c r="Q152" s="78"/>
      <c r="R152" s="92"/>
      <c r="S152" s="92"/>
      <c r="T152" s="92"/>
      <c r="U152" s="92"/>
      <c r="V152" s="52"/>
      <c r="W152" s="52"/>
      <c r="X152" s="52"/>
      <c r="Y152" s="52"/>
      <c r="Z152" s="51"/>
      <c r="AA152" s="73"/>
      <c r="AB152" s="73"/>
      <c r="AC152" s="74"/>
      <c r="AD152" s="81" t="s">
        <v>8120</v>
      </c>
      <c r="AE152" s="86" t="s">
        <v>9186</v>
      </c>
      <c r="AF152" s="81">
        <v>257</v>
      </c>
      <c r="AG152" s="81">
        <v>90</v>
      </c>
      <c r="AH152" s="81">
        <v>3443</v>
      </c>
      <c r="AI152" s="81">
        <v>4928</v>
      </c>
      <c r="AJ152" s="81"/>
      <c r="AK152" s="81" t="s">
        <v>10140</v>
      </c>
      <c r="AL152" s="81" t="s">
        <v>3514</v>
      </c>
      <c r="AM152" s="81"/>
      <c r="AN152" s="81"/>
      <c r="AO152" s="83">
        <v>43157.460474537038</v>
      </c>
      <c r="AP152" s="84" t="str">
        <f>HYPERLINK("https://pbs.twimg.com/profile_banners/968078961119907840/1630335847")</f>
        <v>https://pbs.twimg.com/profile_banners/968078961119907840/1630335847</v>
      </c>
      <c r="AQ152" s="81" t="b">
        <v>1</v>
      </c>
      <c r="AR152" s="81" t="b">
        <v>0</v>
      </c>
      <c r="AS152" s="81" t="b">
        <v>0</v>
      </c>
      <c r="AT152" s="81"/>
      <c r="AU152" s="81">
        <v>0</v>
      </c>
      <c r="AV152" s="81"/>
      <c r="AW152" s="81" t="b">
        <v>0</v>
      </c>
      <c r="AX152" s="81" t="s">
        <v>3728</v>
      </c>
      <c r="AY152" s="84" t="str">
        <f>HYPERLINK("https://twitter.com/17_caratmy")</f>
        <v>https://twitter.com/17_caratmy</v>
      </c>
      <c r="AZ152" s="81" t="s">
        <v>65</v>
      </c>
      <c r="BA152" s="2"/>
      <c r="BB152" s="3"/>
      <c r="BC152" s="3"/>
      <c r="BD152" s="3"/>
      <c r="BE152" s="3"/>
    </row>
    <row r="153" spans="1:57" x14ac:dyDescent="0.35">
      <c r="A153" s="66" t="s">
        <v>4995</v>
      </c>
      <c r="B153" s="67"/>
      <c r="C153" s="67"/>
      <c r="D153" s="68"/>
      <c r="E153" s="94"/>
      <c r="F153" s="93" t="str">
        <f>HYPERLINK("https://pbs.twimg.com/profile_images/1442814948204154880/FbaVy5V5_normal.jpg")</f>
        <v>https://pbs.twimg.com/profile_images/1442814948204154880/FbaVy5V5_normal.jpg</v>
      </c>
      <c r="G153" s="95"/>
      <c r="H153" s="71"/>
      <c r="I153" s="72"/>
      <c r="J153" s="96"/>
      <c r="K153" s="71" t="s">
        <v>11489</v>
      </c>
      <c r="L153" s="97"/>
      <c r="M153" s="76"/>
      <c r="N153" s="76"/>
      <c r="O153" s="77"/>
      <c r="P153" s="78"/>
      <c r="Q153" s="78"/>
      <c r="R153" s="92"/>
      <c r="S153" s="92"/>
      <c r="T153" s="92"/>
      <c r="U153" s="92"/>
      <c r="V153" s="52"/>
      <c r="W153" s="52"/>
      <c r="X153" s="52"/>
      <c r="Y153" s="52"/>
      <c r="Z153" s="51"/>
      <c r="AA153" s="73"/>
      <c r="AB153" s="73"/>
      <c r="AC153" s="74"/>
      <c r="AD153" s="81" t="s">
        <v>13465</v>
      </c>
      <c r="AE153" s="86" t="s">
        <v>9187</v>
      </c>
      <c r="AF153" s="81">
        <v>1092</v>
      </c>
      <c r="AG153" s="81">
        <v>295</v>
      </c>
      <c r="AH153" s="81">
        <v>22970</v>
      </c>
      <c r="AI153" s="81">
        <v>45315</v>
      </c>
      <c r="AJ153" s="81"/>
      <c r="AK153" s="81" t="s">
        <v>10141</v>
      </c>
      <c r="AL153" s="81" t="s">
        <v>3508</v>
      </c>
      <c r="AM153" s="81"/>
      <c r="AN153" s="81"/>
      <c r="AO153" s="83">
        <v>42657.504027777781</v>
      </c>
      <c r="AP153" s="84" t="str">
        <f>HYPERLINK("https://pbs.twimg.com/profile_banners/786900810969993216/1632927218")</f>
        <v>https://pbs.twimg.com/profile_banners/786900810969993216/1632927218</v>
      </c>
      <c r="AQ153" s="81" t="b">
        <v>1</v>
      </c>
      <c r="AR153" s="81" t="b">
        <v>0</v>
      </c>
      <c r="AS153" s="81" t="b">
        <v>0</v>
      </c>
      <c r="AT153" s="81"/>
      <c r="AU153" s="81">
        <v>0</v>
      </c>
      <c r="AV153" s="81"/>
      <c r="AW153" s="81" t="b">
        <v>0</v>
      </c>
      <c r="AX153" s="81" t="s">
        <v>3728</v>
      </c>
      <c r="AY153" s="84" t="str">
        <f>HYPERLINK("https://twitter.com/cxunssbev")</f>
        <v>https://twitter.com/cxunssbev</v>
      </c>
      <c r="AZ153" s="81" t="s">
        <v>65</v>
      </c>
      <c r="BA153" s="2"/>
      <c r="BB153" s="3"/>
      <c r="BC153" s="3"/>
      <c r="BD153" s="3"/>
      <c r="BE153" s="3"/>
    </row>
    <row r="154" spans="1:57" x14ac:dyDescent="0.35">
      <c r="A154" s="66" t="s">
        <v>4996</v>
      </c>
      <c r="B154" s="67"/>
      <c r="C154" s="67"/>
      <c r="D154" s="68"/>
      <c r="E154" s="94"/>
      <c r="F154" s="93" t="str">
        <f>HYPERLINK("https://pbs.twimg.com/profile_images/1442016057179336711/7R-cKXKf_normal.jpg")</f>
        <v>https://pbs.twimg.com/profile_images/1442016057179336711/7R-cKXKf_normal.jpg</v>
      </c>
      <c r="G154" s="95"/>
      <c r="H154" s="71"/>
      <c r="I154" s="72"/>
      <c r="J154" s="96"/>
      <c r="K154" s="71" t="s">
        <v>11490</v>
      </c>
      <c r="L154" s="97"/>
      <c r="M154" s="76"/>
      <c r="N154" s="76"/>
      <c r="O154" s="77"/>
      <c r="P154" s="78"/>
      <c r="Q154" s="78"/>
      <c r="R154" s="92"/>
      <c r="S154" s="92"/>
      <c r="T154" s="92"/>
      <c r="U154" s="92"/>
      <c r="V154" s="52"/>
      <c r="W154" s="52"/>
      <c r="X154" s="52"/>
      <c r="Y154" s="52"/>
      <c r="Z154" s="51"/>
      <c r="AA154" s="73"/>
      <c r="AB154" s="73"/>
      <c r="AC154" s="74"/>
      <c r="AD154" s="81" t="s">
        <v>8121</v>
      </c>
      <c r="AE154" s="86" t="s">
        <v>9188</v>
      </c>
      <c r="AF154" s="81">
        <v>286</v>
      </c>
      <c r="AG154" s="81">
        <v>353</v>
      </c>
      <c r="AH154" s="81">
        <v>5981</v>
      </c>
      <c r="AI154" s="81">
        <v>8302</v>
      </c>
      <c r="AJ154" s="81"/>
      <c r="AK154" s="81" t="s">
        <v>10142</v>
      </c>
      <c r="AL154" s="81" t="s">
        <v>11030</v>
      </c>
      <c r="AM154" s="84" t="str">
        <f>HYPERLINK("https://t.co/8jNtgv2AT4")</f>
        <v>https://t.co/8jNtgv2AT4</v>
      </c>
      <c r="AN154" s="81"/>
      <c r="AO154" s="83">
        <v>44279.25136574074</v>
      </c>
      <c r="AP154" s="84" t="str">
        <f>HYPERLINK("https://pbs.twimg.com/profile_banners/1374602325944266754/1632583225")</f>
        <v>https://pbs.twimg.com/profile_banners/1374602325944266754/1632583225</v>
      </c>
      <c r="AQ154" s="81" t="b">
        <v>1</v>
      </c>
      <c r="AR154" s="81" t="b">
        <v>0</v>
      </c>
      <c r="AS154" s="81" t="b">
        <v>0</v>
      </c>
      <c r="AT154" s="81"/>
      <c r="AU154" s="81">
        <v>3</v>
      </c>
      <c r="AV154" s="81"/>
      <c r="AW154" s="81" t="b">
        <v>0</v>
      </c>
      <c r="AX154" s="81" t="s">
        <v>3728</v>
      </c>
      <c r="AY154" s="84" t="str">
        <f>HYPERLINK("https://twitter.com/purplevioletsan")</f>
        <v>https://twitter.com/purplevioletsan</v>
      </c>
      <c r="AZ154" s="81" t="s">
        <v>65</v>
      </c>
      <c r="BA154" s="2"/>
      <c r="BB154" s="3"/>
      <c r="BC154" s="3"/>
      <c r="BD154" s="3"/>
      <c r="BE154" s="3"/>
    </row>
    <row r="155" spans="1:57" x14ac:dyDescent="0.35">
      <c r="A155" s="66" t="s">
        <v>4997</v>
      </c>
      <c r="B155" s="67"/>
      <c r="C155" s="67"/>
      <c r="D155" s="68"/>
      <c r="E155" s="94"/>
      <c r="F155" s="93" t="str">
        <f>HYPERLINK("https://pbs.twimg.com/profile_images/1442067789154422787/0hqYvybA_normal.jpg")</f>
        <v>https://pbs.twimg.com/profile_images/1442067789154422787/0hqYvybA_normal.jpg</v>
      </c>
      <c r="G155" s="95"/>
      <c r="H155" s="71"/>
      <c r="I155" s="72"/>
      <c r="J155" s="96"/>
      <c r="K155" s="71" t="s">
        <v>11491</v>
      </c>
      <c r="L155" s="97"/>
      <c r="M155" s="76"/>
      <c r="N155" s="76"/>
      <c r="O155" s="77"/>
      <c r="P155" s="78"/>
      <c r="Q155" s="78"/>
      <c r="R155" s="92"/>
      <c r="S155" s="92"/>
      <c r="T155" s="92"/>
      <c r="U155" s="92"/>
      <c r="V155" s="52"/>
      <c r="W155" s="52"/>
      <c r="X155" s="52"/>
      <c r="Y155" s="52"/>
      <c r="Z155" s="51"/>
      <c r="AA155" s="73"/>
      <c r="AB155" s="73"/>
      <c r="AC155" s="74"/>
      <c r="AD155" s="81" t="s">
        <v>8122</v>
      </c>
      <c r="AE155" s="86" t="s">
        <v>9189</v>
      </c>
      <c r="AF155" s="81">
        <v>269</v>
      </c>
      <c r="AG155" s="81">
        <v>95</v>
      </c>
      <c r="AH155" s="81">
        <v>1455</v>
      </c>
      <c r="AI155" s="81">
        <v>495</v>
      </c>
      <c r="AJ155" s="81"/>
      <c r="AK155" s="81" t="s">
        <v>10143</v>
      </c>
      <c r="AL155" s="81"/>
      <c r="AM155" s="81"/>
      <c r="AN155" s="81"/>
      <c r="AO155" s="83">
        <v>44390.738946759258</v>
      </c>
      <c r="AP155" s="84" t="str">
        <f>HYPERLINK("https://pbs.twimg.com/profile_banners/1415004006527557633/1632053668")</f>
        <v>https://pbs.twimg.com/profile_banners/1415004006527557633/1632053668</v>
      </c>
      <c r="AQ155" s="81" t="b">
        <v>1</v>
      </c>
      <c r="AR155" s="81" t="b">
        <v>0</v>
      </c>
      <c r="AS155" s="81" t="b">
        <v>0</v>
      </c>
      <c r="AT155" s="81"/>
      <c r="AU155" s="81">
        <v>0</v>
      </c>
      <c r="AV155" s="81"/>
      <c r="AW155" s="81" t="b">
        <v>0</v>
      </c>
      <c r="AX155" s="81" t="s">
        <v>3728</v>
      </c>
      <c r="AY155" s="84" t="str">
        <f>HYPERLINK("https://twitter.com/noona_stan")</f>
        <v>https://twitter.com/noona_stan</v>
      </c>
      <c r="AZ155" s="81" t="s">
        <v>65</v>
      </c>
      <c r="BA155" s="2"/>
      <c r="BB155" s="3"/>
      <c r="BC155" s="3"/>
      <c r="BD155" s="3"/>
      <c r="BE155" s="3"/>
    </row>
    <row r="156" spans="1:57" x14ac:dyDescent="0.35">
      <c r="A156" s="66" t="s">
        <v>265</v>
      </c>
      <c r="B156" s="67"/>
      <c r="C156" s="67"/>
      <c r="D156" s="68"/>
      <c r="E156" s="94"/>
      <c r="F156" s="93" t="str">
        <f>HYPERLINK("https://pbs.twimg.com/profile_images/1442378409095483393/HrY1zMf__normal.jpg")</f>
        <v>https://pbs.twimg.com/profile_images/1442378409095483393/HrY1zMf__normal.jpg</v>
      </c>
      <c r="G156" s="95"/>
      <c r="H156" s="71"/>
      <c r="I156" s="72"/>
      <c r="J156" s="96"/>
      <c r="K156" s="71" t="s">
        <v>3792</v>
      </c>
      <c r="L156" s="97"/>
      <c r="M156" s="76"/>
      <c r="N156" s="76"/>
      <c r="O156" s="77"/>
      <c r="P156" s="78"/>
      <c r="Q156" s="78"/>
      <c r="R156" s="92"/>
      <c r="S156" s="92"/>
      <c r="T156" s="92"/>
      <c r="U156" s="92"/>
      <c r="V156" s="52"/>
      <c r="W156" s="52"/>
      <c r="X156" s="52"/>
      <c r="Y156" s="52"/>
      <c r="Z156" s="51"/>
      <c r="AA156" s="73"/>
      <c r="AB156" s="73"/>
      <c r="AC156" s="74"/>
      <c r="AD156" s="81" t="s">
        <v>2303</v>
      </c>
      <c r="AE156" s="86" t="s">
        <v>2741</v>
      </c>
      <c r="AF156" s="81">
        <v>38</v>
      </c>
      <c r="AG156" s="81">
        <v>34</v>
      </c>
      <c r="AH156" s="81">
        <v>691</v>
      </c>
      <c r="AI156" s="81">
        <v>147</v>
      </c>
      <c r="AJ156" s="81"/>
      <c r="AK156" s="81" t="s">
        <v>3137</v>
      </c>
      <c r="AL156" s="81"/>
      <c r="AM156" s="81"/>
      <c r="AN156" s="81"/>
      <c r="AO156" s="83">
        <v>43936.493460648147</v>
      </c>
      <c r="AP156" s="84" t="str">
        <f>HYPERLINK("https://pbs.twimg.com/profile_banners/1250390992890413056/1616254169")</f>
        <v>https://pbs.twimg.com/profile_banners/1250390992890413056/1616254169</v>
      </c>
      <c r="AQ156" s="81" t="b">
        <v>1</v>
      </c>
      <c r="AR156" s="81" t="b">
        <v>0</v>
      </c>
      <c r="AS156" s="81" t="b">
        <v>0</v>
      </c>
      <c r="AT156" s="81"/>
      <c r="AU156" s="81">
        <v>0</v>
      </c>
      <c r="AV156" s="81"/>
      <c r="AW156" s="81" t="b">
        <v>0</v>
      </c>
      <c r="AX156" s="81" t="s">
        <v>3728</v>
      </c>
      <c r="AY156" s="84" t="str">
        <f>HYPERLINK("https://twitter.com/anisofeaaaaaa")</f>
        <v>https://twitter.com/anisofeaaaaaa</v>
      </c>
      <c r="AZ156" s="81" t="s">
        <v>66</v>
      </c>
      <c r="BA156" s="2"/>
      <c r="BB156" s="3"/>
      <c r="BC156" s="3"/>
      <c r="BD156" s="3"/>
      <c r="BE156" s="3"/>
    </row>
    <row r="157" spans="1:57" x14ac:dyDescent="0.35">
      <c r="A157" s="66" t="s">
        <v>266</v>
      </c>
      <c r="B157" s="67"/>
      <c r="C157" s="67"/>
      <c r="D157" s="68"/>
      <c r="E157" s="94"/>
      <c r="F157" s="93" t="str">
        <f>HYPERLINK("https://pbs.twimg.com/profile_images/1326222239142993920/w3BwHPqI_normal.jpg")</f>
        <v>https://pbs.twimg.com/profile_images/1326222239142993920/w3BwHPqI_normal.jpg</v>
      </c>
      <c r="G157" s="95"/>
      <c r="H157" s="71"/>
      <c r="I157" s="72"/>
      <c r="J157" s="96"/>
      <c r="K157" s="71" t="s">
        <v>3793</v>
      </c>
      <c r="L157" s="97"/>
      <c r="M157" s="76"/>
      <c r="N157" s="76"/>
      <c r="O157" s="77"/>
      <c r="P157" s="78"/>
      <c r="Q157" s="78"/>
      <c r="R157" s="92"/>
      <c r="S157" s="92"/>
      <c r="T157" s="92"/>
      <c r="U157" s="92"/>
      <c r="V157" s="52"/>
      <c r="W157" s="52"/>
      <c r="X157" s="52"/>
      <c r="Y157" s="52"/>
      <c r="Z157" s="51"/>
      <c r="AA157" s="73"/>
      <c r="AB157" s="73"/>
      <c r="AC157" s="74"/>
      <c r="AD157" s="81" t="s">
        <v>2304</v>
      </c>
      <c r="AE157" s="86" t="s">
        <v>2742</v>
      </c>
      <c r="AF157" s="81">
        <v>344</v>
      </c>
      <c r="AG157" s="81">
        <v>254</v>
      </c>
      <c r="AH157" s="81">
        <v>7224</v>
      </c>
      <c r="AI157" s="81">
        <v>6025</v>
      </c>
      <c r="AJ157" s="81"/>
      <c r="AK157" s="81" t="s">
        <v>3138</v>
      </c>
      <c r="AL157" s="81"/>
      <c r="AM157" s="81"/>
      <c r="AN157" s="81"/>
      <c r="AO157" s="83">
        <v>43070.455000000002</v>
      </c>
      <c r="AP157" s="84" t="str">
        <f>HYPERLINK("https://pbs.twimg.com/profile_banners/936549235184492544/1516451610")</f>
        <v>https://pbs.twimg.com/profile_banners/936549235184492544/1516451610</v>
      </c>
      <c r="AQ157" s="81" t="b">
        <v>1</v>
      </c>
      <c r="AR157" s="81" t="b">
        <v>0</v>
      </c>
      <c r="AS157" s="81" t="b">
        <v>0</v>
      </c>
      <c r="AT157" s="81"/>
      <c r="AU157" s="81">
        <v>0</v>
      </c>
      <c r="AV157" s="81"/>
      <c r="AW157" s="81" t="b">
        <v>0</v>
      </c>
      <c r="AX157" s="81" t="s">
        <v>3728</v>
      </c>
      <c r="AY157" s="84" t="str">
        <f>HYPERLINK("https://twitter.com/cixbaely")</f>
        <v>https://twitter.com/cixbaely</v>
      </c>
      <c r="AZ157" s="81" t="s">
        <v>66</v>
      </c>
      <c r="BA157" s="2"/>
      <c r="BB157" s="3"/>
      <c r="BC157" s="3"/>
      <c r="BD157" s="3"/>
      <c r="BE157" s="3"/>
    </row>
    <row r="158" spans="1:57" x14ac:dyDescent="0.35">
      <c r="A158" s="66" t="s">
        <v>4241</v>
      </c>
      <c r="B158" s="67"/>
      <c r="C158" s="67"/>
      <c r="D158" s="68"/>
      <c r="E158" s="94"/>
      <c r="F158" s="93" t="str">
        <f>HYPERLINK("https://pbs.twimg.com/profile_images/1393528664147431427/I1H3SKjq_normal.jpg")</f>
        <v>https://pbs.twimg.com/profile_images/1393528664147431427/I1H3SKjq_normal.jpg</v>
      </c>
      <c r="G158" s="95"/>
      <c r="H158" s="71"/>
      <c r="I158" s="72"/>
      <c r="J158" s="96"/>
      <c r="K158" s="71" t="s">
        <v>11492</v>
      </c>
      <c r="L158" s="97"/>
      <c r="M158" s="76"/>
      <c r="N158" s="76"/>
      <c r="O158" s="77"/>
      <c r="P158" s="78"/>
      <c r="Q158" s="78"/>
      <c r="R158" s="92"/>
      <c r="S158" s="92"/>
      <c r="T158" s="92"/>
      <c r="U158" s="92"/>
      <c r="V158" s="52"/>
      <c r="W158" s="52"/>
      <c r="X158" s="52"/>
      <c r="Y158" s="52"/>
      <c r="Z158" s="51"/>
      <c r="AA158" s="73"/>
      <c r="AB158" s="73"/>
      <c r="AC158" s="74"/>
      <c r="AD158" s="81" t="s">
        <v>8123</v>
      </c>
      <c r="AE158" s="86" t="s">
        <v>9190</v>
      </c>
      <c r="AF158" s="81">
        <v>1987</v>
      </c>
      <c r="AG158" s="81">
        <v>582</v>
      </c>
      <c r="AH158" s="81">
        <v>6393</v>
      </c>
      <c r="AI158" s="81">
        <v>7197</v>
      </c>
      <c r="AJ158" s="81"/>
      <c r="AK158" s="81" t="s">
        <v>10144</v>
      </c>
      <c r="AL158" s="81"/>
      <c r="AM158" s="81"/>
      <c r="AN158" s="81"/>
      <c r="AO158" s="83">
        <v>44260.508206018516</v>
      </c>
      <c r="AP158" s="84" t="str">
        <f>HYPERLINK("https://pbs.twimg.com/profile_banners/1367810026274885632/1617887421")</f>
        <v>https://pbs.twimg.com/profile_banners/1367810026274885632/1617887421</v>
      </c>
      <c r="AQ158" s="81" t="b">
        <v>1</v>
      </c>
      <c r="AR158" s="81" t="b">
        <v>0</v>
      </c>
      <c r="AS158" s="81" t="b">
        <v>0</v>
      </c>
      <c r="AT158" s="81"/>
      <c r="AU158" s="81">
        <v>1</v>
      </c>
      <c r="AV158" s="81"/>
      <c r="AW158" s="81" t="b">
        <v>0</v>
      </c>
      <c r="AX158" s="81" t="s">
        <v>3728</v>
      </c>
      <c r="AY158" s="84" t="str">
        <f>HYPERLINK("https://twitter.com/sserumpum")</f>
        <v>https://twitter.com/sserumpum</v>
      </c>
      <c r="AZ158" s="81" t="s">
        <v>66</v>
      </c>
      <c r="BA158" s="2"/>
      <c r="BB158" s="3"/>
      <c r="BC158" s="3"/>
      <c r="BD158" s="3"/>
      <c r="BE158" s="3"/>
    </row>
    <row r="159" spans="1:57" x14ac:dyDescent="0.35">
      <c r="A159" s="66" t="s">
        <v>267</v>
      </c>
      <c r="B159" s="67"/>
      <c r="C159" s="67"/>
      <c r="D159" s="68"/>
      <c r="E159" s="94"/>
      <c r="F159" s="93" t="str">
        <f>HYPERLINK("https://pbs.twimg.com/profile_images/1091700350472474624/CsuQ65QF_normal.jpg")</f>
        <v>https://pbs.twimg.com/profile_images/1091700350472474624/CsuQ65QF_normal.jpg</v>
      </c>
      <c r="G159" s="95"/>
      <c r="H159" s="71"/>
      <c r="I159" s="72"/>
      <c r="J159" s="96"/>
      <c r="K159" s="71" t="s">
        <v>3794</v>
      </c>
      <c r="L159" s="97"/>
      <c r="M159" s="76"/>
      <c r="N159" s="76"/>
      <c r="O159" s="77"/>
      <c r="P159" s="78"/>
      <c r="Q159" s="78"/>
      <c r="R159" s="92"/>
      <c r="S159" s="92"/>
      <c r="T159" s="92"/>
      <c r="U159" s="92"/>
      <c r="V159" s="52"/>
      <c r="W159" s="52"/>
      <c r="X159" s="52"/>
      <c r="Y159" s="52"/>
      <c r="Z159" s="51"/>
      <c r="AA159" s="73"/>
      <c r="AB159" s="73"/>
      <c r="AC159" s="74"/>
      <c r="AD159" s="81" t="s">
        <v>2305</v>
      </c>
      <c r="AE159" s="86" t="s">
        <v>2743</v>
      </c>
      <c r="AF159" s="81">
        <v>310</v>
      </c>
      <c r="AG159" s="81">
        <v>398</v>
      </c>
      <c r="AH159" s="81">
        <v>7031</v>
      </c>
      <c r="AI159" s="81">
        <v>232</v>
      </c>
      <c r="AJ159" s="81"/>
      <c r="AK159" s="81" t="s">
        <v>3139</v>
      </c>
      <c r="AL159" s="81" t="s">
        <v>3553</v>
      </c>
      <c r="AM159" s="81"/>
      <c r="AN159" s="81"/>
      <c r="AO159" s="83">
        <v>40050.285925925928</v>
      </c>
      <c r="AP159" s="84" t="str">
        <f>HYPERLINK("https://pbs.twimg.com/profile_banners/68630385/1514624800")</f>
        <v>https://pbs.twimg.com/profile_banners/68630385/1514624800</v>
      </c>
      <c r="AQ159" s="81" t="b">
        <v>0</v>
      </c>
      <c r="AR159" s="81" t="b">
        <v>0</v>
      </c>
      <c r="AS159" s="81" t="b">
        <v>0</v>
      </c>
      <c r="AT159" s="81"/>
      <c r="AU159" s="81">
        <v>0</v>
      </c>
      <c r="AV159" s="84" t="str">
        <f>HYPERLINK("https://abs.twimg.com/images/themes/theme4/bg.gif")</f>
        <v>https://abs.twimg.com/images/themes/theme4/bg.gif</v>
      </c>
      <c r="AW159" s="81" t="b">
        <v>0</v>
      </c>
      <c r="AX159" s="81" t="s">
        <v>3728</v>
      </c>
      <c r="AY159" s="84" t="str">
        <f>HYPERLINK("https://twitter.com/festifiki")</f>
        <v>https://twitter.com/festifiki</v>
      </c>
      <c r="AZ159" s="81" t="s">
        <v>66</v>
      </c>
      <c r="BA159" s="2"/>
      <c r="BB159" s="3"/>
      <c r="BC159" s="3"/>
      <c r="BD159" s="3"/>
      <c r="BE159" s="3"/>
    </row>
    <row r="160" spans="1:57" x14ac:dyDescent="0.35">
      <c r="A160" s="66" t="s">
        <v>614</v>
      </c>
      <c r="B160" s="67"/>
      <c r="C160" s="67"/>
      <c r="D160" s="68"/>
      <c r="E160" s="94"/>
      <c r="F160" s="93" t="str">
        <f>HYPERLINK("https://pbs.twimg.com/profile_images/1094898680253960192/F4hVJ_v__normal.jpg")</f>
        <v>https://pbs.twimg.com/profile_images/1094898680253960192/F4hVJ_v__normal.jpg</v>
      </c>
      <c r="G160" s="95"/>
      <c r="H160" s="71"/>
      <c r="I160" s="72"/>
      <c r="J160" s="96"/>
      <c r="K160" s="71" t="s">
        <v>3795</v>
      </c>
      <c r="L160" s="97"/>
      <c r="M160" s="76"/>
      <c r="N160" s="76"/>
      <c r="O160" s="77"/>
      <c r="P160" s="78"/>
      <c r="Q160" s="78"/>
      <c r="R160" s="92"/>
      <c r="S160" s="92"/>
      <c r="T160" s="92"/>
      <c r="U160" s="92"/>
      <c r="V160" s="52"/>
      <c r="W160" s="52"/>
      <c r="X160" s="52"/>
      <c r="Y160" s="52"/>
      <c r="Z160" s="51"/>
      <c r="AA160" s="73"/>
      <c r="AB160" s="73"/>
      <c r="AC160" s="74"/>
      <c r="AD160" s="81" t="s">
        <v>2306</v>
      </c>
      <c r="AE160" s="86" t="s">
        <v>2744</v>
      </c>
      <c r="AF160" s="81">
        <v>0</v>
      </c>
      <c r="AG160" s="81">
        <v>12941</v>
      </c>
      <c r="AH160" s="81">
        <v>73817</v>
      </c>
      <c r="AI160" s="81">
        <v>9</v>
      </c>
      <c r="AJ160" s="81"/>
      <c r="AK160" s="81" t="s">
        <v>3140</v>
      </c>
      <c r="AL160" s="81" t="s">
        <v>3554</v>
      </c>
      <c r="AM160" s="81"/>
      <c r="AN160" s="81"/>
      <c r="AO160" s="83">
        <v>43385.526238425926</v>
      </c>
      <c r="AP160" s="84" t="str">
        <f>HYPERLINK("https://pbs.twimg.com/profile_banners/1050727225866125312/1622434240")</f>
        <v>https://pbs.twimg.com/profile_banners/1050727225866125312/1622434240</v>
      </c>
      <c r="AQ160" s="81" t="b">
        <v>0</v>
      </c>
      <c r="AR160" s="81" t="b">
        <v>0</v>
      </c>
      <c r="AS160" s="81" t="b">
        <v>0</v>
      </c>
      <c r="AT160" s="81"/>
      <c r="AU160" s="81">
        <v>5</v>
      </c>
      <c r="AV160" s="84" t="str">
        <f>HYPERLINK("https://abs.twimg.com/images/themes/theme1/bg.png")</f>
        <v>https://abs.twimg.com/images/themes/theme1/bg.png</v>
      </c>
      <c r="AW160" s="81" t="b">
        <v>0</v>
      </c>
      <c r="AX160" s="81" t="s">
        <v>3728</v>
      </c>
      <c r="AY160" s="84" t="str">
        <f>HYPERLINK("https://twitter.com/anteraja_id")</f>
        <v>https://twitter.com/anteraja_id</v>
      </c>
      <c r="AZ160" s="81" t="s">
        <v>65</v>
      </c>
      <c r="BA160" s="2"/>
      <c r="BB160" s="3"/>
      <c r="BC160" s="3"/>
      <c r="BD160" s="3"/>
      <c r="BE160" s="3"/>
    </row>
    <row r="161" spans="1:57" x14ac:dyDescent="0.35">
      <c r="A161" s="66" t="s">
        <v>4242</v>
      </c>
      <c r="B161" s="67"/>
      <c r="C161" s="67"/>
      <c r="D161" s="68"/>
      <c r="E161" s="94"/>
      <c r="F161" s="93" t="str">
        <f>HYPERLINK("https://pbs.twimg.com/profile_images/1413091569809297414/3uNj0GyJ_normal.jpg")</f>
        <v>https://pbs.twimg.com/profile_images/1413091569809297414/3uNj0GyJ_normal.jpg</v>
      </c>
      <c r="G161" s="95"/>
      <c r="H161" s="71"/>
      <c r="I161" s="72"/>
      <c r="J161" s="96"/>
      <c r="K161" s="71" t="s">
        <v>11493</v>
      </c>
      <c r="L161" s="97"/>
      <c r="M161" s="76"/>
      <c r="N161" s="76"/>
      <c r="O161" s="77"/>
      <c r="P161" s="78"/>
      <c r="Q161" s="78"/>
      <c r="R161" s="92"/>
      <c r="S161" s="92"/>
      <c r="T161" s="92"/>
      <c r="U161" s="92"/>
      <c r="V161" s="52"/>
      <c r="W161" s="52"/>
      <c r="X161" s="52"/>
      <c r="Y161" s="52"/>
      <c r="Z161" s="51"/>
      <c r="AA161" s="73"/>
      <c r="AB161" s="73"/>
      <c r="AC161" s="74"/>
      <c r="AD161" s="81" t="s">
        <v>8124</v>
      </c>
      <c r="AE161" s="86" t="s">
        <v>9191</v>
      </c>
      <c r="AF161" s="81">
        <v>1618</v>
      </c>
      <c r="AG161" s="81">
        <v>52</v>
      </c>
      <c r="AH161" s="81">
        <v>9172</v>
      </c>
      <c r="AI161" s="81">
        <v>2021</v>
      </c>
      <c r="AJ161" s="81"/>
      <c r="AK161" s="81" t="s">
        <v>10145</v>
      </c>
      <c r="AL161" s="81"/>
      <c r="AM161" s="81"/>
      <c r="AN161" s="81"/>
      <c r="AO161" s="83">
        <v>44385.460590277777</v>
      </c>
      <c r="AP161" s="81"/>
      <c r="AQ161" s="81" t="b">
        <v>1</v>
      </c>
      <c r="AR161" s="81" t="b">
        <v>0</v>
      </c>
      <c r="AS161" s="81" t="b">
        <v>0</v>
      </c>
      <c r="AT161" s="81"/>
      <c r="AU161" s="81">
        <v>0</v>
      </c>
      <c r="AV161" s="81"/>
      <c r="AW161" s="81" t="b">
        <v>0</v>
      </c>
      <c r="AX161" s="81" t="s">
        <v>3728</v>
      </c>
      <c r="AY161" s="84" t="str">
        <f>HYPERLINK("https://twitter.com/april63394283")</f>
        <v>https://twitter.com/april63394283</v>
      </c>
      <c r="AZ161" s="81" t="s">
        <v>66</v>
      </c>
      <c r="BA161" s="2"/>
      <c r="BB161" s="3"/>
      <c r="BC161" s="3"/>
      <c r="BD161" s="3"/>
      <c r="BE161" s="3"/>
    </row>
    <row r="162" spans="1:57" x14ac:dyDescent="0.35">
      <c r="A162" s="66" t="s">
        <v>4243</v>
      </c>
      <c r="B162" s="67"/>
      <c r="C162" s="67"/>
      <c r="D162" s="68"/>
      <c r="E162" s="94"/>
      <c r="F162" s="93" t="str">
        <f>HYPERLINK("https://pbs.twimg.com/profile_images/1422383433712488449/flVx7CpR_normal.jpg")</f>
        <v>https://pbs.twimg.com/profile_images/1422383433712488449/flVx7CpR_normal.jpg</v>
      </c>
      <c r="G162" s="95"/>
      <c r="H162" s="71"/>
      <c r="I162" s="72"/>
      <c r="J162" s="96"/>
      <c r="K162" s="71" t="s">
        <v>11494</v>
      </c>
      <c r="L162" s="97"/>
      <c r="M162" s="76"/>
      <c r="N162" s="76"/>
      <c r="O162" s="77"/>
      <c r="P162" s="78"/>
      <c r="Q162" s="78"/>
      <c r="R162" s="92"/>
      <c r="S162" s="92"/>
      <c r="T162" s="92"/>
      <c r="U162" s="92"/>
      <c r="V162" s="52"/>
      <c r="W162" s="52"/>
      <c r="X162" s="52"/>
      <c r="Y162" s="52"/>
      <c r="Z162" s="51"/>
      <c r="AA162" s="73"/>
      <c r="AB162" s="73"/>
      <c r="AC162" s="74"/>
      <c r="AD162" s="81" t="s">
        <v>8125</v>
      </c>
      <c r="AE162" s="86" t="s">
        <v>9192</v>
      </c>
      <c r="AF162" s="81">
        <v>2861</v>
      </c>
      <c r="AG162" s="81">
        <v>2573</v>
      </c>
      <c r="AH162" s="81">
        <v>19417</v>
      </c>
      <c r="AI162" s="81">
        <v>39096</v>
      </c>
      <c r="AJ162" s="81"/>
      <c r="AK162" s="81" t="s">
        <v>10146</v>
      </c>
      <c r="AL162" s="81" t="s">
        <v>11031</v>
      </c>
      <c r="AM162" s="81"/>
      <c r="AN162" s="81"/>
      <c r="AO162" s="83">
        <v>41831.781238425923</v>
      </c>
      <c r="AP162" s="84" t="str">
        <f>HYPERLINK("https://pbs.twimg.com/profile_banners/2699993566/1628613606")</f>
        <v>https://pbs.twimg.com/profile_banners/2699993566/1628613606</v>
      </c>
      <c r="AQ162" s="81" t="b">
        <v>1</v>
      </c>
      <c r="AR162" s="81" t="b">
        <v>0</v>
      </c>
      <c r="AS162" s="81" t="b">
        <v>1</v>
      </c>
      <c r="AT162" s="81"/>
      <c r="AU162" s="81">
        <v>0</v>
      </c>
      <c r="AV162" s="84" t="str">
        <f>HYPERLINK("https://abs.twimg.com/images/themes/theme1/bg.png")</f>
        <v>https://abs.twimg.com/images/themes/theme1/bg.png</v>
      </c>
      <c r="AW162" s="81" t="b">
        <v>0</v>
      </c>
      <c r="AX162" s="81" t="s">
        <v>3728</v>
      </c>
      <c r="AY162" s="84" t="str">
        <f>HYPERLINK("https://twitter.com/em_7015")</f>
        <v>https://twitter.com/em_7015</v>
      </c>
      <c r="AZ162" s="81" t="s">
        <v>66</v>
      </c>
      <c r="BA162" s="2"/>
      <c r="BB162" s="3"/>
      <c r="BC162" s="3"/>
      <c r="BD162" s="3"/>
      <c r="BE162" s="3"/>
    </row>
    <row r="163" spans="1:57" x14ac:dyDescent="0.35">
      <c r="A163" s="66" t="s">
        <v>268</v>
      </c>
      <c r="B163" s="67"/>
      <c r="C163" s="67"/>
      <c r="D163" s="68"/>
      <c r="E163" s="94"/>
      <c r="F163" s="93" t="str">
        <f>HYPERLINK("https://pbs.twimg.com/profile_images/1391236302897487873/Moe3gT6t_normal.jpg")</f>
        <v>https://pbs.twimg.com/profile_images/1391236302897487873/Moe3gT6t_normal.jpg</v>
      </c>
      <c r="G163" s="95"/>
      <c r="H163" s="71"/>
      <c r="I163" s="72"/>
      <c r="J163" s="96"/>
      <c r="K163" s="71" t="s">
        <v>3796</v>
      </c>
      <c r="L163" s="97"/>
      <c r="M163" s="76"/>
      <c r="N163" s="76"/>
      <c r="O163" s="77"/>
      <c r="P163" s="78"/>
      <c r="Q163" s="78"/>
      <c r="R163" s="92"/>
      <c r="S163" s="92"/>
      <c r="T163" s="92"/>
      <c r="U163" s="92"/>
      <c r="V163" s="52"/>
      <c r="W163" s="52"/>
      <c r="X163" s="52"/>
      <c r="Y163" s="52"/>
      <c r="Z163" s="51"/>
      <c r="AA163" s="73"/>
      <c r="AB163" s="73"/>
      <c r="AC163" s="74"/>
      <c r="AD163" s="81" t="s">
        <v>2307</v>
      </c>
      <c r="AE163" s="86" t="s">
        <v>2745</v>
      </c>
      <c r="AF163" s="81">
        <v>1841</v>
      </c>
      <c r="AG163" s="81">
        <v>2551</v>
      </c>
      <c r="AH163" s="81">
        <v>191894</v>
      </c>
      <c r="AI163" s="81">
        <v>72277</v>
      </c>
      <c r="AJ163" s="81"/>
      <c r="AK163" s="81" t="s">
        <v>3141</v>
      </c>
      <c r="AL163" s="81" t="s">
        <v>3555</v>
      </c>
      <c r="AM163" s="84" t="str">
        <f>HYPERLINK("https://t.co/MLMB7L3m8a")</f>
        <v>https://t.co/MLMB7L3m8a</v>
      </c>
      <c r="AN163" s="81"/>
      <c r="AO163" s="83">
        <v>41694.128506944442</v>
      </c>
      <c r="AP163" s="84" t="str">
        <f>HYPERLINK("https://pbs.twimg.com/profile_banners/2358855422/1561208375")</f>
        <v>https://pbs.twimg.com/profile_banners/2358855422/1561208375</v>
      </c>
      <c r="AQ163" s="81" t="b">
        <v>1</v>
      </c>
      <c r="AR163" s="81" t="b">
        <v>0</v>
      </c>
      <c r="AS163" s="81" t="b">
        <v>1</v>
      </c>
      <c r="AT163" s="81"/>
      <c r="AU163" s="81">
        <v>7</v>
      </c>
      <c r="AV163" s="84" t="str">
        <f>HYPERLINK("https://abs.twimg.com/images/themes/theme1/bg.png")</f>
        <v>https://abs.twimg.com/images/themes/theme1/bg.png</v>
      </c>
      <c r="AW163" s="81" t="b">
        <v>0</v>
      </c>
      <c r="AX163" s="81" t="s">
        <v>3728</v>
      </c>
      <c r="AY163" s="84" t="str">
        <f>HYPERLINK("https://twitter.com/ljtzys")</f>
        <v>https://twitter.com/ljtzys</v>
      </c>
      <c r="AZ163" s="81" t="s">
        <v>66</v>
      </c>
      <c r="BA163" s="2"/>
      <c r="BB163" s="3"/>
      <c r="BC163" s="3"/>
      <c r="BD163" s="3"/>
      <c r="BE163" s="3"/>
    </row>
    <row r="164" spans="1:57" x14ac:dyDescent="0.35">
      <c r="A164" s="66" t="s">
        <v>269</v>
      </c>
      <c r="B164" s="67"/>
      <c r="C164" s="67"/>
      <c r="D164" s="68"/>
      <c r="E164" s="94"/>
      <c r="F164" s="93" t="str">
        <f>HYPERLINK("https://pbs.twimg.com/profile_images/1344952032554328065/R2BRlDNQ_normal.jpg")</f>
        <v>https://pbs.twimg.com/profile_images/1344952032554328065/R2BRlDNQ_normal.jpg</v>
      </c>
      <c r="G164" s="95"/>
      <c r="H164" s="71"/>
      <c r="I164" s="72"/>
      <c r="J164" s="96"/>
      <c r="K164" s="71" t="s">
        <v>3797</v>
      </c>
      <c r="L164" s="97"/>
      <c r="M164" s="76"/>
      <c r="N164" s="76"/>
      <c r="O164" s="77"/>
      <c r="P164" s="78"/>
      <c r="Q164" s="78"/>
      <c r="R164" s="92"/>
      <c r="S164" s="92"/>
      <c r="T164" s="92"/>
      <c r="U164" s="92"/>
      <c r="V164" s="52"/>
      <c r="W164" s="52"/>
      <c r="X164" s="52"/>
      <c r="Y164" s="52"/>
      <c r="Z164" s="51"/>
      <c r="AA164" s="73"/>
      <c r="AB164" s="73"/>
      <c r="AC164" s="74"/>
      <c r="AD164" s="81" t="s">
        <v>2308</v>
      </c>
      <c r="AE164" s="86" t="s">
        <v>2746</v>
      </c>
      <c r="AF164" s="81">
        <v>311</v>
      </c>
      <c r="AG164" s="81">
        <v>17644</v>
      </c>
      <c r="AH164" s="81">
        <v>26627</v>
      </c>
      <c r="AI164" s="81">
        <v>35419</v>
      </c>
      <c r="AJ164" s="81"/>
      <c r="AK164" s="81" t="s">
        <v>3142</v>
      </c>
      <c r="AL164" s="81"/>
      <c r="AM164" s="84" t="str">
        <f>HYPERLINK("https://t.co/cIi6H0BoKA")</f>
        <v>https://t.co/cIi6H0BoKA</v>
      </c>
      <c r="AN164" s="81"/>
      <c r="AO164" s="83">
        <v>43144.631203703706</v>
      </c>
      <c r="AP164" s="84" t="str">
        <f>HYPERLINK("https://pbs.twimg.com/profile_banners/963429790320615424/1632959667")</f>
        <v>https://pbs.twimg.com/profile_banners/963429790320615424/1632959667</v>
      </c>
      <c r="AQ164" s="81" t="b">
        <v>1</v>
      </c>
      <c r="AR164" s="81" t="b">
        <v>0</v>
      </c>
      <c r="AS164" s="81" t="b">
        <v>1</v>
      </c>
      <c r="AT164" s="81"/>
      <c r="AU164" s="81">
        <v>31</v>
      </c>
      <c r="AV164" s="81"/>
      <c r="AW164" s="81" t="b">
        <v>0</v>
      </c>
      <c r="AX164" s="81" t="s">
        <v>3728</v>
      </c>
      <c r="AY164" s="84" t="str">
        <f>HYPERLINK("https://twitter.com/sdnagr")</f>
        <v>https://twitter.com/sdnagr</v>
      </c>
      <c r="AZ164" s="81" t="s">
        <v>66</v>
      </c>
      <c r="BA164" s="2"/>
      <c r="BB164" s="3"/>
      <c r="BC164" s="3"/>
      <c r="BD164" s="3"/>
      <c r="BE164" s="3"/>
    </row>
    <row r="165" spans="1:57" x14ac:dyDescent="0.35">
      <c r="A165" s="66" t="s">
        <v>270</v>
      </c>
      <c r="B165" s="67"/>
      <c r="C165" s="67"/>
      <c r="D165" s="68"/>
      <c r="E165" s="94"/>
      <c r="F165" s="93" t="str">
        <f>HYPERLINK("https://pbs.twimg.com/profile_images/1433038608185774091/8VwyBhV4_normal.jpg")</f>
        <v>https://pbs.twimg.com/profile_images/1433038608185774091/8VwyBhV4_normal.jpg</v>
      </c>
      <c r="G165" s="95"/>
      <c r="H165" s="71"/>
      <c r="I165" s="72"/>
      <c r="J165" s="96"/>
      <c r="K165" s="71" t="s">
        <v>3798</v>
      </c>
      <c r="L165" s="97"/>
      <c r="M165" s="76"/>
      <c r="N165" s="76"/>
      <c r="O165" s="77"/>
      <c r="P165" s="78"/>
      <c r="Q165" s="78"/>
      <c r="R165" s="92"/>
      <c r="S165" s="92"/>
      <c r="T165" s="92"/>
      <c r="U165" s="92"/>
      <c r="V165" s="52"/>
      <c r="W165" s="52"/>
      <c r="X165" s="52"/>
      <c r="Y165" s="52"/>
      <c r="Z165" s="51"/>
      <c r="AA165" s="73"/>
      <c r="AB165" s="73"/>
      <c r="AC165" s="74"/>
      <c r="AD165" s="81" t="s">
        <v>2309</v>
      </c>
      <c r="AE165" s="86" t="s">
        <v>2747</v>
      </c>
      <c r="AF165" s="81">
        <v>169</v>
      </c>
      <c r="AG165" s="81">
        <v>62</v>
      </c>
      <c r="AH165" s="81">
        <v>5279</v>
      </c>
      <c r="AI165" s="81">
        <v>6159</v>
      </c>
      <c r="AJ165" s="81"/>
      <c r="AK165" s="81" t="s">
        <v>3143</v>
      </c>
      <c r="AL165" s="81"/>
      <c r="AM165" s="81"/>
      <c r="AN165" s="81"/>
      <c r="AO165" s="83">
        <v>43779.648622685185</v>
      </c>
      <c r="AP165" s="84" t="str">
        <f>HYPERLINK("https://pbs.twimg.com/profile_banners/1193552261185597440/1632584669")</f>
        <v>https://pbs.twimg.com/profile_banners/1193552261185597440/1632584669</v>
      </c>
      <c r="AQ165" s="81" t="b">
        <v>1</v>
      </c>
      <c r="AR165" s="81" t="b">
        <v>0</v>
      </c>
      <c r="AS165" s="81" t="b">
        <v>1</v>
      </c>
      <c r="AT165" s="81"/>
      <c r="AU165" s="81">
        <v>0</v>
      </c>
      <c r="AV165" s="81"/>
      <c r="AW165" s="81" t="b">
        <v>0</v>
      </c>
      <c r="AX165" s="81" t="s">
        <v>3728</v>
      </c>
      <c r="AY165" s="84" t="str">
        <f>HYPERLINK("https://twitter.com/wickysky_")</f>
        <v>https://twitter.com/wickysky_</v>
      </c>
      <c r="AZ165" s="81" t="s">
        <v>66</v>
      </c>
      <c r="BA165" s="2"/>
      <c r="BB165" s="3"/>
      <c r="BC165" s="3"/>
      <c r="BD165" s="3"/>
      <c r="BE165" s="3"/>
    </row>
    <row r="166" spans="1:57" x14ac:dyDescent="0.35">
      <c r="A166" s="66" t="s">
        <v>615</v>
      </c>
      <c r="B166" s="67"/>
      <c r="C166" s="67"/>
      <c r="D166" s="68"/>
      <c r="E166" s="94"/>
      <c r="F166" s="93" t="str">
        <f>HYPERLINK("https://pbs.twimg.com/profile_images/1441323298889945089/GAmtUalW_normal.jpg")</f>
        <v>https://pbs.twimg.com/profile_images/1441323298889945089/GAmtUalW_normal.jpg</v>
      </c>
      <c r="G166" s="95"/>
      <c r="H166" s="71"/>
      <c r="I166" s="72"/>
      <c r="J166" s="96"/>
      <c r="K166" s="71" t="s">
        <v>3799</v>
      </c>
      <c r="L166" s="97"/>
      <c r="M166" s="76"/>
      <c r="N166" s="76"/>
      <c r="O166" s="77"/>
      <c r="P166" s="78"/>
      <c r="Q166" s="78"/>
      <c r="R166" s="92"/>
      <c r="S166" s="92"/>
      <c r="T166" s="92"/>
      <c r="U166" s="92"/>
      <c r="V166" s="52"/>
      <c r="W166" s="52"/>
      <c r="X166" s="52"/>
      <c r="Y166" s="52"/>
      <c r="Z166" s="51"/>
      <c r="AA166" s="73"/>
      <c r="AB166" s="73"/>
      <c r="AC166" s="74"/>
      <c r="AD166" s="81" t="s">
        <v>2310</v>
      </c>
      <c r="AE166" s="86" t="s">
        <v>2093</v>
      </c>
      <c r="AF166" s="81">
        <v>887</v>
      </c>
      <c r="AG166" s="81">
        <v>1084</v>
      </c>
      <c r="AH166" s="81">
        <v>168647</v>
      </c>
      <c r="AI166" s="81">
        <v>75911</v>
      </c>
      <c r="AJ166" s="81"/>
      <c r="AK166" s="81" t="s">
        <v>3144</v>
      </c>
      <c r="AL166" s="81" t="s">
        <v>3556</v>
      </c>
      <c r="AM166" s="81"/>
      <c r="AN166" s="81"/>
      <c r="AO166" s="83">
        <v>41962.747604166667</v>
      </c>
      <c r="AP166" s="84" t="str">
        <f>HYPERLINK("https://pbs.twimg.com/profile_banners/2904688836/1632238714")</f>
        <v>https://pbs.twimg.com/profile_banners/2904688836/1632238714</v>
      </c>
      <c r="AQ166" s="81" t="b">
        <v>0</v>
      </c>
      <c r="AR166" s="81" t="b">
        <v>0</v>
      </c>
      <c r="AS166" s="81" t="b">
        <v>1</v>
      </c>
      <c r="AT166" s="81"/>
      <c r="AU166" s="81">
        <v>0</v>
      </c>
      <c r="AV166" s="84" t="str">
        <f>HYPERLINK("https://abs.twimg.com/images/themes/theme15/bg.png")</f>
        <v>https://abs.twimg.com/images/themes/theme15/bg.png</v>
      </c>
      <c r="AW166" s="81" t="b">
        <v>0</v>
      </c>
      <c r="AX166" s="81" t="s">
        <v>3728</v>
      </c>
      <c r="AY166" s="84" t="str">
        <f>HYPERLINK("https://twitter.com/ndhrahzaidi")</f>
        <v>https://twitter.com/ndhrahzaidi</v>
      </c>
      <c r="AZ166" s="81" t="s">
        <v>65</v>
      </c>
      <c r="BA166" s="2"/>
      <c r="BB166" s="3"/>
      <c r="BC166" s="3"/>
      <c r="BD166" s="3"/>
      <c r="BE166" s="3"/>
    </row>
    <row r="167" spans="1:57" x14ac:dyDescent="0.35">
      <c r="A167" s="66" t="s">
        <v>271</v>
      </c>
      <c r="B167" s="67"/>
      <c r="C167" s="67"/>
      <c r="D167" s="68"/>
      <c r="E167" s="94"/>
      <c r="F167" s="93" t="str">
        <f>HYPERLINK("https://pbs.twimg.com/profile_images/1369775839005446146/2biGpcla_normal.jpg")</f>
        <v>https://pbs.twimg.com/profile_images/1369775839005446146/2biGpcla_normal.jpg</v>
      </c>
      <c r="G167" s="95"/>
      <c r="H167" s="71"/>
      <c r="I167" s="72"/>
      <c r="J167" s="96"/>
      <c r="K167" s="71" t="s">
        <v>3800</v>
      </c>
      <c r="L167" s="97"/>
      <c r="M167" s="76"/>
      <c r="N167" s="76"/>
      <c r="O167" s="77"/>
      <c r="P167" s="78"/>
      <c r="Q167" s="78"/>
      <c r="R167" s="92"/>
      <c r="S167" s="92"/>
      <c r="T167" s="92"/>
      <c r="U167" s="92"/>
      <c r="V167" s="52"/>
      <c r="W167" s="52"/>
      <c r="X167" s="52"/>
      <c r="Y167" s="52"/>
      <c r="Z167" s="51"/>
      <c r="AA167" s="73"/>
      <c r="AB167" s="73"/>
      <c r="AC167" s="74"/>
      <c r="AD167" s="81" t="s">
        <v>2311</v>
      </c>
      <c r="AE167" s="86" t="s">
        <v>2748</v>
      </c>
      <c r="AF167" s="81">
        <v>184</v>
      </c>
      <c r="AG167" s="81">
        <v>203</v>
      </c>
      <c r="AH167" s="81">
        <v>10193</v>
      </c>
      <c r="AI167" s="81">
        <v>1299</v>
      </c>
      <c r="AJ167" s="81"/>
      <c r="AK167" s="81" t="s">
        <v>3145</v>
      </c>
      <c r="AL167" s="81" t="s">
        <v>3557</v>
      </c>
      <c r="AM167" s="81"/>
      <c r="AN167" s="81"/>
      <c r="AO167" s="83">
        <v>41173.530451388891</v>
      </c>
      <c r="AP167" s="84" t="str">
        <f>HYPERLINK("https://pbs.twimg.com/profile_banners/837716431/1615415023")</f>
        <v>https://pbs.twimg.com/profile_banners/837716431/1615415023</v>
      </c>
      <c r="AQ167" s="81" t="b">
        <v>0</v>
      </c>
      <c r="AR167" s="81" t="b">
        <v>0</v>
      </c>
      <c r="AS167" s="81" t="b">
        <v>0</v>
      </c>
      <c r="AT167" s="81"/>
      <c r="AU167" s="81">
        <v>0</v>
      </c>
      <c r="AV167" s="84" t="str">
        <f>HYPERLINK("https://abs.twimg.com/images/themes/theme10/bg.gif")</f>
        <v>https://abs.twimg.com/images/themes/theme10/bg.gif</v>
      </c>
      <c r="AW167" s="81" t="b">
        <v>0</v>
      </c>
      <c r="AX167" s="81" t="s">
        <v>3728</v>
      </c>
      <c r="AY167" s="84" t="str">
        <f>HYPERLINK("https://twitter.com/kucingduakepala")</f>
        <v>https://twitter.com/kucingduakepala</v>
      </c>
      <c r="AZ167" s="81" t="s">
        <v>66</v>
      </c>
      <c r="BA167" s="2"/>
      <c r="BB167" s="3"/>
      <c r="BC167" s="3"/>
      <c r="BD167" s="3"/>
      <c r="BE167" s="3"/>
    </row>
    <row r="168" spans="1:57" x14ac:dyDescent="0.35">
      <c r="A168" s="66" t="s">
        <v>616</v>
      </c>
      <c r="B168" s="67"/>
      <c r="C168" s="67"/>
      <c r="D168" s="68"/>
      <c r="E168" s="94"/>
      <c r="F168" s="93" t="str">
        <f>HYPERLINK("https://pbs.twimg.com/profile_images/1441815260491513865/AvJ8vBDZ_normal.jpg")</f>
        <v>https://pbs.twimg.com/profile_images/1441815260491513865/AvJ8vBDZ_normal.jpg</v>
      </c>
      <c r="G168" s="95"/>
      <c r="H168" s="71"/>
      <c r="I168" s="72"/>
      <c r="J168" s="96"/>
      <c r="K168" s="71" t="s">
        <v>3801</v>
      </c>
      <c r="L168" s="97"/>
      <c r="M168" s="76"/>
      <c r="N168" s="76"/>
      <c r="O168" s="77"/>
      <c r="P168" s="78"/>
      <c r="Q168" s="78"/>
      <c r="R168" s="92"/>
      <c r="S168" s="92"/>
      <c r="T168" s="92"/>
      <c r="U168" s="92"/>
      <c r="V168" s="52"/>
      <c r="W168" s="52"/>
      <c r="X168" s="52"/>
      <c r="Y168" s="52"/>
      <c r="Z168" s="51"/>
      <c r="AA168" s="73"/>
      <c r="AB168" s="73"/>
      <c r="AC168" s="74"/>
      <c r="AD168" s="81" t="s">
        <v>2312</v>
      </c>
      <c r="AE168" s="86" t="s">
        <v>2094</v>
      </c>
      <c r="AF168" s="81">
        <v>43</v>
      </c>
      <c r="AG168" s="81">
        <v>21</v>
      </c>
      <c r="AH168" s="81">
        <v>5261</v>
      </c>
      <c r="AI168" s="81">
        <v>1475</v>
      </c>
      <c r="AJ168" s="81"/>
      <c r="AK168" s="81" t="s">
        <v>3146</v>
      </c>
      <c r="AL168" s="81"/>
      <c r="AM168" s="84" t="str">
        <f>HYPERLINK("https://t.co/LRi6T0idLV")</f>
        <v>https://t.co/LRi6T0idLV</v>
      </c>
      <c r="AN168" s="81"/>
      <c r="AO168" s="83">
        <v>42015.581724537034</v>
      </c>
      <c r="AP168" s="84" t="str">
        <f>HYPERLINK("https://pbs.twimg.com/profile_banners/2974910850/1632589648")</f>
        <v>https://pbs.twimg.com/profile_banners/2974910850/1632589648</v>
      </c>
      <c r="AQ168" s="81" t="b">
        <v>1</v>
      </c>
      <c r="AR168" s="81" t="b">
        <v>0</v>
      </c>
      <c r="AS168" s="81" t="b">
        <v>1</v>
      </c>
      <c r="AT168" s="81"/>
      <c r="AU168" s="81">
        <v>0</v>
      </c>
      <c r="AV168" s="84" t="str">
        <f>HYPERLINK("https://abs.twimg.com/images/themes/theme1/bg.png")</f>
        <v>https://abs.twimg.com/images/themes/theme1/bg.png</v>
      </c>
      <c r="AW168" s="81" t="b">
        <v>0</v>
      </c>
      <c r="AX168" s="81" t="s">
        <v>3728</v>
      </c>
      <c r="AY168" s="84" t="str">
        <f>HYPERLINK("https://twitter.com/zainulazrii")</f>
        <v>https://twitter.com/zainulazrii</v>
      </c>
      <c r="AZ168" s="81" t="s">
        <v>65</v>
      </c>
      <c r="BA168" s="2"/>
      <c r="BB168" s="3"/>
      <c r="BC168" s="3"/>
      <c r="BD168" s="3"/>
      <c r="BE168" s="3"/>
    </row>
    <row r="169" spans="1:57" x14ac:dyDescent="0.35">
      <c r="A169" s="66" t="s">
        <v>4244</v>
      </c>
      <c r="B169" s="67"/>
      <c r="C169" s="67"/>
      <c r="D169" s="68"/>
      <c r="E169" s="94"/>
      <c r="F169" s="93" t="str">
        <f>HYPERLINK("https://pbs.twimg.com/profile_images/1430636557338300421/-AcRfGQU_normal.jpg")</f>
        <v>https://pbs.twimg.com/profile_images/1430636557338300421/-AcRfGQU_normal.jpg</v>
      </c>
      <c r="G169" s="95"/>
      <c r="H169" s="71"/>
      <c r="I169" s="72"/>
      <c r="J169" s="96"/>
      <c r="K169" s="71" t="s">
        <v>11495</v>
      </c>
      <c r="L169" s="97"/>
      <c r="M169" s="76"/>
      <c r="N169" s="76"/>
      <c r="O169" s="77"/>
      <c r="P169" s="78"/>
      <c r="Q169" s="78"/>
      <c r="R169" s="92"/>
      <c r="S169" s="92"/>
      <c r="T169" s="92"/>
      <c r="U169" s="92"/>
      <c r="V169" s="52"/>
      <c r="W169" s="52"/>
      <c r="X169" s="52"/>
      <c r="Y169" s="52"/>
      <c r="Z169" s="51"/>
      <c r="AA169" s="73"/>
      <c r="AB169" s="73"/>
      <c r="AC169" s="74"/>
      <c r="AD169" s="81" t="s">
        <v>8126</v>
      </c>
      <c r="AE169" s="86" t="s">
        <v>7805</v>
      </c>
      <c r="AF169" s="81">
        <v>454</v>
      </c>
      <c r="AG169" s="81">
        <v>17717</v>
      </c>
      <c r="AH169" s="81">
        <v>374978</v>
      </c>
      <c r="AI169" s="81">
        <v>21457</v>
      </c>
      <c r="AJ169" s="81"/>
      <c r="AK169" s="81" t="s">
        <v>10147</v>
      </c>
      <c r="AL169" s="81" t="s">
        <v>11032</v>
      </c>
      <c r="AM169" s="84" t="str">
        <f>HYPERLINK("https://t.co/9U3l49ndQN")</f>
        <v>https://t.co/9U3l49ndQN</v>
      </c>
      <c r="AN169" s="81"/>
      <c r="AO169" s="83">
        <v>39840.839918981481</v>
      </c>
      <c r="AP169" s="84" t="str">
        <f>HYPERLINK("https://pbs.twimg.com/profile_banners/19612753/1630959550")</f>
        <v>https://pbs.twimg.com/profile_banners/19612753/1630959550</v>
      </c>
      <c r="AQ169" s="81" t="b">
        <v>0</v>
      </c>
      <c r="AR169" s="81" t="b">
        <v>0</v>
      </c>
      <c r="AS169" s="81" t="b">
        <v>1</v>
      </c>
      <c r="AT169" s="81"/>
      <c r="AU169" s="81">
        <v>411</v>
      </c>
      <c r="AV169" s="84" t="str">
        <f>HYPERLINK("https://abs.twimg.com/images/themes/theme14/bg.gif")</f>
        <v>https://abs.twimg.com/images/themes/theme14/bg.gif</v>
      </c>
      <c r="AW169" s="81" t="b">
        <v>0</v>
      </c>
      <c r="AX169" s="81" t="s">
        <v>3728</v>
      </c>
      <c r="AY169" s="84" t="str">
        <f>HYPERLINK("https://twitter.com/joanarssousa")</f>
        <v>https://twitter.com/joanarssousa</v>
      </c>
      <c r="AZ169" s="81" t="s">
        <v>66</v>
      </c>
      <c r="BA169" s="2"/>
      <c r="BB169" s="3"/>
      <c r="BC169" s="3"/>
      <c r="BD169" s="3"/>
      <c r="BE169" s="3"/>
    </row>
    <row r="170" spans="1:57" x14ac:dyDescent="0.35">
      <c r="A170" s="66" t="s">
        <v>4246</v>
      </c>
      <c r="B170" s="67"/>
      <c r="C170" s="67"/>
      <c r="D170" s="68"/>
      <c r="E170" s="94"/>
      <c r="F170" s="93" t="str">
        <f>HYPERLINK("https://pbs.twimg.com/profile_images/1437546457167540224/kQjIbIPy_normal.jpg")</f>
        <v>https://pbs.twimg.com/profile_images/1437546457167540224/kQjIbIPy_normal.jpg</v>
      </c>
      <c r="G170" s="95"/>
      <c r="H170" s="71"/>
      <c r="I170" s="72"/>
      <c r="J170" s="96"/>
      <c r="K170" s="71" t="s">
        <v>11496</v>
      </c>
      <c r="L170" s="97"/>
      <c r="M170" s="76"/>
      <c r="N170" s="76"/>
      <c r="O170" s="77"/>
      <c r="P170" s="78"/>
      <c r="Q170" s="78"/>
      <c r="R170" s="92"/>
      <c r="S170" s="92"/>
      <c r="T170" s="92"/>
      <c r="U170" s="92"/>
      <c r="V170" s="52"/>
      <c r="W170" s="52"/>
      <c r="X170" s="52"/>
      <c r="Y170" s="52"/>
      <c r="Z170" s="51"/>
      <c r="AA170" s="73"/>
      <c r="AB170" s="73"/>
      <c r="AC170" s="74"/>
      <c r="AD170" s="81" t="s">
        <v>8127</v>
      </c>
      <c r="AE170" s="86" t="s">
        <v>9193</v>
      </c>
      <c r="AF170" s="81">
        <v>4739</v>
      </c>
      <c r="AG170" s="81">
        <v>3826</v>
      </c>
      <c r="AH170" s="81">
        <v>65602</v>
      </c>
      <c r="AI170" s="81">
        <v>65158</v>
      </c>
      <c r="AJ170" s="81"/>
      <c r="AK170" s="81" t="s">
        <v>10148</v>
      </c>
      <c r="AL170" s="81" t="s">
        <v>11033</v>
      </c>
      <c r="AM170" s="81"/>
      <c r="AN170" s="81"/>
      <c r="AO170" s="83">
        <v>42070.445324074077</v>
      </c>
      <c r="AP170" s="84" t="str">
        <f>HYPERLINK("https://pbs.twimg.com/profile_banners/3076997062/1631572759")</f>
        <v>https://pbs.twimg.com/profile_banners/3076997062/1631572759</v>
      </c>
      <c r="AQ170" s="81" t="b">
        <v>0</v>
      </c>
      <c r="AR170" s="81" t="b">
        <v>0</v>
      </c>
      <c r="AS170" s="81" t="b">
        <v>0</v>
      </c>
      <c r="AT170" s="81"/>
      <c r="AU170" s="81">
        <v>2</v>
      </c>
      <c r="AV170" s="84" t="str">
        <f>HYPERLINK("https://abs.twimg.com/images/themes/theme16/bg.gif")</f>
        <v>https://abs.twimg.com/images/themes/theme16/bg.gif</v>
      </c>
      <c r="AW170" s="81" t="b">
        <v>0</v>
      </c>
      <c r="AX170" s="81" t="s">
        <v>3728</v>
      </c>
      <c r="AY170" s="84" t="str">
        <f>HYPERLINK("https://twitter.com/normacastro2005")</f>
        <v>https://twitter.com/normacastro2005</v>
      </c>
      <c r="AZ170" s="81" t="s">
        <v>66</v>
      </c>
      <c r="BA170" s="2"/>
      <c r="BB170" s="3"/>
      <c r="BC170" s="3"/>
      <c r="BD170" s="3"/>
      <c r="BE170" s="3"/>
    </row>
    <row r="171" spans="1:57" x14ac:dyDescent="0.35">
      <c r="A171" s="66" t="s">
        <v>273</v>
      </c>
      <c r="B171" s="67"/>
      <c r="C171" s="67"/>
      <c r="D171" s="68"/>
      <c r="E171" s="94"/>
      <c r="F171" s="93" t="str">
        <f>HYPERLINK("https://pbs.twimg.com/profile_images/1421721993095884801/vsZiLpXf_normal.jpg")</f>
        <v>https://pbs.twimg.com/profile_images/1421721993095884801/vsZiLpXf_normal.jpg</v>
      </c>
      <c r="G171" s="95"/>
      <c r="H171" s="71"/>
      <c r="I171" s="72"/>
      <c r="J171" s="96"/>
      <c r="K171" s="71" t="s">
        <v>3802</v>
      </c>
      <c r="L171" s="97"/>
      <c r="M171" s="76"/>
      <c r="N171" s="76"/>
      <c r="O171" s="77"/>
      <c r="P171" s="78"/>
      <c r="Q171" s="78"/>
      <c r="R171" s="92"/>
      <c r="S171" s="92"/>
      <c r="T171" s="92"/>
      <c r="U171" s="92"/>
      <c r="V171" s="52"/>
      <c r="W171" s="52"/>
      <c r="X171" s="52"/>
      <c r="Y171" s="52"/>
      <c r="Z171" s="51"/>
      <c r="AA171" s="73"/>
      <c r="AB171" s="73"/>
      <c r="AC171" s="74"/>
      <c r="AD171" s="81" t="s">
        <v>2314</v>
      </c>
      <c r="AE171" s="86" t="s">
        <v>2749</v>
      </c>
      <c r="AF171" s="81">
        <v>222</v>
      </c>
      <c r="AG171" s="81">
        <v>12</v>
      </c>
      <c r="AH171" s="81">
        <v>185</v>
      </c>
      <c r="AI171" s="81">
        <v>208</v>
      </c>
      <c r="AJ171" s="81"/>
      <c r="AK171" s="81" t="s">
        <v>3148</v>
      </c>
      <c r="AL171" s="81"/>
      <c r="AM171" s="81"/>
      <c r="AN171" s="81"/>
      <c r="AO171" s="83">
        <v>44409.276041666664</v>
      </c>
      <c r="AP171" s="81"/>
      <c r="AQ171" s="81" t="b">
        <v>1</v>
      </c>
      <c r="AR171" s="81" t="b">
        <v>0</v>
      </c>
      <c r="AS171" s="81" t="b">
        <v>0</v>
      </c>
      <c r="AT171" s="81"/>
      <c r="AU171" s="81">
        <v>0</v>
      </c>
      <c r="AV171" s="81"/>
      <c r="AW171" s="81" t="b">
        <v>0</v>
      </c>
      <c r="AX171" s="81" t="s">
        <v>3728</v>
      </c>
      <c r="AY171" s="84" t="str">
        <f>HYPERLINK("https://twitter.com/bagheli1plus")</f>
        <v>https://twitter.com/bagheli1plus</v>
      </c>
      <c r="AZ171" s="81" t="s">
        <v>66</v>
      </c>
      <c r="BA171" s="2"/>
      <c r="BB171" s="3"/>
      <c r="BC171" s="3"/>
      <c r="BD171" s="3"/>
      <c r="BE171" s="3"/>
    </row>
    <row r="172" spans="1:57" x14ac:dyDescent="0.35">
      <c r="A172" s="66" t="s">
        <v>4247</v>
      </c>
      <c r="B172" s="67"/>
      <c r="C172" s="67"/>
      <c r="D172" s="68"/>
      <c r="E172" s="94"/>
      <c r="F172" s="93" t="str">
        <f>HYPERLINK("https://pbs.twimg.com/profile_images/3384135446/5f011282afbc8b04b59443580a7bf61a_normal.jpeg")</f>
        <v>https://pbs.twimg.com/profile_images/3384135446/5f011282afbc8b04b59443580a7bf61a_normal.jpeg</v>
      </c>
      <c r="G172" s="95"/>
      <c r="H172" s="71"/>
      <c r="I172" s="72"/>
      <c r="J172" s="96"/>
      <c r="K172" s="71" t="s">
        <v>11497</v>
      </c>
      <c r="L172" s="97"/>
      <c r="M172" s="76"/>
      <c r="N172" s="76"/>
      <c r="O172" s="77"/>
      <c r="P172" s="78"/>
      <c r="Q172" s="78"/>
      <c r="R172" s="92"/>
      <c r="S172" s="92"/>
      <c r="T172" s="92"/>
      <c r="U172" s="92"/>
      <c r="V172" s="52"/>
      <c r="W172" s="52"/>
      <c r="X172" s="52"/>
      <c r="Y172" s="52"/>
      <c r="Z172" s="51"/>
      <c r="AA172" s="73"/>
      <c r="AB172" s="73"/>
      <c r="AC172" s="74"/>
      <c r="AD172" s="81" t="s">
        <v>8128</v>
      </c>
      <c r="AE172" s="86" t="s">
        <v>9194</v>
      </c>
      <c r="AF172" s="81">
        <v>641</v>
      </c>
      <c r="AG172" s="81">
        <v>1162</v>
      </c>
      <c r="AH172" s="81">
        <v>7342</v>
      </c>
      <c r="AI172" s="81">
        <v>83</v>
      </c>
      <c r="AJ172" s="81"/>
      <c r="AK172" s="81" t="s">
        <v>10149</v>
      </c>
      <c r="AL172" s="81"/>
      <c r="AM172" s="84" t="str">
        <f>HYPERLINK("https://t.co/IBlCnpGbVY")</f>
        <v>https://t.co/IBlCnpGbVY</v>
      </c>
      <c r="AN172" s="81"/>
      <c r="AO172" s="83">
        <v>41348.587650462963</v>
      </c>
      <c r="AP172" s="84" t="str">
        <f>HYPERLINK("https://pbs.twimg.com/profile_banners/1269809906/1421923233")</f>
        <v>https://pbs.twimg.com/profile_banners/1269809906/1421923233</v>
      </c>
      <c r="AQ172" s="81" t="b">
        <v>1</v>
      </c>
      <c r="AR172" s="81" t="b">
        <v>0</v>
      </c>
      <c r="AS172" s="81" t="b">
        <v>0</v>
      </c>
      <c r="AT172" s="81"/>
      <c r="AU172" s="81">
        <v>11</v>
      </c>
      <c r="AV172" s="84" t="str">
        <f>HYPERLINK("https://abs.twimg.com/images/themes/theme1/bg.png")</f>
        <v>https://abs.twimg.com/images/themes/theme1/bg.png</v>
      </c>
      <c r="AW172" s="81" t="b">
        <v>0</v>
      </c>
      <c r="AX172" s="81" t="s">
        <v>3728</v>
      </c>
      <c r="AY172" s="84" t="str">
        <f>HYPERLINK("https://twitter.com/teamaltamont")</f>
        <v>https://twitter.com/teamaltamont</v>
      </c>
      <c r="AZ172" s="81" t="s">
        <v>66</v>
      </c>
      <c r="BA172" s="2"/>
      <c r="BB172" s="3"/>
      <c r="BC172" s="3"/>
      <c r="BD172" s="3"/>
      <c r="BE172" s="3"/>
    </row>
    <row r="173" spans="1:57" x14ac:dyDescent="0.35">
      <c r="A173" s="66" t="s">
        <v>4248</v>
      </c>
      <c r="B173" s="67"/>
      <c r="C173" s="67"/>
      <c r="D173" s="68"/>
      <c r="E173" s="94"/>
      <c r="F173" s="93" t="str">
        <f>HYPERLINK("https://pbs.twimg.com/profile_images/1408449198517850118/nSfinW2a_normal.jpg")</f>
        <v>https://pbs.twimg.com/profile_images/1408449198517850118/nSfinW2a_normal.jpg</v>
      </c>
      <c r="G173" s="95"/>
      <c r="H173" s="71"/>
      <c r="I173" s="72"/>
      <c r="J173" s="96"/>
      <c r="K173" s="71" t="s">
        <v>11498</v>
      </c>
      <c r="L173" s="97"/>
      <c r="M173" s="76"/>
      <c r="N173" s="76"/>
      <c r="O173" s="77"/>
      <c r="P173" s="78"/>
      <c r="Q173" s="78"/>
      <c r="R173" s="92"/>
      <c r="S173" s="92"/>
      <c r="T173" s="92"/>
      <c r="U173" s="92"/>
      <c r="V173" s="52"/>
      <c r="W173" s="52"/>
      <c r="X173" s="52"/>
      <c r="Y173" s="52"/>
      <c r="Z173" s="51"/>
      <c r="AA173" s="73"/>
      <c r="AB173" s="73"/>
      <c r="AC173" s="74"/>
      <c r="AD173" s="81" t="s">
        <v>8129</v>
      </c>
      <c r="AE173" s="86" t="s">
        <v>9195</v>
      </c>
      <c r="AF173" s="81">
        <v>4043</v>
      </c>
      <c r="AG173" s="81">
        <v>404</v>
      </c>
      <c r="AH173" s="81">
        <v>4676</v>
      </c>
      <c r="AI173" s="81">
        <v>18277</v>
      </c>
      <c r="AJ173" s="81"/>
      <c r="AK173" s="81" t="s">
        <v>10150</v>
      </c>
      <c r="AL173" s="81" t="s">
        <v>10975</v>
      </c>
      <c r="AM173" s="81"/>
      <c r="AN173" s="81"/>
      <c r="AO173" s="83">
        <v>40334.730729166666</v>
      </c>
      <c r="AP173" s="84" t="str">
        <f>HYPERLINK("https://pbs.twimg.com/profile_banners/152337614/1628150336")</f>
        <v>https://pbs.twimg.com/profile_banners/152337614/1628150336</v>
      </c>
      <c r="AQ173" s="81" t="b">
        <v>0</v>
      </c>
      <c r="AR173" s="81" t="b">
        <v>0</v>
      </c>
      <c r="AS173" s="81" t="b">
        <v>0</v>
      </c>
      <c r="AT173" s="81"/>
      <c r="AU173" s="81">
        <v>0</v>
      </c>
      <c r="AV173" s="84" t="str">
        <f>HYPERLINK("https://abs.twimg.com/images/themes/theme4/bg.gif")</f>
        <v>https://abs.twimg.com/images/themes/theme4/bg.gif</v>
      </c>
      <c r="AW173" s="81" t="b">
        <v>0</v>
      </c>
      <c r="AX173" s="81" t="s">
        <v>3728</v>
      </c>
      <c r="AY173" s="84" t="str">
        <f>HYPERLINK("https://twitter.com/mllemenezes")</f>
        <v>https://twitter.com/mllemenezes</v>
      </c>
      <c r="AZ173" s="81" t="s">
        <v>66</v>
      </c>
      <c r="BA173" s="2"/>
      <c r="BB173" s="3"/>
      <c r="BC173" s="3"/>
      <c r="BD173" s="3"/>
      <c r="BE173" s="3"/>
    </row>
    <row r="174" spans="1:57" x14ac:dyDescent="0.35">
      <c r="A174" s="66" t="s">
        <v>274</v>
      </c>
      <c r="B174" s="67"/>
      <c r="C174" s="67"/>
      <c r="D174" s="68"/>
      <c r="E174" s="94"/>
      <c r="F174" s="93" t="str">
        <f>HYPERLINK("https://pbs.twimg.com/profile_images/1191707766848512002/-GjAs2NV_normal.jpg")</f>
        <v>https://pbs.twimg.com/profile_images/1191707766848512002/-GjAs2NV_normal.jpg</v>
      </c>
      <c r="G174" s="95"/>
      <c r="H174" s="71"/>
      <c r="I174" s="72"/>
      <c r="J174" s="96"/>
      <c r="K174" s="71" t="s">
        <v>3803</v>
      </c>
      <c r="L174" s="97"/>
      <c r="M174" s="76"/>
      <c r="N174" s="76"/>
      <c r="O174" s="77"/>
      <c r="P174" s="78"/>
      <c r="Q174" s="78"/>
      <c r="R174" s="92"/>
      <c r="S174" s="92"/>
      <c r="T174" s="92"/>
      <c r="U174" s="92"/>
      <c r="V174" s="52"/>
      <c r="W174" s="52"/>
      <c r="X174" s="52"/>
      <c r="Y174" s="52"/>
      <c r="Z174" s="51"/>
      <c r="AA174" s="73"/>
      <c r="AB174" s="73"/>
      <c r="AC174" s="74"/>
      <c r="AD174" s="81" t="s">
        <v>2315</v>
      </c>
      <c r="AE174" s="86" t="s">
        <v>2750</v>
      </c>
      <c r="AF174" s="81">
        <v>169</v>
      </c>
      <c r="AG174" s="81">
        <v>199</v>
      </c>
      <c r="AH174" s="81">
        <v>51315</v>
      </c>
      <c r="AI174" s="81">
        <v>3960</v>
      </c>
      <c r="AJ174" s="81"/>
      <c r="AK174" s="81" t="s">
        <v>3149</v>
      </c>
      <c r="AL174" s="81"/>
      <c r="AM174" s="81"/>
      <c r="AN174" s="81"/>
      <c r="AO174" s="83">
        <v>40846.555451388886</v>
      </c>
      <c r="AP174" s="84" t="str">
        <f>HYPERLINK("https://pbs.twimg.com/profile_banners/401380641/1573399847")</f>
        <v>https://pbs.twimg.com/profile_banners/401380641/1573399847</v>
      </c>
      <c r="AQ174" s="81" t="b">
        <v>0</v>
      </c>
      <c r="AR174" s="81" t="b">
        <v>0</v>
      </c>
      <c r="AS174" s="81" t="b">
        <v>1</v>
      </c>
      <c r="AT174" s="81"/>
      <c r="AU174" s="81">
        <v>2</v>
      </c>
      <c r="AV174" s="84" t="str">
        <f>HYPERLINK("https://abs.twimg.com/images/themes/theme2/bg.gif")</f>
        <v>https://abs.twimg.com/images/themes/theme2/bg.gif</v>
      </c>
      <c r="AW174" s="81" t="b">
        <v>0</v>
      </c>
      <c r="AX174" s="81" t="s">
        <v>3728</v>
      </c>
      <c r="AY174" s="84" t="str">
        <f>HYPERLINK("https://twitter.com/anaknda_")</f>
        <v>https://twitter.com/anaknda_</v>
      </c>
      <c r="AZ174" s="81" t="s">
        <v>66</v>
      </c>
      <c r="BA174" s="2"/>
      <c r="BB174" s="3"/>
      <c r="BC174" s="3"/>
      <c r="BD174" s="3"/>
      <c r="BE174" s="3"/>
    </row>
    <row r="175" spans="1:57" x14ac:dyDescent="0.35">
      <c r="A175" s="66" t="s">
        <v>617</v>
      </c>
      <c r="B175" s="67"/>
      <c r="C175" s="67"/>
      <c r="D175" s="68"/>
      <c r="E175" s="94"/>
      <c r="F175" s="93" t="str">
        <f>HYPERLINK("https://pbs.twimg.com/profile_images/685695816242036737/KqYH5Z36_normal.jpg")</f>
        <v>https://pbs.twimg.com/profile_images/685695816242036737/KqYH5Z36_normal.jpg</v>
      </c>
      <c r="G175" s="95"/>
      <c r="H175" s="71"/>
      <c r="I175" s="72"/>
      <c r="J175" s="96"/>
      <c r="K175" s="71" t="s">
        <v>3804</v>
      </c>
      <c r="L175" s="97"/>
      <c r="M175" s="76"/>
      <c r="N175" s="76"/>
      <c r="O175" s="77"/>
      <c r="P175" s="78"/>
      <c r="Q175" s="78"/>
      <c r="R175" s="92"/>
      <c r="S175" s="92"/>
      <c r="T175" s="92"/>
      <c r="U175" s="92"/>
      <c r="V175" s="52"/>
      <c r="W175" s="52"/>
      <c r="X175" s="52"/>
      <c r="Y175" s="52"/>
      <c r="Z175" s="51"/>
      <c r="AA175" s="73"/>
      <c r="AB175" s="73"/>
      <c r="AC175" s="74"/>
      <c r="AD175" s="81" t="s">
        <v>2316</v>
      </c>
      <c r="AE175" s="86" t="s">
        <v>2095</v>
      </c>
      <c r="AF175" s="81">
        <v>517</v>
      </c>
      <c r="AG175" s="81">
        <v>235</v>
      </c>
      <c r="AH175" s="81">
        <v>21346</v>
      </c>
      <c r="AI175" s="81">
        <v>1294</v>
      </c>
      <c r="AJ175" s="81"/>
      <c r="AK175" s="81" t="s">
        <v>3150</v>
      </c>
      <c r="AL175" s="81" t="s">
        <v>3558</v>
      </c>
      <c r="AM175" s="81"/>
      <c r="AN175" s="81"/>
      <c r="AO175" s="83">
        <v>41114.356759259259</v>
      </c>
      <c r="AP175" s="84" t="str">
        <f>HYPERLINK("https://pbs.twimg.com/profile_banners/713944844/1529366192")</f>
        <v>https://pbs.twimg.com/profile_banners/713944844/1529366192</v>
      </c>
      <c r="AQ175" s="81" t="b">
        <v>0</v>
      </c>
      <c r="AR175" s="81" t="b">
        <v>0</v>
      </c>
      <c r="AS175" s="81" t="b">
        <v>1</v>
      </c>
      <c r="AT175" s="81"/>
      <c r="AU175" s="81">
        <v>1</v>
      </c>
      <c r="AV175" s="84" t="str">
        <f>HYPERLINK("https://abs.twimg.com/images/themes/theme1/bg.png")</f>
        <v>https://abs.twimg.com/images/themes/theme1/bg.png</v>
      </c>
      <c r="AW175" s="81" t="b">
        <v>0</v>
      </c>
      <c r="AX175" s="81" t="s">
        <v>3728</v>
      </c>
      <c r="AY175" s="84" t="str">
        <f>HYPERLINK("https://twitter.com/kasihrindu19")</f>
        <v>https://twitter.com/kasihrindu19</v>
      </c>
      <c r="AZ175" s="81" t="s">
        <v>65</v>
      </c>
      <c r="BA175" s="2"/>
      <c r="BB175" s="3"/>
      <c r="BC175" s="3"/>
      <c r="BD175" s="3"/>
      <c r="BE175" s="3"/>
    </row>
    <row r="176" spans="1:57" x14ac:dyDescent="0.35">
      <c r="A176" s="66" t="s">
        <v>4249</v>
      </c>
      <c r="B176" s="67"/>
      <c r="C176" s="67"/>
      <c r="D176" s="68"/>
      <c r="E176" s="94"/>
      <c r="F176" s="93" t="str">
        <f>HYPERLINK("https://pbs.twimg.com/profile_images/1334206372821557251/LPjLlSXk_normal.jpg")</f>
        <v>https://pbs.twimg.com/profile_images/1334206372821557251/LPjLlSXk_normal.jpg</v>
      </c>
      <c r="G176" s="95"/>
      <c r="H176" s="71"/>
      <c r="I176" s="72"/>
      <c r="J176" s="96"/>
      <c r="K176" s="71" t="s">
        <v>11499</v>
      </c>
      <c r="L176" s="97"/>
      <c r="M176" s="76"/>
      <c r="N176" s="76"/>
      <c r="O176" s="77"/>
      <c r="P176" s="78"/>
      <c r="Q176" s="78"/>
      <c r="R176" s="92"/>
      <c r="S176" s="92"/>
      <c r="T176" s="92"/>
      <c r="U176" s="92"/>
      <c r="V176" s="52"/>
      <c r="W176" s="52"/>
      <c r="X176" s="52"/>
      <c r="Y176" s="52"/>
      <c r="Z176" s="51"/>
      <c r="AA176" s="73"/>
      <c r="AB176" s="73"/>
      <c r="AC176" s="74"/>
      <c r="AD176" s="81" t="s">
        <v>8130</v>
      </c>
      <c r="AE176" s="86" t="s">
        <v>9196</v>
      </c>
      <c r="AF176" s="81">
        <v>142</v>
      </c>
      <c r="AG176" s="81">
        <v>251</v>
      </c>
      <c r="AH176" s="81">
        <v>988</v>
      </c>
      <c r="AI176" s="81">
        <v>222</v>
      </c>
      <c r="AJ176" s="81"/>
      <c r="AK176" s="81" t="s">
        <v>10151</v>
      </c>
      <c r="AL176" s="81" t="s">
        <v>11034</v>
      </c>
      <c r="AM176" s="84" t="str">
        <f>HYPERLINK("https://t.co/xCXd5OHVoq")</f>
        <v>https://t.co/xCXd5OHVoq</v>
      </c>
      <c r="AN176" s="81"/>
      <c r="AO176" s="83">
        <v>43633.481192129628</v>
      </c>
      <c r="AP176" s="84" t="str">
        <f>HYPERLINK("https://pbs.twimg.com/profile_banners/1140583094862385152/1606934563")</f>
        <v>https://pbs.twimg.com/profile_banners/1140583094862385152/1606934563</v>
      </c>
      <c r="AQ176" s="81" t="b">
        <v>1</v>
      </c>
      <c r="AR176" s="81" t="b">
        <v>0</v>
      </c>
      <c r="AS176" s="81" t="b">
        <v>0</v>
      </c>
      <c r="AT176" s="81"/>
      <c r="AU176" s="81">
        <v>2</v>
      </c>
      <c r="AV176" s="81"/>
      <c r="AW176" s="81" t="b">
        <v>0</v>
      </c>
      <c r="AX176" s="81" t="s">
        <v>3728</v>
      </c>
      <c r="AY176" s="84" t="str">
        <f>HYPERLINK("https://twitter.com/euqueropublicar")</f>
        <v>https://twitter.com/euqueropublicar</v>
      </c>
      <c r="AZ176" s="81" t="s">
        <v>66</v>
      </c>
      <c r="BA176" s="2"/>
      <c r="BB176" s="3"/>
      <c r="BC176" s="3"/>
      <c r="BD176" s="3"/>
      <c r="BE176" s="3"/>
    </row>
    <row r="177" spans="1:57" x14ac:dyDescent="0.35">
      <c r="A177" s="66" t="s">
        <v>275</v>
      </c>
      <c r="B177" s="67"/>
      <c r="C177" s="67"/>
      <c r="D177" s="68"/>
      <c r="E177" s="94"/>
      <c r="F177" s="93" t="str">
        <f>HYPERLINK("https://pbs.twimg.com/profile_images/1429447726459064326/QH7NMLxS_normal.jpg")</f>
        <v>https://pbs.twimg.com/profile_images/1429447726459064326/QH7NMLxS_normal.jpg</v>
      </c>
      <c r="G177" s="95"/>
      <c r="H177" s="71"/>
      <c r="I177" s="72"/>
      <c r="J177" s="96"/>
      <c r="K177" s="71" t="s">
        <v>3806</v>
      </c>
      <c r="L177" s="97"/>
      <c r="M177" s="76"/>
      <c r="N177" s="76"/>
      <c r="O177" s="77"/>
      <c r="P177" s="78"/>
      <c r="Q177" s="78"/>
      <c r="R177" s="92"/>
      <c r="S177" s="92"/>
      <c r="T177" s="92"/>
      <c r="U177" s="92"/>
      <c r="V177" s="52"/>
      <c r="W177" s="52"/>
      <c r="X177" s="52"/>
      <c r="Y177" s="52"/>
      <c r="Z177" s="51"/>
      <c r="AA177" s="73"/>
      <c r="AB177" s="73"/>
      <c r="AC177" s="74"/>
      <c r="AD177" s="81" t="s">
        <v>2317</v>
      </c>
      <c r="AE177" s="86" t="s">
        <v>2097</v>
      </c>
      <c r="AF177" s="81">
        <v>202</v>
      </c>
      <c r="AG177" s="81">
        <v>44</v>
      </c>
      <c r="AH177" s="81">
        <v>6512</v>
      </c>
      <c r="AI177" s="81">
        <v>48376</v>
      </c>
      <c r="AJ177" s="81"/>
      <c r="AK177" s="81" t="s">
        <v>3152</v>
      </c>
      <c r="AL177" s="81" t="s">
        <v>3508</v>
      </c>
      <c r="AM177" s="84" t="str">
        <f>HYPERLINK("https://t.co/8poQZ9fKRf")</f>
        <v>https://t.co/8poQZ9fKRf</v>
      </c>
      <c r="AN177" s="81"/>
      <c r="AO177" s="83">
        <v>44166.336817129632</v>
      </c>
      <c r="AP177" s="84" t="str">
        <f>HYPERLINK("https://pbs.twimg.com/profile_banners/1333683367708041216/1627882062")</f>
        <v>https://pbs.twimg.com/profile_banners/1333683367708041216/1627882062</v>
      </c>
      <c r="AQ177" s="81" t="b">
        <v>1</v>
      </c>
      <c r="AR177" s="81" t="b">
        <v>0</v>
      </c>
      <c r="AS177" s="81" t="b">
        <v>1</v>
      </c>
      <c r="AT177" s="81"/>
      <c r="AU177" s="81">
        <v>0</v>
      </c>
      <c r="AV177" s="81"/>
      <c r="AW177" s="81" t="b">
        <v>0</v>
      </c>
      <c r="AX177" s="81" t="s">
        <v>3728</v>
      </c>
      <c r="AY177" s="84" t="str">
        <f>HYPERLINK("https://twitter.com/teeuhaa")</f>
        <v>https://twitter.com/teeuhaa</v>
      </c>
      <c r="AZ177" s="81" t="s">
        <v>66</v>
      </c>
      <c r="BA177" s="2"/>
      <c r="BB177" s="3"/>
      <c r="BC177" s="3"/>
      <c r="BD177" s="3"/>
      <c r="BE177" s="3"/>
    </row>
    <row r="178" spans="1:57" x14ac:dyDescent="0.35">
      <c r="A178" s="66" t="s">
        <v>619</v>
      </c>
      <c r="B178" s="67"/>
      <c r="C178" s="67"/>
      <c r="D178" s="68"/>
      <c r="E178" s="94"/>
      <c r="F178" s="93" t="str">
        <f>HYPERLINK("https://pbs.twimg.com/profile_images/1341713113536598018/_x0YRYYM_normal.jpg")</f>
        <v>https://pbs.twimg.com/profile_images/1341713113536598018/_x0YRYYM_normal.jpg</v>
      </c>
      <c r="G178" s="95"/>
      <c r="H178" s="71"/>
      <c r="I178" s="72"/>
      <c r="J178" s="96"/>
      <c r="K178" s="71" t="s">
        <v>3807</v>
      </c>
      <c r="L178" s="97"/>
      <c r="M178" s="76"/>
      <c r="N178" s="76"/>
      <c r="O178" s="77"/>
      <c r="P178" s="78"/>
      <c r="Q178" s="78"/>
      <c r="R178" s="92"/>
      <c r="S178" s="92"/>
      <c r="T178" s="92"/>
      <c r="U178" s="92"/>
      <c r="V178" s="52"/>
      <c r="W178" s="52"/>
      <c r="X178" s="52"/>
      <c r="Y178" s="52"/>
      <c r="Z178" s="51"/>
      <c r="AA178" s="73"/>
      <c r="AB178" s="73"/>
      <c r="AC178" s="74"/>
      <c r="AD178" s="81" t="s">
        <v>2318</v>
      </c>
      <c r="AE178" s="86" t="s">
        <v>2751</v>
      </c>
      <c r="AF178" s="81">
        <v>11</v>
      </c>
      <c r="AG178" s="81">
        <v>692</v>
      </c>
      <c r="AH178" s="81">
        <v>4211</v>
      </c>
      <c r="AI178" s="81">
        <v>43</v>
      </c>
      <c r="AJ178" s="81"/>
      <c r="AK178" s="81" t="s">
        <v>3153</v>
      </c>
      <c r="AL178" s="81" t="s">
        <v>3561</v>
      </c>
      <c r="AM178" s="84" t="str">
        <f>HYPERLINK("https://t.co/nGYQsNBjP0")</f>
        <v>https://t.co/nGYQsNBjP0</v>
      </c>
      <c r="AN178" s="81"/>
      <c r="AO178" s="83">
        <v>44188.470856481479</v>
      </c>
      <c r="AP178" s="84" t="str">
        <f>HYPERLINK("https://pbs.twimg.com/profile_banners/1341704514768801792/1608722364")</f>
        <v>https://pbs.twimg.com/profile_banners/1341704514768801792/1608722364</v>
      </c>
      <c r="AQ178" s="81" t="b">
        <v>1</v>
      </c>
      <c r="AR178" s="81" t="b">
        <v>0</v>
      </c>
      <c r="AS178" s="81" t="b">
        <v>0</v>
      </c>
      <c r="AT178" s="81"/>
      <c r="AU178" s="81">
        <v>3</v>
      </c>
      <c r="AV178" s="81"/>
      <c r="AW178" s="81" t="b">
        <v>0</v>
      </c>
      <c r="AX178" s="81" t="s">
        <v>3728</v>
      </c>
      <c r="AY178" s="84" t="str">
        <f>HYPERLINK("https://twitter.com/svttradingmy")</f>
        <v>https://twitter.com/svttradingmy</v>
      </c>
      <c r="AZ178" s="81" t="s">
        <v>65</v>
      </c>
      <c r="BA178" s="2"/>
      <c r="BB178" s="3"/>
      <c r="BC178" s="3"/>
      <c r="BD178" s="3"/>
      <c r="BE178" s="3"/>
    </row>
    <row r="179" spans="1:57" x14ac:dyDescent="0.35">
      <c r="A179" s="66" t="s">
        <v>620</v>
      </c>
      <c r="B179" s="67"/>
      <c r="C179" s="67"/>
      <c r="D179" s="68"/>
      <c r="E179" s="94"/>
      <c r="F179" s="93" t="str">
        <f>HYPERLINK("https://pbs.twimg.com/profile_images/1098895362352267267/k3Dlqh0f_normal.jpg")</f>
        <v>https://pbs.twimg.com/profile_images/1098895362352267267/k3Dlqh0f_normal.jpg</v>
      </c>
      <c r="G179" s="95"/>
      <c r="H179" s="71"/>
      <c r="I179" s="72"/>
      <c r="J179" s="96"/>
      <c r="K179" s="71" t="s">
        <v>3808</v>
      </c>
      <c r="L179" s="97"/>
      <c r="M179" s="76"/>
      <c r="N179" s="76"/>
      <c r="O179" s="77"/>
      <c r="P179" s="78"/>
      <c r="Q179" s="78"/>
      <c r="R179" s="92"/>
      <c r="S179" s="92"/>
      <c r="T179" s="92"/>
      <c r="U179" s="92"/>
      <c r="V179" s="52"/>
      <c r="W179" s="52"/>
      <c r="X179" s="52"/>
      <c r="Y179" s="52"/>
      <c r="Z179" s="51"/>
      <c r="AA179" s="73"/>
      <c r="AB179" s="73"/>
      <c r="AC179" s="74"/>
      <c r="AD179" s="81" t="s">
        <v>2319</v>
      </c>
      <c r="AE179" s="86" t="s">
        <v>2752</v>
      </c>
      <c r="AF179" s="81">
        <v>1</v>
      </c>
      <c r="AG179" s="81">
        <v>1442</v>
      </c>
      <c r="AH179" s="81">
        <v>5729</v>
      </c>
      <c r="AI179" s="81">
        <v>2097</v>
      </c>
      <c r="AJ179" s="81"/>
      <c r="AK179" s="81" t="s">
        <v>3154</v>
      </c>
      <c r="AL179" s="81" t="s">
        <v>3562</v>
      </c>
      <c r="AM179" s="81"/>
      <c r="AN179" s="81"/>
      <c r="AO179" s="83">
        <v>43518.400740740741</v>
      </c>
      <c r="AP179" s="84" t="str">
        <f>HYPERLINK("https://pbs.twimg.com/profile_banners/1098879334767423493/1550832047")</f>
        <v>https://pbs.twimg.com/profile_banners/1098879334767423493/1550832047</v>
      </c>
      <c r="AQ179" s="81" t="b">
        <v>1</v>
      </c>
      <c r="AR179" s="81" t="b">
        <v>0</v>
      </c>
      <c r="AS179" s="81" t="b">
        <v>0</v>
      </c>
      <c r="AT179" s="81"/>
      <c r="AU179" s="81">
        <v>7</v>
      </c>
      <c r="AV179" s="81"/>
      <c r="AW179" s="81" t="b">
        <v>0</v>
      </c>
      <c r="AX179" s="81" t="s">
        <v>3728</v>
      </c>
      <c r="AY179" s="84" t="str">
        <f>HYPERLINK("https://twitter.com/svtrademy")</f>
        <v>https://twitter.com/svtrademy</v>
      </c>
      <c r="AZ179" s="81" t="s">
        <v>65</v>
      </c>
      <c r="BA179" s="2"/>
      <c r="BB179" s="3"/>
      <c r="BC179" s="3"/>
      <c r="BD179" s="3"/>
      <c r="BE179" s="3"/>
    </row>
    <row r="180" spans="1:57" x14ac:dyDescent="0.35">
      <c r="A180" s="66" t="s">
        <v>621</v>
      </c>
      <c r="B180" s="67"/>
      <c r="C180" s="67"/>
      <c r="D180" s="68"/>
      <c r="E180" s="94"/>
      <c r="F180" s="93" t="str">
        <f>HYPERLINK("https://pbs.twimg.com/profile_images/1349991839307165698/9qGSx0Rj_normal.jpg")</f>
        <v>https://pbs.twimg.com/profile_images/1349991839307165698/9qGSx0Rj_normal.jpg</v>
      </c>
      <c r="G180" s="95"/>
      <c r="H180" s="71"/>
      <c r="I180" s="72"/>
      <c r="J180" s="96"/>
      <c r="K180" s="71" t="s">
        <v>3809</v>
      </c>
      <c r="L180" s="97"/>
      <c r="M180" s="76"/>
      <c r="N180" s="76"/>
      <c r="O180" s="77"/>
      <c r="P180" s="78"/>
      <c r="Q180" s="78"/>
      <c r="R180" s="92"/>
      <c r="S180" s="92"/>
      <c r="T180" s="92"/>
      <c r="U180" s="92"/>
      <c r="V180" s="52"/>
      <c r="W180" s="52"/>
      <c r="X180" s="52"/>
      <c r="Y180" s="52"/>
      <c r="Z180" s="51"/>
      <c r="AA180" s="73"/>
      <c r="AB180" s="73"/>
      <c r="AC180" s="74"/>
      <c r="AD180" s="81" t="s">
        <v>2320</v>
      </c>
      <c r="AE180" s="86" t="s">
        <v>2753</v>
      </c>
      <c r="AF180" s="81">
        <v>2</v>
      </c>
      <c r="AG180" s="81">
        <v>417</v>
      </c>
      <c r="AH180" s="81">
        <v>89</v>
      </c>
      <c r="AI180" s="81">
        <v>0</v>
      </c>
      <c r="AJ180" s="81"/>
      <c r="AK180" s="81" t="s">
        <v>3155</v>
      </c>
      <c r="AL180" s="81"/>
      <c r="AM180" s="81"/>
      <c r="AN180" s="81"/>
      <c r="AO180" s="83">
        <v>43914.631099537037</v>
      </c>
      <c r="AP180" s="84" t="str">
        <f>HYPERLINK("https://pbs.twimg.com/profile_banners/1242468375646752768/1610698111")</f>
        <v>https://pbs.twimg.com/profile_banners/1242468375646752768/1610698111</v>
      </c>
      <c r="AQ180" s="81" t="b">
        <v>1</v>
      </c>
      <c r="AR180" s="81" t="b">
        <v>0</v>
      </c>
      <c r="AS180" s="81" t="b">
        <v>0</v>
      </c>
      <c r="AT180" s="81"/>
      <c r="AU180" s="81">
        <v>4</v>
      </c>
      <c r="AV180" s="81"/>
      <c r="AW180" s="81" t="b">
        <v>0</v>
      </c>
      <c r="AX180" s="81" t="s">
        <v>3728</v>
      </c>
      <c r="AY180" s="84" t="str">
        <f>HYPERLINK("https://twitter.com/svtradingmy")</f>
        <v>https://twitter.com/svtradingmy</v>
      </c>
      <c r="AZ180" s="81" t="s">
        <v>65</v>
      </c>
      <c r="BA180" s="2"/>
      <c r="BB180" s="3"/>
      <c r="BC180" s="3"/>
      <c r="BD180" s="3"/>
      <c r="BE180" s="3"/>
    </row>
    <row r="181" spans="1:57" x14ac:dyDescent="0.35">
      <c r="A181" s="66" t="s">
        <v>622</v>
      </c>
      <c r="B181" s="67"/>
      <c r="C181" s="67"/>
      <c r="D181" s="68"/>
      <c r="E181" s="94"/>
      <c r="F181" s="93" t="str">
        <f>HYPERLINK("https://pbs.twimg.com/profile_images/1327854490767167490/l1XiEP2E_normal.jpg")</f>
        <v>https://pbs.twimg.com/profile_images/1327854490767167490/l1XiEP2E_normal.jpg</v>
      </c>
      <c r="G181" s="95"/>
      <c r="H181" s="71"/>
      <c r="I181" s="72"/>
      <c r="J181" s="96"/>
      <c r="K181" s="71" t="s">
        <v>3810</v>
      </c>
      <c r="L181" s="97"/>
      <c r="M181" s="76"/>
      <c r="N181" s="76"/>
      <c r="O181" s="77"/>
      <c r="P181" s="78"/>
      <c r="Q181" s="78"/>
      <c r="R181" s="92"/>
      <c r="S181" s="92"/>
      <c r="T181" s="92"/>
      <c r="U181" s="92"/>
      <c r="V181" s="52"/>
      <c r="W181" s="52"/>
      <c r="X181" s="52"/>
      <c r="Y181" s="52"/>
      <c r="Z181" s="51"/>
      <c r="AA181" s="73"/>
      <c r="AB181" s="73"/>
      <c r="AC181" s="74"/>
      <c r="AD181" s="81" t="s">
        <v>2321</v>
      </c>
      <c r="AE181" s="86" t="s">
        <v>2754</v>
      </c>
      <c r="AF181" s="81">
        <v>727</v>
      </c>
      <c r="AG181" s="81">
        <v>1484</v>
      </c>
      <c r="AH181" s="81">
        <v>5611</v>
      </c>
      <c r="AI181" s="81">
        <v>28</v>
      </c>
      <c r="AJ181" s="81"/>
      <c r="AK181" s="81" t="s">
        <v>3156</v>
      </c>
      <c r="AL181" s="81"/>
      <c r="AM181" s="81"/>
      <c r="AN181" s="81"/>
      <c r="AO181" s="83">
        <v>43732.163622685184</v>
      </c>
      <c r="AP181" s="81"/>
      <c r="AQ181" s="81" t="b">
        <v>1</v>
      </c>
      <c r="AR181" s="81" t="b">
        <v>0</v>
      </c>
      <c r="AS181" s="81" t="b">
        <v>0</v>
      </c>
      <c r="AT181" s="81"/>
      <c r="AU181" s="81">
        <v>5</v>
      </c>
      <c r="AV181" s="81"/>
      <c r="AW181" s="81" t="b">
        <v>0</v>
      </c>
      <c r="AX181" s="81" t="s">
        <v>3728</v>
      </c>
      <c r="AY181" s="84" t="str">
        <f>HYPERLINK("https://twitter.com/svtmarketmy")</f>
        <v>https://twitter.com/svtmarketmy</v>
      </c>
      <c r="AZ181" s="81" t="s">
        <v>65</v>
      </c>
      <c r="BA181" s="2"/>
      <c r="BB181" s="3"/>
      <c r="BC181" s="3"/>
      <c r="BD181" s="3"/>
      <c r="BE181" s="3"/>
    </row>
    <row r="182" spans="1:57" x14ac:dyDescent="0.35">
      <c r="A182" s="66" t="s">
        <v>623</v>
      </c>
      <c r="B182" s="67"/>
      <c r="C182" s="67"/>
      <c r="D182" s="68"/>
      <c r="E182" s="94"/>
      <c r="F182" s="93" t="str">
        <f>HYPERLINK("https://pbs.twimg.com/profile_images/1429702410532888578/fOHrzX0w_normal.jpg")</f>
        <v>https://pbs.twimg.com/profile_images/1429702410532888578/fOHrzX0w_normal.jpg</v>
      </c>
      <c r="G182" s="95"/>
      <c r="H182" s="71"/>
      <c r="I182" s="72"/>
      <c r="J182" s="96"/>
      <c r="K182" s="71" t="s">
        <v>3811</v>
      </c>
      <c r="L182" s="97"/>
      <c r="M182" s="76"/>
      <c r="N182" s="76"/>
      <c r="O182" s="77"/>
      <c r="P182" s="78"/>
      <c r="Q182" s="78"/>
      <c r="R182" s="92"/>
      <c r="S182" s="92"/>
      <c r="T182" s="92"/>
      <c r="U182" s="92"/>
      <c r="V182" s="52"/>
      <c r="W182" s="52"/>
      <c r="X182" s="52"/>
      <c r="Y182" s="52"/>
      <c r="Z182" s="51"/>
      <c r="AA182" s="73"/>
      <c r="AB182" s="73"/>
      <c r="AC182" s="74"/>
      <c r="AD182" s="81" t="s">
        <v>2322</v>
      </c>
      <c r="AE182" s="86" t="s">
        <v>2755</v>
      </c>
      <c r="AF182" s="81">
        <v>49</v>
      </c>
      <c r="AG182" s="81">
        <v>785</v>
      </c>
      <c r="AH182" s="81">
        <v>5314</v>
      </c>
      <c r="AI182" s="81">
        <v>77</v>
      </c>
      <c r="AJ182" s="81"/>
      <c r="AK182" s="81" t="s">
        <v>3157</v>
      </c>
      <c r="AL182" s="81" t="s">
        <v>3563</v>
      </c>
      <c r="AM182" s="81"/>
      <c r="AN182" s="81"/>
      <c r="AO182" s="83">
        <v>44226.190694444442</v>
      </c>
      <c r="AP182" s="84" t="str">
        <f>HYPERLINK("https://pbs.twimg.com/profile_banners/1355373767787118593/1615291998")</f>
        <v>https://pbs.twimg.com/profile_banners/1355373767787118593/1615291998</v>
      </c>
      <c r="AQ182" s="81" t="b">
        <v>1</v>
      </c>
      <c r="AR182" s="81" t="b">
        <v>0</v>
      </c>
      <c r="AS182" s="81" t="b">
        <v>0</v>
      </c>
      <c r="AT182" s="81"/>
      <c r="AU182" s="81">
        <v>4</v>
      </c>
      <c r="AV182" s="81"/>
      <c r="AW182" s="81" t="b">
        <v>0</v>
      </c>
      <c r="AX182" s="81" t="s">
        <v>3728</v>
      </c>
      <c r="AY182" s="84" t="str">
        <f>HYPERLINK("https://twitter.com/geroboksvt_my")</f>
        <v>https://twitter.com/geroboksvt_my</v>
      </c>
      <c r="AZ182" s="81" t="s">
        <v>65</v>
      </c>
      <c r="BA182" s="2"/>
      <c r="BB182" s="3"/>
      <c r="BC182" s="3"/>
      <c r="BD182" s="3"/>
      <c r="BE182" s="3"/>
    </row>
    <row r="183" spans="1:57" x14ac:dyDescent="0.35">
      <c r="A183" s="66" t="s">
        <v>4250</v>
      </c>
      <c r="B183" s="67"/>
      <c r="C183" s="67"/>
      <c r="D183" s="68"/>
      <c r="E183" s="94"/>
      <c r="F183" s="93" t="str">
        <f>HYPERLINK("https://pbs.twimg.com/profile_images/1437441763036352515/RPRBVxR-_normal.jpg")</f>
        <v>https://pbs.twimg.com/profile_images/1437441763036352515/RPRBVxR-_normal.jpg</v>
      </c>
      <c r="G183" s="95"/>
      <c r="H183" s="71"/>
      <c r="I183" s="72"/>
      <c r="J183" s="96"/>
      <c r="K183" s="71" t="s">
        <v>11500</v>
      </c>
      <c r="L183" s="97"/>
      <c r="M183" s="76"/>
      <c r="N183" s="76"/>
      <c r="O183" s="77"/>
      <c r="P183" s="78"/>
      <c r="Q183" s="78"/>
      <c r="R183" s="92"/>
      <c r="S183" s="92"/>
      <c r="T183" s="92"/>
      <c r="U183" s="92"/>
      <c r="V183" s="52"/>
      <c r="W183" s="52"/>
      <c r="X183" s="52"/>
      <c r="Y183" s="52"/>
      <c r="Z183" s="51"/>
      <c r="AA183" s="73"/>
      <c r="AB183" s="73"/>
      <c r="AC183" s="74"/>
      <c r="AD183" s="81" t="s">
        <v>8131</v>
      </c>
      <c r="AE183" s="86" t="s">
        <v>9197</v>
      </c>
      <c r="AF183" s="81">
        <v>567</v>
      </c>
      <c r="AG183" s="81">
        <v>179</v>
      </c>
      <c r="AH183" s="81">
        <v>5428</v>
      </c>
      <c r="AI183" s="81">
        <v>13545</v>
      </c>
      <c r="AJ183" s="81"/>
      <c r="AK183" s="81" t="s">
        <v>10152</v>
      </c>
      <c r="AL183" s="81" t="s">
        <v>11035</v>
      </c>
      <c r="AM183" s="81"/>
      <c r="AN183" s="81"/>
      <c r="AO183" s="83">
        <v>40080.722986111112</v>
      </c>
      <c r="AP183" s="84" t="str">
        <f>HYPERLINK("https://pbs.twimg.com/profile_banners/76992201/1593908908")</f>
        <v>https://pbs.twimg.com/profile_banners/76992201/1593908908</v>
      </c>
      <c r="AQ183" s="81" t="b">
        <v>0</v>
      </c>
      <c r="AR183" s="81" t="b">
        <v>0</v>
      </c>
      <c r="AS183" s="81" t="b">
        <v>0</v>
      </c>
      <c r="AT183" s="81"/>
      <c r="AU183" s="81">
        <v>0</v>
      </c>
      <c r="AV183" s="84" t="str">
        <f>HYPERLINK("https://abs.twimg.com/images/themes/theme11/bg.gif")</f>
        <v>https://abs.twimg.com/images/themes/theme11/bg.gif</v>
      </c>
      <c r="AW183" s="81" t="b">
        <v>0</v>
      </c>
      <c r="AX183" s="81" t="s">
        <v>3728</v>
      </c>
      <c r="AY183" s="84" t="str">
        <f>HYPERLINK("https://twitter.com/isabeluz")</f>
        <v>https://twitter.com/isabeluz</v>
      </c>
      <c r="AZ183" s="81" t="s">
        <v>66</v>
      </c>
      <c r="BA183" s="2"/>
      <c r="BB183" s="3"/>
      <c r="BC183" s="3"/>
      <c r="BD183" s="3"/>
      <c r="BE183" s="3"/>
    </row>
    <row r="184" spans="1:57" x14ac:dyDescent="0.35">
      <c r="A184" s="66" t="s">
        <v>4998</v>
      </c>
      <c r="B184" s="67"/>
      <c r="C184" s="67"/>
      <c r="D184" s="68"/>
      <c r="E184" s="94"/>
      <c r="F184" s="93" t="str">
        <f>HYPERLINK("https://pbs.twimg.com/profile_images/1358239113934176257/mZLrXzJd_normal.jpg")</f>
        <v>https://pbs.twimg.com/profile_images/1358239113934176257/mZLrXzJd_normal.jpg</v>
      </c>
      <c r="G184" s="95"/>
      <c r="H184" s="71"/>
      <c r="I184" s="72"/>
      <c r="J184" s="96"/>
      <c r="K184" s="71" t="s">
        <v>11501</v>
      </c>
      <c r="L184" s="97"/>
      <c r="M184" s="76"/>
      <c r="N184" s="76"/>
      <c r="O184" s="77"/>
      <c r="P184" s="78"/>
      <c r="Q184" s="78"/>
      <c r="R184" s="92"/>
      <c r="S184" s="92"/>
      <c r="T184" s="92"/>
      <c r="U184" s="92"/>
      <c r="V184" s="52"/>
      <c r="W184" s="52"/>
      <c r="X184" s="52"/>
      <c r="Y184" s="52"/>
      <c r="Z184" s="51"/>
      <c r="AA184" s="73"/>
      <c r="AB184" s="73"/>
      <c r="AC184" s="74"/>
      <c r="AD184" s="81" t="s">
        <v>8132</v>
      </c>
      <c r="AE184" s="86" t="s">
        <v>9198</v>
      </c>
      <c r="AF184" s="81">
        <v>443</v>
      </c>
      <c r="AG184" s="81">
        <v>35683</v>
      </c>
      <c r="AH184" s="81">
        <v>1312</v>
      </c>
      <c r="AI184" s="81">
        <v>2022</v>
      </c>
      <c r="AJ184" s="81"/>
      <c r="AK184" s="81" t="s">
        <v>10153</v>
      </c>
      <c r="AL184" s="81"/>
      <c r="AM184" s="81"/>
      <c r="AN184" s="81"/>
      <c r="AO184" s="83">
        <v>44207.464502314811</v>
      </c>
      <c r="AP184" s="84" t="str">
        <f>HYPERLINK("https://pbs.twimg.com/profile_banners/1348587630343106560/1631220870")</f>
        <v>https://pbs.twimg.com/profile_banners/1348587630343106560/1631220870</v>
      </c>
      <c r="AQ184" s="81" t="b">
        <v>1</v>
      </c>
      <c r="AR184" s="81" t="b">
        <v>0</v>
      </c>
      <c r="AS184" s="81" t="b">
        <v>1</v>
      </c>
      <c r="AT184" s="81"/>
      <c r="AU184" s="81">
        <v>39</v>
      </c>
      <c r="AV184" s="81"/>
      <c r="AW184" s="81" t="b">
        <v>1</v>
      </c>
      <c r="AX184" s="81" t="s">
        <v>3728</v>
      </c>
      <c r="AY184" s="84" t="str">
        <f>HYPERLINK("https://twitter.com/terciotomaz")</f>
        <v>https://twitter.com/terciotomaz</v>
      </c>
      <c r="AZ184" s="81" t="s">
        <v>65</v>
      </c>
      <c r="BA184" s="2"/>
      <c r="BB184" s="3"/>
      <c r="BC184" s="3"/>
      <c r="BD184" s="3"/>
      <c r="BE184" s="3"/>
    </row>
    <row r="185" spans="1:57" x14ac:dyDescent="0.35">
      <c r="A185" s="66" t="s">
        <v>4999</v>
      </c>
      <c r="B185" s="67"/>
      <c r="C185" s="67"/>
      <c r="D185" s="68"/>
      <c r="E185" s="94"/>
      <c r="F185" s="93" t="str">
        <f>HYPERLINK("https://pbs.twimg.com/profile_images/1228235099390369793/4cQyjnWk_normal.jpg")</f>
        <v>https://pbs.twimg.com/profile_images/1228235099390369793/4cQyjnWk_normal.jpg</v>
      </c>
      <c r="G185" s="95"/>
      <c r="H185" s="71"/>
      <c r="I185" s="72"/>
      <c r="J185" s="96"/>
      <c r="K185" s="71" t="s">
        <v>11502</v>
      </c>
      <c r="L185" s="97"/>
      <c r="M185" s="76"/>
      <c r="N185" s="76"/>
      <c r="O185" s="77"/>
      <c r="P185" s="78"/>
      <c r="Q185" s="78"/>
      <c r="R185" s="92"/>
      <c r="S185" s="92"/>
      <c r="T185" s="92"/>
      <c r="U185" s="92"/>
      <c r="V185" s="52"/>
      <c r="W185" s="52"/>
      <c r="X185" s="52"/>
      <c r="Y185" s="52"/>
      <c r="Z185" s="51"/>
      <c r="AA185" s="73"/>
      <c r="AB185" s="73"/>
      <c r="AC185" s="74"/>
      <c r="AD185" s="81" t="s">
        <v>8133</v>
      </c>
      <c r="AE185" s="86" t="s">
        <v>7807</v>
      </c>
      <c r="AF185" s="81">
        <v>1080</v>
      </c>
      <c r="AG185" s="81">
        <v>58628</v>
      </c>
      <c r="AH185" s="81">
        <v>148211</v>
      </c>
      <c r="AI185" s="81">
        <v>192659</v>
      </c>
      <c r="AJ185" s="81"/>
      <c r="AK185" s="81" t="s">
        <v>10154</v>
      </c>
      <c r="AL185" s="81" t="s">
        <v>10973</v>
      </c>
      <c r="AM185" s="84" t="str">
        <f>HYPERLINK("https://t.co/mKg4AXKBY9")</f>
        <v>https://t.co/mKg4AXKBY9</v>
      </c>
      <c r="AN185" s="81"/>
      <c r="AO185" s="83">
        <v>39988.919039351851</v>
      </c>
      <c r="AP185" s="84" t="str">
        <f>HYPERLINK("https://pbs.twimg.com/profile_banners/50456603/1534360691")</f>
        <v>https://pbs.twimg.com/profile_banners/50456603/1534360691</v>
      </c>
      <c r="AQ185" s="81" t="b">
        <v>0</v>
      </c>
      <c r="AR185" s="81" t="b">
        <v>0</v>
      </c>
      <c r="AS185" s="81" t="b">
        <v>1</v>
      </c>
      <c r="AT185" s="81"/>
      <c r="AU185" s="81">
        <v>90</v>
      </c>
      <c r="AV185" s="84" t="str">
        <f>HYPERLINK("https://abs.twimg.com/images/themes/theme10/bg.gif")</f>
        <v>https://abs.twimg.com/images/themes/theme10/bg.gif</v>
      </c>
      <c r="AW185" s="81" t="b">
        <v>0</v>
      </c>
      <c r="AX185" s="81" t="s">
        <v>3728</v>
      </c>
      <c r="AY185" s="84" t="str">
        <f>HYPERLINK("https://twitter.com/saritacoelho")</f>
        <v>https://twitter.com/saritacoelho</v>
      </c>
      <c r="AZ185" s="81" t="s">
        <v>65</v>
      </c>
      <c r="BA185" s="2"/>
      <c r="BB185" s="3"/>
      <c r="BC185" s="3"/>
      <c r="BD185" s="3"/>
      <c r="BE185" s="3"/>
    </row>
    <row r="186" spans="1:57" x14ac:dyDescent="0.35">
      <c r="A186" s="66" t="s">
        <v>276</v>
      </c>
      <c r="B186" s="67"/>
      <c r="C186" s="67"/>
      <c r="D186" s="68"/>
      <c r="E186" s="94"/>
      <c r="F186" s="93" t="str">
        <f>HYPERLINK("https://pbs.twimg.com/profile_images/1338844021456703489/Jcp2n9Wb_normal.jpg")</f>
        <v>https://pbs.twimg.com/profile_images/1338844021456703489/Jcp2n9Wb_normal.jpg</v>
      </c>
      <c r="G186" s="95"/>
      <c r="H186" s="71"/>
      <c r="I186" s="72"/>
      <c r="J186" s="96"/>
      <c r="K186" s="71" t="s">
        <v>3812</v>
      </c>
      <c r="L186" s="97"/>
      <c r="M186" s="76"/>
      <c r="N186" s="76"/>
      <c r="O186" s="77"/>
      <c r="P186" s="78"/>
      <c r="Q186" s="78"/>
      <c r="R186" s="92"/>
      <c r="S186" s="92"/>
      <c r="T186" s="92"/>
      <c r="U186" s="92"/>
      <c r="V186" s="52"/>
      <c r="W186" s="52"/>
      <c r="X186" s="52"/>
      <c r="Y186" s="52"/>
      <c r="Z186" s="51"/>
      <c r="AA186" s="73"/>
      <c r="AB186" s="73"/>
      <c r="AC186" s="74"/>
      <c r="AD186" s="81" t="s">
        <v>2323</v>
      </c>
      <c r="AE186" s="86" t="s">
        <v>2756</v>
      </c>
      <c r="AF186" s="81">
        <v>222</v>
      </c>
      <c r="AG186" s="81">
        <v>228</v>
      </c>
      <c r="AH186" s="81">
        <v>8595</v>
      </c>
      <c r="AI186" s="81">
        <v>15905</v>
      </c>
      <c r="AJ186" s="81"/>
      <c r="AK186" s="81" t="s">
        <v>3158</v>
      </c>
      <c r="AL186" s="81"/>
      <c r="AM186" s="81"/>
      <c r="AN186" s="81"/>
      <c r="AO186" s="83">
        <v>44179.389247685183</v>
      </c>
      <c r="AP186" s="84" t="str">
        <f>HYPERLINK("https://pbs.twimg.com/profile_banners/1338413501841195008/1607958040")</f>
        <v>https://pbs.twimg.com/profile_banners/1338413501841195008/1607958040</v>
      </c>
      <c r="AQ186" s="81" t="b">
        <v>1</v>
      </c>
      <c r="AR186" s="81" t="b">
        <v>0</v>
      </c>
      <c r="AS186" s="81" t="b">
        <v>0</v>
      </c>
      <c r="AT186" s="81"/>
      <c r="AU186" s="81">
        <v>0</v>
      </c>
      <c r="AV186" s="81"/>
      <c r="AW186" s="81" t="b">
        <v>0</v>
      </c>
      <c r="AX186" s="81" t="s">
        <v>3728</v>
      </c>
      <c r="AY186" s="84" t="str">
        <f>HYPERLINK("https://twitter.com/masyarakatradio")</f>
        <v>https://twitter.com/masyarakatradio</v>
      </c>
      <c r="AZ186" s="81" t="s">
        <v>66</v>
      </c>
      <c r="BA186" s="2"/>
      <c r="BB186" s="3"/>
      <c r="BC186" s="3"/>
      <c r="BD186" s="3"/>
      <c r="BE186" s="3"/>
    </row>
    <row r="187" spans="1:57" x14ac:dyDescent="0.35">
      <c r="A187" s="66" t="s">
        <v>624</v>
      </c>
      <c r="B187" s="67"/>
      <c r="C187" s="67"/>
      <c r="D187" s="68"/>
      <c r="E187" s="94"/>
      <c r="F187" s="93" t="str">
        <f>HYPERLINK("https://pbs.twimg.com/profile_images/1417416336859295745/8FXomDLs_normal.jpg")</f>
        <v>https://pbs.twimg.com/profile_images/1417416336859295745/8FXomDLs_normal.jpg</v>
      </c>
      <c r="G187" s="95"/>
      <c r="H187" s="71"/>
      <c r="I187" s="72"/>
      <c r="J187" s="96"/>
      <c r="K187" s="71" t="s">
        <v>3814</v>
      </c>
      <c r="L187" s="97"/>
      <c r="M187" s="76"/>
      <c r="N187" s="76"/>
      <c r="O187" s="77"/>
      <c r="P187" s="78"/>
      <c r="Q187" s="78"/>
      <c r="R187" s="92"/>
      <c r="S187" s="92"/>
      <c r="T187" s="92"/>
      <c r="U187" s="92"/>
      <c r="V187" s="52"/>
      <c r="W187" s="52"/>
      <c r="X187" s="52"/>
      <c r="Y187" s="52"/>
      <c r="Z187" s="51"/>
      <c r="AA187" s="73"/>
      <c r="AB187" s="73"/>
      <c r="AC187" s="74"/>
      <c r="AD187" s="81" t="s">
        <v>2325</v>
      </c>
      <c r="AE187" s="86" t="s">
        <v>2757</v>
      </c>
      <c r="AF187" s="81">
        <v>2571</v>
      </c>
      <c r="AG187" s="81">
        <v>2273</v>
      </c>
      <c r="AH187" s="81">
        <v>19008</v>
      </c>
      <c r="AI187" s="81">
        <v>7122</v>
      </c>
      <c r="AJ187" s="81"/>
      <c r="AK187" s="81"/>
      <c r="AL187" s="81" t="s">
        <v>3554</v>
      </c>
      <c r="AM187" s="81"/>
      <c r="AN187" s="81"/>
      <c r="AO187" s="83">
        <v>43696.459733796299</v>
      </c>
      <c r="AP187" s="84" t="str">
        <f>HYPERLINK("https://pbs.twimg.com/profile_banners/1163405270405353475/1606916125")</f>
        <v>https://pbs.twimg.com/profile_banners/1163405270405353475/1606916125</v>
      </c>
      <c r="AQ187" s="81" t="b">
        <v>1</v>
      </c>
      <c r="AR187" s="81" t="b">
        <v>0</v>
      </c>
      <c r="AS187" s="81" t="b">
        <v>0</v>
      </c>
      <c r="AT187" s="81"/>
      <c r="AU187" s="81">
        <v>0</v>
      </c>
      <c r="AV187" s="81"/>
      <c r="AW187" s="81" t="b">
        <v>0</v>
      </c>
      <c r="AX187" s="81" t="s">
        <v>3728</v>
      </c>
      <c r="AY187" s="84" t="str">
        <f>HYPERLINK("https://twitter.com/budipra87870630")</f>
        <v>https://twitter.com/budipra87870630</v>
      </c>
      <c r="AZ187" s="81" t="s">
        <v>65</v>
      </c>
      <c r="BA187" s="2"/>
      <c r="BB187" s="3"/>
      <c r="BC187" s="3"/>
      <c r="BD187" s="3"/>
      <c r="BE187" s="3"/>
    </row>
    <row r="188" spans="1:57" x14ac:dyDescent="0.35">
      <c r="A188" s="66" t="s">
        <v>277</v>
      </c>
      <c r="B188" s="67"/>
      <c r="C188" s="67"/>
      <c r="D188" s="68"/>
      <c r="E188" s="94"/>
      <c r="F188" s="93" t="str">
        <f>HYPERLINK("https://pbs.twimg.com/profile_images/1428888419950743555/FV7XGf5o_normal.jpg")</f>
        <v>https://pbs.twimg.com/profile_images/1428888419950743555/FV7XGf5o_normal.jpg</v>
      </c>
      <c r="G188" s="95"/>
      <c r="H188" s="71"/>
      <c r="I188" s="72"/>
      <c r="J188" s="96"/>
      <c r="K188" s="71" t="s">
        <v>3813</v>
      </c>
      <c r="L188" s="97"/>
      <c r="M188" s="76"/>
      <c r="N188" s="76"/>
      <c r="O188" s="77"/>
      <c r="P188" s="78"/>
      <c r="Q188" s="78"/>
      <c r="R188" s="92"/>
      <c r="S188" s="92"/>
      <c r="T188" s="92"/>
      <c r="U188" s="92"/>
      <c r="V188" s="52"/>
      <c r="W188" s="52"/>
      <c r="X188" s="52"/>
      <c r="Y188" s="52"/>
      <c r="Z188" s="51"/>
      <c r="AA188" s="73"/>
      <c r="AB188" s="73"/>
      <c r="AC188" s="74"/>
      <c r="AD188" s="81" t="s">
        <v>2324</v>
      </c>
      <c r="AE188" s="86" t="s">
        <v>2098</v>
      </c>
      <c r="AF188" s="81">
        <v>2228</v>
      </c>
      <c r="AG188" s="81">
        <v>2246</v>
      </c>
      <c r="AH188" s="81">
        <v>5573</v>
      </c>
      <c r="AI188" s="81">
        <v>4678</v>
      </c>
      <c r="AJ188" s="81"/>
      <c r="AK188" s="81" t="s">
        <v>3159</v>
      </c>
      <c r="AL188" s="81" t="s">
        <v>3564</v>
      </c>
      <c r="AM188" s="84" t="str">
        <f>HYPERLINK("https://t.co/nMTNCAPm14")</f>
        <v>https://t.co/nMTNCAPm14</v>
      </c>
      <c r="AN188" s="81"/>
      <c r="AO188" s="83">
        <v>41409.048298611109</v>
      </c>
      <c r="AP188" s="84" t="str">
        <f>HYPERLINK("https://pbs.twimg.com/profile_banners/1429237147/1629983365")</f>
        <v>https://pbs.twimg.com/profile_banners/1429237147/1629983365</v>
      </c>
      <c r="AQ188" s="81" t="b">
        <v>1</v>
      </c>
      <c r="AR188" s="81" t="b">
        <v>0</v>
      </c>
      <c r="AS188" s="81" t="b">
        <v>1</v>
      </c>
      <c r="AT188" s="81"/>
      <c r="AU188" s="81">
        <v>1</v>
      </c>
      <c r="AV188" s="84" t="str">
        <f>HYPERLINK("https://abs.twimg.com/images/themes/theme1/bg.png")</f>
        <v>https://abs.twimg.com/images/themes/theme1/bg.png</v>
      </c>
      <c r="AW188" s="81" t="b">
        <v>0</v>
      </c>
      <c r="AX188" s="81" t="s">
        <v>3728</v>
      </c>
      <c r="AY188" s="84" t="str">
        <f>HYPERLINK("https://twitter.com/ib_ost")</f>
        <v>https://twitter.com/ib_ost</v>
      </c>
      <c r="AZ188" s="81" t="s">
        <v>66</v>
      </c>
      <c r="BA188" s="2"/>
      <c r="BB188" s="3"/>
      <c r="BC188" s="3"/>
      <c r="BD188" s="3"/>
      <c r="BE188" s="3"/>
    </row>
    <row r="189" spans="1:57" x14ac:dyDescent="0.35">
      <c r="A189" s="66" t="s">
        <v>613</v>
      </c>
      <c r="B189" s="67"/>
      <c r="C189" s="67"/>
      <c r="D189" s="68"/>
      <c r="E189" s="94"/>
      <c r="F189" s="93" t="str">
        <f>HYPERLINK("https://pbs.twimg.com/profile_images/554303773/icon_normal.jpg")</f>
        <v>https://pbs.twimg.com/profile_images/554303773/icon_normal.jpg</v>
      </c>
      <c r="G189" s="95"/>
      <c r="H189" s="71"/>
      <c r="I189" s="72"/>
      <c r="J189" s="96"/>
      <c r="K189" s="71" t="s">
        <v>3791</v>
      </c>
      <c r="L189" s="97"/>
      <c r="M189" s="76"/>
      <c r="N189" s="76"/>
      <c r="O189" s="77"/>
      <c r="P189" s="78"/>
      <c r="Q189" s="78"/>
      <c r="R189" s="92"/>
      <c r="S189" s="92"/>
      <c r="T189" s="92"/>
      <c r="U189" s="92"/>
      <c r="V189" s="52"/>
      <c r="W189" s="52"/>
      <c r="X189" s="52"/>
      <c r="Y189" s="52"/>
      <c r="Z189" s="51"/>
      <c r="AA189" s="73"/>
      <c r="AB189" s="73"/>
      <c r="AC189" s="74"/>
      <c r="AD189" s="81" t="s">
        <v>2302</v>
      </c>
      <c r="AE189" s="86" t="s">
        <v>2740</v>
      </c>
      <c r="AF189" s="81">
        <v>0</v>
      </c>
      <c r="AG189" s="81">
        <v>1403</v>
      </c>
      <c r="AH189" s="81">
        <v>5</v>
      </c>
      <c r="AI189" s="81">
        <v>0</v>
      </c>
      <c r="AJ189" s="81"/>
      <c r="AK189" s="81"/>
      <c r="AL189" s="81" t="s">
        <v>3552</v>
      </c>
      <c r="AM189" s="84" t="str">
        <f>HYPERLINK("http://t.co/1eRNQlFked")</f>
        <v>http://t.co/1eRNQlFked</v>
      </c>
      <c r="AN189" s="81"/>
      <c r="AO189" s="83">
        <v>40149.114247685182</v>
      </c>
      <c r="AP189" s="81"/>
      <c r="AQ189" s="81" t="b">
        <v>0</v>
      </c>
      <c r="AR189" s="81" t="b">
        <v>0</v>
      </c>
      <c r="AS189" s="81" t="b">
        <v>1</v>
      </c>
      <c r="AT189" s="81"/>
      <c r="AU189" s="81">
        <v>3</v>
      </c>
      <c r="AV189" s="84" t="str">
        <f>HYPERLINK("https://abs.twimg.com/images/themes/theme1/bg.png")</f>
        <v>https://abs.twimg.com/images/themes/theme1/bg.png</v>
      </c>
      <c r="AW189" s="81" t="b">
        <v>0</v>
      </c>
      <c r="AX189" s="81" t="s">
        <v>3728</v>
      </c>
      <c r="AY189" s="84" t="str">
        <f>HYPERLINK("https://twitter.com/posindo")</f>
        <v>https://twitter.com/posindo</v>
      </c>
      <c r="AZ189" s="81" t="s">
        <v>65</v>
      </c>
      <c r="BA189" s="2"/>
      <c r="BB189" s="3"/>
      <c r="BC189" s="3"/>
      <c r="BD189" s="3"/>
      <c r="BE189" s="3"/>
    </row>
    <row r="190" spans="1:57" x14ac:dyDescent="0.35">
      <c r="A190" s="66" t="s">
        <v>4251</v>
      </c>
      <c r="B190" s="67"/>
      <c r="C190" s="67"/>
      <c r="D190" s="68"/>
      <c r="E190" s="94"/>
      <c r="F190" s="93" t="str">
        <f>HYPERLINK("https://pbs.twimg.com/profile_images/1422778534632767491/9h5-V_QN_normal.jpg")</f>
        <v>https://pbs.twimg.com/profile_images/1422778534632767491/9h5-V_QN_normal.jpg</v>
      </c>
      <c r="G190" s="95"/>
      <c r="H190" s="71"/>
      <c r="I190" s="72"/>
      <c r="J190" s="96"/>
      <c r="K190" s="71" t="s">
        <v>11503</v>
      </c>
      <c r="L190" s="97"/>
      <c r="M190" s="76"/>
      <c r="N190" s="76"/>
      <c r="O190" s="77"/>
      <c r="P190" s="78"/>
      <c r="Q190" s="78"/>
      <c r="R190" s="92"/>
      <c r="S190" s="92"/>
      <c r="T190" s="92"/>
      <c r="U190" s="92"/>
      <c r="V190" s="52"/>
      <c r="W190" s="52"/>
      <c r="X190" s="52"/>
      <c r="Y190" s="52"/>
      <c r="Z190" s="51"/>
      <c r="AA190" s="73"/>
      <c r="AB190" s="73"/>
      <c r="AC190" s="74"/>
      <c r="AD190" s="81" t="s">
        <v>8134</v>
      </c>
      <c r="AE190" s="86" t="s">
        <v>9199</v>
      </c>
      <c r="AF190" s="81">
        <v>8101</v>
      </c>
      <c r="AG190" s="81">
        <v>10391</v>
      </c>
      <c r="AH190" s="81">
        <v>625254</v>
      </c>
      <c r="AI190" s="81">
        <v>141892</v>
      </c>
      <c r="AJ190" s="81"/>
      <c r="AK190" s="81" t="s">
        <v>10155</v>
      </c>
      <c r="AL190" s="81" t="s">
        <v>8005</v>
      </c>
      <c r="AM190" s="81"/>
      <c r="AN190" s="81"/>
      <c r="AO190" s="83">
        <v>40689.817337962966</v>
      </c>
      <c r="AP190" s="84" t="str">
        <f>HYPERLINK("https://pbs.twimg.com/profile_banners/305774527/1606246157")</f>
        <v>https://pbs.twimg.com/profile_banners/305774527/1606246157</v>
      </c>
      <c r="AQ190" s="81" t="b">
        <v>0</v>
      </c>
      <c r="AR190" s="81" t="b">
        <v>0</v>
      </c>
      <c r="AS190" s="81" t="b">
        <v>1</v>
      </c>
      <c r="AT190" s="81"/>
      <c r="AU190" s="81">
        <v>69</v>
      </c>
      <c r="AV190" s="84" t="str">
        <f>HYPERLINK("https://abs.twimg.com/images/themes/theme16/bg.gif")</f>
        <v>https://abs.twimg.com/images/themes/theme16/bg.gif</v>
      </c>
      <c r="AW190" s="81" t="b">
        <v>0</v>
      </c>
      <c r="AX190" s="81" t="s">
        <v>3728</v>
      </c>
      <c r="AY190" s="84" t="str">
        <f>HYPERLINK("https://twitter.com/blogdopepe")</f>
        <v>https://twitter.com/blogdopepe</v>
      </c>
      <c r="AZ190" s="81" t="s">
        <v>66</v>
      </c>
      <c r="BA190" s="2"/>
      <c r="BB190" s="3"/>
      <c r="BC190" s="3"/>
      <c r="BD190" s="3"/>
      <c r="BE190" s="3"/>
    </row>
    <row r="191" spans="1:57" x14ac:dyDescent="0.35">
      <c r="A191" s="66" t="s">
        <v>4963</v>
      </c>
      <c r="B191" s="67"/>
      <c r="C191" s="67"/>
      <c r="D191" s="68"/>
      <c r="E191" s="94"/>
      <c r="F191" s="93" t="str">
        <f>HYPERLINK("https://pbs.twimg.com/profile_images/1258569360236576770/7E9EYrtd_normal.jpg")</f>
        <v>https://pbs.twimg.com/profile_images/1258569360236576770/7E9EYrtd_normal.jpg</v>
      </c>
      <c r="G191" s="95"/>
      <c r="H191" s="71"/>
      <c r="I191" s="72"/>
      <c r="J191" s="96"/>
      <c r="K191" s="71" t="s">
        <v>14266</v>
      </c>
      <c r="L191" s="97"/>
      <c r="M191" s="76"/>
      <c r="N191" s="76"/>
      <c r="O191" s="77"/>
      <c r="P191" s="78"/>
      <c r="Q191" s="78"/>
      <c r="R191" s="92"/>
      <c r="S191" s="92"/>
      <c r="T191" s="92"/>
      <c r="U191" s="92"/>
      <c r="V191" s="52"/>
      <c r="W191" s="52"/>
      <c r="X191" s="52"/>
      <c r="Y191" s="52"/>
      <c r="Z191" s="51"/>
      <c r="AA191" s="73"/>
      <c r="AB191" s="73"/>
      <c r="AC191" s="74"/>
      <c r="AD191" s="81" t="s">
        <v>8135</v>
      </c>
      <c r="AE191" s="86" t="s">
        <v>7959</v>
      </c>
      <c r="AF191" s="81">
        <v>6947</v>
      </c>
      <c r="AG191" s="81">
        <v>6344</v>
      </c>
      <c r="AH191" s="81">
        <v>4141</v>
      </c>
      <c r="AI191" s="81">
        <v>73549</v>
      </c>
      <c r="AJ191" s="81"/>
      <c r="AK191" s="81"/>
      <c r="AL191" s="81"/>
      <c r="AM191" s="81"/>
      <c r="AN191" s="81"/>
      <c r="AO191" s="83">
        <v>43668.693136574075</v>
      </c>
      <c r="AP191" s="81"/>
      <c r="AQ191" s="81" t="b">
        <v>1</v>
      </c>
      <c r="AR191" s="81" t="b">
        <v>0</v>
      </c>
      <c r="AS191" s="81" t="b">
        <v>1</v>
      </c>
      <c r="AT191" s="81"/>
      <c r="AU191" s="81">
        <v>0</v>
      </c>
      <c r="AV191" s="81"/>
      <c r="AW191" s="81" t="b">
        <v>0</v>
      </c>
      <c r="AX191" s="81" t="s">
        <v>3728</v>
      </c>
      <c r="AY191" s="84" t="str">
        <f>HYPERLINK("https://twitter.com/panchitoblanco1")</f>
        <v>https://twitter.com/panchitoblanco1</v>
      </c>
      <c r="AZ191" s="81" t="s">
        <v>66</v>
      </c>
      <c r="BA191" s="2"/>
      <c r="BB191" s="3"/>
      <c r="BC191" s="3"/>
      <c r="BD191" s="3"/>
      <c r="BE191" s="3"/>
    </row>
    <row r="192" spans="1:57" x14ac:dyDescent="0.35">
      <c r="A192" s="66" t="s">
        <v>4979</v>
      </c>
      <c r="B192" s="67"/>
      <c r="C192" s="67"/>
      <c r="D192" s="68"/>
      <c r="E192" s="94"/>
      <c r="F192" s="93" t="str">
        <f>HYPERLINK("https://pbs.twimg.com/profile_images/1410443022932889601/KR4wrzP2_normal.jpg")</f>
        <v>https://pbs.twimg.com/profile_images/1410443022932889601/KR4wrzP2_normal.jpg</v>
      </c>
      <c r="G192" s="95"/>
      <c r="H192" s="71"/>
      <c r="I192" s="72"/>
      <c r="J192" s="96"/>
      <c r="K192" s="71" t="s">
        <v>11395</v>
      </c>
      <c r="L192" s="97"/>
      <c r="M192" s="76"/>
      <c r="N192" s="76"/>
      <c r="O192" s="77"/>
      <c r="P192" s="78"/>
      <c r="Q192" s="78"/>
      <c r="R192" s="92"/>
      <c r="S192" s="92"/>
      <c r="T192" s="92"/>
      <c r="U192" s="92"/>
      <c r="V192" s="52"/>
      <c r="W192" s="52"/>
      <c r="X192" s="52"/>
      <c r="Y192" s="52"/>
      <c r="Z192" s="51"/>
      <c r="AA192" s="73"/>
      <c r="AB192" s="73"/>
      <c r="AC192" s="74"/>
      <c r="AD192" s="81" t="s">
        <v>8029</v>
      </c>
      <c r="AE192" s="86" t="s">
        <v>7953</v>
      </c>
      <c r="AF192" s="81">
        <v>174000</v>
      </c>
      <c r="AG192" s="81">
        <v>7978109</v>
      </c>
      <c r="AH192" s="81">
        <v>532443</v>
      </c>
      <c r="AI192" s="81">
        <v>74</v>
      </c>
      <c r="AJ192" s="81"/>
      <c r="AK192" s="81" t="s">
        <v>10056</v>
      </c>
      <c r="AL192" s="81" t="s">
        <v>10978</v>
      </c>
      <c r="AM192" s="84" t="str">
        <f>HYPERLINK("https://t.co/uhZvE5yacH")</f>
        <v>https://t.co/uhZvE5yacH</v>
      </c>
      <c r="AN192" s="81"/>
      <c r="AO192" s="83">
        <v>39568.10670138889</v>
      </c>
      <c r="AP192" s="84" t="str">
        <f>HYPERLINK("https://pbs.twimg.com/profile_banners/14594813/1588244227")</f>
        <v>https://pbs.twimg.com/profile_banners/14594813/1588244227</v>
      </c>
      <c r="AQ192" s="81" t="b">
        <v>0</v>
      </c>
      <c r="AR192" s="81" t="b">
        <v>0</v>
      </c>
      <c r="AS192" s="81" t="b">
        <v>1</v>
      </c>
      <c r="AT192" s="81"/>
      <c r="AU192" s="81">
        <v>13258</v>
      </c>
      <c r="AV192" s="84" t="str">
        <f>HYPERLINK("https://abs.twimg.com/images/themes/theme1/bg.png")</f>
        <v>https://abs.twimg.com/images/themes/theme1/bg.png</v>
      </c>
      <c r="AW192" s="81" t="b">
        <v>1</v>
      </c>
      <c r="AX192" s="81" t="s">
        <v>3728</v>
      </c>
      <c r="AY192" s="84" t="str">
        <f>HYPERLINK("https://twitter.com/folha")</f>
        <v>https://twitter.com/folha</v>
      </c>
      <c r="AZ192" s="81" t="s">
        <v>65</v>
      </c>
      <c r="BA192" s="2"/>
      <c r="BB192" s="3"/>
      <c r="BC192" s="3"/>
      <c r="BD192" s="3"/>
      <c r="BE192" s="3"/>
    </row>
    <row r="193" spans="1:57" x14ac:dyDescent="0.35">
      <c r="A193" s="66" t="s">
        <v>4252</v>
      </c>
      <c r="B193" s="67"/>
      <c r="C193" s="67"/>
      <c r="D193" s="68"/>
      <c r="E193" s="94"/>
      <c r="F193" s="93" t="str">
        <f>HYPERLINK("https://pbs.twimg.com/profile_images/1260217894094409729/iCKcNJFz_normal.jpg")</f>
        <v>https://pbs.twimg.com/profile_images/1260217894094409729/iCKcNJFz_normal.jpg</v>
      </c>
      <c r="G193" s="95"/>
      <c r="H193" s="71"/>
      <c r="I193" s="72"/>
      <c r="J193" s="96"/>
      <c r="K193" s="71" t="s">
        <v>11504</v>
      </c>
      <c r="L193" s="97"/>
      <c r="M193" s="76"/>
      <c r="N193" s="76"/>
      <c r="O193" s="77"/>
      <c r="P193" s="78"/>
      <c r="Q193" s="78"/>
      <c r="R193" s="92"/>
      <c r="S193" s="92"/>
      <c r="T193" s="92"/>
      <c r="U193" s="92"/>
      <c r="V193" s="52"/>
      <c r="W193" s="52"/>
      <c r="X193" s="52"/>
      <c r="Y193" s="52"/>
      <c r="Z193" s="51"/>
      <c r="AA193" s="73"/>
      <c r="AB193" s="73"/>
      <c r="AC193" s="74"/>
      <c r="AD193" s="81" t="s">
        <v>8136</v>
      </c>
      <c r="AE193" s="86" t="s">
        <v>9200</v>
      </c>
      <c r="AF193" s="81">
        <v>1760</v>
      </c>
      <c r="AG193" s="81">
        <v>1146</v>
      </c>
      <c r="AH193" s="81">
        <v>4616</v>
      </c>
      <c r="AI193" s="81">
        <v>38491</v>
      </c>
      <c r="AJ193" s="81"/>
      <c r="AK193" s="81" t="s">
        <v>10156</v>
      </c>
      <c r="AL193" s="81"/>
      <c r="AM193" s="81"/>
      <c r="AN193" s="81"/>
      <c r="AO193" s="83">
        <v>43321.743275462963</v>
      </c>
      <c r="AP193" s="81"/>
      <c r="AQ193" s="81" t="b">
        <v>1</v>
      </c>
      <c r="AR193" s="81" t="b">
        <v>0</v>
      </c>
      <c r="AS193" s="81" t="b">
        <v>0</v>
      </c>
      <c r="AT193" s="81"/>
      <c r="AU193" s="81">
        <v>0</v>
      </c>
      <c r="AV193" s="81"/>
      <c r="AW193" s="81" t="b">
        <v>0</v>
      </c>
      <c r="AX193" s="81" t="s">
        <v>3728</v>
      </c>
      <c r="AY193" s="84" t="str">
        <f>HYPERLINK("https://twitter.com/elianea91788511")</f>
        <v>https://twitter.com/elianea91788511</v>
      </c>
      <c r="AZ193" s="81" t="s">
        <v>66</v>
      </c>
      <c r="BA193" s="2"/>
      <c r="BB193" s="3"/>
      <c r="BC193" s="3"/>
      <c r="BD193" s="3"/>
      <c r="BE193" s="3"/>
    </row>
    <row r="194" spans="1:57" x14ac:dyDescent="0.35">
      <c r="A194" s="66" t="s">
        <v>4253</v>
      </c>
      <c r="B194" s="67"/>
      <c r="C194" s="67"/>
      <c r="D194" s="68"/>
      <c r="E194" s="94"/>
      <c r="F194" s="93" t="str">
        <f>HYPERLINK("https://pbs.twimg.com/profile_images/1443233322398670856/01pBKeas_normal.png")</f>
        <v>https://pbs.twimg.com/profile_images/1443233322398670856/01pBKeas_normal.png</v>
      </c>
      <c r="G194" s="95"/>
      <c r="H194" s="71"/>
      <c r="I194" s="72"/>
      <c r="J194" s="96"/>
      <c r="K194" s="71" t="s">
        <v>11505</v>
      </c>
      <c r="L194" s="97"/>
      <c r="M194" s="76"/>
      <c r="N194" s="76"/>
      <c r="O194" s="77"/>
      <c r="P194" s="78"/>
      <c r="Q194" s="78"/>
      <c r="R194" s="92"/>
      <c r="S194" s="92"/>
      <c r="T194" s="92"/>
      <c r="U194" s="92"/>
      <c r="V194" s="52"/>
      <c r="W194" s="52"/>
      <c r="X194" s="52"/>
      <c r="Y194" s="52"/>
      <c r="Z194" s="51"/>
      <c r="AA194" s="73"/>
      <c r="AB194" s="73"/>
      <c r="AC194" s="74"/>
      <c r="AD194" s="81" t="s">
        <v>8137</v>
      </c>
      <c r="AE194" s="86" t="s">
        <v>9201</v>
      </c>
      <c r="AF194" s="81">
        <v>1434</v>
      </c>
      <c r="AG194" s="81">
        <v>207</v>
      </c>
      <c r="AH194" s="81">
        <v>6774</v>
      </c>
      <c r="AI194" s="81">
        <v>9735</v>
      </c>
      <c r="AJ194" s="81"/>
      <c r="AK194" s="81" t="s">
        <v>10157</v>
      </c>
      <c r="AL194" s="81" t="s">
        <v>2203</v>
      </c>
      <c r="AM194" s="81"/>
      <c r="AN194" s="81"/>
      <c r="AO194" s="83">
        <v>42649.206099537034</v>
      </c>
      <c r="AP194" s="84" t="str">
        <f>HYPERLINK("https://pbs.twimg.com/profile_banners/783893746043629570/1630718440")</f>
        <v>https://pbs.twimg.com/profile_banners/783893746043629570/1630718440</v>
      </c>
      <c r="AQ194" s="81" t="b">
        <v>0</v>
      </c>
      <c r="AR194" s="81" t="b">
        <v>0</v>
      </c>
      <c r="AS194" s="81" t="b">
        <v>1</v>
      </c>
      <c r="AT194" s="81"/>
      <c r="AU194" s="81">
        <v>1</v>
      </c>
      <c r="AV194" s="84" t="str">
        <f>HYPERLINK("https://abs.twimg.com/images/themes/theme1/bg.png")</f>
        <v>https://abs.twimg.com/images/themes/theme1/bg.png</v>
      </c>
      <c r="AW194" s="81" t="b">
        <v>0</v>
      </c>
      <c r="AX194" s="81" t="s">
        <v>3728</v>
      </c>
      <c r="AY194" s="84" t="str">
        <f>HYPERLINK("https://twitter.com/attayona")</f>
        <v>https://twitter.com/attayona</v>
      </c>
      <c r="AZ194" s="81" t="s">
        <v>66</v>
      </c>
      <c r="BA194" s="2"/>
      <c r="BB194" s="3"/>
      <c r="BC194" s="3"/>
      <c r="BD194" s="3"/>
      <c r="BE194" s="3"/>
    </row>
    <row r="195" spans="1:57" x14ac:dyDescent="0.35">
      <c r="A195" s="66" t="s">
        <v>4254</v>
      </c>
      <c r="B195" s="67"/>
      <c r="C195" s="67"/>
      <c r="D195" s="68"/>
      <c r="E195" s="94"/>
      <c r="F195" s="93" t="str">
        <f>HYPERLINK("https://pbs.twimg.com/profile_images/1156172600390893570/XFC4ribX_normal.jpg")</f>
        <v>https://pbs.twimg.com/profile_images/1156172600390893570/XFC4ribX_normal.jpg</v>
      </c>
      <c r="G195" s="95"/>
      <c r="H195" s="71"/>
      <c r="I195" s="72"/>
      <c r="J195" s="96"/>
      <c r="K195" s="71" t="s">
        <v>11506</v>
      </c>
      <c r="L195" s="97"/>
      <c r="M195" s="76"/>
      <c r="N195" s="76"/>
      <c r="O195" s="77"/>
      <c r="P195" s="78"/>
      <c r="Q195" s="78"/>
      <c r="R195" s="92"/>
      <c r="S195" s="92"/>
      <c r="T195" s="92"/>
      <c r="U195" s="92"/>
      <c r="V195" s="52"/>
      <c r="W195" s="52"/>
      <c r="X195" s="52"/>
      <c r="Y195" s="52"/>
      <c r="Z195" s="51"/>
      <c r="AA195" s="73"/>
      <c r="AB195" s="73"/>
      <c r="AC195" s="74"/>
      <c r="AD195" s="81" t="s">
        <v>8138</v>
      </c>
      <c r="AE195" s="86" t="s">
        <v>9202</v>
      </c>
      <c r="AF195" s="81">
        <v>828</v>
      </c>
      <c r="AG195" s="81">
        <v>1796</v>
      </c>
      <c r="AH195" s="81">
        <v>187902</v>
      </c>
      <c r="AI195" s="81">
        <v>50676</v>
      </c>
      <c r="AJ195" s="81"/>
      <c r="AK195" s="81" t="s">
        <v>10158</v>
      </c>
      <c r="AL195" s="81" t="s">
        <v>10973</v>
      </c>
      <c r="AM195" s="81"/>
      <c r="AN195" s="81"/>
      <c r="AO195" s="83">
        <v>39960.689618055556</v>
      </c>
      <c r="AP195" s="84" t="str">
        <f>HYPERLINK("https://pbs.twimg.com/profile_banners/42918587/1479073434")</f>
        <v>https://pbs.twimg.com/profile_banners/42918587/1479073434</v>
      </c>
      <c r="AQ195" s="81" t="b">
        <v>1</v>
      </c>
      <c r="AR195" s="81" t="b">
        <v>0</v>
      </c>
      <c r="AS195" s="81" t="b">
        <v>0</v>
      </c>
      <c r="AT195" s="81"/>
      <c r="AU195" s="81">
        <v>11</v>
      </c>
      <c r="AV195" s="84" t="str">
        <f>HYPERLINK("https://abs.twimg.com/images/themes/theme1/bg.png")</f>
        <v>https://abs.twimg.com/images/themes/theme1/bg.png</v>
      </c>
      <c r="AW195" s="81" t="b">
        <v>0</v>
      </c>
      <c r="AX195" s="81" t="s">
        <v>3728</v>
      </c>
      <c r="AY195" s="84" t="str">
        <f>HYPERLINK("https://twitter.com/radamanto")</f>
        <v>https://twitter.com/radamanto</v>
      </c>
      <c r="AZ195" s="81" t="s">
        <v>66</v>
      </c>
      <c r="BA195" s="2"/>
      <c r="BB195" s="3"/>
      <c r="BC195" s="3"/>
      <c r="BD195" s="3"/>
      <c r="BE195" s="3"/>
    </row>
    <row r="196" spans="1:57" x14ac:dyDescent="0.35">
      <c r="A196" s="66" t="s">
        <v>4255</v>
      </c>
      <c r="B196" s="67"/>
      <c r="C196" s="67"/>
      <c r="D196" s="68"/>
      <c r="E196" s="94"/>
      <c r="F196" s="93" t="str">
        <f>HYPERLINK("https://pbs.twimg.com/profile_images/1443376520639041537/9SdKAD3C_normal.png")</f>
        <v>https://pbs.twimg.com/profile_images/1443376520639041537/9SdKAD3C_normal.png</v>
      </c>
      <c r="G196" s="95"/>
      <c r="H196" s="71"/>
      <c r="I196" s="72"/>
      <c r="J196" s="96"/>
      <c r="K196" s="71" t="s">
        <v>11507</v>
      </c>
      <c r="L196" s="97"/>
      <c r="M196" s="76"/>
      <c r="N196" s="76"/>
      <c r="O196" s="77"/>
      <c r="P196" s="78"/>
      <c r="Q196" s="78"/>
      <c r="R196" s="92"/>
      <c r="S196" s="92"/>
      <c r="T196" s="92"/>
      <c r="U196" s="92"/>
      <c r="V196" s="52"/>
      <c r="W196" s="52"/>
      <c r="X196" s="52"/>
      <c r="Y196" s="52"/>
      <c r="Z196" s="51"/>
      <c r="AA196" s="73"/>
      <c r="AB196" s="73"/>
      <c r="AC196" s="74"/>
      <c r="AD196" s="81" t="s">
        <v>8139</v>
      </c>
      <c r="AE196" s="86" t="s">
        <v>9203</v>
      </c>
      <c r="AF196" s="81">
        <v>2030</v>
      </c>
      <c r="AG196" s="81">
        <v>1077</v>
      </c>
      <c r="AH196" s="81">
        <v>13346</v>
      </c>
      <c r="AI196" s="81">
        <v>5219</v>
      </c>
      <c r="AJ196" s="81"/>
      <c r="AK196" s="81" t="s">
        <v>10159</v>
      </c>
      <c r="AL196" s="81" t="s">
        <v>3523</v>
      </c>
      <c r="AM196" s="81"/>
      <c r="AN196" s="81"/>
      <c r="AO196" s="83">
        <v>40711.153043981481</v>
      </c>
      <c r="AP196" s="84" t="str">
        <f>HYPERLINK("https://pbs.twimg.com/profile_banners/318831793/1430834237")</f>
        <v>https://pbs.twimg.com/profile_banners/318831793/1430834237</v>
      </c>
      <c r="AQ196" s="81" t="b">
        <v>0</v>
      </c>
      <c r="AR196" s="81" t="b">
        <v>0</v>
      </c>
      <c r="AS196" s="81" t="b">
        <v>0</v>
      </c>
      <c r="AT196" s="81"/>
      <c r="AU196" s="81">
        <v>0</v>
      </c>
      <c r="AV196" s="84" t="str">
        <f>HYPERLINK("https://abs.twimg.com/images/themes/theme5/bg.gif")</f>
        <v>https://abs.twimg.com/images/themes/theme5/bg.gif</v>
      </c>
      <c r="AW196" s="81" t="b">
        <v>0</v>
      </c>
      <c r="AX196" s="81" t="s">
        <v>3728</v>
      </c>
      <c r="AY196" s="84" t="str">
        <f>HYPERLINK("https://twitter.com/kangthole81")</f>
        <v>https://twitter.com/kangthole81</v>
      </c>
      <c r="AZ196" s="81" t="s">
        <v>66</v>
      </c>
      <c r="BA196" s="2"/>
      <c r="BB196" s="3"/>
      <c r="BC196" s="3"/>
      <c r="BD196" s="3"/>
      <c r="BE196" s="3"/>
    </row>
    <row r="197" spans="1:57" x14ac:dyDescent="0.35">
      <c r="A197" s="66" t="s">
        <v>4256</v>
      </c>
      <c r="B197" s="67"/>
      <c r="C197" s="67"/>
      <c r="D197" s="68"/>
      <c r="E197" s="94"/>
      <c r="F197" s="93" t="str">
        <f>HYPERLINK("https://pbs.twimg.com/profile_images/754129872251826176/QUKeU8fW_normal.jpg")</f>
        <v>https://pbs.twimg.com/profile_images/754129872251826176/QUKeU8fW_normal.jpg</v>
      </c>
      <c r="G197" s="95"/>
      <c r="H197" s="71"/>
      <c r="I197" s="72"/>
      <c r="J197" s="96"/>
      <c r="K197" s="71" t="s">
        <v>11508</v>
      </c>
      <c r="L197" s="97"/>
      <c r="M197" s="76"/>
      <c r="N197" s="76"/>
      <c r="O197" s="77"/>
      <c r="P197" s="78"/>
      <c r="Q197" s="78"/>
      <c r="R197" s="92"/>
      <c r="S197" s="92"/>
      <c r="T197" s="92"/>
      <c r="U197" s="92"/>
      <c r="V197" s="52"/>
      <c r="W197" s="52"/>
      <c r="X197" s="52"/>
      <c r="Y197" s="52"/>
      <c r="Z197" s="51"/>
      <c r="AA197" s="73"/>
      <c r="AB197" s="73"/>
      <c r="AC197" s="74"/>
      <c r="AD197" s="81" t="s">
        <v>8140</v>
      </c>
      <c r="AE197" s="86" t="s">
        <v>9204</v>
      </c>
      <c r="AF197" s="81">
        <v>846</v>
      </c>
      <c r="AG197" s="81">
        <v>552</v>
      </c>
      <c r="AH197" s="81">
        <v>8721</v>
      </c>
      <c r="AI197" s="81">
        <v>1281</v>
      </c>
      <c r="AJ197" s="81"/>
      <c r="AK197" s="81" t="s">
        <v>10160</v>
      </c>
      <c r="AL197" s="81" t="s">
        <v>11036</v>
      </c>
      <c r="AM197" s="81"/>
      <c r="AN197" s="81"/>
      <c r="AO197" s="83">
        <v>40143.328263888892</v>
      </c>
      <c r="AP197" s="84" t="str">
        <f>HYPERLINK("https://pbs.twimg.com/profile_banners/92709585/1448881945")</f>
        <v>https://pbs.twimg.com/profile_banners/92709585/1448881945</v>
      </c>
      <c r="AQ197" s="81" t="b">
        <v>0</v>
      </c>
      <c r="AR197" s="81" t="b">
        <v>0</v>
      </c>
      <c r="AS197" s="81" t="b">
        <v>1</v>
      </c>
      <c r="AT197" s="81"/>
      <c r="AU197" s="81">
        <v>1</v>
      </c>
      <c r="AV197" s="84" t="str">
        <f>HYPERLINK("https://abs.twimg.com/images/themes/theme11/bg.gif")</f>
        <v>https://abs.twimg.com/images/themes/theme11/bg.gif</v>
      </c>
      <c r="AW197" s="81" t="b">
        <v>0</v>
      </c>
      <c r="AX197" s="81" t="s">
        <v>3728</v>
      </c>
      <c r="AY197" s="84" t="str">
        <f>HYPERLINK("https://twitter.com/sukmariana_10")</f>
        <v>https://twitter.com/sukmariana_10</v>
      </c>
      <c r="AZ197" s="81" t="s">
        <v>66</v>
      </c>
      <c r="BA197" s="2"/>
      <c r="BB197" s="3"/>
      <c r="BC197" s="3"/>
      <c r="BD197" s="3"/>
      <c r="BE197" s="3"/>
    </row>
    <row r="198" spans="1:57" x14ac:dyDescent="0.35">
      <c r="A198" s="66" t="s">
        <v>278</v>
      </c>
      <c r="B198" s="67"/>
      <c r="C198" s="67"/>
      <c r="D198" s="68"/>
      <c r="E198" s="94"/>
      <c r="F198" s="93" t="str">
        <f>HYPERLINK("https://pbs.twimg.com/profile_images/1406190476718329856/43EfPMQk_normal.jpg")</f>
        <v>https://pbs.twimg.com/profile_images/1406190476718329856/43EfPMQk_normal.jpg</v>
      </c>
      <c r="G198" s="95"/>
      <c r="H198" s="71"/>
      <c r="I198" s="72"/>
      <c r="J198" s="96"/>
      <c r="K198" s="71" t="s">
        <v>3815</v>
      </c>
      <c r="L198" s="97"/>
      <c r="M198" s="76"/>
      <c r="N198" s="76"/>
      <c r="O198" s="77"/>
      <c r="P198" s="78"/>
      <c r="Q198" s="78"/>
      <c r="R198" s="92"/>
      <c r="S198" s="92"/>
      <c r="T198" s="92"/>
      <c r="U198" s="92"/>
      <c r="V198" s="52"/>
      <c r="W198" s="52"/>
      <c r="X198" s="52"/>
      <c r="Y198" s="52"/>
      <c r="Z198" s="51"/>
      <c r="AA198" s="73"/>
      <c r="AB198" s="73"/>
      <c r="AC198" s="74"/>
      <c r="AD198" s="81" t="s">
        <v>2326</v>
      </c>
      <c r="AE198" s="86" t="s">
        <v>2758</v>
      </c>
      <c r="AF198" s="81">
        <v>172</v>
      </c>
      <c r="AG198" s="81">
        <v>312</v>
      </c>
      <c r="AH198" s="81">
        <v>18701</v>
      </c>
      <c r="AI198" s="81">
        <v>3874</v>
      </c>
      <c r="AJ198" s="81"/>
      <c r="AK198" s="81"/>
      <c r="AL198" s="81" t="s">
        <v>3565</v>
      </c>
      <c r="AM198" s="81"/>
      <c r="AN198" s="81"/>
      <c r="AO198" s="83">
        <v>40908.571192129632</v>
      </c>
      <c r="AP198" s="84" t="str">
        <f>HYPERLINK("https://pbs.twimg.com/profile_banners/451461462/1474914368")</f>
        <v>https://pbs.twimg.com/profile_banners/451461462/1474914368</v>
      </c>
      <c r="AQ198" s="81" t="b">
        <v>0</v>
      </c>
      <c r="AR198" s="81" t="b">
        <v>0</v>
      </c>
      <c r="AS198" s="81" t="b">
        <v>0</v>
      </c>
      <c r="AT198" s="81"/>
      <c r="AU198" s="81">
        <v>1</v>
      </c>
      <c r="AV198" s="84" t="str">
        <f>HYPERLINK("https://abs.twimg.com/images/themes/theme1/bg.png")</f>
        <v>https://abs.twimg.com/images/themes/theme1/bg.png</v>
      </c>
      <c r="AW198" s="81" t="b">
        <v>0</v>
      </c>
      <c r="AX198" s="81" t="s">
        <v>3728</v>
      </c>
      <c r="AY198" s="84" t="str">
        <f>HYPERLINK("https://twitter.com/anwarashburn")</f>
        <v>https://twitter.com/anwarashburn</v>
      </c>
      <c r="AZ198" s="81" t="s">
        <v>66</v>
      </c>
      <c r="BA198" s="2"/>
      <c r="BB198" s="3"/>
      <c r="BC198" s="3"/>
      <c r="BD198" s="3"/>
      <c r="BE198" s="3"/>
    </row>
    <row r="199" spans="1:57" x14ac:dyDescent="0.35">
      <c r="A199" s="66" t="s">
        <v>625</v>
      </c>
      <c r="B199" s="67"/>
      <c r="C199" s="67"/>
      <c r="D199" s="68"/>
      <c r="E199" s="94"/>
      <c r="F199" s="93" t="str">
        <f>HYPERLINK("https://pbs.twimg.com/profile_images/1441672844883103745/iP7L42G-_normal.jpg")</f>
        <v>https://pbs.twimg.com/profile_images/1441672844883103745/iP7L42G-_normal.jpg</v>
      </c>
      <c r="G199" s="95"/>
      <c r="H199" s="71"/>
      <c r="I199" s="72"/>
      <c r="J199" s="96"/>
      <c r="K199" s="71" t="s">
        <v>3816</v>
      </c>
      <c r="L199" s="97"/>
      <c r="M199" s="76"/>
      <c r="N199" s="76"/>
      <c r="O199" s="77"/>
      <c r="P199" s="78"/>
      <c r="Q199" s="78"/>
      <c r="R199" s="92"/>
      <c r="S199" s="92"/>
      <c r="T199" s="92"/>
      <c r="U199" s="92"/>
      <c r="V199" s="52"/>
      <c r="W199" s="52"/>
      <c r="X199" s="52"/>
      <c r="Y199" s="52"/>
      <c r="Z199" s="51"/>
      <c r="AA199" s="73"/>
      <c r="AB199" s="73"/>
      <c r="AC199" s="74"/>
      <c r="AD199" s="81" t="s">
        <v>2327</v>
      </c>
      <c r="AE199" s="86" t="s">
        <v>2759</v>
      </c>
      <c r="AF199" s="81">
        <v>11</v>
      </c>
      <c r="AG199" s="81">
        <v>55689</v>
      </c>
      <c r="AH199" s="81">
        <v>12996</v>
      </c>
      <c r="AI199" s="81">
        <v>2180</v>
      </c>
      <c r="AJ199" s="81"/>
      <c r="AK199" s="81" t="s">
        <v>3160</v>
      </c>
      <c r="AL199" s="81" t="s">
        <v>3514</v>
      </c>
      <c r="AM199" s="84" t="str">
        <f>HYPERLINK("https://t.co/wfU2xBQ7xz")</f>
        <v>https://t.co/wfU2xBQ7xz</v>
      </c>
      <c r="AN199" s="81"/>
      <c r="AO199" s="83">
        <v>42025.401828703703</v>
      </c>
      <c r="AP199" s="84" t="str">
        <f>HYPERLINK("https://pbs.twimg.com/profile_banners/2989403819/1632585748")</f>
        <v>https://pbs.twimg.com/profile_banners/2989403819/1632585748</v>
      </c>
      <c r="AQ199" s="81" t="b">
        <v>0</v>
      </c>
      <c r="AR199" s="81" t="b">
        <v>0</v>
      </c>
      <c r="AS199" s="81" t="b">
        <v>1</v>
      </c>
      <c r="AT199" s="81"/>
      <c r="AU199" s="81">
        <v>27</v>
      </c>
      <c r="AV199" s="84" t="str">
        <f>HYPERLINK("https://abs.twimg.com/images/themes/theme1/bg.png")</f>
        <v>https://abs.twimg.com/images/themes/theme1/bg.png</v>
      </c>
      <c r="AW199" s="81" t="b">
        <v>1</v>
      </c>
      <c r="AX199" s="81" t="s">
        <v>3728</v>
      </c>
      <c r="AY199" s="84" t="str">
        <f>HYPERLINK("https://twitter.com/shopeemy")</f>
        <v>https://twitter.com/shopeemy</v>
      </c>
      <c r="AZ199" s="81" t="s">
        <v>65</v>
      </c>
      <c r="BA199" s="2"/>
      <c r="BB199" s="3"/>
      <c r="BC199" s="3"/>
      <c r="BD199" s="3"/>
      <c r="BE199" s="3"/>
    </row>
    <row r="200" spans="1:57" x14ac:dyDescent="0.35">
      <c r="A200" s="66" t="s">
        <v>626</v>
      </c>
      <c r="B200" s="67"/>
      <c r="C200" s="67"/>
      <c r="D200" s="68"/>
      <c r="E200" s="94"/>
      <c r="F200" s="93" t="str">
        <f>HYPERLINK("https://pbs.twimg.com/profile_images/1316209556263895040/lnD0y_Hs_normal.jpg")</f>
        <v>https://pbs.twimg.com/profile_images/1316209556263895040/lnD0y_Hs_normal.jpg</v>
      </c>
      <c r="G200" s="95"/>
      <c r="H200" s="71"/>
      <c r="I200" s="72"/>
      <c r="J200" s="96"/>
      <c r="K200" s="71" t="s">
        <v>3817</v>
      </c>
      <c r="L200" s="97"/>
      <c r="M200" s="76"/>
      <c r="N200" s="76"/>
      <c r="O200" s="77"/>
      <c r="P200" s="78"/>
      <c r="Q200" s="78"/>
      <c r="R200" s="92"/>
      <c r="S200" s="92"/>
      <c r="T200" s="92"/>
      <c r="U200" s="92"/>
      <c r="V200" s="52"/>
      <c r="W200" s="52"/>
      <c r="X200" s="52"/>
      <c r="Y200" s="52"/>
      <c r="Z200" s="51"/>
      <c r="AA200" s="73"/>
      <c r="AB200" s="73"/>
      <c r="AC200" s="74"/>
      <c r="AD200" s="81" t="s">
        <v>2328</v>
      </c>
      <c r="AE200" s="86" t="s">
        <v>2099</v>
      </c>
      <c r="AF200" s="81">
        <v>63</v>
      </c>
      <c r="AG200" s="81">
        <v>80</v>
      </c>
      <c r="AH200" s="81">
        <v>2592</v>
      </c>
      <c r="AI200" s="81">
        <v>1903</v>
      </c>
      <c r="AJ200" s="81"/>
      <c r="AK200" s="81" t="s">
        <v>3161</v>
      </c>
      <c r="AL200" s="81" t="s">
        <v>3566</v>
      </c>
      <c r="AM200" s="81"/>
      <c r="AN200" s="81"/>
      <c r="AO200" s="83">
        <v>42535.719456018516</v>
      </c>
      <c r="AP200" s="81"/>
      <c r="AQ200" s="81" t="b">
        <v>1</v>
      </c>
      <c r="AR200" s="81" t="b">
        <v>0</v>
      </c>
      <c r="AS200" s="81" t="b">
        <v>0</v>
      </c>
      <c r="AT200" s="81"/>
      <c r="AU200" s="81">
        <v>0</v>
      </c>
      <c r="AV200" s="81"/>
      <c r="AW200" s="81" t="b">
        <v>0</v>
      </c>
      <c r="AX200" s="81" t="s">
        <v>3728</v>
      </c>
      <c r="AY200" s="84" t="str">
        <f>HYPERLINK("https://twitter.com/nasibujangg")</f>
        <v>https://twitter.com/nasibujangg</v>
      </c>
      <c r="AZ200" s="81" t="s">
        <v>65</v>
      </c>
      <c r="BA200" s="2"/>
      <c r="BB200" s="3"/>
      <c r="BC200" s="3"/>
      <c r="BD200" s="3"/>
      <c r="BE200" s="3"/>
    </row>
    <row r="201" spans="1:57" x14ac:dyDescent="0.35">
      <c r="A201" s="66" t="s">
        <v>4258</v>
      </c>
      <c r="B201" s="67"/>
      <c r="C201" s="67"/>
      <c r="D201" s="68"/>
      <c r="E201" s="94"/>
      <c r="F201" s="93" t="str">
        <f>HYPERLINK("https://pbs.twimg.com/profile_images/1440914643543740422/xnjT9xTk_normal.jpg")</f>
        <v>https://pbs.twimg.com/profile_images/1440914643543740422/xnjT9xTk_normal.jpg</v>
      </c>
      <c r="G201" s="95"/>
      <c r="H201" s="71"/>
      <c r="I201" s="72"/>
      <c r="J201" s="96"/>
      <c r="K201" s="71" t="s">
        <v>11509</v>
      </c>
      <c r="L201" s="97"/>
      <c r="M201" s="76"/>
      <c r="N201" s="76"/>
      <c r="O201" s="77"/>
      <c r="P201" s="78"/>
      <c r="Q201" s="78"/>
      <c r="R201" s="92"/>
      <c r="S201" s="92"/>
      <c r="T201" s="92"/>
      <c r="U201" s="92"/>
      <c r="V201" s="52"/>
      <c r="W201" s="52"/>
      <c r="X201" s="52"/>
      <c r="Y201" s="52"/>
      <c r="Z201" s="51"/>
      <c r="AA201" s="73"/>
      <c r="AB201" s="73"/>
      <c r="AC201" s="74"/>
      <c r="AD201" s="81" t="s">
        <v>8141</v>
      </c>
      <c r="AE201" s="86" t="s">
        <v>9205</v>
      </c>
      <c r="AF201" s="81">
        <v>4089</v>
      </c>
      <c r="AG201" s="81">
        <v>682</v>
      </c>
      <c r="AH201" s="81">
        <v>34826</v>
      </c>
      <c r="AI201" s="81">
        <v>49072</v>
      </c>
      <c r="AJ201" s="81"/>
      <c r="AK201" s="81" t="s">
        <v>10161</v>
      </c>
      <c r="AL201" s="81" t="s">
        <v>11037</v>
      </c>
      <c r="AM201" s="81"/>
      <c r="AN201" s="81"/>
      <c r="AO201" s="83">
        <v>43227.514490740738</v>
      </c>
      <c r="AP201" s="84" t="str">
        <f>HYPERLINK("https://pbs.twimg.com/profile_banners/993465687808008192/1620124118")</f>
        <v>https://pbs.twimg.com/profile_banners/993465687808008192/1620124118</v>
      </c>
      <c r="AQ201" s="81" t="b">
        <v>1</v>
      </c>
      <c r="AR201" s="81" t="b">
        <v>0</v>
      </c>
      <c r="AS201" s="81" t="b">
        <v>1</v>
      </c>
      <c r="AT201" s="81"/>
      <c r="AU201" s="81">
        <v>0</v>
      </c>
      <c r="AV201" s="81"/>
      <c r="AW201" s="81" t="b">
        <v>0</v>
      </c>
      <c r="AX201" s="81" t="s">
        <v>3728</v>
      </c>
      <c r="AY201" s="84" t="str">
        <f>HYPERLINK("https://twitter.com/wanlovesaja")</f>
        <v>https://twitter.com/wanlovesaja</v>
      </c>
      <c r="AZ201" s="81" t="s">
        <v>66</v>
      </c>
      <c r="BA201" s="2"/>
      <c r="BB201" s="3"/>
      <c r="BC201" s="3"/>
      <c r="BD201" s="3"/>
      <c r="BE201" s="3"/>
    </row>
    <row r="202" spans="1:57" x14ac:dyDescent="0.35">
      <c r="A202" s="66" t="s">
        <v>4259</v>
      </c>
      <c r="B202" s="67"/>
      <c r="C202" s="67"/>
      <c r="D202" s="68"/>
      <c r="E202" s="94"/>
      <c r="F202" s="93" t="str">
        <f>HYPERLINK("https://pbs.twimg.com/profile_images/907777958399692800/jBFgjX_U_normal.jpg")</f>
        <v>https://pbs.twimg.com/profile_images/907777958399692800/jBFgjX_U_normal.jpg</v>
      </c>
      <c r="G202" s="95"/>
      <c r="H202" s="71"/>
      <c r="I202" s="72"/>
      <c r="J202" s="96"/>
      <c r="K202" s="71" t="s">
        <v>11510</v>
      </c>
      <c r="L202" s="97"/>
      <c r="M202" s="76"/>
      <c r="N202" s="76"/>
      <c r="O202" s="77"/>
      <c r="P202" s="78"/>
      <c r="Q202" s="78"/>
      <c r="R202" s="92"/>
      <c r="S202" s="92"/>
      <c r="T202" s="92"/>
      <c r="U202" s="92"/>
      <c r="V202" s="52"/>
      <c r="W202" s="52"/>
      <c r="X202" s="52"/>
      <c r="Y202" s="52"/>
      <c r="Z202" s="51"/>
      <c r="AA202" s="73"/>
      <c r="AB202" s="73"/>
      <c r="AC202" s="74"/>
      <c r="AD202" s="81" t="s">
        <v>8142</v>
      </c>
      <c r="AE202" s="86" t="s">
        <v>9206</v>
      </c>
      <c r="AF202" s="81">
        <v>446</v>
      </c>
      <c r="AG202" s="81">
        <v>976</v>
      </c>
      <c r="AH202" s="81">
        <v>211</v>
      </c>
      <c r="AI202" s="81">
        <v>37</v>
      </c>
      <c r="AJ202" s="81"/>
      <c r="AK202" s="81" t="s">
        <v>10162</v>
      </c>
      <c r="AL202" s="81" t="s">
        <v>7998</v>
      </c>
      <c r="AM202" s="84" t="str">
        <f>HYPERLINK("https://t.co/02GRSAPzDu")</f>
        <v>https://t.co/02GRSAPzDu</v>
      </c>
      <c r="AN202" s="81"/>
      <c r="AO202" s="83">
        <v>42963.098576388889</v>
      </c>
      <c r="AP202" s="84" t="str">
        <f>HYPERLINK("https://pbs.twimg.com/profile_banners/897644570095345667/1622579107")</f>
        <v>https://pbs.twimg.com/profile_banners/897644570095345667/1622579107</v>
      </c>
      <c r="AQ202" s="81" t="b">
        <v>1</v>
      </c>
      <c r="AR202" s="81" t="b">
        <v>0</v>
      </c>
      <c r="AS202" s="81" t="b">
        <v>0</v>
      </c>
      <c r="AT202" s="81"/>
      <c r="AU202" s="81">
        <v>24</v>
      </c>
      <c r="AV202" s="81"/>
      <c r="AW202" s="81" t="b">
        <v>0</v>
      </c>
      <c r="AX202" s="81" t="s">
        <v>3728</v>
      </c>
      <c r="AY202" s="84" t="str">
        <f>HYPERLINK("https://twitter.com/redegovernanca")</f>
        <v>https://twitter.com/redegovernanca</v>
      </c>
      <c r="AZ202" s="81" t="s">
        <v>66</v>
      </c>
      <c r="BA202" s="2"/>
      <c r="BB202" s="3"/>
      <c r="BC202" s="3"/>
      <c r="BD202" s="3"/>
      <c r="BE202" s="3"/>
    </row>
    <row r="203" spans="1:57" x14ac:dyDescent="0.35">
      <c r="A203" s="66" t="s">
        <v>4260</v>
      </c>
      <c r="B203" s="67"/>
      <c r="C203" s="67"/>
      <c r="D203" s="68"/>
      <c r="E203" s="94"/>
      <c r="F203" s="93" t="str">
        <f>HYPERLINK("https://pbs.twimg.com/profile_images/1356267946490933250/UnRnG4qk_normal.jpg")</f>
        <v>https://pbs.twimg.com/profile_images/1356267946490933250/UnRnG4qk_normal.jpg</v>
      </c>
      <c r="G203" s="95"/>
      <c r="H203" s="71"/>
      <c r="I203" s="72"/>
      <c r="J203" s="96"/>
      <c r="K203" s="71" t="s">
        <v>11511</v>
      </c>
      <c r="L203" s="97"/>
      <c r="M203" s="76"/>
      <c r="N203" s="76"/>
      <c r="O203" s="77"/>
      <c r="P203" s="78"/>
      <c r="Q203" s="78"/>
      <c r="R203" s="92"/>
      <c r="S203" s="92"/>
      <c r="T203" s="92"/>
      <c r="U203" s="92"/>
      <c r="V203" s="52"/>
      <c r="W203" s="52"/>
      <c r="X203" s="52"/>
      <c r="Y203" s="52"/>
      <c r="Z203" s="51"/>
      <c r="AA203" s="73"/>
      <c r="AB203" s="73"/>
      <c r="AC203" s="74"/>
      <c r="AD203" s="81" t="s">
        <v>8143</v>
      </c>
      <c r="AE203" s="86" t="s">
        <v>9207</v>
      </c>
      <c r="AF203" s="81">
        <v>99</v>
      </c>
      <c r="AG203" s="81">
        <v>107</v>
      </c>
      <c r="AH203" s="81">
        <v>45790</v>
      </c>
      <c r="AI203" s="81">
        <v>23083</v>
      </c>
      <c r="AJ203" s="81"/>
      <c r="AK203" s="81" t="s">
        <v>13923</v>
      </c>
      <c r="AL203" s="81" t="s">
        <v>11038</v>
      </c>
      <c r="AM203" s="84" t="str">
        <f>HYPERLINK("https://t.co/qveqhoBYqJ")</f>
        <v>https://t.co/qveqhoBYqJ</v>
      </c>
      <c r="AN203" s="81"/>
      <c r="AO203" s="83">
        <v>43922.644189814811</v>
      </c>
      <c r="AP203" s="84" t="str">
        <f>HYPERLINK("https://pbs.twimg.com/profile_banners/1245372231582171137/1620582418")</f>
        <v>https://pbs.twimg.com/profile_banners/1245372231582171137/1620582418</v>
      </c>
      <c r="AQ203" s="81" t="b">
        <v>1</v>
      </c>
      <c r="AR203" s="81" t="b">
        <v>0</v>
      </c>
      <c r="AS203" s="81" t="b">
        <v>1</v>
      </c>
      <c r="AT203" s="81"/>
      <c r="AU203" s="81">
        <v>5</v>
      </c>
      <c r="AV203" s="81"/>
      <c r="AW203" s="81" t="b">
        <v>0</v>
      </c>
      <c r="AX203" s="81" t="s">
        <v>3728</v>
      </c>
      <c r="AY203" s="84" t="str">
        <f>HYPERLINK("https://twitter.com/binobiasutti")</f>
        <v>https://twitter.com/binobiasutti</v>
      </c>
      <c r="AZ203" s="81" t="s">
        <v>66</v>
      </c>
      <c r="BA203" s="2"/>
      <c r="BB203" s="3"/>
      <c r="BC203" s="3"/>
      <c r="BD203" s="3"/>
      <c r="BE203" s="3"/>
    </row>
    <row r="204" spans="1:57" x14ac:dyDescent="0.35">
      <c r="A204" s="66" t="s">
        <v>5000</v>
      </c>
      <c r="B204" s="67"/>
      <c r="C204" s="67"/>
      <c r="D204" s="68"/>
      <c r="E204" s="94"/>
      <c r="F204" s="93" t="str">
        <f>HYPERLINK("https://pbs.twimg.com/profile_images/1119723820900921347/2LA6gVsj_normal.jpg")</f>
        <v>https://pbs.twimg.com/profile_images/1119723820900921347/2LA6gVsj_normal.jpg</v>
      </c>
      <c r="G204" s="95"/>
      <c r="H204" s="71"/>
      <c r="I204" s="72"/>
      <c r="J204" s="96"/>
      <c r="K204" s="71" t="s">
        <v>11512</v>
      </c>
      <c r="L204" s="97"/>
      <c r="M204" s="76"/>
      <c r="N204" s="76"/>
      <c r="O204" s="77"/>
      <c r="P204" s="78"/>
      <c r="Q204" s="78"/>
      <c r="R204" s="92"/>
      <c r="S204" s="92"/>
      <c r="T204" s="92"/>
      <c r="U204" s="92"/>
      <c r="V204" s="52"/>
      <c r="W204" s="52"/>
      <c r="X204" s="52"/>
      <c r="Y204" s="52"/>
      <c r="Z204" s="51"/>
      <c r="AA204" s="73"/>
      <c r="AB204" s="73"/>
      <c r="AC204" s="74"/>
      <c r="AD204" s="81" t="s">
        <v>8144</v>
      </c>
      <c r="AE204" s="86" t="s">
        <v>9208</v>
      </c>
      <c r="AF204" s="81">
        <v>1262</v>
      </c>
      <c r="AG204" s="81">
        <v>200</v>
      </c>
      <c r="AH204" s="81">
        <v>557</v>
      </c>
      <c r="AI204" s="81">
        <v>5234</v>
      </c>
      <c r="AJ204" s="81"/>
      <c r="AK204" s="81"/>
      <c r="AL204" s="81" t="s">
        <v>11039</v>
      </c>
      <c r="AM204" s="81"/>
      <c r="AN204" s="81"/>
      <c r="AO204" s="83">
        <v>40453.530324074076</v>
      </c>
      <c r="AP204" s="81"/>
      <c r="AQ204" s="81" t="b">
        <v>0</v>
      </c>
      <c r="AR204" s="81" t="b">
        <v>0</v>
      </c>
      <c r="AS204" s="81" t="b">
        <v>0</v>
      </c>
      <c r="AT204" s="81"/>
      <c r="AU204" s="81">
        <v>0</v>
      </c>
      <c r="AV204" s="84" t="str">
        <f>HYPERLINK("https://abs.twimg.com/images/themes/theme18/bg.gif")</f>
        <v>https://abs.twimg.com/images/themes/theme18/bg.gif</v>
      </c>
      <c r="AW204" s="81" t="b">
        <v>0</v>
      </c>
      <c r="AX204" s="81" t="s">
        <v>3728</v>
      </c>
      <c r="AY204" s="84" t="str">
        <f>HYPERLINK("https://twitter.com/victorclage")</f>
        <v>https://twitter.com/victorclage</v>
      </c>
      <c r="AZ204" s="81" t="s">
        <v>65</v>
      </c>
      <c r="BA204" s="2"/>
      <c r="BB204" s="3"/>
      <c r="BC204" s="3"/>
      <c r="BD204" s="3"/>
      <c r="BE204" s="3"/>
    </row>
    <row r="205" spans="1:57" x14ac:dyDescent="0.35">
      <c r="A205" s="66" t="s">
        <v>5001</v>
      </c>
      <c r="B205" s="67"/>
      <c r="C205" s="67"/>
      <c r="D205" s="68"/>
      <c r="E205" s="94"/>
      <c r="F205" s="93" t="str">
        <f>HYPERLINK("https://pbs.twimg.com/profile_images/1386134320151207940/SuNM7Dqo_normal.jpg")</f>
        <v>https://pbs.twimg.com/profile_images/1386134320151207940/SuNM7Dqo_normal.jpg</v>
      </c>
      <c r="G205" s="95"/>
      <c r="H205" s="71"/>
      <c r="I205" s="72"/>
      <c r="J205" s="96"/>
      <c r="K205" s="71" t="s">
        <v>11513</v>
      </c>
      <c r="L205" s="97"/>
      <c r="M205" s="76"/>
      <c r="N205" s="76"/>
      <c r="O205" s="77"/>
      <c r="P205" s="78"/>
      <c r="Q205" s="78"/>
      <c r="R205" s="92"/>
      <c r="S205" s="92"/>
      <c r="T205" s="92"/>
      <c r="U205" s="92"/>
      <c r="V205" s="52"/>
      <c r="W205" s="52"/>
      <c r="X205" s="52"/>
      <c r="Y205" s="52"/>
      <c r="Z205" s="51"/>
      <c r="AA205" s="73"/>
      <c r="AB205" s="73"/>
      <c r="AC205" s="74"/>
      <c r="AD205" s="81" t="s">
        <v>8145</v>
      </c>
      <c r="AE205" s="86" t="s">
        <v>9209</v>
      </c>
      <c r="AF205" s="81">
        <v>746</v>
      </c>
      <c r="AG205" s="81">
        <v>12267</v>
      </c>
      <c r="AH205" s="81">
        <v>3986</v>
      </c>
      <c r="AI205" s="81">
        <v>21028</v>
      </c>
      <c r="AJ205" s="81"/>
      <c r="AK205" s="81" t="s">
        <v>10163</v>
      </c>
      <c r="AL205" s="81"/>
      <c r="AM205" s="81"/>
      <c r="AN205" s="81"/>
      <c r="AO205" s="83">
        <v>44311.07304398148</v>
      </c>
      <c r="AP205" s="84" t="str">
        <f>HYPERLINK("https://pbs.twimg.com/profile_banners/1386134066794319877/1623199794")</f>
        <v>https://pbs.twimg.com/profile_banners/1386134066794319877/1623199794</v>
      </c>
      <c r="AQ205" s="81" t="b">
        <v>1</v>
      </c>
      <c r="AR205" s="81" t="b">
        <v>0</v>
      </c>
      <c r="AS205" s="81" t="b">
        <v>0</v>
      </c>
      <c r="AT205" s="81"/>
      <c r="AU205" s="81">
        <v>53</v>
      </c>
      <c r="AV205" s="81"/>
      <c r="AW205" s="81" t="b">
        <v>0</v>
      </c>
      <c r="AX205" s="81" t="s">
        <v>3728</v>
      </c>
      <c r="AY205" s="84" t="str">
        <f>HYPERLINK("https://twitter.com/moreira_uallace")</f>
        <v>https://twitter.com/moreira_uallace</v>
      </c>
      <c r="AZ205" s="81" t="s">
        <v>65</v>
      </c>
      <c r="BA205" s="2"/>
      <c r="BB205" s="3"/>
      <c r="BC205" s="3"/>
      <c r="BD205" s="3"/>
      <c r="BE205" s="3"/>
    </row>
    <row r="206" spans="1:57" x14ac:dyDescent="0.35">
      <c r="A206" s="66" t="s">
        <v>4406</v>
      </c>
      <c r="B206" s="67"/>
      <c r="C206" s="67"/>
      <c r="D206" s="68"/>
      <c r="E206" s="94"/>
      <c r="F206" s="93" t="str">
        <f>HYPERLINK("https://pbs.twimg.com/profile_images/1303856989072752640/51sHQdPt_normal.jpg")</f>
        <v>https://pbs.twimg.com/profile_images/1303856989072752640/51sHQdPt_normal.jpg</v>
      </c>
      <c r="G206" s="95"/>
      <c r="H206" s="71"/>
      <c r="I206" s="72"/>
      <c r="J206" s="96"/>
      <c r="K206" s="71" t="s">
        <v>11514</v>
      </c>
      <c r="L206" s="97"/>
      <c r="M206" s="76"/>
      <c r="N206" s="76"/>
      <c r="O206" s="77"/>
      <c r="P206" s="78"/>
      <c r="Q206" s="78"/>
      <c r="R206" s="92"/>
      <c r="S206" s="92"/>
      <c r="T206" s="92"/>
      <c r="U206" s="92"/>
      <c r="V206" s="52"/>
      <c r="W206" s="52"/>
      <c r="X206" s="52"/>
      <c r="Y206" s="52"/>
      <c r="Z206" s="51"/>
      <c r="AA206" s="73"/>
      <c r="AB206" s="73"/>
      <c r="AC206" s="74"/>
      <c r="AD206" s="81" t="s">
        <v>8146</v>
      </c>
      <c r="AE206" s="86" t="s">
        <v>9210</v>
      </c>
      <c r="AF206" s="81">
        <v>965</v>
      </c>
      <c r="AG206" s="81">
        <v>544</v>
      </c>
      <c r="AH206" s="81">
        <v>4536</v>
      </c>
      <c r="AI206" s="81">
        <v>7067</v>
      </c>
      <c r="AJ206" s="81"/>
      <c r="AK206" s="81" t="s">
        <v>10164</v>
      </c>
      <c r="AL206" s="81"/>
      <c r="AM206" s="81"/>
      <c r="AN206" s="81"/>
      <c r="AO206" s="83">
        <v>40364.980324074073</v>
      </c>
      <c r="AP206" s="84" t="str">
        <f>HYPERLINK("https://pbs.twimg.com/profile_banners/163256142/1493643671")</f>
        <v>https://pbs.twimg.com/profile_banners/163256142/1493643671</v>
      </c>
      <c r="AQ206" s="81" t="b">
        <v>0</v>
      </c>
      <c r="AR206" s="81" t="b">
        <v>0</v>
      </c>
      <c r="AS206" s="81" t="b">
        <v>0</v>
      </c>
      <c r="AT206" s="81"/>
      <c r="AU206" s="81">
        <v>5</v>
      </c>
      <c r="AV206" s="84" t="str">
        <f>HYPERLINK("https://abs.twimg.com/images/themes/theme14/bg.gif")</f>
        <v>https://abs.twimg.com/images/themes/theme14/bg.gif</v>
      </c>
      <c r="AW206" s="81" t="b">
        <v>0</v>
      </c>
      <c r="AX206" s="81" t="s">
        <v>3728</v>
      </c>
      <c r="AY206" s="84" t="str">
        <f>HYPERLINK("https://twitter.com/pedrosalt")</f>
        <v>https://twitter.com/pedrosalt</v>
      </c>
      <c r="AZ206" s="81" t="s">
        <v>66</v>
      </c>
      <c r="BA206" s="2"/>
      <c r="BB206" s="3"/>
      <c r="BC206" s="3"/>
      <c r="BD206" s="3"/>
      <c r="BE206" s="3"/>
    </row>
    <row r="207" spans="1:57" x14ac:dyDescent="0.35">
      <c r="A207" s="66" t="s">
        <v>5002</v>
      </c>
      <c r="B207" s="67"/>
      <c r="C207" s="67"/>
      <c r="D207" s="68"/>
      <c r="E207" s="94"/>
      <c r="F207" s="93" t="str">
        <f>HYPERLINK("https://abs.twimg.com/sticky/default_profile_images/default_profile_normal.png")</f>
        <v>https://abs.twimg.com/sticky/default_profile_images/default_profile_normal.png</v>
      </c>
      <c r="G207" s="95"/>
      <c r="H207" s="71"/>
      <c r="I207" s="72"/>
      <c r="J207" s="96"/>
      <c r="K207" s="71" t="s">
        <v>11515</v>
      </c>
      <c r="L207" s="97"/>
      <c r="M207" s="76"/>
      <c r="N207" s="76"/>
      <c r="O207" s="77"/>
      <c r="P207" s="78"/>
      <c r="Q207" s="78"/>
      <c r="R207" s="92"/>
      <c r="S207" s="92"/>
      <c r="T207" s="92"/>
      <c r="U207" s="92"/>
      <c r="V207" s="52"/>
      <c r="W207" s="52"/>
      <c r="X207" s="52"/>
      <c r="Y207" s="52"/>
      <c r="Z207" s="51"/>
      <c r="AA207" s="73"/>
      <c r="AB207" s="73"/>
      <c r="AC207" s="74"/>
      <c r="AD207" s="81" t="s">
        <v>8147</v>
      </c>
      <c r="AE207" s="86" t="s">
        <v>9211</v>
      </c>
      <c r="AF207" s="81">
        <v>150</v>
      </c>
      <c r="AG207" s="81">
        <v>9</v>
      </c>
      <c r="AH207" s="81">
        <v>412</v>
      </c>
      <c r="AI207" s="81">
        <v>4743</v>
      </c>
      <c r="AJ207" s="81"/>
      <c r="AK207" s="81"/>
      <c r="AL207" s="81"/>
      <c r="AM207" s="81"/>
      <c r="AN207" s="81"/>
      <c r="AO207" s="83">
        <v>44181.749236111114</v>
      </c>
      <c r="AP207" s="81"/>
      <c r="AQ207" s="81" t="b">
        <v>1</v>
      </c>
      <c r="AR207" s="81" t="b">
        <v>1</v>
      </c>
      <c r="AS207" s="81" t="b">
        <v>0</v>
      </c>
      <c r="AT207" s="81"/>
      <c r="AU207" s="81">
        <v>0</v>
      </c>
      <c r="AV207" s="81"/>
      <c r="AW207" s="81" t="b">
        <v>0</v>
      </c>
      <c r="AX207" s="81" t="s">
        <v>3728</v>
      </c>
      <c r="AY207" s="84" t="str">
        <f>HYPERLINK("https://twitter.com/devitale1")</f>
        <v>https://twitter.com/devitale1</v>
      </c>
      <c r="AZ207" s="81" t="s">
        <v>65</v>
      </c>
      <c r="BA207" s="2"/>
      <c r="BB207" s="3"/>
      <c r="BC207" s="3"/>
      <c r="BD207" s="3"/>
      <c r="BE207" s="3"/>
    </row>
    <row r="208" spans="1:57" x14ac:dyDescent="0.35">
      <c r="A208" s="66" t="s">
        <v>4407</v>
      </c>
      <c r="B208" s="67"/>
      <c r="C208" s="67"/>
      <c r="D208" s="68"/>
      <c r="E208" s="94"/>
      <c r="F208" s="93" t="str">
        <f>HYPERLINK("https://pbs.twimg.com/profile_images/1403384138133127168/SXLvYC7n_normal.jpg")</f>
        <v>https://pbs.twimg.com/profile_images/1403384138133127168/SXLvYC7n_normal.jpg</v>
      </c>
      <c r="G208" s="95"/>
      <c r="H208" s="71"/>
      <c r="I208" s="72"/>
      <c r="J208" s="96"/>
      <c r="K208" s="71" t="s">
        <v>11516</v>
      </c>
      <c r="L208" s="97"/>
      <c r="M208" s="76"/>
      <c r="N208" s="76"/>
      <c r="O208" s="77"/>
      <c r="P208" s="78"/>
      <c r="Q208" s="78"/>
      <c r="R208" s="92"/>
      <c r="S208" s="92"/>
      <c r="T208" s="92"/>
      <c r="U208" s="92"/>
      <c r="V208" s="52"/>
      <c r="W208" s="52"/>
      <c r="X208" s="52"/>
      <c r="Y208" s="52"/>
      <c r="Z208" s="51"/>
      <c r="AA208" s="73"/>
      <c r="AB208" s="73"/>
      <c r="AC208" s="74"/>
      <c r="AD208" s="81" t="s">
        <v>8148</v>
      </c>
      <c r="AE208" s="86" t="s">
        <v>9212</v>
      </c>
      <c r="AF208" s="81">
        <v>2867</v>
      </c>
      <c r="AG208" s="81">
        <v>4471</v>
      </c>
      <c r="AH208" s="81">
        <v>31269</v>
      </c>
      <c r="AI208" s="81">
        <v>35397</v>
      </c>
      <c r="AJ208" s="81"/>
      <c r="AK208" s="81" t="s">
        <v>10165</v>
      </c>
      <c r="AL208" s="81"/>
      <c r="AM208" s="84" t="str">
        <f>HYPERLINK("https://t.co/wHF7A53WbT")</f>
        <v>https://t.co/wHF7A53WbT</v>
      </c>
      <c r="AN208" s="81"/>
      <c r="AO208" s="83">
        <v>40373.0078125</v>
      </c>
      <c r="AP208" s="84" t="str">
        <f>HYPERLINK("https://pbs.twimg.com/profile_banners/166368041/1617329972")</f>
        <v>https://pbs.twimg.com/profile_banners/166368041/1617329972</v>
      </c>
      <c r="AQ208" s="81" t="b">
        <v>0</v>
      </c>
      <c r="AR208" s="81" t="b">
        <v>0</v>
      </c>
      <c r="AS208" s="81" t="b">
        <v>1</v>
      </c>
      <c r="AT208" s="81"/>
      <c r="AU208" s="81">
        <v>23</v>
      </c>
      <c r="AV208" s="84" t="str">
        <f>HYPERLINK("https://abs.twimg.com/images/themes/theme1/bg.png")</f>
        <v>https://abs.twimg.com/images/themes/theme1/bg.png</v>
      </c>
      <c r="AW208" s="81" t="b">
        <v>0</v>
      </c>
      <c r="AX208" s="81" t="s">
        <v>3728</v>
      </c>
      <c r="AY208" s="84" t="str">
        <f>HYPERLINK("https://twitter.com/danieltperes")</f>
        <v>https://twitter.com/danieltperes</v>
      </c>
      <c r="AZ208" s="81" t="s">
        <v>66</v>
      </c>
      <c r="BA208" s="2"/>
      <c r="BB208" s="3"/>
      <c r="BC208" s="3"/>
      <c r="BD208" s="3"/>
      <c r="BE208" s="3"/>
    </row>
    <row r="209" spans="1:57" x14ac:dyDescent="0.35">
      <c r="A209" s="66" t="s">
        <v>4405</v>
      </c>
      <c r="B209" s="67"/>
      <c r="C209" s="67"/>
      <c r="D209" s="68"/>
      <c r="E209" s="94"/>
      <c r="F209" s="93" t="str">
        <f>HYPERLINK("https://pbs.twimg.com/profile_images/1440311028055621636/DFStjEE5_normal.jpg")</f>
        <v>https://pbs.twimg.com/profile_images/1440311028055621636/DFStjEE5_normal.jpg</v>
      </c>
      <c r="G209" s="95"/>
      <c r="H209" s="71"/>
      <c r="I209" s="72"/>
      <c r="J209" s="96"/>
      <c r="K209" s="71" t="s">
        <v>11517</v>
      </c>
      <c r="L209" s="97"/>
      <c r="M209" s="76"/>
      <c r="N209" s="76"/>
      <c r="O209" s="77"/>
      <c r="P209" s="78"/>
      <c r="Q209" s="78"/>
      <c r="R209" s="92"/>
      <c r="S209" s="92"/>
      <c r="T209" s="92"/>
      <c r="U209" s="92"/>
      <c r="V209" s="52"/>
      <c r="W209" s="52"/>
      <c r="X209" s="52"/>
      <c r="Y209" s="52"/>
      <c r="Z209" s="51"/>
      <c r="AA209" s="73"/>
      <c r="AB209" s="73"/>
      <c r="AC209" s="74"/>
      <c r="AD209" s="81" t="s">
        <v>8149</v>
      </c>
      <c r="AE209" s="86" t="s">
        <v>9213</v>
      </c>
      <c r="AF209" s="81">
        <v>1693</v>
      </c>
      <c r="AG209" s="81">
        <v>7233</v>
      </c>
      <c r="AH209" s="81">
        <v>26511</v>
      </c>
      <c r="AI209" s="81">
        <v>17795</v>
      </c>
      <c r="AJ209" s="81"/>
      <c r="AK209" s="81" t="s">
        <v>13924</v>
      </c>
      <c r="AL209" s="81"/>
      <c r="AM209" s="84" t="str">
        <f>HYPERLINK("https://t.co/VksdboWVsg")</f>
        <v>https://t.co/VksdboWVsg</v>
      </c>
      <c r="AN209" s="81"/>
      <c r="AO209" s="83">
        <v>40463.191388888888</v>
      </c>
      <c r="AP209" s="84" t="str">
        <f>HYPERLINK("https://pbs.twimg.com/profile_banners/201579531/1631562366")</f>
        <v>https://pbs.twimg.com/profile_banners/201579531/1631562366</v>
      </c>
      <c r="AQ209" s="81" t="b">
        <v>0</v>
      </c>
      <c r="AR209" s="81" t="b">
        <v>0</v>
      </c>
      <c r="AS209" s="81" t="b">
        <v>0</v>
      </c>
      <c r="AT209" s="81"/>
      <c r="AU209" s="81">
        <v>58</v>
      </c>
      <c r="AV209" s="84" t="str">
        <f>HYPERLINK("https://abs.twimg.com/images/themes/theme3/bg.gif")</f>
        <v>https://abs.twimg.com/images/themes/theme3/bg.gif</v>
      </c>
      <c r="AW209" s="81" t="b">
        <v>0</v>
      </c>
      <c r="AX209" s="81" t="s">
        <v>3728</v>
      </c>
      <c r="AY209" s="84" t="str">
        <f>HYPERLINK("https://twitter.com/r_nagamine")</f>
        <v>https://twitter.com/r_nagamine</v>
      </c>
      <c r="AZ209" s="81" t="s">
        <v>66</v>
      </c>
      <c r="BA209" s="2"/>
      <c r="BB209" s="3"/>
      <c r="BC209" s="3"/>
      <c r="BD209" s="3"/>
      <c r="BE209" s="3"/>
    </row>
    <row r="210" spans="1:57" x14ac:dyDescent="0.35">
      <c r="A210" s="66" t="s">
        <v>4261</v>
      </c>
      <c r="B210" s="67"/>
      <c r="C210" s="67"/>
      <c r="D210" s="68"/>
      <c r="E210" s="94"/>
      <c r="F210" s="93" t="str">
        <f>HYPERLINK("https://pbs.twimg.com/profile_images/1406658518464307204/a_CIMib6_normal.jpg")</f>
        <v>https://pbs.twimg.com/profile_images/1406658518464307204/a_CIMib6_normal.jpg</v>
      </c>
      <c r="G210" s="95"/>
      <c r="H210" s="71"/>
      <c r="I210" s="72"/>
      <c r="J210" s="96"/>
      <c r="K210" s="71" t="s">
        <v>11518</v>
      </c>
      <c r="L210" s="97"/>
      <c r="M210" s="76"/>
      <c r="N210" s="76"/>
      <c r="O210" s="77"/>
      <c r="P210" s="78"/>
      <c r="Q210" s="78"/>
      <c r="R210" s="92"/>
      <c r="S210" s="92"/>
      <c r="T210" s="92"/>
      <c r="U210" s="92"/>
      <c r="V210" s="52"/>
      <c r="W210" s="52"/>
      <c r="X210" s="52"/>
      <c r="Y210" s="52"/>
      <c r="Z210" s="51"/>
      <c r="AA210" s="73"/>
      <c r="AB210" s="73"/>
      <c r="AC210" s="74"/>
      <c r="AD210" s="81" t="s">
        <v>8150</v>
      </c>
      <c r="AE210" s="86" t="s">
        <v>9214</v>
      </c>
      <c r="AF210" s="81">
        <v>995</v>
      </c>
      <c r="AG210" s="81">
        <v>4206</v>
      </c>
      <c r="AH210" s="81">
        <v>90830</v>
      </c>
      <c r="AI210" s="81">
        <v>10903</v>
      </c>
      <c r="AJ210" s="81"/>
      <c r="AK210" s="81" t="s">
        <v>10166</v>
      </c>
      <c r="AL210" s="81" t="s">
        <v>11040</v>
      </c>
      <c r="AM210" s="84" t="str">
        <f>HYPERLINK("https://t.co/YdaGR61bSL")</f>
        <v>https://t.co/YdaGR61bSL</v>
      </c>
      <c r="AN210" s="81"/>
      <c r="AO210" s="83">
        <v>39488.908854166664</v>
      </c>
      <c r="AP210" s="84" t="str">
        <f>HYPERLINK("https://pbs.twimg.com/profile_banners/13323622/1624208501")</f>
        <v>https://pbs.twimg.com/profile_banners/13323622/1624208501</v>
      </c>
      <c r="AQ210" s="81" t="b">
        <v>0</v>
      </c>
      <c r="AR210" s="81" t="b">
        <v>0</v>
      </c>
      <c r="AS210" s="81" t="b">
        <v>0</v>
      </c>
      <c r="AT210" s="81"/>
      <c r="AU210" s="81">
        <v>126</v>
      </c>
      <c r="AV210" s="84" t="str">
        <f>HYPERLINK("https://abs.twimg.com/images/themes/theme9/bg.gif")</f>
        <v>https://abs.twimg.com/images/themes/theme9/bg.gif</v>
      </c>
      <c r="AW210" s="81" t="b">
        <v>0</v>
      </c>
      <c r="AX210" s="81" t="s">
        <v>3728</v>
      </c>
      <c r="AY210" s="84" t="str">
        <f>HYPERLINK("https://twitter.com/anadefinisterra")</f>
        <v>https://twitter.com/anadefinisterra</v>
      </c>
      <c r="AZ210" s="81" t="s">
        <v>66</v>
      </c>
      <c r="BA210" s="2"/>
      <c r="BB210" s="3"/>
      <c r="BC210" s="3"/>
      <c r="BD210" s="3"/>
      <c r="BE210" s="3"/>
    </row>
    <row r="211" spans="1:57" x14ac:dyDescent="0.35">
      <c r="A211" s="66" t="s">
        <v>4262</v>
      </c>
      <c r="B211" s="67"/>
      <c r="C211" s="67"/>
      <c r="D211" s="68"/>
      <c r="E211" s="94"/>
      <c r="F211" s="93" t="str">
        <f>HYPERLINK("https://pbs.twimg.com/profile_images/1284608079099830273/Fyed7E8w_normal.jpg")</f>
        <v>https://pbs.twimg.com/profile_images/1284608079099830273/Fyed7E8w_normal.jpg</v>
      </c>
      <c r="G211" s="95"/>
      <c r="H211" s="71"/>
      <c r="I211" s="72"/>
      <c r="J211" s="96"/>
      <c r="K211" s="71" t="s">
        <v>11519</v>
      </c>
      <c r="L211" s="97"/>
      <c r="M211" s="76"/>
      <c r="N211" s="76"/>
      <c r="O211" s="77"/>
      <c r="P211" s="78"/>
      <c r="Q211" s="78"/>
      <c r="R211" s="92"/>
      <c r="S211" s="92"/>
      <c r="T211" s="92"/>
      <c r="U211" s="92"/>
      <c r="V211" s="52"/>
      <c r="W211" s="52"/>
      <c r="X211" s="52"/>
      <c r="Y211" s="52"/>
      <c r="Z211" s="51"/>
      <c r="AA211" s="73"/>
      <c r="AB211" s="73"/>
      <c r="AC211" s="74"/>
      <c r="AD211" s="81" t="s">
        <v>8151</v>
      </c>
      <c r="AE211" s="86" t="s">
        <v>9215</v>
      </c>
      <c r="AF211" s="81">
        <v>321</v>
      </c>
      <c r="AG211" s="81">
        <v>211</v>
      </c>
      <c r="AH211" s="81">
        <v>25395</v>
      </c>
      <c r="AI211" s="81">
        <v>31901</v>
      </c>
      <c r="AJ211" s="81"/>
      <c r="AK211" s="81" t="s">
        <v>10167</v>
      </c>
      <c r="AL211" s="81"/>
      <c r="AM211" s="81"/>
      <c r="AN211" s="81"/>
      <c r="AO211" s="83">
        <v>41583.765324074076</v>
      </c>
      <c r="AP211" s="84" t="str">
        <f>HYPERLINK("https://pbs.twimg.com/profile_banners/2176570934/1595109382")</f>
        <v>https://pbs.twimg.com/profile_banners/2176570934/1595109382</v>
      </c>
      <c r="AQ211" s="81" t="b">
        <v>1</v>
      </c>
      <c r="AR211" s="81" t="b">
        <v>0</v>
      </c>
      <c r="AS211" s="81" t="b">
        <v>1</v>
      </c>
      <c r="AT211" s="81"/>
      <c r="AU211" s="81">
        <v>7</v>
      </c>
      <c r="AV211" s="84" t="str">
        <f>HYPERLINK("https://abs.twimg.com/images/themes/theme1/bg.png")</f>
        <v>https://abs.twimg.com/images/themes/theme1/bg.png</v>
      </c>
      <c r="AW211" s="81" t="b">
        <v>0</v>
      </c>
      <c r="AX211" s="81" t="s">
        <v>3728</v>
      </c>
      <c r="AY211" s="84" t="str">
        <f>HYPERLINK("https://twitter.com/alanildo_geo")</f>
        <v>https://twitter.com/alanildo_geo</v>
      </c>
      <c r="AZ211" s="81" t="s">
        <v>66</v>
      </c>
      <c r="BA211" s="2"/>
      <c r="BB211" s="3"/>
      <c r="BC211" s="3"/>
      <c r="BD211" s="3"/>
      <c r="BE211" s="3"/>
    </row>
    <row r="212" spans="1:57" x14ac:dyDescent="0.35">
      <c r="A212" s="66" t="s">
        <v>4263</v>
      </c>
      <c r="B212" s="67"/>
      <c r="C212" s="67"/>
      <c r="D212" s="68"/>
      <c r="E212" s="94"/>
      <c r="F212" s="93" t="str">
        <f>HYPERLINK("https://pbs.twimg.com/profile_images/1294479274859266050/0IFnBAId_normal.jpg")</f>
        <v>https://pbs.twimg.com/profile_images/1294479274859266050/0IFnBAId_normal.jpg</v>
      </c>
      <c r="G212" s="95"/>
      <c r="H212" s="71"/>
      <c r="I212" s="72"/>
      <c r="J212" s="96"/>
      <c r="K212" s="71" t="s">
        <v>11520</v>
      </c>
      <c r="L212" s="97"/>
      <c r="M212" s="76"/>
      <c r="N212" s="76"/>
      <c r="O212" s="77"/>
      <c r="P212" s="78"/>
      <c r="Q212" s="78"/>
      <c r="R212" s="92"/>
      <c r="S212" s="92"/>
      <c r="T212" s="92"/>
      <c r="U212" s="92"/>
      <c r="V212" s="52"/>
      <c r="W212" s="52"/>
      <c r="X212" s="52"/>
      <c r="Y212" s="52"/>
      <c r="Z212" s="51"/>
      <c r="AA212" s="73"/>
      <c r="AB212" s="73"/>
      <c r="AC212" s="74"/>
      <c r="AD212" s="81" t="s">
        <v>8152</v>
      </c>
      <c r="AE212" s="86" t="s">
        <v>9216</v>
      </c>
      <c r="AF212" s="81">
        <v>1358</v>
      </c>
      <c r="AG212" s="81">
        <v>661</v>
      </c>
      <c r="AH212" s="81">
        <v>42692</v>
      </c>
      <c r="AI212" s="81">
        <v>160525</v>
      </c>
      <c r="AJ212" s="81"/>
      <c r="AK212" s="81" t="s">
        <v>10168</v>
      </c>
      <c r="AL212" s="81" t="s">
        <v>11041</v>
      </c>
      <c r="AM212" s="84" t="str">
        <f>HYPERLINK("https://t.co/5bgWtCj2oH")</f>
        <v>https://t.co/5bgWtCj2oH</v>
      </c>
      <c r="AN212" s="81"/>
      <c r="AO212" s="83">
        <v>40213.086967592593</v>
      </c>
      <c r="AP212" s="84" t="str">
        <f>HYPERLINK("https://pbs.twimg.com/profile_banners/111182770/1597617609")</f>
        <v>https://pbs.twimg.com/profile_banners/111182770/1597617609</v>
      </c>
      <c r="AQ212" s="81" t="b">
        <v>0</v>
      </c>
      <c r="AR212" s="81" t="b">
        <v>0</v>
      </c>
      <c r="AS212" s="81" t="b">
        <v>1</v>
      </c>
      <c r="AT212" s="81"/>
      <c r="AU212" s="81">
        <v>1</v>
      </c>
      <c r="AV212" s="84" t="str">
        <f>HYPERLINK("https://abs.twimg.com/images/themes/theme1/bg.png")</f>
        <v>https://abs.twimg.com/images/themes/theme1/bg.png</v>
      </c>
      <c r="AW212" s="81" t="b">
        <v>0</v>
      </c>
      <c r="AX212" s="81" t="s">
        <v>3728</v>
      </c>
      <c r="AY212" s="84" t="str">
        <f>HYPERLINK("https://twitter.com/brendacarduus")</f>
        <v>https://twitter.com/brendacarduus</v>
      </c>
      <c r="AZ212" s="81" t="s">
        <v>66</v>
      </c>
      <c r="BA212" s="2"/>
      <c r="BB212" s="3"/>
      <c r="BC212" s="3"/>
      <c r="BD212" s="3"/>
      <c r="BE212" s="3"/>
    </row>
    <row r="213" spans="1:57" x14ac:dyDescent="0.35">
      <c r="A213" s="66" t="s">
        <v>279</v>
      </c>
      <c r="B213" s="67"/>
      <c r="C213" s="67"/>
      <c r="D213" s="68"/>
      <c r="E213" s="94"/>
      <c r="F213" s="93" t="str">
        <f>HYPERLINK("https://pbs.twimg.com/profile_images/1439066370121998339/4OO-_k32_normal.jpg")</f>
        <v>https://pbs.twimg.com/profile_images/1439066370121998339/4OO-_k32_normal.jpg</v>
      </c>
      <c r="G213" s="95"/>
      <c r="H213" s="71"/>
      <c r="I213" s="72"/>
      <c r="J213" s="96"/>
      <c r="K213" s="71" t="s">
        <v>3818</v>
      </c>
      <c r="L213" s="97"/>
      <c r="M213" s="76"/>
      <c r="N213" s="76"/>
      <c r="O213" s="77"/>
      <c r="P213" s="78"/>
      <c r="Q213" s="78"/>
      <c r="R213" s="92"/>
      <c r="S213" s="92"/>
      <c r="T213" s="92"/>
      <c r="U213" s="92"/>
      <c r="V213" s="52"/>
      <c r="W213" s="52"/>
      <c r="X213" s="52"/>
      <c r="Y213" s="52"/>
      <c r="Z213" s="51"/>
      <c r="AA213" s="73"/>
      <c r="AB213" s="73"/>
      <c r="AC213" s="74"/>
      <c r="AD213" s="81" t="s">
        <v>2329</v>
      </c>
      <c r="AE213" s="86" t="s">
        <v>2760</v>
      </c>
      <c r="AF213" s="81">
        <v>451</v>
      </c>
      <c r="AG213" s="81">
        <v>263</v>
      </c>
      <c r="AH213" s="81">
        <v>15830</v>
      </c>
      <c r="AI213" s="81">
        <v>4019</v>
      </c>
      <c r="AJ213" s="81"/>
      <c r="AK213" s="81" t="s">
        <v>3162</v>
      </c>
      <c r="AL213" s="81" t="s">
        <v>3567</v>
      </c>
      <c r="AM213" s="81"/>
      <c r="AN213" s="81"/>
      <c r="AO213" s="83">
        <v>43224.548020833332</v>
      </c>
      <c r="AP213" s="84" t="str">
        <f>HYPERLINK("https://pbs.twimg.com/profile_banners/992390676326199296/1588920729")</f>
        <v>https://pbs.twimg.com/profile_banners/992390676326199296/1588920729</v>
      </c>
      <c r="AQ213" s="81" t="b">
        <v>1</v>
      </c>
      <c r="AR213" s="81" t="b">
        <v>0</v>
      </c>
      <c r="AS213" s="81" t="b">
        <v>1</v>
      </c>
      <c r="AT213" s="81"/>
      <c r="AU213" s="81">
        <v>0</v>
      </c>
      <c r="AV213" s="81"/>
      <c r="AW213" s="81" t="b">
        <v>0</v>
      </c>
      <c r="AX213" s="81" t="s">
        <v>3728</v>
      </c>
      <c r="AY213" s="84" t="str">
        <f>HYPERLINK("https://twitter.com/dw_sardjono")</f>
        <v>https://twitter.com/dw_sardjono</v>
      </c>
      <c r="AZ213" s="81" t="s">
        <v>66</v>
      </c>
      <c r="BA213" s="2"/>
      <c r="BB213" s="3"/>
      <c r="BC213" s="3"/>
      <c r="BD213" s="3"/>
      <c r="BE213" s="3"/>
    </row>
    <row r="214" spans="1:57" x14ac:dyDescent="0.35">
      <c r="A214" s="66" t="s">
        <v>332</v>
      </c>
      <c r="B214" s="67"/>
      <c r="C214" s="67"/>
      <c r="D214" s="68"/>
      <c r="E214" s="94"/>
      <c r="F214" s="93" t="str">
        <f>HYPERLINK("https://pbs.twimg.com/profile_images/1429581706739150848/tu3hLDpN_normal.jpg")</f>
        <v>https://pbs.twimg.com/profile_images/1429581706739150848/tu3hLDpN_normal.jpg</v>
      </c>
      <c r="G214" s="95"/>
      <c r="H214" s="71"/>
      <c r="I214" s="72"/>
      <c r="J214" s="96"/>
      <c r="K214" s="71" t="s">
        <v>3819</v>
      </c>
      <c r="L214" s="97"/>
      <c r="M214" s="76"/>
      <c r="N214" s="76"/>
      <c r="O214" s="77"/>
      <c r="P214" s="78"/>
      <c r="Q214" s="78"/>
      <c r="R214" s="92"/>
      <c r="S214" s="92"/>
      <c r="T214" s="92"/>
      <c r="U214" s="92"/>
      <c r="V214" s="52"/>
      <c r="W214" s="52"/>
      <c r="X214" s="52"/>
      <c r="Y214" s="52"/>
      <c r="Z214" s="51"/>
      <c r="AA214" s="73"/>
      <c r="AB214" s="73"/>
      <c r="AC214" s="74"/>
      <c r="AD214" s="81" t="s">
        <v>2330</v>
      </c>
      <c r="AE214" s="86" t="s">
        <v>2761</v>
      </c>
      <c r="AF214" s="81">
        <v>1203</v>
      </c>
      <c r="AG214" s="81">
        <v>1776</v>
      </c>
      <c r="AH214" s="81">
        <v>2268</v>
      </c>
      <c r="AI214" s="81">
        <v>3049</v>
      </c>
      <c r="AJ214" s="81"/>
      <c r="AK214" s="81" t="s">
        <v>3163</v>
      </c>
      <c r="AL214" s="81" t="s">
        <v>2202</v>
      </c>
      <c r="AM214" s="81"/>
      <c r="AN214" s="81"/>
      <c r="AO214" s="83">
        <v>43609.927349537036</v>
      </c>
      <c r="AP214" s="84" t="str">
        <f>HYPERLINK("https://pbs.twimg.com/profile_banners/1132047468269572097/1632378579")</f>
        <v>https://pbs.twimg.com/profile_banners/1132047468269572097/1632378579</v>
      </c>
      <c r="AQ214" s="81" t="b">
        <v>1</v>
      </c>
      <c r="AR214" s="81" t="b">
        <v>0</v>
      </c>
      <c r="AS214" s="81" t="b">
        <v>0</v>
      </c>
      <c r="AT214" s="81"/>
      <c r="AU214" s="81">
        <v>5</v>
      </c>
      <c r="AV214" s="81"/>
      <c r="AW214" s="81" t="b">
        <v>0</v>
      </c>
      <c r="AX214" s="81" t="s">
        <v>3728</v>
      </c>
      <c r="AY214" s="84" t="str">
        <f>HYPERLINK("https://twitter.com/andrifigfarm")</f>
        <v>https://twitter.com/andrifigfarm</v>
      </c>
      <c r="AZ214" s="81" t="s">
        <v>66</v>
      </c>
      <c r="BA214" s="2"/>
      <c r="BB214" s="3"/>
      <c r="BC214" s="3"/>
      <c r="BD214" s="3"/>
      <c r="BE214" s="3"/>
    </row>
    <row r="215" spans="1:57" x14ac:dyDescent="0.35">
      <c r="A215" s="66" t="s">
        <v>280</v>
      </c>
      <c r="B215" s="67"/>
      <c r="C215" s="67"/>
      <c r="D215" s="68"/>
      <c r="E215" s="94"/>
      <c r="F215" s="93" t="str">
        <f>HYPERLINK("https://pbs.twimg.com/profile_images/1437989387069919238/liajAcnY_normal.jpg")</f>
        <v>https://pbs.twimg.com/profile_images/1437989387069919238/liajAcnY_normal.jpg</v>
      </c>
      <c r="G215" s="95"/>
      <c r="H215" s="71"/>
      <c r="I215" s="72"/>
      <c r="J215" s="96"/>
      <c r="K215" s="71" t="s">
        <v>3821</v>
      </c>
      <c r="L215" s="97"/>
      <c r="M215" s="76"/>
      <c r="N215" s="76"/>
      <c r="O215" s="77"/>
      <c r="P215" s="78"/>
      <c r="Q215" s="78"/>
      <c r="R215" s="92"/>
      <c r="S215" s="92"/>
      <c r="T215" s="92"/>
      <c r="U215" s="92"/>
      <c r="V215" s="52"/>
      <c r="W215" s="52"/>
      <c r="X215" s="52"/>
      <c r="Y215" s="52"/>
      <c r="Z215" s="51"/>
      <c r="AA215" s="73"/>
      <c r="AB215" s="73"/>
      <c r="AC215" s="74"/>
      <c r="AD215" s="81" t="s">
        <v>2331</v>
      </c>
      <c r="AE215" s="86" t="s">
        <v>2762</v>
      </c>
      <c r="AF215" s="81">
        <v>397</v>
      </c>
      <c r="AG215" s="81">
        <v>494</v>
      </c>
      <c r="AH215" s="81">
        <v>19631</v>
      </c>
      <c r="AI215" s="81">
        <v>3959</v>
      </c>
      <c r="AJ215" s="81"/>
      <c r="AK215" s="81" t="s">
        <v>3165</v>
      </c>
      <c r="AL215" s="81" t="s">
        <v>3570</v>
      </c>
      <c r="AM215" s="81"/>
      <c r="AN215" s="81"/>
      <c r="AO215" s="83">
        <v>40298.434236111112</v>
      </c>
      <c r="AP215" s="84" t="str">
        <f>HYPERLINK("https://pbs.twimg.com/profile_banners/138709003/1367502355")</f>
        <v>https://pbs.twimg.com/profile_banners/138709003/1367502355</v>
      </c>
      <c r="AQ215" s="81" t="b">
        <v>0</v>
      </c>
      <c r="AR215" s="81" t="b">
        <v>0</v>
      </c>
      <c r="AS215" s="81" t="b">
        <v>1</v>
      </c>
      <c r="AT215" s="81"/>
      <c r="AU215" s="81">
        <v>0</v>
      </c>
      <c r="AV215" s="84" t="str">
        <f>HYPERLINK("https://abs.twimg.com/images/themes/theme2/bg.gif")</f>
        <v>https://abs.twimg.com/images/themes/theme2/bg.gif</v>
      </c>
      <c r="AW215" s="81" t="b">
        <v>0</v>
      </c>
      <c r="AX215" s="81" t="s">
        <v>3728</v>
      </c>
      <c r="AY215" s="84" t="str">
        <f>HYPERLINK("https://twitter.com/pinknjill")</f>
        <v>https://twitter.com/pinknjill</v>
      </c>
      <c r="AZ215" s="81" t="s">
        <v>66</v>
      </c>
      <c r="BA215" s="2"/>
      <c r="BB215" s="3"/>
      <c r="BC215" s="3"/>
      <c r="BD215" s="3"/>
      <c r="BE215" s="3"/>
    </row>
    <row r="216" spans="1:57" x14ac:dyDescent="0.35">
      <c r="A216" s="66" t="s">
        <v>603</v>
      </c>
      <c r="B216" s="67"/>
      <c r="C216" s="67"/>
      <c r="D216" s="68"/>
      <c r="E216" s="94"/>
      <c r="F216" s="93" t="str">
        <f>HYPERLINK("https://pbs.twimg.com/profile_images/1381046995322765316/HsI_FiWI_normal.jpg")</f>
        <v>https://pbs.twimg.com/profile_images/1381046995322765316/HsI_FiWI_normal.jpg</v>
      </c>
      <c r="G216" s="95"/>
      <c r="H216" s="71"/>
      <c r="I216" s="72"/>
      <c r="J216" s="96"/>
      <c r="K216" s="71" t="s">
        <v>3733</v>
      </c>
      <c r="L216" s="97"/>
      <c r="M216" s="76"/>
      <c r="N216" s="76"/>
      <c r="O216" s="77"/>
      <c r="P216" s="78"/>
      <c r="Q216" s="78"/>
      <c r="R216" s="92"/>
      <c r="S216" s="92"/>
      <c r="T216" s="92"/>
      <c r="U216" s="92"/>
      <c r="V216" s="52"/>
      <c r="W216" s="52"/>
      <c r="X216" s="52"/>
      <c r="Y216" s="52"/>
      <c r="Z216" s="51"/>
      <c r="AA216" s="73"/>
      <c r="AB216" s="73"/>
      <c r="AC216" s="74"/>
      <c r="AD216" s="81" t="s">
        <v>2243</v>
      </c>
      <c r="AE216" s="86" t="s">
        <v>2085</v>
      </c>
      <c r="AF216" s="81">
        <v>9205</v>
      </c>
      <c r="AG216" s="81">
        <v>349735</v>
      </c>
      <c r="AH216" s="81">
        <v>299368</v>
      </c>
      <c r="AI216" s="81">
        <v>71</v>
      </c>
      <c r="AJ216" s="81"/>
      <c r="AK216" s="81" t="s">
        <v>3083</v>
      </c>
      <c r="AL216" s="81" t="s">
        <v>2202</v>
      </c>
      <c r="AM216" s="84" t="str">
        <f>HYPERLINK("https://t.co/7w34iMSZPo")</f>
        <v>https://t.co/7w34iMSZPo</v>
      </c>
      <c r="AN216" s="81"/>
      <c r="AO216" s="83">
        <v>42530.604479166665</v>
      </c>
      <c r="AP216" s="84" t="str">
        <f>HYPERLINK("https://pbs.twimg.com/profile_banners/740913957293068289/1619878705")</f>
        <v>https://pbs.twimg.com/profile_banners/740913957293068289/1619878705</v>
      </c>
      <c r="AQ216" s="81" t="b">
        <v>1</v>
      </c>
      <c r="AR216" s="81" t="b">
        <v>0</v>
      </c>
      <c r="AS216" s="81" t="b">
        <v>0</v>
      </c>
      <c r="AT216" s="81"/>
      <c r="AU216" s="81">
        <v>1680</v>
      </c>
      <c r="AV216" s="81"/>
      <c r="AW216" s="81" t="b">
        <v>0</v>
      </c>
      <c r="AX216" s="81" t="s">
        <v>3728</v>
      </c>
      <c r="AY216" s="84" t="str">
        <f>HYPERLINK("https://twitter.com/bertanyarl")</f>
        <v>https://twitter.com/bertanyarl</v>
      </c>
      <c r="AZ216" s="81" t="s">
        <v>65</v>
      </c>
      <c r="BA216" s="2"/>
      <c r="BB216" s="3"/>
      <c r="BC216" s="3"/>
      <c r="BD216" s="3"/>
      <c r="BE216" s="3"/>
    </row>
    <row r="217" spans="1:57" x14ac:dyDescent="0.35">
      <c r="A217" s="66" t="s">
        <v>281</v>
      </c>
      <c r="B217" s="67"/>
      <c r="C217" s="67"/>
      <c r="D217" s="68"/>
      <c r="E217" s="94"/>
      <c r="F217" s="93" t="str">
        <f>HYPERLINK("https://pbs.twimg.com/profile_images/1431288888526475267/YKca9AZy_normal.jpg")</f>
        <v>https://pbs.twimg.com/profile_images/1431288888526475267/YKca9AZy_normal.jpg</v>
      </c>
      <c r="G217" s="95"/>
      <c r="H217" s="71"/>
      <c r="I217" s="72"/>
      <c r="J217" s="96"/>
      <c r="K217" s="71" t="s">
        <v>3822</v>
      </c>
      <c r="L217" s="97"/>
      <c r="M217" s="76"/>
      <c r="N217" s="76"/>
      <c r="O217" s="77"/>
      <c r="P217" s="78"/>
      <c r="Q217" s="78"/>
      <c r="R217" s="92"/>
      <c r="S217" s="92"/>
      <c r="T217" s="92"/>
      <c r="U217" s="92"/>
      <c r="V217" s="52"/>
      <c r="W217" s="52"/>
      <c r="X217" s="52"/>
      <c r="Y217" s="52"/>
      <c r="Z217" s="51"/>
      <c r="AA217" s="73"/>
      <c r="AB217" s="73"/>
      <c r="AC217" s="74"/>
      <c r="AD217" s="81" t="s">
        <v>2333</v>
      </c>
      <c r="AE217" s="86" t="s">
        <v>2763</v>
      </c>
      <c r="AF217" s="81">
        <v>137</v>
      </c>
      <c r="AG217" s="81">
        <v>28</v>
      </c>
      <c r="AH217" s="81">
        <v>1202</v>
      </c>
      <c r="AI217" s="81">
        <v>5287</v>
      </c>
      <c r="AJ217" s="81"/>
      <c r="AK217" s="81" t="s">
        <v>3166</v>
      </c>
      <c r="AL217" s="81" t="s">
        <v>3571</v>
      </c>
      <c r="AM217" s="81"/>
      <c r="AN217" s="81"/>
      <c r="AO217" s="83">
        <v>42854.586180555554</v>
      </c>
      <c r="AP217" s="84" t="str">
        <f>HYPERLINK("https://pbs.twimg.com/profile_banners/858320994426945536/1498673503")</f>
        <v>https://pbs.twimg.com/profile_banners/858320994426945536/1498673503</v>
      </c>
      <c r="AQ217" s="81" t="b">
        <v>1</v>
      </c>
      <c r="AR217" s="81" t="b">
        <v>0</v>
      </c>
      <c r="AS217" s="81" t="b">
        <v>0</v>
      </c>
      <c r="AT217" s="81"/>
      <c r="AU217" s="81">
        <v>0</v>
      </c>
      <c r="AV217" s="81"/>
      <c r="AW217" s="81" t="b">
        <v>0</v>
      </c>
      <c r="AX217" s="81" t="s">
        <v>3728</v>
      </c>
      <c r="AY217" s="84" t="str">
        <f>HYPERLINK("https://twitter.com/ahjoss10")</f>
        <v>https://twitter.com/ahjoss10</v>
      </c>
      <c r="AZ217" s="81" t="s">
        <v>66</v>
      </c>
      <c r="BA217" s="2"/>
      <c r="BB217" s="3"/>
      <c r="BC217" s="3"/>
      <c r="BD217" s="3"/>
      <c r="BE217" s="3"/>
    </row>
    <row r="218" spans="1:57" x14ac:dyDescent="0.35">
      <c r="A218" s="66" t="s">
        <v>4264</v>
      </c>
      <c r="B218" s="67"/>
      <c r="C218" s="67"/>
      <c r="D218" s="68"/>
      <c r="E218" s="94"/>
      <c r="F218" s="93" t="str">
        <f>HYPERLINK("https://pbs.twimg.com/profile_images/1401944444203581443/NCBGfWyY_normal.jpg")</f>
        <v>https://pbs.twimg.com/profile_images/1401944444203581443/NCBGfWyY_normal.jpg</v>
      </c>
      <c r="G218" s="95"/>
      <c r="H218" s="71"/>
      <c r="I218" s="72"/>
      <c r="J218" s="96"/>
      <c r="K218" s="71" t="s">
        <v>11521</v>
      </c>
      <c r="L218" s="97"/>
      <c r="M218" s="76"/>
      <c r="N218" s="76"/>
      <c r="O218" s="77"/>
      <c r="P218" s="78"/>
      <c r="Q218" s="78"/>
      <c r="R218" s="92"/>
      <c r="S218" s="92"/>
      <c r="T218" s="92"/>
      <c r="U218" s="92"/>
      <c r="V218" s="52"/>
      <c r="W218" s="52"/>
      <c r="X218" s="52"/>
      <c r="Y218" s="52"/>
      <c r="Z218" s="51"/>
      <c r="AA218" s="73"/>
      <c r="AB218" s="73"/>
      <c r="AC218" s="74"/>
      <c r="AD218" s="81" t="s">
        <v>8153</v>
      </c>
      <c r="AE218" s="86" t="s">
        <v>9217</v>
      </c>
      <c r="AF218" s="81">
        <v>236</v>
      </c>
      <c r="AG218" s="81">
        <v>46</v>
      </c>
      <c r="AH218" s="81">
        <v>539</v>
      </c>
      <c r="AI218" s="81">
        <v>1353</v>
      </c>
      <c r="AJ218" s="81"/>
      <c r="AK218" s="81" t="s">
        <v>10169</v>
      </c>
      <c r="AL218" s="81" t="s">
        <v>11042</v>
      </c>
      <c r="AM218" s="81"/>
      <c r="AN218" s="81"/>
      <c r="AO218" s="83">
        <v>44010.085474537038</v>
      </c>
      <c r="AP218" s="84" t="str">
        <f>HYPERLINK("https://pbs.twimg.com/profile_banners/1277059574202281985/1593573430")</f>
        <v>https://pbs.twimg.com/profile_banners/1277059574202281985/1593573430</v>
      </c>
      <c r="AQ218" s="81" t="b">
        <v>1</v>
      </c>
      <c r="AR218" s="81" t="b">
        <v>0</v>
      </c>
      <c r="AS218" s="81" t="b">
        <v>0</v>
      </c>
      <c r="AT218" s="81"/>
      <c r="AU218" s="81">
        <v>1</v>
      </c>
      <c r="AV218" s="81"/>
      <c r="AW218" s="81" t="b">
        <v>0</v>
      </c>
      <c r="AX218" s="81" t="s">
        <v>3728</v>
      </c>
      <c r="AY218" s="84" t="str">
        <f>HYPERLINK("https://twitter.com/dinoancap")</f>
        <v>https://twitter.com/dinoancap</v>
      </c>
      <c r="AZ218" s="81" t="s">
        <v>66</v>
      </c>
      <c r="BA218" s="2"/>
      <c r="BB218" s="3"/>
      <c r="BC218" s="3"/>
      <c r="BD218" s="3"/>
      <c r="BE218" s="3"/>
    </row>
    <row r="219" spans="1:57" x14ac:dyDescent="0.35">
      <c r="A219" s="66" t="s">
        <v>282</v>
      </c>
      <c r="B219" s="67"/>
      <c r="C219" s="67"/>
      <c r="D219" s="68"/>
      <c r="E219" s="94"/>
      <c r="F219" s="93" t="str">
        <f>HYPERLINK("https://pbs.twimg.com/profile_images/1174350558120927232/3PqpMBwT_normal.jpg")</f>
        <v>https://pbs.twimg.com/profile_images/1174350558120927232/3PqpMBwT_normal.jpg</v>
      </c>
      <c r="G219" s="95"/>
      <c r="H219" s="71"/>
      <c r="I219" s="72"/>
      <c r="J219" s="96"/>
      <c r="K219" s="71" t="s">
        <v>3823</v>
      </c>
      <c r="L219" s="97"/>
      <c r="M219" s="76"/>
      <c r="N219" s="76"/>
      <c r="O219" s="77"/>
      <c r="P219" s="78"/>
      <c r="Q219" s="78"/>
      <c r="R219" s="92"/>
      <c r="S219" s="92"/>
      <c r="T219" s="92"/>
      <c r="U219" s="92"/>
      <c r="V219" s="52"/>
      <c r="W219" s="52"/>
      <c r="X219" s="52"/>
      <c r="Y219" s="52"/>
      <c r="Z219" s="51"/>
      <c r="AA219" s="73"/>
      <c r="AB219" s="73"/>
      <c r="AC219" s="74"/>
      <c r="AD219" s="81" t="s">
        <v>2334</v>
      </c>
      <c r="AE219" s="86" t="s">
        <v>2102</v>
      </c>
      <c r="AF219" s="81">
        <v>618</v>
      </c>
      <c r="AG219" s="81">
        <v>985</v>
      </c>
      <c r="AH219" s="81">
        <v>59962</v>
      </c>
      <c r="AI219" s="81">
        <v>7095</v>
      </c>
      <c r="AJ219" s="81"/>
      <c r="AK219" s="81" t="s">
        <v>3167</v>
      </c>
      <c r="AL219" s="81"/>
      <c r="AM219" s="84" t="str">
        <f>HYPERLINK("https://t.co/rkS1sIxDN6")</f>
        <v>https://t.co/rkS1sIxDN6</v>
      </c>
      <c r="AN219" s="81"/>
      <c r="AO219" s="83">
        <v>41212.427523148152</v>
      </c>
      <c r="AP219" s="84" t="str">
        <f>HYPERLINK("https://pbs.twimg.com/profile_banners/914312904/1510272105")</f>
        <v>https://pbs.twimg.com/profile_banners/914312904/1510272105</v>
      </c>
      <c r="AQ219" s="81" t="b">
        <v>0</v>
      </c>
      <c r="AR219" s="81" t="b">
        <v>0</v>
      </c>
      <c r="AS219" s="81" t="b">
        <v>1</v>
      </c>
      <c r="AT219" s="81"/>
      <c r="AU219" s="81">
        <v>3</v>
      </c>
      <c r="AV219" s="84" t="str">
        <f>HYPERLINK("https://abs.twimg.com/images/themes/theme1/bg.png")</f>
        <v>https://abs.twimg.com/images/themes/theme1/bg.png</v>
      </c>
      <c r="AW219" s="81" t="b">
        <v>0</v>
      </c>
      <c r="AX219" s="81" t="s">
        <v>3728</v>
      </c>
      <c r="AY219" s="84" t="str">
        <f>HYPERLINK("https://twitter.com/ateynnnn")</f>
        <v>https://twitter.com/ateynnnn</v>
      </c>
      <c r="AZ219" s="81" t="s">
        <v>66</v>
      </c>
      <c r="BA219" s="2"/>
      <c r="BB219" s="3"/>
      <c r="BC219" s="3"/>
      <c r="BD219" s="3"/>
      <c r="BE219" s="3"/>
    </row>
    <row r="220" spans="1:57" x14ac:dyDescent="0.35">
      <c r="A220" s="66" t="s">
        <v>628</v>
      </c>
      <c r="B220" s="67"/>
      <c r="C220" s="67"/>
      <c r="D220" s="68"/>
      <c r="E220" s="94"/>
      <c r="F220" s="93" t="str">
        <f>HYPERLINK("https://pbs.twimg.com/profile_images/1428331521065197575/bFTza2hS_normal.jpg")</f>
        <v>https://pbs.twimg.com/profile_images/1428331521065197575/bFTza2hS_normal.jpg</v>
      </c>
      <c r="G220" s="95"/>
      <c r="H220" s="71"/>
      <c r="I220" s="72"/>
      <c r="J220" s="96"/>
      <c r="K220" s="71" t="s">
        <v>3824</v>
      </c>
      <c r="L220" s="97"/>
      <c r="M220" s="76"/>
      <c r="N220" s="76"/>
      <c r="O220" s="77"/>
      <c r="P220" s="78"/>
      <c r="Q220" s="78"/>
      <c r="R220" s="92"/>
      <c r="S220" s="92"/>
      <c r="T220" s="92"/>
      <c r="U220" s="92"/>
      <c r="V220" s="52"/>
      <c r="W220" s="52"/>
      <c r="X220" s="52"/>
      <c r="Y220" s="52"/>
      <c r="Z220" s="51"/>
      <c r="AA220" s="73"/>
      <c r="AB220" s="73"/>
      <c r="AC220" s="74"/>
      <c r="AD220" s="81" t="s">
        <v>2335</v>
      </c>
      <c r="AE220" s="86" t="s">
        <v>2101</v>
      </c>
      <c r="AF220" s="81">
        <v>528</v>
      </c>
      <c r="AG220" s="81">
        <v>462</v>
      </c>
      <c r="AH220" s="81">
        <v>31307</v>
      </c>
      <c r="AI220" s="81">
        <v>4228</v>
      </c>
      <c r="AJ220" s="81"/>
      <c r="AK220" s="81" t="s">
        <v>3168</v>
      </c>
      <c r="AL220" s="81">
        <v>48000</v>
      </c>
      <c r="AM220" s="84" t="str">
        <f>HYPERLINK("https://t.co/ypg2yrBxBS")</f>
        <v>https://t.co/ypg2yrBxBS</v>
      </c>
      <c r="AN220" s="81"/>
      <c r="AO220" s="83">
        <v>41012.941770833335</v>
      </c>
      <c r="AP220" s="84" t="str">
        <f>HYPERLINK("https://pbs.twimg.com/profile_banners/553058561/1600970207")</f>
        <v>https://pbs.twimg.com/profile_banners/553058561/1600970207</v>
      </c>
      <c r="AQ220" s="81" t="b">
        <v>0</v>
      </c>
      <c r="AR220" s="81" t="b">
        <v>0</v>
      </c>
      <c r="AS220" s="81" t="b">
        <v>1</v>
      </c>
      <c r="AT220" s="81"/>
      <c r="AU220" s="81">
        <v>0</v>
      </c>
      <c r="AV220" s="84" t="str">
        <f>HYPERLINK("https://abs.twimg.com/images/themes/theme4/bg.gif")</f>
        <v>https://abs.twimg.com/images/themes/theme4/bg.gif</v>
      </c>
      <c r="AW220" s="81" t="b">
        <v>0</v>
      </c>
      <c r="AX220" s="81" t="s">
        <v>3728</v>
      </c>
      <c r="AY220" s="84" t="str">
        <f>HYPERLINK("https://twitter.com/nurulhidayah_94")</f>
        <v>https://twitter.com/nurulhidayah_94</v>
      </c>
      <c r="AZ220" s="81" t="s">
        <v>65</v>
      </c>
      <c r="BA220" s="2"/>
      <c r="BB220" s="3"/>
      <c r="BC220" s="3"/>
      <c r="BD220" s="3"/>
      <c r="BE220" s="3"/>
    </row>
    <row r="221" spans="1:57" x14ac:dyDescent="0.35">
      <c r="A221" s="66" t="s">
        <v>283</v>
      </c>
      <c r="B221" s="67"/>
      <c r="C221" s="67"/>
      <c r="D221" s="68"/>
      <c r="E221" s="94"/>
      <c r="F221" s="93" t="str">
        <f>HYPERLINK("https://pbs.twimg.com/profile_images/1435628603857784840/QuQvsqWB_normal.jpg")</f>
        <v>https://pbs.twimg.com/profile_images/1435628603857784840/QuQvsqWB_normal.jpg</v>
      </c>
      <c r="G221" s="95"/>
      <c r="H221" s="71"/>
      <c r="I221" s="72"/>
      <c r="J221" s="96"/>
      <c r="K221" s="71" t="s">
        <v>3825</v>
      </c>
      <c r="L221" s="97"/>
      <c r="M221" s="76"/>
      <c r="N221" s="76"/>
      <c r="O221" s="77"/>
      <c r="P221" s="78"/>
      <c r="Q221" s="78"/>
      <c r="R221" s="92"/>
      <c r="S221" s="92"/>
      <c r="T221" s="92"/>
      <c r="U221" s="92"/>
      <c r="V221" s="52"/>
      <c r="W221" s="52"/>
      <c r="X221" s="52"/>
      <c r="Y221" s="52"/>
      <c r="Z221" s="51"/>
      <c r="AA221" s="73"/>
      <c r="AB221" s="73"/>
      <c r="AC221" s="74"/>
      <c r="AD221" s="81" t="s">
        <v>2336</v>
      </c>
      <c r="AE221" s="86" t="s">
        <v>2764</v>
      </c>
      <c r="AF221" s="81">
        <v>107</v>
      </c>
      <c r="AG221" s="81">
        <v>68</v>
      </c>
      <c r="AH221" s="81">
        <v>379</v>
      </c>
      <c r="AI221" s="81">
        <v>377</v>
      </c>
      <c r="AJ221" s="81"/>
      <c r="AK221" s="81" t="s">
        <v>3169</v>
      </c>
      <c r="AL221" s="81"/>
      <c r="AM221" s="81"/>
      <c r="AN221" s="81"/>
      <c r="AO221" s="83">
        <v>44429.388159722221</v>
      </c>
      <c r="AP221" s="84" t="str">
        <f>HYPERLINK("https://pbs.twimg.com/profile_banners/1429010066200428548/1631115506")</f>
        <v>https://pbs.twimg.com/profile_banners/1429010066200428548/1631115506</v>
      </c>
      <c r="AQ221" s="81" t="b">
        <v>1</v>
      </c>
      <c r="AR221" s="81" t="b">
        <v>0</v>
      </c>
      <c r="AS221" s="81" t="b">
        <v>0</v>
      </c>
      <c r="AT221" s="81"/>
      <c r="AU221" s="81">
        <v>0</v>
      </c>
      <c r="AV221" s="81"/>
      <c r="AW221" s="81" t="b">
        <v>0</v>
      </c>
      <c r="AX221" s="81" t="s">
        <v>3728</v>
      </c>
      <c r="AY221" s="84" t="str">
        <f>HYPERLINK("https://twitter.com/itsme0605")</f>
        <v>https://twitter.com/itsme0605</v>
      </c>
      <c r="AZ221" s="81" t="s">
        <v>66</v>
      </c>
      <c r="BA221" s="2"/>
      <c r="BB221" s="3"/>
      <c r="BC221" s="3"/>
      <c r="BD221" s="3"/>
      <c r="BE221" s="3"/>
    </row>
    <row r="222" spans="1:57" x14ac:dyDescent="0.35">
      <c r="A222" s="66" t="s">
        <v>627</v>
      </c>
      <c r="B222" s="67"/>
      <c r="C222" s="67"/>
      <c r="D222" s="68"/>
      <c r="E222" s="94"/>
      <c r="F222" s="93" t="str">
        <f>HYPERLINK("https://pbs.twimg.com/profile_images/1428758499467554820/IkedgkZE_normal.jpg")</f>
        <v>https://pbs.twimg.com/profile_images/1428758499467554820/IkedgkZE_normal.jpg</v>
      </c>
      <c r="G222" s="95"/>
      <c r="H222" s="71"/>
      <c r="I222" s="72"/>
      <c r="J222" s="96"/>
      <c r="K222" s="71" t="s">
        <v>3820</v>
      </c>
      <c r="L222" s="97"/>
      <c r="M222" s="76"/>
      <c r="N222" s="76"/>
      <c r="O222" s="77"/>
      <c r="P222" s="78"/>
      <c r="Q222" s="78"/>
      <c r="R222" s="92"/>
      <c r="S222" s="92"/>
      <c r="T222" s="92"/>
      <c r="U222" s="92"/>
      <c r="V222" s="52"/>
      <c r="W222" s="52"/>
      <c r="X222" s="52"/>
      <c r="Y222" s="52"/>
      <c r="Z222" s="51"/>
      <c r="AA222" s="73"/>
      <c r="AB222" s="73"/>
      <c r="AC222" s="74"/>
      <c r="AD222" s="81" t="s">
        <v>13466</v>
      </c>
      <c r="AE222" s="86" t="s">
        <v>2100</v>
      </c>
      <c r="AF222" s="81">
        <v>3746</v>
      </c>
      <c r="AG222" s="81">
        <v>81426</v>
      </c>
      <c r="AH222" s="81">
        <v>571638</v>
      </c>
      <c r="AI222" s="81">
        <v>10</v>
      </c>
      <c r="AJ222" s="81"/>
      <c r="AK222" s="81" t="s">
        <v>3164</v>
      </c>
      <c r="AL222" s="81" t="s">
        <v>3568</v>
      </c>
      <c r="AM222" s="84" t="str">
        <f>HYPERLINK("https://t.co/Pbo3Tjon0O")</f>
        <v>https://t.co/Pbo3Tjon0O</v>
      </c>
      <c r="AN222" s="81"/>
      <c r="AO222" s="83">
        <v>43919.655289351853</v>
      </c>
      <c r="AP222" s="84" t="str">
        <f>HYPERLINK("https://pbs.twimg.com/profile_banners/1244288919010607104/1585888982")</f>
        <v>https://pbs.twimg.com/profile_banners/1244288919010607104/1585888982</v>
      </c>
      <c r="AQ222" s="81" t="b">
        <v>1</v>
      </c>
      <c r="AR222" s="81" t="b">
        <v>0</v>
      </c>
      <c r="AS222" s="81" t="b">
        <v>0</v>
      </c>
      <c r="AT222" s="81"/>
      <c r="AU222" s="81">
        <v>965</v>
      </c>
      <c r="AV222" s="81"/>
      <c r="AW222" s="81" t="b">
        <v>0</v>
      </c>
      <c r="AX222" s="81" t="s">
        <v>3728</v>
      </c>
      <c r="AY222" s="84" t="str">
        <f>HYPERLINK("https://twitter.com/menfesssyg")</f>
        <v>https://twitter.com/menfesssyg</v>
      </c>
      <c r="AZ222" s="81" t="s">
        <v>65</v>
      </c>
      <c r="BA222" s="2"/>
      <c r="BB222" s="3"/>
      <c r="BC222" s="3"/>
      <c r="BD222" s="3"/>
      <c r="BE222" s="3"/>
    </row>
    <row r="223" spans="1:57" x14ac:dyDescent="0.35">
      <c r="A223" s="66" t="s">
        <v>4265</v>
      </c>
      <c r="B223" s="67"/>
      <c r="C223" s="67"/>
      <c r="D223" s="68"/>
      <c r="E223" s="94"/>
      <c r="F223" s="93" t="str">
        <f>HYPERLINK("https://pbs.twimg.com/profile_images/1192164600889909248/Sb0p4xIf_normal.jpg")</f>
        <v>https://pbs.twimg.com/profile_images/1192164600889909248/Sb0p4xIf_normal.jpg</v>
      </c>
      <c r="G223" s="95"/>
      <c r="H223" s="71"/>
      <c r="I223" s="72"/>
      <c r="J223" s="96"/>
      <c r="K223" s="71" t="s">
        <v>11522</v>
      </c>
      <c r="L223" s="97"/>
      <c r="M223" s="76"/>
      <c r="N223" s="76"/>
      <c r="O223" s="77"/>
      <c r="P223" s="78"/>
      <c r="Q223" s="78"/>
      <c r="R223" s="92"/>
      <c r="S223" s="92"/>
      <c r="T223" s="92"/>
      <c r="U223" s="92"/>
      <c r="V223" s="52"/>
      <c r="W223" s="52"/>
      <c r="X223" s="52"/>
      <c r="Y223" s="52"/>
      <c r="Z223" s="51"/>
      <c r="AA223" s="73"/>
      <c r="AB223" s="73"/>
      <c r="AC223" s="74"/>
      <c r="AD223" s="81" t="s">
        <v>8154</v>
      </c>
      <c r="AE223" s="86" t="s">
        <v>9218</v>
      </c>
      <c r="AF223" s="81">
        <v>94</v>
      </c>
      <c r="AG223" s="81">
        <v>105</v>
      </c>
      <c r="AH223" s="81">
        <v>90</v>
      </c>
      <c r="AI223" s="81">
        <v>361</v>
      </c>
      <c r="AJ223" s="81"/>
      <c r="AK223" s="81" t="s">
        <v>10170</v>
      </c>
      <c r="AL223" s="81"/>
      <c r="AM223" s="81"/>
      <c r="AN223" s="81"/>
      <c r="AO223" s="83">
        <v>43775.808078703703</v>
      </c>
      <c r="AP223" s="81"/>
      <c r="AQ223" s="81" t="b">
        <v>1</v>
      </c>
      <c r="AR223" s="81" t="b">
        <v>0</v>
      </c>
      <c r="AS223" s="81" t="b">
        <v>0</v>
      </c>
      <c r="AT223" s="81"/>
      <c r="AU223" s="81">
        <v>3</v>
      </c>
      <c r="AV223" s="81"/>
      <c r="AW223" s="81" t="b">
        <v>0</v>
      </c>
      <c r="AX223" s="81" t="s">
        <v>3728</v>
      </c>
      <c r="AY223" s="84" t="str">
        <f>HYPERLINK("https://twitter.com/carolnowlencgc")</f>
        <v>https://twitter.com/carolnowlencgc</v>
      </c>
      <c r="AZ223" s="81" t="s">
        <v>66</v>
      </c>
      <c r="BA223" s="2"/>
      <c r="BB223" s="3"/>
      <c r="BC223" s="3"/>
      <c r="BD223" s="3"/>
      <c r="BE223" s="3"/>
    </row>
    <row r="224" spans="1:57" x14ac:dyDescent="0.35">
      <c r="A224" s="66" t="s">
        <v>5003</v>
      </c>
      <c r="B224" s="67"/>
      <c r="C224" s="67"/>
      <c r="D224" s="68"/>
      <c r="E224" s="94"/>
      <c r="F224" s="93" t="str">
        <f>HYPERLINK("https://pbs.twimg.com/profile_images/1242080453659680768/7sHP9k7a_normal.jpg")</f>
        <v>https://pbs.twimg.com/profile_images/1242080453659680768/7sHP9k7a_normal.jpg</v>
      </c>
      <c r="G224" s="95"/>
      <c r="H224" s="71"/>
      <c r="I224" s="72"/>
      <c r="J224" s="96"/>
      <c r="K224" s="71" t="s">
        <v>11523</v>
      </c>
      <c r="L224" s="97"/>
      <c r="M224" s="76"/>
      <c r="N224" s="76"/>
      <c r="O224" s="77"/>
      <c r="P224" s="78"/>
      <c r="Q224" s="78"/>
      <c r="R224" s="92"/>
      <c r="S224" s="92"/>
      <c r="T224" s="92"/>
      <c r="U224" s="92"/>
      <c r="V224" s="52"/>
      <c r="W224" s="52"/>
      <c r="X224" s="52"/>
      <c r="Y224" s="52"/>
      <c r="Z224" s="51"/>
      <c r="AA224" s="73"/>
      <c r="AB224" s="73"/>
      <c r="AC224" s="74"/>
      <c r="AD224" s="81" t="s">
        <v>8155</v>
      </c>
      <c r="AE224" s="86" t="s">
        <v>9219</v>
      </c>
      <c r="AF224" s="81">
        <v>3677</v>
      </c>
      <c r="AG224" s="81">
        <v>16031</v>
      </c>
      <c r="AH224" s="81">
        <v>7523</v>
      </c>
      <c r="AI224" s="81">
        <v>4002</v>
      </c>
      <c r="AJ224" s="81"/>
      <c r="AK224" s="81" t="s">
        <v>10171</v>
      </c>
      <c r="AL224" s="81" t="s">
        <v>11043</v>
      </c>
      <c r="AM224" s="84" t="str">
        <f>HYPERLINK("http://t.co/DCwCAirNOE")</f>
        <v>http://t.co/DCwCAirNOE</v>
      </c>
      <c r="AN224" s="81"/>
      <c r="AO224" s="83">
        <v>40107.12431712963</v>
      </c>
      <c r="AP224" s="84" t="str">
        <f>HYPERLINK("https://pbs.twimg.com/profile_banners/83987145/1584969963")</f>
        <v>https://pbs.twimg.com/profile_banners/83987145/1584969963</v>
      </c>
      <c r="AQ224" s="81" t="b">
        <v>0</v>
      </c>
      <c r="AR224" s="81" t="b">
        <v>0</v>
      </c>
      <c r="AS224" s="81" t="b">
        <v>0</v>
      </c>
      <c r="AT224" s="81"/>
      <c r="AU224" s="81">
        <v>245</v>
      </c>
      <c r="AV224" s="84" t="str">
        <f>HYPERLINK("https://abs.twimg.com/images/themes/theme1/bg.png")</f>
        <v>https://abs.twimg.com/images/themes/theme1/bg.png</v>
      </c>
      <c r="AW224" s="81" t="b">
        <v>0</v>
      </c>
      <c r="AX224" s="81" t="s">
        <v>3728</v>
      </c>
      <c r="AY224" s="84" t="str">
        <f>HYPERLINK("https://twitter.com/theacmg")</f>
        <v>https://twitter.com/theacmg</v>
      </c>
      <c r="AZ224" s="81" t="s">
        <v>65</v>
      </c>
      <c r="BA224" s="2"/>
      <c r="BB224" s="3"/>
      <c r="BC224" s="3"/>
      <c r="BD224" s="3"/>
      <c r="BE224" s="3"/>
    </row>
    <row r="225" spans="1:57" x14ac:dyDescent="0.35">
      <c r="A225" s="66" t="s">
        <v>4266</v>
      </c>
      <c r="B225" s="67"/>
      <c r="C225" s="67"/>
      <c r="D225" s="68"/>
      <c r="E225" s="94"/>
      <c r="F225" s="93" t="str">
        <f>HYPERLINK("https://pbs.twimg.com/profile_images/744613243595948032/Ssl2Y1Yd_normal.jpg")</f>
        <v>https://pbs.twimg.com/profile_images/744613243595948032/Ssl2Y1Yd_normal.jpg</v>
      </c>
      <c r="G225" s="95"/>
      <c r="H225" s="71"/>
      <c r="I225" s="72"/>
      <c r="J225" s="96"/>
      <c r="K225" s="71" t="s">
        <v>11524</v>
      </c>
      <c r="L225" s="97"/>
      <c r="M225" s="76"/>
      <c r="N225" s="76"/>
      <c r="O225" s="77"/>
      <c r="P225" s="78"/>
      <c r="Q225" s="78"/>
      <c r="R225" s="92"/>
      <c r="S225" s="92"/>
      <c r="T225" s="92"/>
      <c r="U225" s="92"/>
      <c r="V225" s="52"/>
      <c r="W225" s="52"/>
      <c r="X225" s="52"/>
      <c r="Y225" s="52"/>
      <c r="Z225" s="51"/>
      <c r="AA225" s="73"/>
      <c r="AB225" s="73"/>
      <c r="AC225" s="74"/>
      <c r="AD225" s="81" t="s">
        <v>8156</v>
      </c>
      <c r="AE225" s="86" t="s">
        <v>7808</v>
      </c>
      <c r="AF225" s="81">
        <v>266</v>
      </c>
      <c r="AG225" s="81">
        <v>275</v>
      </c>
      <c r="AH225" s="81">
        <v>1052</v>
      </c>
      <c r="AI225" s="81">
        <v>836</v>
      </c>
      <c r="AJ225" s="81"/>
      <c r="AK225" s="81" t="s">
        <v>10172</v>
      </c>
      <c r="AL225" s="81" t="s">
        <v>11044</v>
      </c>
      <c r="AM225" s="81"/>
      <c r="AN225" s="81"/>
      <c r="AO225" s="83">
        <v>42081.667881944442</v>
      </c>
      <c r="AP225" s="81"/>
      <c r="AQ225" s="81" t="b">
        <v>1</v>
      </c>
      <c r="AR225" s="81" t="b">
        <v>0</v>
      </c>
      <c r="AS225" s="81" t="b">
        <v>0</v>
      </c>
      <c r="AT225" s="81"/>
      <c r="AU225" s="81">
        <v>4</v>
      </c>
      <c r="AV225" s="84" t="str">
        <f>HYPERLINK("https://abs.twimg.com/images/themes/theme1/bg.png")</f>
        <v>https://abs.twimg.com/images/themes/theme1/bg.png</v>
      </c>
      <c r="AW225" s="81" t="b">
        <v>0</v>
      </c>
      <c r="AX225" s="81" t="s">
        <v>3728</v>
      </c>
      <c r="AY225" s="84" t="str">
        <f>HYPERLINK("https://twitter.com/_boerbn")</f>
        <v>https://twitter.com/_boerbn</v>
      </c>
      <c r="AZ225" s="81" t="s">
        <v>66</v>
      </c>
      <c r="BA225" s="2"/>
      <c r="BB225" s="3"/>
      <c r="BC225" s="3"/>
      <c r="BD225" s="3"/>
      <c r="BE225" s="3"/>
    </row>
    <row r="226" spans="1:57" x14ac:dyDescent="0.35">
      <c r="A226" s="66" t="s">
        <v>4267</v>
      </c>
      <c r="B226" s="67"/>
      <c r="C226" s="67"/>
      <c r="D226" s="68"/>
      <c r="E226" s="94"/>
      <c r="F226" s="93" t="str">
        <f>HYPERLINK("https://pbs.twimg.com/profile_images/1428472645360758785/2vrcn7Xx_normal.jpg")</f>
        <v>https://pbs.twimg.com/profile_images/1428472645360758785/2vrcn7Xx_normal.jpg</v>
      </c>
      <c r="G226" s="95"/>
      <c r="H226" s="71"/>
      <c r="I226" s="72"/>
      <c r="J226" s="96"/>
      <c r="K226" s="71" t="s">
        <v>11525</v>
      </c>
      <c r="L226" s="97"/>
      <c r="M226" s="76"/>
      <c r="N226" s="76"/>
      <c r="O226" s="77"/>
      <c r="P226" s="78"/>
      <c r="Q226" s="78"/>
      <c r="R226" s="92"/>
      <c r="S226" s="92"/>
      <c r="T226" s="92"/>
      <c r="U226" s="92"/>
      <c r="V226" s="52"/>
      <c r="W226" s="52"/>
      <c r="X226" s="52"/>
      <c r="Y226" s="52"/>
      <c r="Z226" s="51"/>
      <c r="AA226" s="73"/>
      <c r="AB226" s="73"/>
      <c r="AC226" s="74"/>
      <c r="AD226" s="81" t="s">
        <v>8157</v>
      </c>
      <c r="AE226" s="86" t="s">
        <v>9220</v>
      </c>
      <c r="AF226" s="81">
        <v>506</v>
      </c>
      <c r="AG226" s="81">
        <v>91</v>
      </c>
      <c r="AH226" s="81">
        <v>9124</v>
      </c>
      <c r="AI226" s="81">
        <v>28208</v>
      </c>
      <c r="AJ226" s="81"/>
      <c r="AK226" s="81" t="s">
        <v>10173</v>
      </c>
      <c r="AL226" s="81" t="s">
        <v>10985</v>
      </c>
      <c r="AM226" s="81"/>
      <c r="AN226" s="81"/>
      <c r="AO226" s="83">
        <v>40600.715150462966</v>
      </c>
      <c r="AP226" s="84" t="str">
        <f>HYPERLINK("https://pbs.twimg.com/profile_banners/257958322/1626649362")</f>
        <v>https://pbs.twimg.com/profile_banners/257958322/1626649362</v>
      </c>
      <c r="AQ226" s="81" t="b">
        <v>0</v>
      </c>
      <c r="AR226" s="81" t="b">
        <v>0</v>
      </c>
      <c r="AS226" s="81" t="b">
        <v>1</v>
      </c>
      <c r="AT226" s="81"/>
      <c r="AU226" s="81">
        <v>1</v>
      </c>
      <c r="AV226" s="84" t="str">
        <f>HYPERLINK("https://abs.twimg.com/images/themes/theme6/bg.gif")</f>
        <v>https://abs.twimg.com/images/themes/theme6/bg.gif</v>
      </c>
      <c r="AW226" s="81" t="b">
        <v>0</v>
      </c>
      <c r="AX226" s="81" t="s">
        <v>3728</v>
      </c>
      <c r="AY226" s="84" t="str">
        <f>HYPERLINK("https://twitter.com/algranz")</f>
        <v>https://twitter.com/algranz</v>
      </c>
      <c r="AZ226" s="81" t="s">
        <v>66</v>
      </c>
      <c r="BA226" s="2"/>
      <c r="BB226" s="3"/>
      <c r="BC226" s="3"/>
      <c r="BD226" s="3"/>
      <c r="BE226" s="3"/>
    </row>
    <row r="227" spans="1:57" x14ac:dyDescent="0.35">
      <c r="A227" s="66" t="s">
        <v>5004</v>
      </c>
      <c r="B227" s="67"/>
      <c r="C227" s="67"/>
      <c r="D227" s="68"/>
      <c r="E227" s="94"/>
      <c r="F227" s="93" t="str">
        <f>HYPERLINK("https://pbs.twimg.com/profile_images/1214728773343559680/Lh0g3-k-_normal.jpg")</f>
        <v>https://pbs.twimg.com/profile_images/1214728773343559680/Lh0g3-k-_normal.jpg</v>
      </c>
      <c r="G227" s="95"/>
      <c r="H227" s="71"/>
      <c r="I227" s="72"/>
      <c r="J227" s="96"/>
      <c r="K227" s="71" t="s">
        <v>11526</v>
      </c>
      <c r="L227" s="97"/>
      <c r="M227" s="76"/>
      <c r="N227" s="76"/>
      <c r="O227" s="77"/>
      <c r="P227" s="78"/>
      <c r="Q227" s="78"/>
      <c r="R227" s="92"/>
      <c r="S227" s="92"/>
      <c r="T227" s="92"/>
      <c r="U227" s="92"/>
      <c r="V227" s="52"/>
      <c r="W227" s="52"/>
      <c r="X227" s="52"/>
      <c r="Y227" s="52"/>
      <c r="Z227" s="51"/>
      <c r="AA227" s="73"/>
      <c r="AB227" s="73"/>
      <c r="AC227" s="74"/>
      <c r="AD227" s="81" t="s">
        <v>8158</v>
      </c>
      <c r="AE227" s="86" t="s">
        <v>7809</v>
      </c>
      <c r="AF227" s="81">
        <v>566</v>
      </c>
      <c r="AG227" s="81">
        <v>117357</v>
      </c>
      <c r="AH227" s="81">
        <v>38927</v>
      </c>
      <c r="AI227" s="81">
        <v>17</v>
      </c>
      <c r="AJ227" s="81"/>
      <c r="AK227" s="81" t="s">
        <v>10174</v>
      </c>
      <c r="AL227" s="81" t="s">
        <v>10985</v>
      </c>
      <c r="AM227" s="84" t="str">
        <f>HYPERLINK("https://t.co/ECuG39VVpX")</f>
        <v>https://t.co/ECuG39VVpX</v>
      </c>
      <c r="AN227" s="81"/>
      <c r="AO227" s="83">
        <v>43494.703356481485</v>
      </c>
      <c r="AP227" s="84" t="str">
        <f>HYPERLINK("https://pbs.twimg.com/profile_banners/1090291692744466433/1630591519")</f>
        <v>https://pbs.twimg.com/profile_banners/1090291692744466433/1630591519</v>
      </c>
      <c r="AQ227" s="81" t="b">
        <v>0</v>
      </c>
      <c r="AR227" s="81" t="b">
        <v>0</v>
      </c>
      <c r="AS227" s="81" t="b">
        <v>1</v>
      </c>
      <c r="AT227" s="81"/>
      <c r="AU227" s="81">
        <v>199</v>
      </c>
      <c r="AV227" s="84" t="str">
        <f>HYPERLINK("https://abs.twimg.com/images/themes/theme1/bg.png")</f>
        <v>https://abs.twimg.com/images/themes/theme1/bg.png</v>
      </c>
      <c r="AW227" s="81" t="b">
        <v>0</v>
      </c>
      <c r="AX227" s="81" t="s">
        <v>3728</v>
      </c>
      <c r="AY227" s="84" t="str">
        <f>HYPERLINK("https://twitter.com/sigagazetabr")</f>
        <v>https://twitter.com/sigagazetabr</v>
      </c>
      <c r="AZ227" s="81" t="s">
        <v>65</v>
      </c>
      <c r="BA227" s="2"/>
      <c r="BB227" s="3"/>
      <c r="BC227" s="3"/>
      <c r="BD227" s="3"/>
      <c r="BE227" s="3"/>
    </row>
    <row r="228" spans="1:57" x14ac:dyDescent="0.35">
      <c r="A228" s="66" t="s">
        <v>4268</v>
      </c>
      <c r="B228" s="67"/>
      <c r="C228" s="67"/>
      <c r="D228" s="68"/>
      <c r="E228" s="94"/>
      <c r="F228" s="93" t="str">
        <f>HYPERLINK("https://pbs.twimg.com/profile_images/1430886327948517378/s_ocmT5Y_normal.jpg")</f>
        <v>https://pbs.twimg.com/profile_images/1430886327948517378/s_ocmT5Y_normal.jpg</v>
      </c>
      <c r="G228" s="95"/>
      <c r="H228" s="71"/>
      <c r="I228" s="72"/>
      <c r="J228" s="96"/>
      <c r="K228" s="71" t="s">
        <v>11527</v>
      </c>
      <c r="L228" s="97"/>
      <c r="M228" s="76"/>
      <c r="N228" s="76"/>
      <c r="O228" s="77"/>
      <c r="P228" s="78"/>
      <c r="Q228" s="78"/>
      <c r="R228" s="92"/>
      <c r="S228" s="92"/>
      <c r="T228" s="92"/>
      <c r="U228" s="92"/>
      <c r="V228" s="52"/>
      <c r="W228" s="52"/>
      <c r="X228" s="52"/>
      <c r="Y228" s="52"/>
      <c r="Z228" s="51"/>
      <c r="AA228" s="73"/>
      <c r="AB228" s="73"/>
      <c r="AC228" s="74"/>
      <c r="AD228" s="81" t="s">
        <v>8159</v>
      </c>
      <c r="AE228" s="86" t="s">
        <v>9221</v>
      </c>
      <c r="AF228" s="81">
        <v>361</v>
      </c>
      <c r="AG228" s="81">
        <v>1455</v>
      </c>
      <c r="AH228" s="81">
        <v>46809</v>
      </c>
      <c r="AI228" s="81">
        <v>9580</v>
      </c>
      <c r="AJ228" s="81"/>
      <c r="AK228" s="81" t="s">
        <v>10175</v>
      </c>
      <c r="AL228" s="81" t="s">
        <v>11045</v>
      </c>
      <c r="AM228" s="84" t="str">
        <f>HYPERLINK("https://t.co/b8JvqniY1i")</f>
        <v>https://t.co/b8JvqniY1i</v>
      </c>
      <c r="AN228" s="81"/>
      <c r="AO228" s="83">
        <v>42594.052303240744</v>
      </c>
      <c r="AP228" s="84" t="str">
        <f>HYPERLINK("https://pbs.twimg.com/profile_banners/763906677502570497/1580608169")</f>
        <v>https://pbs.twimg.com/profile_banners/763906677502570497/1580608169</v>
      </c>
      <c r="AQ228" s="81" t="b">
        <v>0</v>
      </c>
      <c r="AR228" s="81" t="b">
        <v>0</v>
      </c>
      <c r="AS228" s="81" t="b">
        <v>0</v>
      </c>
      <c r="AT228" s="81"/>
      <c r="AU228" s="81">
        <v>0</v>
      </c>
      <c r="AV228" s="84" t="str">
        <f>HYPERLINK("https://abs.twimg.com/images/themes/theme1/bg.png")</f>
        <v>https://abs.twimg.com/images/themes/theme1/bg.png</v>
      </c>
      <c r="AW228" s="81" t="b">
        <v>0</v>
      </c>
      <c r="AX228" s="81" t="s">
        <v>3728</v>
      </c>
      <c r="AY228" s="84" t="str">
        <f>HYPERLINK("https://twitter.com/2doism")</f>
        <v>https://twitter.com/2doism</v>
      </c>
      <c r="AZ228" s="81" t="s">
        <v>66</v>
      </c>
      <c r="BA228" s="2"/>
      <c r="BB228" s="3"/>
      <c r="BC228" s="3"/>
      <c r="BD228" s="3"/>
      <c r="BE228" s="3"/>
    </row>
    <row r="229" spans="1:57" x14ac:dyDescent="0.35">
      <c r="A229" s="66" t="s">
        <v>5005</v>
      </c>
      <c r="B229" s="67"/>
      <c r="C229" s="67"/>
      <c r="D229" s="68"/>
      <c r="E229" s="94"/>
      <c r="F229" s="93" t="str">
        <f>HYPERLINK("https://pbs.twimg.com/profile_images/1418056093788422145/KgY-Tz1f_normal.jpg")</f>
        <v>https://pbs.twimg.com/profile_images/1418056093788422145/KgY-Tz1f_normal.jpg</v>
      </c>
      <c r="G229" s="95"/>
      <c r="H229" s="71"/>
      <c r="I229" s="72"/>
      <c r="J229" s="96"/>
      <c r="K229" s="71" t="s">
        <v>11528</v>
      </c>
      <c r="L229" s="97"/>
      <c r="M229" s="76"/>
      <c r="N229" s="76"/>
      <c r="O229" s="77"/>
      <c r="P229" s="78"/>
      <c r="Q229" s="78"/>
      <c r="R229" s="92"/>
      <c r="S229" s="92"/>
      <c r="T229" s="92"/>
      <c r="U229" s="92"/>
      <c r="V229" s="52"/>
      <c r="W229" s="52"/>
      <c r="X229" s="52"/>
      <c r="Y229" s="52"/>
      <c r="Z229" s="51"/>
      <c r="AA229" s="73"/>
      <c r="AB229" s="73"/>
      <c r="AC229" s="74"/>
      <c r="AD229" s="81" t="s">
        <v>8160</v>
      </c>
      <c r="AE229" s="86" t="s">
        <v>7810</v>
      </c>
      <c r="AF229" s="81">
        <v>429</v>
      </c>
      <c r="AG229" s="81">
        <v>1257</v>
      </c>
      <c r="AH229" s="81">
        <v>11876</v>
      </c>
      <c r="AI229" s="81">
        <v>3983</v>
      </c>
      <c r="AJ229" s="81"/>
      <c r="AK229" s="81" t="s">
        <v>10176</v>
      </c>
      <c r="AL229" s="81" t="s">
        <v>11046</v>
      </c>
      <c r="AM229" s="84" t="str">
        <f>HYPERLINK("https://t.co/bpMGZeKzpV")</f>
        <v>https://t.co/bpMGZeKzpV</v>
      </c>
      <c r="AN229" s="81"/>
      <c r="AO229" s="83">
        <v>41982.93372685185</v>
      </c>
      <c r="AP229" s="84" t="str">
        <f>HYPERLINK("https://pbs.twimg.com/profile_banners/2924640456/1624909688")</f>
        <v>https://pbs.twimg.com/profile_banners/2924640456/1624909688</v>
      </c>
      <c r="AQ229" s="81" t="b">
        <v>0</v>
      </c>
      <c r="AR229" s="81" t="b">
        <v>0</v>
      </c>
      <c r="AS229" s="81" t="b">
        <v>0</v>
      </c>
      <c r="AT229" s="81"/>
      <c r="AU229" s="81">
        <v>0</v>
      </c>
      <c r="AV229" s="84" t="str">
        <f>HYPERLINK("https://abs.twimg.com/images/themes/theme1/bg.png")</f>
        <v>https://abs.twimg.com/images/themes/theme1/bg.png</v>
      </c>
      <c r="AW229" s="81" t="b">
        <v>0</v>
      </c>
      <c r="AX229" s="81" t="s">
        <v>3728</v>
      </c>
      <c r="AY229" s="84" t="str">
        <f>HYPERLINK("https://twitter.com/crlhosiide")</f>
        <v>https://twitter.com/crlhosiide</v>
      </c>
      <c r="AZ229" s="81" t="s">
        <v>65</v>
      </c>
      <c r="BA229" s="2"/>
      <c r="BB229" s="3"/>
      <c r="BC229" s="3"/>
      <c r="BD229" s="3"/>
      <c r="BE229" s="3"/>
    </row>
    <row r="230" spans="1:57" x14ac:dyDescent="0.35">
      <c r="A230" s="66" t="s">
        <v>4269</v>
      </c>
      <c r="B230" s="67"/>
      <c r="C230" s="67"/>
      <c r="D230" s="68"/>
      <c r="E230" s="94"/>
      <c r="F230" s="93" t="str">
        <f>HYPERLINK("https://pbs.twimg.com/profile_images/1021112614888394753/kzMc1oxC_normal.jpg")</f>
        <v>https://pbs.twimg.com/profile_images/1021112614888394753/kzMc1oxC_normal.jpg</v>
      </c>
      <c r="G230" s="95"/>
      <c r="H230" s="71"/>
      <c r="I230" s="72"/>
      <c r="J230" s="96"/>
      <c r="K230" s="71" t="s">
        <v>11529</v>
      </c>
      <c r="L230" s="97"/>
      <c r="M230" s="76"/>
      <c r="N230" s="76"/>
      <c r="O230" s="77"/>
      <c r="P230" s="78"/>
      <c r="Q230" s="78"/>
      <c r="R230" s="92"/>
      <c r="S230" s="92"/>
      <c r="T230" s="92"/>
      <c r="U230" s="92"/>
      <c r="V230" s="52"/>
      <c r="W230" s="52"/>
      <c r="X230" s="52"/>
      <c r="Y230" s="52"/>
      <c r="Z230" s="51"/>
      <c r="AA230" s="73"/>
      <c r="AB230" s="73"/>
      <c r="AC230" s="74"/>
      <c r="AD230" s="81" t="s">
        <v>8161</v>
      </c>
      <c r="AE230" s="86" t="s">
        <v>9222</v>
      </c>
      <c r="AF230" s="81">
        <v>1097</v>
      </c>
      <c r="AG230" s="81">
        <v>4636</v>
      </c>
      <c r="AH230" s="81">
        <v>39674</v>
      </c>
      <c r="AI230" s="81">
        <v>76465</v>
      </c>
      <c r="AJ230" s="81"/>
      <c r="AK230" s="81" t="s">
        <v>10177</v>
      </c>
      <c r="AL230" s="81" t="s">
        <v>8066</v>
      </c>
      <c r="AM230" s="81"/>
      <c r="AN230" s="81"/>
      <c r="AO230" s="83">
        <v>40409.751423611109</v>
      </c>
      <c r="AP230" s="84" t="str">
        <f>HYPERLINK("https://pbs.twimg.com/profile_banners/180462525/1532287002")</f>
        <v>https://pbs.twimg.com/profile_banners/180462525/1532287002</v>
      </c>
      <c r="AQ230" s="81" t="b">
        <v>0</v>
      </c>
      <c r="AR230" s="81" t="b">
        <v>0</v>
      </c>
      <c r="AS230" s="81" t="b">
        <v>1</v>
      </c>
      <c r="AT230" s="81"/>
      <c r="AU230" s="81">
        <v>25</v>
      </c>
      <c r="AV230" s="84" t="str">
        <f>HYPERLINK("https://abs.twimg.com/images/themes/theme1/bg.png")</f>
        <v>https://abs.twimg.com/images/themes/theme1/bg.png</v>
      </c>
      <c r="AW230" s="81" t="b">
        <v>0</v>
      </c>
      <c r="AX230" s="81" t="s">
        <v>3728</v>
      </c>
      <c r="AY230" s="84" t="str">
        <f>HYPERLINK("https://twitter.com/wandersfc")</f>
        <v>https://twitter.com/wandersfc</v>
      </c>
      <c r="AZ230" s="81" t="s">
        <v>66</v>
      </c>
      <c r="BA230" s="2"/>
      <c r="BB230" s="3"/>
      <c r="BC230" s="3"/>
      <c r="BD230" s="3"/>
      <c r="BE230" s="3"/>
    </row>
    <row r="231" spans="1:57" x14ac:dyDescent="0.35">
      <c r="A231" s="66" t="s">
        <v>5006</v>
      </c>
      <c r="B231" s="67"/>
      <c r="C231" s="67"/>
      <c r="D231" s="68"/>
      <c r="E231" s="94"/>
      <c r="F231" s="93" t="str">
        <f>HYPERLINK("https://pbs.twimg.com/profile_images/1442474470778839044/aZOCrKdU_normal.jpg")</f>
        <v>https://pbs.twimg.com/profile_images/1442474470778839044/aZOCrKdU_normal.jpg</v>
      </c>
      <c r="G231" s="95"/>
      <c r="H231" s="71"/>
      <c r="I231" s="72"/>
      <c r="J231" s="96"/>
      <c r="K231" s="71" t="s">
        <v>11530</v>
      </c>
      <c r="L231" s="97"/>
      <c r="M231" s="76"/>
      <c r="N231" s="76"/>
      <c r="O231" s="77"/>
      <c r="P231" s="78"/>
      <c r="Q231" s="78"/>
      <c r="R231" s="92"/>
      <c r="S231" s="92"/>
      <c r="T231" s="92"/>
      <c r="U231" s="92"/>
      <c r="V231" s="52"/>
      <c r="W231" s="52"/>
      <c r="X231" s="52"/>
      <c r="Y231" s="52"/>
      <c r="Z231" s="51"/>
      <c r="AA231" s="73"/>
      <c r="AB231" s="73"/>
      <c r="AC231" s="74"/>
      <c r="AD231" s="81" t="s">
        <v>8162</v>
      </c>
      <c r="AE231" s="86" t="s">
        <v>9223</v>
      </c>
      <c r="AF231" s="81">
        <v>250</v>
      </c>
      <c r="AG231" s="81">
        <v>2949820</v>
      </c>
      <c r="AH231" s="81">
        <v>86562</v>
      </c>
      <c r="AI231" s="81">
        <v>5361</v>
      </c>
      <c r="AJ231" s="81"/>
      <c r="AK231" s="81" t="s">
        <v>10178</v>
      </c>
      <c r="AL231" s="81" t="s">
        <v>11047</v>
      </c>
      <c r="AM231" s="84" t="str">
        <f>HYPERLINK("https://t.co/K8OyyUIjcZ")</f>
        <v>https://t.co/K8OyyUIjcZ</v>
      </c>
      <c r="AN231" s="81"/>
      <c r="AO231" s="83">
        <v>39986.848425925928</v>
      </c>
      <c r="AP231" s="84" t="str">
        <f>HYPERLINK("https://pbs.twimg.com/profile_banners/49751816/1632755156")</f>
        <v>https://pbs.twimg.com/profile_banners/49751816/1632755156</v>
      </c>
      <c r="AQ231" s="81" t="b">
        <v>0</v>
      </c>
      <c r="AR231" s="81" t="b">
        <v>0</v>
      </c>
      <c r="AS231" s="81" t="b">
        <v>1</v>
      </c>
      <c r="AT231" s="81"/>
      <c r="AU231" s="81">
        <v>3553</v>
      </c>
      <c r="AV231" s="84" t="str">
        <f>HYPERLINK("https://abs.twimg.com/images/themes/theme1/bg.png")</f>
        <v>https://abs.twimg.com/images/themes/theme1/bg.png</v>
      </c>
      <c r="AW231" s="81" t="b">
        <v>1</v>
      </c>
      <c r="AX231" s="81" t="s">
        <v>3728</v>
      </c>
      <c r="AY231" s="84" t="str">
        <f>HYPERLINK("https://twitter.com/santosfc")</f>
        <v>https://twitter.com/santosfc</v>
      </c>
      <c r="AZ231" s="81" t="s">
        <v>65</v>
      </c>
      <c r="BA231" s="2"/>
      <c r="BB231" s="3"/>
      <c r="BC231" s="3"/>
      <c r="BD231" s="3"/>
      <c r="BE231" s="3"/>
    </row>
    <row r="232" spans="1:57" x14ac:dyDescent="0.35">
      <c r="A232" s="66" t="s">
        <v>4270</v>
      </c>
      <c r="B232" s="67"/>
      <c r="C232" s="67"/>
      <c r="D232" s="68"/>
      <c r="E232" s="94"/>
      <c r="F232" s="93" t="str">
        <f>HYPERLINK("https://pbs.twimg.com/profile_images/1369766991498723331/idjlMpXl_normal.jpg")</f>
        <v>https://pbs.twimg.com/profile_images/1369766991498723331/idjlMpXl_normal.jpg</v>
      </c>
      <c r="G232" s="95"/>
      <c r="H232" s="71"/>
      <c r="I232" s="72"/>
      <c r="J232" s="96"/>
      <c r="K232" s="71" t="s">
        <v>11531</v>
      </c>
      <c r="L232" s="97"/>
      <c r="M232" s="76"/>
      <c r="N232" s="76"/>
      <c r="O232" s="77"/>
      <c r="P232" s="78"/>
      <c r="Q232" s="78"/>
      <c r="R232" s="92"/>
      <c r="S232" s="92"/>
      <c r="T232" s="92"/>
      <c r="U232" s="92"/>
      <c r="V232" s="52"/>
      <c r="W232" s="52"/>
      <c r="X232" s="52"/>
      <c r="Y232" s="52"/>
      <c r="Z232" s="51"/>
      <c r="AA232" s="73"/>
      <c r="AB232" s="73"/>
      <c r="AC232" s="74"/>
      <c r="AD232" s="81" t="s">
        <v>8163</v>
      </c>
      <c r="AE232" s="86" t="s">
        <v>9224</v>
      </c>
      <c r="AF232" s="81">
        <v>560</v>
      </c>
      <c r="AG232" s="81">
        <v>127</v>
      </c>
      <c r="AH232" s="81">
        <v>13135</v>
      </c>
      <c r="AI232" s="81">
        <v>28260</v>
      </c>
      <c r="AJ232" s="81"/>
      <c r="AK232" s="81" t="s">
        <v>10179</v>
      </c>
      <c r="AL232" s="81" t="s">
        <v>11048</v>
      </c>
      <c r="AM232" s="81"/>
      <c r="AN232" s="81"/>
      <c r="AO232" s="83">
        <v>43669.789976851855</v>
      </c>
      <c r="AP232" s="84" t="str">
        <f>HYPERLINK("https://pbs.twimg.com/profile_banners/1153740959248764934/1568732895")</f>
        <v>https://pbs.twimg.com/profile_banners/1153740959248764934/1568732895</v>
      </c>
      <c r="AQ232" s="81" t="b">
        <v>1</v>
      </c>
      <c r="AR232" s="81" t="b">
        <v>0</v>
      </c>
      <c r="AS232" s="81" t="b">
        <v>1</v>
      </c>
      <c r="AT232" s="81"/>
      <c r="AU232" s="81">
        <v>0</v>
      </c>
      <c r="AV232" s="81"/>
      <c r="AW232" s="81" t="b">
        <v>0</v>
      </c>
      <c r="AX232" s="81" t="s">
        <v>3728</v>
      </c>
      <c r="AY232" s="84" t="str">
        <f>HYPERLINK("https://twitter.com/marciolleme")</f>
        <v>https://twitter.com/marciolleme</v>
      </c>
      <c r="AZ232" s="81" t="s">
        <v>66</v>
      </c>
      <c r="BA232" s="2"/>
      <c r="BB232" s="3"/>
      <c r="BC232" s="3"/>
      <c r="BD232" s="3"/>
      <c r="BE232" s="3"/>
    </row>
    <row r="233" spans="1:57" x14ac:dyDescent="0.35">
      <c r="A233" s="66" t="s">
        <v>4271</v>
      </c>
      <c r="B233" s="67"/>
      <c r="C233" s="67"/>
      <c r="D233" s="68"/>
      <c r="E233" s="94"/>
      <c r="F233" s="93" t="str">
        <f>HYPERLINK("https://pbs.twimg.com/profile_images/1321540016162639873/oci4A2QT_normal.jpg")</f>
        <v>https://pbs.twimg.com/profile_images/1321540016162639873/oci4A2QT_normal.jpg</v>
      </c>
      <c r="G233" s="95"/>
      <c r="H233" s="71"/>
      <c r="I233" s="72"/>
      <c r="J233" s="96"/>
      <c r="K233" s="71" t="s">
        <v>11532</v>
      </c>
      <c r="L233" s="97"/>
      <c r="M233" s="76"/>
      <c r="N233" s="76"/>
      <c r="O233" s="77"/>
      <c r="P233" s="78"/>
      <c r="Q233" s="78"/>
      <c r="R233" s="92"/>
      <c r="S233" s="92"/>
      <c r="T233" s="92"/>
      <c r="U233" s="92"/>
      <c r="V233" s="52"/>
      <c r="W233" s="52"/>
      <c r="X233" s="52"/>
      <c r="Y233" s="52"/>
      <c r="Z233" s="51"/>
      <c r="AA233" s="73"/>
      <c r="AB233" s="73"/>
      <c r="AC233" s="74"/>
      <c r="AD233" s="81" t="s">
        <v>8164</v>
      </c>
      <c r="AE233" s="86" t="s">
        <v>9225</v>
      </c>
      <c r="AF233" s="81">
        <v>609</v>
      </c>
      <c r="AG233" s="81">
        <v>453</v>
      </c>
      <c r="AH233" s="81">
        <v>36749</v>
      </c>
      <c r="AI233" s="81">
        <v>82896</v>
      </c>
      <c r="AJ233" s="81"/>
      <c r="AK233" s="81" t="s">
        <v>10180</v>
      </c>
      <c r="AL233" s="81" t="s">
        <v>11049</v>
      </c>
      <c r="AM233" s="81"/>
      <c r="AN233" s="81"/>
      <c r="AO233" s="83">
        <v>40395.951307870368</v>
      </c>
      <c r="AP233" s="84" t="str">
        <f>HYPERLINK("https://pbs.twimg.com/profile_banners/175185199/1631463562")</f>
        <v>https://pbs.twimg.com/profile_banners/175185199/1631463562</v>
      </c>
      <c r="AQ233" s="81" t="b">
        <v>0</v>
      </c>
      <c r="AR233" s="81" t="b">
        <v>0</v>
      </c>
      <c r="AS233" s="81" t="b">
        <v>0</v>
      </c>
      <c r="AT233" s="81"/>
      <c r="AU233" s="81">
        <v>1</v>
      </c>
      <c r="AV233" s="84" t="str">
        <f>HYPERLINK("https://abs.twimg.com/images/themes/theme1/bg.png")</f>
        <v>https://abs.twimg.com/images/themes/theme1/bg.png</v>
      </c>
      <c r="AW233" s="81" t="b">
        <v>0</v>
      </c>
      <c r="AX233" s="81" t="s">
        <v>3728</v>
      </c>
      <c r="AY233" s="84" t="str">
        <f>HYPERLINK("https://twitter.com/mahabdalla")</f>
        <v>https://twitter.com/mahabdalla</v>
      </c>
      <c r="AZ233" s="81" t="s">
        <v>66</v>
      </c>
      <c r="BA233" s="2"/>
      <c r="BB233" s="3"/>
      <c r="BC233" s="3"/>
      <c r="BD233" s="3"/>
      <c r="BE233" s="3"/>
    </row>
    <row r="234" spans="1:57" x14ac:dyDescent="0.35">
      <c r="A234" s="66" t="s">
        <v>4978</v>
      </c>
      <c r="B234" s="67"/>
      <c r="C234" s="67"/>
      <c r="D234" s="68"/>
      <c r="E234" s="94"/>
      <c r="F234" s="93" t="str">
        <f>HYPERLINK("https://pbs.twimg.com/profile_images/1435245658508832772/lE0OSGG4_normal.jpg")</f>
        <v>https://pbs.twimg.com/profile_images/1435245658508832772/lE0OSGG4_normal.jpg</v>
      </c>
      <c r="G234" s="95"/>
      <c r="H234" s="71"/>
      <c r="I234" s="72"/>
      <c r="J234" s="96"/>
      <c r="K234" s="71" t="s">
        <v>11394</v>
      </c>
      <c r="L234" s="97"/>
      <c r="M234" s="76"/>
      <c r="N234" s="76"/>
      <c r="O234" s="77"/>
      <c r="P234" s="78"/>
      <c r="Q234" s="78"/>
      <c r="R234" s="92"/>
      <c r="S234" s="92"/>
      <c r="T234" s="92"/>
      <c r="U234" s="92"/>
      <c r="V234" s="52"/>
      <c r="W234" s="52"/>
      <c r="X234" s="52"/>
      <c r="Y234" s="52"/>
      <c r="Z234" s="51"/>
      <c r="AA234" s="73"/>
      <c r="AB234" s="73"/>
      <c r="AC234" s="74"/>
      <c r="AD234" s="81" t="s">
        <v>8028</v>
      </c>
      <c r="AE234" s="86" t="s">
        <v>7811</v>
      </c>
      <c r="AF234" s="81">
        <v>264</v>
      </c>
      <c r="AG234" s="81">
        <v>466462</v>
      </c>
      <c r="AH234" s="81">
        <v>6661</v>
      </c>
      <c r="AI234" s="81">
        <v>11335</v>
      </c>
      <c r="AJ234" s="81"/>
      <c r="AK234" s="81" t="s">
        <v>10055</v>
      </c>
      <c r="AL234" s="81" t="s">
        <v>10977</v>
      </c>
      <c r="AM234" s="84" t="str">
        <f>HYPERLINK("https://t.co/WhZ8mLBfxI")</f>
        <v>https://t.co/WhZ8mLBfxI</v>
      </c>
      <c r="AN234" s="81"/>
      <c r="AO234" s="83">
        <v>43969.403912037036</v>
      </c>
      <c r="AP234" s="84" t="str">
        <f>HYPERLINK("https://pbs.twimg.com/profile_banners/1262317363984306177/1623257482")</f>
        <v>https://pbs.twimg.com/profile_banners/1262317363984306177/1623257482</v>
      </c>
      <c r="AQ234" s="81" t="b">
        <v>1</v>
      </c>
      <c r="AR234" s="81" t="b">
        <v>0</v>
      </c>
      <c r="AS234" s="81" t="b">
        <v>0</v>
      </c>
      <c r="AT234" s="81"/>
      <c r="AU234" s="81">
        <v>642</v>
      </c>
      <c r="AV234" s="81"/>
      <c r="AW234" s="81" t="b">
        <v>0</v>
      </c>
      <c r="AX234" s="81" t="s">
        <v>3728</v>
      </c>
      <c r="AY234" s="84" t="str">
        <f>HYPERLINK("https://twitter.com/slpng_giants_pt")</f>
        <v>https://twitter.com/slpng_giants_pt</v>
      </c>
      <c r="AZ234" s="81" t="s">
        <v>65</v>
      </c>
      <c r="BA234" s="2"/>
      <c r="BB234" s="3"/>
      <c r="BC234" s="3"/>
      <c r="BD234" s="3"/>
      <c r="BE234" s="3"/>
    </row>
    <row r="235" spans="1:57" x14ac:dyDescent="0.35">
      <c r="A235" s="66" t="s">
        <v>4272</v>
      </c>
      <c r="B235" s="67"/>
      <c r="C235" s="67"/>
      <c r="D235" s="68"/>
      <c r="E235" s="94"/>
      <c r="F235" s="93" t="str">
        <f>HYPERLINK("https://pbs.twimg.com/profile_images/744845925064019968/9rfVJUgH_normal.jpg")</f>
        <v>https://pbs.twimg.com/profile_images/744845925064019968/9rfVJUgH_normal.jpg</v>
      </c>
      <c r="G235" s="95"/>
      <c r="H235" s="71"/>
      <c r="I235" s="72"/>
      <c r="J235" s="96"/>
      <c r="K235" s="71" t="s">
        <v>11533</v>
      </c>
      <c r="L235" s="97"/>
      <c r="M235" s="76"/>
      <c r="N235" s="76"/>
      <c r="O235" s="77"/>
      <c r="P235" s="78"/>
      <c r="Q235" s="78"/>
      <c r="R235" s="92"/>
      <c r="S235" s="92"/>
      <c r="T235" s="92"/>
      <c r="U235" s="92"/>
      <c r="V235" s="52"/>
      <c r="W235" s="52"/>
      <c r="X235" s="52"/>
      <c r="Y235" s="52"/>
      <c r="Z235" s="51"/>
      <c r="AA235" s="73"/>
      <c r="AB235" s="73"/>
      <c r="AC235" s="74"/>
      <c r="AD235" s="81" t="s">
        <v>8165</v>
      </c>
      <c r="AE235" s="86" t="s">
        <v>9226</v>
      </c>
      <c r="AF235" s="81">
        <v>484</v>
      </c>
      <c r="AG235" s="81">
        <v>786</v>
      </c>
      <c r="AH235" s="81">
        <v>25837</v>
      </c>
      <c r="AI235" s="81">
        <v>4228</v>
      </c>
      <c r="AJ235" s="81"/>
      <c r="AK235" s="81" t="s">
        <v>10181</v>
      </c>
      <c r="AL235" s="81" t="s">
        <v>10990</v>
      </c>
      <c r="AM235" s="81"/>
      <c r="AN235" s="81"/>
      <c r="AO235" s="83">
        <v>39996.639027777775</v>
      </c>
      <c r="AP235" s="84" t="str">
        <f>HYPERLINK("https://pbs.twimg.com/profile_banners/53090898/1347973595")</f>
        <v>https://pbs.twimg.com/profile_banners/53090898/1347973595</v>
      </c>
      <c r="AQ235" s="81" t="b">
        <v>0</v>
      </c>
      <c r="AR235" s="81" t="b">
        <v>0</v>
      </c>
      <c r="AS235" s="81" t="b">
        <v>1</v>
      </c>
      <c r="AT235" s="81"/>
      <c r="AU235" s="81">
        <v>14</v>
      </c>
      <c r="AV235" s="84" t="str">
        <f>HYPERLINK("https://abs.twimg.com/images/themes/theme18/bg.gif")</f>
        <v>https://abs.twimg.com/images/themes/theme18/bg.gif</v>
      </c>
      <c r="AW235" s="81" t="b">
        <v>0</v>
      </c>
      <c r="AX235" s="81" t="s">
        <v>3728</v>
      </c>
      <c r="AY235" s="84" t="str">
        <f>HYPERLINK("https://twitter.com/pedrofelixrocha")</f>
        <v>https://twitter.com/pedrofelixrocha</v>
      </c>
      <c r="AZ235" s="81" t="s">
        <v>66</v>
      </c>
      <c r="BA235" s="2"/>
      <c r="BB235" s="3"/>
      <c r="BC235" s="3"/>
      <c r="BD235" s="3"/>
      <c r="BE235" s="3"/>
    </row>
    <row r="236" spans="1:57" x14ac:dyDescent="0.35">
      <c r="A236" s="66" t="s">
        <v>4273</v>
      </c>
      <c r="B236" s="67"/>
      <c r="C236" s="67"/>
      <c r="D236" s="68"/>
      <c r="E236" s="94"/>
      <c r="F236" s="93" t="str">
        <f>HYPERLINK("https://pbs.twimg.com/profile_images/1374407865566261255/bNjE9HnU_normal.jpg")</f>
        <v>https://pbs.twimg.com/profile_images/1374407865566261255/bNjE9HnU_normal.jpg</v>
      </c>
      <c r="G236" s="95"/>
      <c r="H236" s="71"/>
      <c r="I236" s="72"/>
      <c r="J236" s="96"/>
      <c r="K236" s="71" t="s">
        <v>11534</v>
      </c>
      <c r="L236" s="97"/>
      <c r="M236" s="76"/>
      <c r="N236" s="76"/>
      <c r="O236" s="77"/>
      <c r="P236" s="78"/>
      <c r="Q236" s="78"/>
      <c r="R236" s="92"/>
      <c r="S236" s="92"/>
      <c r="T236" s="92"/>
      <c r="U236" s="92"/>
      <c r="V236" s="52"/>
      <c r="W236" s="52"/>
      <c r="X236" s="52"/>
      <c r="Y236" s="52"/>
      <c r="Z236" s="51"/>
      <c r="AA236" s="73"/>
      <c r="AB236" s="73"/>
      <c r="AC236" s="74"/>
      <c r="AD236" s="81" t="s">
        <v>8166</v>
      </c>
      <c r="AE236" s="86" t="s">
        <v>9227</v>
      </c>
      <c r="AF236" s="81">
        <v>295</v>
      </c>
      <c r="AG236" s="81">
        <v>30952</v>
      </c>
      <c r="AH236" s="81">
        <v>10784</v>
      </c>
      <c r="AI236" s="81">
        <v>3162</v>
      </c>
      <c r="AJ236" s="81"/>
      <c r="AK236" s="81" t="s">
        <v>10182</v>
      </c>
      <c r="AL236" s="81" t="s">
        <v>11050</v>
      </c>
      <c r="AM236" s="84" t="str">
        <f>HYPERLINK("https://t.co/aaAnbBYpnj")</f>
        <v>https://t.co/aaAnbBYpnj</v>
      </c>
      <c r="AN236" s="81"/>
      <c r="AO236" s="83">
        <v>43301.797939814816</v>
      </c>
      <c r="AP236" s="84" t="str">
        <f>HYPERLINK("https://pbs.twimg.com/profile_banners/1020385106727440384/1616519947")</f>
        <v>https://pbs.twimg.com/profile_banners/1020385106727440384/1616519947</v>
      </c>
      <c r="AQ236" s="81" t="b">
        <v>1</v>
      </c>
      <c r="AR236" s="81" t="b">
        <v>0</v>
      </c>
      <c r="AS236" s="81" t="b">
        <v>0</v>
      </c>
      <c r="AT236" s="81"/>
      <c r="AU236" s="81">
        <v>142</v>
      </c>
      <c r="AV236" s="81"/>
      <c r="AW236" s="81" t="b">
        <v>1</v>
      </c>
      <c r="AX236" s="81" t="s">
        <v>3728</v>
      </c>
      <c r="AY236" s="84" t="str">
        <f>HYPERLINK("https://twitter.com/capes_oficial")</f>
        <v>https://twitter.com/capes_oficial</v>
      </c>
      <c r="AZ236" s="81" t="s">
        <v>66</v>
      </c>
      <c r="BA236" s="2"/>
      <c r="BB236" s="3"/>
      <c r="BC236" s="3"/>
      <c r="BD236" s="3"/>
      <c r="BE236" s="3"/>
    </row>
    <row r="237" spans="1:57" x14ac:dyDescent="0.35">
      <c r="A237" s="66" t="s">
        <v>4274</v>
      </c>
      <c r="B237" s="67"/>
      <c r="C237" s="67"/>
      <c r="D237" s="68"/>
      <c r="E237" s="94"/>
      <c r="F237" s="93" t="str">
        <f>HYPERLINK("https://pbs.twimg.com/profile_images/1124742514152562689/KNKRbQzg_normal.jpg")</f>
        <v>https://pbs.twimg.com/profile_images/1124742514152562689/KNKRbQzg_normal.jpg</v>
      </c>
      <c r="G237" s="95"/>
      <c r="H237" s="71"/>
      <c r="I237" s="72"/>
      <c r="J237" s="96"/>
      <c r="K237" s="71" t="s">
        <v>11535</v>
      </c>
      <c r="L237" s="97"/>
      <c r="M237" s="76"/>
      <c r="N237" s="76"/>
      <c r="O237" s="77"/>
      <c r="P237" s="78"/>
      <c r="Q237" s="78"/>
      <c r="R237" s="92"/>
      <c r="S237" s="92"/>
      <c r="T237" s="92"/>
      <c r="U237" s="92"/>
      <c r="V237" s="52"/>
      <c r="W237" s="52"/>
      <c r="X237" s="52"/>
      <c r="Y237" s="52"/>
      <c r="Z237" s="51"/>
      <c r="AA237" s="73"/>
      <c r="AB237" s="73"/>
      <c r="AC237" s="74"/>
      <c r="AD237" s="81" t="s">
        <v>8167</v>
      </c>
      <c r="AE237" s="86" t="s">
        <v>7812</v>
      </c>
      <c r="AF237" s="81">
        <v>172</v>
      </c>
      <c r="AG237" s="81">
        <v>74</v>
      </c>
      <c r="AH237" s="81">
        <v>2032</v>
      </c>
      <c r="AI237" s="81">
        <v>33156</v>
      </c>
      <c r="AJ237" s="81"/>
      <c r="AK237" s="81" t="s">
        <v>10183</v>
      </c>
      <c r="AL237" s="81"/>
      <c r="AM237" s="81"/>
      <c r="AN237" s="81"/>
      <c r="AO237" s="83">
        <v>43589.765208333331</v>
      </c>
      <c r="AP237" s="84" t="str">
        <f>HYPERLINK("https://pbs.twimg.com/profile_banners/1124740952650854400/1620599601")</f>
        <v>https://pbs.twimg.com/profile_banners/1124740952650854400/1620599601</v>
      </c>
      <c r="AQ237" s="81" t="b">
        <v>1</v>
      </c>
      <c r="AR237" s="81" t="b">
        <v>0</v>
      </c>
      <c r="AS237" s="81" t="b">
        <v>0</v>
      </c>
      <c r="AT237" s="81"/>
      <c r="AU237" s="81">
        <v>0</v>
      </c>
      <c r="AV237" s="81"/>
      <c r="AW237" s="81" t="b">
        <v>0</v>
      </c>
      <c r="AX237" s="81" t="s">
        <v>3728</v>
      </c>
      <c r="AY237" s="84" t="str">
        <f>HYPERLINK("https://twitter.com/luiz3underline")</f>
        <v>https://twitter.com/luiz3underline</v>
      </c>
      <c r="AZ237" s="81" t="s">
        <v>66</v>
      </c>
      <c r="BA237" s="2"/>
      <c r="BB237" s="3"/>
      <c r="BC237" s="3"/>
      <c r="BD237" s="3"/>
      <c r="BE237" s="3"/>
    </row>
    <row r="238" spans="1:57" x14ac:dyDescent="0.35">
      <c r="A238" s="66" t="s">
        <v>5007</v>
      </c>
      <c r="B238" s="67"/>
      <c r="C238" s="67"/>
      <c r="D238" s="68"/>
      <c r="E238" s="94"/>
      <c r="F238" s="93" t="str">
        <f>HYPERLINK("https://pbs.twimg.com/profile_images/1406023278951534593/QlvN3nIo_normal.jpg")</f>
        <v>https://pbs.twimg.com/profile_images/1406023278951534593/QlvN3nIo_normal.jpg</v>
      </c>
      <c r="G238" s="95"/>
      <c r="H238" s="71"/>
      <c r="I238" s="72"/>
      <c r="J238" s="96"/>
      <c r="K238" s="71" t="s">
        <v>11536</v>
      </c>
      <c r="L238" s="97"/>
      <c r="M238" s="76"/>
      <c r="N238" s="76"/>
      <c r="O238" s="77"/>
      <c r="P238" s="78"/>
      <c r="Q238" s="78"/>
      <c r="R238" s="92"/>
      <c r="S238" s="92"/>
      <c r="T238" s="92"/>
      <c r="U238" s="92"/>
      <c r="V238" s="52"/>
      <c r="W238" s="52"/>
      <c r="X238" s="52"/>
      <c r="Y238" s="52"/>
      <c r="Z238" s="51"/>
      <c r="AA238" s="73"/>
      <c r="AB238" s="73"/>
      <c r="AC238" s="74"/>
      <c r="AD238" s="81" t="s">
        <v>8168</v>
      </c>
      <c r="AE238" s="86" t="s">
        <v>9228</v>
      </c>
      <c r="AF238" s="81">
        <v>676</v>
      </c>
      <c r="AG238" s="81">
        <v>21360</v>
      </c>
      <c r="AH238" s="81">
        <v>276727</v>
      </c>
      <c r="AI238" s="81">
        <v>59366</v>
      </c>
      <c r="AJ238" s="81"/>
      <c r="AK238" s="81" t="s">
        <v>10184</v>
      </c>
      <c r="AL238" s="81" t="s">
        <v>11051</v>
      </c>
      <c r="AM238" s="84" t="str">
        <f>HYPERLINK("https://t.co/4b5ZDhrY6L")</f>
        <v>https://t.co/4b5ZDhrY6L</v>
      </c>
      <c r="AN238" s="81"/>
      <c r="AO238" s="83">
        <v>39989.816620370373</v>
      </c>
      <c r="AP238" s="84" t="str">
        <f>HYPERLINK("https://pbs.twimg.com/profile_banners/50743952/1606772648")</f>
        <v>https://pbs.twimg.com/profile_banners/50743952/1606772648</v>
      </c>
      <c r="AQ238" s="81" t="b">
        <v>0</v>
      </c>
      <c r="AR238" s="81" t="b">
        <v>0</v>
      </c>
      <c r="AS238" s="81" t="b">
        <v>1</v>
      </c>
      <c r="AT238" s="81"/>
      <c r="AU238" s="81">
        <v>103</v>
      </c>
      <c r="AV238" s="84" t="str">
        <f>HYPERLINK("https://abs.twimg.com/images/themes/theme9/bg.gif")</f>
        <v>https://abs.twimg.com/images/themes/theme9/bg.gif</v>
      </c>
      <c r="AW238" s="81" t="b">
        <v>0</v>
      </c>
      <c r="AX238" s="81" t="s">
        <v>3728</v>
      </c>
      <c r="AY238" s="84" t="str">
        <f>HYPERLINK("https://twitter.com/dotoracamis")</f>
        <v>https://twitter.com/dotoracamis</v>
      </c>
      <c r="AZ238" s="81" t="s">
        <v>65</v>
      </c>
      <c r="BA238" s="2"/>
      <c r="BB238" s="3"/>
      <c r="BC238" s="3"/>
      <c r="BD238" s="3"/>
      <c r="BE238" s="3"/>
    </row>
    <row r="239" spans="1:57" x14ac:dyDescent="0.35">
      <c r="A239" s="66" t="s">
        <v>5008</v>
      </c>
      <c r="B239" s="67"/>
      <c r="C239" s="67"/>
      <c r="D239" s="68"/>
      <c r="E239" s="94"/>
      <c r="F239" s="93" t="str">
        <f>HYPERLINK("https://pbs.twimg.com/profile_images/1426740889121169415/GXzKEDag_normal.jpg")</f>
        <v>https://pbs.twimg.com/profile_images/1426740889121169415/GXzKEDag_normal.jpg</v>
      </c>
      <c r="G239" s="95"/>
      <c r="H239" s="71"/>
      <c r="I239" s="72"/>
      <c r="J239" s="96"/>
      <c r="K239" s="71" t="s">
        <v>11537</v>
      </c>
      <c r="L239" s="97"/>
      <c r="M239" s="76"/>
      <c r="N239" s="76"/>
      <c r="O239" s="77"/>
      <c r="P239" s="78"/>
      <c r="Q239" s="78"/>
      <c r="R239" s="92"/>
      <c r="S239" s="92"/>
      <c r="T239" s="92"/>
      <c r="U239" s="92"/>
      <c r="V239" s="52"/>
      <c r="W239" s="52"/>
      <c r="X239" s="52"/>
      <c r="Y239" s="52"/>
      <c r="Z239" s="51"/>
      <c r="AA239" s="73"/>
      <c r="AB239" s="73"/>
      <c r="AC239" s="74"/>
      <c r="AD239" s="81" t="s">
        <v>8169</v>
      </c>
      <c r="AE239" s="86" t="s">
        <v>9229</v>
      </c>
      <c r="AF239" s="81">
        <v>109</v>
      </c>
      <c r="AG239" s="81">
        <v>9</v>
      </c>
      <c r="AH239" s="81">
        <v>183</v>
      </c>
      <c r="AI239" s="81">
        <v>1467</v>
      </c>
      <c r="AJ239" s="81"/>
      <c r="AK239" s="81" t="s">
        <v>10185</v>
      </c>
      <c r="AL239" s="81" t="s">
        <v>11052</v>
      </c>
      <c r="AM239" s="81"/>
      <c r="AN239" s="81"/>
      <c r="AO239" s="83">
        <v>42333.497013888889</v>
      </c>
      <c r="AP239" s="84" t="str">
        <f>HYPERLINK("https://pbs.twimg.com/profile_banners/4274118317/1568233264")</f>
        <v>https://pbs.twimg.com/profile_banners/4274118317/1568233264</v>
      </c>
      <c r="AQ239" s="81" t="b">
        <v>1</v>
      </c>
      <c r="AR239" s="81" t="b">
        <v>0</v>
      </c>
      <c r="AS239" s="81" t="b">
        <v>0</v>
      </c>
      <c r="AT239" s="81"/>
      <c r="AU239" s="81">
        <v>0</v>
      </c>
      <c r="AV239" s="84" t="str">
        <f>HYPERLINK("https://abs.twimg.com/images/themes/theme1/bg.png")</f>
        <v>https://abs.twimg.com/images/themes/theme1/bg.png</v>
      </c>
      <c r="AW239" s="81" t="b">
        <v>0</v>
      </c>
      <c r="AX239" s="81" t="s">
        <v>3728</v>
      </c>
      <c r="AY239" s="84" t="str">
        <f>HYPERLINK("https://twitter.com/ninemends")</f>
        <v>https://twitter.com/ninemends</v>
      </c>
      <c r="AZ239" s="81" t="s">
        <v>65</v>
      </c>
      <c r="BA239" s="2"/>
      <c r="BB239" s="3"/>
      <c r="BC239" s="3"/>
      <c r="BD239" s="3"/>
      <c r="BE239" s="3"/>
    </row>
    <row r="240" spans="1:57" x14ac:dyDescent="0.35">
      <c r="A240" s="66" t="s">
        <v>5009</v>
      </c>
      <c r="B240" s="67"/>
      <c r="C240" s="67"/>
      <c r="D240" s="68"/>
      <c r="E240" s="94"/>
      <c r="F240" s="93" t="str">
        <f>HYPERLINK("https://pbs.twimg.com/profile_images/1436901833533005824/vLMi-3-b_normal.jpg")</f>
        <v>https://pbs.twimg.com/profile_images/1436901833533005824/vLMi-3-b_normal.jpg</v>
      </c>
      <c r="G240" s="95"/>
      <c r="H240" s="71"/>
      <c r="I240" s="72"/>
      <c r="J240" s="96"/>
      <c r="K240" s="71" t="s">
        <v>11538</v>
      </c>
      <c r="L240" s="97"/>
      <c r="M240" s="76"/>
      <c r="N240" s="76"/>
      <c r="O240" s="77"/>
      <c r="P240" s="78"/>
      <c r="Q240" s="78"/>
      <c r="R240" s="92"/>
      <c r="S240" s="92"/>
      <c r="T240" s="92"/>
      <c r="U240" s="92"/>
      <c r="V240" s="52"/>
      <c r="W240" s="52"/>
      <c r="X240" s="52"/>
      <c r="Y240" s="52"/>
      <c r="Z240" s="51"/>
      <c r="AA240" s="73"/>
      <c r="AB240" s="73"/>
      <c r="AC240" s="74"/>
      <c r="AD240" s="81" t="s">
        <v>8170</v>
      </c>
      <c r="AE240" s="86" t="s">
        <v>9230</v>
      </c>
      <c r="AF240" s="81">
        <v>108</v>
      </c>
      <c r="AG240" s="81">
        <v>26</v>
      </c>
      <c r="AH240" s="81">
        <v>9487</v>
      </c>
      <c r="AI240" s="81">
        <v>0</v>
      </c>
      <c r="AJ240" s="81"/>
      <c r="AK240" s="81" t="s">
        <v>10186</v>
      </c>
      <c r="AL240" s="81"/>
      <c r="AM240" s="81"/>
      <c r="AN240" s="81"/>
      <c r="AO240" s="83">
        <v>43829.890763888892</v>
      </c>
      <c r="AP240" s="84" t="str">
        <f>HYPERLINK("https://pbs.twimg.com/profile_banners/1211759471480848384/1626256129")</f>
        <v>https://pbs.twimg.com/profile_banners/1211759471480848384/1626256129</v>
      </c>
      <c r="AQ240" s="81" t="b">
        <v>1</v>
      </c>
      <c r="AR240" s="81" t="b">
        <v>0</v>
      </c>
      <c r="AS240" s="81" t="b">
        <v>0</v>
      </c>
      <c r="AT240" s="81"/>
      <c r="AU240" s="81">
        <v>0</v>
      </c>
      <c r="AV240" s="81"/>
      <c r="AW240" s="81" t="b">
        <v>0</v>
      </c>
      <c r="AX240" s="81" t="s">
        <v>3728</v>
      </c>
      <c r="AY240" s="84" t="str">
        <f>HYPERLINK("https://twitter.com/divadinnaberta")</f>
        <v>https://twitter.com/divadinnaberta</v>
      </c>
      <c r="AZ240" s="81" t="s">
        <v>65</v>
      </c>
      <c r="BA240" s="2"/>
      <c r="BB240" s="3"/>
      <c r="BC240" s="3"/>
      <c r="BD240" s="3"/>
      <c r="BE240" s="3"/>
    </row>
    <row r="241" spans="1:57" x14ac:dyDescent="0.35">
      <c r="A241" s="66" t="s">
        <v>5010</v>
      </c>
      <c r="B241" s="67"/>
      <c r="C241" s="67"/>
      <c r="D241" s="68"/>
      <c r="E241" s="94"/>
      <c r="F241" s="93" t="str">
        <f>HYPERLINK("https://pbs.twimg.com/profile_images/1175854771527397378/GA-Q1Zz6_normal.jpg")</f>
        <v>https://pbs.twimg.com/profile_images/1175854771527397378/GA-Q1Zz6_normal.jpg</v>
      </c>
      <c r="G241" s="95"/>
      <c r="H241" s="71"/>
      <c r="I241" s="72"/>
      <c r="J241" s="96"/>
      <c r="K241" s="71" t="s">
        <v>11539</v>
      </c>
      <c r="L241" s="97"/>
      <c r="M241" s="76"/>
      <c r="N241" s="76"/>
      <c r="O241" s="77"/>
      <c r="P241" s="78"/>
      <c r="Q241" s="78"/>
      <c r="R241" s="92"/>
      <c r="S241" s="92"/>
      <c r="T241" s="92"/>
      <c r="U241" s="92"/>
      <c r="V241" s="52"/>
      <c r="W241" s="52"/>
      <c r="X241" s="52"/>
      <c r="Y241" s="52"/>
      <c r="Z241" s="51"/>
      <c r="AA241" s="73"/>
      <c r="AB241" s="73"/>
      <c r="AC241" s="74"/>
      <c r="AD241" s="81" t="s">
        <v>8171</v>
      </c>
      <c r="AE241" s="86" t="s">
        <v>9231</v>
      </c>
      <c r="AF241" s="81">
        <v>29</v>
      </c>
      <c r="AG241" s="81">
        <v>13</v>
      </c>
      <c r="AH241" s="81">
        <v>499</v>
      </c>
      <c r="AI241" s="81">
        <v>1138</v>
      </c>
      <c r="AJ241" s="81"/>
      <c r="AK241" s="81" t="s">
        <v>10187</v>
      </c>
      <c r="AL241" s="81" t="s">
        <v>10969</v>
      </c>
      <c r="AM241" s="81"/>
      <c r="AN241" s="81"/>
      <c r="AO241" s="83">
        <v>43050.683067129627</v>
      </c>
      <c r="AP241" s="84" t="str">
        <f>HYPERLINK("https://pbs.twimg.com/profile_banners/929384126406451200/1601591905")</f>
        <v>https://pbs.twimg.com/profile_banners/929384126406451200/1601591905</v>
      </c>
      <c r="AQ241" s="81" t="b">
        <v>0</v>
      </c>
      <c r="AR241" s="81" t="b">
        <v>0</v>
      </c>
      <c r="AS241" s="81" t="b">
        <v>0</v>
      </c>
      <c r="AT241" s="81"/>
      <c r="AU241" s="81">
        <v>0</v>
      </c>
      <c r="AV241" s="84" t="str">
        <f>HYPERLINK("https://abs.twimg.com/images/themes/theme1/bg.png")</f>
        <v>https://abs.twimg.com/images/themes/theme1/bg.png</v>
      </c>
      <c r="AW241" s="81" t="b">
        <v>0</v>
      </c>
      <c r="AX241" s="81" t="s">
        <v>3728</v>
      </c>
      <c r="AY241" s="84" t="str">
        <f>HYPERLINK("https://twitter.com/stellanaoartois")</f>
        <v>https://twitter.com/stellanaoartois</v>
      </c>
      <c r="AZ241" s="81" t="s">
        <v>65</v>
      </c>
      <c r="BA241" s="2"/>
      <c r="BB241" s="3"/>
      <c r="BC241" s="3"/>
      <c r="BD241" s="3"/>
      <c r="BE241" s="3"/>
    </row>
    <row r="242" spans="1:57" x14ac:dyDescent="0.35">
      <c r="A242" s="66" t="s">
        <v>4275</v>
      </c>
      <c r="B242" s="67"/>
      <c r="C242" s="67"/>
      <c r="D242" s="68"/>
      <c r="E242" s="94"/>
      <c r="F242" s="93" t="str">
        <f>HYPERLINK("https://pbs.twimg.com/profile_images/1365822640854818825/se0hzumt_normal.jpg")</f>
        <v>https://pbs.twimg.com/profile_images/1365822640854818825/se0hzumt_normal.jpg</v>
      </c>
      <c r="G242" s="95"/>
      <c r="H242" s="71"/>
      <c r="I242" s="72"/>
      <c r="J242" s="96"/>
      <c r="K242" s="71" t="s">
        <v>11540</v>
      </c>
      <c r="L242" s="97"/>
      <c r="M242" s="76"/>
      <c r="N242" s="76"/>
      <c r="O242" s="77"/>
      <c r="P242" s="78"/>
      <c r="Q242" s="78"/>
      <c r="R242" s="92"/>
      <c r="S242" s="92"/>
      <c r="T242" s="92"/>
      <c r="U242" s="92"/>
      <c r="V242" s="52"/>
      <c r="W242" s="52"/>
      <c r="X242" s="52"/>
      <c r="Y242" s="52"/>
      <c r="Z242" s="51"/>
      <c r="AA242" s="73"/>
      <c r="AB242" s="73"/>
      <c r="AC242" s="74"/>
      <c r="AD242" s="81" t="s">
        <v>8172</v>
      </c>
      <c r="AE242" s="86" t="s">
        <v>9232</v>
      </c>
      <c r="AF242" s="81">
        <v>1780</v>
      </c>
      <c r="AG242" s="81">
        <v>1656</v>
      </c>
      <c r="AH242" s="81">
        <v>5940</v>
      </c>
      <c r="AI242" s="81">
        <v>42561</v>
      </c>
      <c r="AJ242" s="81"/>
      <c r="AK242" s="81" t="s">
        <v>10188</v>
      </c>
      <c r="AL242" s="81"/>
      <c r="AM242" s="81"/>
      <c r="AN242" s="81"/>
      <c r="AO242" s="83">
        <v>43982.083784722221</v>
      </c>
      <c r="AP242" s="84" t="str">
        <f>HYPERLINK("https://pbs.twimg.com/profile_banners/1266912166919245825/1631099205")</f>
        <v>https://pbs.twimg.com/profile_banners/1266912166919245825/1631099205</v>
      </c>
      <c r="AQ242" s="81" t="b">
        <v>1</v>
      </c>
      <c r="AR242" s="81" t="b">
        <v>0</v>
      </c>
      <c r="AS242" s="81" t="b">
        <v>0</v>
      </c>
      <c r="AT242" s="81"/>
      <c r="AU242" s="81">
        <v>1</v>
      </c>
      <c r="AV242" s="81"/>
      <c r="AW242" s="81" t="b">
        <v>0</v>
      </c>
      <c r="AX242" s="81" t="s">
        <v>3728</v>
      </c>
      <c r="AY242" s="84" t="str">
        <f>HYPERLINK("https://twitter.com/mab2828")</f>
        <v>https://twitter.com/mab2828</v>
      </c>
      <c r="AZ242" s="81" t="s">
        <v>66</v>
      </c>
      <c r="BA242" s="2"/>
      <c r="BB242" s="3"/>
      <c r="BC242" s="3"/>
      <c r="BD242" s="3"/>
      <c r="BE242" s="3"/>
    </row>
    <row r="243" spans="1:57" x14ac:dyDescent="0.35">
      <c r="A243" s="66" t="s">
        <v>5011</v>
      </c>
      <c r="B243" s="67"/>
      <c r="C243" s="67"/>
      <c r="D243" s="68"/>
      <c r="E243" s="94"/>
      <c r="F243" s="93" t="str">
        <f>HYPERLINK("https://pbs.twimg.com/profile_images/1409668442395926528/iA0hbC2M_normal.jpg")</f>
        <v>https://pbs.twimg.com/profile_images/1409668442395926528/iA0hbC2M_normal.jpg</v>
      </c>
      <c r="G243" s="95"/>
      <c r="H243" s="71"/>
      <c r="I243" s="72"/>
      <c r="J243" s="96"/>
      <c r="K243" s="71" t="s">
        <v>11541</v>
      </c>
      <c r="L243" s="97"/>
      <c r="M243" s="76"/>
      <c r="N243" s="76"/>
      <c r="O243" s="77"/>
      <c r="P243" s="78"/>
      <c r="Q243" s="78"/>
      <c r="R243" s="92"/>
      <c r="S243" s="92"/>
      <c r="T243" s="92"/>
      <c r="U243" s="92"/>
      <c r="V243" s="52"/>
      <c r="W243" s="52"/>
      <c r="X243" s="52"/>
      <c r="Y243" s="52"/>
      <c r="Z243" s="51"/>
      <c r="AA243" s="73"/>
      <c r="AB243" s="73"/>
      <c r="AC243" s="74"/>
      <c r="AD243" s="81" t="s">
        <v>8173</v>
      </c>
      <c r="AE243" s="86" t="s">
        <v>7813</v>
      </c>
      <c r="AF243" s="81">
        <v>27</v>
      </c>
      <c r="AG243" s="81">
        <v>12</v>
      </c>
      <c r="AH243" s="81">
        <v>69</v>
      </c>
      <c r="AI243" s="81">
        <v>243</v>
      </c>
      <c r="AJ243" s="81"/>
      <c r="AK243" s="81" t="s">
        <v>10189</v>
      </c>
      <c r="AL243" s="81" t="s">
        <v>11053</v>
      </c>
      <c r="AM243" s="81"/>
      <c r="AN243" s="81"/>
      <c r="AO243" s="83">
        <v>44376.006979166668</v>
      </c>
      <c r="AP243" s="81"/>
      <c r="AQ243" s="81" t="b">
        <v>1</v>
      </c>
      <c r="AR243" s="81" t="b">
        <v>0</v>
      </c>
      <c r="AS243" s="81" t="b">
        <v>0</v>
      </c>
      <c r="AT243" s="81"/>
      <c r="AU243" s="81">
        <v>0</v>
      </c>
      <c r="AV243" s="81"/>
      <c r="AW243" s="81" t="b">
        <v>0</v>
      </c>
      <c r="AX243" s="81" t="s">
        <v>3728</v>
      </c>
      <c r="AY243" s="84" t="str">
        <f>HYPERLINK("https://twitter.com/fialholeles")</f>
        <v>https://twitter.com/fialholeles</v>
      </c>
      <c r="AZ243" s="81" t="s">
        <v>65</v>
      </c>
      <c r="BA243" s="2"/>
      <c r="BB243" s="3"/>
      <c r="BC243" s="3"/>
      <c r="BD243" s="3"/>
      <c r="BE243" s="3"/>
    </row>
    <row r="244" spans="1:57" x14ac:dyDescent="0.35">
      <c r="A244" s="66" t="s">
        <v>5012</v>
      </c>
      <c r="B244" s="67"/>
      <c r="C244" s="67"/>
      <c r="D244" s="68"/>
      <c r="E244" s="94"/>
      <c r="F244" s="93" t="str">
        <f>HYPERLINK("https://pbs.twimg.com/profile_images/1435251860361908233/AEmosUGr_normal.jpg")</f>
        <v>https://pbs.twimg.com/profile_images/1435251860361908233/AEmosUGr_normal.jpg</v>
      </c>
      <c r="G244" s="95"/>
      <c r="H244" s="71"/>
      <c r="I244" s="72"/>
      <c r="J244" s="96"/>
      <c r="K244" s="71" t="s">
        <v>11542</v>
      </c>
      <c r="L244" s="97"/>
      <c r="M244" s="76"/>
      <c r="N244" s="76"/>
      <c r="O244" s="77"/>
      <c r="P244" s="78"/>
      <c r="Q244" s="78"/>
      <c r="R244" s="92"/>
      <c r="S244" s="92"/>
      <c r="T244" s="92"/>
      <c r="U244" s="92"/>
      <c r="V244" s="52"/>
      <c r="W244" s="52"/>
      <c r="X244" s="52"/>
      <c r="Y244" s="52"/>
      <c r="Z244" s="51"/>
      <c r="AA244" s="73"/>
      <c r="AB244" s="73"/>
      <c r="AC244" s="74"/>
      <c r="AD244" s="81" t="s">
        <v>8174</v>
      </c>
      <c r="AE244" s="86" t="s">
        <v>7814</v>
      </c>
      <c r="AF244" s="81">
        <v>122</v>
      </c>
      <c r="AG244" s="81">
        <v>25</v>
      </c>
      <c r="AH244" s="81">
        <v>357</v>
      </c>
      <c r="AI244" s="81">
        <v>543</v>
      </c>
      <c r="AJ244" s="81"/>
      <c r="AK244" s="81" t="s">
        <v>10190</v>
      </c>
      <c r="AL244" s="81" t="s">
        <v>11054</v>
      </c>
      <c r="AM244" s="81"/>
      <c r="AN244" s="81"/>
      <c r="AO244" s="83">
        <v>44011.899976851855</v>
      </c>
      <c r="AP244" s="81"/>
      <c r="AQ244" s="81" t="b">
        <v>1</v>
      </c>
      <c r="AR244" s="81" t="b">
        <v>0</v>
      </c>
      <c r="AS244" s="81" t="b">
        <v>0</v>
      </c>
      <c r="AT244" s="81"/>
      <c r="AU244" s="81">
        <v>0</v>
      </c>
      <c r="AV244" s="81"/>
      <c r="AW244" s="81" t="b">
        <v>0</v>
      </c>
      <c r="AX244" s="81" t="s">
        <v>3728</v>
      </c>
      <c r="AY244" s="84" t="str">
        <f>HYPERLINK("https://twitter.com/isabelrizzo9")</f>
        <v>https://twitter.com/isabelrizzo9</v>
      </c>
      <c r="AZ244" s="81" t="s">
        <v>65</v>
      </c>
      <c r="BA244" s="2"/>
      <c r="BB244" s="3"/>
      <c r="BC244" s="3"/>
      <c r="BD244" s="3"/>
      <c r="BE244" s="3"/>
    </row>
    <row r="245" spans="1:57" x14ac:dyDescent="0.35">
      <c r="A245" s="66" t="s">
        <v>4276</v>
      </c>
      <c r="B245" s="67"/>
      <c r="C245" s="67"/>
      <c r="D245" s="68"/>
      <c r="E245" s="94"/>
      <c r="F245" s="93" t="str">
        <f>HYPERLINK("https://pbs.twimg.com/profile_images/1441127495185620992/_pxNSGh1_normal.jpg")</f>
        <v>https://pbs.twimg.com/profile_images/1441127495185620992/_pxNSGh1_normal.jpg</v>
      </c>
      <c r="G245" s="95"/>
      <c r="H245" s="71"/>
      <c r="I245" s="72"/>
      <c r="J245" s="96"/>
      <c r="K245" s="71" t="s">
        <v>11543</v>
      </c>
      <c r="L245" s="97"/>
      <c r="M245" s="76"/>
      <c r="N245" s="76"/>
      <c r="O245" s="77"/>
      <c r="P245" s="78"/>
      <c r="Q245" s="78"/>
      <c r="R245" s="92"/>
      <c r="S245" s="92"/>
      <c r="T245" s="92"/>
      <c r="U245" s="92"/>
      <c r="V245" s="52"/>
      <c r="W245" s="52"/>
      <c r="X245" s="52"/>
      <c r="Y245" s="52"/>
      <c r="Z245" s="51"/>
      <c r="AA245" s="73"/>
      <c r="AB245" s="73"/>
      <c r="AC245" s="74"/>
      <c r="AD245" s="81" t="s">
        <v>8175</v>
      </c>
      <c r="AE245" s="86" t="s">
        <v>9233</v>
      </c>
      <c r="AF245" s="81">
        <v>1409</v>
      </c>
      <c r="AG245" s="81">
        <v>1105</v>
      </c>
      <c r="AH245" s="81">
        <v>4343</v>
      </c>
      <c r="AI245" s="81">
        <v>73652</v>
      </c>
      <c r="AJ245" s="81"/>
      <c r="AK245" s="81" t="s">
        <v>10191</v>
      </c>
      <c r="AL245" s="81" t="s">
        <v>11055</v>
      </c>
      <c r="AM245" s="81"/>
      <c r="AN245" s="81"/>
      <c r="AO245" s="83">
        <v>43567.045949074076</v>
      </c>
      <c r="AP245" s="84" t="str">
        <f>HYPERLINK("https://pbs.twimg.com/profile_banners/1116507770059149312/1571273661")</f>
        <v>https://pbs.twimg.com/profile_banners/1116507770059149312/1571273661</v>
      </c>
      <c r="AQ245" s="81" t="b">
        <v>1</v>
      </c>
      <c r="AR245" s="81" t="b">
        <v>0</v>
      </c>
      <c r="AS245" s="81" t="b">
        <v>0</v>
      </c>
      <c r="AT245" s="81"/>
      <c r="AU245" s="81">
        <v>0</v>
      </c>
      <c r="AV245" s="81"/>
      <c r="AW245" s="81" t="b">
        <v>0</v>
      </c>
      <c r="AX245" s="81" t="s">
        <v>3728</v>
      </c>
      <c r="AY245" s="84" t="str">
        <f>HYPERLINK("https://twitter.com/dyluisa2")</f>
        <v>https://twitter.com/dyluisa2</v>
      </c>
      <c r="AZ245" s="81" t="s">
        <v>66</v>
      </c>
      <c r="BA245" s="2"/>
      <c r="BB245" s="3"/>
      <c r="BC245" s="3"/>
      <c r="BD245" s="3"/>
      <c r="BE245" s="3"/>
    </row>
    <row r="246" spans="1:57" x14ac:dyDescent="0.35">
      <c r="A246" s="66" t="s">
        <v>5013</v>
      </c>
      <c r="B246" s="67"/>
      <c r="C246" s="67"/>
      <c r="D246" s="68"/>
      <c r="E246" s="94"/>
      <c r="F246" s="93" t="str">
        <f>HYPERLINK("https://pbs.twimg.com/profile_images/980908234189000713/LuI66bEC_normal.jpg")</f>
        <v>https://pbs.twimg.com/profile_images/980908234189000713/LuI66bEC_normal.jpg</v>
      </c>
      <c r="G246" s="95"/>
      <c r="H246" s="71"/>
      <c r="I246" s="72"/>
      <c r="J246" s="96"/>
      <c r="K246" s="71" t="s">
        <v>11544</v>
      </c>
      <c r="L246" s="97"/>
      <c r="M246" s="76"/>
      <c r="N246" s="76"/>
      <c r="O246" s="77"/>
      <c r="P246" s="78"/>
      <c r="Q246" s="78"/>
      <c r="R246" s="92"/>
      <c r="S246" s="92"/>
      <c r="T246" s="92"/>
      <c r="U246" s="92"/>
      <c r="V246" s="52"/>
      <c r="W246" s="52"/>
      <c r="X246" s="52"/>
      <c r="Y246" s="52"/>
      <c r="Z246" s="51"/>
      <c r="AA246" s="73"/>
      <c r="AB246" s="73"/>
      <c r="AC246" s="74"/>
      <c r="AD246" s="81" t="s">
        <v>8176</v>
      </c>
      <c r="AE246" s="86" t="s">
        <v>9234</v>
      </c>
      <c r="AF246" s="81">
        <v>4992</v>
      </c>
      <c r="AG246" s="81">
        <v>3636</v>
      </c>
      <c r="AH246" s="81">
        <v>277136</v>
      </c>
      <c r="AI246" s="81">
        <v>315426</v>
      </c>
      <c r="AJ246" s="81"/>
      <c r="AK246" s="81" t="s">
        <v>10192</v>
      </c>
      <c r="AL246" s="81"/>
      <c r="AM246" s="81"/>
      <c r="AN246" s="81"/>
      <c r="AO246" s="83">
        <v>40697.97115740741</v>
      </c>
      <c r="AP246" s="84" t="str">
        <f>HYPERLINK("https://pbs.twimg.com/profile_banners/310550036/1429294083")</f>
        <v>https://pbs.twimg.com/profile_banners/310550036/1429294083</v>
      </c>
      <c r="AQ246" s="81" t="b">
        <v>0</v>
      </c>
      <c r="AR246" s="81" t="b">
        <v>0</v>
      </c>
      <c r="AS246" s="81" t="b">
        <v>0</v>
      </c>
      <c r="AT246" s="81"/>
      <c r="AU246" s="81">
        <v>0</v>
      </c>
      <c r="AV246" s="84" t="str">
        <f>HYPERLINK("https://abs.twimg.com/images/themes/theme1/bg.png")</f>
        <v>https://abs.twimg.com/images/themes/theme1/bg.png</v>
      </c>
      <c r="AW246" s="81" t="b">
        <v>0</v>
      </c>
      <c r="AX246" s="81" t="s">
        <v>3728</v>
      </c>
      <c r="AY246" s="84" t="str">
        <f>HYPERLINK("https://twitter.com/zepykenu")</f>
        <v>https://twitter.com/zepykenu</v>
      </c>
      <c r="AZ246" s="81" t="s">
        <v>65</v>
      </c>
      <c r="BA246" s="2"/>
      <c r="BB246" s="3"/>
      <c r="BC246" s="3"/>
      <c r="BD246" s="3"/>
      <c r="BE246" s="3"/>
    </row>
    <row r="247" spans="1:57" x14ac:dyDescent="0.35">
      <c r="A247" s="66" t="s">
        <v>5014</v>
      </c>
      <c r="B247" s="67"/>
      <c r="C247" s="67"/>
      <c r="D247" s="68"/>
      <c r="E247" s="94"/>
      <c r="F247" s="93" t="str">
        <f>HYPERLINK("https://pbs.twimg.com/profile_images/1420546074507464704/L-dM5lwT_normal.jpg")</f>
        <v>https://pbs.twimg.com/profile_images/1420546074507464704/L-dM5lwT_normal.jpg</v>
      </c>
      <c r="G247" s="95"/>
      <c r="H247" s="71"/>
      <c r="I247" s="72"/>
      <c r="J247" s="96"/>
      <c r="K247" s="71" t="s">
        <v>11545</v>
      </c>
      <c r="L247" s="97"/>
      <c r="M247" s="76"/>
      <c r="N247" s="76"/>
      <c r="O247" s="77"/>
      <c r="P247" s="78"/>
      <c r="Q247" s="78"/>
      <c r="R247" s="92"/>
      <c r="S247" s="92"/>
      <c r="T247" s="92"/>
      <c r="U247" s="92"/>
      <c r="V247" s="52"/>
      <c r="W247" s="52"/>
      <c r="X247" s="52"/>
      <c r="Y247" s="52"/>
      <c r="Z247" s="51"/>
      <c r="AA247" s="73"/>
      <c r="AB247" s="73"/>
      <c r="AC247" s="74"/>
      <c r="AD247" s="81" t="s">
        <v>8177</v>
      </c>
      <c r="AE247" s="86" t="s">
        <v>7818</v>
      </c>
      <c r="AF247" s="81">
        <v>16160</v>
      </c>
      <c r="AG247" s="81">
        <v>17362</v>
      </c>
      <c r="AH247" s="81">
        <v>46403</v>
      </c>
      <c r="AI247" s="81">
        <v>94279</v>
      </c>
      <c r="AJ247" s="81"/>
      <c r="AK247" s="81" t="s">
        <v>10193</v>
      </c>
      <c r="AL247" s="81" t="s">
        <v>10973</v>
      </c>
      <c r="AM247" s="81"/>
      <c r="AN247" s="81"/>
      <c r="AO247" s="83">
        <v>43477.843240740738</v>
      </c>
      <c r="AP247" s="84" t="str">
        <f>HYPERLINK("https://pbs.twimg.com/profile_banners/1084181788082270209/1624667934")</f>
        <v>https://pbs.twimg.com/profile_banners/1084181788082270209/1624667934</v>
      </c>
      <c r="AQ247" s="81" t="b">
        <v>1</v>
      </c>
      <c r="AR247" s="81" t="b">
        <v>0</v>
      </c>
      <c r="AS247" s="81" t="b">
        <v>0</v>
      </c>
      <c r="AT247" s="81"/>
      <c r="AU247" s="81">
        <v>5</v>
      </c>
      <c r="AV247" s="81"/>
      <c r="AW247" s="81" t="b">
        <v>0</v>
      </c>
      <c r="AX247" s="81" t="s">
        <v>3728</v>
      </c>
      <c r="AY247" s="84" t="str">
        <f>HYPERLINK("https://twitter.com/anaprofbrasil")</f>
        <v>https://twitter.com/anaprofbrasil</v>
      </c>
      <c r="AZ247" s="81" t="s">
        <v>65</v>
      </c>
      <c r="BA247" s="2"/>
      <c r="BB247" s="3"/>
      <c r="BC247" s="3"/>
      <c r="BD247" s="3"/>
      <c r="BE247" s="3"/>
    </row>
    <row r="248" spans="1:57" x14ac:dyDescent="0.35">
      <c r="A248" s="66" t="s">
        <v>5015</v>
      </c>
      <c r="B248" s="67"/>
      <c r="C248" s="67"/>
      <c r="D248" s="68"/>
      <c r="E248" s="94"/>
      <c r="F248" s="93" t="str">
        <f>HYPERLINK("https://pbs.twimg.com/profile_images/978207619142836224/DH1t9T2N_normal.jpg")</f>
        <v>https://pbs.twimg.com/profile_images/978207619142836224/DH1t9T2N_normal.jpg</v>
      </c>
      <c r="G248" s="95"/>
      <c r="H248" s="71"/>
      <c r="I248" s="72"/>
      <c r="J248" s="96"/>
      <c r="K248" s="71" t="s">
        <v>11546</v>
      </c>
      <c r="L248" s="97"/>
      <c r="M248" s="76"/>
      <c r="N248" s="76"/>
      <c r="O248" s="77"/>
      <c r="P248" s="78"/>
      <c r="Q248" s="78"/>
      <c r="R248" s="92"/>
      <c r="S248" s="92"/>
      <c r="T248" s="92"/>
      <c r="U248" s="92"/>
      <c r="V248" s="52"/>
      <c r="W248" s="52"/>
      <c r="X248" s="52"/>
      <c r="Y248" s="52"/>
      <c r="Z248" s="51"/>
      <c r="AA248" s="73"/>
      <c r="AB248" s="73"/>
      <c r="AC248" s="74"/>
      <c r="AD248" s="81" t="s">
        <v>8178</v>
      </c>
      <c r="AE248" s="86" t="s">
        <v>7817</v>
      </c>
      <c r="AF248" s="81">
        <v>3281</v>
      </c>
      <c r="AG248" s="81">
        <v>3195</v>
      </c>
      <c r="AH248" s="81">
        <v>34427</v>
      </c>
      <c r="AI248" s="81">
        <v>41443</v>
      </c>
      <c r="AJ248" s="81"/>
      <c r="AK248" s="81" t="s">
        <v>10194</v>
      </c>
      <c r="AL248" s="81" t="s">
        <v>11056</v>
      </c>
      <c r="AM248" s="81"/>
      <c r="AN248" s="81"/>
      <c r="AO248" s="83">
        <v>43183.851203703707</v>
      </c>
      <c r="AP248" s="84" t="str">
        <f>HYPERLINK("https://pbs.twimg.com/profile_banners/977642641251799040/1631010148")</f>
        <v>https://pbs.twimg.com/profile_banners/977642641251799040/1631010148</v>
      </c>
      <c r="AQ248" s="81" t="b">
        <v>1</v>
      </c>
      <c r="AR248" s="81" t="b">
        <v>0</v>
      </c>
      <c r="AS248" s="81" t="b">
        <v>0</v>
      </c>
      <c r="AT248" s="81"/>
      <c r="AU248" s="81">
        <v>1</v>
      </c>
      <c r="AV248" s="81"/>
      <c r="AW248" s="81" t="b">
        <v>0</v>
      </c>
      <c r="AX248" s="81" t="s">
        <v>3728</v>
      </c>
      <c r="AY248" s="84" t="str">
        <f>HYPERLINK("https://twitter.com/arisouzadearau2")</f>
        <v>https://twitter.com/arisouzadearau2</v>
      </c>
      <c r="AZ248" s="81" t="s">
        <v>65</v>
      </c>
      <c r="BA248" s="2"/>
      <c r="BB248" s="3"/>
      <c r="BC248" s="3"/>
      <c r="BD248" s="3"/>
      <c r="BE248" s="3"/>
    </row>
    <row r="249" spans="1:57" x14ac:dyDescent="0.35">
      <c r="A249" s="66" t="s">
        <v>4277</v>
      </c>
      <c r="B249" s="67"/>
      <c r="C249" s="67"/>
      <c r="D249" s="68"/>
      <c r="E249" s="94"/>
      <c r="F249" s="93" t="str">
        <f>HYPERLINK("https://pbs.twimg.com/profile_images/1415425484012281859/E5sWEWvt_normal.jpg")</f>
        <v>https://pbs.twimg.com/profile_images/1415425484012281859/E5sWEWvt_normal.jpg</v>
      </c>
      <c r="G249" s="95"/>
      <c r="H249" s="71"/>
      <c r="I249" s="72"/>
      <c r="J249" s="96"/>
      <c r="K249" s="71" t="s">
        <v>11547</v>
      </c>
      <c r="L249" s="97"/>
      <c r="M249" s="76"/>
      <c r="N249" s="76"/>
      <c r="O249" s="77"/>
      <c r="P249" s="78"/>
      <c r="Q249" s="78"/>
      <c r="R249" s="92"/>
      <c r="S249" s="92"/>
      <c r="T249" s="92"/>
      <c r="U249" s="92"/>
      <c r="V249" s="52"/>
      <c r="W249" s="52"/>
      <c r="X249" s="52"/>
      <c r="Y249" s="52"/>
      <c r="Z249" s="51"/>
      <c r="AA249" s="73"/>
      <c r="AB249" s="73"/>
      <c r="AC249" s="74"/>
      <c r="AD249" s="81" t="s">
        <v>8179</v>
      </c>
      <c r="AE249" s="86" t="s">
        <v>9235</v>
      </c>
      <c r="AF249" s="81">
        <v>243</v>
      </c>
      <c r="AG249" s="81">
        <v>130</v>
      </c>
      <c r="AH249" s="81">
        <v>21438</v>
      </c>
      <c r="AI249" s="81">
        <v>20032</v>
      </c>
      <c r="AJ249" s="81"/>
      <c r="AK249" s="81" t="s">
        <v>10195</v>
      </c>
      <c r="AL249" s="81" t="s">
        <v>11057</v>
      </c>
      <c r="AM249" s="81"/>
      <c r="AN249" s="81"/>
      <c r="AO249" s="83">
        <v>43353.665023148147</v>
      </c>
      <c r="AP249" s="84" t="str">
        <f>HYPERLINK("https://pbs.twimg.com/profile_banners/1039181111505641472/1539900299")</f>
        <v>https://pbs.twimg.com/profile_banners/1039181111505641472/1539900299</v>
      </c>
      <c r="AQ249" s="81" t="b">
        <v>1</v>
      </c>
      <c r="AR249" s="81" t="b">
        <v>0</v>
      </c>
      <c r="AS249" s="81" t="b">
        <v>0</v>
      </c>
      <c r="AT249" s="81"/>
      <c r="AU249" s="81">
        <v>0</v>
      </c>
      <c r="AV249" s="81"/>
      <c r="AW249" s="81" t="b">
        <v>0</v>
      </c>
      <c r="AX249" s="81" t="s">
        <v>3728</v>
      </c>
      <c r="AY249" s="84" t="str">
        <f>HYPERLINK("https://twitter.com/andymay66667747")</f>
        <v>https://twitter.com/andymay66667747</v>
      </c>
      <c r="AZ249" s="81" t="s">
        <v>66</v>
      </c>
      <c r="BA249" s="2"/>
      <c r="BB249" s="3"/>
      <c r="BC249" s="3"/>
      <c r="BD249" s="3"/>
      <c r="BE249" s="3"/>
    </row>
    <row r="250" spans="1:57" x14ac:dyDescent="0.35">
      <c r="A250" s="66" t="s">
        <v>4278</v>
      </c>
      <c r="B250" s="67"/>
      <c r="C250" s="67"/>
      <c r="D250" s="68"/>
      <c r="E250" s="94"/>
      <c r="F250" s="93" t="str">
        <f>HYPERLINK("https://pbs.twimg.com/profile_images/1358227945488285696/4InvCYeQ_normal.jpg")</f>
        <v>https://pbs.twimg.com/profile_images/1358227945488285696/4InvCYeQ_normal.jpg</v>
      </c>
      <c r="G250" s="95"/>
      <c r="H250" s="71"/>
      <c r="I250" s="72"/>
      <c r="J250" s="96"/>
      <c r="K250" s="71" t="s">
        <v>11548</v>
      </c>
      <c r="L250" s="97"/>
      <c r="M250" s="76"/>
      <c r="N250" s="76"/>
      <c r="O250" s="77"/>
      <c r="P250" s="78"/>
      <c r="Q250" s="78"/>
      <c r="R250" s="92"/>
      <c r="S250" s="92"/>
      <c r="T250" s="92"/>
      <c r="U250" s="92"/>
      <c r="V250" s="52"/>
      <c r="W250" s="52"/>
      <c r="X250" s="52"/>
      <c r="Y250" s="52"/>
      <c r="Z250" s="51"/>
      <c r="AA250" s="73"/>
      <c r="AB250" s="73"/>
      <c r="AC250" s="74"/>
      <c r="AD250" s="81" t="s">
        <v>8180</v>
      </c>
      <c r="AE250" s="86" t="s">
        <v>9236</v>
      </c>
      <c r="AF250" s="81">
        <v>706</v>
      </c>
      <c r="AG250" s="81">
        <v>466</v>
      </c>
      <c r="AH250" s="81">
        <v>26922</v>
      </c>
      <c r="AI250" s="81">
        <v>25441</v>
      </c>
      <c r="AJ250" s="81"/>
      <c r="AK250" s="81" t="s">
        <v>10196</v>
      </c>
      <c r="AL250" s="81"/>
      <c r="AM250" s="81"/>
      <c r="AN250" s="81"/>
      <c r="AO250" s="83">
        <v>43358.456307870372</v>
      </c>
      <c r="AP250" s="84" t="str">
        <f>HYPERLINK("https://pbs.twimg.com/profile_banners/1040917413108301824/1610158166")</f>
        <v>https://pbs.twimg.com/profile_banners/1040917413108301824/1610158166</v>
      </c>
      <c r="AQ250" s="81" t="b">
        <v>1</v>
      </c>
      <c r="AR250" s="81" t="b">
        <v>0</v>
      </c>
      <c r="AS250" s="81" t="b">
        <v>1</v>
      </c>
      <c r="AT250" s="81"/>
      <c r="AU250" s="81">
        <v>0</v>
      </c>
      <c r="AV250" s="81"/>
      <c r="AW250" s="81" t="b">
        <v>0</v>
      </c>
      <c r="AX250" s="81" t="s">
        <v>3728</v>
      </c>
      <c r="AY250" s="84" t="str">
        <f>HYPERLINK("https://twitter.com/esquerdanuncam1")</f>
        <v>https://twitter.com/esquerdanuncam1</v>
      </c>
      <c r="AZ250" s="81" t="s">
        <v>66</v>
      </c>
      <c r="BA250" s="2"/>
      <c r="BB250" s="3"/>
      <c r="BC250" s="3"/>
      <c r="BD250" s="3"/>
      <c r="BE250" s="3"/>
    </row>
    <row r="251" spans="1:57" x14ac:dyDescent="0.35">
      <c r="A251" s="66" t="s">
        <v>284</v>
      </c>
      <c r="B251" s="67"/>
      <c r="C251" s="67"/>
      <c r="D251" s="68"/>
      <c r="E251" s="94"/>
      <c r="F251" s="93" t="str">
        <f>HYPERLINK("https://pbs.twimg.com/profile_images/1323276480734883844/W1Zwn2IS_normal.jpg")</f>
        <v>https://pbs.twimg.com/profile_images/1323276480734883844/W1Zwn2IS_normal.jpg</v>
      </c>
      <c r="G251" s="95"/>
      <c r="H251" s="71"/>
      <c r="I251" s="72"/>
      <c r="J251" s="96"/>
      <c r="K251" s="71" t="s">
        <v>3826</v>
      </c>
      <c r="L251" s="97"/>
      <c r="M251" s="76"/>
      <c r="N251" s="76"/>
      <c r="O251" s="77"/>
      <c r="P251" s="78"/>
      <c r="Q251" s="78"/>
      <c r="R251" s="92"/>
      <c r="S251" s="92"/>
      <c r="T251" s="92"/>
      <c r="U251" s="92"/>
      <c r="V251" s="52"/>
      <c r="W251" s="52"/>
      <c r="X251" s="52"/>
      <c r="Y251" s="52"/>
      <c r="Z251" s="51"/>
      <c r="AA251" s="73"/>
      <c r="AB251" s="73"/>
      <c r="AC251" s="74"/>
      <c r="AD251" s="81" t="s">
        <v>2337</v>
      </c>
      <c r="AE251" s="86" t="s">
        <v>2765</v>
      </c>
      <c r="AF251" s="81">
        <v>11</v>
      </c>
      <c r="AG251" s="81">
        <v>370</v>
      </c>
      <c r="AH251" s="81">
        <v>4382</v>
      </c>
      <c r="AI251" s="81">
        <v>2</v>
      </c>
      <c r="AJ251" s="81"/>
      <c r="AK251" s="81" t="s">
        <v>3170</v>
      </c>
      <c r="AL251" s="81"/>
      <c r="AM251" s="84" t="str">
        <f>HYPERLINK("https://t.co/OqGBlngMgH")</f>
        <v>https://t.co/OqGBlngMgH</v>
      </c>
      <c r="AN251" s="81"/>
      <c r="AO251" s="83">
        <v>44133.364953703705</v>
      </c>
      <c r="AP251" s="81"/>
      <c r="AQ251" s="81" t="b">
        <v>1</v>
      </c>
      <c r="AR251" s="81" t="b">
        <v>0</v>
      </c>
      <c r="AS251" s="81" t="b">
        <v>0</v>
      </c>
      <c r="AT251" s="81"/>
      <c r="AU251" s="81">
        <v>1</v>
      </c>
      <c r="AV251" s="81"/>
      <c r="AW251" s="81" t="b">
        <v>0</v>
      </c>
      <c r="AX251" s="81" t="s">
        <v>3728</v>
      </c>
      <c r="AY251" s="84" t="str">
        <f>HYPERLINK("https://twitter.com/aikerja")</f>
        <v>https://twitter.com/aikerja</v>
      </c>
      <c r="AZ251" s="81" t="s">
        <v>66</v>
      </c>
      <c r="BA251" s="2"/>
      <c r="BB251" s="3"/>
      <c r="BC251" s="3"/>
      <c r="BD251" s="3"/>
      <c r="BE251" s="3"/>
    </row>
    <row r="252" spans="1:57" x14ac:dyDescent="0.35">
      <c r="A252" s="66" t="s">
        <v>4279</v>
      </c>
      <c r="B252" s="67"/>
      <c r="C252" s="67"/>
      <c r="D252" s="68"/>
      <c r="E252" s="94"/>
      <c r="F252" s="93" t="str">
        <f>HYPERLINK("https://pbs.twimg.com/profile_images/1435748934270525443/jJ9rQEUo_normal.jpg")</f>
        <v>https://pbs.twimg.com/profile_images/1435748934270525443/jJ9rQEUo_normal.jpg</v>
      </c>
      <c r="G252" s="95"/>
      <c r="H252" s="71"/>
      <c r="I252" s="72"/>
      <c r="J252" s="96"/>
      <c r="K252" s="71" t="s">
        <v>11549</v>
      </c>
      <c r="L252" s="97"/>
      <c r="M252" s="76"/>
      <c r="N252" s="76"/>
      <c r="O252" s="77"/>
      <c r="P252" s="78"/>
      <c r="Q252" s="78"/>
      <c r="R252" s="92"/>
      <c r="S252" s="92"/>
      <c r="T252" s="92"/>
      <c r="U252" s="92"/>
      <c r="V252" s="52"/>
      <c r="W252" s="52"/>
      <c r="X252" s="52"/>
      <c r="Y252" s="52"/>
      <c r="Z252" s="51"/>
      <c r="AA252" s="73"/>
      <c r="AB252" s="73"/>
      <c r="AC252" s="74"/>
      <c r="AD252" s="81" t="s">
        <v>8181</v>
      </c>
      <c r="AE252" s="86" t="s">
        <v>9237</v>
      </c>
      <c r="AF252" s="81">
        <v>354</v>
      </c>
      <c r="AG252" s="81">
        <v>341</v>
      </c>
      <c r="AH252" s="81">
        <v>4509</v>
      </c>
      <c r="AI252" s="81">
        <v>46188</v>
      </c>
      <c r="AJ252" s="81"/>
      <c r="AK252" s="81" t="s">
        <v>10197</v>
      </c>
      <c r="AL252" s="81" t="s">
        <v>11008</v>
      </c>
      <c r="AM252" s="84" t="str">
        <f>HYPERLINK("https://t.co/fslfrb3TFp")</f>
        <v>https://t.co/fslfrb3TFp</v>
      </c>
      <c r="AN252" s="81"/>
      <c r="AO252" s="83">
        <v>41527.892210648148</v>
      </c>
      <c r="AP252" s="84" t="str">
        <f>HYPERLINK("https://pbs.twimg.com/profile_banners/1852542362/1602108815")</f>
        <v>https://pbs.twimg.com/profile_banners/1852542362/1602108815</v>
      </c>
      <c r="AQ252" s="81" t="b">
        <v>1</v>
      </c>
      <c r="AR252" s="81" t="b">
        <v>0</v>
      </c>
      <c r="AS252" s="81" t="b">
        <v>1</v>
      </c>
      <c r="AT252" s="81"/>
      <c r="AU252" s="81">
        <v>1</v>
      </c>
      <c r="AV252" s="84" t="str">
        <f>HYPERLINK("https://abs.twimg.com/images/themes/theme1/bg.png")</f>
        <v>https://abs.twimg.com/images/themes/theme1/bg.png</v>
      </c>
      <c r="AW252" s="81" t="b">
        <v>0</v>
      </c>
      <c r="AX252" s="81" t="s">
        <v>3728</v>
      </c>
      <c r="AY252" s="84" t="str">
        <f>HYPERLINK("https://twitter.com/daniel_storti")</f>
        <v>https://twitter.com/daniel_storti</v>
      </c>
      <c r="AZ252" s="81" t="s">
        <v>66</v>
      </c>
      <c r="BA252" s="2"/>
      <c r="BB252" s="3"/>
      <c r="BC252" s="3"/>
      <c r="BD252" s="3"/>
      <c r="BE252" s="3"/>
    </row>
    <row r="253" spans="1:57" x14ac:dyDescent="0.35">
      <c r="A253" s="66" t="s">
        <v>285</v>
      </c>
      <c r="B253" s="67"/>
      <c r="C253" s="67"/>
      <c r="D253" s="68"/>
      <c r="E253" s="94"/>
      <c r="F253" s="93" t="str">
        <f>HYPERLINK("https://pbs.twimg.com/profile_images/1438115491466268673/sNamcfrV_normal.jpg")</f>
        <v>https://pbs.twimg.com/profile_images/1438115491466268673/sNamcfrV_normal.jpg</v>
      </c>
      <c r="G253" s="95"/>
      <c r="H253" s="71"/>
      <c r="I253" s="72"/>
      <c r="J253" s="96"/>
      <c r="K253" s="71" t="s">
        <v>3827</v>
      </c>
      <c r="L253" s="97"/>
      <c r="M253" s="76"/>
      <c r="N253" s="76"/>
      <c r="O253" s="77"/>
      <c r="P253" s="78"/>
      <c r="Q253" s="78"/>
      <c r="R253" s="92"/>
      <c r="S253" s="92"/>
      <c r="T253" s="92"/>
      <c r="U253" s="92"/>
      <c r="V253" s="52"/>
      <c r="W253" s="52"/>
      <c r="X253" s="52"/>
      <c r="Y253" s="52"/>
      <c r="Z253" s="51"/>
      <c r="AA253" s="73"/>
      <c r="AB253" s="73"/>
      <c r="AC253" s="74"/>
      <c r="AD253" s="81" t="s">
        <v>2338</v>
      </c>
      <c r="AE253" s="86" t="s">
        <v>2766</v>
      </c>
      <c r="AF253" s="81">
        <v>120</v>
      </c>
      <c r="AG253" s="81">
        <v>146</v>
      </c>
      <c r="AH253" s="81">
        <v>1909</v>
      </c>
      <c r="AI253" s="81">
        <v>13601</v>
      </c>
      <c r="AJ253" s="81"/>
      <c r="AK253" s="81" t="s">
        <v>3171</v>
      </c>
      <c r="AL253" s="81" t="s">
        <v>3572</v>
      </c>
      <c r="AM253" s="81"/>
      <c r="AN253" s="81"/>
      <c r="AO253" s="83">
        <v>43440.641076388885</v>
      </c>
      <c r="AP253" s="84" t="str">
        <f>HYPERLINK("https://pbs.twimg.com/profile_banners/1070700175813894145/1626611311")</f>
        <v>https://pbs.twimg.com/profile_banners/1070700175813894145/1626611311</v>
      </c>
      <c r="AQ253" s="81" t="b">
        <v>1</v>
      </c>
      <c r="AR253" s="81" t="b">
        <v>0</v>
      </c>
      <c r="AS253" s="81" t="b">
        <v>0</v>
      </c>
      <c r="AT253" s="81"/>
      <c r="AU253" s="81">
        <v>0</v>
      </c>
      <c r="AV253" s="81"/>
      <c r="AW253" s="81" t="b">
        <v>0</v>
      </c>
      <c r="AX253" s="81" t="s">
        <v>3728</v>
      </c>
      <c r="AY253" s="84" t="str">
        <f>HYPERLINK("https://twitter.com/nursyhra_")</f>
        <v>https://twitter.com/nursyhra_</v>
      </c>
      <c r="AZ253" s="81" t="s">
        <v>66</v>
      </c>
      <c r="BA253" s="2"/>
      <c r="BB253" s="3"/>
      <c r="BC253" s="3"/>
      <c r="BD253" s="3"/>
      <c r="BE253" s="3"/>
    </row>
    <row r="254" spans="1:57" x14ac:dyDescent="0.35">
      <c r="A254" s="66" t="s">
        <v>629</v>
      </c>
      <c r="B254" s="67"/>
      <c r="C254" s="67"/>
      <c r="D254" s="68"/>
      <c r="E254" s="94"/>
      <c r="F254" s="93" t="str">
        <f>HYPERLINK("https://pbs.twimg.com/profile_images/1376965467638624258/0k6sM1yA_normal.jpg")</f>
        <v>https://pbs.twimg.com/profile_images/1376965467638624258/0k6sM1yA_normal.jpg</v>
      </c>
      <c r="G254" s="95"/>
      <c r="H254" s="71"/>
      <c r="I254" s="72"/>
      <c r="J254" s="96"/>
      <c r="K254" s="71" t="s">
        <v>3828</v>
      </c>
      <c r="L254" s="97"/>
      <c r="M254" s="76"/>
      <c r="N254" s="76"/>
      <c r="O254" s="77"/>
      <c r="P254" s="78"/>
      <c r="Q254" s="78"/>
      <c r="R254" s="92"/>
      <c r="S254" s="92"/>
      <c r="T254" s="92"/>
      <c r="U254" s="92"/>
      <c r="V254" s="52"/>
      <c r="W254" s="52"/>
      <c r="X254" s="52"/>
      <c r="Y254" s="52"/>
      <c r="Z254" s="51"/>
      <c r="AA254" s="73"/>
      <c r="AB254" s="73"/>
      <c r="AC254" s="74"/>
      <c r="AD254" s="81" t="s">
        <v>2339</v>
      </c>
      <c r="AE254" s="86" t="s">
        <v>2103</v>
      </c>
      <c r="AF254" s="81">
        <v>71</v>
      </c>
      <c r="AG254" s="81">
        <v>103</v>
      </c>
      <c r="AH254" s="81">
        <v>167</v>
      </c>
      <c r="AI254" s="81">
        <v>1239</v>
      </c>
      <c r="AJ254" s="81"/>
      <c r="AK254" s="81" t="s">
        <v>3172</v>
      </c>
      <c r="AL254" s="81"/>
      <c r="AM254" s="81"/>
      <c r="AN254" s="81"/>
      <c r="AO254" s="83">
        <v>43566.690023148149</v>
      </c>
      <c r="AP254" s="84" t="str">
        <f>HYPERLINK("https://pbs.twimg.com/profile_banners/1116378784960172033/1596430767")</f>
        <v>https://pbs.twimg.com/profile_banners/1116378784960172033/1596430767</v>
      </c>
      <c r="AQ254" s="81" t="b">
        <v>1</v>
      </c>
      <c r="AR254" s="81" t="b">
        <v>0</v>
      </c>
      <c r="AS254" s="81" t="b">
        <v>0</v>
      </c>
      <c r="AT254" s="81"/>
      <c r="AU254" s="81">
        <v>0</v>
      </c>
      <c r="AV254" s="81"/>
      <c r="AW254" s="81" t="b">
        <v>0</v>
      </c>
      <c r="AX254" s="81" t="s">
        <v>3728</v>
      </c>
      <c r="AY254" s="84" t="str">
        <f>HYPERLINK("https://twitter.com/ariffl5")</f>
        <v>https://twitter.com/ariffl5</v>
      </c>
      <c r="AZ254" s="81" t="s">
        <v>65</v>
      </c>
      <c r="BA254" s="2"/>
      <c r="BB254" s="3"/>
      <c r="BC254" s="3"/>
      <c r="BD254" s="3"/>
      <c r="BE254" s="3"/>
    </row>
    <row r="255" spans="1:57" x14ac:dyDescent="0.35">
      <c r="A255" s="66" t="s">
        <v>4280</v>
      </c>
      <c r="B255" s="67"/>
      <c r="C255" s="67"/>
      <c r="D255" s="68"/>
      <c r="E255" s="94"/>
      <c r="F255" s="93" t="str">
        <f>HYPERLINK("https://pbs.twimg.com/profile_images/1439570282516123654/h5FEcU_L_normal.jpg")</f>
        <v>https://pbs.twimg.com/profile_images/1439570282516123654/h5FEcU_L_normal.jpg</v>
      </c>
      <c r="G255" s="95"/>
      <c r="H255" s="71"/>
      <c r="I255" s="72"/>
      <c r="J255" s="96"/>
      <c r="K255" s="71" t="s">
        <v>11550</v>
      </c>
      <c r="L255" s="97"/>
      <c r="M255" s="76"/>
      <c r="N255" s="76"/>
      <c r="O255" s="77"/>
      <c r="P255" s="78"/>
      <c r="Q255" s="78"/>
      <c r="R255" s="92"/>
      <c r="S255" s="92"/>
      <c r="T255" s="92"/>
      <c r="U255" s="92"/>
      <c r="V255" s="52"/>
      <c r="W255" s="52"/>
      <c r="X255" s="52"/>
      <c r="Y255" s="52"/>
      <c r="Z255" s="51"/>
      <c r="AA255" s="73"/>
      <c r="AB255" s="73"/>
      <c r="AC255" s="74"/>
      <c r="AD255" s="81" t="s">
        <v>8182</v>
      </c>
      <c r="AE255" s="86" t="s">
        <v>9238</v>
      </c>
      <c r="AF255" s="81">
        <v>82</v>
      </c>
      <c r="AG255" s="81">
        <v>84</v>
      </c>
      <c r="AH255" s="81">
        <v>61</v>
      </c>
      <c r="AI255" s="81">
        <v>198</v>
      </c>
      <c r="AJ255" s="81"/>
      <c r="AK255" s="81" t="s">
        <v>10198</v>
      </c>
      <c r="AL255" s="81" t="s">
        <v>11058</v>
      </c>
      <c r="AM255" s="84" t="str">
        <f>HYPERLINK("https://t.co/MMYHva9M6z")</f>
        <v>https://t.co/MMYHva9M6z</v>
      </c>
      <c r="AN255" s="81"/>
      <c r="AO255" s="83">
        <v>42344.584618055553</v>
      </c>
      <c r="AP255" s="84" t="str">
        <f>HYPERLINK("https://pbs.twimg.com/profile_banners/4475723053/1568291897")</f>
        <v>https://pbs.twimg.com/profile_banners/4475723053/1568291897</v>
      </c>
      <c r="AQ255" s="81" t="b">
        <v>1</v>
      </c>
      <c r="AR255" s="81" t="b">
        <v>0</v>
      </c>
      <c r="AS255" s="81" t="b">
        <v>0</v>
      </c>
      <c r="AT255" s="81"/>
      <c r="AU255" s="81">
        <v>1</v>
      </c>
      <c r="AV255" s="84" t="str">
        <f>HYPERLINK("https://abs.twimg.com/images/themes/theme1/bg.png")</f>
        <v>https://abs.twimg.com/images/themes/theme1/bg.png</v>
      </c>
      <c r="AW255" s="81" t="b">
        <v>0</v>
      </c>
      <c r="AX255" s="81" t="s">
        <v>3728</v>
      </c>
      <c r="AY255" s="84" t="str">
        <f>HYPERLINK("https://twitter.com/pt_reha")</f>
        <v>https://twitter.com/pt_reha</v>
      </c>
      <c r="AZ255" s="81" t="s">
        <v>66</v>
      </c>
      <c r="BA255" s="2"/>
      <c r="BB255" s="3"/>
      <c r="BC255" s="3"/>
      <c r="BD255" s="3"/>
      <c r="BE255" s="3"/>
    </row>
    <row r="256" spans="1:57" x14ac:dyDescent="0.35">
      <c r="A256" s="66" t="s">
        <v>286</v>
      </c>
      <c r="B256" s="67"/>
      <c r="C256" s="67"/>
      <c r="D256" s="68"/>
      <c r="E256" s="94"/>
      <c r="F256" s="93" t="str">
        <f>HYPERLINK("https://pbs.twimg.com/profile_images/1388370443183136768/Xi-gCM0R_normal.jpg")</f>
        <v>https://pbs.twimg.com/profile_images/1388370443183136768/Xi-gCM0R_normal.jpg</v>
      </c>
      <c r="G256" s="95"/>
      <c r="H256" s="71"/>
      <c r="I256" s="72"/>
      <c r="J256" s="96"/>
      <c r="K256" s="71" t="s">
        <v>3736</v>
      </c>
      <c r="L256" s="97"/>
      <c r="M256" s="76"/>
      <c r="N256" s="76"/>
      <c r="O256" s="77"/>
      <c r="P256" s="78"/>
      <c r="Q256" s="78"/>
      <c r="R256" s="92"/>
      <c r="S256" s="92"/>
      <c r="T256" s="92"/>
      <c r="U256" s="92"/>
      <c r="V256" s="52"/>
      <c r="W256" s="52"/>
      <c r="X256" s="52"/>
      <c r="Y256" s="52"/>
      <c r="Z256" s="51"/>
      <c r="AA256" s="73"/>
      <c r="AB256" s="73"/>
      <c r="AC256" s="74"/>
      <c r="AD256" s="81" t="s">
        <v>2249</v>
      </c>
      <c r="AE256" s="86" t="s">
        <v>2685</v>
      </c>
      <c r="AF256" s="81">
        <v>1417</v>
      </c>
      <c r="AG256" s="81">
        <v>3703</v>
      </c>
      <c r="AH256" s="81">
        <v>57233</v>
      </c>
      <c r="AI256" s="81">
        <v>56864</v>
      </c>
      <c r="AJ256" s="81"/>
      <c r="AK256" s="81" t="s">
        <v>13925</v>
      </c>
      <c r="AL256" s="81"/>
      <c r="AM256" s="84" t="str">
        <f>HYPERLINK("https://t.co/lmGa97g8sH")</f>
        <v>https://t.co/lmGa97g8sH</v>
      </c>
      <c r="AN256" s="81"/>
      <c r="AO256" s="83">
        <v>41571.006493055553</v>
      </c>
      <c r="AP256" s="84" t="str">
        <f>HYPERLINK("https://pbs.twimg.com/profile_banners/2151898476/1627104250")</f>
        <v>https://pbs.twimg.com/profile_banners/2151898476/1627104250</v>
      </c>
      <c r="AQ256" s="81" t="b">
        <v>1</v>
      </c>
      <c r="AR256" s="81" t="b">
        <v>0</v>
      </c>
      <c r="AS256" s="81" t="b">
        <v>0</v>
      </c>
      <c r="AT256" s="81"/>
      <c r="AU256" s="81">
        <v>1</v>
      </c>
      <c r="AV256" s="84" t="str">
        <f>HYPERLINK("https://abs.twimg.com/images/themes/theme1/bg.png")</f>
        <v>https://abs.twimg.com/images/themes/theme1/bg.png</v>
      </c>
      <c r="AW256" s="81" t="b">
        <v>0</v>
      </c>
      <c r="AX256" s="81" t="s">
        <v>3728</v>
      </c>
      <c r="AY256" s="84" t="str">
        <f>HYPERLINK("https://twitter.com/syzira")</f>
        <v>https://twitter.com/syzira</v>
      </c>
      <c r="AZ256" s="81" t="s">
        <v>66</v>
      </c>
      <c r="BA256" s="2"/>
      <c r="BB256" s="3"/>
      <c r="BC256" s="3"/>
      <c r="BD256" s="3"/>
      <c r="BE256" s="3"/>
    </row>
    <row r="257" spans="1:57" x14ac:dyDescent="0.35">
      <c r="A257" s="66" t="s">
        <v>630</v>
      </c>
      <c r="B257" s="67"/>
      <c r="C257" s="67"/>
      <c r="D257" s="68"/>
      <c r="E257" s="94"/>
      <c r="F257" s="93" t="str">
        <f>HYPERLINK("https://pbs.twimg.com/profile_images/1313764737205768193/S-x_722f_normal.jpg")</f>
        <v>https://pbs.twimg.com/profile_images/1313764737205768193/S-x_722f_normal.jpg</v>
      </c>
      <c r="G257" s="95"/>
      <c r="H257" s="71"/>
      <c r="I257" s="72"/>
      <c r="J257" s="96"/>
      <c r="K257" s="71" t="s">
        <v>3829</v>
      </c>
      <c r="L257" s="97"/>
      <c r="M257" s="76"/>
      <c r="N257" s="76"/>
      <c r="O257" s="77"/>
      <c r="P257" s="78"/>
      <c r="Q257" s="78"/>
      <c r="R257" s="92"/>
      <c r="S257" s="92"/>
      <c r="T257" s="92"/>
      <c r="U257" s="92"/>
      <c r="V257" s="52"/>
      <c r="W257" s="52"/>
      <c r="X257" s="52"/>
      <c r="Y257" s="52"/>
      <c r="Z257" s="51"/>
      <c r="AA257" s="73"/>
      <c r="AB257" s="73"/>
      <c r="AC257" s="74"/>
      <c r="AD257" s="81" t="s">
        <v>2340</v>
      </c>
      <c r="AE257" s="86" t="s">
        <v>2104</v>
      </c>
      <c r="AF257" s="81">
        <v>1958</v>
      </c>
      <c r="AG257" s="81">
        <v>1210</v>
      </c>
      <c r="AH257" s="81">
        <v>25277</v>
      </c>
      <c r="AI257" s="81">
        <v>28199</v>
      </c>
      <c r="AJ257" s="81"/>
      <c r="AK257" s="81" t="s">
        <v>3173</v>
      </c>
      <c r="AL257" s="81"/>
      <c r="AM257" s="81"/>
      <c r="AN257" s="81"/>
      <c r="AO257" s="83">
        <v>41410.436736111114</v>
      </c>
      <c r="AP257" s="84" t="str">
        <f>HYPERLINK("https://pbs.twimg.com/profile_banners/1432735723/1603567396")</f>
        <v>https://pbs.twimg.com/profile_banners/1432735723/1603567396</v>
      </c>
      <c r="AQ257" s="81" t="b">
        <v>0</v>
      </c>
      <c r="AR257" s="81" t="b">
        <v>0</v>
      </c>
      <c r="AS257" s="81" t="b">
        <v>1</v>
      </c>
      <c r="AT257" s="81"/>
      <c r="AU257" s="81">
        <v>1</v>
      </c>
      <c r="AV257" s="84" t="str">
        <f>HYPERLINK("https://abs.twimg.com/images/themes/theme6/bg.gif")</f>
        <v>https://abs.twimg.com/images/themes/theme6/bg.gif</v>
      </c>
      <c r="AW257" s="81" t="b">
        <v>0</v>
      </c>
      <c r="AX257" s="81" t="s">
        <v>3728</v>
      </c>
      <c r="AY257" s="84" t="str">
        <f>HYPERLINK("https://twitter.com/afiqahamni1")</f>
        <v>https://twitter.com/afiqahamni1</v>
      </c>
      <c r="AZ257" s="81" t="s">
        <v>65</v>
      </c>
      <c r="BA257" s="2"/>
      <c r="BB257" s="3"/>
      <c r="BC257" s="3"/>
      <c r="BD257" s="3"/>
      <c r="BE257" s="3"/>
    </row>
    <row r="258" spans="1:57" x14ac:dyDescent="0.35">
      <c r="A258" s="66" t="s">
        <v>4281</v>
      </c>
      <c r="B258" s="67"/>
      <c r="C258" s="67"/>
      <c r="D258" s="68"/>
      <c r="E258" s="94"/>
      <c r="F258" s="93" t="str">
        <f>HYPERLINK("https://pbs.twimg.com/profile_images/1442666686528716804/8g1ZY7bh_normal.jpg")</f>
        <v>https://pbs.twimg.com/profile_images/1442666686528716804/8g1ZY7bh_normal.jpg</v>
      </c>
      <c r="G258" s="95"/>
      <c r="H258" s="71"/>
      <c r="I258" s="72"/>
      <c r="J258" s="96"/>
      <c r="K258" s="71" t="s">
        <v>11551</v>
      </c>
      <c r="L258" s="97"/>
      <c r="M258" s="76"/>
      <c r="N258" s="76"/>
      <c r="O258" s="77"/>
      <c r="P258" s="78"/>
      <c r="Q258" s="78"/>
      <c r="R258" s="92"/>
      <c r="S258" s="92"/>
      <c r="T258" s="92"/>
      <c r="U258" s="92"/>
      <c r="V258" s="52"/>
      <c r="W258" s="52"/>
      <c r="X258" s="52"/>
      <c r="Y258" s="52"/>
      <c r="Z258" s="51"/>
      <c r="AA258" s="73"/>
      <c r="AB258" s="73"/>
      <c r="AC258" s="74"/>
      <c r="AD258" s="81" t="s">
        <v>8183</v>
      </c>
      <c r="AE258" s="86" t="s">
        <v>9239</v>
      </c>
      <c r="AF258" s="81">
        <v>603</v>
      </c>
      <c r="AG258" s="81">
        <v>7354</v>
      </c>
      <c r="AH258" s="81">
        <v>99442</v>
      </c>
      <c r="AI258" s="81">
        <v>3395</v>
      </c>
      <c r="AJ258" s="81"/>
      <c r="AK258" s="81"/>
      <c r="AL258" s="81"/>
      <c r="AM258" s="84" t="str">
        <f>HYPERLINK("https://t.co/oFIhCpIQQb")</f>
        <v>https://t.co/oFIhCpIQQb</v>
      </c>
      <c r="AN258" s="81"/>
      <c r="AO258" s="83">
        <v>40004.280532407407</v>
      </c>
      <c r="AP258" s="84" t="str">
        <f>HYPERLINK("https://pbs.twimg.com/profile_banners/55493389/1632793517")</f>
        <v>https://pbs.twimg.com/profile_banners/55493389/1632793517</v>
      </c>
      <c r="AQ258" s="81" t="b">
        <v>0</v>
      </c>
      <c r="AR258" s="81" t="b">
        <v>0</v>
      </c>
      <c r="AS258" s="81" t="b">
        <v>1</v>
      </c>
      <c r="AT258" s="81"/>
      <c r="AU258" s="81">
        <v>18</v>
      </c>
      <c r="AV258" s="84" t="str">
        <f>HYPERLINK("https://abs.twimg.com/images/themes/theme5/bg.gif")</f>
        <v>https://abs.twimg.com/images/themes/theme5/bg.gif</v>
      </c>
      <c r="AW258" s="81" t="b">
        <v>0</v>
      </c>
      <c r="AX258" s="81" t="s">
        <v>3728</v>
      </c>
      <c r="AY258" s="84" t="str">
        <f>HYPERLINK("https://twitter.com/duwiry")</f>
        <v>https://twitter.com/duwiry</v>
      </c>
      <c r="AZ258" s="81" t="s">
        <v>66</v>
      </c>
      <c r="BA258" s="2"/>
      <c r="BB258" s="3"/>
      <c r="BC258" s="3"/>
      <c r="BD258" s="3"/>
      <c r="BE258" s="3"/>
    </row>
    <row r="259" spans="1:57" x14ac:dyDescent="0.35">
      <c r="A259" s="66" t="s">
        <v>4282</v>
      </c>
      <c r="B259" s="67"/>
      <c r="C259" s="67"/>
      <c r="D259" s="68"/>
      <c r="E259" s="94"/>
      <c r="F259" s="93" t="str">
        <f>HYPERLINK("https://pbs.twimg.com/profile_images/1436542513574187015/4AzE9oAF_normal.jpg")</f>
        <v>https://pbs.twimg.com/profile_images/1436542513574187015/4AzE9oAF_normal.jpg</v>
      </c>
      <c r="G259" s="95"/>
      <c r="H259" s="71"/>
      <c r="I259" s="72"/>
      <c r="J259" s="96"/>
      <c r="K259" s="71" t="s">
        <v>11552</v>
      </c>
      <c r="L259" s="97"/>
      <c r="M259" s="76"/>
      <c r="N259" s="76"/>
      <c r="O259" s="77"/>
      <c r="P259" s="78"/>
      <c r="Q259" s="78"/>
      <c r="R259" s="92"/>
      <c r="S259" s="92"/>
      <c r="T259" s="92"/>
      <c r="U259" s="92"/>
      <c r="V259" s="52"/>
      <c r="W259" s="52"/>
      <c r="X259" s="52"/>
      <c r="Y259" s="52"/>
      <c r="Z259" s="51"/>
      <c r="AA259" s="73"/>
      <c r="AB259" s="73"/>
      <c r="AC259" s="74"/>
      <c r="AD259" s="81" t="s">
        <v>8184</v>
      </c>
      <c r="AE259" s="86" t="s">
        <v>7816</v>
      </c>
      <c r="AF259" s="81">
        <v>5</v>
      </c>
      <c r="AG259" s="81">
        <v>9</v>
      </c>
      <c r="AH259" s="81">
        <v>123</v>
      </c>
      <c r="AI259" s="81">
        <v>9</v>
      </c>
      <c r="AJ259" s="81"/>
      <c r="AK259" s="81"/>
      <c r="AL259" s="81"/>
      <c r="AM259" s="81"/>
      <c r="AN259" s="81"/>
      <c r="AO259" s="83">
        <v>40682.117789351854</v>
      </c>
      <c r="AP259" s="84" t="str">
        <f>HYPERLINK("https://pbs.twimg.com/profile_banners/301217839/1631333400")</f>
        <v>https://pbs.twimg.com/profile_banners/301217839/1631333400</v>
      </c>
      <c r="AQ259" s="81" t="b">
        <v>1</v>
      </c>
      <c r="AR259" s="81" t="b">
        <v>0</v>
      </c>
      <c r="AS259" s="81" t="b">
        <v>0</v>
      </c>
      <c r="AT259" s="81"/>
      <c r="AU259" s="81">
        <v>0</v>
      </c>
      <c r="AV259" s="84" t="str">
        <f>HYPERLINK("https://abs.twimg.com/images/themes/theme1/bg.png")</f>
        <v>https://abs.twimg.com/images/themes/theme1/bg.png</v>
      </c>
      <c r="AW259" s="81" t="b">
        <v>0</v>
      </c>
      <c r="AX259" s="81" t="s">
        <v>3728</v>
      </c>
      <c r="AY259" s="84" t="str">
        <f>HYPERLINK("https://twitter.com/qfontes")</f>
        <v>https://twitter.com/qfontes</v>
      </c>
      <c r="AZ259" s="81" t="s">
        <v>66</v>
      </c>
      <c r="BA259" s="2"/>
      <c r="BB259" s="3"/>
      <c r="BC259" s="3"/>
      <c r="BD259" s="3"/>
      <c r="BE259" s="3"/>
    </row>
    <row r="260" spans="1:57" x14ac:dyDescent="0.35">
      <c r="A260" s="66" t="s">
        <v>5016</v>
      </c>
      <c r="B260" s="67"/>
      <c r="C260" s="67"/>
      <c r="D260" s="68"/>
      <c r="E260" s="94"/>
      <c r="F260" s="93" t="str">
        <f>HYPERLINK("https://pbs.twimg.com/profile_images/1437266395436392450/-Muh2uB0_normal.jpg")</f>
        <v>https://pbs.twimg.com/profile_images/1437266395436392450/-Muh2uB0_normal.jpg</v>
      </c>
      <c r="G260" s="95"/>
      <c r="H260" s="71"/>
      <c r="I260" s="72"/>
      <c r="J260" s="96"/>
      <c r="K260" s="71" t="s">
        <v>11553</v>
      </c>
      <c r="L260" s="97"/>
      <c r="M260" s="76"/>
      <c r="N260" s="76"/>
      <c r="O260" s="77"/>
      <c r="P260" s="78"/>
      <c r="Q260" s="78"/>
      <c r="R260" s="92"/>
      <c r="S260" s="92"/>
      <c r="T260" s="92"/>
      <c r="U260" s="92"/>
      <c r="V260" s="52"/>
      <c r="W260" s="52"/>
      <c r="X260" s="52"/>
      <c r="Y260" s="52"/>
      <c r="Z260" s="51"/>
      <c r="AA260" s="73"/>
      <c r="AB260" s="73"/>
      <c r="AC260" s="74"/>
      <c r="AD260" s="81" t="s">
        <v>8185</v>
      </c>
      <c r="AE260" s="86" t="s">
        <v>7815</v>
      </c>
      <c r="AF260" s="81">
        <v>3795</v>
      </c>
      <c r="AG260" s="81">
        <v>2960</v>
      </c>
      <c r="AH260" s="81">
        <v>11576</v>
      </c>
      <c r="AI260" s="81">
        <v>17574</v>
      </c>
      <c r="AJ260" s="81"/>
      <c r="AK260" s="81" t="s">
        <v>10199</v>
      </c>
      <c r="AL260" s="81"/>
      <c r="AM260" s="81"/>
      <c r="AN260" s="81"/>
      <c r="AO260" s="83">
        <v>44340.739594907405</v>
      </c>
      <c r="AP260" s="84" t="str">
        <f>HYPERLINK("https://pbs.twimg.com/profile_banners/1396884914079940614/1629821663")</f>
        <v>https://pbs.twimg.com/profile_banners/1396884914079940614/1629821663</v>
      </c>
      <c r="AQ260" s="81" t="b">
        <v>1</v>
      </c>
      <c r="AR260" s="81" t="b">
        <v>0</v>
      </c>
      <c r="AS260" s="81" t="b">
        <v>0</v>
      </c>
      <c r="AT260" s="81"/>
      <c r="AU260" s="81">
        <v>3</v>
      </c>
      <c r="AV260" s="81"/>
      <c r="AW260" s="81" t="b">
        <v>0</v>
      </c>
      <c r="AX260" s="81" t="s">
        <v>3728</v>
      </c>
      <c r="AY260" s="84" t="str">
        <f>HYPERLINK("https://twitter.com/macunaimaz21")</f>
        <v>https://twitter.com/macunaimaz21</v>
      </c>
      <c r="AZ260" s="81" t="s">
        <v>65</v>
      </c>
      <c r="BA260" s="2"/>
      <c r="BB260" s="3"/>
      <c r="BC260" s="3"/>
      <c r="BD260" s="3"/>
      <c r="BE260" s="3"/>
    </row>
    <row r="261" spans="1:57" x14ac:dyDescent="0.35">
      <c r="A261" s="66" t="s">
        <v>4283</v>
      </c>
      <c r="B261" s="67"/>
      <c r="C261" s="67"/>
      <c r="D261" s="68"/>
      <c r="E261" s="94"/>
      <c r="F261" s="93" t="str">
        <f>HYPERLINK("https://pbs.twimg.com/profile_images/1315103710251450369/0v-fd0oG_normal.jpg")</f>
        <v>https://pbs.twimg.com/profile_images/1315103710251450369/0v-fd0oG_normal.jpg</v>
      </c>
      <c r="G261" s="95"/>
      <c r="H261" s="71"/>
      <c r="I261" s="72"/>
      <c r="J261" s="96"/>
      <c r="K261" s="71" t="s">
        <v>11554</v>
      </c>
      <c r="L261" s="97"/>
      <c r="M261" s="76"/>
      <c r="N261" s="76"/>
      <c r="O261" s="77"/>
      <c r="P261" s="78"/>
      <c r="Q261" s="78"/>
      <c r="R261" s="92"/>
      <c r="S261" s="92"/>
      <c r="T261" s="92"/>
      <c r="U261" s="92"/>
      <c r="V261" s="52"/>
      <c r="W261" s="52"/>
      <c r="X261" s="52"/>
      <c r="Y261" s="52"/>
      <c r="Z261" s="51"/>
      <c r="AA261" s="73"/>
      <c r="AB261" s="73"/>
      <c r="AC261" s="74"/>
      <c r="AD261" s="81" t="s">
        <v>8186</v>
      </c>
      <c r="AE261" s="86" t="s">
        <v>9240</v>
      </c>
      <c r="AF261" s="81">
        <v>1964</v>
      </c>
      <c r="AG261" s="81">
        <v>5075</v>
      </c>
      <c r="AH261" s="81">
        <v>98605</v>
      </c>
      <c r="AI261" s="81">
        <v>108095</v>
      </c>
      <c r="AJ261" s="81"/>
      <c r="AK261" s="81" t="s">
        <v>10200</v>
      </c>
      <c r="AL261" s="81" t="s">
        <v>10970</v>
      </c>
      <c r="AM261" s="81"/>
      <c r="AN261" s="81"/>
      <c r="AO261" s="83">
        <v>41494.036203703705</v>
      </c>
      <c r="AP261" s="84" t="str">
        <f>HYPERLINK("https://pbs.twimg.com/profile_banners/1654227680/1557165255")</f>
        <v>https://pbs.twimg.com/profile_banners/1654227680/1557165255</v>
      </c>
      <c r="AQ261" s="81" t="b">
        <v>1</v>
      </c>
      <c r="AR261" s="81" t="b">
        <v>0</v>
      </c>
      <c r="AS261" s="81" t="b">
        <v>0</v>
      </c>
      <c r="AT261" s="81"/>
      <c r="AU261" s="81">
        <v>3</v>
      </c>
      <c r="AV261" s="84" t="str">
        <f>HYPERLINK("https://abs.twimg.com/images/themes/theme1/bg.png")</f>
        <v>https://abs.twimg.com/images/themes/theme1/bg.png</v>
      </c>
      <c r="AW261" s="81" t="b">
        <v>0</v>
      </c>
      <c r="AX261" s="81" t="s">
        <v>3728</v>
      </c>
      <c r="AY261" s="84" t="str">
        <f>HYPERLINK("https://twitter.com/sbrjjo")</f>
        <v>https://twitter.com/sbrjjo</v>
      </c>
      <c r="AZ261" s="81" t="s">
        <v>66</v>
      </c>
      <c r="BA261" s="2"/>
      <c r="BB261" s="3"/>
      <c r="BC261" s="3"/>
      <c r="BD261" s="3"/>
      <c r="BE261" s="3"/>
    </row>
    <row r="262" spans="1:57" x14ac:dyDescent="0.35">
      <c r="A262" s="66" t="s">
        <v>287</v>
      </c>
      <c r="B262" s="67"/>
      <c r="C262" s="67"/>
      <c r="D262" s="68"/>
      <c r="E262" s="94"/>
      <c r="F262" s="93" t="str">
        <f>HYPERLINK("https://pbs.twimg.com/profile_images/1437496319262683137/OA_1UDhQ_normal.jpg")</f>
        <v>https://pbs.twimg.com/profile_images/1437496319262683137/OA_1UDhQ_normal.jpg</v>
      </c>
      <c r="G262" s="95"/>
      <c r="H262" s="71"/>
      <c r="I262" s="72"/>
      <c r="J262" s="96"/>
      <c r="K262" s="71" t="s">
        <v>3830</v>
      </c>
      <c r="L262" s="97"/>
      <c r="M262" s="76"/>
      <c r="N262" s="76"/>
      <c r="O262" s="77"/>
      <c r="P262" s="78"/>
      <c r="Q262" s="78"/>
      <c r="R262" s="92"/>
      <c r="S262" s="92"/>
      <c r="T262" s="92"/>
      <c r="U262" s="92"/>
      <c r="V262" s="52"/>
      <c r="W262" s="52"/>
      <c r="X262" s="52"/>
      <c r="Y262" s="52"/>
      <c r="Z262" s="51"/>
      <c r="AA262" s="73"/>
      <c r="AB262" s="73"/>
      <c r="AC262" s="74"/>
      <c r="AD262" s="81" t="s">
        <v>2341</v>
      </c>
      <c r="AE262" s="86" t="s">
        <v>2105</v>
      </c>
      <c r="AF262" s="81">
        <v>262</v>
      </c>
      <c r="AG262" s="81">
        <v>115</v>
      </c>
      <c r="AH262" s="81">
        <v>10319</v>
      </c>
      <c r="AI262" s="81">
        <v>20177</v>
      </c>
      <c r="AJ262" s="81"/>
      <c r="AK262" s="81">
        <v>18</v>
      </c>
      <c r="AL262" s="81" t="s">
        <v>3562</v>
      </c>
      <c r="AM262" s="81"/>
      <c r="AN262" s="81"/>
      <c r="AO262" s="83">
        <v>42979.003530092596</v>
      </c>
      <c r="AP262" s="84" t="str">
        <f>HYPERLINK("https://pbs.twimg.com/profile_banners/903408333222100993/1627961077")</f>
        <v>https://pbs.twimg.com/profile_banners/903408333222100993/1627961077</v>
      </c>
      <c r="AQ262" s="81" t="b">
        <v>1</v>
      </c>
      <c r="AR262" s="81" t="b">
        <v>0</v>
      </c>
      <c r="AS262" s="81" t="b">
        <v>1</v>
      </c>
      <c r="AT262" s="81"/>
      <c r="AU262" s="81">
        <v>0</v>
      </c>
      <c r="AV262" s="81"/>
      <c r="AW262" s="81" t="b">
        <v>0</v>
      </c>
      <c r="AX262" s="81" t="s">
        <v>3728</v>
      </c>
      <c r="AY262" s="84" t="str">
        <f>HYPERLINK("https://twitter.com/nrnshaik19")</f>
        <v>https://twitter.com/nrnshaik19</v>
      </c>
      <c r="AZ262" s="81" t="s">
        <v>66</v>
      </c>
      <c r="BA262" s="2"/>
      <c r="BB262" s="3"/>
      <c r="BC262" s="3"/>
      <c r="BD262" s="3"/>
      <c r="BE262" s="3"/>
    </row>
    <row r="263" spans="1:57" x14ac:dyDescent="0.35">
      <c r="A263" s="66" t="s">
        <v>288</v>
      </c>
      <c r="B263" s="67"/>
      <c r="C263" s="67"/>
      <c r="D263" s="68"/>
      <c r="E263" s="94"/>
      <c r="F263" s="93" t="str">
        <f>HYPERLINK("https://pbs.twimg.com/profile_images/1439814058362892294/99UlnPHr_normal.jpg")</f>
        <v>https://pbs.twimg.com/profile_images/1439814058362892294/99UlnPHr_normal.jpg</v>
      </c>
      <c r="G263" s="95"/>
      <c r="H263" s="71"/>
      <c r="I263" s="72"/>
      <c r="J263" s="96"/>
      <c r="K263" s="71" t="s">
        <v>3831</v>
      </c>
      <c r="L263" s="97"/>
      <c r="M263" s="76"/>
      <c r="N263" s="76"/>
      <c r="O263" s="77"/>
      <c r="P263" s="78"/>
      <c r="Q263" s="78"/>
      <c r="R263" s="92"/>
      <c r="S263" s="92"/>
      <c r="T263" s="92"/>
      <c r="U263" s="92"/>
      <c r="V263" s="52"/>
      <c r="W263" s="52"/>
      <c r="X263" s="52"/>
      <c r="Y263" s="52"/>
      <c r="Z263" s="51"/>
      <c r="AA263" s="73"/>
      <c r="AB263" s="73"/>
      <c r="AC263" s="74"/>
      <c r="AD263" s="81" t="s">
        <v>2342</v>
      </c>
      <c r="AE263" s="86" t="s">
        <v>2767</v>
      </c>
      <c r="AF263" s="81">
        <v>540</v>
      </c>
      <c r="AG263" s="81">
        <v>1497</v>
      </c>
      <c r="AH263" s="81">
        <v>66398</v>
      </c>
      <c r="AI263" s="81">
        <v>39680</v>
      </c>
      <c r="AJ263" s="81"/>
      <c r="AK263" s="81" t="s">
        <v>3174</v>
      </c>
      <c r="AL263" s="81"/>
      <c r="AM263" s="81"/>
      <c r="AN263" s="81"/>
      <c r="AO263" s="83">
        <v>40892.829664351855</v>
      </c>
      <c r="AP263" s="84" t="str">
        <f>HYPERLINK("https://pbs.twimg.com/profile_banners/437750128/1632902290")</f>
        <v>https://pbs.twimg.com/profile_banners/437750128/1632902290</v>
      </c>
      <c r="AQ263" s="81" t="b">
        <v>0</v>
      </c>
      <c r="AR263" s="81" t="b">
        <v>0</v>
      </c>
      <c r="AS263" s="81" t="b">
        <v>1</v>
      </c>
      <c r="AT263" s="81"/>
      <c r="AU263" s="81">
        <v>0</v>
      </c>
      <c r="AV263" s="84" t="str">
        <f>HYPERLINK("https://abs.twimg.com/images/themes/theme1/bg.png")</f>
        <v>https://abs.twimg.com/images/themes/theme1/bg.png</v>
      </c>
      <c r="AW263" s="81" t="b">
        <v>0</v>
      </c>
      <c r="AX263" s="81" t="s">
        <v>3728</v>
      </c>
      <c r="AY263" s="84" t="str">
        <f>HYPERLINK("https://twitter.com/naaabihaaa")</f>
        <v>https://twitter.com/naaabihaaa</v>
      </c>
      <c r="AZ263" s="81" t="s">
        <v>66</v>
      </c>
      <c r="BA263" s="2"/>
      <c r="BB263" s="3"/>
      <c r="BC263" s="3"/>
      <c r="BD263" s="3"/>
      <c r="BE263" s="3"/>
    </row>
    <row r="264" spans="1:57" x14ac:dyDescent="0.35">
      <c r="A264" s="66" t="s">
        <v>4284</v>
      </c>
      <c r="B264" s="67"/>
      <c r="C264" s="67"/>
      <c r="D264" s="68"/>
      <c r="E264" s="94"/>
      <c r="F264" s="93" t="str">
        <f>HYPERLINK("https://pbs.twimg.com/profile_images/1269272461746606083/nlqyPMFF_normal.jpg")</f>
        <v>https://pbs.twimg.com/profile_images/1269272461746606083/nlqyPMFF_normal.jpg</v>
      </c>
      <c r="G264" s="95"/>
      <c r="H264" s="71"/>
      <c r="I264" s="72"/>
      <c r="J264" s="96"/>
      <c r="K264" s="71" t="s">
        <v>11555</v>
      </c>
      <c r="L264" s="97"/>
      <c r="M264" s="76"/>
      <c r="N264" s="76"/>
      <c r="O264" s="77"/>
      <c r="P264" s="78"/>
      <c r="Q264" s="78"/>
      <c r="R264" s="92"/>
      <c r="S264" s="92"/>
      <c r="T264" s="92"/>
      <c r="U264" s="92"/>
      <c r="V264" s="52"/>
      <c r="W264" s="52"/>
      <c r="X264" s="52"/>
      <c r="Y264" s="52"/>
      <c r="Z264" s="51"/>
      <c r="AA264" s="73"/>
      <c r="AB264" s="73"/>
      <c r="AC264" s="74"/>
      <c r="AD264" s="81" t="s">
        <v>8187</v>
      </c>
      <c r="AE264" s="86" t="s">
        <v>9241</v>
      </c>
      <c r="AF264" s="81">
        <v>4631</v>
      </c>
      <c r="AG264" s="81">
        <v>4436</v>
      </c>
      <c r="AH264" s="81">
        <v>10780</v>
      </c>
      <c r="AI264" s="81">
        <v>38656</v>
      </c>
      <c r="AJ264" s="81"/>
      <c r="AK264" s="81" t="s">
        <v>10201</v>
      </c>
      <c r="AL264" s="81"/>
      <c r="AM264" s="81"/>
      <c r="AN264" s="81"/>
      <c r="AO264" s="83">
        <v>43541.014756944445</v>
      </c>
      <c r="AP264" s="81"/>
      <c r="AQ264" s="81" t="b">
        <v>1</v>
      </c>
      <c r="AR264" s="81" t="b">
        <v>0</v>
      </c>
      <c r="AS264" s="81" t="b">
        <v>0</v>
      </c>
      <c r="AT264" s="81"/>
      <c r="AU264" s="81">
        <v>0</v>
      </c>
      <c r="AV264" s="81"/>
      <c r="AW264" s="81" t="b">
        <v>0</v>
      </c>
      <c r="AX264" s="81" t="s">
        <v>3728</v>
      </c>
      <c r="AY264" s="84" t="str">
        <f>HYPERLINK("https://twitter.com/lusouto6")</f>
        <v>https://twitter.com/lusouto6</v>
      </c>
      <c r="AZ264" s="81" t="s">
        <v>66</v>
      </c>
      <c r="BA264" s="2"/>
      <c r="BB264" s="3"/>
      <c r="BC264" s="3"/>
      <c r="BD264" s="3"/>
      <c r="BE264" s="3"/>
    </row>
    <row r="265" spans="1:57" x14ac:dyDescent="0.35">
      <c r="A265" s="66" t="s">
        <v>4980</v>
      </c>
      <c r="B265" s="67"/>
      <c r="C265" s="67"/>
      <c r="D265" s="68"/>
      <c r="E265" s="94"/>
      <c r="F265" s="93" t="str">
        <f>HYPERLINK("https://pbs.twimg.com/profile_images/1427645259358642188/JCyhFnAd_normal.jpg")</f>
        <v>https://pbs.twimg.com/profile_images/1427645259358642188/JCyhFnAd_normal.jpg</v>
      </c>
      <c r="G265" s="95"/>
      <c r="H265" s="71"/>
      <c r="I265" s="72"/>
      <c r="J265" s="96"/>
      <c r="K265" s="71" t="s">
        <v>11396</v>
      </c>
      <c r="L265" s="97"/>
      <c r="M265" s="76"/>
      <c r="N265" s="76"/>
      <c r="O265" s="77"/>
      <c r="P265" s="78"/>
      <c r="Q265" s="78"/>
      <c r="R265" s="92"/>
      <c r="S265" s="92"/>
      <c r="T265" s="92"/>
      <c r="U265" s="92"/>
      <c r="V265" s="52"/>
      <c r="W265" s="52"/>
      <c r="X265" s="52"/>
      <c r="Y265" s="52"/>
      <c r="Z265" s="51"/>
      <c r="AA265" s="73"/>
      <c r="AB265" s="73"/>
      <c r="AC265" s="74"/>
      <c r="AD265" s="81" t="s">
        <v>8030</v>
      </c>
      <c r="AE265" s="86" t="s">
        <v>7792</v>
      </c>
      <c r="AF265" s="81">
        <v>857</v>
      </c>
      <c r="AG265" s="81">
        <v>844622</v>
      </c>
      <c r="AH265" s="81">
        <v>17152</v>
      </c>
      <c r="AI265" s="81">
        <v>3579</v>
      </c>
      <c r="AJ265" s="81"/>
      <c r="AK265" s="81" t="s">
        <v>10057</v>
      </c>
      <c r="AL265" s="81" t="s">
        <v>10980</v>
      </c>
      <c r="AM265" s="84" t="str">
        <f>HYPERLINK("https://t.co/7lvOknltKs")</f>
        <v>https://t.co/7lvOknltKs</v>
      </c>
      <c r="AN265" s="81"/>
      <c r="AO265" s="83">
        <v>39917.622187499997</v>
      </c>
      <c r="AP265" s="84" t="str">
        <f>HYPERLINK("https://pbs.twimg.com/profile_banners/31139434/1613419710")</f>
        <v>https://pbs.twimg.com/profile_banners/31139434/1613419710</v>
      </c>
      <c r="AQ265" s="81" t="b">
        <v>0</v>
      </c>
      <c r="AR265" s="81" t="b">
        <v>0</v>
      </c>
      <c r="AS265" s="81" t="b">
        <v>0</v>
      </c>
      <c r="AT265" s="81"/>
      <c r="AU265" s="81">
        <v>1872</v>
      </c>
      <c r="AV265" s="84" t="str">
        <f>HYPERLINK("https://abs.twimg.com/images/themes/theme1/bg.png")</f>
        <v>https://abs.twimg.com/images/themes/theme1/bg.png</v>
      </c>
      <c r="AW265" s="81" t="b">
        <v>1</v>
      </c>
      <c r="AX265" s="81" t="s">
        <v>3728</v>
      </c>
      <c r="AY265" s="84" t="str">
        <f>HYPERLINK("https://twitter.com/gleisi")</f>
        <v>https://twitter.com/gleisi</v>
      </c>
      <c r="AZ265" s="81" t="s">
        <v>65</v>
      </c>
      <c r="BA265" s="2"/>
      <c r="BB265" s="3"/>
      <c r="BC265" s="3"/>
      <c r="BD265" s="3"/>
      <c r="BE265" s="3"/>
    </row>
    <row r="266" spans="1:57" x14ac:dyDescent="0.35">
      <c r="A266" s="66" t="s">
        <v>4285</v>
      </c>
      <c r="B266" s="67"/>
      <c r="C266" s="67"/>
      <c r="D266" s="68"/>
      <c r="E266" s="94"/>
      <c r="F266" s="93" t="str">
        <f>HYPERLINK("https://pbs.twimg.com/profile_images/1275127022692556800/_0j7Eb9m_normal.jpg")</f>
        <v>https://pbs.twimg.com/profile_images/1275127022692556800/_0j7Eb9m_normal.jpg</v>
      </c>
      <c r="G266" s="95"/>
      <c r="H266" s="71"/>
      <c r="I266" s="72"/>
      <c r="J266" s="96"/>
      <c r="K266" s="71" t="s">
        <v>11556</v>
      </c>
      <c r="L266" s="97"/>
      <c r="M266" s="76"/>
      <c r="N266" s="76"/>
      <c r="O266" s="77"/>
      <c r="P266" s="78"/>
      <c r="Q266" s="78"/>
      <c r="R266" s="92"/>
      <c r="S266" s="92"/>
      <c r="T266" s="92"/>
      <c r="U266" s="92"/>
      <c r="V266" s="52"/>
      <c r="W266" s="52"/>
      <c r="X266" s="52"/>
      <c r="Y266" s="52"/>
      <c r="Z266" s="51"/>
      <c r="AA266" s="73"/>
      <c r="AB266" s="73"/>
      <c r="AC266" s="74"/>
      <c r="AD266" s="81" t="s">
        <v>8188</v>
      </c>
      <c r="AE266" s="86" t="s">
        <v>9242</v>
      </c>
      <c r="AF266" s="81">
        <v>553</v>
      </c>
      <c r="AG266" s="81">
        <v>556</v>
      </c>
      <c r="AH266" s="81">
        <v>13800</v>
      </c>
      <c r="AI266" s="81">
        <v>109221</v>
      </c>
      <c r="AJ266" s="81"/>
      <c r="AK266" s="81"/>
      <c r="AL266" s="81" t="s">
        <v>11059</v>
      </c>
      <c r="AM266" s="81"/>
      <c r="AN266" s="81"/>
      <c r="AO266" s="83">
        <v>41765.138564814813</v>
      </c>
      <c r="AP266" s="84" t="str">
        <f>HYPERLINK("https://pbs.twimg.com/profile_banners/2479170204/1534431676")</f>
        <v>https://pbs.twimg.com/profile_banners/2479170204/1534431676</v>
      </c>
      <c r="AQ266" s="81" t="b">
        <v>1</v>
      </c>
      <c r="AR266" s="81" t="b">
        <v>0</v>
      </c>
      <c r="AS266" s="81" t="b">
        <v>0</v>
      </c>
      <c r="AT266" s="81"/>
      <c r="AU266" s="81">
        <v>1</v>
      </c>
      <c r="AV266" s="84" t="str">
        <f>HYPERLINK("https://abs.twimg.com/images/themes/theme1/bg.png")</f>
        <v>https://abs.twimg.com/images/themes/theme1/bg.png</v>
      </c>
      <c r="AW266" s="81" t="b">
        <v>0</v>
      </c>
      <c r="AX266" s="81" t="s">
        <v>3728</v>
      </c>
      <c r="AY266" s="84" t="str">
        <f>HYPERLINK("https://twitter.com/thatyzzsp")</f>
        <v>https://twitter.com/thatyzzsp</v>
      </c>
      <c r="AZ266" s="81" t="s">
        <v>66</v>
      </c>
      <c r="BA266" s="2"/>
      <c r="BB266" s="3"/>
      <c r="BC266" s="3"/>
      <c r="BD266" s="3"/>
      <c r="BE266" s="3"/>
    </row>
    <row r="267" spans="1:57" x14ac:dyDescent="0.35">
      <c r="A267" s="66" t="s">
        <v>289</v>
      </c>
      <c r="B267" s="67"/>
      <c r="C267" s="67"/>
      <c r="D267" s="68"/>
      <c r="E267" s="94"/>
      <c r="F267" s="93" t="str">
        <f>HYPERLINK("https://pbs.twimg.com/profile_images/1019063571206922243/0n9EquRK_normal.jpg")</f>
        <v>https://pbs.twimg.com/profile_images/1019063571206922243/0n9EquRK_normal.jpg</v>
      </c>
      <c r="G267" s="95"/>
      <c r="H267" s="71"/>
      <c r="I267" s="72"/>
      <c r="J267" s="96"/>
      <c r="K267" s="71" t="s">
        <v>3832</v>
      </c>
      <c r="L267" s="97"/>
      <c r="M267" s="76"/>
      <c r="N267" s="76"/>
      <c r="O267" s="77"/>
      <c r="P267" s="78"/>
      <c r="Q267" s="78"/>
      <c r="R267" s="92"/>
      <c r="S267" s="92"/>
      <c r="T267" s="92"/>
      <c r="U267" s="92"/>
      <c r="V267" s="52"/>
      <c r="W267" s="52"/>
      <c r="X267" s="52"/>
      <c r="Y267" s="52"/>
      <c r="Z267" s="51"/>
      <c r="AA267" s="73"/>
      <c r="AB267" s="73"/>
      <c r="AC267" s="74"/>
      <c r="AD267" s="81" t="s">
        <v>2343</v>
      </c>
      <c r="AE267" s="86" t="s">
        <v>2768</v>
      </c>
      <c r="AF267" s="81">
        <v>170</v>
      </c>
      <c r="AG267" s="81">
        <v>420</v>
      </c>
      <c r="AH267" s="81">
        <v>371</v>
      </c>
      <c r="AI267" s="81">
        <v>16</v>
      </c>
      <c r="AJ267" s="81"/>
      <c r="AK267" s="81" t="s">
        <v>3175</v>
      </c>
      <c r="AL267" s="81" t="s">
        <v>3573</v>
      </c>
      <c r="AM267" s="84" t="str">
        <f>HYPERLINK("https://t.co/BquMmVxW6D")</f>
        <v>https://t.co/BquMmVxW6D</v>
      </c>
      <c r="AN267" s="81"/>
      <c r="AO267" s="83">
        <v>42577.292002314818</v>
      </c>
      <c r="AP267" s="84" t="str">
        <f>HYPERLINK("https://pbs.twimg.com/profile_banners/757832946363400192/1611031561")</f>
        <v>https://pbs.twimg.com/profile_banners/757832946363400192/1611031561</v>
      </c>
      <c r="AQ267" s="81" t="b">
        <v>1</v>
      </c>
      <c r="AR267" s="81" t="b">
        <v>0</v>
      </c>
      <c r="AS267" s="81" t="b">
        <v>0</v>
      </c>
      <c r="AT267" s="81"/>
      <c r="AU267" s="81">
        <v>0</v>
      </c>
      <c r="AV267" s="81"/>
      <c r="AW267" s="81" t="b">
        <v>0</v>
      </c>
      <c r="AX267" s="81" t="s">
        <v>3728</v>
      </c>
      <c r="AY267" s="84" t="str">
        <f>HYPERLINK("https://twitter.com/bcbanjarmasin_")</f>
        <v>https://twitter.com/bcbanjarmasin_</v>
      </c>
      <c r="AZ267" s="81" t="s">
        <v>66</v>
      </c>
      <c r="BA267" s="2"/>
      <c r="BB267" s="3"/>
      <c r="BC267" s="3"/>
      <c r="BD267" s="3"/>
      <c r="BE267" s="3"/>
    </row>
    <row r="268" spans="1:57" x14ac:dyDescent="0.35">
      <c r="A268" s="66" t="s">
        <v>4286</v>
      </c>
      <c r="B268" s="67"/>
      <c r="C268" s="67"/>
      <c r="D268" s="68"/>
      <c r="E268" s="94"/>
      <c r="F268" s="93" t="str">
        <f>HYPERLINK("https://pbs.twimg.com/profile_images/1440998116304592898/hz4k0aK4_normal.jpg")</f>
        <v>https://pbs.twimg.com/profile_images/1440998116304592898/hz4k0aK4_normal.jpg</v>
      </c>
      <c r="G268" s="95"/>
      <c r="H268" s="71"/>
      <c r="I268" s="72"/>
      <c r="J268" s="96"/>
      <c r="K268" s="71" t="s">
        <v>11557</v>
      </c>
      <c r="L268" s="97"/>
      <c r="M268" s="76"/>
      <c r="N268" s="76"/>
      <c r="O268" s="77"/>
      <c r="P268" s="78"/>
      <c r="Q268" s="78"/>
      <c r="R268" s="92"/>
      <c r="S268" s="92"/>
      <c r="T268" s="92"/>
      <c r="U268" s="92"/>
      <c r="V268" s="52"/>
      <c r="W268" s="52"/>
      <c r="X268" s="52"/>
      <c r="Y268" s="52"/>
      <c r="Z268" s="51"/>
      <c r="AA268" s="73"/>
      <c r="AB268" s="73"/>
      <c r="AC268" s="74"/>
      <c r="AD268" s="81" t="s">
        <v>8189</v>
      </c>
      <c r="AE268" s="86" t="s">
        <v>9243</v>
      </c>
      <c r="AF268" s="81">
        <v>1345</v>
      </c>
      <c r="AG268" s="81">
        <v>979</v>
      </c>
      <c r="AH268" s="81">
        <v>20401</v>
      </c>
      <c r="AI268" s="81">
        <v>17863</v>
      </c>
      <c r="AJ268" s="81"/>
      <c r="AK268" s="81" t="s">
        <v>10202</v>
      </c>
      <c r="AL268" s="81"/>
      <c r="AM268" s="81"/>
      <c r="AN268" s="81"/>
      <c r="AO268" s="83">
        <v>44287.408067129632</v>
      </c>
      <c r="AP268" s="84" t="str">
        <f>HYPERLINK("https://pbs.twimg.com/profile_banners/1377558167136129025/1621987343")</f>
        <v>https://pbs.twimg.com/profile_banners/1377558167136129025/1621987343</v>
      </c>
      <c r="AQ268" s="81" t="b">
        <v>1</v>
      </c>
      <c r="AR268" s="81" t="b">
        <v>0</v>
      </c>
      <c r="AS268" s="81" t="b">
        <v>0</v>
      </c>
      <c r="AT268" s="81"/>
      <c r="AU268" s="81">
        <v>0</v>
      </c>
      <c r="AV268" s="81"/>
      <c r="AW268" s="81" t="b">
        <v>0</v>
      </c>
      <c r="AX268" s="81" t="s">
        <v>3728</v>
      </c>
      <c r="AY268" s="84" t="str">
        <f>HYPERLINK("https://twitter.com/stevensonsoare4")</f>
        <v>https://twitter.com/stevensonsoare4</v>
      </c>
      <c r="AZ268" s="81" t="s">
        <v>66</v>
      </c>
      <c r="BA268" s="2"/>
      <c r="BB268" s="3"/>
      <c r="BC268" s="3"/>
      <c r="BD268" s="3"/>
      <c r="BE268" s="3"/>
    </row>
    <row r="269" spans="1:57" x14ac:dyDescent="0.35">
      <c r="A269" s="66" t="s">
        <v>4287</v>
      </c>
      <c r="B269" s="67"/>
      <c r="C269" s="67"/>
      <c r="D269" s="68"/>
      <c r="E269" s="94"/>
      <c r="F269" s="93" t="str">
        <f>HYPERLINK("https://pbs.twimg.com/profile_images/1423886776364670978/DbkVyF0Z_normal.jpg")</f>
        <v>https://pbs.twimg.com/profile_images/1423886776364670978/DbkVyF0Z_normal.jpg</v>
      </c>
      <c r="G269" s="95"/>
      <c r="H269" s="71"/>
      <c r="I269" s="72"/>
      <c r="J269" s="96"/>
      <c r="K269" s="71" t="s">
        <v>11558</v>
      </c>
      <c r="L269" s="97"/>
      <c r="M269" s="76"/>
      <c r="N269" s="76"/>
      <c r="O269" s="77"/>
      <c r="P269" s="78"/>
      <c r="Q269" s="78"/>
      <c r="R269" s="92"/>
      <c r="S269" s="92"/>
      <c r="T269" s="92"/>
      <c r="U269" s="92"/>
      <c r="V269" s="52"/>
      <c r="W269" s="52"/>
      <c r="X269" s="52"/>
      <c r="Y269" s="52"/>
      <c r="Z269" s="51"/>
      <c r="AA269" s="73"/>
      <c r="AB269" s="73"/>
      <c r="AC269" s="74"/>
      <c r="AD269" s="81" t="s">
        <v>8190</v>
      </c>
      <c r="AE269" s="86" t="s">
        <v>9244</v>
      </c>
      <c r="AF269" s="81">
        <v>213</v>
      </c>
      <c r="AG269" s="81">
        <v>393</v>
      </c>
      <c r="AH269" s="81">
        <v>6135</v>
      </c>
      <c r="AI269" s="81">
        <v>5855</v>
      </c>
      <c r="AJ269" s="81"/>
      <c r="AK269" s="81" t="s">
        <v>10203</v>
      </c>
      <c r="AL269" s="81" t="s">
        <v>11060</v>
      </c>
      <c r="AM269" s="81"/>
      <c r="AN269" s="81"/>
      <c r="AO269" s="83">
        <v>44025.335011574076</v>
      </c>
      <c r="AP269" s="84" t="str">
        <f>HYPERLINK("https://pbs.twimg.com/profile_banners/1282586121592070157/1628869857")</f>
        <v>https://pbs.twimg.com/profile_banners/1282586121592070157/1628869857</v>
      </c>
      <c r="AQ269" s="81" t="b">
        <v>1</v>
      </c>
      <c r="AR269" s="81" t="b">
        <v>0</v>
      </c>
      <c r="AS269" s="81" t="b">
        <v>1</v>
      </c>
      <c r="AT269" s="81"/>
      <c r="AU269" s="81">
        <v>0</v>
      </c>
      <c r="AV269" s="81"/>
      <c r="AW269" s="81" t="b">
        <v>0</v>
      </c>
      <c r="AX269" s="81" t="s">
        <v>3728</v>
      </c>
      <c r="AY269" s="84" t="str">
        <f>HYPERLINK("https://twitter.com/cpx_sla")</f>
        <v>https://twitter.com/cpx_sla</v>
      </c>
      <c r="AZ269" s="81" t="s">
        <v>66</v>
      </c>
      <c r="BA269" s="2"/>
      <c r="BB269" s="3"/>
      <c r="BC269" s="3"/>
      <c r="BD269" s="3"/>
      <c r="BE269" s="3"/>
    </row>
    <row r="270" spans="1:57" x14ac:dyDescent="0.35">
      <c r="A270" s="66" t="s">
        <v>4288</v>
      </c>
      <c r="B270" s="67"/>
      <c r="C270" s="67"/>
      <c r="D270" s="68"/>
      <c r="E270" s="94"/>
      <c r="F270" s="93" t="str">
        <f>HYPERLINK("https://abs.twimg.com/sticky/default_profile_images/default_profile_normal.png")</f>
        <v>https://abs.twimg.com/sticky/default_profile_images/default_profile_normal.png</v>
      </c>
      <c r="G270" s="95"/>
      <c r="H270" s="71"/>
      <c r="I270" s="72"/>
      <c r="J270" s="96"/>
      <c r="K270" s="71" t="s">
        <v>11559</v>
      </c>
      <c r="L270" s="97"/>
      <c r="M270" s="76"/>
      <c r="N270" s="76"/>
      <c r="O270" s="77"/>
      <c r="P270" s="78"/>
      <c r="Q270" s="78"/>
      <c r="R270" s="92"/>
      <c r="S270" s="92"/>
      <c r="T270" s="92"/>
      <c r="U270" s="92"/>
      <c r="V270" s="52"/>
      <c r="W270" s="52"/>
      <c r="X270" s="52"/>
      <c r="Y270" s="52"/>
      <c r="Z270" s="51"/>
      <c r="AA270" s="73"/>
      <c r="AB270" s="73"/>
      <c r="AC270" s="74"/>
      <c r="AD270" s="81" t="s">
        <v>8191</v>
      </c>
      <c r="AE270" s="86" t="s">
        <v>9245</v>
      </c>
      <c r="AF270" s="81">
        <v>229</v>
      </c>
      <c r="AG270" s="81">
        <v>6</v>
      </c>
      <c r="AH270" s="81">
        <v>98</v>
      </c>
      <c r="AI270" s="81">
        <v>76</v>
      </c>
      <c r="AJ270" s="81"/>
      <c r="AK270" s="81"/>
      <c r="AL270" s="81"/>
      <c r="AM270" s="81"/>
      <c r="AN270" s="81"/>
      <c r="AO270" s="83">
        <v>42044.847986111112</v>
      </c>
      <c r="AP270" s="81"/>
      <c r="AQ270" s="81" t="b">
        <v>1</v>
      </c>
      <c r="AR270" s="81" t="b">
        <v>1</v>
      </c>
      <c r="AS270" s="81" t="b">
        <v>0</v>
      </c>
      <c r="AT270" s="81"/>
      <c r="AU270" s="81">
        <v>0</v>
      </c>
      <c r="AV270" s="84" t="str">
        <f>HYPERLINK("https://abs.twimg.com/images/themes/theme1/bg.png")</f>
        <v>https://abs.twimg.com/images/themes/theme1/bg.png</v>
      </c>
      <c r="AW270" s="81" t="b">
        <v>0</v>
      </c>
      <c r="AX270" s="81" t="s">
        <v>3728</v>
      </c>
      <c r="AY270" s="84" t="str">
        <f>HYPERLINK("https://twitter.com/perrorex2")</f>
        <v>https://twitter.com/perrorex2</v>
      </c>
      <c r="AZ270" s="81" t="s">
        <v>66</v>
      </c>
      <c r="BA270" s="2"/>
      <c r="BB270" s="3"/>
      <c r="BC270" s="3"/>
      <c r="BD270" s="3"/>
      <c r="BE270" s="3"/>
    </row>
    <row r="271" spans="1:57" x14ac:dyDescent="0.35">
      <c r="A271" s="66" t="s">
        <v>5017</v>
      </c>
      <c r="B271" s="67"/>
      <c r="C271" s="67"/>
      <c r="D271" s="68"/>
      <c r="E271" s="94"/>
      <c r="F271" s="93" t="str">
        <f>HYPERLINK("https://pbs.twimg.com/profile_images/1377772421453860865/3LqatMFd_normal.png")</f>
        <v>https://pbs.twimg.com/profile_images/1377772421453860865/3LqatMFd_normal.png</v>
      </c>
      <c r="G271" s="95"/>
      <c r="H271" s="71"/>
      <c r="I271" s="72"/>
      <c r="J271" s="96"/>
      <c r="K271" s="71" t="s">
        <v>11560</v>
      </c>
      <c r="L271" s="97"/>
      <c r="M271" s="76"/>
      <c r="N271" s="76"/>
      <c r="O271" s="77"/>
      <c r="P271" s="78"/>
      <c r="Q271" s="78"/>
      <c r="R271" s="92"/>
      <c r="S271" s="92"/>
      <c r="T271" s="92"/>
      <c r="U271" s="92"/>
      <c r="V271" s="52"/>
      <c r="W271" s="52"/>
      <c r="X271" s="52"/>
      <c r="Y271" s="52"/>
      <c r="Z271" s="51"/>
      <c r="AA271" s="73"/>
      <c r="AB271" s="73"/>
      <c r="AC271" s="74"/>
      <c r="AD271" s="81" t="s">
        <v>8192</v>
      </c>
      <c r="AE271" s="86" t="s">
        <v>9246</v>
      </c>
      <c r="AF271" s="81">
        <v>252056</v>
      </c>
      <c r="AG271" s="81">
        <v>1964671</v>
      </c>
      <c r="AH271" s="81">
        <v>206085</v>
      </c>
      <c r="AI271" s="81">
        <v>5307</v>
      </c>
      <c r="AJ271" s="81"/>
      <c r="AK271" s="81" t="s">
        <v>10204</v>
      </c>
      <c r="AL271" s="81" t="s">
        <v>11061</v>
      </c>
      <c r="AM271" s="84" t="str">
        <f>HYPERLINK("https://t.co/ety0PzQzjc")</f>
        <v>https://t.co/ety0PzQzjc</v>
      </c>
      <c r="AN271" s="81"/>
      <c r="AO271" s="83">
        <v>39930.632233796299</v>
      </c>
      <c r="AP271" s="84" t="str">
        <f>HYPERLINK("https://pbs.twimg.com/profile_banners/35764728/1632424140")</f>
        <v>https://pbs.twimg.com/profile_banners/35764728/1632424140</v>
      </c>
      <c r="AQ271" s="81" t="b">
        <v>0</v>
      </c>
      <c r="AR271" s="81" t="b">
        <v>0</v>
      </c>
      <c r="AS271" s="81" t="b">
        <v>1</v>
      </c>
      <c r="AT271" s="81"/>
      <c r="AU271" s="81">
        <v>2607</v>
      </c>
      <c r="AV271" s="84" t="str">
        <f>HYPERLINK("https://abs.twimg.com/images/themes/theme10/bg.gif")</f>
        <v>https://abs.twimg.com/images/themes/theme10/bg.gif</v>
      </c>
      <c r="AW271" s="81" t="b">
        <v>1</v>
      </c>
      <c r="AX271" s="81" t="s">
        <v>3728</v>
      </c>
      <c r="AY271" s="84" t="str">
        <f>HYPERLINK("https://twitter.com/viajavolaris")</f>
        <v>https://twitter.com/viajavolaris</v>
      </c>
      <c r="AZ271" s="81" t="s">
        <v>65</v>
      </c>
      <c r="BA271" s="2"/>
      <c r="BB271" s="3"/>
      <c r="BC271" s="3"/>
      <c r="BD271" s="3"/>
      <c r="BE271" s="3"/>
    </row>
    <row r="272" spans="1:57" x14ac:dyDescent="0.35">
      <c r="A272" s="66" t="s">
        <v>5018</v>
      </c>
      <c r="B272" s="67"/>
      <c r="C272" s="67"/>
      <c r="D272" s="68"/>
      <c r="E272" s="94"/>
      <c r="F272" s="93" t="str">
        <f>HYPERLINK("https://pbs.twimg.com/profile_images/1209201110407208962/9VS2X_Tt_normal.jpg")</f>
        <v>https://pbs.twimg.com/profile_images/1209201110407208962/9VS2X_Tt_normal.jpg</v>
      </c>
      <c r="G272" s="95"/>
      <c r="H272" s="71"/>
      <c r="I272" s="72"/>
      <c r="J272" s="96"/>
      <c r="K272" s="71" t="s">
        <v>11561</v>
      </c>
      <c r="L272" s="97"/>
      <c r="M272" s="76"/>
      <c r="N272" s="76"/>
      <c r="O272" s="77"/>
      <c r="P272" s="78"/>
      <c r="Q272" s="78"/>
      <c r="R272" s="92"/>
      <c r="S272" s="92"/>
      <c r="T272" s="92"/>
      <c r="U272" s="92"/>
      <c r="V272" s="52"/>
      <c r="W272" s="52"/>
      <c r="X272" s="52"/>
      <c r="Y272" s="52"/>
      <c r="Z272" s="51"/>
      <c r="AA272" s="73"/>
      <c r="AB272" s="73"/>
      <c r="AC272" s="74"/>
      <c r="AD272" s="81" t="s">
        <v>8193</v>
      </c>
      <c r="AE272" s="86" t="s">
        <v>9247</v>
      </c>
      <c r="AF272" s="81">
        <v>97</v>
      </c>
      <c r="AG272" s="81">
        <v>91</v>
      </c>
      <c r="AH272" s="81">
        <v>80</v>
      </c>
      <c r="AI272" s="81">
        <v>36</v>
      </c>
      <c r="AJ272" s="81"/>
      <c r="AK272" s="81" t="s">
        <v>10205</v>
      </c>
      <c r="AL272" s="81" t="s">
        <v>11062</v>
      </c>
      <c r="AM272" s="81"/>
      <c r="AN272" s="81"/>
      <c r="AO272" s="83">
        <v>43656.913680555554</v>
      </c>
      <c r="AP272" s="84" t="str">
        <f>HYPERLINK("https://pbs.twimg.com/profile_banners/1149074742504116224/1563819945")</f>
        <v>https://pbs.twimg.com/profile_banners/1149074742504116224/1563819945</v>
      </c>
      <c r="AQ272" s="81" t="b">
        <v>1</v>
      </c>
      <c r="AR272" s="81" t="b">
        <v>0</v>
      </c>
      <c r="AS272" s="81" t="b">
        <v>1</v>
      </c>
      <c r="AT272" s="81"/>
      <c r="AU272" s="81">
        <v>8</v>
      </c>
      <c r="AV272" s="81"/>
      <c r="AW272" s="81" t="b">
        <v>0</v>
      </c>
      <c r="AX272" s="81" t="s">
        <v>3728</v>
      </c>
      <c r="AY272" s="84" t="str">
        <f>HYPERLINK("https://twitter.com/dip_reyes")</f>
        <v>https://twitter.com/dip_reyes</v>
      </c>
      <c r="AZ272" s="81" t="s">
        <v>65</v>
      </c>
      <c r="BA272" s="2"/>
      <c r="BB272" s="3"/>
      <c r="BC272" s="3"/>
      <c r="BD272" s="3"/>
      <c r="BE272" s="3"/>
    </row>
    <row r="273" spans="1:57" x14ac:dyDescent="0.35">
      <c r="A273" s="66" t="s">
        <v>5019</v>
      </c>
      <c r="B273" s="67"/>
      <c r="C273" s="67"/>
      <c r="D273" s="68"/>
      <c r="E273" s="94"/>
      <c r="F273" s="93" t="str">
        <f>HYPERLINK("https://pbs.twimg.com/profile_images/1033911331781574656/1SEdxwyR_normal.jpg")</f>
        <v>https://pbs.twimg.com/profile_images/1033911331781574656/1SEdxwyR_normal.jpg</v>
      </c>
      <c r="G273" s="95"/>
      <c r="H273" s="71"/>
      <c r="I273" s="72"/>
      <c r="J273" s="96"/>
      <c r="K273" s="71" t="s">
        <v>11562</v>
      </c>
      <c r="L273" s="97"/>
      <c r="M273" s="76"/>
      <c r="N273" s="76"/>
      <c r="O273" s="77"/>
      <c r="P273" s="78"/>
      <c r="Q273" s="78"/>
      <c r="R273" s="92"/>
      <c r="S273" s="92"/>
      <c r="T273" s="92"/>
      <c r="U273" s="92"/>
      <c r="V273" s="52"/>
      <c r="W273" s="52"/>
      <c r="X273" s="52"/>
      <c r="Y273" s="52"/>
      <c r="Z273" s="51"/>
      <c r="AA273" s="73"/>
      <c r="AB273" s="73"/>
      <c r="AC273" s="74"/>
      <c r="AD273" s="81" t="s">
        <v>8194</v>
      </c>
      <c r="AE273" s="86" t="s">
        <v>7819</v>
      </c>
      <c r="AF273" s="81">
        <v>1322</v>
      </c>
      <c r="AG273" s="81">
        <v>44422</v>
      </c>
      <c r="AH273" s="81">
        <v>40230</v>
      </c>
      <c r="AI273" s="81">
        <v>12404</v>
      </c>
      <c r="AJ273" s="81"/>
      <c r="AK273" s="81" t="s">
        <v>10206</v>
      </c>
      <c r="AL273" s="81" t="s">
        <v>11063</v>
      </c>
      <c r="AM273" s="84" t="str">
        <f>HYPERLINK("https://t.co/eAMGgWL1AM")</f>
        <v>https://t.co/eAMGgWL1AM</v>
      </c>
      <c r="AN273" s="81"/>
      <c r="AO273" s="83">
        <v>39897.338969907411</v>
      </c>
      <c r="AP273" s="84" t="str">
        <f>HYPERLINK("https://pbs.twimg.com/profile_banners/26455222/1615235982")</f>
        <v>https://pbs.twimg.com/profile_banners/26455222/1615235982</v>
      </c>
      <c r="AQ273" s="81" t="b">
        <v>0</v>
      </c>
      <c r="AR273" s="81" t="b">
        <v>0</v>
      </c>
      <c r="AS273" s="81" t="b">
        <v>1</v>
      </c>
      <c r="AT273" s="81"/>
      <c r="AU273" s="81">
        <v>416</v>
      </c>
      <c r="AV273" s="84" t="str">
        <f>HYPERLINK("https://abs.twimg.com/images/themes/theme1/bg.png")</f>
        <v>https://abs.twimg.com/images/themes/theme1/bg.png</v>
      </c>
      <c r="AW273" s="81" t="b">
        <v>1</v>
      </c>
      <c r="AX273" s="81" t="s">
        <v>3728</v>
      </c>
      <c r="AY273" s="84" t="str">
        <f>HYPERLINK("https://twitter.com/carloszup")</f>
        <v>https://twitter.com/carloszup</v>
      </c>
      <c r="AZ273" s="81" t="s">
        <v>65</v>
      </c>
      <c r="BA273" s="2"/>
      <c r="BB273" s="3"/>
      <c r="BC273" s="3"/>
      <c r="BD273" s="3"/>
      <c r="BE273" s="3"/>
    </row>
    <row r="274" spans="1:57" x14ac:dyDescent="0.35">
      <c r="A274" s="66" t="s">
        <v>290</v>
      </c>
      <c r="B274" s="67"/>
      <c r="C274" s="67"/>
      <c r="D274" s="68"/>
      <c r="E274" s="94"/>
      <c r="F274" s="93" t="str">
        <f>HYPERLINK("https://pbs.twimg.com/profile_images/1398648102588801028/pv-PdBIf_normal.jpg")</f>
        <v>https://pbs.twimg.com/profile_images/1398648102588801028/pv-PdBIf_normal.jpg</v>
      </c>
      <c r="G274" s="95"/>
      <c r="H274" s="71"/>
      <c r="I274" s="72"/>
      <c r="J274" s="96"/>
      <c r="K274" s="71" t="s">
        <v>3833</v>
      </c>
      <c r="L274" s="97"/>
      <c r="M274" s="76"/>
      <c r="N274" s="76"/>
      <c r="O274" s="77"/>
      <c r="P274" s="78"/>
      <c r="Q274" s="78"/>
      <c r="R274" s="92"/>
      <c r="S274" s="92"/>
      <c r="T274" s="92"/>
      <c r="U274" s="92"/>
      <c r="V274" s="52"/>
      <c r="W274" s="52"/>
      <c r="X274" s="52"/>
      <c r="Y274" s="52"/>
      <c r="Z274" s="51"/>
      <c r="AA274" s="73"/>
      <c r="AB274" s="73"/>
      <c r="AC274" s="74"/>
      <c r="AD274" s="81" t="s">
        <v>2344</v>
      </c>
      <c r="AE274" s="86" t="s">
        <v>2106</v>
      </c>
      <c r="AF274" s="81">
        <v>231</v>
      </c>
      <c r="AG274" s="81">
        <v>317</v>
      </c>
      <c r="AH274" s="81">
        <v>17015</v>
      </c>
      <c r="AI274" s="81">
        <v>9134</v>
      </c>
      <c r="AJ274" s="81"/>
      <c r="AK274" s="81" t="s">
        <v>3176</v>
      </c>
      <c r="AL274" s="81"/>
      <c r="AM274" s="84" t="str">
        <f>HYPERLINK("https://t.co/UzDZUbSyEB")</f>
        <v>https://t.co/UzDZUbSyEB</v>
      </c>
      <c r="AN274" s="81"/>
      <c r="AO274" s="83">
        <v>41301.64570601852</v>
      </c>
      <c r="AP274" s="84" t="str">
        <f>HYPERLINK("https://pbs.twimg.com/profile_banners/1125363716/1618495312")</f>
        <v>https://pbs.twimg.com/profile_banners/1125363716/1618495312</v>
      </c>
      <c r="AQ274" s="81" t="b">
        <v>0</v>
      </c>
      <c r="AR274" s="81" t="b">
        <v>0</v>
      </c>
      <c r="AS274" s="81" t="b">
        <v>1</v>
      </c>
      <c r="AT274" s="81"/>
      <c r="AU274" s="81">
        <v>2</v>
      </c>
      <c r="AV274" s="84" t="str">
        <f>HYPERLINK("https://abs.twimg.com/images/themes/theme1/bg.png")</f>
        <v>https://abs.twimg.com/images/themes/theme1/bg.png</v>
      </c>
      <c r="AW274" s="81" t="b">
        <v>0</v>
      </c>
      <c r="AX274" s="81" t="s">
        <v>3728</v>
      </c>
      <c r="AY274" s="84" t="str">
        <f>HYPERLINK("https://twitter.com/marlyanamn")</f>
        <v>https://twitter.com/marlyanamn</v>
      </c>
      <c r="AZ274" s="81" t="s">
        <v>66</v>
      </c>
      <c r="BA274" s="2"/>
      <c r="BB274" s="3"/>
      <c r="BC274" s="3"/>
      <c r="BD274" s="3"/>
      <c r="BE274" s="3"/>
    </row>
    <row r="275" spans="1:57" x14ac:dyDescent="0.35">
      <c r="A275" s="66" t="s">
        <v>435</v>
      </c>
      <c r="B275" s="67"/>
      <c r="C275" s="67"/>
      <c r="D275" s="68"/>
      <c r="E275" s="94"/>
      <c r="F275" s="93" t="str">
        <f>HYPERLINK("https://pbs.twimg.com/profile_images/699968807624798210/e61p2OuF_normal.png")</f>
        <v>https://pbs.twimg.com/profile_images/699968807624798210/e61p2OuF_normal.png</v>
      </c>
      <c r="G275" s="95"/>
      <c r="H275" s="71"/>
      <c r="I275" s="72"/>
      <c r="J275" s="96"/>
      <c r="K275" s="71" t="s">
        <v>11563</v>
      </c>
      <c r="L275" s="97"/>
      <c r="M275" s="76"/>
      <c r="N275" s="76"/>
      <c r="O275" s="77"/>
      <c r="P275" s="78"/>
      <c r="Q275" s="78"/>
      <c r="R275" s="92"/>
      <c r="S275" s="92"/>
      <c r="T275" s="92"/>
      <c r="U275" s="92"/>
      <c r="V275" s="52"/>
      <c r="W275" s="52"/>
      <c r="X275" s="52"/>
      <c r="Y275" s="52"/>
      <c r="Z275" s="51"/>
      <c r="AA275" s="73"/>
      <c r="AB275" s="73"/>
      <c r="AC275" s="74"/>
      <c r="AD275" s="81" t="s">
        <v>2496</v>
      </c>
      <c r="AE275" s="86" t="s">
        <v>2918</v>
      </c>
      <c r="AF275" s="81">
        <v>8</v>
      </c>
      <c r="AG275" s="81">
        <v>1619</v>
      </c>
      <c r="AH275" s="81">
        <v>40270</v>
      </c>
      <c r="AI275" s="81">
        <v>0</v>
      </c>
      <c r="AJ275" s="81"/>
      <c r="AK275" s="81" t="s">
        <v>3325</v>
      </c>
      <c r="AL275" s="81" t="s">
        <v>3645</v>
      </c>
      <c r="AM275" s="84" t="str">
        <f>HYPERLINK("https://t.co/1MbxefPVbS")</f>
        <v>https://t.co/1MbxefPVbS</v>
      </c>
      <c r="AN275" s="81"/>
      <c r="AO275" s="83">
        <v>41968.484629629631</v>
      </c>
      <c r="AP275" s="84" t="str">
        <f>HYPERLINK("https://pbs.twimg.com/profile_banners/2909948138/1455721255")</f>
        <v>https://pbs.twimg.com/profile_banners/2909948138/1455721255</v>
      </c>
      <c r="AQ275" s="81" t="b">
        <v>0</v>
      </c>
      <c r="AR275" s="81" t="b">
        <v>0</v>
      </c>
      <c r="AS275" s="81" t="b">
        <v>0</v>
      </c>
      <c r="AT275" s="81"/>
      <c r="AU275" s="81">
        <v>1</v>
      </c>
      <c r="AV275" s="84" t="str">
        <f>HYPERLINK("https://abs.twimg.com/images/themes/theme4/bg.gif")</f>
        <v>https://abs.twimg.com/images/themes/theme4/bg.gif</v>
      </c>
      <c r="AW275" s="81" t="b">
        <v>0</v>
      </c>
      <c r="AX275" s="81" t="s">
        <v>3728</v>
      </c>
      <c r="AY275" s="84" t="str">
        <f>HYPERLINK("https://twitter.com/kendari_pos")</f>
        <v>https://twitter.com/kendari_pos</v>
      </c>
      <c r="AZ275" s="81" t="s">
        <v>66</v>
      </c>
      <c r="BA275" s="2"/>
      <c r="BB275" s="3"/>
      <c r="BC275" s="3"/>
      <c r="BD275" s="3"/>
      <c r="BE275" s="3"/>
    </row>
    <row r="276" spans="1:57" x14ac:dyDescent="0.35">
      <c r="A276" s="66" t="s">
        <v>4289</v>
      </c>
      <c r="B276" s="67"/>
      <c r="C276" s="67"/>
      <c r="D276" s="68"/>
      <c r="E276" s="94"/>
      <c r="F276" s="93" t="str">
        <f>HYPERLINK("https://pbs.twimg.com/profile_images/1344166794949316608/meYOgdNJ_normal.jpg")</f>
        <v>https://pbs.twimg.com/profile_images/1344166794949316608/meYOgdNJ_normal.jpg</v>
      </c>
      <c r="G276" s="95"/>
      <c r="H276" s="71"/>
      <c r="I276" s="72"/>
      <c r="J276" s="96"/>
      <c r="K276" s="71" t="s">
        <v>11564</v>
      </c>
      <c r="L276" s="97"/>
      <c r="M276" s="76"/>
      <c r="N276" s="76"/>
      <c r="O276" s="77"/>
      <c r="P276" s="78"/>
      <c r="Q276" s="78"/>
      <c r="R276" s="92"/>
      <c r="S276" s="92"/>
      <c r="T276" s="92"/>
      <c r="U276" s="92"/>
      <c r="V276" s="52"/>
      <c r="W276" s="52"/>
      <c r="X276" s="52"/>
      <c r="Y276" s="52"/>
      <c r="Z276" s="51"/>
      <c r="AA276" s="73"/>
      <c r="AB276" s="73"/>
      <c r="AC276" s="74"/>
      <c r="AD276" s="81" t="s">
        <v>8195</v>
      </c>
      <c r="AE276" s="86" t="s">
        <v>9248</v>
      </c>
      <c r="AF276" s="81">
        <v>298</v>
      </c>
      <c r="AG276" s="81">
        <v>269</v>
      </c>
      <c r="AH276" s="81">
        <v>18923</v>
      </c>
      <c r="AI276" s="81">
        <v>330</v>
      </c>
      <c r="AJ276" s="81"/>
      <c r="AK276" s="81" t="s">
        <v>10207</v>
      </c>
      <c r="AL276" s="81" t="s">
        <v>3503</v>
      </c>
      <c r="AM276" s="84" t="str">
        <f>HYPERLINK("https://t.co/PDPwnkTJvH")</f>
        <v>https://t.co/PDPwnkTJvH</v>
      </c>
      <c r="AN276" s="81"/>
      <c r="AO276" s="83">
        <v>40027.271678240744</v>
      </c>
      <c r="AP276" s="84" t="str">
        <f>HYPERLINK("https://pbs.twimg.com/profile_banners/62212539/1606618408")</f>
        <v>https://pbs.twimg.com/profile_banners/62212539/1606618408</v>
      </c>
      <c r="AQ276" s="81" t="b">
        <v>0</v>
      </c>
      <c r="AR276" s="81" t="b">
        <v>0</v>
      </c>
      <c r="AS276" s="81" t="b">
        <v>1</v>
      </c>
      <c r="AT276" s="81"/>
      <c r="AU276" s="81">
        <v>1</v>
      </c>
      <c r="AV276" s="84" t="str">
        <f>HYPERLINK("https://abs.twimg.com/images/themes/theme1/bg.png")</f>
        <v>https://abs.twimg.com/images/themes/theme1/bg.png</v>
      </c>
      <c r="AW276" s="81" t="b">
        <v>0</v>
      </c>
      <c r="AX276" s="81" t="s">
        <v>3728</v>
      </c>
      <c r="AY276" s="84" t="str">
        <f>HYPERLINK("https://twitter.com/huwietan")</f>
        <v>https://twitter.com/huwietan</v>
      </c>
      <c r="AZ276" s="81" t="s">
        <v>66</v>
      </c>
      <c r="BA276" s="2"/>
      <c r="BB276" s="3"/>
      <c r="BC276" s="3"/>
      <c r="BD276" s="3"/>
      <c r="BE276" s="3"/>
    </row>
    <row r="277" spans="1:57" x14ac:dyDescent="0.35">
      <c r="A277" s="66" t="s">
        <v>5020</v>
      </c>
      <c r="B277" s="67"/>
      <c r="C277" s="67"/>
      <c r="D277" s="68"/>
      <c r="E277" s="94"/>
      <c r="F277" s="93" t="str">
        <f>HYPERLINK("https://pbs.twimg.com/profile_images/1443076138000023554/VnzyY5zp_normal.jpg")</f>
        <v>https://pbs.twimg.com/profile_images/1443076138000023554/VnzyY5zp_normal.jpg</v>
      </c>
      <c r="G277" s="95"/>
      <c r="H277" s="71"/>
      <c r="I277" s="72"/>
      <c r="J277" s="96"/>
      <c r="K277" s="71" t="s">
        <v>11565</v>
      </c>
      <c r="L277" s="97"/>
      <c r="M277" s="76"/>
      <c r="N277" s="76"/>
      <c r="O277" s="77"/>
      <c r="P277" s="78"/>
      <c r="Q277" s="78"/>
      <c r="R277" s="92"/>
      <c r="S277" s="92"/>
      <c r="T277" s="92"/>
      <c r="U277" s="92"/>
      <c r="V277" s="52"/>
      <c r="W277" s="52"/>
      <c r="X277" s="52"/>
      <c r="Y277" s="52"/>
      <c r="Z277" s="51"/>
      <c r="AA277" s="73"/>
      <c r="AB277" s="73"/>
      <c r="AC277" s="74"/>
      <c r="AD277" s="81" t="s">
        <v>8196</v>
      </c>
      <c r="AE277" s="86" t="s">
        <v>9249</v>
      </c>
      <c r="AF277" s="81">
        <v>240</v>
      </c>
      <c r="AG277" s="81">
        <v>47408</v>
      </c>
      <c r="AH277" s="81">
        <v>7285</v>
      </c>
      <c r="AI277" s="81">
        <v>121</v>
      </c>
      <c r="AJ277" s="81"/>
      <c r="AK277" s="81" t="s">
        <v>10208</v>
      </c>
      <c r="AL277" s="81"/>
      <c r="AM277" s="84" t="str">
        <f>HYPERLINK("https://t.co/HdAv3V5SaI")</f>
        <v>https://t.co/HdAv3V5SaI</v>
      </c>
      <c r="AN277" s="81"/>
      <c r="AO277" s="83">
        <v>41866.706944444442</v>
      </c>
      <c r="AP277" s="84" t="str">
        <f>HYPERLINK("https://pbs.twimg.com/profile_banners/2734971967/1632893141")</f>
        <v>https://pbs.twimg.com/profile_banners/2734971967/1632893141</v>
      </c>
      <c r="AQ277" s="81" t="b">
        <v>1</v>
      </c>
      <c r="AR277" s="81" t="b">
        <v>0</v>
      </c>
      <c r="AS277" s="81" t="b">
        <v>0</v>
      </c>
      <c r="AT277" s="81"/>
      <c r="AU277" s="81">
        <v>67</v>
      </c>
      <c r="AV277" s="84" t="str">
        <f>HYPERLINK("https://abs.twimg.com/images/themes/theme1/bg.png")</f>
        <v>https://abs.twimg.com/images/themes/theme1/bg.png</v>
      </c>
      <c r="AW277" s="81" t="b">
        <v>1</v>
      </c>
      <c r="AX277" s="81" t="s">
        <v>3728</v>
      </c>
      <c r="AY277" s="84" t="str">
        <f>HYPERLINK("https://twitter.com/airlangga_hrt")</f>
        <v>https://twitter.com/airlangga_hrt</v>
      </c>
      <c r="AZ277" s="81" t="s">
        <v>65</v>
      </c>
      <c r="BA277" s="2"/>
      <c r="BB277" s="3"/>
      <c r="BC277" s="3"/>
      <c r="BD277" s="3"/>
      <c r="BE277" s="3"/>
    </row>
    <row r="278" spans="1:57" x14ac:dyDescent="0.35">
      <c r="A278" s="66" t="s">
        <v>5021</v>
      </c>
      <c r="B278" s="67"/>
      <c r="C278" s="67"/>
      <c r="D278" s="68"/>
      <c r="E278" s="94"/>
      <c r="F278" s="93" t="str">
        <f>HYPERLINK("https://pbs.twimg.com/profile_images/1186971742608089089/MFhO1OHj_normal.jpg")</f>
        <v>https://pbs.twimg.com/profile_images/1186971742608089089/MFhO1OHj_normal.jpg</v>
      </c>
      <c r="G278" s="95"/>
      <c r="H278" s="71"/>
      <c r="I278" s="72"/>
      <c r="J278" s="96"/>
      <c r="K278" s="71" t="s">
        <v>11566</v>
      </c>
      <c r="L278" s="97"/>
      <c r="M278" s="76"/>
      <c r="N278" s="76"/>
      <c r="O278" s="77"/>
      <c r="P278" s="78"/>
      <c r="Q278" s="78"/>
      <c r="R278" s="92"/>
      <c r="S278" s="92"/>
      <c r="T278" s="92"/>
      <c r="U278" s="92"/>
      <c r="V278" s="52"/>
      <c r="W278" s="52"/>
      <c r="X278" s="52"/>
      <c r="Y278" s="52"/>
      <c r="Z278" s="51"/>
      <c r="AA278" s="73"/>
      <c r="AB278" s="73"/>
      <c r="AC278" s="74"/>
      <c r="AD278" s="81" t="s">
        <v>8197</v>
      </c>
      <c r="AE278" s="86" t="s">
        <v>9250</v>
      </c>
      <c r="AF278" s="81">
        <v>160</v>
      </c>
      <c r="AG278" s="81">
        <v>232122</v>
      </c>
      <c r="AH278" s="81">
        <v>15574</v>
      </c>
      <c r="AI278" s="81">
        <v>4038</v>
      </c>
      <c r="AJ278" s="81"/>
      <c r="AK278" s="81" t="s">
        <v>10209</v>
      </c>
      <c r="AL278" s="81" t="s">
        <v>11064</v>
      </c>
      <c r="AM278" s="84" t="str">
        <f>HYPERLINK("https://t.co/DAniCSgVoK")</f>
        <v>https://t.co/DAniCSgVoK</v>
      </c>
      <c r="AN278" s="81"/>
      <c r="AO278" s="83">
        <v>42025.337696759256</v>
      </c>
      <c r="AP278" s="84" t="str">
        <f>HYPERLINK("https://pbs.twimg.com/profile_banners/2989211223/1573114888")</f>
        <v>https://pbs.twimg.com/profile_banners/2989211223/1573114888</v>
      </c>
      <c r="AQ278" s="81" t="b">
        <v>0</v>
      </c>
      <c r="AR278" s="81" t="b">
        <v>0</v>
      </c>
      <c r="AS278" s="81" t="b">
        <v>1</v>
      </c>
      <c r="AT278" s="81"/>
      <c r="AU278" s="81">
        <v>207</v>
      </c>
      <c r="AV278" s="84" t="str">
        <f>HYPERLINK("https://abs.twimg.com/images/themes/theme1/bg.png")</f>
        <v>https://abs.twimg.com/images/themes/theme1/bg.png</v>
      </c>
      <c r="AW278" s="81" t="b">
        <v>1</v>
      </c>
      <c r="AX278" s="81" t="s">
        <v>3728</v>
      </c>
      <c r="AY278" s="84" t="str">
        <f>HYPERLINK("https://twitter.com/kemenkomarves")</f>
        <v>https://twitter.com/kemenkomarves</v>
      </c>
      <c r="AZ278" s="81" t="s">
        <v>65</v>
      </c>
      <c r="BA278" s="2"/>
      <c r="BB278" s="3"/>
      <c r="BC278" s="3"/>
      <c r="BD278" s="3"/>
      <c r="BE278" s="3"/>
    </row>
    <row r="279" spans="1:57" x14ac:dyDescent="0.35">
      <c r="A279" s="66" t="s">
        <v>633</v>
      </c>
      <c r="B279" s="67"/>
      <c r="C279" s="67"/>
      <c r="D279" s="68"/>
      <c r="E279" s="94"/>
      <c r="F279" s="93" t="str">
        <f>HYPERLINK("https://pbs.twimg.com/profile_images/1278247035498409985/1A_DZked_normal.jpg")</f>
        <v>https://pbs.twimg.com/profile_images/1278247035498409985/1A_DZked_normal.jpg</v>
      </c>
      <c r="G279" s="95"/>
      <c r="H279" s="71"/>
      <c r="I279" s="72"/>
      <c r="J279" s="96"/>
      <c r="K279" s="71" t="s">
        <v>3861</v>
      </c>
      <c r="L279" s="97"/>
      <c r="M279" s="76"/>
      <c r="N279" s="76"/>
      <c r="O279" s="77"/>
      <c r="P279" s="78"/>
      <c r="Q279" s="78"/>
      <c r="R279" s="92"/>
      <c r="S279" s="92"/>
      <c r="T279" s="92"/>
      <c r="U279" s="92"/>
      <c r="V279" s="52"/>
      <c r="W279" s="52"/>
      <c r="X279" s="52"/>
      <c r="Y279" s="52"/>
      <c r="Z279" s="51"/>
      <c r="AA279" s="73"/>
      <c r="AB279" s="73"/>
      <c r="AC279" s="74"/>
      <c r="AD279" s="81" t="s">
        <v>2373</v>
      </c>
      <c r="AE279" s="86" t="s">
        <v>2799</v>
      </c>
      <c r="AF279" s="81">
        <v>321</v>
      </c>
      <c r="AG279" s="81">
        <v>586031</v>
      </c>
      <c r="AH279" s="81">
        <v>33355</v>
      </c>
      <c r="AI279" s="81">
        <v>1748</v>
      </c>
      <c r="AJ279" s="81"/>
      <c r="AK279" s="81" t="s">
        <v>3205</v>
      </c>
      <c r="AL279" s="81" t="s">
        <v>3569</v>
      </c>
      <c r="AM279" s="84" t="str">
        <f>HYPERLINK("https://t.co/bt5mfEpOdq")</f>
        <v>https://t.co/bt5mfEpOdq</v>
      </c>
      <c r="AN279" s="81"/>
      <c r="AO279" s="83">
        <v>42128.184120370373</v>
      </c>
      <c r="AP279" s="84" t="str">
        <f>HYPERLINK("https://pbs.twimg.com/profile_banners/3184723542/1593593113")</f>
        <v>https://pbs.twimg.com/profile_banners/3184723542/1593593113</v>
      </c>
      <c r="AQ279" s="81" t="b">
        <v>0</v>
      </c>
      <c r="AR279" s="81" t="b">
        <v>0</v>
      </c>
      <c r="AS279" s="81" t="b">
        <v>1</v>
      </c>
      <c r="AT279" s="81"/>
      <c r="AU279" s="81">
        <v>341</v>
      </c>
      <c r="AV279" s="84" t="str">
        <f>HYPERLINK("https://abs.twimg.com/images/themes/theme1/bg.png")</f>
        <v>https://abs.twimg.com/images/themes/theme1/bg.png</v>
      </c>
      <c r="AW279" s="81" t="b">
        <v>1</v>
      </c>
      <c r="AX279" s="81" t="s">
        <v>3728</v>
      </c>
      <c r="AY279" s="84" t="str">
        <f>HYPERLINK("https://twitter.com/kemenbumn")</f>
        <v>https://twitter.com/kemenbumn</v>
      </c>
      <c r="AZ279" s="81" t="s">
        <v>65</v>
      </c>
      <c r="BA279" s="2"/>
      <c r="BB279" s="3"/>
      <c r="BC279" s="3"/>
      <c r="BD279" s="3"/>
      <c r="BE279" s="3"/>
    </row>
    <row r="280" spans="1:57" x14ac:dyDescent="0.35">
      <c r="A280" s="66" t="s">
        <v>508</v>
      </c>
      <c r="B280" s="67"/>
      <c r="C280" s="67"/>
      <c r="D280" s="68"/>
      <c r="E280" s="94"/>
      <c r="F280" s="93" t="str">
        <f>HYPERLINK("https://pbs.twimg.com/profile_images/2418591123/images_normal.jpg")</f>
        <v>https://pbs.twimg.com/profile_images/2418591123/images_normal.jpg</v>
      </c>
      <c r="G280" s="95"/>
      <c r="H280" s="71"/>
      <c r="I280" s="72"/>
      <c r="J280" s="96"/>
      <c r="K280" s="71" t="s">
        <v>11567</v>
      </c>
      <c r="L280" s="97"/>
      <c r="M280" s="76"/>
      <c r="N280" s="76"/>
      <c r="O280" s="77"/>
      <c r="P280" s="78"/>
      <c r="Q280" s="78"/>
      <c r="R280" s="92"/>
      <c r="S280" s="92"/>
      <c r="T280" s="92"/>
      <c r="U280" s="92"/>
      <c r="V280" s="52"/>
      <c r="W280" s="52"/>
      <c r="X280" s="52"/>
      <c r="Y280" s="52"/>
      <c r="Z280" s="51"/>
      <c r="AA280" s="73"/>
      <c r="AB280" s="73"/>
      <c r="AC280" s="74"/>
      <c r="AD280" s="81" t="s">
        <v>2593</v>
      </c>
      <c r="AE280" s="86" t="s">
        <v>2998</v>
      </c>
      <c r="AF280" s="81">
        <v>32</v>
      </c>
      <c r="AG280" s="81">
        <v>4327</v>
      </c>
      <c r="AH280" s="81">
        <v>7893</v>
      </c>
      <c r="AI280" s="81">
        <v>1</v>
      </c>
      <c r="AJ280" s="81"/>
      <c r="AK280" s="81"/>
      <c r="AL280" s="81" t="s">
        <v>3692</v>
      </c>
      <c r="AM280" s="84" t="str">
        <f>HYPERLINK("https://t.co/yQnz15p2yH")</f>
        <v>https://t.co/yQnz15p2yH</v>
      </c>
      <c r="AN280" s="81"/>
      <c r="AO280" s="83">
        <v>41111.577326388891</v>
      </c>
      <c r="AP280" s="81"/>
      <c r="AQ280" s="81" t="b">
        <v>0</v>
      </c>
      <c r="AR280" s="81" t="b">
        <v>0</v>
      </c>
      <c r="AS280" s="81" t="b">
        <v>1</v>
      </c>
      <c r="AT280" s="81"/>
      <c r="AU280" s="81">
        <v>7</v>
      </c>
      <c r="AV280" s="84" t="str">
        <f>HYPERLINK("https://abs.twimg.com/images/themes/theme1/bg.png")</f>
        <v>https://abs.twimg.com/images/themes/theme1/bg.png</v>
      </c>
      <c r="AW280" s="81" t="b">
        <v>0</v>
      </c>
      <c r="AX280" s="81" t="s">
        <v>3728</v>
      </c>
      <c r="AY280" s="84" t="str">
        <f>HYPERLINK("https://twitter.com/lowongankerjalu")</f>
        <v>https://twitter.com/lowongankerjalu</v>
      </c>
      <c r="AZ280" s="81" t="s">
        <v>66</v>
      </c>
      <c r="BA280" s="2"/>
      <c r="BB280" s="3"/>
      <c r="BC280" s="3"/>
      <c r="BD280" s="3"/>
      <c r="BE280" s="3"/>
    </row>
    <row r="281" spans="1:57" x14ac:dyDescent="0.35">
      <c r="A281" s="66" t="s">
        <v>291</v>
      </c>
      <c r="B281" s="67"/>
      <c r="C281" s="67"/>
      <c r="D281" s="68"/>
      <c r="E281" s="94"/>
      <c r="F281" s="93" t="str">
        <f>HYPERLINK("https://pbs.twimg.com/profile_images/1439614657644302340/zuSv9_3f_normal.jpg")</f>
        <v>https://pbs.twimg.com/profile_images/1439614657644302340/zuSv9_3f_normal.jpg</v>
      </c>
      <c r="G281" s="95"/>
      <c r="H281" s="71"/>
      <c r="I281" s="72"/>
      <c r="J281" s="96"/>
      <c r="K281" s="71" t="s">
        <v>3834</v>
      </c>
      <c r="L281" s="97"/>
      <c r="M281" s="76"/>
      <c r="N281" s="76"/>
      <c r="O281" s="77"/>
      <c r="P281" s="78"/>
      <c r="Q281" s="78"/>
      <c r="R281" s="92"/>
      <c r="S281" s="92"/>
      <c r="T281" s="92"/>
      <c r="U281" s="92"/>
      <c r="V281" s="52"/>
      <c r="W281" s="52"/>
      <c r="X281" s="52"/>
      <c r="Y281" s="52"/>
      <c r="Z281" s="51"/>
      <c r="AA281" s="73"/>
      <c r="AB281" s="73"/>
      <c r="AC281" s="74"/>
      <c r="AD281" s="81" t="s">
        <v>2346</v>
      </c>
      <c r="AE281" s="86" t="s">
        <v>2769</v>
      </c>
      <c r="AF281" s="81">
        <v>138</v>
      </c>
      <c r="AG281" s="81">
        <v>165</v>
      </c>
      <c r="AH281" s="81">
        <v>12397</v>
      </c>
      <c r="AI281" s="81">
        <v>392</v>
      </c>
      <c r="AJ281" s="81"/>
      <c r="AK281" s="81" t="s">
        <v>3177</v>
      </c>
      <c r="AL281" s="81" t="s">
        <v>3575</v>
      </c>
      <c r="AM281" s="84" t="str">
        <f>HYPERLINK("https://t.co/tuhn6h9JE6")</f>
        <v>https://t.co/tuhn6h9JE6</v>
      </c>
      <c r="AN281" s="81"/>
      <c r="AO281" s="83">
        <v>44210.660798611112</v>
      </c>
      <c r="AP281" s="84" t="str">
        <f>HYPERLINK("https://pbs.twimg.com/profile_banners/1349745943638286337/1631242790")</f>
        <v>https://pbs.twimg.com/profile_banners/1349745943638286337/1631242790</v>
      </c>
      <c r="AQ281" s="81" t="b">
        <v>1</v>
      </c>
      <c r="AR281" s="81" t="b">
        <v>0</v>
      </c>
      <c r="AS281" s="81" t="b">
        <v>1</v>
      </c>
      <c r="AT281" s="81"/>
      <c r="AU281" s="81">
        <v>4</v>
      </c>
      <c r="AV281" s="81"/>
      <c r="AW281" s="81" t="b">
        <v>0</v>
      </c>
      <c r="AX281" s="81" t="s">
        <v>3728</v>
      </c>
      <c r="AY281" s="84" t="str">
        <f>HYPERLINK("https://twitter.com/itzelworid")</f>
        <v>https://twitter.com/itzelworid</v>
      </c>
      <c r="AZ281" s="81" t="s">
        <v>66</v>
      </c>
      <c r="BA281" s="2"/>
      <c r="BB281" s="3"/>
      <c r="BC281" s="3"/>
      <c r="BD281" s="3"/>
      <c r="BE281" s="3"/>
    </row>
    <row r="282" spans="1:57" x14ac:dyDescent="0.35">
      <c r="A282" s="66" t="s">
        <v>632</v>
      </c>
      <c r="B282" s="67"/>
      <c r="C282" s="67"/>
      <c r="D282" s="68"/>
      <c r="E282" s="94"/>
      <c r="F282" s="93" t="str">
        <f>HYPERLINK("https://abs.twimg.com/sticky/default_profile_images/default_profile_normal.png")</f>
        <v>https://abs.twimg.com/sticky/default_profile_images/default_profile_normal.png</v>
      </c>
      <c r="G282" s="95"/>
      <c r="H282" s="71"/>
      <c r="I282" s="72"/>
      <c r="J282" s="96"/>
      <c r="K282" s="71" t="s">
        <v>3835</v>
      </c>
      <c r="L282" s="97"/>
      <c r="M282" s="76"/>
      <c r="N282" s="76"/>
      <c r="O282" s="77"/>
      <c r="P282" s="78"/>
      <c r="Q282" s="78"/>
      <c r="R282" s="92"/>
      <c r="S282" s="92"/>
      <c r="T282" s="92"/>
      <c r="U282" s="92"/>
      <c r="V282" s="52"/>
      <c r="W282" s="52"/>
      <c r="X282" s="52"/>
      <c r="Y282" s="52"/>
      <c r="Z282" s="51"/>
      <c r="AA282" s="73"/>
      <c r="AB282" s="73"/>
      <c r="AC282" s="74"/>
      <c r="AD282" s="81" t="s">
        <v>2347</v>
      </c>
      <c r="AE282" s="86" t="s">
        <v>2770</v>
      </c>
      <c r="AF282" s="81">
        <v>0</v>
      </c>
      <c r="AG282" s="81">
        <v>0</v>
      </c>
      <c r="AH282" s="81">
        <v>1</v>
      </c>
      <c r="AI282" s="81">
        <v>0</v>
      </c>
      <c r="AJ282" s="81"/>
      <c r="AK282" s="81" t="s">
        <v>3178</v>
      </c>
      <c r="AL282" s="81"/>
      <c r="AM282" s="81"/>
      <c r="AN282" s="81"/>
      <c r="AO282" s="83">
        <v>44463.58797453704</v>
      </c>
      <c r="AP282" s="81"/>
      <c r="AQ282" s="81" t="b">
        <v>1</v>
      </c>
      <c r="AR282" s="81" t="b">
        <v>1</v>
      </c>
      <c r="AS282" s="81" t="b">
        <v>0</v>
      </c>
      <c r="AT282" s="81"/>
      <c r="AU282" s="81">
        <v>0</v>
      </c>
      <c r="AV282" s="81"/>
      <c r="AW282" s="81" t="b">
        <v>0</v>
      </c>
      <c r="AX282" s="81" t="s">
        <v>3728</v>
      </c>
      <c r="AY282" s="84" t="str">
        <f>HYPERLINK("https://twitter.com/anyaslalusalah")</f>
        <v>https://twitter.com/anyaslalusalah</v>
      </c>
      <c r="AZ282" s="81" t="s">
        <v>65</v>
      </c>
      <c r="BA282" s="2"/>
      <c r="BB282" s="3"/>
      <c r="BC282" s="3"/>
      <c r="BD282" s="3"/>
      <c r="BE282" s="3"/>
    </row>
    <row r="283" spans="1:57" x14ac:dyDescent="0.35">
      <c r="A283" s="66" t="s">
        <v>292</v>
      </c>
      <c r="B283" s="67"/>
      <c r="C283" s="67"/>
      <c r="D283" s="68"/>
      <c r="E283" s="94"/>
      <c r="F283" s="93" t="str">
        <f>HYPERLINK("https://pbs.twimg.com/profile_images/1308579761904476161/yG_jhDPn_normal.jpg")</f>
        <v>https://pbs.twimg.com/profile_images/1308579761904476161/yG_jhDPn_normal.jpg</v>
      </c>
      <c r="G283" s="95"/>
      <c r="H283" s="71"/>
      <c r="I283" s="72"/>
      <c r="J283" s="96"/>
      <c r="K283" s="71" t="s">
        <v>3836</v>
      </c>
      <c r="L283" s="97"/>
      <c r="M283" s="76"/>
      <c r="N283" s="76"/>
      <c r="O283" s="77"/>
      <c r="P283" s="78"/>
      <c r="Q283" s="78"/>
      <c r="R283" s="92"/>
      <c r="S283" s="92"/>
      <c r="T283" s="92"/>
      <c r="U283" s="92"/>
      <c r="V283" s="52"/>
      <c r="W283" s="52"/>
      <c r="X283" s="52"/>
      <c r="Y283" s="52"/>
      <c r="Z283" s="51"/>
      <c r="AA283" s="73"/>
      <c r="AB283" s="73"/>
      <c r="AC283" s="74"/>
      <c r="AD283" s="81" t="s">
        <v>2348</v>
      </c>
      <c r="AE283" s="86" t="s">
        <v>2771</v>
      </c>
      <c r="AF283" s="81">
        <v>246</v>
      </c>
      <c r="AG283" s="81">
        <v>27</v>
      </c>
      <c r="AH283" s="81">
        <v>1015</v>
      </c>
      <c r="AI283" s="81">
        <v>408</v>
      </c>
      <c r="AJ283" s="81"/>
      <c r="AK283" s="81" t="s">
        <v>3179</v>
      </c>
      <c r="AL283" s="81" t="s">
        <v>3577</v>
      </c>
      <c r="AM283" s="84" t="str">
        <f>HYPERLINK("https://t.co/kgolLu838L")</f>
        <v>https://t.co/kgolLu838L</v>
      </c>
      <c r="AN283" s="81"/>
      <c r="AO283" s="83">
        <v>43919.410509259258</v>
      </c>
      <c r="AP283" s="81"/>
      <c r="AQ283" s="81" t="b">
        <v>1</v>
      </c>
      <c r="AR283" s="81" t="b">
        <v>0</v>
      </c>
      <c r="AS283" s="81" t="b">
        <v>1</v>
      </c>
      <c r="AT283" s="81"/>
      <c r="AU283" s="81">
        <v>0</v>
      </c>
      <c r="AV283" s="81"/>
      <c r="AW283" s="81" t="b">
        <v>0</v>
      </c>
      <c r="AX283" s="81" t="s">
        <v>3728</v>
      </c>
      <c r="AY283" s="84" t="str">
        <f>HYPERLINK("https://twitter.com/gopinda901")</f>
        <v>https://twitter.com/gopinda901</v>
      </c>
      <c r="AZ283" s="81" t="s">
        <v>66</v>
      </c>
      <c r="BA283" s="2"/>
      <c r="BB283" s="3"/>
      <c r="BC283" s="3"/>
      <c r="BD283" s="3"/>
      <c r="BE283" s="3"/>
    </row>
    <row r="284" spans="1:57" x14ac:dyDescent="0.35">
      <c r="A284" s="66" t="s">
        <v>4290</v>
      </c>
      <c r="B284" s="67"/>
      <c r="C284" s="67"/>
      <c r="D284" s="68"/>
      <c r="E284" s="94"/>
      <c r="F284" s="93" t="str">
        <f>HYPERLINK("https://pbs.twimg.com/profile_images/1391973951904047105/z0TVn0yl_normal.jpg")</f>
        <v>https://pbs.twimg.com/profile_images/1391973951904047105/z0TVn0yl_normal.jpg</v>
      </c>
      <c r="G284" s="95"/>
      <c r="H284" s="71"/>
      <c r="I284" s="72"/>
      <c r="J284" s="96"/>
      <c r="K284" s="71" t="s">
        <v>11568</v>
      </c>
      <c r="L284" s="97"/>
      <c r="M284" s="76"/>
      <c r="N284" s="76"/>
      <c r="O284" s="77"/>
      <c r="P284" s="78"/>
      <c r="Q284" s="78"/>
      <c r="R284" s="92"/>
      <c r="S284" s="92"/>
      <c r="T284" s="92"/>
      <c r="U284" s="92"/>
      <c r="V284" s="52"/>
      <c r="W284" s="52"/>
      <c r="X284" s="52"/>
      <c r="Y284" s="52"/>
      <c r="Z284" s="51"/>
      <c r="AA284" s="73"/>
      <c r="AB284" s="73"/>
      <c r="AC284" s="74"/>
      <c r="AD284" s="81" t="s">
        <v>8198</v>
      </c>
      <c r="AE284" s="86" t="s">
        <v>9251</v>
      </c>
      <c r="AF284" s="81">
        <v>2288</v>
      </c>
      <c r="AG284" s="81">
        <v>2923</v>
      </c>
      <c r="AH284" s="81">
        <v>497946</v>
      </c>
      <c r="AI284" s="81">
        <v>57405</v>
      </c>
      <c r="AJ284" s="81"/>
      <c r="AK284" s="81" t="s">
        <v>10210</v>
      </c>
      <c r="AL284" s="81" t="s">
        <v>11065</v>
      </c>
      <c r="AM284" s="81"/>
      <c r="AN284" s="81"/>
      <c r="AO284" s="83">
        <v>39880.994837962964</v>
      </c>
      <c r="AP284" s="84" t="str">
        <f>HYPERLINK("https://pbs.twimg.com/profile_banners/23373309/1423648971")</f>
        <v>https://pbs.twimg.com/profile_banners/23373309/1423648971</v>
      </c>
      <c r="AQ284" s="81" t="b">
        <v>0</v>
      </c>
      <c r="AR284" s="81" t="b">
        <v>0</v>
      </c>
      <c r="AS284" s="81" t="b">
        <v>0</v>
      </c>
      <c r="AT284" s="81"/>
      <c r="AU284" s="81">
        <v>445</v>
      </c>
      <c r="AV284" s="84" t="str">
        <f>HYPERLINK("https://abs.twimg.com/images/themes/theme1/bg.png")</f>
        <v>https://abs.twimg.com/images/themes/theme1/bg.png</v>
      </c>
      <c r="AW284" s="81" t="b">
        <v>0</v>
      </c>
      <c r="AX284" s="81" t="s">
        <v>3728</v>
      </c>
      <c r="AY284" s="84" t="str">
        <f>HYPERLINK("https://twitter.com/southerngemgal")</f>
        <v>https://twitter.com/southerngemgal</v>
      </c>
      <c r="AZ284" s="81" t="s">
        <v>66</v>
      </c>
      <c r="BA284" s="2"/>
      <c r="BB284" s="3"/>
      <c r="BC284" s="3"/>
      <c r="BD284" s="3"/>
      <c r="BE284" s="3"/>
    </row>
    <row r="285" spans="1:57" x14ac:dyDescent="0.35">
      <c r="A285" s="66" t="s">
        <v>293</v>
      </c>
      <c r="B285" s="67"/>
      <c r="C285" s="67"/>
      <c r="D285" s="68"/>
      <c r="E285" s="94"/>
      <c r="F285" s="93" t="str">
        <f>HYPERLINK("https://pbs.twimg.com/profile_images/1441805018806448139/DAdMO8GI_normal.jpg")</f>
        <v>https://pbs.twimg.com/profile_images/1441805018806448139/DAdMO8GI_normal.jpg</v>
      </c>
      <c r="G285" s="95"/>
      <c r="H285" s="71"/>
      <c r="I285" s="72"/>
      <c r="J285" s="96"/>
      <c r="K285" s="71" t="s">
        <v>3837</v>
      </c>
      <c r="L285" s="97"/>
      <c r="M285" s="76"/>
      <c r="N285" s="76"/>
      <c r="O285" s="77"/>
      <c r="P285" s="78"/>
      <c r="Q285" s="78"/>
      <c r="R285" s="92"/>
      <c r="S285" s="92"/>
      <c r="T285" s="92"/>
      <c r="U285" s="92"/>
      <c r="V285" s="52"/>
      <c r="W285" s="52"/>
      <c r="X285" s="52"/>
      <c r="Y285" s="52"/>
      <c r="Z285" s="51"/>
      <c r="AA285" s="73"/>
      <c r="AB285" s="73"/>
      <c r="AC285" s="74"/>
      <c r="AD285" s="81" t="s">
        <v>2349</v>
      </c>
      <c r="AE285" s="86" t="s">
        <v>2772</v>
      </c>
      <c r="AF285" s="81">
        <v>493</v>
      </c>
      <c r="AG285" s="81">
        <v>1099</v>
      </c>
      <c r="AH285" s="81">
        <v>66462</v>
      </c>
      <c r="AI285" s="81">
        <v>24740</v>
      </c>
      <c r="AJ285" s="81"/>
      <c r="AK285" s="81" t="s">
        <v>3180</v>
      </c>
      <c r="AL285" s="81" t="s">
        <v>3287</v>
      </c>
      <c r="AM285" s="84" t="str">
        <f>HYPERLINK("https://t.co/rnHGiCpqcc")</f>
        <v>https://t.co/rnHGiCpqcc</v>
      </c>
      <c r="AN285" s="81"/>
      <c r="AO285" s="83">
        <v>43334.150254629632</v>
      </c>
      <c r="AP285" s="84" t="str">
        <f>HYPERLINK("https://pbs.twimg.com/profile_banners/1032109195422617600/1631532566")</f>
        <v>https://pbs.twimg.com/profile_banners/1032109195422617600/1631532566</v>
      </c>
      <c r="AQ285" s="81" t="b">
        <v>1</v>
      </c>
      <c r="AR285" s="81" t="b">
        <v>0</v>
      </c>
      <c r="AS285" s="81" t="b">
        <v>1</v>
      </c>
      <c r="AT285" s="81"/>
      <c r="AU285" s="81">
        <v>3</v>
      </c>
      <c r="AV285" s="81"/>
      <c r="AW285" s="81" t="b">
        <v>0</v>
      </c>
      <c r="AX285" s="81" t="s">
        <v>3728</v>
      </c>
      <c r="AY285" s="84" t="str">
        <f>HYPERLINK("https://twitter.com/crossvinee")</f>
        <v>https://twitter.com/crossvinee</v>
      </c>
      <c r="AZ285" s="81" t="s">
        <v>66</v>
      </c>
      <c r="BA285" s="2"/>
      <c r="BB285" s="3"/>
      <c r="BC285" s="3"/>
      <c r="BD285" s="3"/>
      <c r="BE285" s="3"/>
    </row>
    <row r="286" spans="1:57" x14ac:dyDescent="0.35">
      <c r="A286" s="66" t="s">
        <v>294</v>
      </c>
      <c r="B286" s="67"/>
      <c r="C286" s="67"/>
      <c r="D286" s="68"/>
      <c r="E286" s="94"/>
      <c r="F286" s="93" t="str">
        <f>HYPERLINK("https://pbs.twimg.com/profile_images/1442045293457858564/Pb9RX1oO_normal.jpg")</f>
        <v>https://pbs.twimg.com/profile_images/1442045293457858564/Pb9RX1oO_normal.jpg</v>
      </c>
      <c r="G286" s="95"/>
      <c r="H286" s="71"/>
      <c r="I286" s="72"/>
      <c r="J286" s="96"/>
      <c r="K286" s="71" t="s">
        <v>3838</v>
      </c>
      <c r="L286" s="97"/>
      <c r="M286" s="76"/>
      <c r="N286" s="76"/>
      <c r="O286" s="77"/>
      <c r="P286" s="78"/>
      <c r="Q286" s="78"/>
      <c r="R286" s="92"/>
      <c r="S286" s="92"/>
      <c r="T286" s="92"/>
      <c r="U286" s="92"/>
      <c r="V286" s="52"/>
      <c r="W286" s="52"/>
      <c r="X286" s="52"/>
      <c r="Y286" s="52"/>
      <c r="Z286" s="51"/>
      <c r="AA286" s="73"/>
      <c r="AB286" s="73"/>
      <c r="AC286" s="74"/>
      <c r="AD286" s="81" t="s">
        <v>2350</v>
      </c>
      <c r="AE286" s="86" t="s">
        <v>2773</v>
      </c>
      <c r="AF286" s="81">
        <v>555</v>
      </c>
      <c r="AG286" s="81">
        <v>760</v>
      </c>
      <c r="AH286" s="81">
        <v>36533</v>
      </c>
      <c r="AI286" s="81">
        <v>14655</v>
      </c>
      <c r="AJ286" s="81"/>
      <c r="AK286" s="81" t="s">
        <v>3181</v>
      </c>
      <c r="AL286" s="81" t="s">
        <v>3562</v>
      </c>
      <c r="AM286" s="84" t="str">
        <f>HYPERLINK("https://t.co/3l48AaiZPh")</f>
        <v>https://t.co/3l48AaiZPh</v>
      </c>
      <c r="AN286" s="81"/>
      <c r="AO286" s="83">
        <v>44068.522094907406</v>
      </c>
      <c r="AP286" s="84" t="str">
        <f>HYPERLINK("https://pbs.twimg.com/profile_banners/1298236596689412096/1631896571")</f>
        <v>https://pbs.twimg.com/profile_banners/1298236596689412096/1631896571</v>
      </c>
      <c r="AQ286" s="81" t="b">
        <v>1</v>
      </c>
      <c r="AR286" s="81" t="b">
        <v>0</v>
      </c>
      <c r="AS286" s="81" t="b">
        <v>0</v>
      </c>
      <c r="AT286" s="81"/>
      <c r="AU286" s="81">
        <v>9</v>
      </c>
      <c r="AV286" s="81"/>
      <c r="AW286" s="81" t="b">
        <v>0</v>
      </c>
      <c r="AX286" s="81" t="s">
        <v>3728</v>
      </c>
      <c r="AY286" s="84" t="str">
        <f>HYPERLINK("https://twitter.com/hunjisvngs")</f>
        <v>https://twitter.com/hunjisvngs</v>
      </c>
      <c r="AZ286" s="81" t="s">
        <v>66</v>
      </c>
      <c r="BA286" s="2"/>
      <c r="BB286" s="3"/>
      <c r="BC286" s="3"/>
      <c r="BD286" s="3"/>
      <c r="BE286" s="3"/>
    </row>
    <row r="287" spans="1:57" x14ac:dyDescent="0.35">
      <c r="A287" s="66" t="s">
        <v>295</v>
      </c>
      <c r="B287" s="67"/>
      <c r="C287" s="67"/>
      <c r="D287" s="68"/>
      <c r="E287" s="94"/>
      <c r="F287" s="93" t="str">
        <f>HYPERLINK("https://pbs.twimg.com/profile_images/1440219954066771976/hiPOvbnY_normal.jpg")</f>
        <v>https://pbs.twimg.com/profile_images/1440219954066771976/hiPOvbnY_normal.jpg</v>
      </c>
      <c r="G287" s="95"/>
      <c r="H287" s="71"/>
      <c r="I287" s="72"/>
      <c r="J287" s="96"/>
      <c r="K287" s="71" t="s">
        <v>3839</v>
      </c>
      <c r="L287" s="97"/>
      <c r="M287" s="76"/>
      <c r="N287" s="76"/>
      <c r="O287" s="77"/>
      <c r="P287" s="78"/>
      <c r="Q287" s="78"/>
      <c r="R287" s="92"/>
      <c r="S287" s="92"/>
      <c r="T287" s="92"/>
      <c r="U287" s="92"/>
      <c r="V287" s="52"/>
      <c r="W287" s="52"/>
      <c r="X287" s="52"/>
      <c r="Y287" s="52"/>
      <c r="Z287" s="51"/>
      <c r="AA287" s="73"/>
      <c r="AB287" s="73"/>
      <c r="AC287" s="74"/>
      <c r="AD287" s="81" t="s">
        <v>2351</v>
      </c>
      <c r="AE287" s="86" t="s">
        <v>2774</v>
      </c>
      <c r="AF287" s="81">
        <v>284</v>
      </c>
      <c r="AG287" s="81">
        <v>199</v>
      </c>
      <c r="AH287" s="81">
        <v>1066</v>
      </c>
      <c r="AI287" s="81">
        <v>1076</v>
      </c>
      <c r="AJ287" s="81"/>
      <c r="AK287" s="81" t="s">
        <v>3182</v>
      </c>
      <c r="AL287" s="81"/>
      <c r="AM287" s="81"/>
      <c r="AN287" s="81"/>
      <c r="AO287" s="83">
        <v>44399.167164351849</v>
      </c>
      <c r="AP287" s="84" t="str">
        <f>HYPERLINK("https://pbs.twimg.com/profile_banners/1418058350537756675/1629508315")</f>
        <v>https://pbs.twimg.com/profile_banners/1418058350537756675/1629508315</v>
      </c>
      <c r="AQ287" s="81" t="b">
        <v>1</v>
      </c>
      <c r="AR287" s="81" t="b">
        <v>0</v>
      </c>
      <c r="AS287" s="81" t="b">
        <v>0</v>
      </c>
      <c r="AT287" s="81"/>
      <c r="AU287" s="81">
        <v>0</v>
      </c>
      <c r="AV287" s="81"/>
      <c r="AW287" s="81" t="b">
        <v>0</v>
      </c>
      <c r="AX287" s="81" t="s">
        <v>3728</v>
      </c>
      <c r="AY287" s="84" t="str">
        <f>HYPERLINK("https://twitter.com/hyunjiyoungein")</f>
        <v>https://twitter.com/hyunjiyoungein</v>
      </c>
      <c r="AZ287" s="81" t="s">
        <v>66</v>
      </c>
      <c r="BA287" s="2"/>
      <c r="BB287" s="3"/>
      <c r="BC287" s="3"/>
      <c r="BD287" s="3"/>
      <c r="BE287" s="3"/>
    </row>
    <row r="288" spans="1:57" x14ac:dyDescent="0.35">
      <c r="A288" s="66" t="s">
        <v>296</v>
      </c>
      <c r="B288" s="67"/>
      <c r="C288" s="67"/>
      <c r="D288" s="68"/>
      <c r="E288" s="94"/>
      <c r="F288" s="93" t="str">
        <f>HYPERLINK("https://pbs.twimg.com/profile_images/1438827591058681859/urLNgwSI_normal.jpg")</f>
        <v>https://pbs.twimg.com/profile_images/1438827591058681859/urLNgwSI_normal.jpg</v>
      </c>
      <c r="G288" s="95"/>
      <c r="H288" s="71"/>
      <c r="I288" s="72"/>
      <c r="J288" s="96"/>
      <c r="K288" s="71" t="s">
        <v>3840</v>
      </c>
      <c r="L288" s="97"/>
      <c r="M288" s="76"/>
      <c r="N288" s="76"/>
      <c r="O288" s="77"/>
      <c r="P288" s="78"/>
      <c r="Q288" s="78"/>
      <c r="R288" s="92"/>
      <c r="S288" s="92"/>
      <c r="T288" s="92"/>
      <c r="U288" s="92"/>
      <c r="V288" s="52"/>
      <c r="W288" s="52"/>
      <c r="X288" s="52"/>
      <c r="Y288" s="52"/>
      <c r="Z288" s="51"/>
      <c r="AA288" s="73"/>
      <c r="AB288" s="73"/>
      <c r="AC288" s="74"/>
      <c r="AD288" s="81" t="s">
        <v>2352</v>
      </c>
      <c r="AE288" s="86" t="s">
        <v>2775</v>
      </c>
      <c r="AF288" s="81">
        <v>556</v>
      </c>
      <c r="AG288" s="81">
        <v>541</v>
      </c>
      <c r="AH288" s="81">
        <v>43441</v>
      </c>
      <c r="AI288" s="81">
        <v>12366</v>
      </c>
      <c r="AJ288" s="81"/>
      <c r="AK288" s="81" t="s">
        <v>3183</v>
      </c>
      <c r="AL288" s="81"/>
      <c r="AM288" s="81"/>
      <c r="AN288" s="81"/>
      <c r="AO288" s="83">
        <v>44150.236747685187</v>
      </c>
      <c r="AP288" s="84" t="str">
        <f>HYPERLINK("https://pbs.twimg.com/profile_banners/1327848997663346688/1631186659")</f>
        <v>https://pbs.twimg.com/profile_banners/1327848997663346688/1631186659</v>
      </c>
      <c r="AQ288" s="81" t="b">
        <v>1</v>
      </c>
      <c r="AR288" s="81" t="b">
        <v>0</v>
      </c>
      <c r="AS288" s="81" t="b">
        <v>0</v>
      </c>
      <c r="AT288" s="81"/>
      <c r="AU288" s="81">
        <v>3</v>
      </c>
      <c r="AV288" s="81"/>
      <c r="AW288" s="81" t="b">
        <v>0</v>
      </c>
      <c r="AX288" s="81" t="s">
        <v>3728</v>
      </c>
      <c r="AY288" s="84" t="str">
        <f>HYPERLINK("https://twitter.com/minnieeeeyey")</f>
        <v>https://twitter.com/minnieeeeyey</v>
      </c>
      <c r="AZ288" s="81" t="s">
        <v>66</v>
      </c>
      <c r="BA288" s="2"/>
      <c r="BB288" s="3"/>
      <c r="BC288" s="3"/>
      <c r="BD288" s="3"/>
      <c r="BE288" s="3"/>
    </row>
    <row r="289" spans="1:57" x14ac:dyDescent="0.35">
      <c r="A289" s="66" t="s">
        <v>298</v>
      </c>
      <c r="B289" s="67"/>
      <c r="C289" s="67"/>
      <c r="D289" s="68"/>
      <c r="E289" s="94"/>
      <c r="F289" s="93" t="str">
        <f>HYPERLINK("https://pbs.twimg.com/profile_images/1437475206419779587/qrlZ3Z2o_normal.jpg")</f>
        <v>https://pbs.twimg.com/profile_images/1437475206419779587/qrlZ3Z2o_normal.jpg</v>
      </c>
      <c r="G289" s="95"/>
      <c r="H289" s="71"/>
      <c r="I289" s="72"/>
      <c r="J289" s="96"/>
      <c r="K289" s="71" t="s">
        <v>3841</v>
      </c>
      <c r="L289" s="97"/>
      <c r="M289" s="76"/>
      <c r="N289" s="76"/>
      <c r="O289" s="77"/>
      <c r="P289" s="78"/>
      <c r="Q289" s="78"/>
      <c r="R289" s="92"/>
      <c r="S289" s="92"/>
      <c r="T289" s="92"/>
      <c r="U289" s="92"/>
      <c r="V289" s="52"/>
      <c r="W289" s="52"/>
      <c r="X289" s="52"/>
      <c r="Y289" s="52"/>
      <c r="Z289" s="51"/>
      <c r="AA289" s="73"/>
      <c r="AB289" s="73"/>
      <c r="AC289" s="74"/>
      <c r="AD289" s="81" t="s">
        <v>2353</v>
      </c>
      <c r="AE289" s="86" t="s">
        <v>2776</v>
      </c>
      <c r="AF289" s="81">
        <v>363</v>
      </c>
      <c r="AG289" s="81">
        <v>192</v>
      </c>
      <c r="AH289" s="81">
        <v>3616</v>
      </c>
      <c r="AI289" s="81">
        <v>9048</v>
      </c>
      <c r="AJ289" s="81"/>
      <c r="AK289" s="81" t="s">
        <v>3184</v>
      </c>
      <c r="AL289" s="81"/>
      <c r="AM289" s="81"/>
      <c r="AN289" s="81"/>
      <c r="AO289" s="83">
        <v>43252.924490740741</v>
      </c>
      <c r="AP289" s="84" t="str">
        <f>HYPERLINK("https://pbs.twimg.com/profile_banners/1002673963686715392/1631772416")</f>
        <v>https://pbs.twimg.com/profile_banners/1002673963686715392/1631772416</v>
      </c>
      <c r="AQ289" s="81" t="b">
        <v>1</v>
      </c>
      <c r="AR289" s="81" t="b">
        <v>0</v>
      </c>
      <c r="AS289" s="81" t="b">
        <v>0</v>
      </c>
      <c r="AT289" s="81"/>
      <c r="AU289" s="81">
        <v>0</v>
      </c>
      <c r="AV289" s="81"/>
      <c r="AW289" s="81" t="b">
        <v>0</v>
      </c>
      <c r="AX289" s="81" t="s">
        <v>3728</v>
      </c>
      <c r="AY289" s="84" t="str">
        <f>HYPERLINK("https://twitter.com/skzstaycmchhysj")</f>
        <v>https://twitter.com/skzstaycmchhysj</v>
      </c>
      <c r="AZ289" s="81" t="s">
        <v>66</v>
      </c>
      <c r="BA289" s="2"/>
      <c r="BB289" s="3"/>
      <c r="BC289" s="3"/>
      <c r="BD289" s="3"/>
      <c r="BE289" s="3"/>
    </row>
    <row r="290" spans="1:57" x14ac:dyDescent="0.35">
      <c r="A290" s="66" t="s">
        <v>299</v>
      </c>
      <c r="B290" s="67"/>
      <c r="C290" s="67"/>
      <c r="D290" s="68"/>
      <c r="E290" s="94"/>
      <c r="F290" s="93" t="str">
        <f>HYPERLINK("https://pbs.twimg.com/profile_images/1441465900373217285/aFiGZG3q_normal.jpg")</f>
        <v>https://pbs.twimg.com/profile_images/1441465900373217285/aFiGZG3q_normal.jpg</v>
      </c>
      <c r="G290" s="95"/>
      <c r="H290" s="71"/>
      <c r="I290" s="72"/>
      <c r="J290" s="96"/>
      <c r="K290" s="71" t="s">
        <v>3842</v>
      </c>
      <c r="L290" s="97"/>
      <c r="M290" s="76"/>
      <c r="N290" s="76"/>
      <c r="O290" s="77"/>
      <c r="P290" s="78"/>
      <c r="Q290" s="78"/>
      <c r="R290" s="92"/>
      <c r="S290" s="92"/>
      <c r="T290" s="92"/>
      <c r="U290" s="92"/>
      <c r="V290" s="52"/>
      <c r="W290" s="52"/>
      <c r="X290" s="52"/>
      <c r="Y290" s="52"/>
      <c r="Z290" s="51"/>
      <c r="AA290" s="73"/>
      <c r="AB290" s="73"/>
      <c r="AC290" s="74"/>
      <c r="AD290" s="81" t="s">
        <v>2354</v>
      </c>
      <c r="AE290" s="86" t="s">
        <v>2777</v>
      </c>
      <c r="AF290" s="81">
        <v>215</v>
      </c>
      <c r="AG290" s="81">
        <v>197</v>
      </c>
      <c r="AH290" s="81">
        <v>6977</v>
      </c>
      <c r="AI290" s="81">
        <v>10047</v>
      </c>
      <c r="AJ290" s="81"/>
      <c r="AK290" s="81" t="s">
        <v>3185</v>
      </c>
      <c r="AL290" s="81" t="s">
        <v>3578</v>
      </c>
      <c r="AM290" s="84" t="str">
        <f>HYPERLINK("https://t.co/YNN9rdc3ZW")</f>
        <v>https://t.co/YNN9rdc3ZW</v>
      </c>
      <c r="AN290" s="81"/>
      <c r="AO290" s="83">
        <v>44300.271562499998</v>
      </c>
      <c r="AP290" s="84" t="str">
        <f>HYPERLINK("https://pbs.twimg.com/profile_banners/1382219786344493056/1627066842")</f>
        <v>https://pbs.twimg.com/profile_banners/1382219786344493056/1627066842</v>
      </c>
      <c r="AQ290" s="81" t="b">
        <v>1</v>
      </c>
      <c r="AR290" s="81" t="b">
        <v>0</v>
      </c>
      <c r="AS290" s="81" t="b">
        <v>0</v>
      </c>
      <c r="AT290" s="81"/>
      <c r="AU290" s="81">
        <v>0</v>
      </c>
      <c r="AV290" s="81"/>
      <c r="AW290" s="81" t="b">
        <v>0</v>
      </c>
      <c r="AX290" s="81" t="s">
        <v>3728</v>
      </c>
      <c r="AY290" s="84" t="str">
        <f>HYPERLINK("https://twitter.com/bbokfreckkie")</f>
        <v>https://twitter.com/bbokfreckkie</v>
      </c>
      <c r="AZ290" s="81" t="s">
        <v>66</v>
      </c>
      <c r="BA290" s="2"/>
      <c r="BB290" s="3"/>
      <c r="BC290" s="3"/>
      <c r="BD290" s="3"/>
      <c r="BE290" s="3"/>
    </row>
    <row r="291" spans="1:57" x14ac:dyDescent="0.35">
      <c r="A291" s="66" t="s">
        <v>300</v>
      </c>
      <c r="B291" s="67"/>
      <c r="C291" s="67"/>
      <c r="D291" s="68"/>
      <c r="E291" s="94"/>
      <c r="F291" s="93" t="str">
        <f>HYPERLINK("https://pbs.twimg.com/profile_images/1423604900961820678/XBgejojd_normal.jpg")</f>
        <v>https://pbs.twimg.com/profile_images/1423604900961820678/XBgejojd_normal.jpg</v>
      </c>
      <c r="G291" s="95"/>
      <c r="H291" s="71"/>
      <c r="I291" s="72"/>
      <c r="J291" s="96"/>
      <c r="K291" s="71" t="s">
        <v>3843</v>
      </c>
      <c r="L291" s="97"/>
      <c r="M291" s="76"/>
      <c r="N291" s="76"/>
      <c r="O291" s="77"/>
      <c r="P291" s="78"/>
      <c r="Q291" s="78"/>
      <c r="R291" s="92"/>
      <c r="S291" s="92"/>
      <c r="T291" s="92"/>
      <c r="U291" s="92"/>
      <c r="V291" s="52"/>
      <c r="W291" s="52"/>
      <c r="X291" s="52"/>
      <c r="Y291" s="52"/>
      <c r="Z291" s="51"/>
      <c r="AA291" s="73"/>
      <c r="AB291" s="73"/>
      <c r="AC291" s="74"/>
      <c r="AD291" s="81" t="s">
        <v>2355</v>
      </c>
      <c r="AE291" s="86" t="s">
        <v>2778</v>
      </c>
      <c r="AF291" s="81">
        <v>141</v>
      </c>
      <c r="AG291" s="81">
        <v>67</v>
      </c>
      <c r="AH291" s="81">
        <v>20266</v>
      </c>
      <c r="AI291" s="81">
        <v>43904</v>
      </c>
      <c r="AJ291" s="81"/>
      <c r="AK291" s="81"/>
      <c r="AL291" s="81"/>
      <c r="AM291" s="81"/>
      <c r="AN291" s="81"/>
      <c r="AO291" s="83">
        <v>42010.447824074072</v>
      </c>
      <c r="AP291" s="84" t="str">
        <f>HYPERLINK("https://pbs.twimg.com/profile_banners/2960656291/1626607402")</f>
        <v>https://pbs.twimg.com/profile_banners/2960656291/1626607402</v>
      </c>
      <c r="AQ291" s="81" t="b">
        <v>1</v>
      </c>
      <c r="AR291" s="81" t="b">
        <v>0</v>
      </c>
      <c r="AS291" s="81" t="b">
        <v>0</v>
      </c>
      <c r="AT291" s="81"/>
      <c r="AU291" s="81">
        <v>0</v>
      </c>
      <c r="AV291" s="84" t="str">
        <f>HYPERLINK("https://abs.twimg.com/images/themes/theme1/bg.png")</f>
        <v>https://abs.twimg.com/images/themes/theme1/bg.png</v>
      </c>
      <c r="AW291" s="81" t="b">
        <v>0</v>
      </c>
      <c r="AX291" s="81" t="s">
        <v>3728</v>
      </c>
      <c r="AY291" s="84" t="str">
        <f>HYPERLINK("https://twitter.com/favorskz")</f>
        <v>https://twitter.com/favorskz</v>
      </c>
      <c r="AZ291" s="81" t="s">
        <v>66</v>
      </c>
      <c r="BA291" s="2"/>
      <c r="BB291" s="3"/>
      <c r="BC291" s="3"/>
      <c r="BD291" s="3"/>
      <c r="BE291" s="3"/>
    </row>
    <row r="292" spans="1:57" x14ac:dyDescent="0.35">
      <c r="A292" s="66" t="s">
        <v>301</v>
      </c>
      <c r="B292" s="67"/>
      <c r="C292" s="67"/>
      <c r="D292" s="68"/>
      <c r="E292" s="94"/>
      <c r="F292" s="93" t="str">
        <f>HYPERLINK("https://pbs.twimg.com/profile_images/1441585648398319616/BE5IDhiU_normal.jpg")</f>
        <v>https://pbs.twimg.com/profile_images/1441585648398319616/BE5IDhiU_normal.jpg</v>
      </c>
      <c r="G292" s="95"/>
      <c r="H292" s="71"/>
      <c r="I292" s="72"/>
      <c r="J292" s="96"/>
      <c r="K292" s="71" t="s">
        <v>3844</v>
      </c>
      <c r="L292" s="97"/>
      <c r="M292" s="76"/>
      <c r="N292" s="76"/>
      <c r="O292" s="77"/>
      <c r="P292" s="78"/>
      <c r="Q292" s="78"/>
      <c r="R292" s="92"/>
      <c r="S292" s="92"/>
      <c r="T292" s="92"/>
      <c r="U292" s="92"/>
      <c r="V292" s="52"/>
      <c r="W292" s="52"/>
      <c r="X292" s="52"/>
      <c r="Y292" s="52"/>
      <c r="Z292" s="51"/>
      <c r="AA292" s="73"/>
      <c r="AB292" s="73"/>
      <c r="AC292" s="74"/>
      <c r="AD292" s="81" t="s">
        <v>2356</v>
      </c>
      <c r="AE292" s="86" t="s">
        <v>2779</v>
      </c>
      <c r="AF292" s="81">
        <v>1773</v>
      </c>
      <c r="AG292" s="81">
        <v>868</v>
      </c>
      <c r="AH292" s="81">
        <v>29636</v>
      </c>
      <c r="AI292" s="81">
        <v>84397</v>
      </c>
      <c r="AJ292" s="81"/>
      <c r="AK292" s="81" t="s">
        <v>3186</v>
      </c>
      <c r="AL292" s="81" t="s">
        <v>3519</v>
      </c>
      <c r="AM292" s="84" t="str">
        <f>HYPERLINK("https://t.co/HTDLU2NwRh")</f>
        <v>https://t.co/HTDLU2NwRh</v>
      </c>
      <c r="AN292" s="81"/>
      <c r="AO292" s="83">
        <v>43288.088379629633</v>
      </c>
      <c r="AP292" s="84" t="str">
        <f>HYPERLINK("https://pbs.twimg.com/profile_banners/1015416931896049664/1628138515")</f>
        <v>https://pbs.twimg.com/profile_banners/1015416931896049664/1628138515</v>
      </c>
      <c r="AQ292" s="81" t="b">
        <v>1</v>
      </c>
      <c r="AR292" s="81" t="b">
        <v>0</v>
      </c>
      <c r="AS292" s="81" t="b">
        <v>1</v>
      </c>
      <c r="AT292" s="81"/>
      <c r="AU292" s="81">
        <v>3</v>
      </c>
      <c r="AV292" s="81"/>
      <c r="AW292" s="81" t="b">
        <v>0</v>
      </c>
      <c r="AX292" s="81" t="s">
        <v>3728</v>
      </c>
      <c r="AY292" s="84" t="str">
        <f>HYPERLINK("https://twitter.com/haafiieezaa98")</f>
        <v>https://twitter.com/haafiieezaa98</v>
      </c>
      <c r="AZ292" s="81" t="s">
        <v>66</v>
      </c>
      <c r="BA292" s="2"/>
      <c r="BB292" s="3"/>
      <c r="BC292" s="3"/>
      <c r="BD292" s="3"/>
      <c r="BE292" s="3"/>
    </row>
    <row r="293" spans="1:57" x14ac:dyDescent="0.35">
      <c r="A293" s="66" t="s">
        <v>302</v>
      </c>
      <c r="B293" s="67"/>
      <c r="C293" s="67"/>
      <c r="D293" s="68"/>
      <c r="E293" s="94"/>
      <c r="F293" s="93" t="str">
        <f>HYPERLINK("https://pbs.twimg.com/profile_images/1442368600245821443/gIlO5kqm_normal.jpg")</f>
        <v>https://pbs.twimg.com/profile_images/1442368600245821443/gIlO5kqm_normal.jpg</v>
      </c>
      <c r="G293" s="95"/>
      <c r="H293" s="71"/>
      <c r="I293" s="72"/>
      <c r="J293" s="96"/>
      <c r="K293" s="71" t="s">
        <v>3845</v>
      </c>
      <c r="L293" s="97"/>
      <c r="M293" s="76"/>
      <c r="N293" s="76"/>
      <c r="O293" s="77"/>
      <c r="P293" s="78"/>
      <c r="Q293" s="78"/>
      <c r="R293" s="92"/>
      <c r="S293" s="92"/>
      <c r="T293" s="92"/>
      <c r="U293" s="92"/>
      <c r="V293" s="52"/>
      <c r="W293" s="52"/>
      <c r="X293" s="52"/>
      <c r="Y293" s="52"/>
      <c r="Z293" s="51"/>
      <c r="AA293" s="73"/>
      <c r="AB293" s="73"/>
      <c r="AC293" s="74"/>
      <c r="AD293" s="81" t="s">
        <v>2357</v>
      </c>
      <c r="AE293" s="86" t="s">
        <v>2780</v>
      </c>
      <c r="AF293" s="81">
        <v>289</v>
      </c>
      <c r="AG293" s="81">
        <v>244</v>
      </c>
      <c r="AH293" s="81">
        <v>32457</v>
      </c>
      <c r="AI293" s="81">
        <v>50304</v>
      </c>
      <c r="AJ293" s="81"/>
      <c r="AK293" s="81" t="s">
        <v>3187</v>
      </c>
      <c r="AL293" s="81" t="s">
        <v>3525</v>
      </c>
      <c r="AM293" s="81"/>
      <c r="AN293" s="81"/>
      <c r="AO293" s="83">
        <v>44338.531493055554</v>
      </c>
      <c r="AP293" s="84" t="str">
        <f>HYPERLINK("https://pbs.twimg.com/profile_banners/1396084729657532419/1629111018")</f>
        <v>https://pbs.twimg.com/profile_banners/1396084729657532419/1629111018</v>
      </c>
      <c r="AQ293" s="81" t="b">
        <v>1</v>
      </c>
      <c r="AR293" s="81" t="b">
        <v>0</v>
      </c>
      <c r="AS293" s="81" t="b">
        <v>0</v>
      </c>
      <c r="AT293" s="81"/>
      <c r="AU293" s="81">
        <v>0</v>
      </c>
      <c r="AV293" s="81"/>
      <c r="AW293" s="81" t="b">
        <v>0</v>
      </c>
      <c r="AX293" s="81" t="s">
        <v>3728</v>
      </c>
      <c r="AY293" s="84" t="str">
        <f>HYPERLINK("https://twitter.com/mongmongmy")</f>
        <v>https://twitter.com/mongmongmy</v>
      </c>
      <c r="AZ293" s="81" t="s">
        <v>66</v>
      </c>
      <c r="BA293" s="2"/>
      <c r="BB293" s="3"/>
      <c r="BC293" s="3"/>
      <c r="BD293" s="3"/>
      <c r="BE293" s="3"/>
    </row>
    <row r="294" spans="1:57" x14ac:dyDescent="0.35">
      <c r="A294" s="66" t="s">
        <v>303</v>
      </c>
      <c r="B294" s="67"/>
      <c r="C294" s="67"/>
      <c r="D294" s="68"/>
      <c r="E294" s="94"/>
      <c r="F294" s="93" t="str">
        <f>HYPERLINK("https://pbs.twimg.com/profile_images/1441367474474086407/C2hAmhNo_normal.jpg")</f>
        <v>https://pbs.twimg.com/profile_images/1441367474474086407/C2hAmhNo_normal.jpg</v>
      </c>
      <c r="G294" s="95"/>
      <c r="H294" s="71"/>
      <c r="I294" s="72"/>
      <c r="J294" s="96"/>
      <c r="K294" s="71" t="s">
        <v>3846</v>
      </c>
      <c r="L294" s="97"/>
      <c r="M294" s="76"/>
      <c r="N294" s="76"/>
      <c r="O294" s="77"/>
      <c r="P294" s="78"/>
      <c r="Q294" s="78"/>
      <c r="R294" s="92"/>
      <c r="S294" s="92"/>
      <c r="T294" s="92"/>
      <c r="U294" s="92"/>
      <c r="V294" s="52"/>
      <c r="W294" s="52"/>
      <c r="X294" s="52"/>
      <c r="Y294" s="52"/>
      <c r="Z294" s="51"/>
      <c r="AA294" s="73"/>
      <c r="AB294" s="73"/>
      <c r="AC294" s="74"/>
      <c r="AD294" s="81" t="s">
        <v>13467</v>
      </c>
      <c r="AE294" s="86" t="s">
        <v>2781</v>
      </c>
      <c r="AF294" s="81">
        <v>300</v>
      </c>
      <c r="AG294" s="81">
        <v>291</v>
      </c>
      <c r="AH294" s="81">
        <v>10846</v>
      </c>
      <c r="AI294" s="81">
        <v>12870</v>
      </c>
      <c r="AJ294" s="81"/>
      <c r="AK294" s="81" t="s">
        <v>3188</v>
      </c>
      <c r="AL294" s="81" t="s">
        <v>3579</v>
      </c>
      <c r="AM294" s="84" t="str">
        <f>HYPERLINK("https://t.co/xJU0N2sQKH")</f>
        <v>https://t.co/xJU0N2sQKH</v>
      </c>
      <c r="AN294" s="81"/>
      <c r="AO294" s="83">
        <v>44366.295636574076</v>
      </c>
      <c r="AP294" s="84" t="str">
        <f>HYPERLINK("https://pbs.twimg.com/profile_banners/1406146099195252737/1632819530")</f>
        <v>https://pbs.twimg.com/profile_banners/1406146099195252737/1632819530</v>
      </c>
      <c r="AQ294" s="81" t="b">
        <v>1</v>
      </c>
      <c r="AR294" s="81" t="b">
        <v>0</v>
      </c>
      <c r="AS294" s="81" t="b">
        <v>0</v>
      </c>
      <c r="AT294" s="81"/>
      <c r="AU294" s="81">
        <v>3</v>
      </c>
      <c r="AV294" s="81"/>
      <c r="AW294" s="81" t="b">
        <v>0</v>
      </c>
      <c r="AX294" s="81" t="s">
        <v>3728</v>
      </c>
      <c r="AY294" s="84" t="str">
        <f>HYPERLINK("https://twitter.com/enhanreals")</f>
        <v>https://twitter.com/enhanreals</v>
      </c>
      <c r="AZ294" s="81" t="s">
        <v>66</v>
      </c>
      <c r="BA294" s="2"/>
      <c r="BB294" s="3"/>
      <c r="BC294" s="3"/>
      <c r="BD294" s="3"/>
      <c r="BE294" s="3"/>
    </row>
    <row r="295" spans="1:57" x14ac:dyDescent="0.35">
      <c r="A295" s="66" t="s">
        <v>304</v>
      </c>
      <c r="B295" s="67"/>
      <c r="C295" s="67"/>
      <c r="D295" s="68"/>
      <c r="E295" s="94"/>
      <c r="F295" s="93" t="str">
        <f>HYPERLINK("https://pbs.twimg.com/profile_images/1442747658792095746/eoEemxKn_normal.jpg")</f>
        <v>https://pbs.twimg.com/profile_images/1442747658792095746/eoEemxKn_normal.jpg</v>
      </c>
      <c r="G295" s="95"/>
      <c r="H295" s="71"/>
      <c r="I295" s="72"/>
      <c r="J295" s="96"/>
      <c r="K295" s="71" t="s">
        <v>3847</v>
      </c>
      <c r="L295" s="97"/>
      <c r="M295" s="76"/>
      <c r="N295" s="76"/>
      <c r="O295" s="77"/>
      <c r="P295" s="78"/>
      <c r="Q295" s="78"/>
      <c r="R295" s="92"/>
      <c r="S295" s="92"/>
      <c r="T295" s="92"/>
      <c r="U295" s="92"/>
      <c r="V295" s="52"/>
      <c r="W295" s="52"/>
      <c r="X295" s="52"/>
      <c r="Y295" s="52"/>
      <c r="Z295" s="51"/>
      <c r="AA295" s="73"/>
      <c r="AB295" s="73"/>
      <c r="AC295" s="74"/>
      <c r="AD295" s="81" t="s">
        <v>2358</v>
      </c>
      <c r="AE295" s="86" t="s">
        <v>2782</v>
      </c>
      <c r="AF295" s="81">
        <v>405</v>
      </c>
      <c r="AG295" s="81">
        <v>441</v>
      </c>
      <c r="AH295" s="81">
        <v>16995</v>
      </c>
      <c r="AI295" s="81">
        <v>12487</v>
      </c>
      <c r="AJ295" s="81"/>
      <c r="AK295" s="81" t="s">
        <v>3189</v>
      </c>
      <c r="AL295" s="81"/>
      <c r="AM295" s="81"/>
      <c r="AN295" s="81"/>
      <c r="AO295" s="83">
        <v>43433.353703703702</v>
      </c>
      <c r="AP295" s="84" t="str">
        <f>HYPERLINK("https://pbs.twimg.com/profile_banners/1068059321332727808/1631549823")</f>
        <v>https://pbs.twimg.com/profile_banners/1068059321332727808/1631549823</v>
      </c>
      <c r="AQ295" s="81" t="b">
        <v>1</v>
      </c>
      <c r="AR295" s="81" t="b">
        <v>0</v>
      </c>
      <c r="AS295" s="81" t="b">
        <v>0</v>
      </c>
      <c r="AT295" s="81"/>
      <c r="AU295" s="81">
        <v>1</v>
      </c>
      <c r="AV295" s="81"/>
      <c r="AW295" s="81" t="b">
        <v>0</v>
      </c>
      <c r="AX295" s="81" t="s">
        <v>3728</v>
      </c>
      <c r="AY295" s="84" t="str">
        <f>HYPERLINK("https://twitter.com/ansnisnis")</f>
        <v>https://twitter.com/ansnisnis</v>
      </c>
      <c r="AZ295" s="81" t="s">
        <v>66</v>
      </c>
      <c r="BA295" s="2"/>
      <c r="BB295" s="3"/>
      <c r="BC295" s="3"/>
      <c r="BD295" s="3"/>
      <c r="BE295" s="3"/>
    </row>
    <row r="296" spans="1:57" x14ac:dyDescent="0.35">
      <c r="A296" s="66" t="s">
        <v>305</v>
      </c>
      <c r="B296" s="67"/>
      <c r="C296" s="67"/>
      <c r="D296" s="68"/>
      <c r="E296" s="94"/>
      <c r="F296" s="93" t="str">
        <f>HYPERLINK("https://pbs.twimg.com/profile_images/1421814476181889025/q3YqAlAU_normal.jpg")</f>
        <v>https://pbs.twimg.com/profile_images/1421814476181889025/q3YqAlAU_normal.jpg</v>
      </c>
      <c r="G296" s="95"/>
      <c r="H296" s="71"/>
      <c r="I296" s="72"/>
      <c r="J296" s="96"/>
      <c r="K296" s="71" t="s">
        <v>3848</v>
      </c>
      <c r="L296" s="97"/>
      <c r="M296" s="76"/>
      <c r="N296" s="76"/>
      <c r="O296" s="77"/>
      <c r="P296" s="78"/>
      <c r="Q296" s="78"/>
      <c r="R296" s="92"/>
      <c r="S296" s="92"/>
      <c r="T296" s="92"/>
      <c r="U296" s="92"/>
      <c r="V296" s="52"/>
      <c r="W296" s="52"/>
      <c r="X296" s="52"/>
      <c r="Y296" s="52"/>
      <c r="Z296" s="51"/>
      <c r="AA296" s="73"/>
      <c r="AB296" s="73"/>
      <c r="AC296" s="74"/>
      <c r="AD296" s="81" t="s">
        <v>2359</v>
      </c>
      <c r="AE296" s="86" t="s">
        <v>2783</v>
      </c>
      <c r="AF296" s="81">
        <v>670</v>
      </c>
      <c r="AG296" s="81">
        <v>223</v>
      </c>
      <c r="AH296" s="81">
        <v>19185</v>
      </c>
      <c r="AI296" s="81">
        <v>139669</v>
      </c>
      <c r="AJ296" s="81"/>
      <c r="AK296" s="81" t="s">
        <v>3190</v>
      </c>
      <c r="AL296" s="81" t="s">
        <v>3519</v>
      </c>
      <c r="AM296" s="81"/>
      <c r="AN296" s="81"/>
      <c r="AO296" s="83">
        <v>43593.221643518518</v>
      </c>
      <c r="AP296" s="84" t="str">
        <f>HYPERLINK("https://pbs.twimg.com/profile_banners/1125993524623634432/1630672733")</f>
        <v>https://pbs.twimg.com/profile_banners/1125993524623634432/1630672733</v>
      </c>
      <c r="AQ296" s="81" t="b">
        <v>1</v>
      </c>
      <c r="AR296" s="81" t="b">
        <v>0</v>
      </c>
      <c r="AS296" s="81" t="b">
        <v>0</v>
      </c>
      <c r="AT296" s="81"/>
      <c r="AU296" s="81">
        <v>1</v>
      </c>
      <c r="AV296" s="81"/>
      <c r="AW296" s="81" t="b">
        <v>0</v>
      </c>
      <c r="AX296" s="81" t="s">
        <v>3728</v>
      </c>
      <c r="AY296" s="84" t="str">
        <f>HYPERLINK("https://twitter.com/abbykhai11")</f>
        <v>https://twitter.com/abbykhai11</v>
      </c>
      <c r="AZ296" s="81" t="s">
        <v>66</v>
      </c>
      <c r="BA296" s="2"/>
      <c r="BB296" s="3"/>
      <c r="BC296" s="3"/>
      <c r="BD296" s="3"/>
      <c r="BE296" s="3"/>
    </row>
    <row r="297" spans="1:57" x14ac:dyDescent="0.35">
      <c r="A297" s="66" t="s">
        <v>306</v>
      </c>
      <c r="B297" s="67"/>
      <c r="C297" s="67"/>
      <c r="D297" s="68"/>
      <c r="E297" s="94"/>
      <c r="F297" s="93" t="str">
        <f>HYPERLINK("https://pbs.twimg.com/profile_images/1438759610777669633/qNkFrSQa_normal.jpg")</f>
        <v>https://pbs.twimg.com/profile_images/1438759610777669633/qNkFrSQa_normal.jpg</v>
      </c>
      <c r="G297" s="95"/>
      <c r="H297" s="71"/>
      <c r="I297" s="72"/>
      <c r="J297" s="96"/>
      <c r="K297" s="71" t="s">
        <v>3849</v>
      </c>
      <c r="L297" s="97"/>
      <c r="M297" s="76"/>
      <c r="N297" s="76"/>
      <c r="O297" s="77"/>
      <c r="P297" s="78"/>
      <c r="Q297" s="78"/>
      <c r="R297" s="92"/>
      <c r="S297" s="92"/>
      <c r="T297" s="92"/>
      <c r="U297" s="92"/>
      <c r="V297" s="52"/>
      <c r="W297" s="52"/>
      <c r="X297" s="52"/>
      <c r="Y297" s="52"/>
      <c r="Z297" s="51"/>
      <c r="AA297" s="73"/>
      <c r="AB297" s="73"/>
      <c r="AC297" s="74"/>
      <c r="AD297" s="81" t="s">
        <v>2360</v>
      </c>
      <c r="AE297" s="86" t="s">
        <v>2784</v>
      </c>
      <c r="AF297" s="81">
        <v>723</v>
      </c>
      <c r="AG297" s="81">
        <v>718</v>
      </c>
      <c r="AH297" s="81">
        <v>24537</v>
      </c>
      <c r="AI297" s="81">
        <v>24064</v>
      </c>
      <c r="AJ297" s="81"/>
      <c r="AK297" s="81" t="s">
        <v>3191</v>
      </c>
      <c r="AL297" s="81" t="s">
        <v>3580</v>
      </c>
      <c r="AM297" s="84" t="str">
        <f>HYPERLINK("https://t.co/9unZqhbmxa")</f>
        <v>https://t.co/9unZqhbmxa</v>
      </c>
      <c r="AN297" s="81"/>
      <c r="AO297" s="83">
        <v>44345.315069444441</v>
      </c>
      <c r="AP297" s="84" t="str">
        <f>HYPERLINK("https://pbs.twimg.com/profile_banners/1398542987953524739/1631861999")</f>
        <v>https://pbs.twimg.com/profile_banners/1398542987953524739/1631861999</v>
      </c>
      <c r="AQ297" s="81" t="b">
        <v>1</v>
      </c>
      <c r="AR297" s="81" t="b">
        <v>0</v>
      </c>
      <c r="AS297" s="81" t="b">
        <v>0</v>
      </c>
      <c r="AT297" s="81"/>
      <c r="AU297" s="81">
        <v>0</v>
      </c>
      <c r="AV297" s="81"/>
      <c r="AW297" s="81" t="b">
        <v>0</v>
      </c>
      <c r="AX297" s="81" t="s">
        <v>3728</v>
      </c>
      <c r="AY297" s="84" t="str">
        <f>HYPERLINK("https://twitter.com/nychnie")</f>
        <v>https://twitter.com/nychnie</v>
      </c>
      <c r="AZ297" s="81" t="s">
        <v>66</v>
      </c>
      <c r="BA297" s="2"/>
      <c r="BB297" s="3"/>
      <c r="BC297" s="3"/>
      <c r="BD297" s="3"/>
      <c r="BE297" s="3"/>
    </row>
    <row r="298" spans="1:57" x14ac:dyDescent="0.35">
      <c r="A298" s="66" t="s">
        <v>307</v>
      </c>
      <c r="B298" s="67"/>
      <c r="C298" s="67"/>
      <c r="D298" s="68"/>
      <c r="E298" s="94"/>
      <c r="F298" s="93" t="str">
        <f>HYPERLINK("https://pbs.twimg.com/profile_images/1440722950039040007/qC0rSwQX_normal.jpg")</f>
        <v>https://pbs.twimg.com/profile_images/1440722950039040007/qC0rSwQX_normal.jpg</v>
      </c>
      <c r="G298" s="95"/>
      <c r="H298" s="71"/>
      <c r="I298" s="72"/>
      <c r="J298" s="96"/>
      <c r="K298" s="71" t="s">
        <v>3850</v>
      </c>
      <c r="L298" s="97"/>
      <c r="M298" s="76"/>
      <c r="N298" s="76"/>
      <c r="O298" s="77"/>
      <c r="P298" s="78"/>
      <c r="Q298" s="78"/>
      <c r="R298" s="92"/>
      <c r="S298" s="92"/>
      <c r="T298" s="92"/>
      <c r="U298" s="92"/>
      <c r="V298" s="52"/>
      <c r="W298" s="52"/>
      <c r="X298" s="52"/>
      <c r="Y298" s="52"/>
      <c r="Z298" s="51"/>
      <c r="AA298" s="73"/>
      <c r="AB298" s="73"/>
      <c r="AC298" s="74"/>
      <c r="AD298" s="81" t="s">
        <v>2361</v>
      </c>
      <c r="AE298" s="86" t="s">
        <v>2785</v>
      </c>
      <c r="AF298" s="81">
        <v>550</v>
      </c>
      <c r="AG298" s="81">
        <v>592</v>
      </c>
      <c r="AH298" s="81">
        <v>42177</v>
      </c>
      <c r="AI298" s="81">
        <v>30121</v>
      </c>
      <c r="AJ298" s="81"/>
      <c r="AK298" s="81" t="s">
        <v>3192</v>
      </c>
      <c r="AL298" s="81" t="s">
        <v>3581</v>
      </c>
      <c r="AM298" s="84" t="str">
        <f>HYPERLINK("https://t.co/us6vobDWUr")</f>
        <v>https://t.co/us6vobDWUr</v>
      </c>
      <c r="AN298" s="81"/>
      <c r="AO298" s="83">
        <v>44205.85633101852</v>
      </c>
      <c r="AP298" s="84" t="str">
        <f>HYPERLINK("https://pbs.twimg.com/profile_banners/1348004861124571139/1631128397")</f>
        <v>https://pbs.twimg.com/profile_banners/1348004861124571139/1631128397</v>
      </c>
      <c r="AQ298" s="81" t="b">
        <v>1</v>
      </c>
      <c r="AR298" s="81" t="b">
        <v>0</v>
      </c>
      <c r="AS298" s="81" t="b">
        <v>0</v>
      </c>
      <c r="AT298" s="81"/>
      <c r="AU298" s="81">
        <v>8</v>
      </c>
      <c r="AV298" s="81"/>
      <c r="AW298" s="81" t="b">
        <v>0</v>
      </c>
      <c r="AX298" s="81" t="s">
        <v>3728</v>
      </c>
      <c r="AY298" s="84" t="str">
        <f>HYPERLINK("https://twitter.com/14quokka")</f>
        <v>https://twitter.com/14quokka</v>
      </c>
      <c r="AZ298" s="81" t="s">
        <v>66</v>
      </c>
      <c r="BA298" s="2"/>
      <c r="BB298" s="3"/>
      <c r="BC298" s="3"/>
      <c r="BD298" s="3"/>
      <c r="BE298" s="3"/>
    </row>
    <row r="299" spans="1:57" x14ac:dyDescent="0.35">
      <c r="A299" s="66" t="s">
        <v>308</v>
      </c>
      <c r="B299" s="67"/>
      <c r="C299" s="67"/>
      <c r="D299" s="68"/>
      <c r="E299" s="94"/>
      <c r="F299" s="93" t="str">
        <f>HYPERLINK("https://pbs.twimg.com/profile_images/1172122438814953472/yvh-MPxy_normal.jpg")</f>
        <v>https://pbs.twimg.com/profile_images/1172122438814953472/yvh-MPxy_normal.jpg</v>
      </c>
      <c r="G299" s="95"/>
      <c r="H299" s="71"/>
      <c r="I299" s="72"/>
      <c r="J299" s="96"/>
      <c r="K299" s="71" t="s">
        <v>3851</v>
      </c>
      <c r="L299" s="97"/>
      <c r="M299" s="76"/>
      <c r="N299" s="76"/>
      <c r="O299" s="77"/>
      <c r="P299" s="78"/>
      <c r="Q299" s="78"/>
      <c r="R299" s="92"/>
      <c r="S299" s="92"/>
      <c r="T299" s="92"/>
      <c r="U299" s="92"/>
      <c r="V299" s="52"/>
      <c r="W299" s="52"/>
      <c r="X299" s="52"/>
      <c r="Y299" s="52"/>
      <c r="Z299" s="51"/>
      <c r="AA299" s="73"/>
      <c r="AB299" s="73"/>
      <c r="AC299" s="74"/>
      <c r="AD299" s="81" t="s">
        <v>2362</v>
      </c>
      <c r="AE299" s="86" t="s">
        <v>2786</v>
      </c>
      <c r="AF299" s="81">
        <v>167</v>
      </c>
      <c r="AG299" s="81">
        <v>173</v>
      </c>
      <c r="AH299" s="81">
        <v>25938</v>
      </c>
      <c r="AI299" s="81">
        <v>4349</v>
      </c>
      <c r="AJ299" s="81"/>
      <c r="AK299" s="81" t="s">
        <v>3193</v>
      </c>
      <c r="AL299" s="81" t="s">
        <v>3582</v>
      </c>
      <c r="AM299" s="84" t="str">
        <f>HYPERLINK("https://t.co/bCbHjF35IB")</f>
        <v>https://t.co/bCbHjF35IB</v>
      </c>
      <c r="AN299" s="81"/>
      <c r="AO299" s="83">
        <v>42667.946863425925</v>
      </c>
      <c r="AP299" s="84" t="str">
        <f>HYPERLINK("https://pbs.twimg.com/profile_banners/790685168264617984/1523284212")</f>
        <v>https://pbs.twimg.com/profile_banners/790685168264617984/1523284212</v>
      </c>
      <c r="AQ299" s="81" t="b">
        <v>1</v>
      </c>
      <c r="AR299" s="81" t="b">
        <v>0</v>
      </c>
      <c r="AS299" s="81" t="b">
        <v>1</v>
      </c>
      <c r="AT299" s="81"/>
      <c r="AU299" s="81">
        <v>0</v>
      </c>
      <c r="AV299" s="81"/>
      <c r="AW299" s="81" t="b">
        <v>0</v>
      </c>
      <c r="AX299" s="81" t="s">
        <v>3728</v>
      </c>
      <c r="AY299" s="84" t="str">
        <f>HYPERLINK("https://twitter.com/aanisnana")</f>
        <v>https://twitter.com/aanisnana</v>
      </c>
      <c r="AZ299" s="81" t="s">
        <v>66</v>
      </c>
      <c r="BA299" s="2"/>
      <c r="BB299" s="3"/>
      <c r="BC299" s="3"/>
      <c r="BD299" s="3"/>
      <c r="BE299" s="3"/>
    </row>
    <row r="300" spans="1:57" x14ac:dyDescent="0.35">
      <c r="A300" s="66" t="s">
        <v>309</v>
      </c>
      <c r="B300" s="67"/>
      <c r="C300" s="67"/>
      <c r="D300" s="68"/>
      <c r="E300" s="94"/>
      <c r="F300" s="93" t="str">
        <f>HYPERLINK("https://pbs.twimg.com/profile_images/1442399462849060868/_2BGHGso_normal.jpg")</f>
        <v>https://pbs.twimg.com/profile_images/1442399462849060868/_2BGHGso_normal.jpg</v>
      </c>
      <c r="G300" s="95"/>
      <c r="H300" s="71"/>
      <c r="I300" s="72"/>
      <c r="J300" s="96"/>
      <c r="K300" s="71" t="s">
        <v>3852</v>
      </c>
      <c r="L300" s="97"/>
      <c r="M300" s="76"/>
      <c r="N300" s="76"/>
      <c r="O300" s="77"/>
      <c r="P300" s="78"/>
      <c r="Q300" s="78"/>
      <c r="R300" s="92"/>
      <c r="S300" s="92"/>
      <c r="T300" s="92"/>
      <c r="U300" s="92"/>
      <c r="V300" s="52"/>
      <c r="W300" s="52"/>
      <c r="X300" s="52"/>
      <c r="Y300" s="52"/>
      <c r="Z300" s="51"/>
      <c r="AA300" s="73"/>
      <c r="AB300" s="73"/>
      <c r="AC300" s="74"/>
      <c r="AD300" s="81" t="s">
        <v>2363</v>
      </c>
      <c r="AE300" s="86" t="s">
        <v>2787</v>
      </c>
      <c r="AF300" s="81">
        <v>537</v>
      </c>
      <c r="AG300" s="81">
        <v>578</v>
      </c>
      <c r="AH300" s="81">
        <v>10587</v>
      </c>
      <c r="AI300" s="81">
        <v>8442</v>
      </c>
      <c r="AJ300" s="81"/>
      <c r="AK300" s="81" t="s">
        <v>3194</v>
      </c>
      <c r="AL300" s="81" t="s">
        <v>3583</v>
      </c>
      <c r="AM300" s="84" t="str">
        <f>HYPERLINK("https://t.co/h9ttk6x8Im")</f>
        <v>https://t.co/h9ttk6x8Im</v>
      </c>
      <c r="AN300" s="81"/>
      <c r="AO300" s="83">
        <v>44250.255173611113</v>
      </c>
      <c r="AP300" s="84" t="str">
        <f>HYPERLINK("https://pbs.twimg.com/profile_banners/1364094469331591171/1632630462")</f>
        <v>https://pbs.twimg.com/profile_banners/1364094469331591171/1632630462</v>
      </c>
      <c r="AQ300" s="81" t="b">
        <v>1</v>
      </c>
      <c r="AR300" s="81" t="b">
        <v>0</v>
      </c>
      <c r="AS300" s="81" t="b">
        <v>0</v>
      </c>
      <c r="AT300" s="81"/>
      <c r="AU300" s="81">
        <v>1</v>
      </c>
      <c r="AV300" s="81"/>
      <c r="AW300" s="81" t="b">
        <v>0</v>
      </c>
      <c r="AX300" s="81" t="s">
        <v>3728</v>
      </c>
      <c r="AY300" s="84" t="str">
        <f>HYPERLINK("https://twitter.com/_hanjillipop")</f>
        <v>https://twitter.com/_hanjillipop</v>
      </c>
      <c r="AZ300" s="81" t="s">
        <v>66</v>
      </c>
      <c r="BA300" s="2"/>
      <c r="BB300" s="3"/>
      <c r="BC300" s="3"/>
      <c r="BD300" s="3"/>
      <c r="BE300" s="3"/>
    </row>
    <row r="301" spans="1:57" x14ac:dyDescent="0.35">
      <c r="A301" s="66" t="s">
        <v>310</v>
      </c>
      <c r="B301" s="67"/>
      <c r="C301" s="67"/>
      <c r="D301" s="68"/>
      <c r="E301" s="94"/>
      <c r="F301" s="93" t="str">
        <f>HYPERLINK("https://pbs.twimg.com/profile_images/1437288736878784512/Fdfs4y57_normal.jpg")</f>
        <v>https://pbs.twimg.com/profile_images/1437288736878784512/Fdfs4y57_normal.jpg</v>
      </c>
      <c r="G301" s="95"/>
      <c r="H301" s="71"/>
      <c r="I301" s="72"/>
      <c r="J301" s="96"/>
      <c r="K301" s="71" t="s">
        <v>3853</v>
      </c>
      <c r="L301" s="97"/>
      <c r="M301" s="76"/>
      <c r="N301" s="76"/>
      <c r="O301" s="77"/>
      <c r="P301" s="78"/>
      <c r="Q301" s="78"/>
      <c r="R301" s="92"/>
      <c r="S301" s="92"/>
      <c r="T301" s="92"/>
      <c r="U301" s="92"/>
      <c r="V301" s="52"/>
      <c r="W301" s="52"/>
      <c r="X301" s="52"/>
      <c r="Y301" s="52"/>
      <c r="Z301" s="51"/>
      <c r="AA301" s="73"/>
      <c r="AB301" s="73"/>
      <c r="AC301" s="74"/>
      <c r="AD301" s="81" t="s">
        <v>2364</v>
      </c>
      <c r="AE301" s="86" t="s">
        <v>2788</v>
      </c>
      <c r="AF301" s="81">
        <v>576</v>
      </c>
      <c r="AG301" s="81">
        <v>624</v>
      </c>
      <c r="AH301" s="81">
        <v>49797</v>
      </c>
      <c r="AI301" s="81">
        <v>62881</v>
      </c>
      <c r="AJ301" s="81"/>
      <c r="AK301" s="81" t="s">
        <v>3195</v>
      </c>
      <c r="AL301" s="81" t="s">
        <v>3585</v>
      </c>
      <c r="AM301" s="81"/>
      <c r="AN301" s="81"/>
      <c r="AO301" s="83">
        <v>43057.161828703705</v>
      </c>
      <c r="AP301" s="84" t="str">
        <f>HYPERLINK("https://pbs.twimg.com/profile_banners/931731952314363904/1631364169")</f>
        <v>https://pbs.twimg.com/profile_banners/931731952314363904/1631364169</v>
      </c>
      <c r="AQ301" s="81" t="b">
        <v>1</v>
      </c>
      <c r="AR301" s="81" t="b">
        <v>0</v>
      </c>
      <c r="AS301" s="81" t="b">
        <v>0</v>
      </c>
      <c r="AT301" s="81"/>
      <c r="AU301" s="81">
        <v>7</v>
      </c>
      <c r="AV301" s="81"/>
      <c r="AW301" s="81" t="b">
        <v>0</v>
      </c>
      <c r="AX301" s="81" t="s">
        <v>3728</v>
      </c>
      <c r="AY301" s="84" t="str">
        <f>HYPERLINK("https://twitter.com/prncsflwr_")</f>
        <v>https://twitter.com/prncsflwr_</v>
      </c>
      <c r="AZ301" s="81" t="s">
        <v>66</v>
      </c>
      <c r="BA301" s="2"/>
      <c r="BB301" s="3"/>
      <c r="BC301" s="3"/>
      <c r="BD301" s="3"/>
      <c r="BE301" s="3"/>
    </row>
    <row r="302" spans="1:57" x14ac:dyDescent="0.35">
      <c r="A302" s="66" t="s">
        <v>311</v>
      </c>
      <c r="B302" s="67"/>
      <c r="C302" s="67"/>
      <c r="D302" s="68"/>
      <c r="E302" s="94"/>
      <c r="F302" s="93" t="str">
        <f>HYPERLINK("https://pbs.twimg.com/profile_images/1441316164416589825/oWxS4CM5_normal.jpg")</f>
        <v>https://pbs.twimg.com/profile_images/1441316164416589825/oWxS4CM5_normal.jpg</v>
      </c>
      <c r="G302" s="95"/>
      <c r="H302" s="71"/>
      <c r="I302" s="72"/>
      <c r="J302" s="96"/>
      <c r="K302" s="71" t="s">
        <v>3854</v>
      </c>
      <c r="L302" s="97"/>
      <c r="M302" s="76"/>
      <c r="N302" s="76"/>
      <c r="O302" s="77"/>
      <c r="P302" s="78"/>
      <c r="Q302" s="78"/>
      <c r="R302" s="92"/>
      <c r="S302" s="92"/>
      <c r="T302" s="92"/>
      <c r="U302" s="92"/>
      <c r="V302" s="52"/>
      <c r="W302" s="52"/>
      <c r="X302" s="52"/>
      <c r="Y302" s="52"/>
      <c r="Z302" s="51"/>
      <c r="AA302" s="73"/>
      <c r="AB302" s="73"/>
      <c r="AC302" s="74"/>
      <c r="AD302" s="81" t="s">
        <v>8199</v>
      </c>
      <c r="AE302" s="86" t="s">
        <v>2789</v>
      </c>
      <c r="AF302" s="81">
        <v>119</v>
      </c>
      <c r="AG302" s="81">
        <v>85</v>
      </c>
      <c r="AH302" s="81">
        <v>6442</v>
      </c>
      <c r="AI302" s="81">
        <v>2351</v>
      </c>
      <c r="AJ302" s="81"/>
      <c r="AK302" s="81" t="s">
        <v>3196</v>
      </c>
      <c r="AL302" s="81"/>
      <c r="AM302" s="81"/>
      <c r="AN302" s="81"/>
      <c r="AO302" s="83">
        <v>44317.96020833333</v>
      </c>
      <c r="AP302" s="84" t="str">
        <f>HYPERLINK("https://pbs.twimg.com/profile_banners/1388629912253190144/1632471526")</f>
        <v>https://pbs.twimg.com/profile_banners/1388629912253190144/1632471526</v>
      </c>
      <c r="AQ302" s="81" t="b">
        <v>1</v>
      </c>
      <c r="AR302" s="81" t="b">
        <v>0</v>
      </c>
      <c r="AS302" s="81" t="b">
        <v>0</v>
      </c>
      <c r="AT302" s="81"/>
      <c r="AU302" s="81">
        <v>0</v>
      </c>
      <c r="AV302" s="81"/>
      <c r="AW302" s="81" t="b">
        <v>0</v>
      </c>
      <c r="AX302" s="81" t="s">
        <v>3728</v>
      </c>
      <c r="AY302" s="84" t="str">
        <f>HYPERLINK("https://twitter.com/stayawl")</f>
        <v>https://twitter.com/stayawl</v>
      </c>
      <c r="AZ302" s="81" t="s">
        <v>66</v>
      </c>
      <c r="BA302" s="2"/>
      <c r="BB302" s="3"/>
      <c r="BC302" s="3"/>
      <c r="BD302" s="3"/>
      <c r="BE302" s="3"/>
    </row>
    <row r="303" spans="1:57" x14ac:dyDescent="0.35">
      <c r="A303" s="66" t="s">
        <v>4291</v>
      </c>
      <c r="B303" s="67"/>
      <c r="C303" s="67"/>
      <c r="D303" s="68"/>
      <c r="E303" s="94"/>
      <c r="F303" s="93" t="str">
        <f>HYPERLINK("https://pbs.twimg.com/profile_images/1220800804493373440/Blto2AR5_normal.jpg")</f>
        <v>https://pbs.twimg.com/profile_images/1220800804493373440/Blto2AR5_normal.jpg</v>
      </c>
      <c r="G303" s="95"/>
      <c r="H303" s="71"/>
      <c r="I303" s="72"/>
      <c r="J303" s="96"/>
      <c r="K303" s="71" t="s">
        <v>11569</v>
      </c>
      <c r="L303" s="97"/>
      <c r="M303" s="76"/>
      <c r="N303" s="76"/>
      <c r="O303" s="77"/>
      <c r="P303" s="78"/>
      <c r="Q303" s="78"/>
      <c r="R303" s="92"/>
      <c r="S303" s="92"/>
      <c r="T303" s="92"/>
      <c r="U303" s="92"/>
      <c r="V303" s="52"/>
      <c r="W303" s="52"/>
      <c r="X303" s="52"/>
      <c r="Y303" s="52"/>
      <c r="Z303" s="51"/>
      <c r="AA303" s="73"/>
      <c r="AB303" s="73"/>
      <c r="AC303" s="74"/>
      <c r="AD303" s="81" t="s">
        <v>8200</v>
      </c>
      <c r="AE303" s="86" t="s">
        <v>9252</v>
      </c>
      <c r="AF303" s="81">
        <v>16</v>
      </c>
      <c r="AG303" s="81">
        <v>117</v>
      </c>
      <c r="AH303" s="81">
        <v>67019</v>
      </c>
      <c r="AI303" s="81">
        <v>1</v>
      </c>
      <c r="AJ303" s="81"/>
      <c r="AK303" s="81" t="s">
        <v>10211</v>
      </c>
      <c r="AL303" s="81" t="s">
        <v>11066</v>
      </c>
      <c r="AM303" s="84" t="str">
        <f>HYPERLINK("https://t.co/c5a7CzGg4I")</f>
        <v>https://t.co/c5a7CzGg4I</v>
      </c>
      <c r="AN303" s="81"/>
      <c r="AO303" s="83">
        <v>41525.923009259262</v>
      </c>
      <c r="AP303" s="84" t="str">
        <f>HYPERLINK("https://pbs.twimg.com/profile_banners/1835243893/1579896693")</f>
        <v>https://pbs.twimg.com/profile_banners/1835243893/1579896693</v>
      </c>
      <c r="AQ303" s="81" t="b">
        <v>0</v>
      </c>
      <c r="AR303" s="81" t="b">
        <v>0</v>
      </c>
      <c r="AS303" s="81" t="b">
        <v>0</v>
      </c>
      <c r="AT303" s="81"/>
      <c r="AU303" s="81">
        <v>4</v>
      </c>
      <c r="AV303" s="84" t="str">
        <f>HYPERLINK("https://abs.twimg.com/images/themes/theme1/bg.png")</f>
        <v>https://abs.twimg.com/images/themes/theme1/bg.png</v>
      </c>
      <c r="AW303" s="81" t="b">
        <v>0</v>
      </c>
      <c r="AX303" s="81" t="s">
        <v>3728</v>
      </c>
      <c r="AY303" s="84" t="str">
        <f>HYPERLINK("https://twitter.com/beleza37")</f>
        <v>https://twitter.com/beleza37</v>
      </c>
      <c r="AZ303" s="81" t="s">
        <v>66</v>
      </c>
      <c r="BA303" s="2"/>
      <c r="BB303" s="3"/>
      <c r="BC303" s="3"/>
      <c r="BD303" s="3"/>
      <c r="BE303" s="3"/>
    </row>
    <row r="304" spans="1:57" x14ac:dyDescent="0.35">
      <c r="A304" s="66" t="s">
        <v>315</v>
      </c>
      <c r="B304" s="67"/>
      <c r="C304" s="67"/>
      <c r="D304" s="68"/>
      <c r="E304" s="94"/>
      <c r="F304" s="93" t="str">
        <f>HYPERLINK("https://pbs.twimg.com/profile_images/1427852227864002563/V6hR2DYU_normal.jpg")</f>
        <v>https://pbs.twimg.com/profile_images/1427852227864002563/V6hR2DYU_normal.jpg</v>
      </c>
      <c r="G304" s="95"/>
      <c r="H304" s="71"/>
      <c r="I304" s="72"/>
      <c r="J304" s="96"/>
      <c r="K304" s="71" t="s">
        <v>3856</v>
      </c>
      <c r="L304" s="97"/>
      <c r="M304" s="76"/>
      <c r="N304" s="76"/>
      <c r="O304" s="77"/>
      <c r="P304" s="78"/>
      <c r="Q304" s="78"/>
      <c r="R304" s="92"/>
      <c r="S304" s="92"/>
      <c r="T304" s="92"/>
      <c r="U304" s="92"/>
      <c r="V304" s="52"/>
      <c r="W304" s="52"/>
      <c r="X304" s="52"/>
      <c r="Y304" s="52"/>
      <c r="Z304" s="51"/>
      <c r="AA304" s="73"/>
      <c r="AB304" s="73"/>
      <c r="AC304" s="74"/>
      <c r="AD304" s="81" t="s">
        <v>2369</v>
      </c>
      <c r="AE304" s="86" t="s">
        <v>2794</v>
      </c>
      <c r="AF304" s="81">
        <v>210</v>
      </c>
      <c r="AG304" s="81">
        <v>185</v>
      </c>
      <c r="AH304" s="81">
        <v>10756</v>
      </c>
      <c r="AI304" s="81">
        <v>29706</v>
      </c>
      <c r="AJ304" s="81"/>
      <c r="AK304" s="81" t="s">
        <v>3201</v>
      </c>
      <c r="AL304" s="81"/>
      <c r="AM304" s="81"/>
      <c r="AN304" s="81"/>
      <c r="AO304" s="83">
        <v>42732.53701388889</v>
      </c>
      <c r="AP304" s="84" t="str">
        <f>HYPERLINK("https://pbs.twimg.com/profile_banners/814091855168032769/1631986260")</f>
        <v>https://pbs.twimg.com/profile_banners/814091855168032769/1631986260</v>
      </c>
      <c r="AQ304" s="81" t="b">
        <v>1</v>
      </c>
      <c r="AR304" s="81" t="b">
        <v>0</v>
      </c>
      <c r="AS304" s="81" t="b">
        <v>0</v>
      </c>
      <c r="AT304" s="81"/>
      <c r="AU304" s="81">
        <v>2</v>
      </c>
      <c r="AV304" s="81"/>
      <c r="AW304" s="81" t="b">
        <v>0</v>
      </c>
      <c r="AX304" s="81" t="s">
        <v>3728</v>
      </c>
      <c r="AY304" s="84" t="str">
        <f>HYPERLINK("https://twitter.com/elninosaurus")</f>
        <v>https://twitter.com/elninosaurus</v>
      </c>
      <c r="AZ304" s="81" t="s">
        <v>66</v>
      </c>
      <c r="BA304" s="2"/>
      <c r="BB304" s="3"/>
      <c r="BC304" s="3"/>
      <c r="BD304" s="3"/>
      <c r="BE304" s="3"/>
    </row>
    <row r="305" spans="1:57" x14ac:dyDescent="0.35">
      <c r="A305" s="66" t="s">
        <v>344</v>
      </c>
      <c r="B305" s="67"/>
      <c r="C305" s="67"/>
      <c r="D305" s="68"/>
      <c r="E305" s="94"/>
      <c r="F305" s="93" t="str">
        <f>HYPERLINK("https://pbs.twimg.com/profile_images/1422519338565726219/mfW-C9UA_normal.jpg")</f>
        <v>https://pbs.twimg.com/profile_images/1422519338565726219/mfW-C9UA_normal.jpg</v>
      </c>
      <c r="G305" s="95"/>
      <c r="H305" s="71"/>
      <c r="I305" s="72"/>
      <c r="J305" s="96"/>
      <c r="K305" s="71" t="s">
        <v>3855</v>
      </c>
      <c r="L305" s="97"/>
      <c r="M305" s="76"/>
      <c r="N305" s="76"/>
      <c r="O305" s="77"/>
      <c r="P305" s="78"/>
      <c r="Q305" s="78"/>
      <c r="R305" s="92"/>
      <c r="S305" s="92"/>
      <c r="T305" s="92"/>
      <c r="U305" s="92"/>
      <c r="V305" s="52"/>
      <c r="W305" s="52"/>
      <c r="X305" s="52"/>
      <c r="Y305" s="52"/>
      <c r="Z305" s="51"/>
      <c r="AA305" s="73"/>
      <c r="AB305" s="73"/>
      <c r="AC305" s="74"/>
      <c r="AD305" s="81" t="s">
        <v>2366</v>
      </c>
      <c r="AE305" s="86" t="s">
        <v>2791</v>
      </c>
      <c r="AF305" s="81">
        <v>219</v>
      </c>
      <c r="AG305" s="81">
        <v>57</v>
      </c>
      <c r="AH305" s="81">
        <v>4564</v>
      </c>
      <c r="AI305" s="81">
        <v>9565</v>
      </c>
      <c r="AJ305" s="81"/>
      <c r="AK305" s="81" t="s">
        <v>3198</v>
      </c>
      <c r="AL305" s="81" t="s">
        <v>3587</v>
      </c>
      <c r="AM305" s="81"/>
      <c r="AN305" s="81"/>
      <c r="AO305" s="83">
        <v>44212.725844907407</v>
      </c>
      <c r="AP305" s="84" t="str">
        <f>HYPERLINK("https://pbs.twimg.com/profile_banners/1350494286119227392/1625457837")</f>
        <v>https://pbs.twimg.com/profile_banners/1350494286119227392/1625457837</v>
      </c>
      <c r="AQ305" s="81" t="b">
        <v>1</v>
      </c>
      <c r="AR305" s="81" t="b">
        <v>0</v>
      </c>
      <c r="AS305" s="81" t="b">
        <v>0</v>
      </c>
      <c r="AT305" s="81"/>
      <c r="AU305" s="81">
        <v>0</v>
      </c>
      <c r="AV305" s="81"/>
      <c r="AW305" s="81" t="b">
        <v>0</v>
      </c>
      <c r="AX305" s="81" t="s">
        <v>3728</v>
      </c>
      <c r="AY305" s="84" t="str">
        <f>HYPERLINK("https://twitter.com/nxnadoongies")</f>
        <v>https://twitter.com/nxnadoongies</v>
      </c>
      <c r="AZ305" s="81" t="s">
        <v>66</v>
      </c>
      <c r="BA305" s="2"/>
      <c r="BB305" s="3"/>
      <c r="BC305" s="3"/>
      <c r="BD305" s="3"/>
      <c r="BE305" s="3"/>
    </row>
    <row r="306" spans="1:57" x14ac:dyDescent="0.35">
      <c r="A306" s="66" t="s">
        <v>316</v>
      </c>
      <c r="B306" s="67"/>
      <c r="C306" s="67"/>
      <c r="D306" s="68"/>
      <c r="E306" s="94"/>
      <c r="F306" s="93" t="str">
        <f>HYPERLINK("https://pbs.twimg.com/profile_images/1438896783803834369/R0vA3qnT_normal.jpg")</f>
        <v>https://pbs.twimg.com/profile_images/1438896783803834369/R0vA3qnT_normal.jpg</v>
      </c>
      <c r="G306" s="95"/>
      <c r="H306" s="71"/>
      <c r="I306" s="72"/>
      <c r="J306" s="96"/>
      <c r="K306" s="71" t="s">
        <v>3857</v>
      </c>
      <c r="L306" s="97"/>
      <c r="M306" s="76"/>
      <c r="N306" s="76"/>
      <c r="O306" s="77"/>
      <c r="P306" s="78"/>
      <c r="Q306" s="78"/>
      <c r="R306" s="92"/>
      <c r="S306" s="92"/>
      <c r="T306" s="92"/>
      <c r="U306" s="92"/>
      <c r="V306" s="52"/>
      <c r="W306" s="52"/>
      <c r="X306" s="52"/>
      <c r="Y306" s="52"/>
      <c r="Z306" s="51"/>
      <c r="AA306" s="73"/>
      <c r="AB306" s="73"/>
      <c r="AC306" s="74"/>
      <c r="AD306" s="81" t="s">
        <v>2370</v>
      </c>
      <c r="AE306" s="86" t="s">
        <v>2795</v>
      </c>
      <c r="AF306" s="81">
        <v>1080</v>
      </c>
      <c r="AG306" s="81">
        <v>1661</v>
      </c>
      <c r="AH306" s="81">
        <v>160939</v>
      </c>
      <c r="AI306" s="81">
        <v>24746</v>
      </c>
      <c r="AJ306" s="81"/>
      <c r="AK306" s="81" t="s">
        <v>3202</v>
      </c>
      <c r="AL306" s="81" t="s">
        <v>3589</v>
      </c>
      <c r="AM306" s="84" t="str">
        <f>HYPERLINK("https://t.co/NFHPUFyRX7")</f>
        <v>https://t.co/NFHPUFyRX7</v>
      </c>
      <c r="AN306" s="81"/>
      <c r="AO306" s="83">
        <v>40918.444201388891</v>
      </c>
      <c r="AP306" s="84" t="str">
        <f>HYPERLINK("https://pbs.twimg.com/profile_banners/460068359/1599631898")</f>
        <v>https://pbs.twimg.com/profile_banners/460068359/1599631898</v>
      </c>
      <c r="AQ306" s="81" t="b">
        <v>0</v>
      </c>
      <c r="AR306" s="81" t="b">
        <v>0</v>
      </c>
      <c r="AS306" s="81" t="b">
        <v>1</v>
      </c>
      <c r="AT306" s="81"/>
      <c r="AU306" s="81">
        <v>6</v>
      </c>
      <c r="AV306" s="84" t="str">
        <f>HYPERLINK("https://abs.twimg.com/images/themes/theme10/bg.gif")</f>
        <v>https://abs.twimg.com/images/themes/theme10/bg.gif</v>
      </c>
      <c r="AW306" s="81" t="b">
        <v>0</v>
      </c>
      <c r="AX306" s="81" t="s">
        <v>3728</v>
      </c>
      <c r="AY306" s="84" t="str">
        <f>HYPERLINK("https://twitter.com/bucinhwghyunjin")</f>
        <v>https://twitter.com/bucinhwghyunjin</v>
      </c>
      <c r="AZ306" s="81" t="s">
        <v>66</v>
      </c>
      <c r="BA306" s="2"/>
      <c r="BB306" s="3"/>
      <c r="BC306" s="3"/>
      <c r="BD306" s="3"/>
      <c r="BE306" s="3"/>
    </row>
    <row r="307" spans="1:57" x14ac:dyDescent="0.35">
      <c r="A307" s="66" t="s">
        <v>317</v>
      </c>
      <c r="B307" s="67"/>
      <c r="C307" s="67"/>
      <c r="D307" s="68"/>
      <c r="E307" s="94"/>
      <c r="F307" s="93" t="str">
        <f>HYPERLINK("https://pbs.twimg.com/profile_images/1442371355643572232/2Be4TFdr_normal.jpg")</f>
        <v>https://pbs.twimg.com/profile_images/1442371355643572232/2Be4TFdr_normal.jpg</v>
      </c>
      <c r="G307" s="95"/>
      <c r="H307" s="71"/>
      <c r="I307" s="72"/>
      <c r="J307" s="96"/>
      <c r="K307" s="71" t="s">
        <v>3858</v>
      </c>
      <c r="L307" s="97"/>
      <c r="M307" s="76"/>
      <c r="N307" s="76"/>
      <c r="O307" s="77"/>
      <c r="P307" s="78"/>
      <c r="Q307" s="78"/>
      <c r="R307" s="92"/>
      <c r="S307" s="92"/>
      <c r="T307" s="92"/>
      <c r="U307" s="92"/>
      <c r="V307" s="52"/>
      <c r="W307" s="52"/>
      <c r="X307" s="52"/>
      <c r="Y307" s="52"/>
      <c r="Z307" s="51"/>
      <c r="AA307" s="73"/>
      <c r="AB307" s="73"/>
      <c r="AC307" s="74"/>
      <c r="AD307" s="81" t="s">
        <v>2371</v>
      </c>
      <c r="AE307" s="86" t="s">
        <v>2796</v>
      </c>
      <c r="AF307" s="81">
        <v>136</v>
      </c>
      <c r="AG307" s="81">
        <v>89</v>
      </c>
      <c r="AH307" s="81">
        <v>668</v>
      </c>
      <c r="AI307" s="81">
        <v>1334</v>
      </c>
      <c r="AJ307" s="81"/>
      <c r="AK307" s="81" t="s">
        <v>10212</v>
      </c>
      <c r="AL307" s="81" t="s">
        <v>11067</v>
      </c>
      <c r="AM307" s="81"/>
      <c r="AN307" s="81"/>
      <c r="AO307" s="83">
        <v>44399.79315972222</v>
      </c>
      <c r="AP307" s="84" t="str">
        <f>HYPERLINK("https://pbs.twimg.com/profile_banners/1418285198601428994/1632544182")</f>
        <v>https://pbs.twimg.com/profile_banners/1418285198601428994/1632544182</v>
      </c>
      <c r="AQ307" s="81" t="b">
        <v>1</v>
      </c>
      <c r="AR307" s="81" t="b">
        <v>0</v>
      </c>
      <c r="AS307" s="81" t="b">
        <v>0</v>
      </c>
      <c r="AT307" s="81"/>
      <c r="AU307" s="81">
        <v>0</v>
      </c>
      <c r="AV307" s="81"/>
      <c r="AW307" s="81" t="b">
        <v>0</v>
      </c>
      <c r="AX307" s="81" t="s">
        <v>3728</v>
      </c>
      <c r="AY307" s="84" t="str">
        <f>HYPERLINK("https://twitter.com/hohochamzzz")</f>
        <v>https://twitter.com/hohochamzzz</v>
      </c>
      <c r="AZ307" s="81" t="s">
        <v>66</v>
      </c>
      <c r="BA307" s="2"/>
      <c r="BB307" s="3"/>
      <c r="BC307" s="3"/>
      <c r="BD307" s="3"/>
      <c r="BE307" s="3"/>
    </row>
    <row r="308" spans="1:57" x14ac:dyDescent="0.35">
      <c r="A308" s="66" t="s">
        <v>318</v>
      </c>
      <c r="B308" s="67"/>
      <c r="C308" s="67"/>
      <c r="D308" s="68"/>
      <c r="E308" s="94"/>
      <c r="F308" s="93" t="str">
        <f>HYPERLINK("https://pbs.twimg.com/profile_images/1422609270533591044/CsDcTXK9_normal.jpg")</f>
        <v>https://pbs.twimg.com/profile_images/1422609270533591044/CsDcTXK9_normal.jpg</v>
      </c>
      <c r="G308" s="95"/>
      <c r="H308" s="71"/>
      <c r="I308" s="72"/>
      <c r="J308" s="96"/>
      <c r="K308" s="71" t="s">
        <v>3859</v>
      </c>
      <c r="L308" s="97"/>
      <c r="M308" s="76"/>
      <c r="N308" s="76"/>
      <c r="O308" s="77"/>
      <c r="P308" s="78"/>
      <c r="Q308" s="78"/>
      <c r="R308" s="92"/>
      <c r="S308" s="92"/>
      <c r="T308" s="92"/>
      <c r="U308" s="92"/>
      <c r="V308" s="52"/>
      <c r="W308" s="52"/>
      <c r="X308" s="52"/>
      <c r="Y308" s="52"/>
      <c r="Z308" s="51"/>
      <c r="AA308" s="73"/>
      <c r="AB308" s="73"/>
      <c r="AC308" s="74"/>
      <c r="AD308" s="81" t="s">
        <v>2372</v>
      </c>
      <c r="AE308" s="86" t="s">
        <v>2797</v>
      </c>
      <c r="AF308" s="81">
        <v>434</v>
      </c>
      <c r="AG308" s="81">
        <v>632</v>
      </c>
      <c r="AH308" s="81">
        <v>469791</v>
      </c>
      <c r="AI308" s="81">
        <v>282582</v>
      </c>
      <c r="AJ308" s="81"/>
      <c r="AK308" s="81" t="s">
        <v>3203</v>
      </c>
      <c r="AL308" s="81"/>
      <c r="AM308" s="81"/>
      <c r="AN308" s="81"/>
      <c r="AO308" s="83">
        <v>41242.652499999997</v>
      </c>
      <c r="AP308" s="84" t="str">
        <f>HYPERLINK("https://pbs.twimg.com/profile_banners/978592178/1599222387")</f>
        <v>https://pbs.twimg.com/profile_banners/978592178/1599222387</v>
      </c>
      <c r="AQ308" s="81" t="b">
        <v>0</v>
      </c>
      <c r="AR308" s="81" t="b">
        <v>0</v>
      </c>
      <c r="AS308" s="81" t="b">
        <v>1</v>
      </c>
      <c r="AT308" s="81"/>
      <c r="AU308" s="81">
        <v>8</v>
      </c>
      <c r="AV308" s="84" t="str">
        <f>HYPERLINK("https://abs.twimg.com/images/themes/theme9/bg.gif")</f>
        <v>https://abs.twimg.com/images/themes/theme9/bg.gif</v>
      </c>
      <c r="AW308" s="81" t="b">
        <v>0</v>
      </c>
      <c r="AX308" s="81" t="s">
        <v>3728</v>
      </c>
      <c r="AY308" s="84" t="str">
        <f>HYPERLINK("https://twitter.com/sumasenyangyang")</f>
        <v>https://twitter.com/sumasenyangyang</v>
      </c>
      <c r="AZ308" s="81" t="s">
        <v>66</v>
      </c>
      <c r="BA308" s="2"/>
      <c r="BB308" s="3"/>
      <c r="BC308" s="3"/>
      <c r="BD308" s="3"/>
      <c r="BE308" s="3"/>
    </row>
    <row r="309" spans="1:57" x14ac:dyDescent="0.35">
      <c r="A309" s="66" t="s">
        <v>319</v>
      </c>
      <c r="B309" s="67"/>
      <c r="C309" s="67"/>
      <c r="D309" s="68"/>
      <c r="E309" s="94"/>
      <c r="F309" s="93" t="str">
        <f>HYPERLINK("https://pbs.twimg.com/profile_images/1441655403104796674/B_JeJ4-y_normal.jpg")</f>
        <v>https://pbs.twimg.com/profile_images/1441655403104796674/B_JeJ4-y_normal.jpg</v>
      </c>
      <c r="G309" s="95"/>
      <c r="H309" s="71"/>
      <c r="I309" s="72"/>
      <c r="J309" s="96"/>
      <c r="K309" s="71" t="s">
        <v>3860</v>
      </c>
      <c r="L309" s="97"/>
      <c r="M309" s="76"/>
      <c r="N309" s="76"/>
      <c r="O309" s="77"/>
      <c r="P309" s="78"/>
      <c r="Q309" s="78"/>
      <c r="R309" s="92"/>
      <c r="S309" s="92"/>
      <c r="T309" s="92"/>
      <c r="U309" s="92"/>
      <c r="V309" s="52"/>
      <c r="W309" s="52"/>
      <c r="X309" s="52"/>
      <c r="Y309" s="52"/>
      <c r="Z309" s="51"/>
      <c r="AA309" s="73"/>
      <c r="AB309" s="73"/>
      <c r="AC309" s="74"/>
      <c r="AD309" s="81" t="s">
        <v>13468</v>
      </c>
      <c r="AE309" s="86" t="s">
        <v>2798</v>
      </c>
      <c r="AF309" s="81">
        <v>1133</v>
      </c>
      <c r="AG309" s="81">
        <v>1151</v>
      </c>
      <c r="AH309" s="81">
        <v>3987</v>
      </c>
      <c r="AI309" s="81">
        <v>4324</v>
      </c>
      <c r="AJ309" s="81"/>
      <c r="AK309" s="81" t="s">
        <v>3204</v>
      </c>
      <c r="AL309" s="81"/>
      <c r="AM309" s="84" t="str">
        <f>HYPERLINK("https://t.co/bXOJeihEGd")</f>
        <v>https://t.co/bXOJeihEGd</v>
      </c>
      <c r="AN309" s="81"/>
      <c r="AO309" s="83">
        <v>44175.322511574072</v>
      </c>
      <c r="AP309" s="84" t="str">
        <f>HYPERLINK("https://pbs.twimg.com/profile_banners/1336939761240428546/1628841477")</f>
        <v>https://pbs.twimg.com/profile_banners/1336939761240428546/1628841477</v>
      </c>
      <c r="AQ309" s="81" t="b">
        <v>1</v>
      </c>
      <c r="AR309" s="81" t="b">
        <v>0</v>
      </c>
      <c r="AS309" s="81" t="b">
        <v>0</v>
      </c>
      <c r="AT309" s="81"/>
      <c r="AU309" s="81">
        <v>0</v>
      </c>
      <c r="AV309" s="81"/>
      <c r="AW309" s="81" t="b">
        <v>0</v>
      </c>
      <c r="AX309" s="81" t="s">
        <v>3728</v>
      </c>
      <c r="AY309" s="84" t="str">
        <f>HYPERLINK("https://twitter.com/piecesofhyune")</f>
        <v>https://twitter.com/piecesofhyune</v>
      </c>
      <c r="AZ309" s="81" t="s">
        <v>66</v>
      </c>
      <c r="BA309" s="2"/>
      <c r="BB309" s="3"/>
      <c r="BC309" s="3"/>
      <c r="BD309" s="3"/>
      <c r="BE309" s="3"/>
    </row>
    <row r="310" spans="1:57" x14ac:dyDescent="0.35">
      <c r="A310" s="66" t="s">
        <v>321</v>
      </c>
      <c r="B310" s="67"/>
      <c r="C310" s="67"/>
      <c r="D310" s="68"/>
      <c r="E310" s="94"/>
      <c r="F310" s="93" t="str">
        <f>HYPERLINK("https://pbs.twimg.com/profile_images/1432916322321514503/28h9tstZ_normal.jpg")</f>
        <v>https://pbs.twimg.com/profile_images/1432916322321514503/28h9tstZ_normal.jpg</v>
      </c>
      <c r="G310" s="95"/>
      <c r="H310" s="71"/>
      <c r="I310" s="72"/>
      <c r="J310" s="96"/>
      <c r="K310" s="71" t="s">
        <v>3862</v>
      </c>
      <c r="L310" s="97"/>
      <c r="M310" s="76"/>
      <c r="N310" s="76"/>
      <c r="O310" s="77"/>
      <c r="P310" s="78"/>
      <c r="Q310" s="78"/>
      <c r="R310" s="92"/>
      <c r="S310" s="92"/>
      <c r="T310" s="92"/>
      <c r="U310" s="92"/>
      <c r="V310" s="52"/>
      <c r="W310" s="52"/>
      <c r="X310" s="52"/>
      <c r="Y310" s="52"/>
      <c r="Z310" s="51"/>
      <c r="AA310" s="73"/>
      <c r="AB310" s="73"/>
      <c r="AC310" s="74"/>
      <c r="AD310" s="81" t="s">
        <v>2375</v>
      </c>
      <c r="AE310" s="86" t="s">
        <v>2801</v>
      </c>
      <c r="AF310" s="81">
        <v>247</v>
      </c>
      <c r="AG310" s="81">
        <v>97</v>
      </c>
      <c r="AH310" s="81">
        <v>5704</v>
      </c>
      <c r="AI310" s="81">
        <v>4107</v>
      </c>
      <c r="AJ310" s="81"/>
      <c r="AK310" s="81" t="s">
        <v>3207</v>
      </c>
      <c r="AL310" s="81" t="s">
        <v>3590</v>
      </c>
      <c r="AM310" s="84" t="str">
        <f>HYPERLINK("https://t.co/2csTxKKbJE")</f>
        <v>https://t.co/2csTxKKbJE</v>
      </c>
      <c r="AN310" s="81"/>
      <c r="AO310" s="83">
        <v>44166.153287037036</v>
      </c>
      <c r="AP310" s="84" t="str">
        <f>HYPERLINK("https://pbs.twimg.com/profile_banners/1333616950304378880/1628650211")</f>
        <v>https://pbs.twimg.com/profile_banners/1333616950304378880/1628650211</v>
      </c>
      <c r="AQ310" s="81" t="b">
        <v>1</v>
      </c>
      <c r="AR310" s="81" t="b">
        <v>0</v>
      </c>
      <c r="AS310" s="81" t="b">
        <v>0</v>
      </c>
      <c r="AT310" s="81"/>
      <c r="AU310" s="81">
        <v>0</v>
      </c>
      <c r="AV310" s="81"/>
      <c r="AW310" s="81" t="b">
        <v>0</v>
      </c>
      <c r="AX310" s="81" t="s">
        <v>3728</v>
      </c>
      <c r="AY310" s="84" t="str">
        <f>HYPERLINK("https://twitter.com/tenlee_107")</f>
        <v>https://twitter.com/tenlee_107</v>
      </c>
      <c r="AZ310" s="81" t="s">
        <v>66</v>
      </c>
      <c r="BA310" s="2"/>
      <c r="BB310" s="3"/>
      <c r="BC310" s="3"/>
      <c r="BD310" s="3"/>
      <c r="BE310" s="3"/>
    </row>
    <row r="311" spans="1:57" x14ac:dyDescent="0.35">
      <c r="A311" s="66" t="s">
        <v>12497</v>
      </c>
      <c r="B311" s="67"/>
      <c r="C311" s="67"/>
      <c r="D311" s="68"/>
      <c r="E311" s="94"/>
      <c r="F311" s="93" t="str">
        <f>HYPERLINK("https://pbs.twimg.com/profile_images/1442525570349162497/ASIkQk-H_normal.jpg")</f>
        <v>https://pbs.twimg.com/profile_images/1442525570349162497/ASIkQk-H_normal.jpg</v>
      </c>
      <c r="G311" s="95"/>
      <c r="H311" s="71"/>
      <c r="I311" s="72"/>
      <c r="J311" s="96"/>
      <c r="K311" s="71" t="s">
        <v>14267</v>
      </c>
      <c r="L311" s="97"/>
      <c r="M311" s="76"/>
      <c r="N311" s="76"/>
      <c r="O311" s="77"/>
      <c r="P311" s="78"/>
      <c r="Q311" s="78"/>
      <c r="R311" s="92"/>
      <c r="S311" s="92"/>
      <c r="T311" s="92"/>
      <c r="U311" s="92"/>
      <c r="V311" s="52"/>
      <c r="W311" s="52"/>
      <c r="X311" s="52"/>
      <c r="Y311" s="52"/>
      <c r="Z311" s="51"/>
      <c r="AA311" s="73"/>
      <c r="AB311" s="73"/>
      <c r="AC311" s="74"/>
      <c r="AD311" s="81" t="s">
        <v>13469</v>
      </c>
      <c r="AE311" s="86" t="s">
        <v>13722</v>
      </c>
      <c r="AF311" s="81">
        <v>352</v>
      </c>
      <c r="AG311" s="81">
        <v>319</v>
      </c>
      <c r="AH311" s="81">
        <v>4870</v>
      </c>
      <c r="AI311" s="81">
        <v>5851</v>
      </c>
      <c r="AJ311" s="81"/>
      <c r="AK311" s="81" t="s">
        <v>13926</v>
      </c>
      <c r="AL311" s="81" t="s">
        <v>3514</v>
      </c>
      <c r="AM311" s="81"/>
      <c r="AN311" s="81"/>
      <c r="AO311" s="83">
        <v>44363.566296296296</v>
      </c>
      <c r="AP311" s="84" t="str">
        <f>HYPERLINK("https://pbs.twimg.com/profile_banners/1405157031053447172/1629978537")</f>
        <v>https://pbs.twimg.com/profile_banners/1405157031053447172/1629978537</v>
      </c>
      <c r="AQ311" s="81" t="b">
        <v>1</v>
      </c>
      <c r="AR311" s="81" t="b">
        <v>0</v>
      </c>
      <c r="AS311" s="81" t="b">
        <v>0</v>
      </c>
      <c r="AT311" s="81"/>
      <c r="AU311" s="81">
        <v>1</v>
      </c>
      <c r="AV311" s="81"/>
      <c r="AW311" s="81" t="b">
        <v>0</v>
      </c>
      <c r="AX311" s="81" t="s">
        <v>3728</v>
      </c>
      <c r="AY311" s="84" t="str">
        <f>HYPERLINK("https://twitter.com/onimawma")</f>
        <v>https://twitter.com/onimawma</v>
      </c>
      <c r="AZ311" s="81" t="s">
        <v>66</v>
      </c>
      <c r="BA311" s="2"/>
      <c r="BB311" s="3"/>
      <c r="BC311" s="3"/>
      <c r="BD311" s="3"/>
      <c r="BE311" s="3"/>
    </row>
    <row r="312" spans="1:57" x14ac:dyDescent="0.35">
      <c r="A312" s="66" t="s">
        <v>12668</v>
      </c>
      <c r="B312" s="67"/>
      <c r="C312" s="67"/>
      <c r="D312" s="68"/>
      <c r="E312" s="94"/>
      <c r="F312" s="93" t="str">
        <f>HYPERLINK("https://pbs.twimg.com/profile_images/1442495932935786502/EiALySmd_normal.jpg")</f>
        <v>https://pbs.twimg.com/profile_images/1442495932935786502/EiALySmd_normal.jpg</v>
      </c>
      <c r="G312" s="95"/>
      <c r="H312" s="71"/>
      <c r="I312" s="72"/>
      <c r="J312" s="96"/>
      <c r="K312" s="71" t="s">
        <v>14268</v>
      </c>
      <c r="L312" s="97"/>
      <c r="M312" s="76"/>
      <c r="N312" s="76"/>
      <c r="O312" s="77"/>
      <c r="P312" s="78"/>
      <c r="Q312" s="78"/>
      <c r="R312" s="92"/>
      <c r="S312" s="92"/>
      <c r="T312" s="92"/>
      <c r="U312" s="92"/>
      <c r="V312" s="52"/>
      <c r="W312" s="52"/>
      <c r="X312" s="52"/>
      <c r="Y312" s="52"/>
      <c r="Z312" s="51"/>
      <c r="AA312" s="73"/>
      <c r="AB312" s="73"/>
      <c r="AC312" s="74"/>
      <c r="AD312" s="81" t="s">
        <v>13470</v>
      </c>
      <c r="AE312" s="86" t="s">
        <v>13400</v>
      </c>
      <c r="AF312" s="81">
        <v>437</v>
      </c>
      <c r="AG312" s="81">
        <v>500</v>
      </c>
      <c r="AH312" s="81">
        <v>64424</v>
      </c>
      <c r="AI312" s="81">
        <v>64563</v>
      </c>
      <c r="AJ312" s="81"/>
      <c r="AK312" s="81" t="s">
        <v>13927</v>
      </c>
      <c r="AL312" s="81" t="s">
        <v>3525</v>
      </c>
      <c r="AM312" s="84" t="str">
        <f>HYPERLINK("https://t.co/uviY4kjiFh")</f>
        <v>https://t.co/uviY4kjiFh</v>
      </c>
      <c r="AN312" s="81"/>
      <c r="AO312" s="83">
        <v>44001.330185185187</v>
      </c>
      <c r="AP312" s="84" t="str">
        <f>HYPERLINK("https://pbs.twimg.com/profile_banners/1273887022235578368/1632067467")</f>
        <v>https://pbs.twimg.com/profile_banners/1273887022235578368/1632067467</v>
      </c>
      <c r="AQ312" s="81" t="b">
        <v>1</v>
      </c>
      <c r="AR312" s="81" t="b">
        <v>0</v>
      </c>
      <c r="AS312" s="81" t="b">
        <v>0</v>
      </c>
      <c r="AT312" s="81"/>
      <c r="AU312" s="81">
        <v>19</v>
      </c>
      <c r="AV312" s="81"/>
      <c r="AW312" s="81" t="b">
        <v>0</v>
      </c>
      <c r="AX312" s="81" t="s">
        <v>3728</v>
      </c>
      <c r="AY312" s="84" t="str">
        <f>HYPERLINK("https://twitter.com/seungaaaaaah")</f>
        <v>https://twitter.com/seungaaaaaah</v>
      </c>
      <c r="AZ312" s="81" t="s">
        <v>65</v>
      </c>
      <c r="BA312" s="2"/>
      <c r="BB312" s="3"/>
      <c r="BC312" s="3"/>
      <c r="BD312" s="3"/>
      <c r="BE312" s="3"/>
    </row>
    <row r="313" spans="1:57" x14ac:dyDescent="0.35">
      <c r="A313" s="66" t="s">
        <v>4292</v>
      </c>
      <c r="B313" s="67"/>
      <c r="C313" s="67"/>
      <c r="D313" s="68"/>
      <c r="E313" s="94"/>
      <c r="F313" s="93" t="str">
        <f>HYPERLINK("https://pbs.twimg.com/profile_images/1374127581553950725/EI8dj6Ky_normal.jpg")</f>
        <v>https://pbs.twimg.com/profile_images/1374127581553950725/EI8dj6Ky_normal.jpg</v>
      </c>
      <c r="G313" s="95"/>
      <c r="H313" s="71"/>
      <c r="I313" s="72"/>
      <c r="J313" s="96"/>
      <c r="K313" s="71" t="s">
        <v>11570</v>
      </c>
      <c r="L313" s="97"/>
      <c r="M313" s="76"/>
      <c r="N313" s="76"/>
      <c r="O313" s="77"/>
      <c r="P313" s="78"/>
      <c r="Q313" s="78"/>
      <c r="R313" s="92"/>
      <c r="S313" s="92"/>
      <c r="T313" s="92"/>
      <c r="U313" s="92"/>
      <c r="V313" s="52"/>
      <c r="W313" s="52"/>
      <c r="X313" s="52"/>
      <c r="Y313" s="52"/>
      <c r="Z313" s="51"/>
      <c r="AA313" s="73"/>
      <c r="AB313" s="73"/>
      <c r="AC313" s="74"/>
      <c r="AD313" s="81" t="s">
        <v>8201</v>
      </c>
      <c r="AE313" s="86" t="s">
        <v>9253</v>
      </c>
      <c r="AF313" s="81">
        <v>2545</v>
      </c>
      <c r="AG313" s="81">
        <v>900</v>
      </c>
      <c r="AH313" s="81">
        <v>142285</v>
      </c>
      <c r="AI313" s="81">
        <v>37670</v>
      </c>
      <c r="AJ313" s="81"/>
      <c r="AK313" s="81" t="s">
        <v>10213</v>
      </c>
      <c r="AL313" s="81" t="s">
        <v>10998</v>
      </c>
      <c r="AM313" s="84" t="str">
        <f>HYPERLINK("https://t.co/3XY75wsFld")</f>
        <v>https://t.co/3XY75wsFld</v>
      </c>
      <c r="AN313" s="81"/>
      <c r="AO313" s="83">
        <v>41116.450289351851</v>
      </c>
      <c r="AP313" s="84" t="str">
        <f>HYPERLINK("https://pbs.twimg.com/profile_banners/717874436/1631390732")</f>
        <v>https://pbs.twimg.com/profile_banners/717874436/1631390732</v>
      </c>
      <c r="AQ313" s="81" t="b">
        <v>0</v>
      </c>
      <c r="AR313" s="81" t="b">
        <v>0</v>
      </c>
      <c r="AS313" s="81" t="b">
        <v>0</v>
      </c>
      <c r="AT313" s="81"/>
      <c r="AU313" s="81">
        <v>28</v>
      </c>
      <c r="AV313" s="84" t="str">
        <f>HYPERLINK("https://abs.twimg.com/images/themes/theme14/bg.gif")</f>
        <v>https://abs.twimg.com/images/themes/theme14/bg.gif</v>
      </c>
      <c r="AW313" s="81" t="b">
        <v>0</v>
      </c>
      <c r="AX313" s="81" t="s">
        <v>3728</v>
      </c>
      <c r="AY313" s="84" t="str">
        <f>HYPERLINK("https://twitter.com/antonio_reis_70")</f>
        <v>https://twitter.com/antonio_reis_70</v>
      </c>
      <c r="AZ313" s="81" t="s">
        <v>66</v>
      </c>
      <c r="BA313" s="2"/>
      <c r="BB313" s="3"/>
      <c r="BC313" s="3"/>
      <c r="BD313" s="3"/>
      <c r="BE313" s="3"/>
    </row>
    <row r="314" spans="1:57" x14ac:dyDescent="0.35">
      <c r="A314" s="66" t="s">
        <v>4293</v>
      </c>
      <c r="B314" s="67"/>
      <c r="C314" s="67"/>
      <c r="D314" s="68"/>
      <c r="E314" s="94"/>
      <c r="F314" s="93" t="str">
        <f>HYPERLINK("https://pbs.twimg.com/profile_images/1273276574687789057/vYWECeJY_normal.jpg")</f>
        <v>https://pbs.twimg.com/profile_images/1273276574687789057/vYWECeJY_normal.jpg</v>
      </c>
      <c r="G314" s="95"/>
      <c r="H314" s="71"/>
      <c r="I314" s="72"/>
      <c r="J314" s="96"/>
      <c r="K314" s="71" t="s">
        <v>11571</v>
      </c>
      <c r="L314" s="97"/>
      <c r="M314" s="76"/>
      <c r="N314" s="76"/>
      <c r="O314" s="77"/>
      <c r="P314" s="78"/>
      <c r="Q314" s="78"/>
      <c r="R314" s="92"/>
      <c r="S314" s="92"/>
      <c r="T314" s="92"/>
      <c r="U314" s="92"/>
      <c r="V314" s="52"/>
      <c r="W314" s="52"/>
      <c r="X314" s="52"/>
      <c r="Y314" s="52"/>
      <c r="Z314" s="51"/>
      <c r="AA314" s="73"/>
      <c r="AB314" s="73"/>
      <c r="AC314" s="74"/>
      <c r="AD314" s="81" t="s">
        <v>8202</v>
      </c>
      <c r="AE314" s="86" t="s">
        <v>9254</v>
      </c>
      <c r="AF314" s="81">
        <v>187</v>
      </c>
      <c r="AG314" s="81">
        <v>384</v>
      </c>
      <c r="AH314" s="81">
        <v>1691</v>
      </c>
      <c r="AI314" s="81">
        <v>273</v>
      </c>
      <c r="AJ314" s="81"/>
      <c r="AK314" s="81" t="s">
        <v>10214</v>
      </c>
      <c r="AL314" s="81" t="s">
        <v>10990</v>
      </c>
      <c r="AM314" s="84" t="str">
        <f>HYPERLINK("https://t.co/NNE4CeE2FO")</f>
        <v>https://t.co/NNE4CeE2FO</v>
      </c>
      <c r="AN314" s="81"/>
      <c r="AO314" s="83">
        <v>41306.433263888888</v>
      </c>
      <c r="AP314" s="84" t="str">
        <f>HYPERLINK("https://pbs.twimg.com/profile_banners/1139289044/1602154848")</f>
        <v>https://pbs.twimg.com/profile_banners/1139289044/1602154848</v>
      </c>
      <c r="AQ314" s="81" t="b">
        <v>0</v>
      </c>
      <c r="AR314" s="81" t="b">
        <v>0</v>
      </c>
      <c r="AS314" s="81" t="b">
        <v>0</v>
      </c>
      <c r="AT314" s="81"/>
      <c r="AU314" s="81">
        <v>10</v>
      </c>
      <c r="AV314" s="84" t="str">
        <f>HYPERLINK("https://abs.twimg.com/images/themes/theme9/bg.gif")</f>
        <v>https://abs.twimg.com/images/themes/theme9/bg.gif</v>
      </c>
      <c r="AW314" s="81" t="b">
        <v>0</v>
      </c>
      <c r="AX314" s="81" t="s">
        <v>3728</v>
      </c>
      <c r="AY314" s="84" t="str">
        <f>HYPERLINK("https://twitter.com/rhmagazine_iirh")</f>
        <v>https://twitter.com/rhmagazine_iirh</v>
      </c>
      <c r="AZ314" s="81" t="s">
        <v>66</v>
      </c>
      <c r="BA314" s="2"/>
      <c r="BB314" s="3"/>
      <c r="BC314" s="3"/>
      <c r="BD314" s="3"/>
      <c r="BE314" s="3"/>
    </row>
    <row r="315" spans="1:57" x14ac:dyDescent="0.35">
      <c r="A315" s="66" t="s">
        <v>322</v>
      </c>
      <c r="B315" s="67"/>
      <c r="C315" s="67"/>
      <c r="D315" s="68"/>
      <c r="E315" s="94"/>
      <c r="F315" s="93" t="str">
        <f>HYPERLINK("https://pbs.twimg.com/profile_images/1442080863047467008/-JloLyg-_normal.jpg")</f>
        <v>https://pbs.twimg.com/profile_images/1442080863047467008/-JloLyg-_normal.jpg</v>
      </c>
      <c r="G315" s="95"/>
      <c r="H315" s="71"/>
      <c r="I315" s="72"/>
      <c r="J315" s="96"/>
      <c r="K315" s="71" t="s">
        <v>3863</v>
      </c>
      <c r="L315" s="97"/>
      <c r="M315" s="76"/>
      <c r="N315" s="76"/>
      <c r="O315" s="77"/>
      <c r="P315" s="78"/>
      <c r="Q315" s="78"/>
      <c r="R315" s="92"/>
      <c r="S315" s="92"/>
      <c r="T315" s="92"/>
      <c r="U315" s="92"/>
      <c r="V315" s="52"/>
      <c r="W315" s="52"/>
      <c r="X315" s="52"/>
      <c r="Y315" s="52"/>
      <c r="Z315" s="51"/>
      <c r="AA315" s="73"/>
      <c r="AB315" s="73"/>
      <c r="AC315" s="74"/>
      <c r="AD315" s="81" t="s">
        <v>13471</v>
      </c>
      <c r="AE315" s="86" t="s">
        <v>2109</v>
      </c>
      <c r="AF315" s="81">
        <v>612</v>
      </c>
      <c r="AG315" s="81">
        <v>829</v>
      </c>
      <c r="AH315" s="81">
        <v>13221</v>
      </c>
      <c r="AI315" s="81">
        <v>1981</v>
      </c>
      <c r="AJ315" s="81"/>
      <c r="AK315" s="81" t="s">
        <v>3208</v>
      </c>
      <c r="AL315" s="81" t="s">
        <v>3517</v>
      </c>
      <c r="AM315" s="84" t="str">
        <f>HYPERLINK("https://t.co/KxTlEwPlIK")</f>
        <v>https://t.co/KxTlEwPlIK</v>
      </c>
      <c r="AN315" s="81"/>
      <c r="AO315" s="83">
        <v>43484.391134259262</v>
      </c>
      <c r="AP315" s="84" t="str">
        <f>HYPERLINK("https://pbs.twimg.com/profile_banners/1086554666987450368/1627375747")</f>
        <v>https://pbs.twimg.com/profile_banners/1086554666987450368/1627375747</v>
      </c>
      <c r="AQ315" s="81" t="b">
        <v>1</v>
      </c>
      <c r="AR315" s="81" t="b">
        <v>0</v>
      </c>
      <c r="AS315" s="81" t="b">
        <v>0</v>
      </c>
      <c r="AT315" s="81"/>
      <c r="AU315" s="81">
        <v>0</v>
      </c>
      <c r="AV315" s="81"/>
      <c r="AW315" s="81" t="b">
        <v>0</v>
      </c>
      <c r="AX315" s="81" t="s">
        <v>3728</v>
      </c>
      <c r="AY315" s="84" t="str">
        <f>HYPERLINK("https://twitter.com/matchclctte")</f>
        <v>https://twitter.com/matchclctte</v>
      </c>
      <c r="AZ315" s="81" t="s">
        <v>66</v>
      </c>
      <c r="BA315" s="2"/>
      <c r="BB315" s="3"/>
      <c r="BC315" s="3"/>
      <c r="BD315" s="3"/>
      <c r="BE315" s="3"/>
    </row>
    <row r="316" spans="1:57" x14ac:dyDescent="0.35">
      <c r="A316" s="66" t="s">
        <v>323</v>
      </c>
      <c r="B316" s="67"/>
      <c r="C316" s="67"/>
      <c r="D316" s="68"/>
      <c r="E316" s="94"/>
      <c r="F316" s="93" t="str">
        <f>HYPERLINK("https://pbs.twimg.com/profile_images/1440610001773481985/gn4oAL34_normal.jpg")</f>
        <v>https://pbs.twimg.com/profile_images/1440610001773481985/gn4oAL34_normal.jpg</v>
      </c>
      <c r="G316" s="95"/>
      <c r="H316" s="71"/>
      <c r="I316" s="72"/>
      <c r="J316" s="96"/>
      <c r="K316" s="71" t="s">
        <v>3864</v>
      </c>
      <c r="L316" s="97"/>
      <c r="M316" s="76"/>
      <c r="N316" s="76"/>
      <c r="O316" s="77"/>
      <c r="P316" s="78"/>
      <c r="Q316" s="78"/>
      <c r="R316" s="92"/>
      <c r="S316" s="92"/>
      <c r="T316" s="92"/>
      <c r="U316" s="92"/>
      <c r="V316" s="52"/>
      <c r="W316" s="52"/>
      <c r="X316" s="52"/>
      <c r="Y316" s="52"/>
      <c r="Z316" s="51"/>
      <c r="AA316" s="73"/>
      <c r="AB316" s="73"/>
      <c r="AC316" s="74"/>
      <c r="AD316" s="81" t="s">
        <v>323</v>
      </c>
      <c r="AE316" s="86" t="s">
        <v>2802</v>
      </c>
      <c r="AF316" s="81">
        <v>147</v>
      </c>
      <c r="AG316" s="81">
        <v>39</v>
      </c>
      <c r="AH316" s="81">
        <v>53</v>
      </c>
      <c r="AI316" s="81">
        <v>311</v>
      </c>
      <c r="AJ316" s="81"/>
      <c r="AK316" s="81" t="s">
        <v>3209</v>
      </c>
      <c r="AL316" s="81" t="s">
        <v>3520</v>
      </c>
      <c r="AM316" s="84" t="str">
        <f>HYPERLINK("https://t.co/9q9FUTMkTf")</f>
        <v>https://t.co/9q9FUTMkTf</v>
      </c>
      <c r="AN316" s="81"/>
      <c r="AO316" s="83">
        <v>43711.391250000001</v>
      </c>
      <c r="AP316" s="84" t="str">
        <f>HYPERLINK("https://pbs.twimg.com/profile_banners/1168816668815966208/1632377980")</f>
        <v>https://pbs.twimg.com/profile_banners/1168816668815966208/1632377980</v>
      </c>
      <c r="AQ316" s="81" t="b">
        <v>1</v>
      </c>
      <c r="AR316" s="81" t="b">
        <v>0</v>
      </c>
      <c r="AS316" s="81" t="b">
        <v>0</v>
      </c>
      <c r="AT316" s="81"/>
      <c r="AU316" s="81">
        <v>0</v>
      </c>
      <c r="AV316" s="81"/>
      <c r="AW316" s="81" t="b">
        <v>0</v>
      </c>
      <c r="AX316" s="81" t="s">
        <v>3728</v>
      </c>
      <c r="AY316" s="84" t="str">
        <f>HYPERLINK("https://twitter.com/shahrinazakaria")</f>
        <v>https://twitter.com/shahrinazakaria</v>
      </c>
      <c r="AZ316" s="81" t="s">
        <v>66</v>
      </c>
      <c r="BA316" s="2"/>
      <c r="BB316" s="3"/>
      <c r="BC316" s="3"/>
      <c r="BD316" s="3"/>
      <c r="BE316" s="3"/>
    </row>
    <row r="317" spans="1:57" x14ac:dyDescent="0.35">
      <c r="A317" s="66" t="s">
        <v>324</v>
      </c>
      <c r="B317" s="67"/>
      <c r="C317" s="67"/>
      <c r="D317" s="68"/>
      <c r="E317" s="94"/>
      <c r="F317" s="93" t="str">
        <f>HYPERLINK("https://pbs.twimg.com/profile_images/1356443657767817216/DGmq_J7__normal.jpg")</f>
        <v>https://pbs.twimg.com/profile_images/1356443657767817216/DGmq_J7__normal.jpg</v>
      </c>
      <c r="G317" s="95"/>
      <c r="H317" s="71"/>
      <c r="I317" s="72"/>
      <c r="J317" s="96"/>
      <c r="K317" s="71" t="s">
        <v>3865</v>
      </c>
      <c r="L317" s="97"/>
      <c r="M317" s="76"/>
      <c r="N317" s="76"/>
      <c r="O317" s="77"/>
      <c r="P317" s="78"/>
      <c r="Q317" s="78"/>
      <c r="R317" s="92"/>
      <c r="S317" s="92"/>
      <c r="T317" s="92"/>
      <c r="U317" s="92"/>
      <c r="V317" s="52"/>
      <c r="W317" s="52"/>
      <c r="X317" s="52"/>
      <c r="Y317" s="52"/>
      <c r="Z317" s="51"/>
      <c r="AA317" s="73"/>
      <c r="AB317" s="73"/>
      <c r="AC317" s="74"/>
      <c r="AD317" s="81" t="s">
        <v>2376</v>
      </c>
      <c r="AE317" s="86" t="s">
        <v>2803</v>
      </c>
      <c r="AF317" s="81">
        <v>4</v>
      </c>
      <c r="AG317" s="81">
        <v>568</v>
      </c>
      <c r="AH317" s="81">
        <v>2662</v>
      </c>
      <c r="AI317" s="81">
        <v>63</v>
      </c>
      <c r="AJ317" s="81"/>
      <c r="AK317" s="81" t="s">
        <v>3210</v>
      </c>
      <c r="AL317" s="81" t="s">
        <v>3591</v>
      </c>
      <c r="AM317" s="84" t="str">
        <f>HYPERLINK("https://t.co/MwjfiL9T7E")</f>
        <v>https://t.co/MwjfiL9T7E</v>
      </c>
      <c r="AN317" s="81"/>
      <c r="AO317" s="83">
        <v>44229.142164351855</v>
      </c>
      <c r="AP317" s="84" t="str">
        <f>HYPERLINK("https://pbs.twimg.com/profile_banners/1356443266036637699/1612239344")</f>
        <v>https://pbs.twimg.com/profile_banners/1356443266036637699/1612239344</v>
      </c>
      <c r="AQ317" s="81" t="b">
        <v>1</v>
      </c>
      <c r="AR317" s="81" t="b">
        <v>0</v>
      </c>
      <c r="AS317" s="81" t="b">
        <v>0</v>
      </c>
      <c r="AT317" s="81"/>
      <c r="AU317" s="81">
        <v>0</v>
      </c>
      <c r="AV317" s="81"/>
      <c r="AW317" s="81" t="b">
        <v>0</v>
      </c>
      <c r="AX317" s="81" t="s">
        <v>3728</v>
      </c>
      <c r="AY317" s="84" t="str">
        <f>HYPERLINK("https://twitter.com/nctmydream_")</f>
        <v>https://twitter.com/nctmydream_</v>
      </c>
      <c r="AZ317" s="81" t="s">
        <v>66</v>
      </c>
      <c r="BA317" s="2"/>
      <c r="BB317" s="3"/>
      <c r="BC317" s="3"/>
      <c r="BD317" s="3"/>
      <c r="BE317" s="3"/>
    </row>
    <row r="318" spans="1:57" x14ac:dyDescent="0.35">
      <c r="A318" s="66" t="s">
        <v>4296</v>
      </c>
      <c r="B318" s="67"/>
      <c r="C318" s="67"/>
      <c r="D318" s="68"/>
      <c r="E318" s="94"/>
      <c r="F318" s="93" t="str">
        <f>HYPERLINK("https://pbs.twimg.com/profile_images/856102901160198145/hTkfKxmt_normal.jpg")</f>
        <v>https://pbs.twimg.com/profile_images/856102901160198145/hTkfKxmt_normal.jpg</v>
      </c>
      <c r="G318" s="95"/>
      <c r="H318" s="71"/>
      <c r="I318" s="72"/>
      <c r="J318" s="96"/>
      <c r="K318" s="71" t="s">
        <v>11572</v>
      </c>
      <c r="L318" s="97"/>
      <c r="M318" s="76"/>
      <c r="N318" s="76"/>
      <c r="O318" s="77"/>
      <c r="P318" s="78"/>
      <c r="Q318" s="78"/>
      <c r="R318" s="92"/>
      <c r="S318" s="92"/>
      <c r="T318" s="92"/>
      <c r="U318" s="92"/>
      <c r="V318" s="52"/>
      <c r="W318" s="52"/>
      <c r="X318" s="52"/>
      <c r="Y318" s="52"/>
      <c r="Z318" s="51"/>
      <c r="AA318" s="73"/>
      <c r="AB318" s="73"/>
      <c r="AC318" s="74"/>
      <c r="AD318" s="81" t="s">
        <v>8205</v>
      </c>
      <c r="AE318" s="86" t="s">
        <v>9257</v>
      </c>
      <c r="AF318" s="81">
        <v>1102</v>
      </c>
      <c r="AG318" s="81">
        <v>841</v>
      </c>
      <c r="AH318" s="81">
        <v>458077</v>
      </c>
      <c r="AI318" s="81">
        <v>11115</v>
      </c>
      <c r="AJ318" s="81"/>
      <c r="AK318" s="81" t="s">
        <v>10216</v>
      </c>
      <c r="AL318" s="81" t="s">
        <v>11068</v>
      </c>
      <c r="AM318" s="81"/>
      <c r="AN318" s="81"/>
      <c r="AO318" s="83">
        <v>42293.055092592593</v>
      </c>
      <c r="AP318" s="84" t="str">
        <f>HYPERLINK("https://pbs.twimg.com/profile_banners/3908639473/1526952019")</f>
        <v>https://pbs.twimg.com/profile_banners/3908639473/1526952019</v>
      </c>
      <c r="AQ318" s="81" t="b">
        <v>1</v>
      </c>
      <c r="AR318" s="81" t="b">
        <v>0</v>
      </c>
      <c r="AS318" s="81" t="b">
        <v>1</v>
      </c>
      <c r="AT318" s="81"/>
      <c r="AU318" s="81">
        <v>16</v>
      </c>
      <c r="AV318" s="84" t="str">
        <f>HYPERLINK("https://abs.twimg.com/images/themes/theme1/bg.png")</f>
        <v>https://abs.twimg.com/images/themes/theme1/bg.png</v>
      </c>
      <c r="AW318" s="81" t="b">
        <v>0</v>
      </c>
      <c r="AX318" s="81" t="s">
        <v>3728</v>
      </c>
      <c r="AY318" s="84" t="str">
        <f>HYPERLINK("https://twitter.com/gotothejek")</f>
        <v>https://twitter.com/gotothejek</v>
      </c>
      <c r="AZ318" s="81" t="s">
        <v>66</v>
      </c>
      <c r="BA318" s="2"/>
      <c r="BB318" s="3"/>
      <c r="BC318" s="3"/>
      <c r="BD318" s="3"/>
      <c r="BE318" s="3"/>
    </row>
    <row r="319" spans="1:57" x14ac:dyDescent="0.35">
      <c r="A319" s="66" t="s">
        <v>4335</v>
      </c>
      <c r="B319" s="67"/>
      <c r="C319" s="67"/>
      <c r="D319" s="68"/>
      <c r="E319" s="94"/>
      <c r="F319" s="93" t="str">
        <f>HYPERLINK("https://pbs.twimg.com/profile_images/1441005641926012929/XTw3eI6i_normal.jpg")</f>
        <v>https://pbs.twimg.com/profile_images/1441005641926012929/XTw3eI6i_normal.jpg</v>
      </c>
      <c r="G319" s="95"/>
      <c r="H319" s="71"/>
      <c r="I319" s="72"/>
      <c r="J319" s="96"/>
      <c r="K319" s="71" t="s">
        <v>11573</v>
      </c>
      <c r="L319" s="97"/>
      <c r="M319" s="76"/>
      <c r="N319" s="76"/>
      <c r="O319" s="77"/>
      <c r="P319" s="78"/>
      <c r="Q319" s="78"/>
      <c r="R319" s="92"/>
      <c r="S319" s="92"/>
      <c r="T319" s="92"/>
      <c r="U319" s="92"/>
      <c r="V319" s="52"/>
      <c r="W319" s="52"/>
      <c r="X319" s="52"/>
      <c r="Y319" s="52"/>
      <c r="Z319" s="51"/>
      <c r="AA319" s="73"/>
      <c r="AB319" s="73"/>
      <c r="AC319" s="74"/>
      <c r="AD319" s="81" t="s">
        <v>8206</v>
      </c>
      <c r="AE319" s="86" t="s">
        <v>7830</v>
      </c>
      <c r="AF319" s="81">
        <v>2203</v>
      </c>
      <c r="AG319" s="81">
        <v>37834</v>
      </c>
      <c r="AH319" s="81">
        <v>207050</v>
      </c>
      <c r="AI319" s="81">
        <v>190529</v>
      </c>
      <c r="AJ319" s="81"/>
      <c r="AK319" s="81" t="s">
        <v>10217</v>
      </c>
      <c r="AL319" s="81" t="s">
        <v>11069</v>
      </c>
      <c r="AM319" s="84" t="str">
        <f>HYPERLINK("https://t.co/6GQukM9n1q")</f>
        <v>https://t.co/6GQukM9n1q</v>
      </c>
      <c r="AN319" s="81"/>
      <c r="AO319" s="83">
        <v>43803.257951388892</v>
      </c>
      <c r="AP319" s="84" t="str">
        <f>HYPERLINK("https://pbs.twimg.com/profile_banners/1202108075231989760/1630594795")</f>
        <v>https://pbs.twimg.com/profile_banners/1202108075231989760/1630594795</v>
      </c>
      <c r="AQ319" s="81" t="b">
        <v>1</v>
      </c>
      <c r="AR319" s="81" t="b">
        <v>0</v>
      </c>
      <c r="AS319" s="81" t="b">
        <v>0</v>
      </c>
      <c r="AT319" s="81"/>
      <c r="AU319" s="81">
        <v>33</v>
      </c>
      <c r="AV319" s="81"/>
      <c r="AW319" s="81" t="b">
        <v>0</v>
      </c>
      <c r="AX319" s="81" t="s">
        <v>3728</v>
      </c>
      <c r="AY319" s="84" t="str">
        <f>HYPERLINK("https://twitter.com/leonita_lestari")</f>
        <v>https://twitter.com/leonita_lestari</v>
      </c>
      <c r="AZ319" s="81" t="s">
        <v>66</v>
      </c>
      <c r="BA319" s="2"/>
      <c r="BB319" s="3"/>
      <c r="BC319" s="3"/>
      <c r="BD319" s="3"/>
      <c r="BE319" s="3"/>
    </row>
    <row r="320" spans="1:57" x14ac:dyDescent="0.35">
      <c r="A320" s="66" t="s">
        <v>327</v>
      </c>
      <c r="B320" s="67"/>
      <c r="C320" s="67"/>
      <c r="D320" s="68"/>
      <c r="E320" s="94"/>
      <c r="F320" s="93" t="str">
        <f>HYPERLINK("https://pbs.twimg.com/profile_images/1376977612866646019/p1jnlMYL_normal.jpg")</f>
        <v>https://pbs.twimg.com/profile_images/1376977612866646019/p1jnlMYL_normal.jpg</v>
      </c>
      <c r="G320" s="95"/>
      <c r="H320" s="71"/>
      <c r="I320" s="72"/>
      <c r="J320" s="96"/>
      <c r="K320" s="71" t="s">
        <v>3866</v>
      </c>
      <c r="L320" s="97"/>
      <c r="M320" s="76"/>
      <c r="N320" s="76"/>
      <c r="O320" s="77"/>
      <c r="P320" s="78"/>
      <c r="Q320" s="78"/>
      <c r="R320" s="92"/>
      <c r="S320" s="92"/>
      <c r="T320" s="92"/>
      <c r="U320" s="92"/>
      <c r="V320" s="52"/>
      <c r="W320" s="52"/>
      <c r="X320" s="52"/>
      <c r="Y320" s="52"/>
      <c r="Z320" s="51"/>
      <c r="AA320" s="73"/>
      <c r="AB320" s="73"/>
      <c r="AC320" s="74"/>
      <c r="AD320" s="81" t="s">
        <v>2378</v>
      </c>
      <c r="AE320" s="86" t="s">
        <v>2806</v>
      </c>
      <c r="AF320" s="81">
        <v>152</v>
      </c>
      <c r="AG320" s="81">
        <v>12</v>
      </c>
      <c r="AH320" s="81">
        <v>759</v>
      </c>
      <c r="AI320" s="81">
        <v>316</v>
      </c>
      <c r="AJ320" s="81"/>
      <c r="AK320" s="81" t="s">
        <v>3213</v>
      </c>
      <c r="AL320" s="81"/>
      <c r="AM320" s="81"/>
      <c r="AN320" s="81"/>
      <c r="AO320" s="83">
        <v>43120.302881944444</v>
      </c>
      <c r="AP320" s="84" t="str">
        <f>HYPERLINK("https://pbs.twimg.com/profile_banners/954613503133798400/1628505496")</f>
        <v>https://pbs.twimg.com/profile_banners/954613503133798400/1628505496</v>
      </c>
      <c r="AQ320" s="81" t="b">
        <v>1</v>
      </c>
      <c r="AR320" s="81" t="b">
        <v>0</v>
      </c>
      <c r="AS320" s="81" t="b">
        <v>0</v>
      </c>
      <c r="AT320" s="81"/>
      <c r="AU320" s="81">
        <v>0</v>
      </c>
      <c r="AV320" s="81"/>
      <c r="AW320" s="81" t="b">
        <v>0</v>
      </c>
      <c r="AX320" s="81" t="s">
        <v>3728</v>
      </c>
      <c r="AY320" s="84" t="str">
        <f>HYPERLINK("https://twitter.com/jjeyaz")</f>
        <v>https://twitter.com/jjeyaz</v>
      </c>
      <c r="AZ320" s="81" t="s">
        <v>66</v>
      </c>
      <c r="BA320" s="2"/>
      <c r="BB320" s="3"/>
      <c r="BC320" s="3"/>
      <c r="BD320" s="3"/>
      <c r="BE320" s="3"/>
    </row>
    <row r="321" spans="1:57" x14ac:dyDescent="0.35">
      <c r="A321" s="66" t="s">
        <v>634</v>
      </c>
      <c r="B321" s="67"/>
      <c r="C321" s="67"/>
      <c r="D321" s="68"/>
      <c r="E321" s="94"/>
      <c r="F321" s="93" t="str">
        <f>HYPERLINK("https://pbs.twimg.com/profile_images/1429619790839123968/6_pQgY05_normal.jpg")</f>
        <v>https://pbs.twimg.com/profile_images/1429619790839123968/6_pQgY05_normal.jpg</v>
      </c>
      <c r="G321" s="95"/>
      <c r="H321" s="71"/>
      <c r="I321" s="72"/>
      <c r="J321" s="96"/>
      <c r="K321" s="71" t="s">
        <v>3867</v>
      </c>
      <c r="L321" s="97"/>
      <c r="M321" s="76"/>
      <c r="N321" s="76"/>
      <c r="O321" s="77"/>
      <c r="P321" s="78"/>
      <c r="Q321" s="78"/>
      <c r="R321" s="92"/>
      <c r="S321" s="92"/>
      <c r="T321" s="92"/>
      <c r="U321" s="92"/>
      <c r="V321" s="52"/>
      <c r="W321" s="52"/>
      <c r="X321" s="52"/>
      <c r="Y321" s="52"/>
      <c r="Z321" s="51"/>
      <c r="AA321" s="73"/>
      <c r="AB321" s="73"/>
      <c r="AC321" s="74"/>
      <c r="AD321" s="81" t="s">
        <v>2379</v>
      </c>
      <c r="AE321" s="86" t="s">
        <v>2110</v>
      </c>
      <c r="AF321" s="81">
        <v>215</v>
      </c>
      <c r="AG321" s="81">
        <v>440</v>
      </c>
      <c r="AH321" s="81">
        <v>662</v>
      </c>
      <c r="AI321" s="81">
        <v>950</v>
      </c>
      <c r="AJ321" s="81"/>
      <c r="AK321" s="81" t="s">
        <v>3214</v>
      </c>
      <c r="AL321" s="81" t="s">
        <v>3594</v>
      </c>
      <c r="AM321" s="81"/>
      <c r="AN321" s="81"/>
      <c r="AO321" s="83">
        <v>43576.177430555559</v>
      </c>
      <c r="AP321" s="84" t="str">
        <f>HYPERLINK("https://pbs.twimg.com/profile_banners/1119816908113453058/1629272905")</f>
        <v>https://pbs.twimg.com/profile_banners/1119816908113453058/1629272905</v>
      </c>
      <c r="AQ321" s="81" t="b">
        <v>1</v>
      </c>
      <c r="AR321" s="81" t="b">
        <v>0</v>
      </c>
      <c r="AS321" s="81" t="b">
        <v>0</v>
      </c>
      <c r="AT321" s="81"/>
      <c r="AU321" s="81">
        <v>1</v>
      </c>
      <c r="AV321" s="81"/>
      <c r="AW321" s="81" t="b">
        <v>0</v>
      </c>
      <c r="AX321" s="81" t="s">
        <v>3728</v>
      </c>
      <c r="AY321" s="84" t="str">
        <f>HYPERLINK("https://twitter.com/fiddinroyan")</f>
        <v>https://twitter.com/fiddinroyan</v>
      </c>
      <c r="AZ321" s="81" t="s">
        <v>65</v>
      </c>
      <c r="BA321" s="2"/>
      <c r="BB321" s="3"/>
      <c r="BC321" s="3"/>
      <c r="BD321" s="3"/>
      <c r="BE321" s="3"/>
    </row>
    <row r="322" spans="1:57" x14ac:dyDescent="0.35">
      <c r="A322" s="66" t="s">
        <v>4297</v>
      </c>
      <c r="B322" s="67"/>
      <c r="C322" s="67"/>
      <c r="D322" s="68"/>
      <c r="E322" s="94"/>
      <c r="F322" s="93" t="str">
        <f>HYPERLINK("https://pbs.twimg.com/profile_images/1618752141/dn_avatar_normal.jpg")</f>
        <v>https://pbs.twimg.com/profile_images/1618752141/dn_avatar_normal.jpg</v>
      </c>
      <c r="G322" s="95"/>
      <c r="H322" s="71"/>
      <c r="I322" s="72"/>
      <c r="J322" s="96"/>
      <c r="K322" s="71" t="s">
        <v>11574</v>
      </c>
      <c r="L322" s="97"/>
      <c r="M322" s="76"/>
      <c r="N322" s="76"/>
      <c r="O322" s="77"/>
      <c r="P322" s="78"/>
      <c r="Q322" s="78"/>
      <c r="R322" s="92"/>
      <c r="S322" s="92"/>
      <c r="T322" s="92"/>
      <c r="U322" s="92"/>
      <c r="V322" s="52"/>
      <c r="W322" s="52"/>
      <c r="X322" s="52"/>
      <c r="Y322" s="52"/>
      <c r="Z322" s="51"/>
      <c r="AA322" s="73"/>
      <c r="AB322" s="73"/>
      <c r="AC322" s="74"/>
      <c r="AD322" s="81" t="s">
        <v>8207</v>
      </c>
      <c r="AE322" s="86" t="s">
        <v>9258</v>
      </c>
      <c r="AF322" s="81">
        <v>43</v>
      </c>
      <c r="AG322" s="81">
        <v>211482</v>
      </c>
      <c r="AH322" s="81">
        <v>297130</v>
      </c>
      <c r="AI322" s="81">
        <v>91</v>
      </c>
      <c r="AJ322" s="81"/>
      <c r="AK322" s="81" t="s">
        <v>10218</v>
      </c>
      <c r="AL322" s="81" t="s">
        <v>11015</v>
      </c>
      <c r="AM322" s="84" t="str">
        <f>HYPERLINK("http://t.co/f0RVuqQzue")</f>
        <v>http://t.co/f0RVuqQzue</v>
      </c>
      <c r="AN322" s="81"/>
      <c r="AO322" s="83">
        <v>40837.660416666666</v>
      </c>
      <c r="AP322" s="81"/>
      <c r="AQ322" s="81" t="b">
        <v>0</v>
      </c>
      <c r="AR322" s="81" t="b">
        <v>0</v>
      </c>
      <c r="AS322" s="81" t="b">
        <v>1</v>
      </c>
      <c r="AT322" s="81"/>
      <c r="AU322" s="81">
        <v>1148</v>
      </c>
      <c r="AV322" s="84" t="str">
        <f>HYPERLINK("https://abs.twimg.com/images/themes/theme1/bg.png")</f>
        <v>https://abs.twimg.com/images/themes/theme1/bg.png</v>
      </c>
      <c r="AW322" s="81" t="b">
        <v>0</v>
      </c>
      <c r="AX322" s="81" t="s">
        <v>3728</v>
      </c>
      <c r="AY322" s="84" t="str">
        <f>HYPERLINK("https://twitter.com/dntwit")</f>
        <v>https://twitter.com/dntwit</v>
      </c>
      <c r="AZ322" s="81" t="s">
        <v>66</v>
      </c>
      <c r="BA322" s="2"/>
      <c r="BB322" s="3"/>
      <c r="BC322" s="3"/>
      <c r="BD322" s="3"/>
      <c r="BE322" s="3"/>
    </row>
    <row r="323" spans="1:57" x14ac:dyDescent="0.35">
      <c r="A323" s="66" t="s">
        <v>4298</v>
      </c>
      <c r="B323" s="67"/>
      <c r="C323" s="67"/>
      <c r="D323" s="68"/>
      <c r="E323" s="94"/>
      <c r="F323" s="93" t="str">
        <f>HYPERLINK("https://pbs.twimg.com/profile_images/1373986917126053893/6TLn7D5x_normal.jpg")</f>
        <v>https://pbs.twimg.com/profile_images/1373986917126053893/6TLn7D5x_normal.jpg</v>
      </c>
      <c r="G323" s="95"/>
      <c r="H323" s="71"/>
      <c r="I323" s="72"/>
      <c r="J323" s="96"/>
      <c r="K323" s="71" t="s">
        <v>11575</v>
      </c>
      <c r="L323" s="97"/>
      <c r="M323" s="76"/>
      <c r="N323" s="76"/>
      <c r="O323" s="77"/>
      <c r="P323" s="78"/>
      <c r="Q323" s="78"/>
      <c r="R323" s="92"/>
      <c r="S323" s="92"/>
      <c r="T323" s="92"/>
      <c r="U323" s="92"/>
      <c r="V323" s="52"/>
      <c r="W323" s="52"/>
      <c r="X323" s="52"/>
      <c r="Y323" s="52"/>
      <c r="Z323" s="51"/>
      <c r="AA323" s="73"/>
      <c r="AB323" s="73"/>
      <c r="AC323" s="74"/>
      <c r="AD323" s="81" t="s">
        <v>8208</v>
      </c>
      <c r="AE323" s="86" t="s">
        <v>9259</v>
      </c>
      <c r="AF323" s="81">
        <v>3490</v>
      </c>
      <c r="AG323" s="81">
        <v>3343</v>
      </c>
      <c r="AH323" s="81">
        <v>50755</v>
      </c>
      <c r="AI323" s="81">
        <v>83985</v>
      </c>
      <c r="AJ323" s="81"/>
      <c r="AK323" s="81" t="s">
        <v>10219</v>
      </c>
      <c r="AL323" s="81"/>
      <c r="AM323" s="81"/>
      <c r="AN323" s="81"/>
      <c r="AO323" s="83">
        <v>44102.597754629627</v>
      </c>
      <c r="AP323" s="84" t="str">
        <f>HYPERLINK("https://pbs.twimg.com/profile_banners/1310585080973148165/1604893642")</f>
        <v>https://pbs.twimg.com/profile_banners/1310585080973148165/1604893642</v>
      </c>
      <c r="AQ323" s="81" t="b">
        <v>1</v>
      </c>
      <c r="AR323" s="81" t="b">
        <v>0</v>
      </c>
      <c r="AS323" s="81" t="b">
        <v>0</v>
      </c>
      <c r="AT323" s="81"/>
      <c r="AU323" s="81">
        <v>0</v>
      </c>
      <c r="AV323" s="81"/>
      <c r="AW323" s="81" t="b">
        <v>0</v>
      </c>
      <c r="AX323" s="81" t="s">
        <v>3728</v>
      </c>
      <c r="AY323" s="84" t="str">
        <f>HYPERLINK("https://twitter.com/sonsih56gmailc1")</f>
        <v>https://twitter.com/sonsih56gmailc1</v>
      </c>
      <c r="AZ323" s="81" t="s">
        <v>66</v>
      </c>
      <c r="BA323" s="2"/>
      <c r="BB323" s="3"/>
      <c r="BC323" s="3"/>
      <c r="BD323" s="3"/>
      <c r="BE323" s="3"/>
    </row>
    <row r="324" spans="1:57" x14ac:dyDescent="0.35">
      <c r="A324" s="66" t="s">
        <v>4299</v>
      </c>
      <c r="B324" s="67"/>
      <c r="C324" s="67"/>
      <c r="D324" s="68"/>
      <c r="E324" s="94"/>
      <c r="F324" s="93" t="str">
        <f>HYPERLINK("https://pbs.twimg.com/profile_images/1114780374259904513/s3AF9Sou_normal.jpg")</f>
        <v>https://pbs.twimg.com/profile_images/1114780374259904513/s3AF9Sou_normal.jpg</v>
      </c>
      <c r="G324" s="95"/>
      <c r="H324" s="71"/>
      <c r="I324" s="72"/>
      <c r="J324" s="96"/>
      <c r="K324" s="71" t="s">
        <v>11576</v>
      </c>
      <c r="L324" s="97"/>
      <c r="M324" s="76"/>
      <c r="N324" s="76"/>
      <c r="O324" s="77"/>
      <c r="P324" s="78"/>
      <c r="Q324" s="78"/>
      <c r="R324" s="92"/>
      <c r="S324" s="92"/>
      <c r="T324" s="92"/>
      <c r="U324" s="92"/>
      <c r="V324" s="52"/>
      <c r="W324" s="52"/>
      <c r="X324" s="52"/>
      <c r="Y324" s="52"/>
      <c r="Z324" s="51"/>
      <c r="AA324" s="73"/>
      <c r="AB324" s="73"/>
      <c r="AC324" s="74"/>
      <c r="AD324" s="81" t="s">
        <v>8209</v>
      </c>
      <c r="AE324" s="86" t="s">
        <v>9260</v>
      </c>
      <c r="AF324" s="81">
        <v>557</v>
      </c>
      <c r="AG324" s="81">
        <v>51</v>
      </c>
      <c r="AH324" s="81">
        <v>30134</v>
      </c>
      <c r="AI324" s="81">
        <v>632</v>
      </c>
      <c r="AJ324" s="81"/>
      <c r="AK324" s="81" t="s">
        <v>10220</v>
      </c>
      <c r="AL324" s="81" t="s">
        <v>11070</v>
      </c>
      <c r="AM324" s="81"/>
      <c r="AN324" s="81"/>
      <c r="AO324" s="83">
        <v>42643.307199074072</v>
      </c>
      <c r="AP324" s="84" t="str">
        <f>HYPERLINK("https://pbs.twimg.com/profile_banners/781756054367510528/1554619327")</f>
        <v>https://pbs.twimg.com/profile_banners/781756054367510528/1554619327</v>
      </c>
      <c r="AQ324" s="81" t="b">
        <v>0</v>
      </c>
      <c r="AR324" s="81" t="b">
        <v>0</v>
      </c>
      <c r="AS324" s="81" t="b">
        <v>1</v>
      </c>
      <c r="AT324" s="81"/>
      <c r="AU324" s="81">
        <v>8</v>
      </c>
      <c r="AV324" s="84" t="str">
        <f>HYPERLINK("https://abs.twimg.com/images/themes/theme1/bg.png")</f>
        <v>https://abs.twimg.com/images/themes/theme1/bg.png</v>
      </c>
      <c r="AW324" s="81" t="b">
        <v>0</v>
      </c>
      <c r="AX324" s="81" t="s">
        <v>3728</v>
      </c>
      <c r="AY324" s="84" t="str">
        <f>HYPERLINK("https://twitter.com/sidvicious6691")</f>
        <v>https://twitter.com/sidvicious6691</v>
      </c>
      <c r="AZ324" s="81" t="s">
        <v>66</v>
      </c>
      <c r="BA324" s="2"/>
      <c r="BB324" s="3"/>
      <c r="BC324" s="3"/>
      <c r="BD324" s="3"/>
      <c r="BE324" s="3"/>
    </row>
    <row r="325" spans="1:57" x14ac:dyDescent="0.35">
      <c r="A325" s="66" t="s">
        <v>4501</v>
      </c>
      <c r="B325" s="67"/>
      <c r="C325" s="67"/>
      <c r="D325" s="68"/>
      <c r="E325" s="94"/>
      <c r="F325" s="93" t="str">
        <f>HYPERLINK("https://pbs.twimg.com/profile_images/1346051709643186176/a4XPfLCj_normal.jpg")</f>
        <v>https://pbs.twimg.com/profile_images/1346051709643186176/a4XPfLCj_normal.jpg</v>
      </c>
      <c r="G325" s="95"/>
      <c r="H325" s="71"/>
      <c r="I325" s="72"/>
      <c r="J325" s="96"/>
      <c r="K325" s="71" t="s">
        <v>11577</v>
      </c>
      <c r="L325" s="97"/>
      <c r="M325" s="76"/>
      <c r="N325" s="76"/>
      <c r="O325" s="77"/>
      <c r="P325" s="78"/>
      <c r="Q325" s="78"/>
      <c r="R325" s="92"/>
      <c r="S325" s="92"/>
      <c r="T325" s="92"/>
      <c r="U325" s="92"/>
      <c r="V325" s="52"/>
      <c r="W325" s="52"/>
      <c r="X325" s="52"/>
      <c r="Y325" s="52"/>
      <c r="Z325" s="51"/>
      <c r="AA325" s="73"/>
      <c r="AB325" s="73"/>
      <c r="AC325" s="74"/>
      <c r="AD325" s="81" t="s">
        <v>8210</v>
      </c>
      <c r="AE325" s="86" t="s">
        <v>9261</v>
      </c>
      <c r="AF325" s="81">
        <v>58</v>
      </c>
      <c r="AG325" s="81">
        <v>794450</v>
      </c>
      <c r="AH325" s="81">
        <v>357399</v>
      </c>
      <c r="AI325" s="81">
        <v>108</v>
      </c>
      <c r="AJ325" s="81"/>
      <c r="AK325" s="81" t="s">
        <v>10221</v>
      </c>
      <c r="AL325" s="81" t="s">
        <v>10990</v>
      </c>
      <c r="AM325" s="84" t="str">
        <f>HYPERLINK("https://t.co/lIgExDNhhs")</f>
        <v>https://t.co/lIgExDNhhs</v>
      </c>
      <c r="AN325" s="81"/>
      <c r="AO325" s="83">
        <v>39756.765740740739</v>
      </c>
      <c r="AP325" s="84" t="str">
        <f>HYPERLINK("https://pbs.twimg.com/profile_banners/17163446/1396981747")</f>
        <v>https://pbs.twimg.com/profile_banners/17163446/1396981747</v>
      </c>
      <c r="AQ325" s="81" t="b">
        <v>0</v>
      </c>
      <c r="AR325" s="81" t="b">
        <v>0</v>
      </c>
      <c r="AS325" s="81" t="b">
        <v>0</v>
      </c>
      <c r="AT325" s="81"/>
      <c r="AU325" s="81">
        <v>1949</v>
      </c>
      <c r="AV325" s="84" t="str">
        <f>HYPERLINK("https://abs.twimg.com/images/themes/theme14/bg.gif")</f>
        <v>https://abs.twimg.com/images/themes/theme14/bg.gif</v>
      </c>
      <c r="AW325" s="81" t="b">
        <v>1</v>
      </c>
      <c r="AX325" s="81" t="s">
        <v>3728</v>
      </c>
      <c r="AY325" s="84" t="str">
        <f>HYPERLINK("https://twitter.com/sicnoticias")</f>
        <v>https://twitter.com/sicnoticias</v>
      </c>
      <c r="AZ325" s="81" t="s">
        <v>66</v>
      </c>
      <c r="BA325" s="2"/>
      <c r="BB325" s="3"/>
      <c r="BC325" s="3"/>
      <c r="BD325" s="3"/>
      <c r="BE325" s="3"/>
    </row>
    <row r="326" spans="1:57" x14ac:dyDescent="0.35">
      <c r="A326" s="66" t="s">
        <v>4300</v>
      </c>
      <c r="B326" s="67"/>
      <c r="C326" s="67"/>
      <c r="D326" s="68"/>
      <c r="E326" s="94"/>
      <c r="F326" s="93" t="str">
        <f>HYPERLINK("https://pbs.twimg.com/profile_images/1434553141681278980/yZlPH4Yr_normal.jpg")</f>
        <v>https://pbs.twimg.com/profile_images/1434553141681278980/yZlPH4Yr_normal.jpg</v>
      </c>
      <c r="G326" s="95"/>
      <c r="H326" s="71"/>
      <c r="I326" s="72"/>
      <c r="J326" s="96"/>
      <c r="K326" s="71" t="s">
        <v>11578</v>
      </c>
      <c r="L326" s="97"/>
      <c r="M326" s="76"/>
      <c r="N326" s="76"/>
      <c r="O326" s="77"/>
      <c r="P326" s="78"/>
      <c r="Q326" s="78"/>
      <c r="R326" s="92"/>
      <c r="S326" s="92"/>
      <c r="T326" s="92"/>
      <c r="U326" s="92"/>
      <c r="V326" s="52"/>
      <c r="W326" s="52"/>
      <c r="X326" s="52"/>
      <c r="Y326" s="52"/>
      <c r="Z326" s="51"/>
      <c r="AA326" s="73"/>
      <c r="AB326" s="73"/>
      <c r="AC326" s="74"/>
      <c r="AD326" s="81" t="s">
        <v>8211</v>
      </c>
      <c r="AE326" s="86" t="s">
        <v>9262</v>
      </c>
      <c r="AF326" s="81">
        <v>509</v>
      </c>
      <c r="AG326" s="81">
        <v>514</v>
      </c>
      <c r="AH326" s="81">
        <v>2628</v>
      </c>
      <c r="AI326" s="81">
        <v>2349</v>
      </c>
      <c r="AJ326" s="81"/>
      <c r="AK326" s="81" t="s">
        <v>10222</v>
      </c>
      <c r="AL326" s="81"/>
      <c r="AM326" s="81"/>
      <c r="AN326" s="81"/>
      <c r="AO326" s="83">
        <v>44420.248831018522</v>
      </c>
      <c r="AP326" s="81"/>
      <c r="AQ326" s="81" t="b">
        <v>1</v>
      </c>
      <c r="AR326" s="81" t="b">
        <v>0</v>
      </c>
      <c r="AS326" s="81" t="b">
        <v>0</v>
      </c>
      <c r="AT326" s="81"/>
      <c r="AU326" s="81">
        <v>0</v>
      </c>
      <c r="AV326" s="81"/>
      <c r="AW326" s="81" t="b">
        <v>0</v>
      </c>
      <c r="AX326" s="81" t="s">
        <v>3728</v>
      </c>
      <c r="AY326" s="84" t="str">
        <f>HYPERLINK("https://twitter.com/monyiikuu")</f>
        <v>https://twitter.com/monyiikuu</v>
      </c>
      <c r="AZ326" s="81" t="s">
        <v>66</v>
      </c>
      <c r="BA326" s="2"/>
      <c r="BB326" s="3"/>
      <c r="BC326" s="3"/>
      <c r="BD326" s="3"/>
      <c r="BE326" s="3"/>
    </row>
    <row r="327" spans="1:57" x14ac:dyDescent="0.35">
      <c r="A327" s="66" t="s">
        <v>4301</v>
      </c>
      <c r="B327" s="67"/>
      <c r="C327" s="67"/>
      <c r="D327" s="68"/>
      <c r="E327" s="94"/>
      <c r="F327" s="93" t="str">
        <f>HYPERLINK("https://pbs.twimg.com/profile_images/1443061074903793664/qQP0njBg_normal.jpg")</f>
        <v>https://pbs.twimg.com/profile_images/1443061074903793664/qQP0njBg_normal.jpg</v>
      </c>
      <c r="G327" s="95"/>
      <c r="H327" s="71"/>
      <c r="I327" s="72"/>
      <c r="J327" s="96"/>
      <c r="K327" s="71" t="s">
        <v>11579</v>
      </c>
      <c r="L327" s="97"/>
      <c r="M327" s="76"/>
      <c r="N327" s="76"/>
      <c r="O327" s="77"/>
      <c r="P327" s="78"/>
      <c r="Q327" s="78"/>
      <c r="R327" s="92"/>
      <c r="S327" s="92"/>
      <c r="T327" s="92"/>
      <c r="U327" s="92"/>
      <c r="V327" s="52"/>
      <c r="W327" s="52"/>
      <c r="X327" s="52"/>
      <c r="Y327" s="52"/>
      <c r="Z327" s="51"/>
      <c r="AA327" s="73"/>
      <c r="AB327" s="73"/>
      <c r="AC327" s="74"/>
      <c r="AD327" s="81" t="s">
        <v>8212</v>
      </c>
      <c r="AE327" s="86" t="s">
        <v>9263</v>
      </c>
      <c r="AF327" s="81">
        <v>5613</v>
      </c>
      <c r="AG327" s="81">
        <v>40689</v>
      </c>
      <c r="AH327" s="81">
        <v>157256</v>
      </c>
      <c r="AI327" s="81">
        <v>263638</v>
      </c>
      <c r="AJ327" s="81"/>
      <c r="AK327" s="81" t="s">
        <v>10223</v>
      </c>
      <c r="AL327" s="81" t="s">
        <v>2202</v>
      </c>
      <c r="AM327" s="81"/>
      <c r="AN327" s="81"/>
      <c r="AO327" s="83">
        <v>41792.653807870367</v>
      </c>
      <c r="AP327" s="84" t="str">
        <f>HYPERLINK("https://pbs.twimg.com/profile_banners/2541716540/1632887925")</f>
        <v>https://pbs.twimg.com/profile_banners/2541716540/1632887925</v>
      </c>
      <c r="AQ327" s="81" t="b">
        <v>0</v>
      </c>
      <c r="AR327" s="81" t="b">
        <v>0</v>
      </c>
      <c r="AS327" s="81" t="b">
        <v>0</v>
      </c>
      <c r="AT327" s="81"/>
      <c r="AU327" s="81">
        <v>17</v>
      </c>
      <c r="AV327" s="84" t="str">
        <f>HYPERLINK("https://abs.twimg.com/images/themes/theme14/bg.gif")</f>
        <v>https://abs.twimg.com/images/themes/theme14/bg.gif</v>
      </c>
      <c r="AW327" s="81" t="b">
        <v>0</v>
      </c>
      <c r="AX327" s="81" t="s">
        <v>3728</v>
      </c>
      <c r="AY327" s="84" t="str">
        <f>HYPERLINK("https://twitter.com/olisandita")</f>
        <v>https://twitter.com/olisandita</v>
      </c>
      <c r="AZ327" s="81" t="s">
        <v>66</v>
      </c>
      <c r="BA327" s="2"/>
      <c r="BB327" s="3"/>
      <c r="BC327" s="3"/>
      <c r="BD327" s="3"/>
      <c r="BE327" s="3"/>
    </row>
    <row r="328" spans="1:57" x14ac:dyDescent="0.35">
      <c r="A328" s="66" t="s">
        <v>328</v>
      </c>
      <c r="B328" s="67"/>
      <c r="C328" s="67"/>
      <c r="D328" s="68"/>
      <c r="E328" s="94"/>
      <c r="F328" s="93" t="str">
        <f>HYPERLINK("https://pbs.twimg.com/profile_images/1438641377714196483/Mol7n_bp_normal.jpg")</f>
        <v>https://pbs.twimg.com/profile_images/1438641377714196483/Mol7n_bp_normal.jpg</v>
      </c>
      <c r="G328" s="95"/>
      <c r="H328" s="71"/>
      <c r="I328" s="72"/>
      <c r="J328" s="96"/>
      <c r="K328" s="71" t="s">
        <v>3868</v>
      </c>
      <c r="L328" s="97"/>
      <c r="M328" s="76"/>
      <c r="N328" s="76"/>
      <c r="O328" s="77"/>
      <c r="P328" s="78"/>
      <c r="Q328" s="78"/>
      <c r="R328" s="92"/>
      <c r="S328" s="92"/>
      <c r="T328" s="92"/>
      <c r="U328" s="92"/>
      <c r="V328" s="52"/>
      <c r="W328" s="52"/>
      <c r="X328" s="52"/>
      <c r="Y328" s="52"/>
      <c r="Z328" s="51"/>
      <c r="AA328" s="73"/>
      <c r="AB328" s="73"/>
      <c r="AC328" s="74"/>
      <c r="AD328" s="81" t="s">
        <v>2380</v>
      </c>
      <c r="AE328" s="86" t="s">
        <v>2807</v>
      </c>
      <c r="AF328" s="81">
        <v>612</v>
      </c>
      <c r="AG328" s="81">
        <v>1980</v>
      </c>
      <c r="AH328" s="81">
        <v>93770</v>
      </c>
      <c r="AI328" s="81">
        <v>10323</v>
      </c>
      <c r="AJ328" s="81"/>
      <c r="AK328" s="81" t="s">
        <v>3215</v>
      </c>
      <c r="AL328" s="81" t="s">
        <v>3595</v>
      </c>
      <c r="AM328" s="81"/>
      <c r="AN328" s="81"/>
      <c r="AO328" s="83">
        <v>40251.262361111112</v>
      </c>
      <c r="AP328" s="84" t="str">
        <f>HYPERLINK("https://pbs.twimg.com/profile_banners/122878616/1604508227")</f>
        <v>https://pbs.twimg.com/profile_banners/122878616/1604508227</v>
      </c>
      <c r="AQ328" s="81" t="b">
        <v>0</v>
      </c>
      <c r="AR328" s="81" t="b">
        <v>0</v>
      </c>
      <c r="AS328" s="81" t="b">
        <v>1</v>
      </c>
      <c r="AT328" s="81"/>
      <c r="AU328" s="81">
        <v>4</v>
      </c>
      <c r="AV328" s="84" t="str">
        <f>HYPERLINK("https://abs.twimg.com/images/themes/theme1/bg.png")</f>
        <v>https://abs.twimg.com/images/themes/theme1/bg.png</v>
      </c>
      <c r="AW328" s="81" t="b">
        <v>0</v>
      </c>
      <c r="AX328" s="81" t="s">
        <v>3728</v>
      </c>
      <c r="AY328" s="84" t="str">
        <f>HYPERLINK("https://twitter.com/nblnndf")</f>
        <v>https://twitter.com/nblnndf</v>
      </c>
      <c r="AZ328" s="81" t="s">
        <v>66</v>
      </c>
      <c r="BA328" s="2"/>
      <c r="BB328" s="3"/>
      <c r="BC328" s="3"/>
      <c r="BD328" s="3"/>
      <c r="BE328" s="3"/>
    </row>
    <row r="329" spans="1:57" x14ac:dyDescent="0.35">
      <c r="A329" s="66" t="s">
        <v>4302</v>
      </c>
      <c r="B329" s="67"/>
      <c r="C329" s="67"/>
      <c r="D329" s="68"/>
      <c r="E329" s="94"/>
      <c r="F329" s="93" t="str">
        <f>HYPERLINK("https://pbs.twimg.com/profile_images/1359847378044485635/xAibFHus_normal.jpg")</f>
        <v>https://pbs.twimg.com/profile_images/1359847378044485635/xAibFHus_normal.jpg</v>
      </c>
      <c r="G329" s="95"/>
      <c r="H329" s="71"/>
      <c r="I329" s="72"/>
      <c r="J329" s="96"/>
      <c r="K329" s="71" t="s">
        <v>11580</v>
      </c>
      <c r="L329" s="97"/>
      <c r="M329" s="76"/>
      <c r="N329" s="76"/>
      <c r="O329" s="77"/>
      <c r="P329" s="78"/>
      <c r="Q329" s="78"/>
      <c r="R329" s="92"/>
      <c r="S329" s="92"/>
      <c r="T329" s="92"/>
      <c r="U329" s="92"/>
      <c r="V329" s="52"/>
      <c r="W329" s="52"/>
      <c r="X329" s="52"/>
      <c r="Y329" s="52"/>
      <c r="Z329" s="51"/>
      <c r="AA329" s="73"/>
      <c r="AB329" s="73"/>
      <c r="AC329" s="74"/>
      <c r="AD329" s="81" t="s">
        <v>8213</v>
      </c>
      <c r="AE329" s="86" t="s">
        <v>9264</v>
      </c>
      <c r="AF329" s="81">
        <v>100</v>
      </c>
      <c r="AG329" s="81">
        <v>218</v>
      </c>
      <c r="AH329" s="81">
        <v>28172</v>
      </c>
      <c r="AI329" s="81">
        <v>14</v>
      </c>
      <c r="AJ329" s="81"/>
      <c r="AK329" s="81"/>
      <c r="AL329" s="81"/>
      <c r="AM329" s="84" t="str">
        <f>HYPERLINK("https://t.co/Imj61fEtDb")</f>
        <v>https://t.co/Imj61fEtDb</v>
      </c>
      <c r="AN329" s="81"/>
      <c r="AO329" s="83">
        <v>41978.434652777774</v>
      </c>
      <c r="AP329" s="84" t="str">
        <f>HYPERLINK("https://pbs.twimg.com/profile_banners/2906201033/1613047842")</f>
        <v>https://pbs.twimg.com/profile_banners/2906201033/1613047842</v>
      </c>
      <c r="AQ329" s="81" t="b">
        <v>0</v>
      </c>
      <c r="AR329" s="81" t="b">
        <v>0</v>
      </c>
      <c r="AS329" s="81" t="b">
        <v>0</v>
      </c>
      <c r="AT329" s="81"/>
      <c r="AU329" s="81">
        <v>4</v>
      </c>
      <c r="AV329" s="84" t="str">
        <f>HYPERLINK("https://abs.twimg.com/images/themes/theme1/bg.png")</f>
        <v>https://abs.twimg.com/images/themes/theme1/bg.png</v>
      </c>
      <c r="AW329" s="81" t="b">
        <v>0</v>
      </c>
      <c r="AX329" s="81" t="s">
        <v>3728</v>
      </c>
      <c r="AY329" s="84" t="str">
        <f>HYPERLINK("https://twitter.com/semanariov")</f>
        <v>https://twitter.com/semanariov</v>
      </c>
      <c r="AZ329" s="81" t="s">
        <v>66</v>
      </c>
      <c r="BA329" s="2"/>
      <c r="BB329" s="3"/>
      <c r="BC329" s="3"/>
      <c r="BD329" s="3"/>
      <c r="BE329" s="3"/>
    </row>
    <row r="330" spans="1:57" x14ac:dyDescent="0.35">
      <c r="A330" s="66" t="s">
        <v>4303</v>
      </c>
      <c r="B330" s="67"/>
      <c r="C330" s="67"/>
      <c r="D330" s="68"/>
      <c r="E330" s="94"/>
      <c r="F330" s="93" t="str">
        <f>HYPERLINK("https://pbs.twimg.com/profile_images/1410542619902550016/2tNyH8DW_normal.jpg")</f>
        <v>https://pbs.twimg.com/profile_images/1410542619902550016/2tNyH8DW_normal.jpg</v>
      </c>
      <c r="G330" s="95"/>
      <c r="H330" s="71"/>
      <c r="I330" s="72"/>
      <c r="J330" s="96"/>
      <c r="K330" s="71" t="s">
        <v>11581</v>
      </c>
      <c r="L330" s="97"/>
      <c r="M330" s="76"/>
      <c r="N330" s="76"/>
      <c r="O330" s="77"/>
      <c r="P330" s="78"/>
      <c r="Q330" s="78"/>
      <c r="R330" s="92"/>
      <c r="S330" s="92"/>
      <c r="T330" s="92"/>
      <c r="U330" s="92"/>
      <c r="V330" s="52"/>
      <c r="W330" s="52"/>
      <c r="X330" s="52"/>
      <c r="Y330" s="52"/>
      <c r="Z330" s="51"/>
      <c r="AA330" s="73"/>
      <c r="AB330" s="73"/>
      <c r="AC330" s="74"/>
      <c r="AD330" s="81" t="s">
        <v>8214</v>
      </c>
      <c r="AE330" s="86" t="s">
        <v>9265</v>
      </c>
      <c r="AF330" s="81">
        <v>125</v>
      </c>
      <c r="AG330" s="81">
        <v>788053</v>
      </c>
      <c r="AH330" s="81">
        <v>502499</v>
      </c>
      <c r="AI330" s="81">
        <v>867</v>
      </c>
      <c r="AJ330" s="81"/>
      <c r="AK330" s="81" t="s">
        <v>10224</v>
      </c>
      <c r="AL330" s="81" t="s">
        <v>10990</v>
      </c>
      <c r="AM330" s="84" t="str">
        <f>HYPERLINK("https://t.co/Tx05Mlbmad")</f>
        <v>https://t.co/Tx05Mlbmad</v>
      </c>
      <c r="AN330" s="81"/>
      <c r="AO330" s="83">
        <v>39168.891493055555</v>
      </c>
      <c r="AP330" s="84" t="str">
        <f>HYPERLINK("https://pbs.twimg.com/profile_banners/2561091/1625134604")</f>
        <v>https://pbs.twimg.com/profile_banners/2561091/1625134604</v>
      </c>
      <c r="AQ330" s="81" t="b">
        <v>0</v>
      </c>
      <c r="AR330" s="81" t="b">
        <v>0</v>
      </c>
      <c r="AS330" s="81" t="b">
        <v>1</v>
      </c>
      <c r="AT330" s="81"/>
      <c r="AU330" s="81">
        <v>3073</v>
      </c>
      <c r="AV330" s="84" t="str">
        <f>HYPERLINK("https://abs.twimg.com/images/themes/theme1/bg.png")</f>
        <v>https://abs.twimg.com/images/themes/theme1/bg.png</v>
      </c>
      <c r="AW330" s="81" t="b">
        <v>1</v>
      </c>
      <c r="AX330" s="81" t="s">
        <v>3728</v>
      </c>
      <c r="AY330" s="84" t="str">
        <f>HYPERLINK("https://twitter.com/publico")</f>
        <v>https://twitter.com/publico</v>
      </c>
      <c r="AZ330" s="81" t="s">
        <v>66</v>
      </c>
      <c r="BA330" s="2"/>
      <c r="BB330" s="3"/>
      <c r="BC330" s="3"/>
      <c r="BD330" s="3"/>
      <c r="BE330" s="3"/>
    </row>
    <row r="331" spans="1:57" x14ac:dyDescent="0.35">
      <c r="A331" s="66" t="s">
        <v>4304</v>
      </c>
      <c r="B331" s="67"/>
      <c r="C331" s="67"/>
      <c r="D331" s="68"/>
      <c r="E331" s="94"/>
      <c r="F331" s="93" t="str">
        <f>HYPERLINK("https://pbs.twimg.com/profile_images/882282293632565248/1727Lb5W_normal.jpg")</f>
        <v>https://pbs.twimg.com/profile_images/882282293632565248/1727Lb5W_normal.jpg</v>
      </c>
      <c r="G331" s="95"/>
      <c r="H331" s="71"/>
      <c r="I331" s="72"/>
      <c r="J331" s="96"/>
      <c r="K331" s="71" t="s">
        <v>11582</v>
      </c>
      <c r="L331" s="97"/>
      <c r="M331" s="76"/>
      <c r="N331" s="76"/>
      <c r="O331" s="77"/>
      <c r="P331" s="78"/>
      <c r="Q331" s="78"/>
      <c r="R331" s="92"/>
      <c r="S331" s="92"/>
      <c r="T331" s="92"/>
      <c r="U331" s="92"/>
      <c r="V331" s="52"/>
      <c r="W331" s="52"/>
      <c r="X331" s="52"/>
      <c r="Y331" s="52"/>
      <c r="Z331" s="51"/>
      <c r="AA331" s="73"/>
      <c r="AB331" s="73"/>
      <c r="AC331" s="74"/>
      <c r="AD331" s="81" t="s">
        <v>8215</v>
      </c>
      <c r="AE331" s="86" t="s">
        <v>9266</v>
      </c>
      <c r="AF331" s="81">
        <v>17</v>
      </c>
      <c r="AG331" s="81">
        <v>4525</v>
      </c>
      <c r="AH331" s="81">
        <v>48537</v>
      </c>
      <c r="AI331" s="81">
        <v>0</v>
      </c>
      <c r="AJ331" s="81"/>
      <c r="AK331" s="81"/>
      <c r="AL331" s="81" t="s">
        <v>10990</v>
      </c>
      <c r="AM331" s="84" t="str">
        <f>HYPERLINK("http://t.co/V2NXLVqADT")</f>
        <v>http://t.co/V2NXLVqADT</v>
      </c>
      <c r="AN331" s="81"/>
      <c r="AO331" s="83">
        <v>40221.713217592594</v>
      </c>
      <c r="AP331" s="84" t="str">
        <f>HYPERLINK("https://pbs.twimg.com/profile_banners/113680261/1542909964")</f>
        <v>https://pbs.twimg.com/profile_banners/113680261/1542909964</v>
      </c>
      <c r="AQ331" s="81" t="b">
        <v>0</v>
      </c>
      <c r="AR331" s="81" t="b">
        <v>0</v>
      </c>
      <c r="AS331" s="81" t="b">
        <v>0</v>
      </c>
      <c r="AT331" s="81"/>
      <c r="AU331" s="81">
        <v>67</v>
      </c>
      <c r="AV331" s="84" t="str">
        <f>HYPERLINK("https://abs.twimg.com/images/themes/theme1/bg.png")</f>
        <v>https://abs.twimg.com/images/themes/theme1/bg.png</v>
      </c>
      <c r="AW331" s="81" t="b">
        <v>0</v>
      </c>
      <c r="AX331" s="81" t="s">
        <v>3728</v>
      </c>
      <c r="AY331" s="84" t="str">
        <f>HYPERLINK("https://twitter.com/p_mundo")</f>
        <v>https://twitter.com/p_mundo</v>
      </c>
      <c r="AZ331" s="81" t="s">
        <v>66</v>
      </c>
      <c r="BA331" s="2"/>
      <c r="BB331" s="3"/>
      <c r="BC331" s="3"/>
      <c r="BD331" s="3"/>
      <c r="BE331" s="3"/>
    </row>
    <row r="332" spans="1:57" x14ac:dyDescent="0.35">
      <c r="A332" s="66" t="s">
        <v>4305</v>
      </c>
      <c r="B332" s="67"/>
      <c r="C332" s="67"/>
      <c r="D332" s="68"/>
      <c r="E332" s="94"/>
      <c r="F332" s="93" t="str">
        <f>HYPERLINK("https://pbs.twimg.com/profile_images/1427368216075059208/1GwLH5mY_normal.jpg")</f>
        <v>https://pbs.twimg.com/profile_images/1427368216075059208/1GwLH5mY_normal.jpg</v>
      </c>
      <c r="G332" s="95"/>
      <c r="H332" s="71"/>
      <c r="I332" s="72"/>
      <c r="J332" s="96"/>
      <c r="K332" s="71" t="s">
        <v>11583</v>
      </c>
      <c r="L332" s="97"/>
      <c r="M332" s="76"/>
      <c r="N332" s="76"/>
      <c r="O332" s="77"/>
      <c r="P332" s="78"/>
      <c r="Q332" s="78"/>
      <c r="R332" s="92"/>
      <c r="S332" s="92"/>
      <c r="T332" s="92"/>
      <c r="U332" s="92"/>
      <c r="V332" s="52"/>
      <c r="W332" s="52"/>
      <c r="X332" s="52"/>
      <c r="Y332" s="52"/>
      <c r="Z332" s="51"/>
      <c r="AA332" s="73"/>
      <c r="AB332" s="73"/>
      <c r="AC332" s="74"/>
      <c r="AD332" s="81" t="s">
        <v>8216</v>
      </c>
      <c r="AE332" s="86" t="s">
        <v>9267</v>
      </c>
      <c r="AF332" s="81">
        <v>527</v>
      </c>
      <c r="AG332" s="81">
        <v>144</v>
      </c>
      <c r="AH332" s="81">
        <v>5073</v>
      </c>
      <c r="AI332" s="81">
        <v>3248</v>
      </c>
      <c r="AJ332" s="81"/>
      <c r="AK332" s="81" t="s">
        <v>10225</v>
      </c>
      <c r="AL332" s="81" t="s">
        <v>11071</v>
      </c>
      <c r="AM332" s="81"/>
      <c r="AN332" s="81"/>
      <c r="AO332" s="83">
        <v>43495.883831018517</v>
      </c>
      <c r="AP332" s="84" t="str">
        <f>HYPERLINK("https://pbs.twimg.com/profile_banners/1090719479192006656/1631933442")</f>
        <v>https://pbs.twimg.com/profile_banners/1090719479192006656/1631933442</v>
      </c>
      <c r="AQ332" s="81" t="b">
        <v>1</v>
      </c>
      <c r="AR332" s="81" t="b">
        <v>0</v>
      </c>
      <c r="AS332" s="81" t="b">
        <v>0</v>
      </c>
      <c r="AT332" s="81"/>
      <c r="AU332" s="81">
        <v>0</v>
      </c>
      <c r="AV332" s="81"/>
      <c r="AW332" s="81" t="b">
        <v>0</v>
      </c>
      <c r="AX332" s="81" t="s">
        <v>3728</v>
      </c>
      <c r="AY332" s="84" t="str">
        <f>HYPERLINK("https://twitter.com/dipper2130c")</f>
        <v>https://twitter.com/dipper2130c</v>
      </c>
      <c r="AZ332" s="81" t="s">
        <v>66</v>
      </c>
      <c r="BA332" s="2"/>
      <c r="BB332" s="3"/>
      <c r="BC332" s="3"/>
      <c r="BD332" s="3"/>
      <c r="BE332" s="3"/>
    </row>
    <row r="333" spans="1:57" x14ac:dyDescent="0.35">
      <c r="A333" s="66" t="s">
        <v>5022</v>
      </c>
      <c r="B333" s="67"/>
      <c r="C333" s="67"/>
      <c r="D333" s="68"/>
      <c r="E333" s="94"/>
      <c r="F333" s="93" t="str">
        <f>HYPERLINK("https://pbs.twimg.com/profile_images/1231153845918740485/bkNIICFn_normal.jpg")</f>
        <v>https://pbs.twimg.com/profile_images/1231153845918740485/bkNIICFn_normal.jpg</v>
      </c>
      <c r="G333" s="95"/>
      <c r="H333" s="71"/>
      <c r="I333" s="72"/>
      <c r="J333" s="96"/>
      <c r="K333" s="71" t="s">
        <v>11584</v>
      </c>
      <c r="L333" s="97"/>
      <c r="M333" s="76"/>
      <c r="N333" s="76"/>
      <c r="O333" s="77"/>
      <c r="P333" s="78"/>
      <c r="Q333" s="78"/>
      <c r="R333" s="92"/>
      <c r="S333" s="92"/>
      <c r="T333" s="92"/>
      <c r="U333" s="92"/>
      <c r="V333" s="52"/>
      <c r="W333" s="52"/>
      <c r="X333" s="52"/>
      <c r="Y333" s="52"/>
      <c r="Z333" s="51"/>
      <c r="AA333" s="73"/>
      <c r="AB333" s="73"/>
      <c r="AC333" s="74"/>
      <c r="AD333" s="81" t="s">
        <v>8217</v>
      </c>
      <c r="AE333" s="86" t="s">
        <v>9268</v>
      </c>
      <c r="AF333" s="81">
        <v>17</v>
      </c>
      <c r="AG333" s="81">
        <v>690273</v>
      </c>
      <c r="AH333" s="81">
        <v>15487</v>
      </c>
      <c r="AI333" s="81">
        <v>7236</v>
      </c>
      <c r="AJ333" s="81"/>
      <c r="AK333" s="81" t="s">
        <v>10226</v>
      </c>
      <c r="AL333" s="81" t="s">
        <v>11072</v>
      </c>
      <c r="AM333" s="84" t="str">
        <f>HYPERLINK("https://t.co/4SNRyzrLD1")</f>
        <v>https://t.co/4SNRyzrLD1</v>
      </c>
      <c r="AN333" s="81"/>
      <c r="AO333" s="83">
        <v>40195.478692129633</v>
      </c>
      <c r="AP333" s="84" t="str">
        <f>HYPERLINK("https://pbs.twimg.com/profile_banners/105761223/1582811338")</f>
        <v>https://pbs.twimg.com/profile_banners/105761223/1582811338</v>
      </c>
      <c r="AQ333" s="81" t="b">
        <v>1</v>
      </c>
      <c r="AR333" s="81" t="b">
        <v>0</v>
      </c>
      <c r="AS333" s="81" t="b">
        <v>0</v>
      </c>
      <c r="AT333" s="81"/>
      <c r="AU333" s="81">
        <v>1274</v>
      </c>
      <c r="AV333" s="84" t="str">
        <f>HYPERLINK("https://abs.twimg.com/images/themes/theme1/bg.png")</f>
        <v>https://abs.twimg.com/images/themes/theme1/bg.png</v>
      </c>
      <c r="AW333" s="81" t="b">
        <v>1</v>
      </c>
      <c r="AX333" s="81" t="s">
        <v>3728</v>
      </c>
      <c r="AY333" s="84" t="str">
        <f>HYPERLINK("https://twitter.com/aguinaldaosilva")</f>
        <v>https://twitter.com/aguinaldaosilva</v>
      </c>
      <c r="AZ333" s="81" t="s">
        <v>65</v>
      </c>
      <c r="BA333" s="2"/>
      <c r="BB333" s="3"/>
      <c r="BC333" s="3"/>
      <c r="BD333" s="3"/>
      <c r="BE333" s="3"/>
    </row>
    <row r="334" spans="1:57" x14ac:dyDescent="0.35">
      <c r="A334" s="66" t="s">
        <v>5023</v>
      </c>
      <c r="B334" s="67"/>
      <c r="C334" s="67"/>
      <c r="D334" s="68"/>
      <c r="E334" s="94"/>
      <c r="F334" s="93" t="str">
        <f>HYPERLINK("https://pbs.twimg.com/profile_images/1433484419348766724/x_dlm1II_normal.jpg")</f>
        <v>https://pbs.twimg.com/profile_images/1433484419348766724/x_dlm1II_normal.jpg</v>
      </c>
      <c r="G334" s="95"/>
      <c r="H334" s="71"/>
      <c r="I334" s="72"/>
      <c r="J334" s="96"/>
      <c r="K334" s="71" t="s">
        <v>11585</v>
      </c>
      <c r="L334" s="97"/>
      <c r="M334" s="76"/>
      <c r="N334" s="76"/>
      <c r="O334" s="77"/>
      <c r="P334" s="78"/>
      <c r="Q334" s="78"/>
      <c r="R334" s="92"/>
      <c r="S334" s="92"/>
      <c r="T334" s="92"/>
      <c r="U334" s="92"/>
      <c r="V334" s="52"/>
      <c r="W334" s="52"/>
      <c r="X334" s="52"/>
      <c r="Y334" s="52"/>
      <c r="Z334" s="51"/>
      <c r="AA334" s="73"/>
      <c r="AB334" s="73"/>
      <c r="AC334" s="74"/>
      <c r="AD334" s="81" t="s">
        <v>8218</v>
      </c>
      <c r="AE334" s="86" t="s">
        <v>7820</v>
      </c>
      <c r="AF334" s="81">
        <v>375</v>
      </c>
      <c r="AG334" s="81">
        <v>195</v>
      </c>
      <c r="AH334" s="81">
        <v>2511</v>
      </c>
      <c r="AI334" s="81">
        <v>588</v>
      </c>
      <c r="AJ334" s="81"/>
      <c r="AK334" s="81" t="s">
        <v>10227</v>
      </c>
      <c r="AL334" s="81" t="s">
        <v>11073</v>
      </c>
      <c r="AM334" s="81"/>
      <c r="AN334" s="81"/>
      <c r="AO334" s="83">
        <v>40495.053541666668</v>
      </c>
      <c r="AP334" s="84" t="str">
        <f>HYPERLINK("https://pbs.twimg.com/profile_banners/215113524/1630604202")</f>
        <v>https://pbs.twimg.com/profile_banners/215113524/1630604202</v>
      </c>
      <c r="AQ334" s="81" t="b">
        <v>0</v>
      </c>
      <c r="AR334" s="81" t="b">
        <v>0</v>
      </c>
      <c r="AS334" s="81" t="b">
        <v>1</v>
      </c>
      <c r="AT334" s="81"/>
      <c r="AU334" s="81">
        <v>2</v>
      </c>
      <c r="AV334" s="84" t="str">
        <f>HYPERLINK("https://abs.twimg.com/images/themes/theme14/bg.gif")</f>
        <v>https://abs.twimg.com/images/themes/theme14/bg.gif</v>
      </c>
      <c r="AW334" s="81" t="b">
        <v>0</v>
      </c>
      <c r="AX334" s="81" t="s">
        <v>3728</v>
      </c>
      <c r="AY334" s="84" t="str">
        <f>HYPERLINK("https://twitter.com/alex_altini")</f>
        <v>https://twitter.com/alex_altini</v>
      </c>
      <c r="AZ334" s="81" t="s">
        <v>65</v>
      </c>
      <c r="BA334" s="2"/>
      <c r="BB334" s="3"/>
      <c r="BC334" s="3"/>
      <c r="BD334" s="3"/>
      <c r="BE334" s="3"/>
    </row>
    <row r="335" spans="1:57" x14ac:dyDescent="0.35">
      <c r="A335" s="66" t="s">
        <v>4306</v>
      </c>
      <c r="B335" s="67"/>
      <c r="C335" s="67"/>
      <c r="D335" s="68"/>
      <c r="E335" s="94"/>
      <c r="F335" s="93" t="str">
        <f>HYPERLINK("https://pbs.twimg.com/profile_images/1369971896196939776/Jmgs7ns4_normal.jpg")</f>
        <v>https://pbs.twimg.com/profile_images/1369971896196939776/Jmgs7ns4_normal.jpg</v>
      </c>
      <c r="G335" s="95"/>
      <c r="H335" s="71"/>
      <c r="I335" s="72"/>
      <c r="J335" s="96"/>
      <c r="K335" s="71" t="s">
        <v>11586</v>
      </c>
      <c r="L335" s="97"/>
      <c r="M335" s="76"/>
      <c r="N335" s="76"/>
      <c r="O335" s="77"/>
      <c r="P335" s="78"/>
      <c r="Q335" s="78"/>
      <c r="R335" s="92"/>
      <c r="S335" s="92"/>
      <c r="T335" s="92"/>
      <c r="U335" s="92"/>
      <c r="V335" s="52"/>
      <c r="W335" s="52"/>
      <c r="X335" s="52"/>
      <c r="Y335" s="52"/>
      <c r="Z335" s="51"/>
      <c r="AA335" s="73"/>
      <c r="AB335" s="73"/>
      <c r="AC335" s="74"/>
      <c r="AD335" s="81" t="s">
        <v>8219</v>
      </c>
      <c r="AE335" s="86" t="s">
        <v>9269</v>
      </c>
      <c r="AF335" s="81">
        <v>65</v>
      </c>
      <c r="AG335" s="81">
        <v>51</v>
      </c>
      <c r="AH335" s="81">
        <v>2858</v>
      </c>
      <c r="AI335" s="81">
        <v>3862</v>
      </c>
      <c r="AJ335" s="81"/>
      <c r="AK335" s="81" t="s">
        <v>10228</v>
      </c>
      <c r="AL335" s="81"/>
      <c r="AM335" s="81"/>
      <c r="AN335" s="81"/>
      <c r="AO335" s="83">
        <v>43125.090763888889</v>
      </c>
      <c r="AP335" s="84" t="str">
        <f>HYPERLINK("https://pbs.twimg.com/profile_banners/956348573037355008/1571862907")</f>
        <v>https://pbs.twimg.com/profile_banners/956348573037355008/1571862907</v>
      </c>
      <c r="AQ335" s="81" t="b">
        <v>1</v>
      </c>
      <c r="AR335" s="81" t="b">
        <v>0</v>
      </c>
      <c r="AS335" s="81" t="b">
        <v>0</v>
      </c>
      <c r="AT335" s="81"/>
      <c r="AU335" s="81">
        <v>0</v>
      </c>
      <c r="AV335" s="81"/>
      <c r="AW335" s="81" t="b">
        <v>0</v>
      </c>
      <c r="AX335" s="81" t="s">
        <v>3728</v>
      </c>
      <c r="AY335" s="84" t="str">
        <f>HYPERLINK("https://twitter.com/sav4ge_bull")</f>
        <v>https://twitter.com/sav4ge_bull</v>
      </c>
      <c r="AZ335" s="81" t="s">
        <v>66</v>
      </c>
      <c r="BA335" s="2"/>
      <c r="BB335" s="3"/>
      <c r="BC335" s="3"/>
      <c r="BD335" s="3"/>
      <c r="BE335" s="3"/>
    </row>
    <row r="336" spans="1:57" x14ac:dyDescent="0.35">
      <c r="A336" s="66" t="s">
        <v>12669</v>
      </c>
      <c r="B336" s="67"/>
      <c r="C336" s="67"/>
      <c r="D336" s="68"/>
      <c r="E336" s="94"/>
      <c r="F336" s="93" t="str">
        <f>HYPERLINK("https://pbs.twimg.com/profile_images/1441821896115372032/tF7oZ67x_normal.jpg")</f>
        <v>https://pbs.twimg.com/profile_images/1441821896115372032/tF7oZ67x_normal.jpg</v>
      </c>
      <c r="G336" s="95"/>
      <c r="H336" s="71"/>
      <c r="I336" s="72"/>
      <c r="J336" s="96"/>
      <c r="K336" s="71" t="s">
        <v>14269</v>
      </c>
      <c r="L336" s="97"/>
      <c r="M336" s="76"/>
      <c r="N336" s="76"/>
      <c r="O336" s="77"/>
      <c r="P336" s="78"/>
      <c r="Q336" s="78"/>
      <c r="R336" s="92"/>
      <c r="S336" s="92"/>
      <c r="T336" s="92"/>
      <c r="U336" s="92"/>
      <c r="V336" s="52"/>
      <c r="W336" s="52"/>
      <c r="X336" s="52"/>
      <c r="Y336" s="52"/>
      <c r="Z336" s="51"/>
      <c r="AA336" s="73"/>
      <c r="AB336" s="73"/>
      <c r="AC336" s="74"/>
      <c r="AD336" s="81" t="s">
        <v>13472</v>
      </c>
      <c r="AE336" s="86" t="s">
        <v>7821</v>
      </c>
      <c r="AF336" s="81">
        <v>158</v>
      </c>
      <c r="AG336" s="81">
        <v>170</v>
      </c>
      <c r="AH336" s="81">
        <v>76979</v>
      </c>
      <c r="AI336" s="81">
        <v>105174</v>
      </c>
      <c r="AJ336" s="81"/>
      <c r="AK336" s="81"/>
      <c r="AL336" s="81" t="s">
        <v>10989</v>
      </c>
      <c r="AM336" s="81"/>
      <c r="AN336" s="81"/>
      <c r="AO336" s="83">
        <v>42686.675821759258</v>
      </c>
      <c r="AP336" s="84" t="str">
        <f>HYPERLINK("https://pbs.twimg.com/profile_banners/797472318104727552/1594252973")</f>
        <v>https://pbs.twimg.com/profile_banners/797472318104727552/1594252973</v>
      </c>
      <c r="AQ336" s="81" t="b">
        <v>0</v>
      </c>
      <c r="AR336" s="81" t="b">
        <v>0</v>
      </c>
      <c r="AS336" s="81" t="b">
        <v>1</v>
      </c>
      <c r="AT336" s="81"/>
      <c r="AU336" s="81">
        <v>0</v>
      </c>
      <c r="AV336" s="84" t="str">
        <f>HYPERLINK("https://abs.twimg.com/images/themes/theme1/bg.png")</f>
        <v>https://abs.twimg.com/images/themes/theme1/bg.png</v>
      </c>
      <c r="AW336" s="81" t="b">
        <v>0</v>
      </c>
      <c r="AX336" s="81" t="s">
        <v>3728</v>
      </c>
      <c r="AY336" s="84" t="str">
        <f>HYPERLINK("https://twitter.com/itsdcntr")</f>
        <v>https://twitter.com/itsdcntr</v>
      </c>
      <c r="AZ336" s="81" t="s">
        <v>65</v>
      </c>
      <c r="BA336" s="2"/>
      <c r="BB336" s="3"/>
      <c r="BC336" s="3"/>
      <c r="BD336" s="3"/>
      <c r="BE336" s="3"/>
    </row>
    <row r="337" spans="1:57" x14ac:dyDescent="0.35">
      <c r="A337" s="66" t="s">
        <v>4307</v>
      </c>
      <c r="B337" s="67"/>
      <c r="C337" s="67"/>
      <c r="D337" s="68"/>
      <c r="E337" s="94"/>
      <c r="F337" s="93" t="str">
        <f>HYPERLINK("https://pbs.twimg.com/profile_images/914258381090824192/SAxF4SOb_normal.jpg")</f>
        <v>https://pbs.twimg.com/profile_images/914258381090824192/SAxF4SOb_normal.jpg</v>
      </c>
      <c r="G337" s="95"/>
      <c r="H337" s="71"/>
      <c r="I337" s="72"/>
      <c r="J337" s="96"/>
      <c r="K337" s="71" t="s">
        <v>11587</v>
      </c>
      <c r="L337" s="97"/>
      <c r="M337" s="76"/>
      <c r="N337" s="76"/>
      <c r="O337" s="77"/>
      <c r="P337" s="78"/>
      <c r="Q337" s="78"/>
      <c r="R337" s="92"/>
      <c r="S337" s="92"/>
      <c r="T337" s="92"/>
      <c r="U337" s="92"/>
      <c r="V337" s="52"/>
      <c r="W337" s="52"/>
      <c r="X337" s="52"/>
      <c r="Y337" s="52"/>
      <c r="Z337" s="51"/>
      <c r="AA337" s="73"/>
      <c r="AB337" s="73"/>
      <c r="AC337" s="74"/>
      <c r="AD337" s="81" t="s">
        <v>8220</v>
      </c>
      <c r="AE337" s="86" t="s">
        <v>9270</v>
      </c>
      <c r="AF337" s="81">
        <v>422</v>
      </c>
      <c r="AG337" s="81">
        <v>244</v>
      </c>
      <c r="AH337" s="81">
        <v>7013</v>
      </c>
      <c r="AI337" s="81">
        <v>6950</v>
      </c>
      <c r="AJ337" s="81"/>
      <c r="AK337" s="81"/>
      <c r="AL337" s="81" t="s">
        <v>10989</v>
      </c>
      <c r="AM337" s="81"/>
      <c r="AN337" s="81"/>
      <c r="AO337" s="83">
        <v>40206.162685185183</v>
      </c>
      <c r="AP337" s="81"/>
      <c r="AQ337" s="81" t="b">
        <v>0</v>
      </c>
      <c r="AR337" s="81" t="b">
        <v>0</v>
      </c>
      <c r="AS337" s="81" t="b">
        <v>0</v>
      </c>
      <c r="AT337" s="81"/>
      <c r="AU337" s="81">
        <v>5</v>
      </c>
      <c r="AV337" s="84" t="str">
        <f>HYPERLINK("https://abs.twimg.com/images/themes/theme14/bg.gif")</f>
        <v>https://abs.twimg.com/images/themes/theme14/bg.gif</v>
      </c>
      <c r="AW337" s="81" t="b">
        <v>0</v>
      </c>
      <c r="AX337" s="81" t="s">
        <v>3728</v>
      </c>
      <c r="AY337" s="84" t="str">
        <f>HYPERLINK("https://twitter.com/leuxande")</f>
        <v>https://twitter.com/leuxande</v>
      </c>
      <c r="AZ337" s="81" t="s">
        <v>66</v>
      </c>
      <c r="BA337" s="2"/>
      <c r="BB337" s="3"/>
      <c r="BC337" s="3"/>
      <c r="BD337" s="3"/>
      <c r="BE337" s="3"/>
    </row>
    <row r="338" spans="1:57" x14ac:dyDescent="0.35">
      <c r="A338" s="66" t="s">
        <v>4555</v>
      </c>
      <c r="B338" s="67"/>
      <c r="C338" s="67"/>
      <c r="D338" s="68"/>
      <c r="E338" s="94"/>
      <c r="F338" s="93" t="str">
        <f>HYPERLINK("https://pbs.twimg.com/profile_images/1403421622737018884/2Xdatj65_normal.jpg")</f>
        <v>https://pbs.twimg.com/profile_images/1403421622737018884/2Xdatj65_normal.jpg</v>
      </c>
      <c r="G338" s="95"/>
      <c r="H338" s="71"/>
      <c r="I338" s="72"/>
      <c r="J338" s="96"/>
      <c r="K338" s="71" t="s">
        <v>11588</v>
      </c>
      <c r="L338" s="97"/>
      <c r="M338" s="76"/>
      <c r="N338" s="76"/>
      <c r="O338" s="77"/>
      <c r="P338" s="78"/>
      <c r="Q338" s="78"/>
      <c r="R338" s="92"/>
      <c r="S338" s="92"/>
      <c r="T338" s="92"/>
      <c r="U338" s="92"/>
      <c r="V338" s="52"/>
      <c r="W338" s="52"/>
      <c r="X338" s="52"/>
      <c r="Y338" s="52"/>
      <c r="Z338" s="51"/>
      <c r="AA338" s="73"/>
      <c r="AB338" s="73"/>
      <c r="AC338" s="74"/>
      <c r="AD338" s="81" t="s">
        <v>8221</v>
      </c>
      <c r="AE338" s="86" t="s">
        <v>9271</v>
      </c>
      <c r="AF338" s="81">
        <v>5802</v>
      </c>
      <c r="AG338" s="81">
        <v>474578</v>
      </c>
      <c r="AH338" s="81">
        <v>506410</v>
      </c>
      <c r="AI338" s="81">
        <v>553</v>
      </c>
      <c r="AJ338" s="81"/>
      <c r="AK338" s="81" t="s">
        <v>10229</v>
      </c>
      <c r="AL338" s="81" t="s">
        <v>11074</v>
      </c>
      <c r="AM338" s="84" t="str">
        <f>HYPERLINK("https://t.co/RyqJpznw73")</f>
        <v>https://t.co/RyqJpznw73</v>
      </c>
      <c r="AN338" s="81"/>
      <c r="AO338" s="83">
        <v>40473.605231481481</v>
      </c>
      <c r="AP338" s="84" t="str">
        <f>HYPERLINK("https://pbs.twimg.com/profile_banners/206222507/1605475952")</f>
        <v>https://pbs.twimg.com/profile_banners/206222507/1605475952</v>
      </c>
      <c r="AQ338" s="81" t="b">
        <v>0</v>
      </c>
      <c r="AR338" s="81" t="b">
        <v>0</v>
      </c>
      <c r="AS338" s="81" t="b">
        <v>0</v>
      </c>
      <c r="AT338" s="81"/>
      <c r="AU338" s="81">
        <v>1080</v>
      </c>
      <c r="AV338" s="84" t="str">
        <f>HYPERLINK("https://abs.twimg.com/images/themes/theme5/bg.gif")</f>
        <v>https://abs.twimg.com/images/themes/theme5/bg.gif</v>
      </c>
      <c r="AW338" s="81" t="b">
        <v>1</v>
      </c>
      <c r="AX338" s="81" t="s">
        <v>3728</v>
      </c>
      <c r="AY338" s="84" t="str">
        <f>HYPERLINK("https://twitter.com/zehdeabreu")</f>
        <v>https://twitter.com/zehdeabreu</v>
      </c>
      <c r="AZ338" s="81" t="s">
        <v>66</v>
      </c>
      <c r="BA338" s="2"/>
      <c r="BB338" s="3"/>
      <c r="BC338" s="3"/>
      <c r="BD338" s="3"/>
      <c r="BE338" s="3"/>
    </row>
    <row r="339" spans="1:57" x14ac:dyDescent="0.35">
      <c r="A339" s="66" t="s">
        <v>5024</v>
      </c>
      <c r="B339" s="67"/>
      <c r="C339" s="67"/>
      <c r="D339" s="68"/>
      <c r="E339" s="94"/>
      <c r="F339" s="93" t="str">
        <f>HYPERLINK("https://pbs.twimg.com/profile_images/1062066328788496384/QT-kpJCF_normal.jpg")</f>
        <v>https://pbs.twimg.com/profile_images/1062066328788496384/QT-kpJCF_normal.jpg</v>
      </c>
      <c r="G339" s="95"/>
      <c r="H339" s="71"/>
      <c r="I339" s="72"/>
      <c r="J339" s="96"/>
      <c r="K339" s="71" t="s">
        <v>11589</v>
      </c>
      <c r="L339" s="97"/>
      <c r="M339" s="76"/>
      <c r="N339" s="76"/>
      <c r="O339" s="77"/>
      <c r="P339" s="78"/>
      <c r="Q339" s="78"/>
      <c r="R339" s="92"/>
      <c r="S339" s="92"/>
      <c r="T339" s="92"/>
      <c r="U339" s="92"/>
      <c r="V339" s="52"/>
      <c r="W339" s="52"/>
      <c r="X339" s="52"/>
      <c r="Y339" s="52"/>
      <c r="Z339" s="51"/>
      <c r="AA339" s="73"/>
      <c r="AB339" s="73"/>
      <c r="AC339" s="74"/>
      <c r="AD339" s="81" t="s">
        <v>8222</v>
      </c>
      <c r="AE339" s="86" t="s">
        <v>7822</v>
      </c>
      <c r="AF339" s="81">
        <v>788</v>
      </c>
      <c r="AG339" s="81">
        <v>96624</v>
      </c>
      <c r="AH339" s="81">
        <v>141635</v>
      </c>
      <c r="AI339" s="81">
        <v>27298</v>
      </c>
      <c r="AJ339" s="81"/>
      <c r="AK339" s="81" t="s">
        <v>10230</v>
      </c>
      <c r="AL339" s="81" t="s">
        <v>11075</v>
      </c>
      <c r="AM339" s="84" t="str">
        <f>HYPERLINK("https://t.co/52m85m7qWZ")</f>
        <v>https://t.co/52m85m7qWZ</v>
      </c>
      <c r="AN339" s="81"/>
      <c r="AO339" s="83">
        <v>39878.995127314818</v>
      </c>
      <c r="AP339" s="84" t="str">
        <f>HYPERLINK("https://pbs.twimg.com/profile_banners/23138365/1574118770")</f>
        <v>https://pbs.twimg.com/profile_banners/23138365/1574118770</v>
      </c>
      <c r="AQ339" s="81" t="b">
        <v>0</v>
      </c>
      <c r="AR339" s="81" t="b">
        <v>0</v>
      </c>
      <c r="AS339" s="81" t="b">
        <v>1</v>
      </c>
      <c r="AT339" s="81"/>
      <c r="AU339" s="81">
        <v>479</v>
      </c>
      <c r="AV339" s="84" t="str">
        <f>HYPERLINK("https://abs.twimg.com/images/themes/theme10/bg.gif")</f>
        <v>https://abs.twimg.com/images/themes/theme10/bg.gif</v>
      </c>
      <c r="AW339" s="81" t="b">
        <v>0</v>
      </c>
      <c r="AX339" s="81" t="s">
        <v>3728</v>
      </c>
      <c r="AY339" s="84" t="str">
        <f>HYPERLINK("https://twitter.com/eduguim")</f>
        <v>https://twitter.com/eduguim</v>
      </c>
      <c r="AZ339" s="81" t="s">
        <v>65</v>
      </c>
      <c r="BA339" s="2"/>
      <c r="BB339" s="3"/>
      <c r="BC339" s="3"/>
      <c r="BD339" s="3"/>
      <c r="BE339" s="3"/>
    </row>
    <row r="340" spans="1:57" x14ac:dyDescent="0.35">
      <c r="A340" s="66" t="s">
        <v>4308</v>
      </c>
      <c r="B340" s="67"/>
      <c r="C340" s="67"/>
      <c r="D340" s="68"/>
      <c r="E340" s="94"/>
      <c r="F340" s="93" t="str">
        <f>HYPERLINK("https://pbs.twimg.com/profile_images/1441558937774407684/bxjCdue8_normal.jpg")</f>
        <v>https://pbs.twimg.com/profile_images/1441558937774407684/bxjCdue8_normal.jpg</v>
      </c>
      <c r="G340" s="95"/>
      <c r="H340" s="71"/>
      <c r="I340" s="72"/>
      <c r="J340" s="96"/>
      <c r="K340" s="71" t="s">
        <v>11590</v>
      </c>
      <c r="L340" s="97"/>
      <c r="M340" s="76"/>
      <c r="N340" s="76"/>
      <c r="O340" s="77"/>
      <c r="P340" s="78"/>
      <c r="Q340" s="78"/>
      <c r="R340" s="92"/>
      <c r="S340" s="92"/>
      <c r="T340" s="92"/>
      <c r="U340" s="92"/>
      <c r="V340" s="52"/>
      <c r="W340" s="52"/>
      <c r="X340" s="52"/>
      <c r="Y340" s="52"/>
      <c r="Z340" s="51"/>
      <c r="AA340" s="73"/>
      <c r="AB340" s="73"/>
      <c r="AC340" s="74"/>
      <c r="AD340" s="81" t="s">
        <v>8223</v>
      </c>
      <c r="AE340" s="86" t="s">
        <v>9272</v>
      </c>
      <c r="AF340" s="81">
        <v>2054</v>
      </c>
      <c r="AG340" s="81">
        <v>1738</v>
      </c>
      <c r="AH340" s="81">
        <v>5337</v>
      </c>
      <c r="AI340" s="81">
        <v>59358</v>
      </c>
      <c r="AJ340" s="81"/>
      <c r="AK340" s="81" t="s">
        <v>10231</v>
      </c>
      <c r="AL340" s="81" t="s">
        <v>11076</v>
      </c>
      <c r="AM340" s="81"/>
      <c r="AN340" s="81"/>
      <c r="AO340" s="83">
        <v>41666.921006944445</v>
      </c>
      <c r="AP340" s="84" t="str">
        <f>HYPERLINK("https://pbs.twimg.com/profile_banners/2314390500/1592828372")</f>
        <v>https://pbs.twimg.com/profile_banners/2314390500/1592828372</v>
      </c>
      <c r="AQ340" s="81" t="b">
        <v>1</v>
      </c>
      <c r="AR340" s="81" t="b">
        <v>0</v>
      </c>
      <c r="AS340" s="81" t="b">
        <v>1</v>
      </c>
      <c r="AT340" s="81"/>
      <c r="AU340" s="81">
        <v>5</v>
      </c>
      <c r="AV340" s="84" t="str">
        <f>HYPERLINK("https://abs.twimg.com/images/themes/theme1/bg.png")</f>
        <v>https://abs.twimg.com/images/themes/theme1/bg.png</v>
      </c>
      <c r="AW340" s="81" t="b">
        <v>0</v>
      </c>
      <c r="AX340" s="81" t="s">
        <v>3728</v>
      </c>
      <c r="AY340" s="84" t="str">
        <f>HYPERLINK("https://twitter.com/euzaribeiro")</f>
        <v>https://twitter.com/euzaribeiro</v>
      </c>
      <c r="AZ340" s="81" t="s">
        <v>66</v>
      </c>
      <c r="BA340" s="2"/>
      <c r="BB340" s="3"/>
      <c r="BC340" s="3"/>
      <c r="BD340" s="3"/>
      <c r="BE340" s="3"/>
    </row>
    <row r="341" spans="1:57" x14ac:dyDescent="0.35">
      <c r="A341" s="66" t="s">
        <v>4309</v>
      </c>
      <c r="B341" s="67"/>
      <c r="C341" s="67"/>
      <c r="D341" s="68"/>
      <c r="E341" s="94"/>
      <c r="F341" s="93" t="str">
        <f>HYPERLINK("https://pbs.twimg.com/profile_images/1237894810310021120/AS56zFxV_normal.jpg")</f>
        <v>https://pbs.twimg.com/profile_images/1237894810310021120/AS56zFxV_normal.jpg</v>
      </c>
      <c r="G341" s="95"/>
      <c r="H341" s="71"/>
      <c r="I341" s="72"/>
      <c r="J341" s="96"/>
      <c r="K341" s="71" t="s">
        <v>11591</v>
      </c>
      <c r="L341" s="97"/>
      <c r="M341" s="76"/>
      <c r="N341" s="76"/>
      <c r="O341" s="77"/>
      <c r="P341" s="78"/>
      <c r="Q341" s="78"/>
      <c r="R341" s="92"/>
      <c r="S341" s="92"/>
      <c r="T341" s="92"/>
      <c r="U341" s="92"/>
      <c r="V341" s="52"/>
      <c r="W341" s="52"/>
      <c r="X341" s="52"/>
      <c r="Y341" s="52"/>
      <c r="Z341" s="51"/>
      <c r="AA341" s="73"/>
      <c r="AB341" s="73"/>
      <c r="AC341" s="74"/>
      <c r="AD341" s="81" t="s">
        <v>8224</v>
      </c>
      <c r="AE341" s="86" t="s">
        <v>9273</v>
      </c>
      <c r="AF341" s="81">
        <v>4903</v>
      </c>
      <c r="AG341" s="81">
        <v>1409</v>
      </c>
      <c r="AH341" s="81">
        <v>25231</v>
      </c>
      <c r="AI341" s="81">
        <v>30862</v>
      </c>
      <c r="AJ341" s="81"/>
      <c r="AK341" s="81" t="s">
        <v>10232</v>
      </c>
      <c r="AL341" s="81" t="s">
        <v>3549</v>
      </c>
      <c r="AM341" s="81"/>
      <c r="AN341" s="81"/>
      <c r="AO341" s="83">
        <v>43901.368321759262</v>
      </c>
      <c r="AP341" s="84" t="str">
        <f>HYPERLINK("https://pbs.twimg.com/profile_banners/1237662095971254272/1628095566")</f>
        <v>https://pbs.twimg.com/profile_banners/1237662095971254272/1628095566</v>
      </c>
      <c r="AQ341" s="81" t="b">
        <v>1</v>
      </c>
      <c r="AR341" s="81" t="b">
        <v>0</v>
      </c>
      <c r="AS341" s="81" t="b">
        <v>0</v>
      </c>
      <c r="AT341" s="81"/>
      <c r="AU341" s="81">
        <v>0</v>
      </c>
      <c r="AV341" s="81"/>
      <c r="AW341" s="81" t="b">
        <v>0</v>
      </c>
      <c r="AX341" s="81" t="s">
        <v>3728</v>
      </c>
      <c r="AY341" s="84" t="str">
        <f>HYPERLINK("https://twitter.com/fmkbr1")</f>
        <v>https://twitter.com/fmkbr1</v>
      </c>
      <c r="AZ341" s="81" t="s">
        <v>66</v>
      </c>
      <c r="BA341" s="2"/>
      <c r="BB341" s="3"/>
      <c r="BC341" s="3"/>
      <c r="BD341" s="3"/>
      <c r="BE341" s="3"/>
    </row>
    <row r="342" spans="1:57" x14ac:dyDescent="0.35">
      <c r="A342" s="66" t="s">
        <v>4310</v>
      </c>
      <c r="B342" s="67"/>
      <c r="C342" s="67"/>
      <c r="D342" s="68"/>
      <c r="E342" s="94"/>
      <c r="F342" s="93" t="str">
        <f>HYPERLINK("https://pbs.twimg.com/profile_images/1432368931554136066/AAmLJr11_normal.jpg")</f>
        <v>https://pbs.twimg.com/profile_images/1432368931554136066/AAmLJr11_normal.jpg</v>
      </c>
      <c r="G342" s="95"/>
      <c r="H342" s="71"/>
      <c r="I342" s="72"/>
      <c r="J342" s="96"/>
      <c r="K342" s="71" t="s">
        <v>11592</v>
      </c>
      <c r="L342" s="97"/>
      <c r="M342" s="76"/>
      <c r="N342" s="76"/>
      <c r="O342" s="77"/>
      <c r="P342" s="78"/>
      <c r="Q342" s="78"/>
      <c r="R342" s="92"/>
      <c r="S342" s="92"/>
      <c r="T342" s="92"/>
      <c r="U342" s="92"/>
      <c r="V342" s="52"/>
      <c r="W342" s="52"/>
      <c r="X342" s="52"/>
      <c r="Y342" s="52"/>
      <c r="Z342" s="51"/>
      <c r="AA342" s="73"/>
      <c r="AB342" s="73"/>
      <c r="AC342" s="74"/>
      <c r="AD342" s="81" t="s">
        <v>8225</v>
      </c>
      <c r="AE342" s="86" t="s">
        <v>9274</v>
      </c>
      <c r="AF342" s="81">
        <v>418</v>
      </c>
      <c r="AG342" s="81">
        <v>383</v>
      </c>
      <c r="AH342" s="81">
        <v>15395</v>
      </c>
      <c r="AI342" s="81">
        <v>3530</v>
      </c>
      <c r="AJ342" s="81"/>
      <c r="AK342" s="81"/>
      <c r="AL342" s="81" t="s">
        <v>11077</v>
      </c>
      <c r="AM342" s="81"/>
      <c r="AN342" s="81"/>
      <c r="AO342" s="83">
        <v>40034.743900462963</v>
      </c>
      <c r="AP342" s="84" t="str">
        <f>HYPERLINK("https://pbs.twimg.com/profile_banners/64217144/1630338324")</f>
        <v>https://pbs.twimg.com/profile_banners/64217144/1630338324</v>
      </c>
      <c r="AQ342" s="81" t="b">
        <v>0</v>
      </c>
      <c r="AR342" s="81" t="b">
        <v>0</v>
      </c>
      <c r="AS342" s="81" t="b">
        <v>0</v>
      </c>
      <c r="AT342" s="81"/>
      <c r="AU342" s="81">
        <v>0</v>
      </c>
      <c r="AV342" s="84" t="str">
        <f>HYPERLINK("https://abs.twimg.com/images/themes/theme12/bg.gif")</f>
        <v>https://abs.twimg.com/images/themes/theme12/bg.gif</v>
      </c>
      <c r="AW342" s="81" t="b">
        <v>0</v>
      </c>
      <c r="AX342" s="81" t="s">
        <v>3728</v>
      </c>
      <c r="AY342" s="84" t="str">
        <f>HYPERLINK("https://twitter.com/fiuzaelisabeth")</f>
        <v>https://twitter.com/fiuzaelisabeth</v>
      </c>
      <c r="AZ342" s="81" t="s">
        <v>66</v>
      </c>
      <c r="BA342" s="2"/>
      <c r="BB342" s="3"/>
      <c r="BC342" s="3"/>
      <c r="BD342" s="3"/>
      <c r="BE342" s="3"/>
    </row>
    <row r="343" spans="1:57" x14ac:dyDescent="0.35">
      <c r="A343" s="66" t="s">
        <v>4311</v>
      </c>
      <c r="B343" s="67"/>
      <c r="C343" s="67"/>
      <c r="D343" s="68"/>
      <c r="E343" s="94"/>
      <c r="F343" s="93" t="str">
        <f>HYPERLINK("https://pbs.twimg.com/profile_images/968443633325232129/tHcHpx1F_normal.jpg")</f>
        <v>https://pbs.twimg.com/profile_images/968443633325232129/tHcHpx1F_normal.jpg</v>
      </c>
      <c r="G343" s="95"/>
      <c r="H343" s="71"/>
      <c r="I343" s="72"/>
      <c r="J343" s="96"/>
      <c r="K343" s="71" t="s">
        <v>11593</v>
      </c>
      <c r="L343" s="97"/>
      <c r="M343" s="76"/>
      <c r="N343" s="76"/>
      <c r="O343" s="77"/>
      <c r="P343" s="78"/>
      <c r="Q343" s="78"/>
      <c r="R343" s="92"/>
      <c r="S343" s="92"/>
      <c r="T343" s="92"/>
      <c r="U343" s="92"/>
      <c r="V343" s="52"/>
      <c r="W343" s="52"/>
      <c r="X343" s="52"/>
      <c r="Y343" s="52"/>
      <c r="Z343" s="51"/>
      <c r="AA343" s="73"/>
      <c r="AB343" s="73"/>
      <c r="AC343" s="74"/>
      <c r="AD343" s="81" t="s">
        <v>8226</v>
      </c>
      <c r="AE343" s="86" t="s">
        <v>9275</v>
      </c>
      <c r="AF343" s="81">
        <v>70</v>
      </c>
      <c r="AG343" s="81">
        <v>37069</v>
      </c>
      <c r="AH343" s="81">
        <v>361464</v>
      </c>
      <c r="AI343" s="81">
        <v>808</v>
      </c>
      <c r="AJ343" s="81"/>
      <c r="AK343" s="81" t="s">
        <v>10233</v>
      </c>
      <c r="AL343" s="81"/>
      <c r="AM343" s="84" t="str">
        <f>HYPERLINK("https://t.co/B1MM6xlXMy")</f>
        <v>https://t.co/B1MM6xlXMy</v>
      </c>
      <c r="AN343" s="81"/>
      <c r="AO343" s="83">
        <v>39852.746550925927</v>
      </c>
      <c r="AP343" s="84" t="str">
        <f>HYPERLINK("https://pbs.twimg.com/profile_banners/20380673/1631123818")</f>
        <v>https://pbs.twimg.com/profile_banners/20380673/1631123818</v>
      </c>
      <c r="AQ343" s="81" t="b">
        <v>0</v>
      </c>
      <c r="AR343" s="81" t="b">
        <v>0</v>
      </c>
      <c r="AS343" s="81" t="b">
        <v>1</v>
      </c>
      <c r="AT343" s="81"/>
      <c r="AU343" s="81">
        <v>409</v>
      </c>
      <c r="AV343" s="84" t="str">
        <f>HYPERLINK("https://abs.twimg.com/images/themes/theme1/bg.png")</f>
        <v>https://abs.twimg.com/images/themes/theme1/bg.png</v>
      </c>
      <c r="AW343" s="81" t="b">
        <v>1</v>
      </c>
      <c r="AX343" s="81" t="s">
        <v>3728</v>
      </c>
      <c r="AY343" s="84" t="str">
        <f>HYPERLINK("https://twitter.com/renascenca")</f>
        <v>https://twitter.com/renascenca</v>
      </c>
      <c r="AZ343" s="81" t="s">
        <v>66</v>
      </c>
      <c r="BA343" s="2"/>
      <c r="BB343" s="3"/>
      <c r="BC343" s="3"/>
      <c r="BD343" s="3"/>
      <c r="BE343" s="3"/>
    </row>
    <row r="344" spans="1:57" x14ac:dyDescent="0.35">
      <c r="A344" s="66" t="s">
        <v>330</v>
      </c>
      <c r="B344" s="67"/>
      <c r="C344" s="67"/>
      <c r="D344" s="68"/>
      <c r="E344" s="94"/>
      <c r="F344" s="93" t="str">
        <f>HYPERLINK("https://pbs.twimg.com/profile_images/1397531388312653830/Dr3w03Yw_normal.jpg")</f>
        <v>https://pbs.twimg.com/profile_images/1397531388312653830/Dr3w03Yw_normal.jpg</v>
      </c>
      <c r="G344" s="95"/>
      <c r="H344" s="71"/>
      <c r="I344" s="72"/>
      <c r="J344" s="96"/>
      <c r="K344" s="71" t="s">
        <v>3870</v>
      </c>
      <c r="L344" s="97"/>
      <c r="M344" s="76"/>
      <c r="N344" s="76"/>
      <c r="O344" s="77"/>
      <c r="P344" s="78"/>
      <c r="Q344" s="78"/>
      <c r="R344" s="92"/>
      <c r="S344" s="92"/>
      <c r="T344" s="92"/>
      <c r="U344" s="92"/>
      <c r="V344" s="52"/>
      <c r="W344" s="52"/>
      <c r="X344" s="52"/>
      <c r="Y344" s="52"/>
      <c r="Z344" s="51"/>
      <c r="AA344" s="73"/>
      <c r="AB344" s="73"/>
      <c r="AC344" s="74"/>
      <c r="AD344" s="81" t="s">
        <v>2383</v>
      </c>
      <c r="AE344" s="86" t="s">
        <v>2809</v>
      </c>
      <c r="AF344" s="81">
        <v>557</v>
      </c>
      <c r="AG344" s="81">
        <v>406</v>
      </c>
      <c r="AH344" s="81">
        <v>24912</v>
      </c>
      <c r="AI344" s="81">
        <v>9133</v>
      </c>
      <c r="AJ344" s="81"/>
      <c r="AK344" s="81" t="s">
        <v>3218</v>
      </c>
      <c r="AL344" s="81" t="s">
        <v>3596</v>
      </c>
      <c r="AM344" s="84" t="str">
        <f>HYPERLINK("https://t.co/j7rvsGrxBF")</f>
        <v>https://t.co/j7rvsGrxBF</v>
      </c>
      <c r="AN344" s="81"/>
      <c r="AO344" s="83">
        <v>42304.565254629626</v>
      </c>
      <c r="AP344" s="84" t="str">
        <f>HYPERLINK("https://pbs.twimg.com/profile_banners/4035939913/1622032424")</f>
        <v>https://pbs.twimg.com/profile_banners/4035939913/1622032424</v>
      </c>
      <c r="AQ344" s="81" t="b">
        <v>0</v>
      </c>
      <c r="AR344" s="81" t="b">
        <v>0</v>
      </c>
      <c r="AS344" s="81" t="b">
        <v>1</v>
      </c>
      <c r="AT344" s="81"/>
      <c r="AU344" s="81">
        <v>2</v>
      </c>
      <c r="AV344" s="84" t="str">
        <f>HYPERLINK("https://abs.twimg.com/images/themes/theme1/bg.png")</f>
        <v>https://abs.twimg.com/images/themes/theme1/bg.png</v>
      </c>
      <c r="AW344" s="81" t="b">
        <v>0</v>
      </c>
      <c r="AX344" s="81" t="s">
        <v>3728</v>
      </c>
      <c r="AY344" s="84" t="str">
        <f>HYPERLINK("https://twitter.com/azrnazol")</f>
        <v>https://twitter.com/azrnazol</v>
      </c>
      <c r="AZ344" s="81" t="s">
        <v>66</v>
      </c>
      <c r="BA344" s="2"/>
      <c r="BB344" s="3"/>
      <c r="BC344" s="3"/>
      <c r="BD344" s="3"/>
      <c r="BE344" s="3"/>
    </row>
    <row r="345" spans="1:57" x14ac:dyDescent="0.35">
      <c r="A345" s="66" t="s">
        <v>331</v>
      </c>
      <c r="B345" s="67"/>
      <c r="C345" s="67"/>
      <c r="D345" s="68"/>
      <c r="E345" s="94"/>
      <c r="F345" s="93" t="str">
        <f>HYPERLINK("https://pbs.twimg.com/profile_images/1044596314292420608/UyByhG0l_normal.jpg")</f>
        <v>https://pbs.twimg.com/profile_images/1044596314292420608/UyByhG0l_normal.jpg</v>
      </c>
      <c r="G345" s="95"/>
      <c r="H345" s="71"/>
      <c r="I345" s="72"/>
      <c r="J345" s="96"/>
      <c r="K345" s="71" t="s">
        <v>3871</v>
      </c>
      <c r="L345" s="97"/>
      <c r="M345" s="76"/>
      <c r="N345" s="76"/>
      <c r="O345" s="77"/>
      <c r="P345" s="78"/>
      <c r="Q345" s="78"/>
      <c r="R345" s="92"/>
      <c r="S345" s="92"/>
      <c r="T345" s="92"/>
      <c r="U345" s="92"/>
      <c r="V345" s="52"/>
      <c r="W345" s="52"/>
      <c r="X345" s="52"/>
      <c r="Y345" s="52"/>
      <c r="Z345" s="51"/>
      <c r="AA345" s="73"/>
      <c r="AB345" s="73"/>
      <c r="AC345" s="74"/>
      <c r="AD345" s="81" t="s">
        <v>2384</v>
      </c>
      <c r="AE345" s="86" t="s">
        <v>2810</v>
      </c>
      <c r="AF345" s="81">
        <v>1</v>
      </c>
      <c r="AG345" s="81">
        <v>133</v>
      </c>
      <c r="AH345" s="81">
        <v>3105</v>
      </c>
      <c r="AI345" s="81">
        <v>10</v>
      </c>
      <c r="AJ345" s="81"/>
      <c r="AK345" s="81" t="s">
        <v>3219</v>
      </c>
      <c r="AL345" s="81" t="s">
        <v>3597</v>
      </c>
      <c r="AM345" s="84" t="str">
        <f>HYPERLINK("https://t.co/Shgan76Ii9")</f>
        <v>https://t.co/Shgan76Ii9</v>
      </c>
      <c r="AN345" s="81"/>
      <c r="AO345" s="83">
        <v>43200.521365740744</v>
      </c>
      <c r="AP345" s="84" t="str">
        <f>HYPERLINK("https://pbs.twimg.com/profile_banners/983683705049833473/1558420159")</f>
        <v>https://pbs.twimg.com/profile_banners/983683705049833473/1558420159</v>
      </c>
      <c r="AQ345" s="81" t="b">
        <v>1</v>
      </c>
      <c r="AR345" s="81" t="b">
        <v>0</v>
      </c>
      <c r="AS345" s="81" t="b">
        <v>0</v>
      </c>
      <c r="AT345" s="81"/>
      <c r="AU345" s="81">
        <v>0</v>
      </c>
      <c r="AV345" s="81"/>
      <c r="AW345" s="81" t="b">
        <v>0</v>
      </c>
      <c r="AX345" s="81" t="s">
        <v>3728</v>
      </c>
      <c r="AY345" s="84" t="str">
        <f>HYPERLINK("https://twitter.com/lokersumatera1")</f>
        <v>https://twitter.com/lokersumatera1</v>
      </c>
      <c r="AZ345" s="81" t="s">
        <v>66</v>
      </c>
      <c r="BA345" s="2"/>
      <c r="BB345" s="3"/>
      <c r="BC345" s="3"/>
      <c r="BD345" s="3"/>
      <c r="BE345" s="3"/>
    </row>
    <row r="346" spans="1:57" x14ac:dyDescent="0.35">
      <c r="A346" s="66" t="s">
        <v>4312</v>
      </c>
      <c r="B346" s="67"/>
      <c r="C346" s="67"/>
      <c r="D346" s="68"/>
      <c r="E346" s="94"/>
      <c r="F346" s="93" t="str">
        <f>HYPERLINK("https://pbs.twimg.com/profile_images/1441570118316838912/l7aI3NS7_normal.jpg")</f>
        <v>https://pbs.twimg.com/profile_images/1441570118316838912/l7aI3NS7_normal.jpg</v>
      </c>
      <c r="G346" s="95"/>
      <c r="H346" s="71"/>
      <c r="I346" s="72"/>
      <c r="J346" s="96"/>
      <c r="K346" s="71" t="s">
        <v>11594</v>
      </c>
      <c r="L346" s="97"/>
      <c r="M346" s="76"/>
      <c r="N346" s="76"/>
      <c r="O346" s="77"/>
      <c r="P346" s="78"/>
      <c r="Q346" s="78"/>
      <c r="R346" s="92"/>
      <c r="S346" s="92"/>
      <c r="T346" s="92"/>
      <c r="U346" s="92"/>
      <c r="V346" s="52"/>
      <c r="W346" s="52"/>
      <c r="X346" s="52"/>
      <c r="Y346" s="52"/>
      <c r="Z346" s="51"/>
      <c r="AA346" s="73"/>
      <c r="AB346" s="73"/>
      <c r="AC346" s="74"/>
      <c r="AD346" s="81" t="s">
        <v>8227</v>
      </c>
      <c r="AE346" s="86" t="s">
        <v>9276</v>
      </c>
      <c r="AF346" s="81">
        <v>78</v>
      </c>
      <c r="AG346" s="81">
        <v>1499</v>
      </c>
      <c r="AH346" s="81">
        <v>3884</v>
      </c>
      <c r="AI346" s="81">
        <v>4333</v>
      </c>
      <c r="AJ346" s="81"/>
      <c r="AK346" s="81" t="s">
        <v>10234</v>
      </c>
      <c r="AL346" s="81" t="s">
        <v>8016</v>
      </c>
      <c r="AM346" s="81"/>
      <c r="AN346" s="81"/>
      <c r="AO346" s="83">
        <v>42242.225219907406</v>
      </c>
      <c r="AP346" s="81"/>
      <c r="AQ346" s="81" t="b">
        <v>0</v>
      </c>
      <c r="AR346" s="81" t="b">
        <v>0</v>
      </c>
      <c r="AS346" s="81" t="b">
        <v>0</v>
      </c>
      <c r="AT346" s="81"/>
      <c r="AU346" s="81">
        <v>30</v>
      </c>
      <c r="AV346" s="84" t="str">
        <f>HYPERLINK("https://abs.twimg.com/images/themes/theme1/bg.png")</f>
        <v>https://abs.twimg.com/images/themes/theme1/bg.png</v>
      </c>
      <c r="AW346" s="81" t="b">
        <v>0</v>
      </c>
      <c r="AX346" s="81" t="s">
        <v>3728</v>
      </c>
      <c r="AY346" s="84" t="str">
        <f>HYPERLINK("https://twitter.com/umamaistempo")</f>
        <v>https://twitter.com/umamaistempo</v>
      </c>
      <c r="AZ346" s="81" t="s">
        <v>66</v>
      </c>
      <c r="BA346" s="2"/>
      <c r="BB346" s="3"/>
      <c r="BC346" s="3"/>
      <c r="BD346" s="3"/>
      <c r="BE346" s="3"/>
    </row>
    <row r="347" spans="1:57" x14ac:dyDescent="0.35">
      <c r="A347" s="66" t="s">
        <v>5025</v>
      </c>
      <c r="B347" s="67"/>
      <c r="C347" s="67"/>
      <c r="D347" s="68"/>
      <c r="E347" s="94"/>
      <c r="F347" s="93" t="str">
        <f>HYPERLINK("https://pbs.twimg.com/profile_images/1380536043691249667/2u6wdoZu_normal.jpg")</f>
        <v>https://pbs.twimg.com/profile_images/1380536043691249667/2u6wdoZu_normal.jpg</v>
      </c>
      <c r="G347" s="95"/>
      <c r="H347" s="71"/>
      <c r="I347" s="72"/>
      <c r="J347" s="96"/>
      <c r="K347" s="71" t="s">
        <v>11595</v>
      </c>
      <c r="L347" s="97"/>
      <c r="M347" s="76"/>
      <c r="N347" s="76"/>
      <c r="O347" s="77"/>
      <c r="P347" s="78"/>
      <c r="Q347" s="78"/>
      <c r="R347" s="92"/>
      <c r="S347" s="92"/>
      <c r="T347" s="92"/>
      <c r="U347" s="92"/>
      <c r="V347" s="52"/>
      <c r="W347" s="52"/>
      <c r="X347" s="52"/>
      <c r="Y347" s="52"/>
      <c r="Z347" s="51"/>
      <c r="AA347" s="73"/>
      <c r="AB347" s="73"/>
      <c r="AC347" s="74"/>
      <c r="AD347" s="81" t="s">
        <v>8228</v>
      </c>
      <c r="AE347" s="86" t="s">
        <v>9277</v>
      </c>
      <c r="AF347" s="81">
        <v>35</v>
      </c>
      <c r="AG347" s="81">
        <v>167</v>
      </c>
      <c r="AH347" s="81">
        <v>1565</v>
      </c>
      <c r="AI347" s="81">
        <v>103</v>
      </c>
      <c r="AJ347" s="81"/>
      <c r="AK347" s="81" t="s">
        <v>10235</v>
      </c>
      <c r="AL347" s="81" t="s">
        <v>8001</v>
      </c>
      <c r="AM347" s="84" t="str">
        <f>HYPERLINK("https://t.co/khKZg3MdXM")</f>
        <v>https://t.co/khKZg3MdXM</v>
      </c>
      <c r="AN347" s="81"/>
      <c r="AO347" s="83">
        <v>42180.741180555553</v>
      </c>
      <c r="AP347" s="84" t="str">
        <f>HYPERLINK("https://pbs.twimg.com/profile_banners/3345765574/1617980418")</f>
        <v>https://pbs.twimg.com/profile_banners/3345765574/1617980418</v>
      </c>
      <c r="AQ347" s="81" t="b">
        <v>0</v>
      </c>
      <c r="AR347" s="81" t="b">
        <v>0</v>
      </c>
      <c r="AS347" s="81" t="b">
        <v>0</v>
      </c>
      <c r="AT347" s="81"/>
      <c r="AU347" s="81">
        <v>2</v>
      </c>
      <c r="AV347" s="84" t="str">
        <f>HYPERLINK("https://abs.twimg.com/images/themes/theme1/bg.png")</f>
        <v>https://abs.twimg.com/images/themes/theme1/bg.png</v>
      </c>
      <c r="AW347" s="81" t="b">
        <v>0</v>
      </c>
      <c r="AX347" s="81" t="s">
        <v>3728</v>
      </c>
      <c r="AY347" s="84" t="str">
        <f>HYPERLINK("https://twitter.com/xerpayoficial")</f>
        <v>https://twitter.com/xerpayoficial</v>
      </c>
      <c r="AZ347" s="81" t="s">
        <v>65</v>
      </c>
      <c r="BA347" s="2"/>
      <c r="BB347" s="3"/>
      <c r="BC347" s="3"/>
      <c r="BD347" s="3"/>
      <c r="BE347" s="3"/>
    </row>
    <row r="348" spans="1:57" x14ac:dyDescent="0.35">
      <c r="A348" s="66" t="s">
        <v>4313</v>
      </c>
      <c r="B348" s="67"/>
      <c r="C348" s="67"/>
      <c r="D348" s="68"/>
      <c r="E348" s="94"/>
      <c r="F348" s="93" t="str">
        <f>HYPERLINK("https://pbs.twimg.com/profile_images/1311619060447301633/exFjSnVW_normal.jpg")</f>
        <v>https://pbs.twimg.com/profile_images/1311619060447301633/exFjSnVW_normal.jpg</v>
      </c>
      <c r="G348" s="95"/>
      <c r="H348" s="71"/>
      <c r="I348" s="72"/>
      <c r="J348" s="96"/>
      <c r="K348" s="71" t="s">
        <v>11596</v>
      </c>
      <c r="L348" s="97"/>
      <c r="M348" s="76"/>
      <c r="N348" s="76"/>
      <c r="O348" s="77"/>
      <c r="P348" s="78"/>
      <c r="Q348" s="78"/>
      <c r="R348" s="92"/>
      <c r="S348" s="92"/>
      <c r="T348" s="92"/>
      <c r="U348" s="92"/>
      <c r="V348" s="52"/>
      <c r="W348" s="52"/>
      <c r="X348" s="52"/>
      <c r="Y348" s="52"/>
      <c r="Z348" s="51"/>
      <c r="AA348" s="73"/>
      <c r="AB348" s="73"/>
      <c r="AC348" s="74"/>
      <c r="AD348" s="81" t="s">
        <v>8229</v>
      </c>
      <c r="AE348" s="86" t="s">
        <v>9278</v>
      </c>
      <c r="AF348" s="81">
        <v>5379</v>
      </c>
      <c r="AG348" s="81">
        <v>5351</v>
      </c>
      <c r="AH348" s="81">
        <v>89830</v>
      </c>
      <c r="AI348" s="81">
        <v>144140</v>
      </c>
      <c r="AJ348" s="81"/>
      <c r="AK348" s="81" t="s">
        <v>10236</v>
      </c>
      <c r="AL348" s="81" t="s">
        <v>11078</v>
      </c>
      <c r="AM348" s="84" t="str">
        <f>HYPERLINK("https://t.co/RVmUiXOQ6t")</f>
        <v>https://t.co/RVmUiXOQ6t</v>
      </c>
      <c r="AN348" s="81"/>
      <c r="AO348" s="83">
        <v>39547.551666666666</v>
      </c>
      <c r="AP348" s="84" t="str">
        <f>HYPERLINK("https://pbs.twimg.com/profile_banners/14341495/1558181075")</f>
        <v>https://pbs.twimg.com/profile_banners/14341495/1558181075</v>
      </c>
      <c r="AQ348" s="81" t="b">
        <v>0</v>
      </c>
      <c r="AR348" s="81" t="b">
        <v>0</v>
      </c>
      <c r="AS348" s="81" t="b">
        <v>1</v>
      </c>
      <c r="AT348" s="81"/>
      <c r="AU348" s="81">
        <v>205</v>
      </c>
      <c r="AV348" s="84" t="str">
        <f>HYPERLINK("https://abs.twimg.com/images/themes/theme6/bg.gif")</f>
        <v>https://abs.twimg.com/images/themes/theme6/bg.gif</v>
      </c>
      <c r="AW348" s="81" t="b">
        <v>0</v>
      </c>
      <c r="AX348" s="81" t="s">
        <v>3728</v>
      </c>
      <c r="AY348" s="84" t="str">
        <f>HYPERLINK("https://twitter.com/adolfont")</f>
        <v>https://twitter.com/adolfont</v>
      </c>
      <c r="AZ348" s="81" t="s">
        <v>66</v>
      </c>
      <c r="BA348" s="2"/>
      <c r="BB348" s="3"/>
      <c r="BC348" s="3"/>
      <c r="BD348" s="3"/>
      <c r="BE348" s="3"/>
    </row>
    <row r="349" spans="1:57" x14ac:dyDescent="0.35">
      <c r="A349" s="66" t="s">
        <v>4314</v>
      </c>
      <c r="B349" s="67"/>
      <c r="C349" s="67"/>
      <c r="D349" s="68"/>
      <c r="E349" s="94"/>
      <c r="F349" s="93" t="str">
        <f>HYPERLINK("https://pbs.twimg.com/profile_images/1430083476716359681/JEZKXbJI_normal.jpg")</f>
        <v>https://pbs.twimg.com/profile_images/1430083476716359681/JEZKXbJI_normal.jpg</v>
      </c>
      <c r="G349" s="95"/>
      <c r="H349" s="71"/>
      <c r="I349" s="72"/>
      <c r="J349" s="96"/>
      <c r="K349" s="71" t="s">
        <v>11597</v>
      </c>
      <c r="L349" s="97"/>
      <c r="M349" s="76"/>
      <c r="N349" s="76"/>
      <c r="O349" s="77"/>
      <c r="P349" s="78"/>
      <c r="Q349" s="78"/>
      <c r="R349" s="92"/>
      <c r="S349" s="92"/>
      <c r="T349" s="92"/>
      <c r="U349" s="92"/>
      <c r="V349" s="52"/>
      <c r="W349" s="52"/>
      <c r="X349" s="52"/>
      <c r="Y349" s="52"/>
      <c r="Z349" s="51"/>
      <c r="AA349" s="73"/>
      <c r="AB349" s="73"/>
      <c r="AC349" s="74"/>
      <c r="AD349" s="81" t="s">
        <v>8230</v>
      </c>
      <c r="AE349" s="86" t="s">
        <v>9279</v>
      </c>
      <c r="AF349" s="81">
        <v>3429</v>
      </c>
      <c r="AG349" s="81">
        <v>3282</v>
      </c>
      <c r="AH349" s="81">
        <v>54772</v>
      </c>
      <c r="AI349" s="81">
        <v>96019</v>
      </c>
      <c r="AJ349" s="81"/>
      <c r="AK349" s="81" t="s">
        <v>10237</v>
      </c>
      <c r="AL349" s="81"/>
      <c r="AM349" s="81"/>
      <c r="AN349" s="81"/>
      <c r="AO349" s="83">
        <v>44238.209467592591</v>
      </c>
      <c r="AP349" s="84" t="str">
        <f>HYPERLINK("https://pbs.twimg.com/profile_banners/1359727384929263618/1622677266")</f>
        <v>https://pbs.twimg.com/profile_banners/1359727384929263618/1622677266</v>
      </c>
      <c r="AQ349" s="81" t="b">
        <v>1</v>
      </c>
      <c r="AR349" s="81" t="b">
        <v>0</v>
      </c>
      <c r="AS349" s="81" t="b">
        <v>0</v>
      </c>
      <c r="AT349" s="81"/>
      <c r="AU349" s="81">
        <v>0</v>
      </c>
      <c r="AV349" s="81"/>
      <c r="AW349" s="81" t="b">
        <v>0</v>
      </c>
      <c r="AX349" s="81" t="s">
        <v>3728</v>
      </c>
      <c r="AY349" s="84" t="str">
        <f>HYPERLINK("https://twitter.com/2five02")</f>
        <v>https://twitter.com/2five02</v>
      </c>
      <c r="AZ349" s="81" t="s">
        <v>66</v>
      </c>
      <c r="BA349" s="2"/>
      <c r="BB349" s="3"/>
      <c r="BC349" s="3"/>
      <c r="BD349" s="3"/>
      <c r="BE349" s="3"/>
    </row>
    <row r="350" spans="1:57" x14ac:dyDescent="0.35">
      <c r="A350" s="66" t="s">
        <v>4315</v>
      </c>
      <c r="B350" s="67"/>
      <c r="C350" s="67"/>
      <c r="D350" s="68"/>
      <c r="E350" s="94"/>
      <c r="F350" s="93" t="str">
        <f>HYPERLINK("https://pbs.twimg.com/profile_images/907650123244617728/KGfcNOhn_normal.jpg")</f>
        <v>https://pbs.twimg.com/profile_images/907650123244617728/KGfcNOhn_normal.jpg</v>
      </c>
      <c r="G350" s="95"/>
      <c r="H350" s="71"/>
      <c r="I350" s="72"/>
      <c r="J350" s="96"/>
      <c r="K350" s="71" t="s">
        <v>11598</v>
      </c>
      <c r="L350" s="97"/>
      <c r="M350" s="76"/>
      <c r="N350" s="76"/>
      <c r="O350" s="77"/>
      <c r="P350" s="78"/>
      <c r="Q350" s="78"/>
      <c r="R350" s="92"/>
      <c r="S350" s="92"/>
      <c r="T350" s="92"/>
      <c r="U350" s="92"/>
      <c r="V350" s="52"/>
      <c r="W350" s="52"/>
      <c r="X350" s="52"/>
      <c r="Y350" s="52"/>
      <c r="Z350" s="51"/>
      <c r="AA350" s="73"/>
      <c r="AB350" s="73"/>
      <c r="AC350" s="74"/>
      <c r="AD350" s="81" t="s">
        <v>8231</v>
      </c>
      <c r="AE350" s="86" t="s">
        <v>7823</v>
      </c>
      <c r="AF350" s="81">
        <v>223</v>
      </c>
      <c r="AG350" s="81">
        <v>1748</v>
      </c>
      <c r="AH350" s="81">
        <v>140551</v>
      </c>
      <c r="AI350" s="81">
        <v>0</v>
      </c>
      <c r="AJ350" s="81"/>
      <c r="AK350" s="81" t="s">
        <v>10238</v>
      </c>
      <c r="AL350" s="81"/>
      <c r="AM350" s="81"/>
      <c r="AN350" s="81"/>
      <c r="AO350" s="83">
        <v>41661.198472222219</v>
      </c>
      <c r="AP350" s="84" t="str">
        <f>HYPERLINK("https://pbs.twimg.com/profile_banners/2304222866/1505236027")</f>
        <v>https://pbs.twimg.com/profile_banners/2304222866/1505236027</v>
      </c>
      <c r="AQ350" s="81" t="b">
        <v>0</v>
      </c>
      <c r="AR350" s="81" t="b">
        <v>0</v>
      </c>
      <c r="AS350" s="81" t="b">
        <v>0</v>
      </c>
      <c r="AT350" s="81"/>
      <c r="AU350" s="81">
        <v>89</v>
      </c>
      <c r="AV350" s="84" t="str">
        <f>HYPERLINK("https://abs.twimg.com/images/themes/theme14/bg.gif")</f>
        <v>https://abs.twimg.com/images/themes/theme14/bg.gif</v>
      </c>
      <c r="AW350" s="81" t="b">
        <v>0</v>
      </c>
      <c r="AX350" s="81" t="s">
        <v>3728</v>
      </c>
      <c r="AY350" s="84" t="str">
        <f>HYPERLINK("https://twitter.com/limitedhangout1")</f>
        <v>https://twitter.com/limitedhangout1</v>
      </c>
      <c r="AZ350" s="81" t="s">
        <v>66</v>
      </c>
      <c r="BA350" s="2"/>
      <c r="BB350" s="3"/>
      <c r="BC350" s="3"/>
      <c r="BD350" s="3"/>
      <c r="BE350" s="3"/>
    </row>
    <row r="351" spans="1:57" x14ac:dyDescent="0.35">
      <c r="A351" s="66" t="s">
        <v>4316</v>
      </c>
      <c r="B351" s="67"/>
      <c r="C351" s="67"/>
      <c r="D351" s="68"/>
      <c r="E351" s="94"/>
      <c r="F351" s="93" t="str">
        <f>HYPERLINK("https://pbs.twimg.com/profile_images/1442669015248277507/vBg7-OcG_normal.jpg")</f>
        <v>https://pbs.twimg.com/profile_images/1442669015248277507/vBg7-OcG_normal.jpg</v>
      </c>
      <c r="G351" s="95"/>
      <c r="H351" s="71"/>
      <c r="I351" s="72"/>
      <c r="J351" s="96"/>
      <c r="K351" s="71" t="s">
        <v>11599</v>
      </c>
      <c r="L351" s="97"/>
      <c r="M351" s="76"/>
      <c r="N351" s="76"/>
      <c r="O351" s="77"/>
      <c r="P351" s="78"/>
      <c r="Q351" s="78"/>
      <c r="R351" s="92"/>
      <c r="S351" s="92"/>
      <c r="T351" s="92"/>
      <c r="U351" s="92"/>
      <c r="V351" s="52"/>
      <c r="W351" s="52"/>
      <c r="X351" s="52"/>
      <c r="Y351" s="52"/>
      <c r="Z351" s="51"/>
      <c r="AA351" s="73"/>
      <c r="AB351" s="73"/>
      <c r="AC351" s="74"/>
      <c r="AD351" s="81" t="s">
        <v>8232</v>
      </c>
      <c r="AE351" s="86" t="s">
        <v>9280</v>
      </c>
      <c r="AF351" s="81">
        <v>96</v>
      </c>
      <c r="AG351" s="81">
        <v>409</v>
      </c>
      <c r="AH351" s="81">
        <v>17516</v>
      </c>
      <c r="AI351" s="81">
        <v>6420</v>
      </c>
      <c r="AJ351" s="81"/>
      <c r="AK351" s="81"/>
      <c r="AL351" s="81" t="s">
        <v>11079</v>
      </c>
      <c r="AM351" s="81"/>
      <c r="AN351" s="81"/>
      <c r="AO351" s="83">
        <v>43416.880046296297</v>
      </c>
      <c r="AP351" s="84" t="str">
        <f>HYPERLINK("https://pbs.twimg.com/profile_banners/1062089467949973504/1631816507")</f>
        <v>https://pbs.twimg.com/profile_banners/1062089467949973504/1631816507</v>
      </c>
      <c r="AQ351" s="81" t="b">
        <v>1</v>
      </c>
      <c r="AR351" s="81" t="b">
        <v>0</v>
      </c>
      <c r="AS351" s="81" t="b">
        <v>0</v>
      </c>
      <c r="AT351" s="81"/>
      <c r="AU351" s="81">
        <v>0</v>
      </c>
      <c r="AV351" s="81"/>
      <c r="AW351" s="81" t="b">
        <v>0</v>
      </c>
      <c r="AX351" s="81" t="s">
        <v>3728</v>
      </c>
      <c r="AY351" s="84" t="str">
        <f>HYPERLINK("https://twitter.com/tremchaves")</f>
        <v>https://twitter.com/tremchaves</v>
      </c>
      <c r="AZ351" s="81" t="s">
        <v>66</v>
      </c>
      <c r="BA351" s="2"/>
      <c r="BB351" s="3"/>
      <c r="BC351" s="3"/>
      <c r="BD351" s="3"/>
      <c r="BE351" s="3"/>
    </row>
    <row r="352" spans="1:57" x14ac:dyDescent="0.35">
      <c r="A352" s="66" t="s">
        <v>4317</v>
      </c>
      <c r="B352" s="67"/>
      <c r="C352" s="67"/>
      <c r="D352" s="68"/>
      <c r="E352" s="94"/>
      <c r="F352" s="93" t="str">
        <f>HYPERLINK("https://pbs.twimg.com/profile_images/1425455954590580740/RgmATpCg_normal.jpg")</f>
        <v>https://pbs.twimg.com/profile_images/1425455954590580740/RgmATpCg_normal.jpg</v>
      </c>
      <c r="G352" s="95"/>
      <c r="H352" s="71"/>
      <c r="I352" s="72"/>
      <c r="J352" s="96"/>
      <c r="K352" s="71" t="s">
        <v>11600</v>
      </c>
      <c r="L352" s="97"/>
      <c r="M352" s="76"/>
      <c r="N352" s="76"/>
      <c r="O352" s="77"/>
      <c r="P352" s="78"/>
      <c r="Q352" s="78"/>
      <c r="R352" s="92"/>
      <c r="S352" s="92"/>
      <c r="T352" s="92"/>
      <c r="U352" s="92"/>
      <c r="V352" s="52"/>
      <c r="W352" s="52"/>
      <c r="X352" s="52"/>
      <c r="Y352" s="52"/>
      <c r="Z352" s="51"/>
      <c r="AA352" s="73"/>
      <c r="AB352" s="73"/>
      <c r="AC352" s="74"/>
      <c r="AD352" s="81" t="s">
        <v>8233</v>
      </c>
      <c r="AE352" s="86" t="s">
        <v>9281</v>
      </c>
      <c r="AF352" s="81">
        <v>1575</v>
      </c>
      <c r="AG352" s="81">
        <v>1329</v>
      </c>
      <c r="AH352" s="81">
        <v>15500</v>
      </c>
      <c r="AI352" s="81">
        <v>11964</v>
      </c>
      <c r="AJ352" s="81"/>
      <c r="AK352" s="81" t="s">
        <v>10239</v>
      </c>
      <c r="AL352" s="81" t="s">
        <v>8002</v>
      </c>
      <c r="AM352" s="81"/>
      <c r="AN352" s="81"/>
      <c r="AO352" s="83">
        <v>44285.920520833337</v>
      </c>
      <c r="AP352" s="84" t="str">
        <f>HYPERLINK("https://pbs.twimg.com/profile_banners/1377019094780760066/1620181335")</f>
        <v>https://pbs.twimg.com/profile_banners/1377019094780760066/1620181335</v>
      </c>
      <c r="AQ352" s="81" t="b">
        <v>1</v>
      </c>
      <c r="AR352" s="81" t="b">
        <v>0</v>
      </c>
      <c r="AS352" s="81" t="b">
        <v>1</v>
      </c>
      <c r="AT352" s="81"/>
      <c r="AU352" s="81">
        <v>0</v>
      </c>
      <c r="AV352" s="81"/>
      <c r="AW352" s="81" t="b">
        <v>0</v>
      </c>
      <c r="AX352" s="81" t="s">
        <v>3728</v>
      </c>
      <c r="AY352" s="84" t="str">
        <f>HYPERLINK("https://twitter.com/dalva_trevisan")</f>
        <v>https://twitter.com/dalva_trevisan</v>
      </c>
      <c r="AZ352" s="81" t="s">
        <v>66</v>
      </c>
      <c r="BA352" s="2"/>
      <c r="BB352" s="3"/>
      <c r="BC352" s="3"/>
      <c r="BD352" s="3"/>
      <c r="BE352" s="3"/>
    </row>
    <row r="353" spans="1:57" x14ac:dyDescent="0.35">
      <c r="A353" s="66" t="s">
        <v>4318</v>
      </c>
      <c r="B353" s="67"/>
      <c r="C353" s="67"/>
      <c r="D353" s="68"/>
      <c r="E353" s="94"/>
      <c r="F353" s="93" t="str">
        <f>HYPERLINK("https://pbs.twimg.com/profile_images/1262524141921501185/dbjoGZuU_normal.jpg")</f>
        <v>https://pbs.twimg.com/profile_images/1262524141921501185/dbjoGZuU_normal.jpg</v>
      </c>
      <c r="G353" s="95"/>
      <c r="H353" s="71"/>
      <c r="I353" s="72"/>
      <c r="J353" s="96"/>
      <c r="K353" s="71" t="s">
        <v>11601</v>
      </c>
      <c r="L353" s="97"/>
      <c r="M353" s="76"/>
      <c r="N353" s="76"/>
      <c r="O353" s="77"/>
      <c r="P353" s="78"/>
      <c r="Q353" s="78"/>
      <c r="R353" s="92"/>
      <c r="S353" s="92"/>
      <c r="T353" s="92"/>
      <c r="U353" s="92"/>
      <c r="V353" s="52"/>
      <c r="W353" s="52"/>
      <c r="X353" s="52"/>
      <c r="Y353" s="52"/>
      <c r="Z353" s="51"/>
      <c r="AA353" s="73"/>
      <c r="AB353" s="73"/>
      <c r="AC353" s="74"/>
      <c r="AD353" s="81" t="s">
        <v>8234</v>
      </c>
      <c r="AE353" s="86" t="s">
        <v>9282</v>
      </c>
      <c r="AF353" s="81">
        <v>55</v>
      </c>
      <c r="AG353" s="81">
        <v>1</v>
      </c>
      <c r="AH353" s="81">
        <v>385</v>
      </c>
      <c r="AI353" s="81">
        <v>284</v>
      </c>
      <c r="AJ353" s="81"/>
      <c r="AK353" s="81" t="s">
        <v>10240</v>
      </c>
      <c r="AL353" s="81"/>
      <c r="AM353" s="81"/>
      <c r="AN353" s="81"/>
      <c r="AO353" s="83">
        <v>43969.972916666666</v>
      </c>
      <c r="AP353" s="81"/>
      <c r="AQ353" s="81" t="b">
        <v>1</v>
      </c>
      <c r="AR353" s="81" t="b">
        <v>0</v>
      </c>
      <c r="AS353" s="81" t="b">
        <v>1</v>
      </c>
      <c r="AT353" s="81"/>
      <c r="AU353" s="81">
        <v>0</v>
      </c>
      <c r="AV353" s="81"/>
      <c r="AW353" s="81" t="b">
        <v>0</v>
      </c>
      <c r="AX353" s="81" t="s">
        <v>3728</v>
      </c>
      <c r="AY353" s="84" t="str">
        <f>HYPERLINK("https://twitter.com/da_euly")</f>
        <v>https://twitter.com/da_euly</v>
      </c>
      <c r="AZ353" s="81" t="s">
        <v>66</v>
      </c>
      <c r="BA353" s="2"/>
      <c r="BB353" s="3"/>
      <c r="BC353" s="3"/>
      <c r="BD353" s="3"/>
      <c r="BE353" s="3"/>
    </row>
    <row r="354" spans="1:57" x14ac:dyDescent="0.35">
      <c r="A354" s="66" t="s">
        <v>5026</v>
      </c>
      <c r="B354" s="67"/>
      <c r="C354" s="67"/>
      <c r="D354" s="68"/>
      <c r="E354" s="94"/>
      <c r="F354" s="93" t="str">
        <f>HYPERLINK("https://pbs.twimg.com/profile_images/1434229191889887235/EC6IQ7o8_normal.jpg")</f>
        <v>https://pbs.twimg.com/profile_images/1434229191889887235/EC6IQ7o8_normal.jpg</v>
      </c>
      <c r="G354" s="95"/>
      <c r="H354" s="71"/>
      <c r="I354" s="72"/>
      <c r="J354" s="96"/>
      <c r="K354" s="71" t="s">
        <v>11602</v>
      </c>
      <c r="L354" s="97"/>
      <c r="M354" s="76"/>
      <c r="N354" s="76"/>
      <c r="O354" s="77"/>
      <c r="P354" s="78"/>
      <c r="Q354" s="78"/>
      <c r="R354" s="92"/>
      <c r="S354" s="92"/>
      <c r="T354" s="92"/>
      <c r="U354" s="92"/>
      <c r="V354" s="52"/>
      <c r="W354" s="52"/>
      <c r="X354" s="52"/>
      <c r="Y354" s="52"/>
      <c r="Z354" s="51"/>
      <c r="AA354" s="73"/>
      <c r="AB354" s="73"/>
      <c r="AC354" s="74"/>
      <c r="AD354" s="81" t="s">
        <v>13473</v>
      </c>
      <c r="AE354" s="86" t="s">
        <v>9283</v>
      </c>
      <c r="AF354" s="81">
        <v>135</v>
      </c>
      <c r="AG354" s="81">
        <v>34</v>
      </c>
      <c r="AH354" s="81">
        <v>3570</v>
      </c>
      <c r="AI354" s="81">
        <v>5059</v>
      </c>
      <c r="AJ354" s="81"/>
      <c r="AK354" s="81"/>
      <c r="AL354" s="81"/>
      <c r="AM354" s="81"/>
      <c r="AN354" s="81"/>
      <c r="AO354" s="83">
        <v>44443.789837962962</v>
      </c>
      <c r="AP354" s="81"/>
      <c r="AQ354" s="81" t="b">
        <v>1</v>
      </c>
      <c r="AR354" s="81" t="b">
        <v>0</v>
      </c>
      <c r="AS354" s="81" t="b">
        <v>0</v>
      </c>
      <c r="AT354" s="81"/>
      <c r="AU354" s="81">
        <v>0</v>
      </c>
      <c r="AV354" s="81"/>
      <c r="AW354" s="81" t="b">
        <v>0</v>
      </c>
      <c r="AX354" s="81" t="s">
        <v>3728</v>
      </c>
      <c r="AY354" s="84" t="str">
        <f>HYPERLINK("https://twitter.com/cunhaelderson")</f>
        <v>https://twitter.com/cunhaelderson</v>
      </c>
      <c r="AZ354" s="81" t="s">
        <v>65</v>
      </c>
      <c r="BA354" s="2"/>
      <c r="BB354" s="3"/>
      <c r="BC354" s="3"/>
      <c r="BD354" s="3"/>
      <c r="BE354" s="3"/>
    </row>
    <row r="355" spans="1:57" x14ac:dyDescent="0.35">
      <c r="A355" s="66" t="s">
        <v>5027</v>
      </c>
      <c r="B355" s="67"/>
      <c r="C355" s="67"/>
      <c r="D355" s="68"/>
      <c r="E355" s="94"/>
      <c r="F355" s="93" t="str">
        <f>HYPERLINK("https://pbs.twimg.com/profile_images/1415680882795368455/-nSgyy5N_normal.jpg")</f>
        <v>https://pbs.twimg.com/profile_images/1415680882795368455/-nSgyy5N_normal.jpg</v>
      </c>
      <c r="G355" s="95"/>
      <c r="H355" s="71"/>
      <c r="I355" s="72"/>
      <c r="J355" s="96"/>
      <c r="K355" s="71" t="s">
        <v>11603</v>
      </c>
      <c r="L355" s="97"/>
      <c r="M355" s="76"/>
      <c r="N355" s="76"/>
      <c r="O355" s="77"/>
      <c r="P355" s="78"/>
      <c r="Q355" s="78"/>
      <c r="R355" s="92"/>
      <c r="S355" s="92"/>
      <c r="T355" s="92"/>
      <c r="U355" s="92"/>
      <c r="V355" s="52"/>
      <c r="W355" s="52"/>
      <c r="X355" s="52"/>
      <c r="Y355" s="52"/>
      <c r="Z355" s="51"/>
      <c r="AA355" s="73"/>
      <c r="AB355" s="73"/>
      <c r="AC355" s="74"/>
      <c r="AD355" s="81" t="s">
        <v>8235</v>
      </c>
      <c r="AE355" s="86" t="s">
        <v>7824</v>
      </c>
      <c r="AF355" s="81">
        <v>2433</v>
      </c>
      <c r="AG355" s="81">
        <v>458</v>
      </c>
      <c r="AH355" s="81">
        <v>960</v>
      </c>
      <c r="AI355" s="81">
        <v>3898</v>
      </c>
      <c r="AJ355" s="81"/>
      <c r="AK355" s="81" t="s">
        <v>10241</v>
      </c>
      <c r="AL355" s="81" t="s">
        <v>11080</v>
      </c>
      <c r="AM355" s="84" t="str">
        <f>HYPERLINK("https://t.co/TxoaIlIj7g")</f>
        <v>https://t.co/TxoaIlIj7g</v>
      </c>
      <c r="AN355" s="81"/>
      <c r="AO355" s="83">
        <v>40722.592118055552</v>
      </c>
      <c r="AP355" s="84" t="str">
        <f>HYPERLINK("https://pbs.twimg.com/profile_banners/325562320/1629211803")</f>
        <v>https://pbs.twimg.com/profile_banners/325562320/1629211803</v>
      </c>
      <c r="AQ355" s="81" t="b">
        <v>0</v>
      </c>
      <c r="AR355" s="81" t="b">
        <v>0</v>
      </c>
      <c r="AS355" s="81" t="b">
        <v>1</v>
      </c>
      <c r="AT355" s="81"/>
      <c r="AU355" s="81">
        <v>18</v>
      </c>
      <c r="AV355" s="84" t="str">
        <f>HYPERLINK("https://abs.twimg.com/images/themes/theme14/bg.gif")</f>
        <v>https://abs.twimg.com/images/themes/theme14/bg.gif</v>
      </c>
      <c r="AW355" s="81" t="b">
        <v>0</v>
      </c>
      <c r="AX355" s="81" t="s">
        <v>3728</v>
      </c>
      <c r="AY355" s="84" t="str">
        <f>HYPERLINK("https://twitter.com/eliseudev")</f>
        <v>https://twitter.com/eliseudev</v>
      </c>
      <c r="AZ355" s="81" t="s">
        <v>65</v>
      </c>
      <c r="BA355" s="2"/>
      <c r="BB355" s="3"/>
      <c r="BC355" s="3"/>
      <c r="BD355" s="3"/>
      <c r="BE355" s="3"/>
    </row>
    <row r="356" spans="1:57" x14ac:dyDescent="0.35">
      <c r="A356" s="66" t="s">
        <v>5028</v>
      </c>
      <c r="B356" s="67"/>
      <c r="C356" s="67"/>
      <c r="D356" s="68"/>
      <c r="E356" s="94"/>
      <c r="F356" s="93" t="str">
        <f>HYPERLINK("https://pbs.twimg.com/profile_images/1389938065049858052/M4Sl_MMx_normal.jpg")</f>
        <v>https://pbs.twimg.com/profile_images/1389938065049858052/M4Sl_MMx_normal.jpg</v>
      </c>
      <c r="G356" s="95"/>
      <c r="H356" s="71"/>
      <c r="I356" s="72"/>
      <c r="J356" s="96"/>
      <c r="K356" s="71" t="s">
        <v>11604</v>
      </c>
      <c r="L356" s="97"/>
      <c r="M356" s="76"/>
      <c r="N356" s="76"/>
      <c r="O356" s="77"/>
      <c r="P356" s="78"/>
      <c r="Q356" s="78"/>
      <c r="R356" s="92"/>
      <c r="S356" s="92"/>
      <c r="T356" s="92"/>
      <c r="U356" s="92"/>
      <c r="V356" s="52"/>
      <c r="W356" s="52"/>
      <c r="X356" s="52"/>
      <c r="Y356" s="52"/>
      <c r="Z356" s="51"/>
      <c r="AA356" s="73"/>
      <c r="AB356" s="73"/>
      <c r="AC356" s="74"/>
      <c r="AD356" s="81" t="s">
        <v>8236</v>
      </c>
      <c r="AE356" s="86" t="s">
        <v>7954</v>
      </c>
      <c r="AF356" s="81">
        <v>83</v>
      </c>
      <c r="AG356" s="81">
        <v>3999979</v>
      </c>
      <c r="AH356" s="81">
        <v>504832</v>
      </c>
      <c r="AI356" s="81">
        <v>1018</v>
      </c>
      <c r="AJ356" s="81"/>
      <c r="AK356" s="81" t="s">
        <v>10242</v>
      </c>
      <c r="AL356" s="81" t="s">
        <v>10975</v>
      </c>
      <c r="AM356" s="84" t="str">
        <f>HYPERLINK("http://t.co/uPgBR9CC3g")</f>
        <v>http://t.co/uPgBR9CC3g</v>
      </c>
      <c r="AN356" s="81"/>
      <c r="AO356" s="83">
        <v>39568.1</v>
      </c>
      <c r="AP356" s="84" t="str">
        <f>HYPERLINK("https://pbs.twimg.com/profile_banners/14594698/1619625624")</f>
        <v>https://pbs.twimg.com/profile_banners/14594698/1619625624</v>
      </c>
      <c r="AQ356" s="81" t="b">
        <v>0</v>
      </c>
      <c r="AR356" s="81" t="b">
        <v>0</v>
      </c>
      <c r="AS356" s="81" t="b">
        <v>1</v>
      </c>
      <c r="AT356" s="81"/>
      <c r="AU356" s="81">
        <v>6557</v>
      </c>
      <c r="AV356" s="84" t="str">
        <f>HYPERLINK("https://abs.twimg.com/images/themes/theme1/bg.png")</f>
        <v>https://abs.twimg.com/images/themes/theme1/bg.png</v>
      </c>
      <c r="AW356" s="81" t="b">
        <v>1</v>
      </c>
      <c r="AX356" s="81" t="s">
        <v>3728</v>
      </c>
      <c r="AY356" s="84" t="str">
        <f>HYPERLINK("https://twitter.com/uolnoticias")</f>
        <v>https://twitter.com/uolnoticias</v>
      </c>
      <c r="AZ356" s="81" t="s">
        <v>65</v>
      </c>
      <c r="BA356" s="2"/>
      <c r="BB356" s="3"/>
      <c r="BC356" s="3"/>
      <c r="BD356" s="3"/>
      <c r="BE356" s="3"/>
    </row>
    <row r="357" spans="1:57" x14ac:dyDescent="0.35">
      <c r="A357" s="66" t="s">
        <v>4319</v>
      </c>
      <c r="B357" s="67"/>
      <c r="C357" s="67"/>
      <c r="D357" s="68"/>
      <c r="E357" s="94"/>
      <c r="F357" s="93" t="str">
        <f>HYPERLINK("https://pbs.twimg.com/profile_images/1437049892136964099/emMJz1Jm_normal.jpg")</f>
        <v>https://pbs.twimg.com/profile_images/1437049892136964099/emMJz1Jm_normal.jpg</v>
      </c>
      <c r="G357" s="95"/>
      <c r="H357" s="71"/>
      <c r="I357" s="72"/>
      <c r="J357" s="96"/>
      <c r="K357" s="71" t="s">
        <v>11605</v>
      </c>
      <c r="L357" s="97"/>
      <c r="M357" s="76"/>
      <c r="N357" s="76"/>
      <c r="O357" s="77"/>
      <c r="P357" s="78"/>
      <c r="Q357" s="78"/>
      <c r="R357" s="92"/>
      <c r="S357" s="92"/>
      <c r="T357" s="92"/>
      <c r="U357" s="92"/>
      <c r="V357" s="52"/>
      <c r="W357" s="52"/>
      <c r="X357" s="52"/>
      <c r="Y357" s="52"/>
      <c r="Z357" s="51"/>
      <c r="AA357" s="73"/>
      <c r="AB357" s="73"/>
      <c r="AC357" s="74"/>
      <c r="AD357" s="81" t="s">
        <v>8237</v>
      </c>
      <c r="AE357" s="86" t="s">
        <v>9284</v>
      </c>
      <c r="AF357" s="81">
        <v>312</v>
      </c>
      <c r="AG357" s="81">
        <v>76</v>
      </c>
      <c r="AH357" s="81">
        <v>8509</v>
      </c>
      <c r="AI357" s="81">
        <v>18503</v>
      </c>
      <c r="AJ357" s="81"/>
      <c r="AK357" s="81"/>
      <c r="AL357" s="81" t="s">
        <v>10987</v>
      </c>
      <c r="AM357" s="81"/>
      <c r="AN357" s="81"/>
      <c r="AO357" s="83">
        <v>43877.71371527778</v>
      </c>
      <c r="AP357" s="84" t="str">
        <f>HYPERLINK("https://pbs.twimg.com/profile_banners/1229089922675617792/1631454818")</f>
        <v>https://pbs.twimg.com/profile_banners/1229089922675617792/1631454818</v>
      </c>
      <c r="AQ357" s="81" t="b">
        <v>1</v>
      </c>
      <c r="AR357" s="81" t="b">
        <v>0</v>
      </c>
      <c r="AS357" s="81" t="b">
        <v>0</v>
      </c>
      <c r="AT357" s="81"/>
      <c r="AU357" s="81">
        <v>0</v>
      </c>
      <c r="AV357" s="81"/>
      <c r="AW357" s="81" t="b">
        <v>0</v>
      </c>
      <c r="AX357" s="81" t="s">
        <v>3728</v>
      </c>
      <c r="AY357" s="84" t="str">
        <f>HYPERLINK("https://twitter.com/vanzanrose")</f>
        <v>https://twitter.com/vanzanrose</v>
      </c>
      <c r="AZ357" s="81" t="s">
        <v>66</v>
      </c>
      <c r="BA357" s="2"/>
      <c r="BB357" s="3"/>
      <c r="BC357" s="3"/>
      <c r="BD357" s="3"/>
      <c r="BE357" s="3"/>
    </row>
    <row r="358" spans="1:57" x14ac:dyDescent="0.35">
      <c r="A358" s="66" t="s">
        <v>5029</v>
      </c>
      <c r="B358" s="67"/>
      <c r="C358" s="67"/>
      <c r="D358" s="68"/>
      <c r="E358" s="94"/>
      <c r="F358" s="93" t="str">
        <f>HYPERLINK("https://pbs.twimg.com/profile_images/1443217538515615753/P8abxDpH_normal.jpg")</f>
        <v>https://pbs.twimg.com/profile_images/1443217538515615753/P8abxDpH_normal.jpg</v>
      </c>
      <c r="G358" s="95"/>
      <c r="H358" s="71"/>
      <c r="I358" s="72"/>
      <c r="J358" s="96"/>
      <c r="K358" s="71" t="s">
        <v>11606</v>
      </c>
      <c r="L358" s="97"/>
      <c r="M358" s="76"/>
      <c r="N358" s="76"/>
      <c r="O358" s="77"/>
      <c r="P358" s="78"/>
      <c r="Q358" s="78"/>
      <c r="R358" s="92"/>
      <c r="S358" s="92"/>
      <c r="T358" s="92"/>
      <c r="U358" s="92"/>
      <c r="V358" s="52"/>
      <c r="W358" s="52"/>
      <c r="X358" s="52"/>
      <c r="Y358" s="52"/>
      <c r="Z358" s="51"/>
      <c r="AA358" s="73"/>
      <c r="AB358" s="73"/>
      <c r="AC358" s="74"/>
      <c r="AD358" s="81" t="s">
        <v>8238</v>
      </c>
      <c r="AE358" s="86" t="s">
        <v>9285</v>
      </c>
      <c r="AF358" s="81">
        <v>122</v>
      </c>
      <c r="AG358" s="81">
        <v>2156414</v>
      </c>
      <c r="AH358" s="81">
        <v>12266</v>
      </c>
      <c r="AI358" s="81">
        <v>1078</v>
      </c>
      <c r="AJ358" s="81"/>
      <c r="AK358" s="81" t="s">
        <v>10243</v>
      </c>
      <c r="AL358" s="81" t="s">
        <v>10975</v>
      </c>
      <c r="AM358" s="84" t="str">
        <f>HYPERLINK("https://t.co/pgIDd7R7jm")</f>
        <v>https://t.co/pgIDd7R7jm</v>
      </c>
      <c r="AN358" s="81"/>
      <c r="AO358" s="83">
        <v>40198.564062500001</v>
      </c>
      <c r="AP358" s="84" t="str">
        <f>HYPERLINK("https://pbs.twimg.com/profile_banners/106714016/1499172049")</f>
        <v>https://pbs.twimg.com/profile_banners/106714016/1499172049</v>
      </c>
      <c r="AQ358" s="81" t="b">
        <v>0</v>
      </c>
      <c r="AR358" s="81" t="b">
        <v>0</v>
      </c>
      <c r="AS358" s="81" t="b">
        <v>1</v>
      </c>
      <c r="AT358" s="81"/>
      <c r="AU358" s="81">
        <v>1812</v>
      </c>
      <c r="AV358" s="84" t="str">
        <f>HYPERLINK("https://abs.twimg.com/images/themes/theme1/bg.png")</f>
        <v>https://abs.twimg.com/images/themes/theme1/bg.png</v>
      </c>
      <c r="AW358" s="81" t="b">
        <v>1</v>
      </c>
      <c r="AX358" s="81" t="s">
        <v>3728</v>
      </c>
      <c r="AY358" s="84" t="str">
        <f>HYPERLINK("https://twitter.com/policiafederal")</f>
        <v>https://twitter.com/policiafederal</v>
      </c>
      <c r="AZ358" s="81" t="s">
        <v>65</v>
      </c>
      <c r="BA358" s="2"/>
      <c r="BB358" s="3"/>
      <c r="BC358" s="3"/>
      <c r="BD358" s="3"/>
      <c r="BE358" s="3"/>
    </row>
    <row r="359" spans="1:57" x14ac:dyDescent="0.35">
      <c r="A359" s="66" t="s">
        <v>4322</v>
      </c>
      <c r="B359" s="67"/>
      <c r="C359" s="67"/>
      <c r="D359" s="68"/>
      <c r="E359" s="94"/>
      <c r="F359" s="93" t="str">
        <f>HYPERLINK("https://pbs.twimg.com/profile_images/1442472359286411264/M2c8cH2E_normal.jpg")</f>
        <v>https://pbs.twimg.com/profile_images/1442472359286411264/M2c8cH2E_normal.jpg</v>
      </c>
      <c r="G359" s="95"/>
      <c r="H359" s="71"/>
      <c r="I359" s="72"/>
      <c r="J359" s="96"/>
      <c r="K359" s="71" t="s">
        <v>11607</v>
      </c>
      <c r="L359" s="97"/>
      <c r="M359" s="76"/>
      <c r="N359" s="76"/>
      <c r="O359" s="77"/>
      <c r="P359" s="78"/>
      <c r="Q359" s="78"/>
      <c r="R359" s="92"/>
      <c r="S359" s="92"/>
      <c r="T359" s="92"/>
      <c r="U359" s="92"/>
      <c r="V359" s="52"/>
      <c r="W359" s="52"/>
      <c r="X359" s="52"/>
      <c r="Y359" s="52"/>
      <c r="Z359" s="51"/>
      <c r="AA359" s="73"/>
      <c r="AB359" s="73"/>
      <c r="AC359" s="74"/>
      <c r="AD359" s="81" t="s">
        <v>8239</v>
      </c>
      <c r="AE359" s="86" t="s">
        <v>9286</v>
      </c>
      <c r="AF359" s="81">
        <v>246</v>
      </c>
      <c r="AG359" s="81">
        <v>767931</v>
      </c>
      <c r="AH359" s="81">
        <v>13850</v>
      </c>
      <c r="AI359" s="81">
        <v>1629</v>
      </c>
      <c r="AJ359" s="81"/>
      <c r="AK359" s="81" t="s">
        <v>10244</v>
      </c>
      <c r="AL359" s="81" t="s">
        <v>10975</v>
      </c>
      <c r="AM359" s="84" t="str">
        <f>HYPERLINK("https://t.co/KfYHlCUaRC")</f>
        <v>https://t.co/KfYHlCUaRC</v>
      </c>
      <c r="AN359" s="81"/>
      <c r="AO359" s="83">
        <v>40050.902858796297</v>
      </c>
      <c r="AP359" s="84" t="str">
        <f>HYPERLINK("https://pbs.twimg.com/profile_banners/68810711/1632747186")</f>
        <v>https://pbs.twimg.com/profile_banners/68810711/1632747186</v>
      </c>
      <c r="AQ359" s="81" t="b">
        <v>0</v>
      </c>
      <c r="AR359" s="81" t="b">
        <v>0</v>
      </c>
      <c r="AS359" s="81" t="b">
        <v>1</v>
      </c>
      <c r="AT359" s="81"/>
      <c r="AU359" s="81">
        <v>1509</v>
      </c>
      <c r="AV359" s="84" t="str">
        <f>HYPERLINK("https://abs.twimg.com/images/themes/theme2/bg.gif")</f>
        <v>https://abs.twimg.com/images/themes/theme2/bg.gif</v>
      </c>
      <c r="AW359" s="81" t="b">
        <v>1</v>
      </c>
      <c r="AX359" s="81" t="s">
        <v>3728</v>
      </c>
      <c r="AY359" s="84" t="str">
        <f>HYPERLINK("https://twitter.com/justicagovbr")</f>
        <v>https://twitter.com/justicagovbr</v>
      </c>
      <c r="AZ359" s="81" t="s">
        <v>66</v>
      </c>
      <c r="BA359" s="2"/>
      <c r="BB359" s="3"/>
      <c r="BC359" s="3"/>
      <c r="BD359" s="3"/>
      <c r="BE359" s="3"/>
    </row>
    <row r="360" spans="1:57" x14ac:dyDescent="0.35">
      <c r="A360" s="66" t="s">
        <v>4320</v>
      </c>
      <c r="B360" s="67"/>
      <c r="C360" s="67"/>
      <c r="D360" s="68"/>
      <c r="E360" s="94"/>
      <c r="F360" s="93" t="str">
        <f>HYPERLINK("https://pbs.twimg.com/profile_images/1281594143349919744/x76CxMkI_normal.jpg")</f>
        <v>https://pbs.twimg.com/profile_images/1281594143349919744/x76CxMkI_normal.jpg</v>
      </c>
      <c r="G360" s="95"/>
      <c r="H360" s="71"/>
      <c r="I360" s="72"/>
      <c r="J360" s="96"/>
      <c r="K360" s="71" t="s">
        <v>11608</v>
      </c>
      <c r="L360" s="97"/>
      <c r="M360" s="76"/>
      <c r="N360" s="76"/>
      <c r="O360" s="77"/>
      <c r="P360" s="78"/>
      <c r="Q360" s="78"/>
      <c r="R360" s="92"/>
      <c r="S360" s="92"/>
      <c r="T360" s="92"/>
      <c r="U360" s="92"/>
      <c r="V360" s="52"/>
      <c r="W360" s="52"/>
      <c r="X360" s="52"/>
      <c r="Y360" s="52"/>
      <c r="Z360" s="51"/>
      <c r="AA360" s="73"/>
      <c r="AB360" s="73"/>
      <c r="AC360" s="74"/>
      <c r="AD360" s="81" t="s">
        <v>8240</v>
      </c>
      <c r="AE360" s="86" t="s">
        <v>9287</v>
      </c>
      <c r="AF360" s="81">
        <v>17816</v>
      </c>
      <c r="AG360" s="81">
        <v>18111</v>
      </c>
      <c r="AH360" s="81">
        <v>76709</v>
      </c>
      <c r="AI360" s="81">
        <v>203657</v>
      </c>
      <c r="AJ360" s="81"/>
      <c r="AK360" s="81" t="s">
        <v>10245</v>
      </c>
      <c r="AL360" s="81" t="s">
        <v>11081</v>
      </c>
      <c r="AM360" s="84" t="str">
        <f>HYPERLINK("https://t.co/qdrqrLiHgE")</f>
        <v>https://t.co/qdrqrLiHgE</v>
      </c>
      <c r="AN360" s="81"/>
      <c r="AO360" s="83">
        <v>41180.679270833331</v>
      </c>
      <c r="AP360" s="84" t="str">
        <f>HYPERLINK("https://pbs.twimg.com/profile_banners/851338790/1584225485")</f>
        <v>https://pbs.twimg.com/profile_banners/851338790/1584225485</v>
      </c>
      <c r="AQ360" s="81" t="b">
        <v>0</v>
      </c>
      <c r="AR360" s="81" t="b">
        <v>0</v>
      </c>
      <c r="AS360" s="81" t="b">
        <v>1</v>
      </c>
      <c r="AT360" s="81"/>
      <c r="AU360" s="81">
        <v>5</v>
      </c>
      <c r="AV360" s="84" t="str">
        <f>HYPERLINK("https://abs.twimg.com/images/themes/theme1/bg.png")</f>
        <v>https://abs.twimg.com/images/themes/theme1/bg.png</v>
      </c>
      <c r="AW360" s="81" t="b">
        <v>0</v>
      </c>
      <c r="AX360" s="81" t="s">
        <v>3728</v>
      </c>
      <c r="AY360" s="84" t="str">
        <f>HYPERLINK("https://twitter.com/soubelemlz")</f>
        <v>https://twitter.com/soubelemlz</v>
      </c>
      <c r="AZ360" s="81" t="s">
        <v>66</v>
      </c>
      <c r="BA360" s="2"/>
      <c r="BB360" s="3"/>
      <c r="BC360" s="3"/>
      <c r="BD360" s="3"/>
      <c r="BE360" s="3"/>
    </row>
    <row r="361" spans="1:57" x14ac:dyDescent="0.35">
      <c r="A361" s="66" t="s">
        <v>4321</v>
      </c>
      <c r="B361" s="67"/>
      <c r="C361" s="67"/>
      <c r="D361" s="68"/>
      <c r="E361" s="94"/>
      <c r="F361" s="93" t="str">
        <f>HYPERLINK("https://pbs.twimg.com/profile_images/1370253128252194820/UF54iWtu_normal.jpg")</f>
        <v>https://pbs.twimg.com/profile_images/1370253128252194820/UF54iWtu_normal.jpg</v>
      </c>
      <c r="G361" s="95"/>
      <c r="H361" s="71"/>
      <c r="I361" s="72"/>
      <c r="J361" s="96"/>
      <c r="K361" s="71" t="s">
        <v>11609</v>
      </c>
      <c r="L361" s="97"/>
      <c r="M361" s="76"/>
      <c r="N361" s="76"/>
      <c r="O361" s="77"/>
      <c r="P361" s="78"/>
      <c r="Q361" s="78"/>
      <c r="R361" s="92"/>
      <c r="S361" s="92"/>
      <c r="T361" s="92"/>
      <c r="U361" s="92"/>
      <c r="V361" s="52"/>
      <c r="W361" s="52"/>
      <c r="X361" s="52"/>
      <c r="Y361" s="52"/>
      <c r="Z361" s="51"/>
      <c r="AA361" s="73"/>
      <c r="AB361" s="73"/>
      <c r="AC361" s="74"/>
      <c r="AD361" s="81" t="s">
        <v>8241</v>
      </c>
      <c r="AE361" s="86" t="s">
        <v>9288</v>
      </c>
      <c r="AF361" s="81">
        <v>338</v>
      </c>
      <c r="AG361" s="81">
        <v>97</v>
      </c>
      <c r="AH361" s="81">
        <v>7295</v>
      </c>
      <c r="AI361" s="81">
        <v>34611</v>
      </c>
      <c r="AJ361" s="81"/>
      <c r="AK361" s="81"/>
      <c r="AL361" s="81"/>
      <c r="AM361" s="81"/>
      <c r="AN361" s="81"/>
      <c r="AO361" s="83">
        <v>44267.249097222222</v>
      </c>
      <c r="AP361" s="81"/>
      <c r="AQ361" s="81" t="b">
        <v>1</v>
      </c>
      <c r="AR361" s="81" t="b">
        <v>0</v>
      </c>
      <c r="AS361" s="81" t="b">
        <v>1</v>
      </c>
      <c r="AT361" s="81"/>
      <c r="AU361" s="81">
        <v>0</v>
      </c>
      <c r="AV361" s="81"/>
      <c r="AW361" s="81" t="b">
        <v>0</v>
      </c>
      <c r="AX361" s="81" t="s">
        <v>3728</v>
      </c>
      <c r="AY361" s="84" t="str">
        <f>HYPERLINK("https://twitter.com/coito_cristina")</f>
        <v>https://twitter.com/coito_cristina</v>
      </c>
      <c r="AZ361" s="81" t="s">
        <v>66</v>
      </c>
      <c r="BA361" s="2"/>
      <c r="BB361" s="3"/>
      <c r="BC361" s="3"/>
      <c r="BD361" s="3"/>
      <c r="BE361" s="3"/>
    </row>
    <row r="362" spans="1:57" x14ac:dyDescent="0.35">
      <c r="A362" s="66" t="s">
        <v>4323</v>
      </c>
      <c r="B362" s="67"/>
      <c r="C362" s="67"/>
      <c r="D362" s="68"/>
      <c r="E362" s="94"/>
      <c r="F362" s="93" t="str">
        <f>HYPERLINK("https://pbs.twimg.com/profile_images/1325740488306159617/YP5TWL9J_normal.jpg")</f>
        <v>https://pbs.twimg.com/profile_images/1325740488306159617/YP5TWL9J_normal.jpg</v>
      </c>
      <c r="G362" s="95"/>
      <c r="H362" s="71"/>
      <c r="I362" s="72"/>
      <c r="J362" s="96"/>
      <c r="K362" s="71" t="s">
        <v>11610</v>
      </c>
      <c r="L362" s="97"/>
      <c r="M362" s="76"/>
      <c r="N362" s="76"/>
      <c r="O362" s="77"/>
      <c r="P362" s="78"/>
      <c r="Q362" s="78"/>
      <c r="R362" s="92"/>
      <c r="S362" s="92"/>
      <c r="T362" s="92"/>
      <c r="U362" s="92"/>
      <c r="V362" s="52"/>
      <c r="W362" s="52"/>
      <c r="X362" s="52"/>
      <c r="Y362" s="52"/>
      <c r="Z362" s="51"/>
      <c r="AA362" s="73"/>
      <c r="AB362" s="73"/>
      <c r="AC362" s="74"/>
      <c r="AD362" s="81" t="s">
        <v>8242</v>
      </c>
      <c r="AE362" s="86" t="s">
        <v>9289</v>
      </c>
      <c r="AF362" s="81">
        <v>921</v>
      </c>
      <c r="AG362" s="81">
        <v>222</v>
      </c>
      <c r="AH362" s="81">
        <v>60512</v>
      </c>
      <c r="AI362" s="81">
        <v>59959</v>
      </c>
      <c r="AJ362" s="81"/>
      <c r="AK362" s="81" t="s">
        <v>10246</v>
      </c>
      <c r="AL362" s="81" t="s">
        <v>11082</v>
      </c>
      <c r="AM362" s="84" t="str">
        <f>HYPERLINK("https://t.co/8A0BmqOKP7")</f>
        <v>https://t.co/8A0BmqOKP7</v>
      </c>
      <c r="AN362" s="81"/>
      <c r="AO362" s="83">
        <v>44144.417824074073</v>
      </c>
      <c r="AP362" s="84" t="str">
        <f>HYPERLINK("https://pbs.twimg.com/profile_banners/1325740240842186753/1604948250")</f>
        <v>https://pbs.twimg.com/profile_banners/1325740240842186753/1604948250</v>
      </c>
      <c r="AQ362" s="81" t="b">
        <v>1</v>
      </c>
      <c r="AR362" s="81" t="b">
        <v>0</v>
      </c>
      <c r="AS362" s="81" t="b">
        <v>0</v>
      </c>
      <c r="AT362" s="81"/>
      <c r="AU362" s="81">
        <v>1</v>
      </c>
      <c r="AV362" s="81"/>
      <c r="AW362" s="81" t="b">
        <v>0</v>
      </c>
      <c r="AX362" s="81" t="s">
        <v>3728</v>
      </c>
      <c r="AY362" s="84" t="str">
        <f>HYPERLINK("https://twitter.com/grillnandus")</f>
        <v>https://twitter.com/grillnandus</v>
      </c>
      <c r="AZ362" s="81" t="s">
        <v>66</v>
      </c>
      <c r="BA362" s="2"/>
      <c r="BB362" s="3"/>
      <c r="BC362" s="3"/>
      <c r="BD362" s="3"/>
      <c r="BE362" s="3"/>
    </row>
    <row r="363" spans="1:57" x14ac:dyDescent="0.35">
      <c r="A363" s="66" t="s">
        <v>4324</v>
      </c>
      <c r="B363" s="67"/>
      <c r="C363" s="67"/>
      <c r="D363" s="68"/>
      <c r="E363" s="94"/>
      <c r="F363" s="93" t="str">
        <f>HYPERLINK("https://pbs.twimg.com/profile_images/1257224579/LogoTwitter_normal.gif")</f>
        <v>https://pbs.twimg.com/profile_images/1257224579/LogoTwitter_normal.gif</v>
      </c>
      <c r="G363" s="95"/>
      <c r="H363" s="71"/>
      <c r="I363" s="72"/>
      <c r="J363" s="96"/>
      <c r="K363" s="71" t="s">
        <v>11611</v>
      </c>
      <c r="L363" s="97"/>
      <c r="M363" s="76"/>
      <c r="N363" s="76"/>
      <c r="O363" s="77"/>
      <c r="P363" s="78"/>
      <c r="Q363" s="78"/>
      <c r="R363" s="92"/>
      <c r="S363" s="92"/>
      <c r="T363" s="92"/>
      <c r="U363" s="92"/>
      <c r="V363" s="52"/>
      <c r="W363" s="52"/>
      <c r="X363" s="52"/>
      <c r="Y363" s="52"/>
      <c r="Z363" s="51"/>
      <c r="AA363" s="73"/>
      <c r="AB363" s="73"/>
      <c r="AC363" s="74"/>
      <c r="AD363" s="81" t="s">
        <v>8243</v>
      </c>
      <c r="AE363" s="86" t="s">
        <v>9290</v>
      </c>
      <c r="AF363" s="81">
        <v>158</v>
      </c>
      <c r="AG363" s="81">
        <v>2772</v>
      </c>
      <c r="AH363" s="81">
        <v>27661</v>
      </c>
      <c r="AI363" s="81">
        <v>229</v>
      </c>
      <c r="AJ363" s="81"/>
      <c r="AK363" s="81" t="s">
        <v>10247</v>
      </c>
      <c r="AL363" s="81" t="s">
        <v>10992</v>
      </c>
      <c r="AM363" s="84" t="str">
        <f>HYPERLINK("http://t.co/OU6fGZTeFI")</f>
        <v>http://t.co/OU6fGZTeFI</v>
      </c>
      <c r="AN363" s="81"/>
      <c r="AO363" s="83">
        <v>40515.793912037036</v>
      </c>
      <c r="AP363" s="84" t="str">
        <f>HYPERLINK("https://pbs.twimg.com/profile_banners/222550066/1419252976")</f>
        <v>https://pbs.twimg.com/profile_banners/222550066/1419252976</v>
      </c>
      <c r="AQ363" s="81" t="b">
        <v>0</v>
      </c>
      <c r="AR363" s="81" t="b">
        <v>0</v>
      </c>
      <c r="AS363" s="81" t="b">
        <v>0</v>
      </c>
      <c r="AT363" s="81"/>
      <c r="AU363" s="81">
        <v>239</v>
      </c>
      <c r="AV363" s="84" t="str">
        <f>HYPERLINK("https://abs.twimg.com/images/themes/theme1/bg.png")</f>
        <v>https://abs.twimg.com/images/themes/theme1/bg.png</v>
      </c>
      <c r="AW363" s="81" t="b">
        <v>0</v>
      </c>
      <c r="AX363" s="81" t="s">
        <v>3728</v>
      </c>
      <c r="AY363" s="84" t="str">
        <f>HYPERLINK("https://twitter.com/artesanatoedu")</f>
        <v>https://twitter.com/artesanatoedu</v>
      </c>
      <c r="AZ363" s="81" t="s">
        <v>66</v>
      </c>
      <c r="BA363" s="2"/>
      <c r="BB363" s="3"/>
      <c r="BC363" s="3"/>
      <c r="BD363" s="3"/>
      <c r="BE363" s="3"/>
    </row>
    <row r="364" spans="1:57" x14ac:dyDescent="0.35">
      <c r="A364" s="66" t="s">
        <v>4327</v>
      </c>
      <c r="B364" s="67"/>
      <c r="C364" s="67"/>
      <c r="D364" s="68"/>
      <c r="E364" s="94"/>
      <c r="F364" s="93" t="str">
        <f>HYPERLINK("https://pbs.twimg.com/profile_images/806807199435456512/z5-Kc20u_normal.jpg")</f>
        <v>https://pbs.twimg.com/profile_images/806807199435456512/z5-Kc20u_normal.jpg</v>
      </c>
      <c r="G364" s="95"/>
      <c r="H364" s="71"/>
      <c r="I364" s="72"/>
      <c r="J364" s="96"/>
      <c r="K364" s="71" t="s">
        <v>11612</v>
      </c>
      <c r="L364" s="97"/>
      <c r="M364" s="76"/>
      <c r="N364" s="76"/>
      <c r="O364" s="77"/>
      <c r="P364" s="78"/>
      <c r="Q364" s="78"/>
      <c r="R364" s="92"/>
      <c r="S364" s="92"/>
      <c r="T364" s="92"/>
      <c r="U364" s="92"/>
      <c r="V364" s="52"/>
      <c r="W364" s="52"/>
      <c r="X364" s="52"/>
      <c r="Y364" s="52"/>
      <c r="Z364" s="51"/>
      <c r="AA364" s="73"/>
      <c r="AB364" s="73"/>
      <c r="AC364" s="74"/>
      <c r="AD364" s="81" t="s">
        <v>8244</v>
      </c>
      <c r="AE364" s="86" t="s">
        <v>9291</v>
      </c>
      <c r="AF364" s="81">
        <v>353</v>
      </c>
      <c r="AG364" s="81">
        <v>4734</v>
      </c>
      <c r="AH364" s="81">
        <v>29337</v>
      </c>
      <c r="AI364" s="81">
        <v>1407</v>
      </c>
      <c r="AJ364" s="81"/>
      <c r="AK364" s="81" t="s">
        <v>10248</v>
      </c>
      <c r="AL364" s="81" t="s">
        <v>10991</v>
      </c>
      <c r="AM364" s="84" t="str">
        <f>HYPERLINK("https://t.co/c72yYvVOLO")</f>
        <v>https://t.co/c72yYvVOLO</v>
      </c>
      <c r="AN364" s="81"/>
      <c r="AO364" s="83">
        <v>39372.617847222224</v>
      </c>
      <c r="AP364" s="84" t="str">
        <f>HYPERLINK("https://pbs.twimg.com/profile_banners/9500222/1360376560")</f>
        <v>https://pbs.twimg.com/profile_banners/9500222/1360376560</v>
      </c>
      <c r="AQ364" s="81" t="b">
        <v>0</v>
      </c>
      <c r="AR364" s="81" t="b">
        <v>0</v>
      </c>
      <c r="AS364" s="81" t="b">
        <v>1</v>
      </c>
      <c r="AT364" s="81"/>
      <c r="AU364" s="81">
        <v>361</v>
      </c>
      <c r="AV364" s="84" t="str">
        <f>HYPERLINK("https://abs.twimg.com/images/themes/theme1/bg.png")</f>
        <v>https://abs.twimg.com/images/themes/theme1/bg.png</v>
      </c>
      <c r="AW364" s="81" t="b">
        <v>0</v>
      </c>
      <c r="AX364" s="81" t="s">
        <v>3728</v>
      </c>
      <c r="AY364" s="84" t="str">
        <f>HYPERLINK("https://twitter.com/joaomattar")</f>
        <v>https://twitter.com/joaomattar</v>
      </c>
      <c r="AZ364" s="81" t="s">
        <v>66</v>
      </c>
      <c r="BA364" s="2"/>
      <c r="BB364" s="3"/>
      <c r="BC364" s="3"/>
      <c r="BD364" s="3"/>
      <c r="BE364" s="3"/>
    </row>
    <row r="365" spans="1:57" x14ac:dyDescent="0.35">
      <c r="A365" s="66" t="s">
        <v>4325</v>
      </c>
      <c r="B365" s="67"/>
      <c r="C365" s="67"/>
      <c r="D365" s="68"/>
      <c r="E365" s="94"/>
      <c r="F365" s="93" t="str">
        <f>HYPERLINK("https://pbs.twimg.com/profile_images/1172454147758678016/pc18AhSV_normal.jpg")</f>
        <v>https://pbs.twimg.com/profile_images/1172454147758678016/pc18AhSV_normal.jpg</v>
      </c>
      <c r="G365" s="95"/>
      <c r="H365" s="71"/>
      <c r="I365" s="72"/>
      <c r="J365" s="96"/>
      <c r="K365" s="71" t="s">
        <v>11613</v>
      </c>
      <c r="L365" s="97"/>
      <c r="M365" s="76"/>
      <c r="N365" s="76"/>
      <c r="O365" s="77"/>
      <c r="P365" s="78"/>
      <c r="Q365" s="78"/>
      <c r="R365" s="92"/>
      <c r="S365" s="92"/>
      <c r="T365" s="92"/>
      <c r="U365" s="92"/>
      <c r="V365" s="52"/>
      <c r="W365" s="52"/>
      <c r="X365" s="52"/>
      <c r="Y365" s="52"/>
      <c r="Z365" s="51"/>
      <c r="AA365" s="73"/>
      <c r="AB365" s="73"/>
      <c r="AC365" s="74"/>
      <c r="AD365" s="81" t="s">
        <v>8245</v>
      </c>
      <c r="AE365" s="86" t="s">
        <v>9292</v>
      </c>
      <c r="AF365" s="81">
        <v>1168</v>
      </c>
      <c r="AG365" s="81">
        <v>2733</v>
      </c>
      <c r="AH365" s="81">
        <v>9444</v>
      </c>
      <c r="AI365" s="81">
        <v>4</v>
      </c>
      <c r="AJ365" s="81"/>
      <c r="AK365" s="81" t="s">
        <v>10249</v>
      </c>
      <c r="AL365" s="81" t="s">
        <v>11083</v>
      </c>
      <c r="AM365" s="84" t="str">
        <f>HYPERLINK("http://t.co/aN1UCRAkLc")</f>
        <v>http://t.co/aN1UCRAkLc</v>
      </c>
      <c r="AN365" s="81"/>
      <c r="AO365" s="83">
        <v>40001.383287037039</v>
      </c>
      <c r="AP365" s="84" t="str">
        <f>HYPERLINK("https://pbs.twimg.com/profile_banners/54496644/1522942914")</f>
        <v>https://pbs.twimg.com/profile_banners/54496644/1522942914</v>
      </c>
      <c r="AQ365" s="81" t="b">
        <v>0</v>
      </c>
      <c r="AR365" s="81" t="b">
        <v>0</v>
      </c>
      <c r="AS365" s="81" t="b">
        <v>0</v>
      </c>
      <c r="AT365" s="81"/>
      <c r="AU365" s="81">
        <v>48</v>
      </c>
      <c r="AV365" s="84" t="str">
        <f>HYPERLINK("https://abs.twimg.com/images/themes/theme1/bg.png")</f>
        <v>https://abs.twimg.com/images/themes/theme1/bg.png</v>
      </c>
      <c r="AW365" s="81" t="b">
        <v>0</v>
      </c>
      <c r="AX365" s="81" t="s">
        <v>3728</v>
      </c>
      <c r="AY365" s="84" t="str">
        <f>HYPERLINK("https://twitter.com/ulusofona")</f>
        <v>https://twitter.com/ulusofona</v>
      </c>
      <c r="AZ365" s="81" t="s">
        <v>66</v>
      </c>
      <c r="BA365" s="2"/>
      <c r="BB365" s="3"/>
      <c r="BC365" s="3"/>
      <c r="BD365" s="3"/>
      <c r="BE365" s="3"/>
    </row>
    <row r="366" spans="1:57" x14ac:dyDescent="0.35">
      <c r="A366" s="66" t="s">
        <v>4326</v>
      </c>
      <c r="B366" s="67"/>
      <c r="C366" s="67"/>
      <c r="D366" s="68"/>
      <c r="E366" s="94"/>
      <c r="F366" s="93" t="str">
        <f>HYPERLINK("https://pbs.twimg.com/profile_images/1360319879673503757/xk2Jj6gw_normal.jpg")</f>
        <v>https://pbs.twimg.com/profile_images/1360319879673503757/xk2Jj6gw_normal.jpg</v>
      </c>
      <c r="G366" s="95"/>
      <c r="H366" s="71"/>
      <c r="I366" s="72"/>
      <c r="J366" s="96"/>
      <c r="K366" s="71" t="s">
        <v>11614</v>
      </c>
      <c r="L366" s="97"/>
      <c r="M366" s="76"/>
      <c r="N366" s="76"/>
      <c r="O366" s="77"/>
      <c r="P366" s="78"/>
      <c r="Q366" s="78"/>
      <c r="R366" s="92"/>
      <c r="S366" s="92"/>
      <c r="T366" s="92"/>
      <c r="U366" s="92"/>
      <c r="V366" s="52"/>
      <c r="W366" s="52"/>
      <c r="X366" s="52"/>
      <c r="Y366" s="52"/>
      <c r="Z366" s="51"/>
      <c r="AA366" s="73"/>
      <c r="AB366" s="73"/>
      <c r="AC366" s="74"/>
      <c r="AD366" s="81" t="s">
        <v>8246</v>
      </c>
      <c r="AE366" s="86" t="s">
        <v>7825</v>
      </c>
      <c r="AF366" s="81">
        <v>203</v>
      </c>
      <c r="AG366" s="81">
        <v>65</v>
      </c>
      <c r="AH366" s="81">
        <v>3893</v>
      </c>
      <c r="AI366" s="81">
        <v>42283</v>
      </c>
      <c r="AJ366" s="81"/>
      <c r="AK366" s="81" t="s">
        <v>10250</v>
      </c>
      <c r="AL366" s="81"/>
      <c r="AM366" s="81"/>
      <c r="AN366" s="81"/>
      <c r="AO366" s="83">
        <v>44208.905370370368</v>
      </c>
      <c r="AP366" s="84" t="str">
        <f>HYPERLINK("https://pbs.twimg.com/profile_banners/1349109448971874306/1613160652")</f>
        <v>https://pbs.twimg.com/profile_banners/1349109448971874306/1613160652</v>
      </c>
      <c r="AQ366" s="81" t="b">
        <v>1</v>
      </c>
      <c r="AR366" s="81" t="b">
        <v>0</v>
      </c>
      <c r="AS366" s="81" t="b">
        <v>0</v>
      </c>
      <c r="AT366" s="81"/>
      <c r="AU366" s="81">
        <v>0</v>
      </c>
      <c r="AV366" s="81"/>
      <c r="AW366" s="81" t="b">
        <v>0</v>
      </c>
      <c r="AX366" s="81" t="s">
        <v>3728</v>
      </c>
      <c r="AY366" s="84" t="str">
        <f>HYPERLINK("https://twitter.com/brunolo15379312")</f>
        <v>https://twitter.com/brunolo15379312</v>
      </c>
      <c r="AZ366" s="81" t="s">
        <v>66</v>
      </c>
      <c r="BA366" s="2"/>
      <c r="BB366" s="3"/>
      <c r="BC366" s="3"/>
      <c r="BD366" s="3"/>
      <c r="BE366" s="3"/>
    </row>
    <row r="367" spans="1:57" x14ac:dyDescent="0.35">
      <c r="A367" s="66" t="s">
        <v>5030</v>
      </c>
      <c r="B367" s="67"/>
      <c r="C367" s="67"/>
      <c r="D367" s="68"/>
      <c r="E367" s="94"/>
      <c r="F367" s="93" t="str">
        <f>HYPERLINK("https://pbs.twimg.com/profile_images/1428540452005982212/JzwIacf5_normal.jpg")</f>
        <v>https://pbs.twimg.com/profile_images/1428540452005982212/JzwIacf5_normal.jpg</v>
      </c>
      <c r="G367" s="95"/>
      <c r="H367" s="71"/>
      <c r="I367" s="72"/>
      <c r="J367" s="96"/>
      <c r="K367" s="71" t="s">
        <v>11615</v>
      </c>
      <c r="L367" s="97"/>
      <c r="M367" s="76"/>
      <c r="N367" s="76"/>
      <c r="O367" s="77"/>
      <c r="P367" s="78"/>
      <c r="Q367" s="78"/>
      <c r="R367" s="92"/>
      <c r="S367" s="92"/>
      <c r="T367" s="92"/>
      <c r="U367" s="92"/>
      <c r="V367" s="52"/>
      <c r="W367" s="52"/>
      <c r="X367" s="52"/>
      <c r="Y367" s="52"/>
      <c r="Z367" s="51"/>
      <c r="AA367" s="73"/>
      <c r="AB367" s="73"/>
      <c r="AC367" s="74"/>
      <c r="AD367" s="81" t="s">
        <v>8247</v>
      </c>
      <c r="AE367" s="86" t="s">
        <v>9293</v>
      </c>
      <c r="AF367" s="81">
        <v>231</v>
      </c>
      <c r="AG367" s="81">
        <v>14</v>
      </c>
      <c r="AH367" s="81">
        <v>2564</v>
      </c>
      <c r="AI367" s="81">
        <v>3</v>
      </c>
      <c r="AJ367" s="81"/>
      <c r="AK367" s="81" t="s">
        <v>13928</v>
      </c>
      <c r="AL367" s="81"/>
      <c r="AM367" s="81"/>
      <c r="AN367" s="81"/>
      <c r="AO367" s="83">
        <v>44427.008530092593</v>
      </c>
      <c r="AP367" s="81"/>
      <c r="AQ367" s="81" t="b">
        <v>1</v>
      </c>
      <c r="AR367" s="81" t="b">
        <v>0</v>
      </c>
      <c r="AS367" s="81" t="b">
        <v>0</v>
      </c>
      <c r="AT367" s="81"/>
      <c r="AU367" s="81">
        <v>0</v>
      </c>
      <c r="AV367" s="81"/>
      <c r="AW367" s="81" t="b">
        <v>0</v>
      </c>
      <c r="AX367" s="81" t="s">
        <v>3728</v>
      </c>
      <c r="AY367" s="84" t="str">
        <f>HYPERLINK("https://twitter.com/jacksondavirada")</f>
        <v>https://twitter.com/jacksondavirada</v>
      </c>
      <c r="AZ367" s="81" t="s">
        <v>65</v>
      </c>
      <c r="BA367" s="2"/>
      <c r="BB367" s="3"/>
      <c r="BC367" s="3"/>
      <c r="BD367" s="3"/>
      <c r="BE367" s="3"/>
    </row>
    <row r="368" spans="1:57" x14ac:dyDescent="0.35">
      <c r="A368" s="66" t="s">
        <v>5031</v>
      </c>
      <c r="B368" s="67"/>
      <c r="C368" s="67"/>
      <c r="D368" s="68"/>
      <c r="E368" s="94"/>
      <c r="F368" s="93" t="str">
        <f>HYPERLINK("https://pbs.twimg.com/profile_images/1435599253934641163/QGmmjmU4_normal.jpg")</f>
        <v>https://pbs.twimg.com/profile_images/1435599253934641163/QGmmjmU4_normal.jpg</v>
      </c>
      <c r="G368" s="95"/>
      <c r="H368" s="71"/>
      <c r="I368" s="72"/>
      <c r="J368" s="96"/>
      <c r="K368" s="71" t="s">
        <v>11616</v>
      </c>
      <c r="L368" s="97"/>
      <c r="M368" s="76"/>
      <c r="N368" s="76"/>
      <c r="O368" s="77"/>
      <c r="P368" s="78"/>
      <c r="Q368" s="78"/>
      <c r="R368" s="92"/>
      <c r="S368" s="92"/>
      <c r="T368" s="92"/>
      <c r="U368" s="92"/>
      <c r="V368" s="52"/>
      <c r="W368" s="52"/>
      <c r="X368" s="52"/>
      <c r="Y368" s="52"/>
      <c r="Z368" s="51"/>
      <c r="AA368" s="73"/>
      <c r="AB368" s="73"/>
      <c r="AC368" s="74"/>
      <c r="AD368" s="81" t="s">
        <v>8248</v>
      </c>
      <c r="AE368" s="86" t="s">
        <v>9294</v>
      </c>
      <c r="AF368" s="81">
        <v>974</v>
      </c>
      <c r="AG368" s="81">
        <v>995</v>
      </c>
      <c r="AH368" s="81">
        <v>55145</v>
      </c>
      <c r="AI368" s="81">
        <v>106039</v>
      </c>
      <c r="AJ368" s="81"/>
      <c r="AK368" s="81" t="s">
        <v>10251</v>
      </c>
      <c r="AL368" s="81" t="s">
        <v>8001</v>
      </c>
      <c r="AM368" s="81"/>
      <c r="AN368" s="81"/>
      <c r="AO368" s="83">
        <v>42479.713217592594</v>
      </c>
      <c r="AP368" s="84" t="str">
        <f>HYPERLINK("https://pbs.twimg.com/profile_banners/722471581210054657/1630031804")</f>
        <v>https://pbs.twimg.com/profile_banners/722471581210054657/1630031804</v>
      </c>
      <c r="AQ368" s="81" t="b">
        <v>0</v>
      </c>
      <c r="AR368" s="81" t="b">
        <v>0</v>
      </c>
      <c r="AS368" s="81" t="b">
        <v>0</v>
      </c>
      <c r="AT368" s="81"/>
      <c r="AU368" s="81">
        <v>3</v>
      </c>
      <c r="AV368" s="84" t="str">
        <f>HYPERLINK("https://abs.twimg.com/images/themes/theme1/bg.png")</f>
        <v>https://abs.twimg.com/images/themes/theme1/bg.png</v>
      </c>
      <c r="AW368" s="81" t="b">
        <v>0</v>
      </c>
      <c r="AX368" s="81" t="s">
        <v>3728</v>
      </c>
      <c r="AY368" s="84" t="str">
        <f>HYPERLINK("https://twitter.com/anasaturnina1")</f>
        <v>https://twitter.com/anasaturnina1</v>
      </c>
      <c r="AZ368" s="81" t="s">
        <v>65</v>
      </c>
      <c r="BA368" s="2"/>
      <c r="BB368" s="3"/>
      <c r="BC368" s="3"/>
      <c r="BD368" s="3"/>
      <c r="BE368" s="3"/>
    </row>
    <row r="369" spans="1:57" x14ac:dyDescent="0.35">
      <c r="A369" s="66" t="s">
        <v>5032</v>
      </c>
      <c r="B369" s="67"/>
      <c r="C369" s="67"/>
      <c r="D369" s="68"/>
      <c r="E369" s="94"/>
      <c r="F369" s="93" t="str">
        <f>HYPERLINK("https://pbs.twimg.com/profile_images/1425046613060460547/W_DPutYU_normal.jpg")</f>
        <v>https://pbs.twimg.com/profile_images/1425046613060460547/W_DPutYU_normal.jpg</v>
      </c>
      <c r="G369" s="95"/>
      <c r="H369" s="71"/>
      <c r="I369" s="72"/>
      <c r="J369" s="96"/>
      <c r="K369" s="71" t="s">
        <v>11617</v>
      </c>
      <c r="L369" s="97"/>
      <c r="M369" s="76"/>
      <c r="N369" s="76"/>
      <c r="O369" s="77"/>
      <c r="P369" s="78"/>
      <c r="Q369" s="78"/>
      <c r="R369" s="92"/>
      <c r="S369" s="92"/>
      <c r="T369" s="92"/>
      <c r="U369" s="92"/>
      <c r="V369" s="52"/>
      <c r="W369" s="52"/>
      <c r="X369" s="52"/>
      <c r="Y369" s="52"/>
      <c r="Z369" s="51"/>
      <c r="AA369" s="73"/>
      <c r="AB369" s="73"/>
      <c r="AC369" s="74"/>
      <c r="AD369" s="81" t="s">
        <v>8249</v>
      </c>
      <c r="AE369" s="86" t="s">
        <v>7952</v>
      </c>
      <c r="AF369" s="81">
        <v>172</v>
      </c>
      <c r="AG369" s="81">
        <v>537201</v>
      </c>
      <c r="AH369" s="81">
        <v>99670</v>
      </c>
      <c r="AI369" s="81">
        <v>105</v>
      </c>
      <c r="AJ369" s="81"/>
      <c r="AK369" s="81" t="s">
        <v>10252</v>
      </c>
      <c r="AL369" s="81" t="s">
        <v>10975</v>
      </c>
      <c r="AM369" s="84" t="str">
        <f>HYPERLINK("http://t.co/ls4seilFoR")</f>
        <v>http://t.co/ls4seilFoR</v>
      </c>
      <c r="AN369" s="81"/>
      <c r="AO369" s="83">
        <v>40346.769513888888</v>
      </c>
      <c r="AP369" s="84" t="str">
        <f>HYPERLINK("https://pbs.twimg.com/profile_banners/156719729/1619630264")</f>
        <v>https://pbs.twimg.com/profile_banners/156719729/1619630264</v>
      </c>
      <c r="AQ369" s="81" t="b">
        <v>0</v>
      </c>
      <c r="AR369" s="81" t="b">
        <v>0</v>
      </c>
      <c r="AS369" s="81" t="b">
        <v>1</v>
      </c>
      <c r="AT369" s="81"/>
      <c r="AU369" s="81">
        <v>2829</v>
      </c>
      <c r="AV369" s="84" t="str">
        <f>HYPERLINK("https://abs.twimg.com/images/themes/theme1/bg.png")</f>
        <v>https://abs.twimg.com/images/themes/theme1/bg.png</v>
      </c>
      <c r="AW369" s="81" t="b">
        <v>1</v>
      </c>
      <c r="AX369" s="81" t="s">
        <v>3728</v>
      </c>
      <c r="AY369" s="84" t="str">
        <f>HYPERLINK("https://twitter.com/oglobopolitica")</f>
        <v>https://twitter.com/oglobopolitica</v>
      </c>
      <c r="AZ369" s="81" t="s">
        <v>65</v>
      </c>
      <c r="BA369" s="2"/>
      <c r="BB369" s="3"/>
      <c r="BC369" s="3"/>
      <c r="BD369" s="3"/>
      <c r="BE369" s="3"/>
    </row>
    <row r="370" spans="1:57" x14ac:dyDescent="0.35">
      <c r="A370" s="66" t="s">
        <v>4328</v>
      </c>
      <c r="B370" s="67"/>
      <c r="C370" s="67"/>
      <c r="D370" s="68"/>
      <c r="E370" s="94"/>
      <c r="F370" s="93" t="str">
        <f>HYPERLINK("https://pbs.twimg.com/profile_images/1538917972/logotipo_ead_final_normal.jpg")</f>
        <v>https://pbs.twimg.com/profile_images/1538917972/logotipo_ead_final_normal.jpg</v>
      </c>
      <c r="G370" s="95"/>
      <c r="H370" s="71"/>
      <c r="I370" s="72"/>
      <c r="J370" s="96"/>
      <c r="K370" s="71" t="s">
        <v>11618</v>
      </c>
      <c r="L370" s="97"/>
      <c r="M370" s="76"/>
      <c r="N370" s="76"/>
      <c r="O370" s="77"/>
      <c r="P370" s="78"/>
      <c r="Q370" s="78"/>
      <c r="R370" s="92"/>
      <c r="S370" s="92"/>
      <c r="T370" s="92"/>
      <c r="U370" s="92"/>
      <c r="V370" s="52"/>
      <c r="W370" s="52"/>
      <c r="X370" s="52"/>
      <c r="Y370" s="52"/>
      <c r="Z370" s="51"/>
      <c r="AA370" s="73"/>
      <c r="AB370" s="73"/>
      <c r="AC370" s="74"/>
      <c r="AD370" s="81" t="s">
        <v>8250</v>
      </c>
      <c r="AE370" s="86" t="s">
        <v>9295</v>
      </c>
      <c r="AF370" s="81">
        <v>482</v>
      </c>
      <c r="AG370" s="81">
        <v>1155</v>
      </c>
      <c r="AH370" s="81">
        <v>6689</v>
      </c>
      <c r="AI370" s="81">
        <v>237</v>
      </c>
      <c r="AJ370" s="81"/>
      <c r="AK370" s="81" t="s">
        <v>10253</v>
      </c>
      <c r="AL370" s="81" t="s">
        <v>10992</v>
      </c>
      <c r="AM370" s="84" t="str">
        <f>HYPERLINK("http://t.co/p8tzl4S84L")</f>
        <v>http://t.co/p8tzl4S84L</v>
      </c>
      <c r="AN370" s="81"/>
      <c r="AO370" s="83">
        <v>40786.905868055554</v>
      </c>
      <c r="AP370" s="81"/>
      <c r="AQ370" s="81" t="b">
        <v>0</v>
      </c>
      <c r="AR370" s="81" t="b">
        <v>0</v>
      </c>
      <c r="AS370" s="81" t="b">
        <v>0</v>
      </c>
      <c r="AT370" s="81"/>
      <c r="AU370" s="81">
        <v>41</v>
      </c>
      <c r="AV370" s="84" t="str">
        <f>HYPERLINK("https://abs.twimg.com/images/themes/theme1/bg.png")</f>
        <v>https://abs.twimg.com/images/themes/theme1/bg.png</v>
      </c>
      <c r="AW370" s="81" t="b">
        <v>0</v>
      </c>
      <c r="AX370" s="81" t="s">
        <v>3728</v>
      </c>
      <c r="AY370" s="84" t="str">
        <f>HYPERLINK("https://twitter.com/jornadaead")</f>
        <v>https://twitter.com/jornadaead</v>
      </c>
      <c r="AZ370" s="81" t="s">
        <v>66</v>
      </c>
      <c r="BA370" s="2"/>
      <c r="BB370" s="3"/>
      <c r="BC370" s="3"/>
      <c r="BD370" s="3"/>
      <c r="BE370" s="3"/>
    </row>
    <row r="371" spans="1:57" x14ac:dyDescent="0.35">
      <c r="A371" s="66" t="s">
        <v>4329</v>
      </c>
      <c r="B371" s="67"/>
      <c r="C371" s="67"/>
      <c r="D371" s="68"/>
      <c r="E371" s="94"/>
      <c r="F371" s="93" t="str">
        <f>HYPERLINK("https://pbs.twimg.com/profile_images/1042099600298074114/YG0sy9iy_normal.jpg")</f>
        <v>https://pbs.twimg.com/profile_images/1042099600298074114/YG0sy9iy_normal.jpg</v>
      </c>
      <c r="G371" s="95"/>
      <c r="H371" s="71"/>
      <c r="I371" s="72"/>
      <c r="J371" s="96"/>
      <c r="K371" s="71" t="s">
        <v>11619</v>
      </c>
      <c r="L371" s="97"/>
      <c r="M371" s="76"/>
      <c r="N371" s="76"/>
      <c r="O371" s="77"/>
      <c r="P371" s="78"/>
      <c r="Q371" s="78"/>
      <c r="R371" s="92"/>
      <c r="S371" s="92"/>
      <c r="T371" s="92"/>
      <c r="U371" s="92"/>
      <c r="V371" s="52"/>
      <c r="W371" s="52"/>
      <c r="X371" s="52"/>
      <c r="Y371" s="52"/>
      <c r="Z371" s="51"/>
      <c r="AA371" s="73"/>
      <c r="AB371" s="73"/>
      <c r="AC371" s="74"/>
      <c r="AD371" s="81" t="s">
        <v>8251</v>
      </c>
      <c r="AE371" s="86" t="s">
        <v>9296</v>
      </c>
      <c r="AF371" s="81">
        <v>96</v>
      </c>
      <c r="AG371" s="81">
        <v>477</v>
      </c>
      <c r="AH371" s="81">
        <v>10867</v>
      </c>
      <c r="AI371" s="81">
        <v>379</v>
      </c>
      <c r="AJ371" s="81"/>
      <c r="AK371" s="81" t="s">
        <v>10254</v>
      </c>
      <c r="AL371" s="81" t="s">
        <v>10970</v>
      </c>
      <c r="AM371" s="84" t="str">
        <f>HYPERLINK("https://t.co/rpvAiO48eX")</f>
        <v>https://t.co/rpvAiO48eX</v>
      </c>
      <c r="AN371" s="81"/>
      <c r="AO371" s="83">
        <v>41423.73238425926</v>
      </c>
      <c r="AP371" s="84" t="str">
        <f>HYPERLINK("https://pbs.twimg.com/profile_banners/1467809664/1537291022")</f>
        <v>https://pbs.twimg.com/profile_banners/1467809664/1537291022</v>
      </c>
      <c r="AQ371" s="81" t="b">
        <v>1</v>
      </c>
      <c r="AR371" s="81" t="b">
        <v>0</v>
      </c>
      <c r="AS371" s="81" t="b">
        <v>0</v>
      </c>
      <c r="AT371" s="81"/>
      <c r="AU371" s="81">
        <v>7</v>
      </c>
      <c r="AV371" s="84" t="str">
        <f>HYPERLINK("https://abs.twimg.com/images/themes/theme1/bg.png")</f>
        <v>https://abs.twimg.com/images/themes/theme1/bg.png</v>
      </c>
      <c r="AW371" s="81" t="b">
        <v>0</v>
      </c>
      <c r="AX371" s="81" t="s">
        <v>3728</v>
      </c>
      <c r="AY371" s="84" t="str">
        <f>HYPERLINK("https://twitter.com/nuclearsocial")</f>
        <v>https://twitter.com/nuclearsocial</v>
      </c>
      <c r="AZ371" s="81" t="s">
        <v>66</v>
      </c>
      <c r="BA371" s="2"/>
      <c r="BB371" s="3"/>
      <c r="BC371" s="3"/>
      <c r="BD371" s="3"/>
      <c r="BE371" s="3"/>
    </row>
    <row r="372" spans="1:57" x14ac:dyDescent="0.35">
      <c r="A372" s="66" t="s">
        <v>4330</v>
      </c>
      <c r="B372" s="67"/>
      <c r="C372" s="67"/>
      <c r="D372" s="68"/>
      <c r="E372" s="94"/>
      <c r="F372" s="93" t="str">
        <f>HYPERLINK("https://pbs.twimg.com/profile_images/1434611624518852611/FN1QiZhF_normal.jpg")</f>
        <v>https://pbs.twimg.com/profile_images/1434611624518852611/FN1QiZhF_normal.jpg</v>
      </c>
      <c r="G372" s="95"/>
      <c r="H372" s="71"/>
      <c r="I372" s="72"/>
      <c r="J372" s="96"/>
      <c r="K372" s="71" t="s">
        <v>11620</v>
      </c>
      <c r="L372" s="97"/>
      <c r="M372" s="76"/>
      <c r="N372" s="76"/>
      <c r="O372" s="77"/>
      <c r="P372" s="78"/>
      <c r="Q372" s="78"/>
      <c r="R372" s="92"/>
      <c r="S372" s="92"/>
      <c r="T372" s="92"/>
      <c r="U372" s="92"/>
      <c r="V372" s="52"/>
      <c r="W372" s="52"/>
      <c r="X372" s="52"/>
      <c r="Y372" s="52"/>
      <c r="Z372" s="51"/>
      <c r="AA372" s="73"/>
      <c r="AB372" s="73"/>
      <c r="AC372" s="74"/>
      <c r="AD372" s="81" t="s">
        <v>8252</v>
      </c>
      <c r="AE372" s="86" t="s">
        <v>7826</v>
      </c>
      <c r="AF372" s="81">
        <v>932</v>
      </c>
      <c r="AG372" s="81">
        <v>2681</v>
      </c>
      <c r="AH372" s="81">
        <v>14346</v>
      </c>
      <c r="AI372" s="81">
        <v>11709</v>
      </c>
      <c r="AJ372" s="81"/>
      <c r="AK372" s="81" t="s">
        <v>10255</v>
      </c>
      <c r="AL372" s="81" t="s">
        <v>11084</v>
      </c>
      <c r="AM372" s="84" t="str">
        <f>HYPERLINK("https://t.co/RWTYMC7X6Y")</f>
        <v>https://t.co/RWTYMC7X6Y</v>
      </c>
      <c r="AN372" s="81"/>
      <c r="AO372" s="83">
        <v>42098.215138888889</v>
      </c>
      <c r="AP372" s="84" t="str">
        <f>HYPERLINK("https://pbs.twimg.com/profile_banners/3132404397/1618584832")</f>
        <v>https://pbs.twimg.com/profile_banners/3132404397/1618584832</v>
      </c>
      <c r="AQ372" s="81" t="b">
        <v>0</v>
      </c>
      <c r="AR372" s="81" t="b">
        <v>0</v>
      </c>
      <c r="AS372" s="81" t="b">
        <v>1</v>
      </c>
      <c r="AT372" s="81"/>
      <c r="AU372" s="81">
        <v>6</v>
      </c>
      <c r="AV372" s="84" t="str">
        <f>HYPERLINK("https://abs.twimg.com/images/themes/theme1/bg.png")</f>
        <v>https://abs.twimg.com/images/themes/theme1/bg.png</v>
      </c>
      <c r="AW372" s="81" t="b">
        <v>0</v>
      </c>
      <c r="AX372" s="81" t="s">
        <v>3728</v>
      </c>
      <c r="AY372" s="84" t="str">
        <f>HYPERLINK("https://twitter.com/ayanishimuta")</f>
        <v>https://twitter.com/ayanishimuta</v>
      </c>
      <c r="AZ372" s="81" t="s">
        <v>66</v>
      </c>
      <c r="BA372" s="2"/>
      <c r="BB372" s="3"/>
      <c r="BC372" s="3"/>
      <c r="BD372" s="3"/>
      <c r="BE372" s="3"/>
    </row>
    <row r="373" spans="1:57" x14ac:dyDescent="0.35">
      <c r="A373" s="66" t="s">
        <v>4331</v>
      </c>
      <c r="B373" s="67"/>
      <c r="C373" s="67"/>
      <c r="D373" s="68"/>
      <c r="E373" s="94"/>
      <c r="F373" s="93" t="str">
        <f>HYPERLINK("https://pbs.twimg.com/profile_images/1325498228788383744/HrZS8Fri_normal.jpg")</f>
        <v>https://pbs.twimg.com/profile_images/1325498228788383744/HrZS8Fri_normal.jpg</v>
      </c>
      <c r="G373" s="95"/>
      <c r="H373" s="71"/>
      <c r="I373" s="72"/>
      <c r="J373" s="96"/>
      <c r="K373" s="71" t="s">
        <v>11621</v>
      </c>
      <c r="L373" s="97"/>
      <c r="M373" s="76"/>
      <c r="N373" s="76"/>
      <c r="O373" s="77"/>
      <c r="P373" s="78"/>
      <c r="Q373" s="78"/>
      <c r="R373" s="92"/>
      <c r="S373" s="92"/>
      <c r="T373" s="92"/>
      <c r="U373" s="92"/>
      <c r="V373" s="52"/>
      <c r="W373" s="52"/>
      <c r="X373" s="52"/>
      <c r="Y373" s="52"/>
      <c r="Z373" s="51"/>
      <c r="AA373" s="73"/>
      <c r="AB373" s="73"/>
      <c r="AC373" s="74"/>
      <c r="AD373" s="81" t="s">
        <v>8253</v>
      </c>
      <c r="AE373" s="86" t="s">
        <v>7827</v>
      </c>
      <c r="AF373" s="81">
        <v>225</v>
      </c>
      <c r="AG373" s="81">
        <v>112</v>
      </c>
      <c r="AH373" s="81">
        <v>971</v>
      </c>
      <c r="AI373" s="81">
        <v>523</v>
      </c>
      <c r="AJ373" s="81"/>
      <c r="AK373" s="81" t="s">
        <v>10256</v>
      </c>
      <c r="AL373" s="81"/>
      <c r="AM373" s="81"/>
      <c r="AN373" s="81"/>
      <c r="AO373" s="83">
        <v>43925.836273148147</v>
      </c>
      <c r="AP373" s="84" t="str">
        <f>HYPERLINK("https://pbs.twimg.com/profile_banners/1246528995442769927/1586317633")</f>
        <v>https://pbs.twimg.com/profile_banners/1246528995442769927/1586317633</v>
      </c>
      <c r="AQ373" s="81" t="b">
        <v>1</v>
      </c>
      <c r="AR373" s="81" t="b">
        <v>0</v>
      </c>
      <c r="AS373" s="81" t="b">
        <v>0</v>
      </c>
      <c r="AT373" s="81"/>
      <c r="AU373" s="81">
        <v>0</v>
      </c>
      <c r="AV373" s="81"/>
      <c r="AW373" s="81" t="b">
        <v>0</v>
      </c>
      <c r="AX373" s="81" t="s">
        <v>3728</v>
      </c>
      <c r="AY373" s="84" t="str">
        <f>HYPERLINK("https://twitter.com/eusamircrf")</f>
        <v>https://twitter.com/eusamircrf</v>
      </c>
      <c r="AZ373" s="81" t="s">
        <v>66</v>
      </c>
      <c r="BA373" s="2"/>
      <c r="BB373" s="3"/>
      <c r="BC373" s="3"/>
      <c r="BD373" s="3"/>
      <c r="BE373" s="3"/>
    </row>
    <row r="374" spans="1:57" x14ac:dyDescent="0.35">
      <c r="A374" s="66" t="s">
        <v>5033</v>
      </c>
      <c r="B374" s="67"/>
      <c r="C374" s="67"/>
      <c r="D374" s="68"/>
      <c r="E374" s="94"/>
      <c r="F374" s="93" t="str">
        <f>HYPERLINK("https://pbs.twimg.com/profile_images/1378916386781728770/mD8ZXcrY_normal.jpg")</f>
        <v>https://pbs.twimg.com/profile_images/1378916386781728770/mD8ZXcrY_normal.jpg</v>
      </c>
      <c r="G374" s="95"/>
      <c r="H374" s="71"/>
      <c r="I374" s="72"/>
      <c r="J374" s="96"/>
      <c r="K374" s="71" t="s">
        <v>11622</v>
      </c>
      <c r="L374" s="97"/>
      <c r="M374" s="76"/>
      <c r="N374" s="76"/>
      <c r="O374" s="77"/>
      <c r="P374" s="78"/>
      <c r="Q374" s="78"/>
      <c r="R374" s="92"/>
      <c r="S374" s="92"/>
      <c r="T374" s="92"/>
      <c r="U374" s="92"/>
      <c r="V374" s="52"/>
      <c r="W374" s="52"/>
      <c r="X374" s="52"/>
      <c r="Y374" s="52"/>
      <c r="Z374" s="51"/>
      <c r="AA374" s="73"/>
      <c r="AB374" s="73"/>
      <c r="AC374" s="74"/>
      <c r="AD374" s="81" t="s">
        <v>8254</v>
      </c>
      <c r="AE374" s="86" t="s">
        <v>9297</v>
      </c>
      <c r="AF374" s="81">
        <v>425</v>
      </c>
      <c r="AG374" s="81">
        <v>306347</v>
      </c>
      <c r="AH374" s="81">
        <v>10179</v>
      </c>
      <c r="AI374" s="81">
        <v>41646</v>
      </c>
      <c r="AJ374" s="81"/>
      <c r="AK374" s="81" t="s">
        <v>10257</v>
      </c>
      <c r="AL374" s="81" t="s">
        <v>11085</v>
      </c>
      <c r="AM374" s="81"/>
      <c r="AN374" s="81"/>
      <c r="AO374" s="83">
        <v>42203.910324074073</v>
      </c>
      <c r="AP374" s="84" t="str">
        <f>HYPERLINK("https://pbs.twimg.com/profile_banners/3382346020/1598571237")</f>
        <v>https://pbs.twimg.com/profile_banners/3382346020/1598571237</v>
      </c>
      <c r="AQ374" s="81" t="b">
        <v>1</v>
      </c>
      <c r="AR374" s="81" t="b">
        <v>0</v>
      </c>
      <c r="AS374" s="81" t="b">
        <v>1</v>
      </c>
      <c r="AT374" s="81"/>
      <c r="AU374" s="81">
        <v>189</v>
      </c>
      <c r="AV374" s="84" t="str">
        <f>HYPERLINK("https://abs.twimg.com/images/themes/theme1/bg.png")</f>
        <v>https://abs.twimg.com/images/themes/theme1/bg.png</v>
      </c>
      <c r="AW374" s="81" t="b">
        <v>1</v>
      </c>
      <c r="AX374" s="81" t="s">
        <v>3728</v>
      </c>
      <c r="AY374" s="84" t="str">
        <f>HYPERLINK("https://twitter.com/hugo99_")</f>
        <v>https://twitter.com/hugo99_</v>
      </c>
      <c r="AZ374" s="81" t="s">
        <v>65</v>
      </c>
      <c r="BA374" s="2"/>
      <c r="BB374" s="3"/>
      <c r="BC374" s="3"/>
      <c r="BD374" s="3"/>
      <c r="BE374" s="3"/>
    </row>
    <row r="375" spans="1:57" x14ac:dyDescent="0.35">
      <c r="A375" s="66" t="s">
        <v>4332</v>
      </c>
      <c r="B375" s="67"/>
      <c r="C375" s="67"/>
      <c r="D375" s="68"/>
      <c r="E375" s="94"/>
      <c r="F375" s="93" t="str">
        <f>HYPERLINK("https://pbs.twimg.com/profile_images/1435865996091277316/43hyBHvp_normal.jpg")</f>
        <v>https://pbs.twimg.com/profile_images/1435865996091277316/43hyBHvp_normal.jpg</v>
      </c>
      <c r="G375" s="95"/>
      <c r="H375" s="71"/>
      <c r="I375" s="72"/>
      <c r="J375" s="96"/>
      <c r="K375" s="71" t="s">
        <v>11623</v>
      </c>
      <c r="L375" s="97"/>
      <c r="M375" s="76"/>
      <c r="N375" s="76"/>
      <c r="O375" s="77"/>
      <c r="P375" s="78"/>
      <c r="Q375" s="78"/>
      <c r="R375" s="92"/>
      <c r="S375" s="92"/>
      <c r="T375" s="92"/>
      <c r="U375" s="92"/>
      <c r="V375" s="52"/>
      <c r="W375" s="52"/>
      <c r="X375" s="52"/>
      <c r="Y375" s="52"/>
      <c r="Z375" s="51"/>
      <c r="AA375" s="73"/>
      <c r="AB375" s="73"/>
      <c r="AC375" s="74"/>
      <c r="AD375" s="81" t="s">
        <v>8255</v>
      </c>
      <c r="AE375" s="86" t="s">
        <v>9298</v>
      </c>
      <c r="AF375" s="81">
        <v>212</v>
      </c>
      <c r="AG375" s="81">
        <v>639</v>
      </c>
      <c r="AH375" s="81">
        <v>24545</v>
      </c>
      <c r="AI375" s="81">
        <v>16123</v>
      </c>
      <c r="AJ375" s="81"/>
      <c r="AK375" s="81" t="s">
        <v>10258</v>
      </c>
      <c r="AL375" s="81"/>
      <c r="AM375" s="81"/>
      <c r="AN375" s="81"/>
      <c r="AO375" s="83">
        <v>42005.41778935185</v>
      </c>
      <c r="AP375" s="84" t="str">
        <f>HYPERLINK("https://pbs.twimg.com/profile_banners/2954593572/1631169833")</f>
        <v>https://pbs.twimg.com/profile_banners/2954593572/1631169833</v>
      </c>
      <c r="AQ375" s="81" t="b">
        <v>1</v>
      </c>
      <c r="AR375" s="81" t="b">
        <v>0</v>
      </c>
      <c r="AS375" s="81" t="b">
        <v>0</v>
      </c>
      <c r="AT375" s="81"/>
      <c r="AU375" s="81">
        <v>4</v>
      </c>
      <c r="AV375" s="84" t="str">
        <f>HYPERLINK("https://abs.twimg.com/images/themes/theme1/bg.png")</f>
        <v>https://abs.twimg.com/images/themes/theme1/bg.png</v>
      </c>
      <c r="AW375" s="81" t="b">
        <v>0</v>
      </c>
      <c r="AX375" s="81" t="s">
        <v>3728</v>
      </c>
      <c r="AY375" s="84" t="str">
        <f>HYPERLINK("https://twitter.com/wincayyy")</f>
        <v>https://twitter.com/wincayyy</v>
      </c>
      <c r="AZ375" s="81" t="s">
        <v>66</v>
      </c>
      <c r="BA375" s="2"/>
      <c r="BB375" s="3"/>
      <c r="BC375" s="3"/>
      <c r="BD375" s="3"/>
      <c r="BE375" s="3"/>
    </row>
    <row r="376" spans="1:57" x14ac:dyDescent="0.35">
      <c r="A376" s="66" t="s">
        <v>4333</v>
      </c>
      <c r="B376" s="67"/>
      <c r="C376" s="67"/>
      <c r="D376" s="68"/>
      <c r="E376" s="94"/>
      <c r="F376" s="93" t="str">
        <f>HYPERLINK("https://pbs.twimg.com/profile_images/1440811035187761154/AfijV3Te_normal.jpg")</f>
        <v>https://pbs.twimg.com/profile_images/1440811035187761154/AfijV3Te_normal.jpg</v>
      </c>
      <c r="G376" s="95"/>
      <c r="H376" s="71"/>
      <c r="I376" s="72"/>
      <c r="J376" s="96"/>
      <c r="K376" s="71" t="s">
        <v>11624</v>
      </c>
      <c r="L376" s="97"/>
      <c r="M376" s="76"/>
      <c r="N376" s="76"/>
      <c r="O376" s="77"/>
      <c r="P376" s="78"/>
      <c r="Q376" s="78"/>
      <c r="R376" s="92"/>
      <c r="S376" s="92"/>
      <c r="T376" s="92"/>
      <c r="U376" s="92"/>
      <c r="V376" s="52"/>
      <c r="W376" s="52"/>
      <c r="X376" s="52"/>
      <c r="Y376" s="52"/>
      <c r="Z376" s="51"/>
      <c r="AA376" s="73"/>
      <c r="AB376" s="73"/>
      <c r="AC376" s="74"/>
      <c r="AD376" s="81" t="s">
        <v>8256</v>
      </c>
      <c r="AE376" s="86" t="s">
        <v>9299</v>
      </c>
      <c r="AF376" s="81">
        <v>94</v>
      </c>
      <c r="AG376" s="81">
        <v>68</v>
      </c>
      <c r="AH376" s="81">
        <v>4481</v>
      </c>
      <c r="AI376" s="81">
        <v>9035</v>
      </c>
      <c r="AJ376" s="81"/>
      <c r="AK376" s="81" t="s">
        <v>10259</v>
      </c>
      <c r="AL376" s="81"/>
      <c r="AM376" s="81"/>
      <c r="AN376" s="81"/>
      <c r="AO376" s="83">
        <v>43857.732048611113</v>
      </c>
      <c r="AP376" s="84" t="str">
        <f>HYPERLINK("https://pbs.twimg.com/profile_banners/1221848727155068942/1625531946")</f>
        <v>https://pbs.twimg.com/profile_banners/1221848727155068942/1625531946</v>
      </c>
      <c r="AQ376" s="81" t="b">
        <v>1</v>
      </c>
      <c r="AR376" s="81" t="b">
        <v>0</v>
      </c>
      <c r="AS376" s="81" t="b">
        <v>0</v>
      </c>
      <c r="AT376" s="81"/>
      <c r="AU376" s="81">
        <v>0</v>
      </c>
      <c r="AV376" s="81"/>
      <c r="AW376" s="81" t="b">
        <v>0</v>
      </c>
      <c r="AX376" s="81" t="s">
        <v>3728</v>
      </c>
      <c r="AY376" s="84" t="str">
        <f>HYPERLINK("https://twitter.com/dind55319228")</f>
        <v>https://twitter.com/dind55319228</v>
      </c>
      <c r="AZ376" s="81" t="s">
        <v>66</v>
      </c>
      <c r="BA376" s="2"/>
      <c r="BB376" s="3"/>
      <c r="BC376" s="3"/>
      <c r="BD376" s="3"/>
      <c r="BE376" s="3"/>
    </row>
    <row r="377" spans="1:57" x14ac:dyDescent="0.35">
      <c r="A377" s="66" t="s">
        <v>4346</v>
      </c>
      <c r="B377" s="67"/>
      <c r="C377" s="67"/>
      <c r="D377" s="68"/>
      <c r="E377" s="94"/>
      <c r="F377" s="93" t="str">
        <f>HYPERLINK("https://pbs.twimg.com/profile_images/1428414023968694274/_VOjWgtv_normal.jpg")</f>
        <v>https://pbs.twimg.com/profile_images/1428414023968694274/_VOjWgtv_normal.jpg</v>
      </c>
      <c r="G377" s="95"/>
      <c r="H377" s="71"/>
      <c r="I377" s="72"/>
      <c r="J377" s="96"/>
      <c r="K377" s="71" t="s">
        <v>11625</v>
      </c>
      <c r="L377" s="97"/>
      <c r="M377" s="76"/>
      <c r="N377" s="76"/>
      <c r="O377" s="77"/>
      <c r="P377" s="78"/>
      <c r="Q377" s="78"/>
      <c r="R377" s="92"/>
      <c r="S377" s="92"/>
      <c r="T377" s="92"/>
      <c r="U377" s="92"/>
      <c r="V377" s="52"/>
      <c r="W377" s="52"/>
      <c r="X377" s="52"/>
      <c r="Y377" s="52"/>
      <c r="Z377" s="51"/>
      <c r="AA377" s="73"/>
      <c r="AB377" s="73"/>
      <c r="AC377" s="74"/>
      <c r="AD377" s="81" t="s">
        <v>8257</v>
      </c>
      <c r="AE377" s="86" t="s">
        <v>9300</v>
      </c>
      <c r="AF377" s="81">
        <v>0</v>
      </c>
      <c r="AG377" s="81">
        <v>12405</v>
      </c>
      <c r="AH377" s="81">
        <v>60330</v>
      </c>
      <c r="AI377" s="81">
        <v>0</v>
      </c>
      <c r="AJ377" s="81"/>
      <c r="AK377" s="81" t="s">
        <v>10260</v>
      </c>
      <c r="AL377" s="81" t="s">
        <v>10990</v>
      </c>
      <c r="AM377" s="84" t="str">
        <f>HYPERLINK("https://t.co/uqcGYWu8WM")</f>
        <v>https://t.co/uqcGYWu8WM</v>
      </c>
      <c r="AN377" s="81"/>
      <c r="AO377" s="83">
        <v>39989.549675925926</v>
      </c>
      <c r="AP377" s="84" t="str">
        <f>HYPERLINK("https://pbs.twimg.com/profile_banners/50640639/1629395417")</f>
        <v>https://pbs.twimg.com/profile_banners/50640639/1629395417</v>
      </c>
      <c r="AQ377" s="81" t="b">
        <v>1</v>
      </c>
      <c r="AR377" s="81" t="b">
        <v>0</v>
      </c>
      <c r="AS377" s="81" t="b">
        <v>0</v>
      </c>
      <c r="AT377" s="81"/>
      <c r="AU377" s="81">
        <v>278</v>
      </c>
      <c r="AV377" s="84" t="str">
        <f>HYPERLINK("https://abs.twimg.com/images/themes/theme1/bg.png")</f>
        <v>https://abs.twimg.com/images/themes/theme1/bg.png</v>
      </c>
      <c r="AW377" s="81" t="b">
        <v>0</v>
      </c>
      <c r="AX377" s="81" t="s">
        <v>3728</v>
      </c>
      <c r="AY377" s="84" t="str">
        <f>HYPERLINK("https://twitter.com/blitz_twit")</f>
        <v>https://twitter.com/blitz_twit</v>
      </c>
      <c r="AZ377" s="81" t="s">
        <v>66</v>
      </c>
      <c r="BA377" s="2"/>
      <c r="BB377" s="3"/>
      <c r="BC377" s="3"/>
      <c r="BD377" s="3"/>
      <c r="BE377" s="3"/>
    </row>
    <row r="378" spans="1:57" x14ac:dyDescent="0.35">
      <c r="A378" s="66" t="s">
        <v>4347</v>
      </c>
      <c r="B378" s="67"/>
      <c r="C378" s="67"/>
      <c r="D378" s="68"/>
      <c r="E378" s="94"/>
      <c r="F378" s="93" t="str">
        <f>HYPERLINK("https://pbs.twimg.com/profile_images/1192163285954682882/xPMIMMmX_normal.jpg")</f>
        <v>https://pbs.twimg.com/profile_images/1192163285954682882/xPMIMMmX_normal.jpg</v>
      </c>
      <c r="G378" s="95"/>
      <c r="H378" s="71"/>
      <c r="I378" s="72"/>
      <c r="J378" s="96"/>
      <c r="K378" s="71" t="s">
        <v>11626</v>
      </c>
      <c r="L378" s="97"/>
      <c r="M378" s="76"/>
      <c r="N378" s="76"/>
      <c r="O378" s="77"/>
      <c r="P378" s="78"/>
      <c r="Q378" s="78"/>
      <c r="R378" s="92"/>
      <c r="S378" s="92"/>
      <c r="T378" s="92"/>
      <c r="U378" s="92"/>
      <c r="V378" s="52"/>
      <c r="W378" s="52"/>
      <c r="X378" s="52"/>
      <c r="Y378" s="52"/>
      <c r="Z378" s="51"/>
      <c r="AA378" s="73"/>
      <c r="AB378" s="73"/>
      <c r="AC378" s="74"/>
      <c r="AD378" s="81" t="s">
        <v>8258</v>
      </c>
      <c r="AE378" s="86" t="s">
        <v>9301</v>
      </c>
      <c r="AF378" s="81">
        <v>333</v>
      </c>
      <c r="AG378" s="81">
        <v>13043</v>
      </c>
      <c r="AH378" s="81">
        <v>29268</v>
      </c>
      <c r="AI378" s="81">
        <v>74960</v>
      </c>
      <c r="AJ378" s="81"/>
      <c r="AK378" s="81" t="s">
        <v>10261</v>
      </c>
      <c r="AL378" s="81" t="s">
        <v>11086</v>
      </c>
      <c r="AM378" s="84" t="str">
        <f>HYPERLINK("https://t.co/08z1t3ijcc")</f>
        <v>https://t.co/08z1t3ijcc</v>
      </c>
      <c r="AN378" s="81"/>
      <c r="AO378" s="83">
        <v>42258.495046296295</v>
      </c>
      <c r="AP378" s="84" t="str">
        <f>HYPERLINK("https://pbs.twimg.com/profile_banners/3620077936/1554045867")</f>
        <v>https://pbs.twimg.com/profile_banners/3620077936/1554045867</v>
      </c>
      <c r="AQ378" s="81" t="b">
        <v>0</v>
      </c>
      <c r="AR378" s="81" t="b">
        <v>0</v>
      </c>
      <c r="AS378" s="81" t="b">
        <v>0</v>
      </c>
      <c r="AT378" s="81"/>
      <c r="AU378" s="81">
        <v>77</v>
      </c>
      <c r="AV378" s="84" t="str">
        <f>HYPERLINK("https://abs.twimg.com/images/themes/theme1/bg.png")</f>
        <v>https://abs.twimg.com/images/themes/theme1/bg.png</v>
      </c>
      <c r="AW378" s="81" t="b">
        <v>0</v>
      </c>
      <c r="AX378" s="81" t="s">
        <v>3728</v>
      </c>
      <c r="AY378" s="84" t="str">
        <f>HYPERLINK("https://twitter.com/emgalego")</f>
        <v>https://twitter.com/emgalego</v>
      </c>
      <c r="AZ378" s="81" t="s">
        <v>66</v>
      </c>
      <c r="BA378" s="2"/>
      <c r="BB378" s="3"/>
      <c r="BC378" s="3"/>
      <c r="BD378" s="3"/>
      <c r="BE378" s="3"/>
    </row>
    <row r="379" spans="1:57" x14ac:dyDescent="0.35">
      <c r="A379" s="66" t="s">
        <v>4334</v>
      </c>
      <c r="B379" s="67"/>
      <c r="C379" s="67"/>
      <c r="D379" s="68"/>
      <c r="E379" s="94"/>
      <c r="F379" s="93" t="str">
        <f>HYPERLINK("https://pbs.twimg.com/profile_images/1443230777785868288/Qa70hTlk_normal.jpg")</f>
        <v>https://pbs.twimg.com/profile_images/1443230777785868288/Qa70hTlk_normal.jpg</v>
      </c>
      <c r="G379" s="95"/>
      <c r="H379" s="71"/>
      <c r="I379" s="72"/>
      <c r="J379" s="96"/>
      <c r="K379" s="71" t="s">
        <v>11627</v>
      </c>
      <c r="L379" s="97"/>
      <c r="M379" s="76"/>
      <c r="N379" s="76"/>
      <c r="O379" s="77"/>
      <c r="P379" s="78"/>
      <c r="Q379" s="78"/>
      <c r="R379" s="92"/>
      <c r="S379" s="92"/>
      <c r="T379" s="92"/>
      <c r="U379" s="92"/>
      <c r="V379" s="52"/>
      <c r="W379" s="52"/>
      <c r="X379" s="52"/>
      <c r="Y379" s="52"/>
      <c r="Z379" s="51"/>
      <c r="AA379" s="73"/>
      <c r="AB379" s="73"/>
      <c r="AC379" s="74"/>
      <c r="AD379" s="81" t="s">
        <v>8259</v>
      </c>
      <c r="AE379" s="86" t="s">
        <v>9302</v>
      </c>
      <c r="AF379" s="81">
        <v>335</v>
      </c>
      <c r="AG379" s="81">
        <v>180</v>
      </c>
      <c r="AH379" s="81">
        <v>15449</v>
      </c>
      <c r="AI379" s="81">
        <v>98682</v>
      </c>
      <c r="AJ379" s="81"/>
      <c r="AK379" s="81" t="s">
        <v>10262</v>
      </c>
      <c r="AL379" s="81" t="s">
        <v>14159</v>
      </c>
      <c r="AM379" s="84" t="str">
        <f>HYPERLINK("https://t.co/IJyuVL1ZfX")</f>
        <v>https://t.co/IJyuVL1ZfX</v>
      </c>
      <c r="AN379" s="81"/>
      <c r="AO379" s="83">
        <v>44197.290092592593</v>
      </c>
      <c r="AP379" s="84" t="str">
        <f>HYPERLINK("https://pbs.twimg.com/profile_banners/1344900542514905090/1632928632")</f>
        <v>https://pbs.twimg.com/profile_banners/1344900542514905090/1632928632</v>
      </c>
      <c r="AQ379" s="81" t="b">
        <v>1</v>
      </c>
      <c r="AR379" s="81" t="b">
        <v>0</v>
      </c>
      <c r="AS379" s="81" t="b">
        <v>1</v>
      </c>
      <c r="AT379" s="81"/>
      <c r="AU379" s="81">
        <v>13</v>
      </c>
      <c r="AV379" s="81"/>
      <c r="AW379" s="81" t="b">
        <v>0</v>
      </c>
      <c r="AX379" s="81" t="s">
        <v>3728</v>
      </c>
      <c r="AY379" s="84" t="str">
        <f>HYPERLINK("https://twitter.com/marswasstars")</f>
        <v>https://twitter.com/marswasstars</v>
      </c>
      <c r="AZ379" s="81" t="s">
        <v>66</v>
      </c>
      <c r="BA379" s="2"/>
      <c r="BB379" s="3"/>
      <c r="BC379" s="3"/>
      <c r="BD379" s="3"/>
      <c r="BE379" s="3"/>
    </row>
    <row r="380" spans="1:57" x14ac:dyDescent="0.35">
      <c r="A380" s="66" t="s">
        <v>5034</v>
      </c>
      <c r="B380" s="67"/>
      <c r="C380" s="67"/>
      <c r="D380" s="68"/>
      <c r="E380" s="94"/>
      <c r="F380" s="93" t="str">
        <f>HYPERLINK("https://pbs.twimg.com/profile_images/1443027632371736578/CqxDZBdQ_normal.jpg")</f>
        <v>https://pbs.twimg.com/profile_images/1443027632371736578/CqxDZBdQ_normal.jpg</v>
      </c>
      <c r="G380" s="95"/>
      <c r="H380" s="71"/>
      <c r="I380" s="72"/>
      <c r="J380" s="96"/>
      <c r="K380" s="71" t="s">
        <v>11628</v>
      </c>
      <c r="L380" s="97"/>
      <c r="M380" s="76"/>
      <c r="N380" s="76"/>
      <c r="O380" s="77"/>
      <c r="P380" s="78"/>
      <c r="Q380" s="78"/>
      <c r="R380" s="92"/>
      <c r="S380" s="92"/>
      <c r="T380" s="92"/>
      <c r="U380" s="92"/>
      <c r="V380" s="52"/>
      <c r="W380" s="52"/>
      <c r="X380" s="52"/>
      <c r="Y380" s="52"/>
      <c r="Z380" s="51"/>
      <c r="AA380" s="73"/>
      <c r="AB380" s="73"/>
      <c r="AC380" s="74"/>
      <c r="AD380" s="81" t="s">
        <v>8260</v>
      </c>
      <c r="AE380" s="86" t="s">
        <v>7829</v>
      </c>
      <c r="AF380" s="81">
        <v>1007</v>
      </c>
      <c r="AG380" s="81">
        <v>1361</v>
      </c>
      <c r="AH380" s="81">
        <v>28332</v>
      </c>
      <c r="AI380" s="81">
        <v>96076</v>
      </c>
      <c r="AJ380" s="81"/>
      <c r="AK380" s="81" t="s">
        <v>10263</v>
      </c>
      <c r="AL380" s="81" t="s">
        <v>11087</v>
      </c>
      <c r="AM380" s="84" t="str">
        <f>HYPERLINK("https://t.co/r5Rp7fE9Gv")</f>
        <v>https://t.co/r5Rp7fE9Gv</v>
      </c>
      <c r="AN380" s="81"/>
      <c r="AO380" s="83">
        <v>44153.046331018515</v>
      </c>
      <c r="AP380" s="84" t="str">
        <f>HYPERLINK("https://pbs.twimg.com/profile_banners/1328867160291205121/1632879649")</f>
        <v>https://pbs.twimg.com/profile_banners/1328867160291205121/1632879649</v>
      </c>
      <c r="AQ380" s="81" t="b">
        <v>1</v>
      </c>
      <c r="AR380" s="81" t="b">
        <v>0</v>
      </c>
      <c r="AS380" s="81" t="b">
        <v>1</v>
      </c>
      <c r="AT380" s="81"/>
      <c r="AU380" s="81">
        <v>49</v>
      </c>
      <c r="AV380" s="81"/>
      <c r="AW380" s="81" t="b">
        <v>0</v>
      </c>
      <c r="AX380" s="81" t="s">
        <v>3728</v>
      </c>
      <c r="AY380" s="84" t="str">
        <f>HYPERLINK("https://twitter.com/princessceiest")</f>
        <v>https://twitter.com/princessceiest</v>
      </c>
      <c r="AZ380" s="81" t="s">
        <v>65</v>
      </c>
      <c r="BA380" s="2"/>
      <c r="BB380" s="3"/>
      <c r="BC380" s="3"/>
      <c r="BD380" s="3"/>
      <c r="BE380" s="3"/>
    </row>
    <row r="381" spans="1:57" x14ac:dyDescent="0.35">
      <c r="A381" s="66" t="s">
        <v>333</v>
      </c>
      <c r="B381" s="67"/>
      <c r="C381" s="67"/>
      <c r="D381" s="68"/>
      <c r="E381" s="94"/>
      <c r="F381" s="93" t="str">
        <f>HYPERLINK("https://pbs.twimg.com/profile_images/1144319780616228865/qCalbska_normal.jpg")</f>
        <v>https://pbs.twimg.com/profile_images/1144319780616228865/qCalbska_normal.jpg</v>
      </c>
      <c r="G381" s="95"/>
      <c r="H381" s="71"/>
      <c r="I381" s="72"/>
      <c r="J381" s="96"/>
      <c r="K381" s="71" t="s">
        <v>3872</v>
      </c>
      <c r="L381" s="97"/>
      <c r="M381" s="76"/>
      <c r="N381" s="76"/>
      <c r="O381" s="77"/>
      <c r="P381" s="78"/>
      <c r="Q381" s="78"/>
      <c r="R381" s="92"/>
      <c r="S381" s="92"/>
      <c r="T381" s="92"/>
      <c r="U381" s="92"/>
      <c r="V381" s="52"/>
      <c r="W381" s="52"/>
      <c r="X381" s="52"/>
      <c r="Y381" s="52"/>
      <c r="Z381" s="51"/>
      <c r="AA381" s="73"/>
      <c r="AB381" s="73"/>
      <c r="AC381" s="74"/>
      <c r="AD381" s="81" t="s">
        <v>2386</v>
      </c>
      <c r="AE381" s="86" t="s">
        <v>2811</v>
      </c>
      <c r="AF381" s="81">
        <v>1238</v>
      </c>
      <c r="AG381" s="81">
        <v>219</v>
      </c>
      <c r="AH381" s="81">
        <v>4303</v>
      </c>
      <c r="AI381" s="81">
        <v>34401</v>
      </c>
      <c r="AJ381" s="81"/>
      <c r="AK381" s="81" t="s">
        <v>3220</v>
      </c>
      <c r="AL381" s="81" t="s">
        <v>3510</v>
      </c>
      <c r="AM381" s="81"/>
      <c r="AN381" s="81"/>
      <c r="AO381" s="83">
        <v>40970.680358796293</v>
      </c>
      <c r="AP381" s="84" t="str">
        <f>HYPERLINK("https://pbs.twimg.com/profile_banners/512135525/1545235629")</f>
        <v>https://pbs.twimg.com/profile_banners/512135525/1545235629</v>
      </c>
      <c r="AQ381" s="81" t="b">
        <v>1</v>
      </c>
      <c r="AR381" s="81" t="b">
        <v>0</v>
      </c>
      <c r="AS381" s="81" t="b">
        <v>0</v>
      </c>
      <c r="AT381" s="81"/>
      <c r="AU381" s="81">
        <v>0</v>
      </c>
      <c r="AV381" s="84" t="str">
        <f>HYPERLINK("https://abs.twimg.com/images/themes/theme1/bg.png")</f>
        <v>https://abs.twimg.com/images/themes/theme1/bg.png</v>
      </c>
      <c r="AW381" s="81" t="b">
        <v>0</v>
      </c>
      <c r="AX381" s="81" t="s">
        <v>3728</v>
      </c>
      <c r="AY381" s="84" t="str">
        <f>HYPERLINK("https://twitter.com/_iansyah")</f>
        <v>https://twitter.com/_iansyah</v>
      </c>
      <c r="AZ381" s="81" t="s">
        <v>66</v>
      </c>
      <c r="BA381" s="2"/>
      <c r="BB381" s="3"/>
      <c r="BC381" s="3"/>
      <c r="BD381" s="3"/>
      <c r="BE381" s="3"/>
    </row>
    <row r="382" spans="1:57" x14ac:dyDescent="0.35">
      <c r="A382" s="66" t="s">
        <v>4336</v>
      </c>
      <c r="B382" s="67"/>
      <c r="C382" s="67"/>
      <c r="D382" s="68"/>
      <c r="E382" s="94"/>
      <c r="F382" s="93" t="str">
        <f>HYPERLINK("https://pbs.twimg.com/profile_images/1437930417542209536/0ocShEpQ_normal.jpg")</f>
        <v>https://pbs.twimg.com/profile_images/1437930417542209536/0ocShEpQ_normal.jpg</v>
      </c>
      <c r="G382" s="95"/>
      <c r="H382" s="71"/>
      <c r="I382" s="72"/>
      <c r="J382" s="96"/>
      <c r="K382" s="71" t="s">
        <v>11629</v>
      </c>
      <c r="L382" s="97"/>
      <c r="M382" s="76"/>
      <c r="N382" s="76"/>
      <c r="O382" s="77"/>
      <c r="P382" s="78"/>
      <c r="Q382" s="78"/>
      <c r="R382" s="92"/>
      <c r="S382" s="92"/>
      <c r="T382" s="92"/>
      <c r="U382" s="92"/>
      <c r="V382" s="52"/>
      <c r="W382" s="52"/>
      <c r="X382" s="52"/>
      <c r="Y382" s="52"/>
      <c r="Z382" s="51"/>
      <c r="AA382" s="73"/>
      <c r="AB382" s="73"/>
      <c r="AC382" s="74"/>
      <c r="AD382" s="81" t="s">
        <v>8261</v>
      </c>
      <c r="AE382" s="86" t="s">
        <v>9303</v>
      </c>
      <c r="AF382" s="81">
        <v>4995</v>
      </c>
      <c r="AG382" s="81">
        <v>4100</v>
      </c>
      <c r="AH382" s="81">
        <v>107059</v>
      </c>
      <c r="AI382" s="81">
        <v>147433</v>
      </c>
      <c r="AJ382" s="81"/>
      <c r="AK382" s="81" t="s">
        <v>10264</v>
      </c>
      <c r="AL382" s="81"/>
      <c r="AM382" s="81"/>
      <c r="AN382" s="81"/>
      <c r="AO382" s="83">
        <v>44111.458784722221</v>
      </c>
      <c r="AP382" s="84" t="str">
        <f>HYPERLINK("https://pbs.twimg.com/profile_banners/1313796323611570176/1625570472")</f>
        <v>https://pbs.twimg.com/profile_banners/1313796323611570176/1625570472</v>
      </c>
      <c r="AQ382" s="81" t="b">
        <v>1</v>
      </c>
      <c r="AR382" s="81" t="b">
        <v>0</v>
      </c>
      <c r="AS382" s="81" t="b">
        <v>0</v>
      </c>
      <c r="AT382" s="81"/>
      <c r="AU382" s="81">
        <v>1</v>
      </c>
      <c r="AV382" s="81"/>
      <c r="AW382" s="81" t="b">
        <v>0</v>
      </c>
      <c r="AX382" s="81" t="s">
        <v>3728</v>
      </c>
      <c r="AY382" s="84" t="str">
        <f>HYPERLINK("https://twitter.com/wongkalibanteng")</f>
        <v>https://twitter.com/wongkalibanteng</v>
      </c>
      <c r="AZ382" s="81" t="s">
        <v>66</v>
      </c>
      <c r="BA382" s="2"/>
      <c r="BB382" s="3"/>
      <c r="BC382" s="3"/>
      <c r="BD382" s="3"/>
      <c r="BE382" s="3"/>
    </row>
    <row r="383" spans="1:57" x14ac:dyDescent="0.35">
      <c r="A383" s="66" t="s">
        <v>334</v>
      </c>
      <c r="B383" s="67"/>
      <c r="C383" s="67"/>
      <c r="D383" s="68"/>
      <c r="E383" s="94"/>
      <c r="F383" s="93" t="str">
        <f>HYPERLINK("https://pbs.twimg.com/profile_images/1437943571877826563/b68ib-IB_normal.jpg")</f>
        <v>https://pbs.twimg.com/profile_images/1437943571877826563/b68ib-IB_normal.jpg</v>
      </c>
      <c r="G383" s="95"/>
      <c r="H383" s="71"/>
      <c r="I383" s="72"/>
      <c r="J383" s="96"/>
      <c r="K383" s="71" t="s">
        <v>3873</v>
      </c>
      <c r="L383" s="97"/>
      <c r="M383" s="76"/>
      <c r="N383" s="76"/>
      <c r="O383" s="77"/>
      <c r="P383" s="78"/>
      <c r="Q383" s="78"/>
      <c r="R383" s="92"/>
      <c r="S383" s="92"/>
      <c r="T383" s="92"/>
      <c r="U383" s="92"/>
      <c r="V383" s="52"/>
      <c r="W383" s="52"/>
      <c r="X383" s="52"/>
      <c r="Y383" s="52"/>
      <c r="Z383" s="51"/>
      <c r="AA383" s="73"/>
      <c r="AB383" s="73"/>
      <c r="AC383" s="74"/>
      <c r="AD383" s="81" t="s">
        <v>2388</v>
      </c>
      <c r="AE383" s="86" t="s">
        <v>2812</v>
      </c>
      <c r="AF383" s="81">
        <v>1055</v>
      </c>
      <c r="AG383" s="81">
        <v>647</v>
      </c>
      <c r="AH383" s="81">
        <v>1522</v>
      </c>
      <c r="AI383" s="81">
        <v>4500</v>
      </c>
      <c r="AJ383" s="81"/>
      <c r="AK383" s="81" t="s">
        <v>3221</v>
      </c>
      <c r="AL383" s="81" t="s">
        <v>3598</v>
      </c>
      <c r="AM383" s="84" t="str">
        <f>HYPERLINK("https://t.co/NopGmltPer")</f>
        <v>https://t.co/NopGmltPer</v>
      </c>
      <c r="AN383" s="81"/>
      <c r="AO383" s="83">
        <v>43993.205185185187</v>
      </c>
      <c r="AP383" s="84" t="str">
        <f>HYPERLINK("https://pbs.twimg.com/profile_banners/1270942514329997312/1612769749")</f>
        <v>https://pbs.twimg.com/profile_banners/1270942514329997312/1612769749</v>
      </c>
      <c r="AQ383" s="81" t="b">
        <v>1</v>
      </c>
      <c r="AR383" s="81" t="b">
        <v>0</v>
      </c>
      <c r="AS383" s="81" t="b">
        <v>0</v>
      </c>
      <c r="AT383" s="81"/>
      <c r="AU383" s="81">
        <v>1</v>
      </c>
      <c r="AV383" s="81"/>
      <c r="AW383" s="81" t="b">
        <v>0</v>
      </c>
      <c r="AX383" s="81" t="s">
        <v>3728</v>
      </c>
      <c r="AY383" s="84" t="str">
        <f>HYPERLINK("https://twitter.com/25yuyun")</f>
        <v>https://twitter.com/25yuyun</v>
      </c>
      <c r="AZ383" s="81" t="s">
        <v>66</v>
      </c>
      <c r="BA383" s="2"/>
      <c r="BB383" s="3"/>
      <c r="BC383" s="3"/>
      <c r="BD383" s="3"/>
      <c r="BE383" s="3"/>
    </row>
    <row r="384" spans="1:57" x14ac:dyDescent="0.35">
      <c r="A384" s="66" t="s">
        <v>335</v>
      </c>
      <c r="B384" s="67"/>
      <c r="C384" s="67"/>
      <c r="D384" s="68"/>
      <c r="E384" s="94"/>
      <c r="F384" s="93" t="str">
        <f>HYPERLINK("https://pbs.twimg.com/profile_images/1404697264644247553/_EnVwXUZ_normal.jpg")</f>
        <v>https://pbs.twimg.com/profile_images/1404697264644247553/_EnVwXUZ_normal.jpg</v>
      </c>
      <c r="G384" s="95"/>
      <c r="H384" s="71"/>
      <c r="I384" s="72"/>
      <c r="J384" s="96"/>
      <c r="K384" s="71" t="s">
        <v>3874</v>
      </c>
      <c r="L384" s="97"/>
      <c r="M384" s="76"/>
      <c r="N384" s="76"/>
      <c r="O384" s="77"/>
      <c r="P384" s="78"/>
      <c r="Q384" s="78"/>
      <c r="R384" s="92"/>
      <c r="S384" s="92"/>
      <c r="T384" s="92"/>
      <c r="U384" s="92"/>
      <c r="V384" s="52"/>
      <c r="W384" s="52"/>
      <c r="X384" s="52"/>
      <c r="Y384" s="52"/>
      <c r="Z384" s="51"/>
      <c r="AA384" s="73"/>
      <c r="AB384" s="73"/>
      <c r="AC384" s="74"/>
      <c r="AD384" s="81" t="s">
        <v>2389</v>
      </c>
      <c r="AE384" s="86" t="s">
        <v>2813</v>
      </c>
      <c r="AF384" s="81">
        <v>0</v>
      </c>
      <c r="AG384" s="81">
        <v>0</v>
      </c>
      <c r="AH384" s="81">
        <v>58</v>
      </c>
      <c r="AI384" s="81">
        <v>0</v>
      </c>
      <c r="AJ384" s="81"/>
      <c r="AK384" s="81" t="s">
        <v>3222</v>
      </c>
      <c r="AL384" s="84" t="str">
        <f>HYPERLINK("https://goo.gl/maps/nde8PpKb8x")</f>
        <v>https://goo.gl/maps/nde8PpKb8x</v>
      </c>
      <c r="AM384" s="84" t="str">
        <f>HYPERLINK("https://t.co/8tRMLeMVub")</f>
        <v>https://t.co/8tRMLeMVub</v>
      </c>
      <c r="AN384" s="81"/>
      <c r="AO384" s="83">
        <v>44362.297199074077</v>
      </c>
      <c r="AP384" s="84" t="str">
        <f>HYPERLINK("https://pbs.twimg.com/profile_banners/1404697089330745345/1623742484")</f>
        <v>https://pbs.twimg.com/profile_banners/1404697089330745345/1623742484</v>
      </c>
      <c r="AQ384" s="81" t="b">
        <v>1</v>
      </c>
      <c r="AR384" s="81" t="b">
        <v>0</v>
      </c>
      <c r="AS384" s="81" t="b">
        <v>0</v>
      </c>
      <c r="AT384" s="81"/>
      <c r="AU384" s="81">
        <v>0</v>
      </c>
      <c r="AV384" s="81"/>
      <c r="AW384" s="81" t="b">
        <v>0</v>
      </c>
      <c r="AX384" s="81" t="s">
        <v>3728</v>
      </c>
      <c r="AY384" s="84" t="str">
        <f>HYPERLINK("https://twitter.com/hadirdinsos")</f>
        <v>https://twitter.com/hadirdinsos</v>
      </c>
      <c r="AZ384" s="81" t="s">
        <v>66</v>
      </c>
      <c r="BA384" s="2"/>
      <c r="BB384" s="3"/>
      <c r="BC384" s="3"/>
      <c r="BD384" s="3"/>
      <c r="BE384" s="3"/>
    </row>
    <row r="385" spans="1:57" x14ac:dyDescent="0.35">
      <c r="A385" s="66" t="s">
        <v>336</v>
      </c>
      <c r="B385" s="67"/>
      <c r="C385" s="67"/>
      <c r="D385" s="68"/>
      <c r="E385" s="94"/>
      <c r="F385" s="93" t="str">
        <f>HYPERLINK("https://pbs.twimg.com/profile_images/1441326394743476234/w7KiDXih_normal.jpg")</f>
        <v>https://pbs.twimg.com/profile_images/1441326394743476234/w7KiDXih_normal.jpg</v>
      </c>
      <c r="G385" s="95"/>
      <c r="H385" s="71"/>
      <c r="I385" s="72"/>
      <c r="J385" s="96"/>
      <c r="K385" s="71" t="s">
        <v>3875</v>
      </c>
      <c r="L385" s="97"/>
      <c r="M385" s="76"/>
      <c r="N385" s="76"/>
      <c r="O385" s="77"/>
      <c r="P385" s="78"/>
      <c r="Q385" s="78"/>
      <c r="R385" s="92"/>
      <c r="S385" s="92"/>
      <c r="T385" s="92"/>
      <c r="U385" s="92"/>
      <c r="V385" s="52"/>
      <c r="W385" s="52"/>
      <c r="X385" s="52"/>
      <c r="Y385" s="52"/>
      <c r="Z385" s="51"/>
      <c r="AA385" s="73"/>
      <c r="AB385" s="73"/>
      <c r="AC385" s="74"/>
      <c r="AD385" s="81" t="s">
        <v>2390</v>
      </c>
      <c r="AE385" s="86" t="s">
        <v>2814</v>
      </c>
      <c r="AF385" s="81">
        <v>222</v>
      </c>
      <c r="AG385" s="81">
        <v>33</v>
      </c>
      <c r="AH385" s="81">
        <v>11517</v>
      </c>
      <c r="AI385" s="81">
        <v>1850</v>
      </c>
      <c r="AJ385" s="81"/>
      <c r="AK385" s="81" t="s">
        <v>3223</v>
      </c>
      <c r="AL385" s="81"/>
      <c r="AM385" s="84" t="str">
        <f>HYPERLINK("https://t.co/NvFfjOlYsB")</f>
        <v>https://t.co/NvFfjOlYsB</v>
      </c>
      <c r="AN385" s="81"/>
      <c r="AO385" s="83">
        <v>43645.307939814818</v>
      </c>
      <c r="AP385" s="84" t="str">
        <f>HYPERLINK("https://pbs.twimg.com/profile_banners/1144868963160952833/1631336115")</f>
        <v>https://pbs.twimg.com/profile_banners/1144868963160952833/1631336115</v>
      </c>
      <c r="AQ385" s="81" t="b">
        <v>1</v>
      </c>
      <c r="AR385" s="81" t="b">
        <v>0</v>
      </c>
      <c r="AS385" s="81" t="b">
        <v>1</v>
      </c>
      <c r="AT385" s="81"/>
      <c r="AU385" s="81">
        <v>0</v>
      </c>
      <c r="AV385" s="81"/>
      <c r="AW385" s="81" t="b">
        <v>0</v>
      </c>
      <c r="AX385" s="81" t="s">
        <v>3728</v>
      </c>
      <c r="AY385" s="84" t="str">
        <f>HYPERLINK("https://twitter.com/asfarinaaaa_")</f>
        <v>https://twitter.com/asfarinaaaa_</v>
      </c>
      <c r="AZ385" s="81" t="s">
        <v>66</v>
      </c>
      <c r="BA385" s="2"/>
      <c r="BB385" s="3"/>
      <c r="BC385" s="3"/>
      <c r="BD385" s="3"/>
      <c r="BE385" s="3"/>
    </row>
    <row r="386" spans="1:57" x14ac:dyDescent="0.35">
      <c r="A386" s="66" t="s">
        <v>4337</v>
      </c>
      <c r="B386" s="67"/>
      <c r="C386" s="67"/>
      <c r="D386" s="68"/>
      <c r="E386" s="94"/>
      <c r="F386" s="93" t="str">
        <f>HYPERLINK("https://pbs.twimg.com/profile_images/1366872786334068740/ECzA_Ev6_normal.jpg")</f>
        <v>https://pbs.twimg.com/profile_images/1366872786334068740/ECzA_Ev6_normal.jpg</v>
      </c>
      <c r="G386" s="95"/>
      <c r="H386" s="71"/>
      <c r="I386" s="72"/>
      <c r="J386" s="96"/>
      <c r="K386" s="71" t="s">
        <v>11631</v>
      </c>
      <c r="L386" s="97"/>
      <c r="M386" s="76"/>
      <c r="N386" s="76"/>
      <c r="O386" s="77"/>
      <c r="P386" s="78"/>
      <c r="Q386" s="78"/>
      <c r="R386" s="92"/>
      <c r="S386" s="92"/>
      <c r="T386" s="92"/>
      <c r="U386" s="92"/>
      <c r="V386" s="52"/>
      <c r="W386" s="52"/>
      <c r="X386" s="52"/>
      <c r="Y386" s="52"/>
      <c r="Z386" s="51"/>
      <c r="AA386" s="73"/>
      <c r="AB386" s="73"/>
      <c r="AC386" s="74"/>
      <c r="AD386" s="81" t="s">
        <v>8263</v>
      </c>
      <c r="AE386" s="86" t="s">
        <v>9304</v>
      </c>
      <c r="AF386" s="81">
        <v>209</v>
      </c>
      <c r="AG386" s="81">
        <v>35</v>
      </c>
      <c r="AH386" s="81">
        <v>231</v>
      </c>
      <c r="AI386" s="81">
        <v>248</v>
      </c>
      <c r="AJ386" s="81"/>
      <c r="AK386" s="81" t="s">
        <v>10266</v>
      </c>
      <c r="AL386" s="81" t="s">
        <v>11089</v>
      </c>
      <c r="AM386" s="81"/>
      <c r="AN386" s="81"/>
      <c r="AO386" s="83">
        <v>42680.663148148145</v>
      </c>
      <c r="AP386" s="81"/>
      <c r="AQ386" s="81" t="b">
        <v>1</v>
      </c>
      <c r="AR386" s="81" t="b">
        <v>0</v>
      </c>
      <c r="AS386" s="81" t="b">
        <v>1</v>
      </c>
      <c r="AT386" s="81"/>
      <c r="AU386" s="81">
        <v>0</v>
      </c>
      <c r="AV386" s="81"/>
      <c r="AW386" s="81" t="b">
        <v>0</v>
      </c>
      <c r="AX386" s="81" t="s">
        <v>3728</v>
      </c>
      <c r="AY386" s="84" t="str">
        <f>HYPERLINK("https://twitter.com/loball357")</f>
        <v>https://twitter.com/loball357</v>
      </c>
      <c r="AZ386" s="81" t="s">
        <v>66</v>
      </c>
      <c r="BA386" s="2"/>
      <c r="BB386" s="3"/>
      <c r="BC386" s="3"/>
      <c r="BD386" s="3"/>
      <c r="BE386" s="3"/>
    </row>
    <row r="387" spans="1:57" x14ac:dyDescent="0.35">
      <c r="A387" s="66" t="s">
        <v>5036</v>
      </c>
      <c r="B387" s="67"/>
      <c r="C387" s="67"/>
      <c r="D387" s="68"/>
      <c r="E387" s="94"/>
      <c r="F387" s="93" t="str">
        <f>HYPERLINK("https://pbs.twimg.com/profile_images/994592419705274369/RLplF55e_normal.jpg")</f>
        <v>https://pbs.twimg.com/profile_images/994592419705274369/RLplF55e_normal.jpg</v>
      </c>
      <c r="G387" s="95"/>
      <c r="H387" s="71"/>
      <c r="I387" s="72"/>
      <c r="J387" s="96"/>
      <c r="K387" s="71" t="s">
        <v>11632</v>
      </c>
      <c r="L387" s="97"/>
      <c r="M387" s="76"/>
      <c r="N387" s="76"/>
      <c r="O387" s="77"/>
      <c r="P387" s="78"/>
      <c r="Q387" s="78"/>
      <c r="R387" s="92"/>
      <c r="S387" s="92"/>
      <c r="T387" s="92"/>
      <c r="U387" s="92"/>
      <c r="V387" s="52"/>
      <c r="W387" s="52"/>
      <c r="X387" s="52"/>
      <c r="Y387" s="52"/>
      <c r="Z387" s="51"/>
      <c r="AA387" s="73"/>
      <c r="AB387" s="73"/>
      <c r="AC387" s="74"/>
      <c r="AD387" s="81" t="s">
        <v>8264</v>
      </c>
      <c r="AE387" s="86" t="s">
        <v>7832</v>
      </c>
      <c r="AF387" s="81">
        <v>1679</v>
      </c>
      <c r="AG387" s="81">
        <v>11454209</v>
      </c>
      <c r="AH387" s="81">
        <v>5089</v>
      </c>
      <c r="AI387" s="81">
        <v>25915</v>
      </c>
      <c r="AJ387" s="81"/>
      <c r="AK387" s="81" t="s">
        <v>10267</v>
      </c>
      <c r="AL387" s="81" t="s">
        <v>11090</v>
      </c>
      <c r="AM387" s="84" t="str">
        <f>HYPERLINK("https://t.co/lFRqSobI8C")</f>
        <v>https://t.co/lFRqSobI8C</v>
      </c>
      <c r="AN387" s="81"/>
      <c r="AO387" s="83">
        <v>41750.019930555558</v>
      </c>
      <c r="AP387" s="84" t="str">
        <f>HYPERLINK("https://pbs.twimg.com/profile_banners/2455740283/1601560191")</f>
        <v>https://pbs.twimg.com/profile_banners/2455740283/1601560191</v>
      </c>
      <c r="AQ387" s="81" t="b">
        <v>0</v>
      </c>
      <c r="AR387" s="81" t="b">
        <v>0</v>
      </c>
      <c r="AS387" s="81" t="b">
        <v>1</v>
      </c>
      <c r="AT387" s="81"/>
      <c r="AU387" s="81">
        <v>3435</v>
      </c>
      <c r="AV387" s="84" t="str">
        <f>HYPERLINK("https://abs.twimg.com/images/themes/theme9/bg.gif")</f>
        <v>https://abs.twimg.com/images/themes/theme9/bg.gif</v>
      </c>
      <c r="AW387" s="81" t="b">
        <v>1</v>
      </c>
      <c r="AX387" s="81" t="s">
        <v>3728</v>
      </c>
      <c r="AY387" s="84" t="str">
        <f>HYPERLINK("https://twitter.com/mrbeast")</f>
        <v>https://twitter.com/mrbeast</v>
      </c>
      <c r="AZ387" s="81" t="s">
        <v>65</v>
      </c>
      <c r="BA387" s="2"/>
      <c r="BB387" s="3"/>
      <c r="BC387" s="3"/>
      <c r="BD387" s="3"/>
      <c r="BE387" s="3"/>
    </row>
    <row r="388" spans="1:57" x14ac:dyDescent="0.35">
      <c r="A388" s="66" t="s">
        <v>4338</v>
      </c>
      <c r="B388" s="67"/>
      <c r="C388" s="67"/>
      <c r="D388" s="68"/>
      <c r="E388" s="94"/>
      <c r="F388" s="93" t="str">
        <f>HYPERLINK("https://pbs.twimg.com/profile_images/1357038782017658886/jHGELk0D_normal.jpg")</f>
        <v>https://pbs.twimg.com/profile_images/1357038782017658886/jHGELk0D_normal.jpg</v>
      </c>
      <c r="G388" s="95"/>
      <c r="H388" s="71"/>
      <c r="I388" s="72"/>
      <c r="J388" s="96"/>
      <c r="K388" s="71" t="s">
        <v>11633</v>
      </c>
      <c r="L388" s="97"/>
      <c r="M388" s="76"/>
      <c r="N388" s="76"/>
      <c r="O388" s="77"/>
      <c r="P388" s="78"/>
      <c r="Q388" s="78"/>
      <c r="R388" s="92"/>
      <c r="S388" s="92"/>
      <c r="T388" s="92"/>
      <c r="U388" s="92"/>
      <c r="V388" s="52"/>
      <c r="W388" s="52"/>
      <c r="X388" s="52"/>
      <c r="Y388" s="52"/>
      <c r="Z388" s="51"/>
      <c r="AA388" s="73"/>
      <c r="AB388" s="73"/>
      <c r="AC388" s="74"/>
      <c r="AD388" s="81" t="s">
        <v>8265</v>
      </c>
      <c r="AE388" s="86" t="s">
        <v>9305</v>
      </c>
      <c r="AF388" s="81">
        <v>27</v>
      </c>
      <c r="AG388" s="81">
        <v>20</v>
      </c>
      <c r="AH388" s="81">
        <v>538</v>
      </c>
      <c r="AI388" s="81">
        <v>495</v>
      </c>
      <c r="AJ388" s="81"/>
      <c r="AK388" s="81" t="s">
        <v>10268</v>
      </c>
      <c r="AL388" s="81"/>
      <c r="AM388" s="81"/>
      <c r="AN388" s="81"/>
      <c r="AO388" s="83">
        <v>44230.784849537034</v>
      </c>
      <c r="AP388" s="81"/>
      <c r="AQ388" s="81" t="b">
        <v>1</v>
      </c>
      <c r="AR388" s="81" t="b">
        <v>0</v>
      </c>
      <c r="AS388" s="81" t="b">
        <v>0</v>
      </c>
      <c r="AT388" s="81"/>
      <c r="AU388" s="81">
        <v>0</v>
      </c>
      <c r="AV388" s="81"/>
      <c r="AW388" s="81" t="b">
        <v>0</v>
      </c>
      <c r="AX388" s="81" t="s">
        <v>3728</v>
      </c>
      <c r="AY388" s="84" t="str">
        <f>HYPERLINK("https://twitter.com/ggozth")</f>
        <v>https://twitter.com/ggozth</v>
      </c>
      <c r="AZ388" s="81" t="s">
        <v>66</v>
      </c>
      <c r="BA388" s="2"/>
      <c r="BB388" s="3"/>
      <c r="BC388" s="3"/>
      <c r="BD388" s="3"/>
      <c r="BE388" s="3"/>
    </row>
    <row r="389" spans="1:57" x14ac:dyDescent="0.35">
      <c r="A389" s="66" t="s">
        <v>4339</v>
      </c>
      <c r="B389" s="67"/>
      <c r="C389" s="67"/>
      <c r="D389" s="68"/>
      <c r="E389" s="94"/>
      <c r="F389" s="93" t="str">
        <f>HYPERLINK("https://pbs.twimg.com/profile_images/1399746313521094660/LkcWVl9U_normal.jpg")</f>
        <v>https://pbs.twimg.com/profile_images/1399746313521094660/LkcWVl9U_normal.jpg</v>
      </c>
      <c r="G389" s="95"/>
      <c r="H389" s="71"/>
      <c r="I389" s="72"/>
      <c r="J389" s="96"/>
      <c r="K389" s="71" t="s">
        <v>11634</v>
      </c>
      <c r="L389" s="97"/>
      <c r="M389" s="76"/>
      <c r="N389" s="76"/>
      <c r="O389" s="77"/>
      <c r="P389" s="78"/>
      <c r="Q389" s="78"/>
      <c r="R389" s="92"/>
      <c r="S389" s="92"/>
      <c r="T389" s="92"/>
      <c r="U389" s="92"/>
      <c r="V389" s="52"/>
      <c r="W389" s="52"/>
      <c r="X389" s="52"/>
      <c r="Y389" s="52"/>
      <c r="Z389" s="51"/>
      <c r="AA389" s="73"/>
      <c r="AB389" s="73"/>
      <c r="AC389" s="74"/>
      <c r="AD389" s="81" t="s">
        <v>8266</v>
      </c>
      <c r="AE389" s="86" t="s">
        <v>9306</v>
      </c>
      <c r="AF389" s="81">
        <v>42</v>
      </c>
      <c r="AG389" s="81">
        <v>58</v>
      </c>
      <c r="AH389" s="81">
        <v>362</v>
      </c>
      <c r="AI389" s="81">
        <v>244</v>
      </c>
      <c r="AJ389" s="81"/>
      <c r="AK389" s="81" t="s">
        <v>10269</v>
      </c>
      <c r="AL389" s="81"/>
      <c r="AM389" s="84" t="str">
        <f>HYPERLINK("https://t.co/yZGqHvflcf")</f>
        <v>https://t.co/yZGqHvflcf</v>
      </c>
      <c r="AN389" s="81"/>
      <c r="AO389" s="83">
        <v>44201.739641203705</v>
      </c>
      <c r="AP389" s="84" t="str">
        <f>HYPERLINK("https://pbs.twimg.com/profile_banners/1346512919111069696/1609869104")</f>
        <v>https://pbs.twimg.com/profile_banners/1346512919111069696/1609869104</v>
      </c>
      <c r="AQ389" s="81" t="b">
        <v>1</v>
      </c>
      <c r="AR389" s="81" t="b">
        <v>0</v>
      </c>
      <c r="AS389" s="81" t="b">
        <v>0</v>
      </c>
      <c r="AT389" s="81"/>
      <c r="AU389" s="81">
        <v>0</v>
      </c>
      <c r="AV389" s="81"/>
      <c r="AW389" s="81" t="b">
        <v>0</v>
      </c>
      <c r="AX389" s="81" t="s">
        <v>3728</v>
      </c>
      <c r="AY389" s="84" t="str">
        <f>HYPERLINK("https://twitter.com/cafepxl")</f>
        <v>https://twitter.com/cafepxl</v>
      </c>
      <c r="AZ389" s="81" t="s">
        <v>66</v>
      </c>
      <c r="BA389" s="2"/>
      <c r="BB389" s="3"/>
      <c r="BC389" s="3"/>
      <c r="BD389" s="3"/>
      <c r="BE389" s="3"/>
    </row>
    <row r="390" spans="1:57" x14ac:dyDescent="0.35">
      <c r="A390" s="66" t="s">
        <v>337</v>
      </c>
      <c r="B390" s="67"/>
      <c r="C390" s="67"/>
      <c r="D390" s="68"/>
      <c r="E390" s="94"/>
      <c r="F390" s="93" t="str">
        <f>HYPERLINK("https://pbs.twimg.com/profile_images/1425469704504635393/VLY5d0Sl_normal.jpg")</f>
        <v>https://pbs.twimg.com/profile_images/1425469704504635393/VLY5d0Sl_normal.jpg</v>
      </c>
      <c r="G390" s="95"/>
      <c r="H390" s="71"/>
      <c r="I390" s="72"/>
      <c r="J390" s="96"/>
      <c r="K390" s="71" t="s">
        <v>3876</v>
      </c>
      <c r="L390" s="97"/>
      <c r="M390" s="76"/>
      <c r="N390" s="76"/>
      <c r="O390" s="77"/>
      <c r="P390" s="78"/>
      <c r="Q390" s="78"/>
      <c r="R390" s="92"/>
      <c r="S390" s="92"/>
      <c r="T390" s="92"/>
      <c r="U390" s="92"/>
      <c r="V390" s="52"/>
      <c r="W390" s="52"/>
      <c r="X390" s="52"/>
      <c r="Y390" s="52"/>
      <c r="Z390" s="51"/>
      <c r="AA390" s="73"/>
      <c r="AB390" s="73"/>
      <c r="AC390" s="74"/>
      <c r="AD390" s="81" t="s">
        <v>2391</v>
      </c>
      <c r="AE390" s="86" t="s">
        <v>2815</v>
      </c>
      <c r="AF390" s="81">
        <v>84</v>
      </c>
      <c r="AG390" s="81">
        <v>41</v>
      </c>
      <c r="AH390" s="81">
        <v>9186</v>
      </c>
      <c r="AI390" s="81">
        <v>6488</v>
      </c>
      <c r="AJ390" s="81"/>
      <c r="AK390" s="81" t="s">
        <v>3224</v>
      </c>
      <c r="AL390" s="81" t="s">
        <v>3516</v>
      </c>
      <c r="AM390" s="81"/>
      <c r="AN390" s="81"/>
      <c r="AO390" s="83">
        <v>43501.034456018519</v>
      </c>
      <c r="AP390" s="84" t="str">
        <f>HYPERLINK("https://pbs.twimg.com/profile_banners/1092586006467899392/1575614891")</f>
        <v>https://pbs.twimg.com/profile_banners/1092586006467899392/1575614891</v>
      </c>
      <c r="AQ390" s="81" t="b">
        <v>1</v>
      </c>
      <c r="AR390" s="81" t="b">
        <v>0</v>
      </c>
      <c r="AS390" s="81" t="b">
        <v>0</v>
      </c>
      <c r="AT390" s="81"/>
      <c r="AU390" s="81">
        <v>0</v>
      </c>
      <c r="AV390" s="81"/>
      <c r="AW390" s="81" t="b">
        <v>0</v>
      </c>
      <c r="AX390" s="81" t="s">
        <v>3728</v>
      </c>
      <c r="AY390" s="84" t="str">
        <f>HYPERLINK("https://twitter.com/peeloffsmile")</f>
        <v>https://twitter.com/peeloffsmile</v>
      </c>
      <c r="AZ390" s="81" t="s">
        <v>66</v>
      </c>
      <c r="BA390" s="2"/>
      <c r="BB390" s="3"/>
      <c r="BC390" s="3"/>
      <c r="BD390" s="3"/>
      <c r="BE390" s="3"/>
    </row>
    <row r="391" spans="1:57" x14ac:dyDescent="0.35">
      <c r="A391" s="66" t="s">
        <v>338</v>
      </c>
      <c r="B391" s="67"/>
      <c r="C391" s="67"/>
      <c r="D391" s="68"/>
      <c r="E391" s="94"/>
      <c r="F391" s="93" t="str">
        <f>HYPERLINK("https://pbs.twimg.com/profile_images/1436563360728846336/k2_-C4_Z_normal.jpg")</f>
        <v>https://pbs.twimg.com/profile_images/1436563360728846336/k2_-C4_Z_normal.jpg</v>
      </c>
      <c r="G391" s="95"/>
      <c r="H391" s="71"/>
      <c r="I391" s="72"/>
      <c r="J391" s="96"/>
      <c r="K391" s="71" t="s">
        <v>3877</v>
      </c>
      <c r="L391" s="97"/>
      <c r="M391" s="76"/>
      <c r="N391" s="76"/>
      <c r="O391" s="77"/>
      <c r="P391" s="78"/>
      <c r="Q391" s="78"/>
      <c r="R391" s="92"/>
      <c r="S391" s="92"/>
      <c r="T391" s="92"/>
      <c r="U391" s="92"/>
      <c r="V391" s="52"/>
      <c r="W391" s="52"/>
      <c r="X391" s="52"/>
      <c r="Y391" s="52"/>
      <c r="Z391" s="51"/>
      <c r="AA391" s="73"/>
      <c r="AB391" s="73"/>
      <c r="AC391" s="74"/>
      <c r="AD391" s="81" t="s">
        <v>2392</v>
      </c>
      <c r="AE391" s="86" t="s">
        <v>2816</v>
      </c>
      <c r="AF391" s="81">
        <v>972</v>
      </c>
      <c r="AG391" s="81">
        <v>956</v>
      </c>
      <c r="AH391" s="81">
        <v>53736</v>
      </c>
      <c r="AI391" s="81">
        <v>96574</v>
      </c>
      <c r="AJ391" s="81"/>
      <c r="AK391" s="81" t="s">
        <v>3225</v>
      </c>
      <c r="AL391" s="81"/>
      <c r="AM391" s="84" t="str">
        <f>HYPERLINK("https://t.co/RT7K4G8UIo")</f>
        <v>https://t.co/RT7K4G8UIo</v>
      </c>
      <c r="AN391" s="81"/>
      <c r="AO391" s="83">
        <v>42482.471851851849</v>
      </c>
      <c r="AP391" s="84" t="str">
        <f>HYPERLINK("https://pbs.twimg.com/profile_banners/723471277076283392/1599812609")</f>
        <v>https://pbs.twimg.com/profile_banners/723471277076283392/1599812609</v>
      </c>
      <c r="AQ391" s="81" t="b">
        <v>1</v>
      </c>
      <c r="AR391" s="81" t="b">
        <v>0</v>
      </c>
      <c r="AS391" s="81" t="b">
        <v>1</v>
      </c>
      <c r="AT391" s="81"/>
      <c r="AU391" s="81">
        <v>4</v>
      </c>
      <c r="AV391" s="81"/>
      <c r="AW391" s="81" t="b">
        <v>0</v>
      </c>
      <c r="AX391" s="81" t="s">
        <v>3728</v>
      </c>
      <c r="AY391" s="84" t="str">
        <f>HYPERLINK("https://twitter.com/namujoon__")</f>
        <v>https://twitter.com/namujoon__</v>
      </c>
      <c r="AZ391" s="81" t="s">
        <v>66</v>
      </c>
      <c r="BA391" s="2"/>
      <c r="BB391" s="3"/>
      <c r="BC391" s="3"/>
      <c r="BD391" s="3"/>
      <c r="BE391" s="3"/>
    </row>
    <row r="392" spans="1:57" x14ac:dyDescent="0.35">
      <c r="A392" s="66" t="s">
        <v>4340</v>
      </c>
      <c r="B392" s="67"/>
      <c r="C392" s="67"/>
      <c r="D392" s="68"/>
      <c r="E392" s="94"/>
      <c r="F392" s="93" t="str">
        <f>HYPERLINK("https://pbs.twimg.com/profile_images/1395944823618744322/zYsr20O4_normal.jpg")</f>
        <v>https://pbs.twimg.com/profile_images/1395944823618744322/zYsr20O4_normal.jpg</v>
      </c>
      <c r="G392" s="95"/>
      <c r="H392" s="71"/>
      <c r="I392" s="72"/>
      <c r="J392" s="96"/>
      <c r="K392" s="71" t="s">
        <v>11635</v>
      </c>
      <c r="L392" s="97"/>
      <c r="M392" s="76"/>
      <c r="N392" s="76"/>
      <c r="O392" s="77"/>
      <c r="P392" s="78"/>
      <c r="Q392" s="78"/>
      <c r="R392" s="92"/>
      <c r="S392" s="92"/>
      <c r="T392" s="92"/>
      <c r="U392" s="92"/>
      <c r="V392" s="52"/>
      <c r="W392" s="52"/>
      <c r="X392" s="52"/>
      <c r="Y392" s="52"/>
      <c r="Z392" s="51"/>
      <c r="AA392" s="73"/>
      <c r="AB392" s="73"/>
      <c r="AC392" s="74"/>
      <c r="AD392" s="81" t="s">
        <v>8267</v>
      </c>
      <c r="AE392" s="86" t="s">
        <v>9307</v>
      </c>
      <c r="AF392" s="81">
        <v>4641</v>
      </c>
      <c r="AG392" s="81">
        <v>3894</v>
      </c>
      <c r="AH392" s="81">
        <v>18334</v>
      </c>
      <c r="AI392" s="81">
        <v>27629</v>
      </c>
      <c r="AJ392" s="81"/>
      <c r="AK392" s="81" t="s">
        <v>10270</v>
      </c>
      <c r="AL392" s="81" t="s">
        <v>10994</v>
      </c>
      <c r="AM392" s="81"/>
      <c r="AN392" s="81"/>
      <c r="AO392" s="83">
        <v>44334.769108796296</v>
      </c>
      <c r="AP392" s="84" t="str">
        <f>HYPERLINK("https://pbs.twimg.com/profile_banners/1394721220134940678/1631850730")</f>
        <v>https://pbs.twimg.com/profile_banners/1394721220134940678/1631850730</v>
      </c>
      <c r="AQ392" s="81" t="b">
        <v>1</v>
      </c>
      <c r="AR392" s="81" t="b">
        <v>0</v>
      </c>
      <c r="AS392" s="81" t="b">
        <v>0</v>
      </c>
      <c r="AT392" s="81"/>
      <c r="AU392" s="81">
        <v>3</v>
      </c>
      <c r="AV392" s="81"/>
      <c r="AW392" s="81" t="b">
        <v>0</v>
      </c>
      <c r="AX392" s="81" t="s">
        <v>3728</v>
      </c>
      <c r="AY392" s="84" t="str">
        <f>HYPERLINK("https://twitter.com/roselimatos10")</f>
        <v>https://twitter.com/roselimatos10</v>
      </c>
      <c r="AZ392" s="81" t="s">
        <v>66</v>
      </c>
      <c r="BA392" s="2"/>
      <c r="BB392" s="3"/>
      <c r="BC392" s="3"/>
      <c r="BD392" s="3"/>
      <c r="BE392" s="3"/>
    </row>
    <row r="393" spans="1:57" x14ac:dyDescent="0.35">
      <c r="A393" s="66" t="s">
        <v>5037</v>
      </c>
      <c r="B393" s="67"/>
      <c r="C393" s="67"/>
      <c r="D393" s="68"/>
      <c r="E393" s="94"/>
      <c r="F393" s="93" t="str">
        <f>HYPERLINK("https://pbs.twimg.com/profile_images/808404276158545920/_IIpS4I2_normal.jpg")</f>
        <v>https://pbs.twimg.com/profile_images/808404276158545920/_IIpS4I2_normal.jpg</v>
      </c>
      <c r="G393" s="95"/>
      <c r="H393" s="71"/>
      <c r="I393" s="72"/>
      <c r="J393" s="96"/>
      <c r="K393" s="71" t="s">
        <v>11636</v>
      </c>
      <c r="L393" s="97"/>
      <c r="M393" s="76"/>
      <c r="N393" s="76"/>
      <c r="O393" s="77"/>
      <c r="P393" s="78"/>
      <c r="Q393" s="78"/>
      <c r="R393" s="92"/>
      <c r="S393" s="92"/>
      <c r="T393" s="92"/>
      <c r="U393" s="92"/>
      <c r="V393" s="52"/>
      <c r="W393" s="52"/>
      <c r="X393" s="52"/>
      <c r="Y393" s="52"/>
      <c r="Z393" s="51"/>
      <c r="AA393" s="73"/>
      <c r="AB393" s="73"/>
      <c r="AC393" s="74"/>
      <c r="AD393" s="81" t="s">
        <v>8268</v>
      </c>
      <c r="AE393" s="86" t="s">
        <v>7949</v>
      </c>
      <c r="AF393" s="81">
        <v>143</v>
      </c>
      <c r="AG393" s="81">
        <v>2480514</v>
      </c>
      <c r="AH393" s="81">
        <v>180018</v>
      </c>
      <c r="AI393" s="81">
        <v>0</v>
      </c>
      <c r="AJ393" s="81"/>
      <c r="AK393" s="81" t="s">
        <v>10271</v>
      </c>
      <c r="AL393" s="81" t="s">
        <v>10975</v>
      </c>
      <c r="AM393" s="84" t="str">
        <f>HYPERLINK("https://t.co/g6RlNmCczX")</f>
        <v>https://t.co/g6RlNmCczX</v>
      </c>
      <c r="AN393" s="81"/>
      <c r="AO393" s="83">
        <v>39920.80296296296</v>
      </c>
      <c r="AP393" s="84" t="str">
        <f>HYPERLINK("https://pbs.twimg.com/profile_banners/32529120/1476886249")</f>
        <v>https://pbs.twimg.com/profile_banners/32529120/1476886249</v>
      </c>
      <c r="AQ393" s="81" t="b">
        <v>0</v>
      </c>
      <c r="AR393" s="81" t="b">
        <v>0</v>
      </c>
      <c r="AS393" s="81" t="b">
        <v>0</v>
      </c>
      <c r="AT393" s="81"/>
      <c r="AU393" s="81">
        <v>7775</v>
      </c>
      <c r="AV393" s="84" t="str">
        <f>HYPERLINK("https://abs.twimg.com/images/themes/theme1/bg.png")</f>
        <v>https://abs.twimg.com/images/themes/theme1/bg.png</v>
      </c>
      <c r="AW393" s="81" t="b">
        <v>1</v>
      </c>
      <c r="AX393" s="81" t="s">
        <v>3728</v>
      </c>
      <c r="AY393" s="84" t="str">
        <f>HYPERLINK("https://twitter.com/valoreconomico")</f>
        <v>https://twitter.com/valoreconomico</v>
      </c>
      <c r="AZ393" s="81" t="s">
        <v>65</v>
      </c>
      <c r="BA393" s="2"/>
      <c r="BB393" s="3"/>
      <c r="BC393" s="3"/>
      <c r="BD393" s="3"/>
      <c r="BE393" s="3"/>
    </row>
    <row r="394" spans="1:57" x14ac:dyDescent="0.35">
      <c r="A394" s="66" t="s">
        <v>339</v>
      </c>
      <c r="B394" s="67"/>
      <c r="C394" s="67"/>
      <c r="D394" s="68"/>
      <c r="E394" s="94"/>
      <c r="F394" s="93" t="str">
        <f>HYPERLINK("https://pbs.twimg.com/profile_images/1443050050737741828/uKXz_d02_normal.jpg")</f>
        <v>https://pbs.twimg.com/profile_images/1443050050737741828/uKXz_d02_normal.jpg</v>
      </c>
      <c r="G394" s="95"/>
      <c r="H394" s="71"/>
      <c r="I394" s="72"/>
      <c r="J394" s="96"/>
      <c r="K394" s="71" t="s">
        <v>3878</v>
      </c>
      <c r="L394" s="97"/>
      <c r="M394" s="76"/>
      <c r="N394" s="76"/>
      <c r="O394" s="77"/>
      <c r="P394" s="78"/>
      <c r="Q394" s="78"/>
      <c r="R394" s="92"/>
      <c r="S394" s="92"/>
      <c r="T394" s="92"/>
      <c r="U394" s="92"/>
      <c r="V394" s="52"/>
      <c r="W394" s="52"/>
      <c r="X394" s="52"/>
      <c r="Y394" s="52"/>
      <c r="Z394" s="51"/>
      <c r="AA394" s="73"/>
      <c r="AB394" s="73"/>
      <c r="AC394" s="74"/>
      <c r="AD394" s="81" t="s">
        <v>2393</v>
      </c>
      <c r="AE394" s="86" t="s">
        <v>2817</v>
      </c>
      <c r="AF394" s="81">
        <v>2244</v>
      </c>
      <c r="AG394" s="81">
        <v>2124</v>
      </c>
      <c r="AH394" s="81">
        <v>12068</v>
      </c>
      <c r="AI394" s="81">
        <v>23460</v>
      </c>
      <c r="AJ394" s="81"/>
      <c r="AK394" s="81" t="s">
        <v>3226</v>
      </c>
      <c r="AL394" s="81" t="s">
        <v>3599</v>
      </c>
      <c r="AM394" s="81"/>
      <c r="AN394" s="81"/>
      <c r="AO394" s="83">
        <v>44262.86005787037</v>
      </c>
      <c r="AP394" s="84" t="str">
        <f>HYPERLINK("https://pbs.twimg.com/profile_banners/1368662315223056384/1632884982")</f>
        <v>https://pbs.twimg.com/profile_banners/1368662315223056384/1632884982</v>
      </c>
      <c r="AQ394" s="81" t="b">
        <v>1</v>
      </c>
      <c r="AR394" s="81" t="b">
        <v>0</v>
      </c>
      <c r="AS394" s="81" t="b">
        <v>0</v>
      </c>
      <c r="AT394" s="81"/>
      <c r="AU394" s="81">
        <v>6</v>
      </c>
      <c r="AV394" s="81"/>
      <c r="AW394" s="81" t="b">
        <v>0</v>
      </c>
      <c r="AX394" s="81" t="s">
        <v>3728</v>
      </c>
      <c r="AY394" s="84" t="str">
        <f>HYPERLINK("https://twitter.com/faayyyh")</f>
        <v>https://twitter.com/faayyyh</v>
      </c>
      <c r="AZ394" s="81" t="s">
        <v>66</v>
      </c>
      <c r="BA394" s="2"/>
      <c r="BB394" s="3"/>
      <c r="BC394" s="3"/>
      <c r="BD394" s="3"/>
      <c r="BE394" s="3"/>
    </row>
    <row r="395" spans="1:57" x14ac:dyDescent="0.35">
      <c r="A395" s="66" t="s">
        <v>423</v>
      </c>
      <c r="B395" s="67"/>
      <c r="C395" s="67"/>
      <c r="D395" s="68"/>
      <c r="E395" s="94"/>
      <c r="F395" s="93" t="str">
        <f>HYPERLINK("https://pbs.twimg.com/profile_images/1433114088960245761/iNOJ69k6_normal.jpg")</f>
        <v>https://pbs.twimg.com/profile_images/1433114088960245761/iNOJ69k6_normal.jpg</v>
      </c>
      <c r="G395" s="95"/>
      <c r="H395" s="71"/>
      <c r="I395" s="72"/>
      <c r="J395" s="96"/>
      <c r="K395" s="71" t="s">
        <v>3879</v>
      </c>
      <c r="L395" s="97"/>
      <c r="M395" s="76"/>
      <c r="N395" s="76"/>
      <c r="O395" s="77"/>
      <c r="P395" s="78"/>
      <c r="Q395" s="78"/>
      <c r="R395" s="92"/>
      <c r="S395" s="92"/>
      <c r="T395" s="92"/>
      <c r="U395" s="92"/>
      <c r="V395" s="52"/>
      <c r="W395" s="52"/>
      <c r="X395" s="52"/>
      <c r="Y395" s="52"/>
      <c r="Z395" s="51"/>
      <c r="AA395" s="73"/>
      <c r="AB395" s="73"/>
      <c r="AC395" s="74"/>
      <c r="AD395" s="81" t="s">
        <v>2394</v>
      </c>
      <c r="AE395" s="86" t="s">
        <v>2818</v>
      </c>
      <c r="AF395" s="81">
        <v>1819</v>
      </c>
      <c r="AG395" s="81">
        <v>2970</v>
      </c>
      <c r="AH395" s="81">
        <v>1765</v>
      </c>
      <c r="AI395" s="81">
        <v>1427</v>
      </c>
      <c r="AJ395" s="81"/>
      <c r="AK395" s="81" t="s">
        <v>3227</v>
      </c>
      <c r="AL395" s="81"/>
      <c r="AM395" s="81"/>
      <c r="AN395" s="81"/>
      <c r="AO395" s="83">
        <v>44353.154849537037</v>
      </c>
      <c r="AP395" s="84" t="str">
        <f>HYPERLINK("https://pbs.twimg.com/profile_banners/1401384025269305344/1629258137")</f>
        <v>https://pbs.twimg.com/profile_banners/1401384025269305344/1629258137</v>
      </c>
      <c r="AQ395" s="81" t="b">
        <v>1</v>
      </c>
      <c r="AR395" s="81" t="b">
        <v>0</v>
      </c>
      <c r="AS395" s="81" t="b">
        <v>0</v>
      </c>
      <c r="AT395" s="81"/>
      <c r="AU395" s="81">
        <v>1</v>
      </c>
      <c r="AV395" s="81"/>
      <c r="AW395" s="81" t="b">
        <v>0</v>
      </c>
      <c r="AX395" s="81" t="s">
        <v>3728</v>
      </c>
      <c r="AY395" s="84" t="str">
        <f>HYPERLINK("https://twitter.com/cococheezy")</f>
        <v>https://twitter.com/cococheezy</v>
      </c>
      <c r="AZ395" s="81" t="s">
        <v>66</v>
      </c>
      <c r="BA395" s="2"/>
      <c r="BB395" s="3"/>
      <c r="BC395" s="3"/>
      <c r="BD395" s="3"/>
      <c r="BE395" s="3"/>
    </row>
    <row r="396" spans="1:57" x14ac:dyDescent="0.35">
      <c r="A396" s="66" t="s">
        <v>340</v>
      </c>
      <c r="B396" s="67"/>
      <c r="C396" s="67"/>
      <c r="D396" s="68"/>
      <c r="E396" s="94"/>
      <c r="F396" s="93" t="str">
        <f>HYPERLINK("https://pbs.twimg.com/profile_images/1438896010399416332/KVy5M-3X_normal.jpg")</f>
        <v>https://pbs.twimg.com/profile_images/1438896010399416332/KVy5M-3X_normal.jpg</v>
      </c>
      <c r="G396" s="95"/>
      <c r="H396" s="71"/>
      <c r="I396" s="72"/>
      <c r="J396" s="96"/>
      <c r="K396" s="71" t="s">
        <v>3880</v>
      </c>
      <c r="L396" s="97"/>
      <c r="M396" s="76"/>
      <c r="N396" s="76"/>
      <c r="O396" s="77"/>
      <c r="P396" s="78"/>
      <c r="Q396" s="78"/>
      <c r="R396" s="92"/>
      <c r="S396" s="92"/>
      <c r="T396" s="92"/>
      <c r="U396" s="92"/>
      <c r="V396" s="52"/>
      <c r="W396" s="52"/>
      <c r="X396" s="52"/>
      <c r="Y396" s="52"/>
      <c r="Z396" s="51"/>
      <c r="AA396" s="73"/>
      <c r="AB396" s="73"/>
      <c r="AC396" s="74"/>
      <c r="AD396" s="81" t="s">
        <v>2395</v>
      </c>
      <c r="AE396" s="86" t="s">
        <v>2819</v>
      </c>
      <c r="AF396" s="81">
        <v>89</v>
      </c>
      <c r="AG396" s="81">
        <v>476</v>
      </c>
      <c r="AH396" s="81">
        <v>91837</v>
      </c>
      <c r="AI396" s="81">
        <v>83467</v>
      </c>
      <c r="AJ396" s="81"/>
      <c r="AK396" s="81" t="s">
        <v>3228</v>
      </c>
      <c r="AL396" s="81" t="s">
        <v>3600</v>
      </c>
      <c r="AM396" s="81"/>
      <c r="AN396" s="81"/>
      <c r="AO396" s="83">
        <v>42238.429131944446</v>
      </c>
      <c r="AP396" s="84" t="str">
        <f>HYPERLINK("https://pbs.twimg.com/profile_banners/3323900718/1630317873")</f>
        <v>https://pbs.twimg.com/profile_banners/3323900718/1630317873</v>
      </c>
      <c r="AQ396" s="81" t="b">
        <v>1</v>
      </c>
      <c r="AR396" s="81" t="b">
        <v>0</v>
      </c>
      <c r="AS396" s="81" t="b">
        <v>1</v>
      </c>
      <c r="AT396" s="81"/>
      <c r="AU396" s="81">
        <v>2</v>
      </c>
      <c r="AV396" s="84" t="str">
        <f>HYPERLINK("https://abs.twimg.com/images/themes/theme1/bg.png")</f>
        <v>https://abs.twimg.com/images/themes/theme1/bg.png</v>
      </c>
      <c r="AW396" s="81" t="b">
        <v>0</v>
      </c>
      <c r="AX396" s="81" t="s">
        <v>3728</v>
      </c>
      <c r="AY396" s="84" t="str">
        <f>HYPERLINK("https://twitter.com/aidilzulkefli_")</f>
        <v>https://twitter.com/aidilzulkefli_</v>
      </c>
      <c r="AZ396" s="81" t="s">
        <v>66</v>
      </c>
      <c r="BA396" s="2"/>
      <c r="BB396" s="3"/>
      <c r="BC396" s="3"/>
      <c r="BD396" s="3"/>
      <c r="BE396" s="3"/>
    </row>
    <row r="397" spans="1:57" x14ac:dyDescent="0.35">
      <c r="A397" s="66" t="s">
        <v>341</v>
      </c>
      <c r="B397" s="67"/>
      <c r="C397" s="67"/>
      <c r="D397" s="68"/>
      <c r="E397" s="94"/>
      <c r="F397" s="93" t="str">
        <f>HYPERLINK("https://pbs.twimg.com/profile_images/1431485031566897154/JqH9xZtg_normal.jpg")</f>
        <v>https://pbs.twimg.com/profile_images/1431485031566897154/JqH9xZtg_normal.jpg</v>
      </c>
      <c r="G397" s="95"/>
      <c r="H397" s="71"/>
      <c r="I397" s="72"/>
      <c r="J397" s="96"/>
      <c r="K397" s="71" t="s">
        <v>3881</v>
      </c>
      <c r="L397" s="97"/>
      <c r="M397" s="76"/>
      <c r="N397" s="76"/>
      <c r="O397" s="77"/>
      <c r="P397" s="78"/>
      <c r="Q397" s="78"/>
      <c r="R397" s="92"/>
      <c r="S397" s="92"/>
      <c r="T397" s="92"/>
      <c r="U397" s="92"/>
      <c r="V397" s="52"/>
      <c r="W397" s="52"/>
      <c r="X397" s="52"/>
      <c r="Y397" s="52"/>
      <c r="Z397" s="51"/>
      <c r="AA397" s="73"/>
      <c r="AB397" s="73"/>
      <c r="AC397" s="74"/>
      <c r="AD397" s="81" t="s">
        <v>2396</v>
      </c>
      <c r="AE397" s="86" t="s">
        <v>2820</v>
      </c>
      <c r="AF397" s="81">
        <v>382</v>
      </c>
      <c r="AG397" s="81">
        <v>177</v>
      </c>
      <c r="AH397" s="81">
        <v>6038</v>
      </c>
      <c r="AI397" s="81">
        <v>10042</v>
      </c>
      <c r="AJ397" s="81"/>
      <c r="AK397" s="81" t="s">
        <v>3229</v>
      </c>
      <c r="AL397" s="81"/>
      <c r="AM397" s="81"/>
      <c r="AN397" s="81"/>
      <c r="AO397" s="83">
        <v>44331.090879629628</v>
      </c>
      <c r="AP397" s="84" t="str">
        <f>HYPERLINK("https://pbs.twimg.com/profile_banners/1393388324753088512/1630127603")</f>
        <v>https://pbs.twimg.com/profile_banners/1393388324753088512/1630127603</v>
      </c>
      <c r="AQ397" s="81" t="b">
        <v>1</v>
      </c>
      <c r="AR397" s="81" t="b">
        <v>0</v>
      </c>
      <c r="AS397" s="81" t="b">
        <v>0</v>
      </c>
      <c r="AT397" s="81"/>
      <c r="AU397" s="81">
        <v>0</v>
      </c>
      <c r="AV397" s="81"/>
      <c r="AW397" s="81" t="b">
        <v>0</v>
      </c>
      <c r="AX397" s="81" t="s">
        <v>3728</v>
      </c>
      <c r="AY397" s="84" t="str">
        <f>HYPERLINK("https://twitter.com/dvisyyy_")</f>
        <v>https://twitter.com/dvisyyy_</v>
      </c>
      <c r="AZ397" s="81" t="s">
        <v>66</v>
      </c>
      <c r="BA397" s="2"/>
      <c r="BB397" s="3"/>
      <c r="BC397" s="3"/>
      <c r="BD397" s="3"/>
      <c r="BE397" s="3"/>
    </row>
    <row r="398" spans="1:57" x14ac:dyDescent="0.35">
      <c r="A398" s="66" t="s">
        <v>398</v>
      </c>
      <c r="B398" s="67"/>
      <c r="C398" s="67"/>
      <c r="D398" s="68"/>
      <c r="E398" s="94"/>
      <c r="F398" s="93" t="str">
        <f>HYPERLINK("https://pbs.twimg.com/profile_images/1347980680597147648/bfOplA4w_normal.jpg")</f>
        <v>https://pbs.twimg.com/profile_images/1347980680597147648/bfOplA4w_normal.jpg</v>
      </c>
      <c r="G398" s="95"/>
      <c r="H398" s="71"/>
      <c r="I398" s="72"/>
      <c r="J398" s="96"/>
      <c r="K398" s="71" t="s">
        <v>11637</v>
      </c>
      <c r="L398" s="97"/>
      <c r="M398" s="76"/>
      <c r="N398" s="76"/>
      <c r="O398" s="77"/>
      <c r="P398" s="78"/>
      <c r="Q398" s="78"/>
      <c r="R398" s="92"/>
      <c r="S398" s="92"/>
      <c r="T398" s="92"/>
      <c r="U398" s="92"/>
      <c r="V398" s="52"/>
      <c r="W398" s="52"/>
      <c r="X398" s="52"/>
      <c r="Y398" s="52"/>
      <c r="Z398" s="51"/>
      <c r="AA398" s="73"/>
      <c r="AB398" s="73"/>
      <c r="AC398" s="74"/>
      <c r="AD398" s="81" t="s">
        <v>2457</v>
      </c>
      <c r="AE398" s="86" t="s">
        <v>2879</v>
      </c>
      <c r="AF398" s="81">
        <v>3</v>
      </c>
      <c r="AG398" s="81">
        <v>25819</v>
      </c>
      <c r="AH398" s="81">
        <v>112645</v>
      </c>
      <c r="AI398" s="81">
        <v>16</v>
      </c>
      <c r="AJ398" s="81"/>
      <c r="AK398" s="81" t="s">
        <v>3289</v>
      </c>
      <c r="AL398" s="81" t="s">
        <v>2202</v>
      </c>
      <c r="AM398" s="81"/>
      <c r="AN398" s="81"/>
      <c r="AO398" s="83">
        <v>40199.597974537035</v>
      </c>
      <c r="AP398" s="84" t="str">
        <f>HYPERLINK("https://pbs.twimg.com/profile_banners/107084867/1610218614")</f>
        <v>https://pbs.twimg.com/profile_banners/107084867/1610218614</v>
      </c>
      <c r="AQ398" s="81" t="b">
        <v>0</v>
      </c>
      <c r="AR398" s="81" t="b">
        <v>0</v>
      </c>
      <c r="AS398" s="81" t="b">
        <v>1</v>
      </c>
      <c r="AT398" s="81"/>
      <c r="AU398" s="81">
        <v>98</v>
      </c>
      <c r="AV398" s="84" t="str">
        <f>HYPERLINK("https://abs.twimg.com/images/themes/theme1/bg.png")</f>
        <v>https://abs.twimg.com/images/themes/theme1/bg.png</v>
      </c>
      <c r="AW398" s="81" t="b">
        <v>0</v>
      </c>
      <c r="AX398" s="81" t="s">
        <v>3728</v>
      </c>
      <c r="AY398" s="84" t="str">
        <f>HYPERLINK("https://twitter.com/bursakerja20")</f>
        <v>https://twitter.com/bursakerja20</v>
      </c>
      <c r="AZ398" s="81" t="s">
        <v>66</v>
      </c>
      <c r="BA398" s="2"/>
      <c r="BB398" s="3"/>
      <c r="BC398" s="3"/>
      <c r="BD398" s="3"/>
      <c r="BE398" s="3"/>
    </row>
    <row r="399" spans="1:57" x14ac:dyDescent="0.35">
      <c r="A399" s="66" t="s">
        <v>342</v>
      </c>
      <c r="B399" s="67"/>
      <c r="C399" s="67"/>
      <c r="D399" s="68"/>
      <c r="E399" s="94"/>
      <c r="F399" s="93" t="str">
        <f>HYPERLINK("https://pbs.twimg.com/profile_images/1439767324379136007/jklWuMKI_normal.jpg")</f>
        <v>https://pbs.twimg.com/profile_images/1439767324379136007/jklWuMKI_normal.jpg</v>
      </c>
      <c r="G399" s="95"/>
      <c r="H399" s="71"/>
      <c r="I399" s="72"/>
      <c r="J399" s="96"/>
      <c r="K399" s="71" t="s">
        <v>3882</v>
      </c>
      <c r="L399" s="97"/>
      <c r="M399" s="76"/>
      <c r="N399" s="76"/>
      <c r="O399" s="77"/>
      <c r="P399" s="78"/>
      <c r="Q399" s="78"/>
      <c r="R399" s="92"/>
      <c r="S399" s="92"/>
      <c r="T399" s="92"/>
      <c r="U399" s="92"/>
      <c r="V399" s="52"/>
      <c r="W399" s="52"/>
      <c r="X399" s="52"/>
      <c r="Y399" s="52"/>
      <c r="Z399" s="51"/>
      <c r="AA399" s="73"/>
      <c r="AB399" s="73"/>
      <c r="AC399" s="74"/>
      <c r="AD399" s="81" t="s">
        <v>2397</v>
      </c>
      <c r="AE399" s="86" t="s">
        <v>2821</v>
      </c>
      <c r="AF399" s="81">
        <v>736</v>
      </c>
      <c r="AG399" s="81">
        <v>163</v>
      </c>
      <c r="AH399" s="81">
        <v>6661</v>
      </c>
      <c r="AI399" s="81">
        <v>10792</v>
      </c>
      <c r="AJ399" s="81"/>
      <c r="AK399" s="81" t="s">
        <v>3230</v>
      </c>
      <c r="AL399" s="81"/>
      <c r="AM399" s="81"/>
      <c r="AN399" s="81"/>
      <c r="AO399" s="83">
        <v>44361.518946759257</v>
      </c>
      <c r="AP399" s="84" t="str">
        <f>HYPERLINK("https://pbs.twimg.com/profile_banners/1404415085343170561/1630923734")</f>
        <v>https://pbs.twimg.com/profile_banners/1404415085343170561/1630923734</v>
      </c>
      <c r="AQ399" s="81" t="b">
        <v>1</v>
      </c>
      <c r="AR399" s="81" t="b">
        <v>0</v>
      </c>
      <c r="AS399" s="81" t="b">
        <v>1</v>
      </c>
      <c r="AT399" s="81"/>
      <c r="AU399" s="81">
        <v>3</v>
      </c>
      <c r="AV399" s="81"/>
      <c r="AW399" s="81" t="b">
        <v>0</v>
      </c>
      <c r="AX399" s="81" t="s">
        <v>3728</v>
      </c>
      <c r="AY399" s="84" t="str">
        <f>HYPERLINK("https://twitter.com/ashataee")</f>
        <v>https://twitter.com/ashataee</v>
      </c>
      <c r="AZ399" s="81" t="s">
        <v>66</v>
      </c>
      <c r="BA399" s="2"/>
      <c r="BB399" s="3"/>
      <c r="BC399" s="3"/>
      <c r="BD399" s="3"/>
      <c r="BE399" s="3"/>
    </row>
    <row r="400" spans="1:57" x14ac:dyDescent="0.35">
      <c r="A400" s="66" t="s">
        <v>343</v>
      </c>
      <c r="B400" s="67"/>
      <c r="C400" s="67"/>
      <c r="D400" s="68"/>
      <c r="E400" s="94"/>
      <c r="F400" s="93" t="str">
        <f>HYPERLINK("https://pbs.twimg.com/profile_images/1443063376125444097/UWhE8rdF_normal.jpg")</f>
        <v>https://pbs.twimg.com/profile_images/1443063376125444097/UWhE8rdF_normal.jpg</v>
      </c>
      <c r="G400" s="95"/>
      <c r="H400" s="71"/>
      <c r="I400" s="72"/>
      <c r="J400" s="96"/>
      <c r="K400" s="71" t="s">
        <v>3883</v>
      </c>
      <c r="L400" s="97"/>
      <c r="M400" s="76"/>
      <c r="N400" s="76"/>
      <c r="O400" s="77"/>
      <c r="P400" s="78"/>
      <c r="Q400" s="78"/>
      <c r="R400" s="92"/>
      <c r="S400" s="92"/>
      <c r="T400" s="92"/>
      <c r="U400" s="92"/>
      <c r="V400" s="52"/>
      <c r="W400" s="52"/>
      <c r="X400" s="52"/>
      <c r="Y400" s="52"/>
      <c r="Z400" s="51"/>
      <c r="AA400" s="73"/>
      <c r="AB400" s="73"/>
      <c r="AC400" s="74"/>
      <c r="AD400" s="81" t="s">
        <v>8269</v>
      </c>
      <c r="AE400" s="86" t="s">
        <v>2822</v>
      </c>
      <c r="AF400" s="81">
        <v>1552</v>
      </c>
      <c r="AG400" s="81">
        <v>1678</v>
      </c>
      <c r="AH400" s="81">
        <v>19409</v>
      </c>
      <c r="AI400" s="81">
        <v>6216</v>
      </c>
      <c r="AJ400" s="81"/>
      <c r="AK400" s="81" t="s">
        <v>10272</v>
      </c>
      <c r="AL400" s="81" t="s">
        <v>3601</v>
      </c>
      <c r="AM400" s="84" t="str">
        <f>HYPERLINK("https://t.co/3KRhocZeEd")</f>
        <v>https://t.co/3KRhocZeEd</v>
      </c>
      <c r="AN400" s="81"/>
      <c r="AO400" s="83">
        <v>44344.450601851851</v>
      </c>
      <c r="AP400" s="84" t="str">
        <f>HYPERLINK("https://pbs.twimg.com/profile_banners/1398229744991105031/1632888119")</f>
        <v>https://pbs.twimg.com/profile_banners/1398229744991105031/1632888119</v>
      </c>
      <c r="AQ400" s="81" t="b">
        <v>1</v>
      </c>
      <c r="AR400" s="81" t="b">
        <v>0</v>
      </c>
      <c r="AS400" s="81" t="b">
        <v>0</v>
      </c>
      <c r="AT400" s="81"/>
      <c r="AU400" s="81">
        <v>11</v>
      </c>
      <c r="AV400" s="81"/>
      <c r="AW400" s="81" t="b">
        <v>0</v>
      </c>
      <c r="AX400" s="81" t="s">
        <v>3728</v>
      </c>
      <c r="AY400" s="84" t="str">
        <f>HYPERLINK("https://twitter.com/jngwoozeus")</f>
        <v>https://twitter.com/jngwoozeus</v>
      </c>
      <c r="AZ400" s="81" t="s">
        <v>66</v>
      </c>
      <c r="BA400" s="2"/>
      <c r="BB400" s="3"/>
      <c r="BC400" s="3"/>
      <c r="BD400" s="3"/>
      <c r="BE400" s="3"/>
    </row>
    <row r="401" spans="1:57" x14ac:dyDescent="0.35">
      <c r="A401" s="66" t="s">
        <v>4341</v>
      </c>
      <c r="B401" s="67"/>
      <c r="C401" s="67"/>
      <c r="D401" s="68"/>
      <c r="E401" s="94"/>
      <c r="F401" s="93" t="str">
        <f>HYPERLINK("https://pbs.twimg.com/profile_images/1421425070539481092/U9KO-K5H_normal.jpg")</f>
        <v>https://pbs.twimg.com/profile_images/1421425070539481092/U9KO-K5H_normal.jpg</v>
      </c>
      <c r="G401" s="95"/>
      <c r="H401" s="71"/>
      <c r="I401" s="72"/>
      <c r="J401" s="96"/>
      <c r="K401" s="71" t="s">
        <v>11638</v>
      </c>
      <c r="L401" s="97"/>
      <c r="M401" s="76"/>
      <c r="N401" s="76"/>
      <c r="O401" s="77"/>
      <c r="P401" s="78"/>
      <c r="Q401" s="78"/>
      <c r="R401" s="92"/>
      <c r="S401" s="92"/>
      <c r="T401" s="92"/>
      <c r="U401" s="92"/>
      <c r="V401" s="52"/>
      <c r="W401" s="52"/>
      <c r="X401" s="52"/>
      <c r="Y401" s="52"/>
      <c r="Z401" s="51"/>
      <c r="AA401" s="73"/>
      <c r="AB401" s="73"/>
      <c r="AC401" s="74"/>
      <c r="AD401" s="81" t="s">
        <v>8270</v>
      </c>
      <c r="AE401" s="86" t="s">
        <v>9308</v>
      </c>
      <c r="AF401" s="81">
        <v>1679</v>
      </c>
      <c r="AG401" s="81">
        <v>2745</v>
      </c>
      <c r="AH401" s="81">
        <v>98946</v>
      </c>
      <c r="AI401" s="81">
        <v>207</v>
      </c>
      <c r="AJ401" s="81"/>
      <c r="AK401" s="81" t="s">
        <v>10273</v>
      </c>
      <c r="AL401" s="81" t="s">
        <v>11091</v>
      </c>
      <c r="AM401" s="84" t="str">
        <f>HYPERLINK("https://t.co/zhI3R3U8hl")</f>
        <v>https://t.co/zhI3R3U8hl</v>
      </c>
      <c r="AN401" s="81"/>
      <c r="AO401" s="83">
        <v>39699.927858796298</v>
      </c>
      <c r="AP401" s="84" t="str">
        <f>HYPERLINK("https://pbs.twimg.com/profile_banners/16193162/1611580087")</f>
        <v>https://pbs.twimg.com/profile_banners/16193162/1611580087</v>
      </c>
      <c r="AQ401" s="81" t="b">
        <v>0</v>
      </c>
      <c r="AR401" s="81" t="b">
        <v>0</v>
      </c>
      <c r="AS401" s="81" t="b">
        <v>1</v>
      </c>
      <c r="AT401" s="81"/>
      <c r="AU401" s="81">
        <v>50</v>
      </c>
      <c r="AV401" s="84" t="str">
        <f>HYPERLINK("https://abs.twimg.com/images/themes/theme1/bg.png")</f>
        <v>https://abs.twimg.com/images/themes/theme1/bg.png</v>
      </c>
      <c r="AW401" s="81" t="b">
        <v>0</v>
      </c>
      <c r="AX401" s="81" t="s">
        <v>3728</v>
      </c>
      <c r="AY401" s="84" t="str">
        <f>HYPERLINK("https://twitter.com/josemssantos")</f>
        <v>https://twitter.com/josemssantos</v>
      </c>
      <c r="AZ401" s="81" t="s">
        <v>66</v>
      </c>
      <c r="BA401" s="2"/>
      <c r="BB401" s="3"/>
      <c r="BC401" s="3"/>
      <c r="BD401" s="3"/>
      <c r="BE401" s="3"/>
    </row>
    <row r="402" spans="1:57" x14ac:dyDescent="0.35">
      <c r="A402" s="66" t="s">
        <v>345</v>
      </c>
      <c r="B402" s="67"/>
      <c r="C402" s="67"/>
      <c r="D402" s="68"/>
      <c r="E402" s="94"/>
      <c r="F402" s="93" t="str">
        <f>HYPERLINK("https://pbs.twimg.com/profile_images/1436964143853031424/8dk0DA20_normal.jpg")</f>
        <v>https://pbs.twimg.com/profile_images/1436964143853031424/8dk0DA20_normal.jpg</v>
      </c>
      <c r="G402" s="95"/>
      <c r="H402" s="71"/>
      <c r="I402" s="72"/>
      <c r="J402" s="96"/>
      <c r="K402" s="71" t="s">
        <v>3884</v>
      </c>
      <c r="L402" s="97"/>
      <c r="M402" s="76"/>
      <c r="N402" s="76"/>
      <c r="O402" s="77"/>
      <c r="P402" s="78"/>
      <c r="Q402" s="78"/>
      <c r="R402" s="92"/>
      <c r="S402" s="92"/>
      <c r="T402" s="92"/>
      <c r="U402" s="92"/>
      <c r="V402" s="52"/>
      <c r="W402" s="52"/>
      <c r="X402" s="52"/>
      <c r="Y402" s="52"/>
      <c r="Z402" s="51"/>
      <c r="AA402" s="73"/>
      <c r="AB402" s="73"/>
      <c r="AC402" s="74"/>
      <c r="AD402" s="81" t="s">
        <v>2398</v>
      </c>
      <c r="AE402" s="86" t="s">
        <v>2823</v>
      </c>
      <c r="AF402" s="81">
        <v>13</v>
      </c>
      <c r="AG402" s="81">
        <v>136</v>
      </c>
      <c r="AH402" s="81">
        <v>1838</v>
      </c>
      <c r="AI402" s="81">
        <v>1</v>
      </c>
      <c r="AJ402" s="81"/>
      <c r="AK402" s="81" t="s">
        <v>3231</v>
      </c>
      <c r="AL402" s="81"/>
      <c r="AM402" s="81"/>
      <c r="AN402" s="81"/>
      <c r="AO402" s="83">
        <v>44352.562650462962</v>
      </c>
      <c r="AP402" s="84" t="str">
        <f>HYPERLINK("https://pbs.twimg.com/profile_banners/1401169391371259909/1625493132")</f>
        <v>https://pbs.twimg.com/profile_banners/1401169391371259909/1625493132</v>
      </c>
      <c r="AQ402" s="81" t="b">
        <v>1</v>
      </c>
      <c r="AR402" s="81" t="b">
        <v>0</v>
      </c>
      <c r="AS402" s="81" t="b">
        <v>0</v>
      </c>
      <c r="AT402" s="81"/>
      <c r="AU402" s="81">
        <v>1</v>
      </c>
      <c r="AV402" s="81"/>
      <c r="AW402" s="81" t="b">
        <v>0</v>
      </c>
      <c r="AX402" s="81" t="s">
        <v>3728</v>
      </c>
      <c r="AY402" s="84" t="str">
        <f>HYPERLINK("https://twitter.com/psrnctrt")</f>
        <v>https://twitter.com/psrnctrt</v>
      </c>
      <c r="AZ402" s="81" t="s">
        <v>66</v>
      </c>
      <c r="BA402" s="2"/>
      <c r="BB402" s="3"/>
      <c r="BC402" s="3"/>
      <c r="BD402" s="3"/>
      <c r="BE402" s="3"/>
    </row>
    <row r="403" spans="1:57" x14ac:dyDescent="0.35">
      <c r="A403" s="66" t="s">
        <v>4342</v>
      </c>
      <c r="B403" s="67"/>
      <c r="C403" s="67"/>
      <c r="D403" s="68"/>
      <c r="E403" s="94"/>
      <c r="F403" s="93" t="str">
        <f>HYPERLINK("https://pbs.twimg.com/profile_images/1391341056176713729/O5oIfEn3_normal.jpg")</f>
        <v>https://pbs.twimg.com/profile_images/1391341056176713729/O5oIfEn3_normal.jpg</v>
      </c>
      <c r="G403" s="95"/>
      <c r="H403" s="71"/>
      <c r="I403" s="72"/>
      <c r="J403" s="96"/>
      <c r="K403" s="71" t="s">
        <v>11639</v>
      </c>
      <c r="L403" s="97"/>
      <c r="M403" s="76"/>
      <c r="N403" s="76"/>
      <c r="O403" s="77"/>
      <c r="P403" s="78"/>
      <c r="Q403" s="78"/>
      <c r="R403" s="92"/>
      <c r="S403" s="92"/>
      <c r="T403" s="92"/>
      <c r="U403" s="92"/>
      <c r="V403" s="52"/>
      <c r="W403" s="52"/>
      <c r="X403" s="52"/>
      <c r="Y403" s="52"/>
      <c r="Z403" s="51"/>
      <c r="AA403" s="73"/>
      <c r="AB403" s="73"/>
      <c r="AC403" s="74"/>
      <c r="AD403" s="81" t="s">
        <v>8271</v>
      </c>
      <c r="AE403" s="86" t="s">
        <v>9309</v>
      </c>
      <c r="AF403" s="81">
        <v>1152</v>
      </c>
      <c r="AG403" s="81">
        <v>945</v>
      </c>
      <c r="AH403" s="81">
        <v>5829</v>
      </c>
      <c r="AI403" s="81">
        <v>4510</v>
      </c>
      <c r="AJ403" s="81"/>
      <c r="AK403" s="81" t="s">
        <v>10274</v>
      </c>
      <c r="AL403" s="81" t="s">
        <v>2202</v>
      </c>
      <c r="AM403" s="81"/>
      <c r="AN403" s="81"/>
      <c r="AO403" s="83">
        <v>40166.616388888891</v>
      </c>
      <c r="AP403" s="84" t="str">
        <f>HYPERLINK("https://pbs.twimg.com/profile_banners/97913015/1366078446")</f>
        <v>https://pbs.twimg.com/profile_banners/97913015/1366078446</v>
      </c>
      <c r="AQ403" s="81" t="b">
        <v>0</v>
      </c>
      <c r="AR403" s="81" t="b">
        <v>0</v>
      </c>
      <c r="AS403" s="81" t="b">
        <v>1</v>
      </c>
      <c r="AT403" s="81"/>
      <c r="AU403" s="81">
        <v>0</v>
      </c>
      <c r="AV403" s="84" t="str">
        <f>HYPERLINK("https://abs.twimg.com/images/themes/theme13/bg.gif")</f>
        <v>https://abs.twimg.com/images/themes/theme13/bg.gif</v>
      </c>
      <c r="AW403" s="81" t="b">
        <v>0</v>
      </c>
      <c r="AX403" s="81" t="s">
        <v>3728</v>
      </c>
      <c r="AY403" s="84" t="str">
        <f>HYPERLINK("https://twitter.com/ratnadewi1392")</f>
        <v>https://twitter.com/ratnadewi1392</v>
      </c>
      <c r="AZ403" s="81" t="s">
        <v>66</v>
      </c>
      <c r="BA403" s="2"/>
      <c r="BB403" s="3"/>
      <c r="BC403" s="3"/>
      <c r="BD403" s="3"/>
      <c r="BE403" s="3"/>
    </row>
    <row r="404" spans="1:57" x14ac:dyDescent="0.35">
      <c r="A404" s="66" t="s">
        <v>5038</v>
      </c>
      <c r="B404" s="67"/>
      <c r="C404" s="67"/>
      <c r="D404" s="68"/>
      <c r="E404" s="94"/>
      <c r="F404" s="93" t="str">
        <f>HYPERLINK("https://pbs.twimg.com/profile_images/3676503811/cdd1054a3459eb2f6b26677eff83a3e7_normal.jpeg")</f>
        <v>https://pbs.twimg.com/profile_images/3676503811/cdd1054a3459eb2f6b26677eff83a3e7_normal.jpeg</v>
      </c>
      <c r="G404" s="95"/>
      <c r="H404" s="71"/>
      <c r="I404" s="72"/>
      <c r="J404" s="96"/>
      <c r="K404" s="71" t="s">
        <v>11640</v>
      </c>
      <c r="L404" s="97"/>
      <c r="M404" s="76"/>
      <c r="N404" s="76"/>
      <c r="O404" s="77"/>
      <c r="P404" s="78"/>
      <c r="Q404" s="78"/>
      <c r="R404" s="92"/>
      <c r="S404" s="92"/>
      <c r="T404" s="92"/>
      <c r="U404" s="92"/>
      <c r="V404" s="52"/>
      <c r="W404" s="52"/>
      <c r="X404" s="52"/>
      <c r="Y404" s="52"/>
      <c r="Z404" s="51"/>
      <c r="AA404" s="73"/>
      <c r="AB404" s="73"/>
      <c r="AC404" s="74"/>
      <c r="AD404" s="81" t="s">
        <v>8272</v>
      </c>
      <c r="AE404" s="86" t="s">
        <v>7833</v>
      </c>
      <c r="AF404" s="81">
        <v>137</v>
      </c>
      <c r="AG404" s="81">
        <v>153311</v>
      </c>
      <c r="AH404" s="81">
        <v>622</v>
      </c>
      <c r="AI404" s="81">
        <v>444</v>
      </c>
      <c r="AJ404" s="81"/>
      <c r="AK404" s="81" t="s">
        <v>10275</v>
      </c>
      <c r="AL404" s="81" t="s">
        <v>3503</v>
      </c>
      <c r="AM404" s="84" t="str">
        <f>HYPERLINK("https://t.co/E3cnjEQpxA")</f>
        <v>https://t.co/E3cnjEQpxA</v>
      </c>
      <c r="AN404" s="81"/>
      <c r="AO404" s="83">
        <v>40299.577372685184</v>
      </c>
      <c r="AP404" s="81"/>
      <c r="AQ404" s="81" t="b">
        <v>1</v>
      </c>
      <c r="AR404" s="81" t="b">
        <v>0</v>
      </c>
      <c r="AS404" s="81" t="b">
        <v>0</v>
      </c>
      <c r="AT404" s="81"/>
      <c r="AU404" s="81">
        <v>44</v>
      </c>
      <c r="AV404" s="84" t="str">
        <f>HYPERLINK("https://abs.twimg.com/images/themes/theme1/bg.png")</f>
        <v>https://abs.twimg.com/images/themes/theme1/bg.png</v>
      </c>
      <c r="AW404" s="81" t="b">
        <v>1</v>
      </c>
      <c r="AX404" s="81" t="s">
        <v>3728</v>
      </c>
      <c r="AY404" s="84" t="str">
        <f>HYPERLINK("https://twitter.com/nazaqistsha")</f>
        <v>https://twitter.com/nazaqistsha</v>
      </c>
      <c r="AZ404" s="81" t="s">
        <v>65</v>
      </c>
      <c r="BA404" s="2"/>
      <c r="BB404" s="3"/>
      <c r="BC404" s="3"/>
      <c r="BD404" s="3"/>
      <c r="BE404" s="3"/>
    </row>
    <row r="405" spans="1:57" x14ac:dyDescent="0.35">
      <c r="A405" s="66" t="s">
        <v>346</v>
      </c>
      <c r="B405" s="67"/>
      <c r="C405" s="67"/>
      <c r="D405" s="68"/>
      <c r="E405" s="94"/>
      <c r="F405" s="93" t="str">
        <f>HYPERLINK("https://pbs.twimg.com/profile_images/1178324812764086273/-s0I_nWA_normal.jpg")</f>
        <v>https://pbs.twimg.com/profile_images/1178324812764086273/-s0I_nWA_normal.jpg</v>
      </c>
      <c r="G405" s="95"/>
      <c r="H405" s="71"/>
      <c r="I405" s="72"/>
      <c r="J405" s="96"/>
      <c r="K405" s="71" t="s">
        <v>3885</v>
      </c>
      <c r="L405" s="97"/>
      <c r="M405" s="76"/>
      <c r="N405" s="76"/>
      <c r="O405" s="77"/>
      <c r="P405" s="78"/>
      <c r="Q405" s="78"/>
      <c r="R405" s="92"/>
      <c r="S405" s="92"/>
      <c r="T405" s="92"/>
      <c r="U405" s="92"/>
      <c r="V405" s="52"/>
      <c r="W405" s="52"/>
      <c r="X405" s="52"/>
      <c r="Y405" s="52"/>
      <c r="Z405" s="51"/>
      <c r="AA405" s="73"/>
      <c r="AB405" s="73"/>
      <c r="AC405" s="74"/>
      <c r="AD405" s="81" t="s">
        <v>2399</v>
      </c>
      <c r="AE405" s="86" t="s">
        <v>2824</v>
      </c>
      <c r="AF405" s="81">
        <v>0</v>
      </c>
      <c r="AG405" s="81">
        <v>1599</v>
      </c>
      <c r="AH405" s="81">
        <v>1798</v>
      </c>
      <c r="AI405" s="81">
        <v>1</v>
      </c>
      <c r="AJ405" s="81"/>
      <c r="AK405" s="81" t="s">
        <v>3232</v>
      </c>
      <c r="AL405" s="81" t="s">
        <v>3504</v>
      </c>
      <c r="AM405" s="84" t="str">
        <f>HYPERLINK("https://t.co/ilK7IpDX5X")</f>
        <v>https://t.co/ilK7IpDX5X</v>
      </c>
      <c r="AN405" s="81"/>
      <c r="AO405" s="83">
        <v>42892.13009259259</v>
      </c>
      <c r="AP405" s="84" t="str">
        <f>HYPERLINK("https://pbs.twimg.com/profile_banners/871926449711828998/1589748822")</f>
        <v>https://pbs.twimg.com/profile_banners/871926449711828998/1589748822</v>
      </c>
      <c r="AQ405" s="81" t="b">
        <v>0</v>
      </c>
      <c r="AR405" s="81" t="b">
        <v>0</v>
      </c>
      <c r="AS405" s="81" t="b">
        <v>0</v>
      </c>
      <c r="AT405" s="81"/>
      <c r="AU405" s="81">
        <v>6</v>
      </c>
      <c r="AV405" s="84" t="str">
        <f>HYPERLINK("https://abs.twimg.com/images/themes/theme1/bg.png")</f>
        <v>https://abs.twimg.com/images/themes/theme1/bg.png</v>
      </c>
      <c r="AW405" s="81" t="b">
        <v>0</v>
      </c>
      <c r="AX405" s="81" t="s">
        <v>3728</v>
      </c>
      <c r="AY405" s="84" t="str">
        <f>HYPERLINK("https://twitter.com/disnakerja_com")</f>
        <v>https://twitter.com/disnakerja_com</v>
      </c>
      <c r="AZ405" s="81" t="s">
        <v>66</v>
      </c>
      <c r="BA405" s="2"/>
      <c r="BB405" s="3"/>
      <c r="BC405" s="3"/>
      <c r="BD405" s="3"/>
      <c r="BE405" s="3"/>
    </row>
    <row r="406" spans="1:57" x14ac:dyDescent="0.35">
      <c r="A406" s="66" t="s">
        <v>347</v>
      </c>
      <c r="B406" s="67"/>
      <c r="C406" s="67"/>
      <c r="D406" s="68"/>
      <c r="E406" s="94"/>
      <c r="F406" s="93" t="str">
        <f>HYPERLINK("https://pbs.twimg.com/profile_images/1373851008560812035/x57AQzF5_normal.jpg")</f>
        <v>https://pbs.twimg.com/profile_images/1373851008560812035/x57AQzF5_normal.jpg</v>
      </c>
      <c r="G406" s="95"/>
      <c r="H406" s="71"/>
      <c r="I406" s="72"/>
      <c r="J406" s="96"/>
      <c r="K406" s="71" t="s">
        <v>3886</v>
      </c>
      <c r="L406" s="97"/>
      <c r="M406" s="76"/>
      <c r="N406" s="76"/>
      <c r="O406" s="77"/>
      <c r="P406" s="78"/>
      <c r="Q406" s="78"/>
      <c r="R406" s="92"/>
      <c r="S406" s="92"/>
      <c r="T406" s="92"/>
      <c r="U406" s="92"/>
      <c r="V406" s="52"/>
      <c r="W406" s="52"/>
      <c r="X406" s="52"/>
      <c r="Y406" s="52"/>
      <c r="Z406" s="51"/>
      <c r="AA406" s="73"/>
      <c r="AB406" s="73"/>
      <c r="AC406" s="74"/>
      <c r="AD406" s="81" t="s">
        <v>2400</v>
      </c>
      <c r="AE406" s="86" t="s">
        <v>2825</v>
      </c>
      <c r="AF406" s="81">
        <v>525</v>
      </c>
      <c r="AG406" s="81">
        <v>1246078</v>
      </c>
      <c r="AH406" s="81">
        <v>805431</v>
      </c>
      <c r="AI406" s="81">
        <v>1021</v>
      </c>
      <c r="AJ406" s="81"/>
      <c r="AK406" s="81" t="s">
        <v>3233</v>
      </c>
      <c r="AL406" s="81" t="s">
        <v>2202</v>
      </c>
      <c r="AM406" s="84" t="str">
        <f>HYPERLINK("https://t.co/GrHenLSgDH")</f>
        <v>https://t.co/GrHenLSgDH</v>
      </c>
      <c r="AN406" s="81"/>
      <c r="AO406" s="83">
        <v>40255.580810185187</v>
      </c>
      <c r="AP406" s="84" t="str">
        <f>HYPERLINK("https://pbs.twimg.com/profile_banners/124171593/1624351135")</f>
        <v>https://pbs.twimg.com/profile_banners/124171593/1624351135</v>
      </c>
      <c r="AQ406" s="81" t="b">
        <v>0</v>
      </c>
      <c r="AR406" s="81" t="b">
        <v>0</v>
      </c>
      <c r="AS406" s="81" t="b">
        <v>1</v>
      </c>
      <c r="AT406" s="81"/>
      <c r="AU406" s="81">
        <v>1323</v>
      </c>
      <c r="AV406" s="84" t="str">
        <f>HYPERLINK("https://abs.twimg.com/images/themes/theme1/bg.png")</f>
        <v>https://abs.twimg.com/images/themes/theme1/bg.png</v>
      </c>
      <c r="AW406" s="81" t="b">
        <v>0</v>
      </c>
      <c r="AX406" s="81" t="s">
        <v>3728</v>
      </c>
      <c r="AY406" s="84" t="str">
        <f>HYPERLINK("https://twitter.com/tribunnews")</f>
        <v>https://twitter.com/tribunnews</v>
      </c>
      <c r="AZ406" s="81" t="s">
        <v>66</v>
      </c>
      <c r="BA406" s="2"/>
      <c r="BB406" s="3"/>
      <c r="BC406" s="3"/>
      <c r="BD406" s="3"/>
      <c r="BE406" s="3"/>
    </row>
    <row r="407" spans="1:57" x14ac:dyDescent="0.35">
      <c r="A407" s="66" t="s">
        <v>348</v>
      </c>
      <c r="B407" s="67"/>
      <c r="C407" s="67"/>
      <c r="D407" s="68"/>
      <c r="E407" s="94"/>
      <c r="F407" s="93" t="str">
        <f>HYPERLINK("https://pbs.twimg.com/profile_images/1439153933289590785/HesQlRKO_normal.jpg")</f>
        <v>https://pbs.twimg.com/profile_images/1439153933289590785/HesQlRKO_normal.jpg</v>
      </c>
      <c r="G407" s="95"/>
      <c r="H407" s="71"/>
      <c r="I407" s="72"/>
      <c r="J407" s="96"/>
      <c r="K407" s="71" t="s">
        <v>3887</v>
      </c>
      <c r="L407" s="97"/>
      <c r="M407" s="76"/>
      <c r="N407" s="76"/>
      <c r="O407" s="77"/>
      <c r="P407" s="78"/>
      <c r="Q407" s="78"/>
      <c r="R407" s="92"/>
      <c r="S407" s="92"/>
      <c r="T407" s="92"/>
      <c r="U407" s="92"/>
      <c r="V407" s="52"/>
      <c r="W407" s="52"/>
      <c r="X407" s="52"/>
      <c r="Y407" s="52"/>
      <c r="Z407" s="51"/>
      <c r="AA407" s="73"/>
      <c r="AB407" s="73"/>
      <c r="AC407" s="74"/>
      <c r="AD407" s="81" t="s">
        <v>2401</v>
      </c>
      <c r="AE407" s="86" t="s">
        <v>2826</v>
      </c>
      <c r="AF407" s="81">
        <v>496</v>
      </c>
      <c r="AG407" s="81">
        <v>113</v>
      </c>
      <c r="AH407" s="81">
        <v>14847</v>
      </c>
      <c r="AI407" s="81">
        <v>28541</v>
      </c>
      <c r="AJ407" s="81"/>
      <c r="AK407" s="81" t="s">
        <v>3234</v>
      </c>
      <c r="AL407" s="81" t="s">
        <v>3602</v>
      </c>
      <c r="AM407" s="81"/>
      <c r="AN407" s="81"/>
      <c r="AO407" s="83">
        <v>44348.509652777779</v>
      </c>
      <c r="AP407" s="84" t="str">
        <f>HYPERLINK("https://pbs.twimg.com/profile_banners/1399700415617241089/1629179809")</f>
        <v>https://pbs.twimg.com/profile_banners/1399700415617241089/1629179809</v>
      </c>
      <c r="AQ407" s="81" t="b">
        <v>1</v>
      </c>
      <c r="AR407" s="81" t="b">
        <v>0</v>
      </c>
      <c r="AS407" s="81" t="b">
        <v>0</v>
      </c>
      <c r="AT407" s="81"/>
      <c r="AU407" s="81">
        <v>0</v>
      </c>
      <c r="AV407" s="81"/>
      <c r="AW407" s="81" t="b">
        <v>0</v>
      </c>
      <c r="AX407" s="81" t="s">
        <v>3728</v>
      </c>
      <c r="AY407" s="84" t="str">
        <f>HYPERLINK("https://twitter.com/taggie_03")</f>
        <v>https://twitter.com/taggie_03</v>
      </c>
      <c r="AZ407" s="81" t="s">
        <v>66</v>
      </c>
      <c r="BA407" s="2"/>
      <c r="BB407" s="3"/>
      <c r="BC407" s="3"/>
      <c r="BD407" s="3"/>
      <c r="BE407" s="3"/>
    </row>
    <row r="408" spans="1:57" x14ac:dyDescent="0.35">
      <c r="A408" s="66" t="s">
        <v>4343</v>
      </c>
      <c r="B408" s="67"/>
      <c r="C408" s="67"/>
      <c r="D408" s="68"/>
      <c r="E408" s="94"/>
      <c r="F408" s="93" t="str">
        <f>HYPERLINK("https://pbs.twimg.com/profile_images/1336806572320837638/Q323UByv_normal.jpg")</f>
        <v>https://pbs.twimg.com/profile_images/1336806572320837638/Q323UByv_normal.jpg</v>
      </c>
      <c r="G408" s="95"/>
      <c r="H408" s="71"/>
      <c r="I408" s="72"/>
      <c r="J408" s="96"/>
      <c r="K408" s="71" t="s">
        <v>11641</v>
      </c>
      <c r="L408" s="97"/>
      <c r="M408" s="76"/>
      <c r="N408" s="76"/>
      <c r="O408" s="77"/>
      <c r="P408" s="78"/>
      <c r="Q408" s="78"/>
      <c r="R408" s="92"/>
      <c r="S408" s="92"/>
      <c r="T408" s="92"/>
      <c r="U408" s="92"/>
      <c r="V408" s="52"/>
      <c r="W408" s="52"/>
      <c r="X408" s="52"/>
      <c r="Y408" s="52"/>
      <c r="Z408" s="51"/>
      <c r="AA408" s="73"/>
      <c r="AB408" s="73"/>
      <c r="AC408" s="74"/>
      <c r="AD408" s="81" t="s">
        <v>8273</v>
      </c>
      <c r="AE408" s="86" t="s">
        <v>9310</v>
      </c>
      <c r="AF408" s="81">
        <v>22</v>
      </c>
      <c r="AG408" s="81">
        <v>17</v>
      </c>
      <c r="AH408" s="81">
        <v>120</v>
      </c>
      <c r="AI408" s="81">
        <v>1</v>
      </c>
      <c r="AJ408" s="81"/>
      <c r="AK408" s="81" t="s">
        <v>10276</v>
      </c>
      <c r="AL408" s="81" t="s">
        <v>10990</v>
      </c>
      <c r="AM408" s="84" t="str">
        <f>HYPERLINK("https://t.co/9HqilvuxIi")</f>
        <v>https://t.co/9HqilvuxIi</v>
      </c>
      <c r="AN408" s="81"/>
      <c r="AO408" s="83">
        <v>44174.953958333332</v>
      </c>
      <c r="AP408" s="84" t="str">
        <f>HYPERLINK("https://pbs.twimg.com/profile_banners/1336806192497242114/1607554945")</f>
        <v>https://pbs.twimg.com/profile_banners/1336806192497242114/1607554945</v>
      </c>
      <c r="AQ408" s="81" t="b">
        <v>1</v>
      </c>
      <c r="AR408" s="81" t="b">
        <v>0</v>
      </c>
      <c r="AS408" s="81" t="b">
        <v>0</v>
      </c>
      <c r="AT408" s="81"/>
      <c r="AU408" s="81">
        <v>0</v>
      </c>
      <c r="AV408" s="81"/>
      <c r="AW408" s="81" t="b">
        <v>0</v>
      </c>
      <c r="AX408" s="81" t="s">
        <v>3728</v>
      </c>
      <c r="AY408" s="84" t="str">
        <f>HYPERLINK("https://twitter.com/sptf_org_pt")</f>
        <v>https://twitter.com/sptf_org_pt</v>
      </c>
      <c r="AZ408" s="81" t="s">
        <v>66</v>
      </c>
      <c r="BA408" s="2"/>
      <c r="BB408" s="3"/>
      <c r="BC408" s="3"/>
      <c r="BD408" s="3"/>
      <c r="BE408" s="3"/>
    </row>
    <row r="409" spans="1:57" x14ac:dyDescent="0.35">
      <c r="A409" s="66" t="s">
        <v>4344</v>
      </c>
      <c r="B409" s="67"/>
      <c r="C409" s="67"/>
      <c r="D409" s="68"/>
      <c r="E409" s="94"/>
      <c r="F409" s="93" t="str">
        <f>HYPERLINK("https://pbs.twimg.com/profile_images/1428486862046482433/JGb4AI-J_normal.jpg")</f>
        <v>https://pbs.twimg.com/profile_images/1428486862046482433/JGb4AI-J_normal.jpg</v>
      </c>
      <c r="G409" s="95"/>
      <c r="H409" s="71"/>
      <c r="I409" s="72"/>
      <c r="J409" s="96"/>
      <c r="K409" s="71" t="s">
        <v>11642</v>
      </c>
      <c r="L409" s="97"/>
      <c r="M409" s="76"/>
      <c r="N409" s="76"/>
      <c r="O409" s="77"/>
      <c r="P409" s="78"/>
      <c r="Q409" s="78"/>
      <c r="R409" s="92"/>
      <c r="S409" s="92"/>
      <c r="T409" s="92"/>
      <c r="U409" s="92"/>
      <c r="V409" s="52"/>
      <c r="W409" s="52"/>
      <c r="X409" s="52"/>
      <c r="Y409" s="52"/>
      <c r="Z409" s="51"/>
      <c r="AA409" s="73"/>
      <c r="AB409" s="73"/>
      <c r="AC409" s="74"/>
      <c r="AD409" s="81" t="s">
        <v>8274</v>
      </c>
      <c r="AE409" s="86" t="s">
        <v>9311</v>
      </c>
      <c r="AF409" s="81">
        <v>2314</v>
      </c>
      <c r="AG409" s="81">
        <v>1447</v>
      </c>
      <c r="AH409" s="81">
        <v>11199</v>
      </c>
      <c r="AI409" s="81">
        <v>12767</v>
      </c>
      <c r="AJ409" s="81"/>
      <c r="AK409" s="81" t="s">
        <v>10277</v>
      </c>
      <c r="AL409" s="81"/>
      <c r="AM409" s="81"/>
      <c r="AN409" s="81"/>
      <c r="AO409" s="83">
        <v>41028.00571759259</v>
      </c>
      <c r="AP409" s="84" t="str">
        <f>HYPERLINK("https://pbs.twimg.com/profile_banners/565922454/1588102304")</f>
        <v>https://pbs.twimg.com/profile_banners/565922454/1588102304</v>
      </c>
      <c r="AQ409" s="81" t="b">
        <v>1</v>
      </c>
      <c r="AR409" s="81" t="b">
        <v>0</v>
      </c>
      <c r="AS409" s="81" t="b">
        <v>0</v>
      </c>
      <c r="AT409" s="81"/>
      <c r="AU409" s="81">
        <v>0</v>
      </c>
      <c r="AV409" s="84" t="str">
        <f>HYPERLINK("https://abs.twimg.com/images/themes/theme1/bg.png")</f>
        <v>https://abs.twimg.com/images/themes/theme1/bg.png</v>
      </c>
      <c r="AW409" s="81" t="b">
        <v>0</v>
      </c>
      <c r="AX409" s="81" t="s">
        <v>3728</v>
      </c>
      <c r="AY409" s="84" t="str">
        <f>HYPERLINK("https://twitter.com/nutellabra")</f>
        <v>https://twitter.com/nutellabra</v>
      </c>
      <c r="AZ409" s="81" t="s">
        <v>66</v>
      </c>
      <c r="BA409" s="2"/>
      <c r="BB409" s="3"/>
      <c r="BC409" s="3"/>
      <c r="BD409" s="3"/>
      <c r="BE409" s="3"/>
    </row>
    <row r="410" spans="1:57" x14ac:dyDescent="0.35">
      <c r="A410" s="66" t="s">
        <v>4345</v>
      </c>
      <c r="B410" s="67"/>
      <c r="C410" s="67"/>
      <c r="D410" s="68"/>
      <c r="E410" s="94"/>
      <c r="F410" s="93" t="str">
        <f>HYPERLINK("https://pbs.twimg.com/profile_images/1423307591715799044/5TFc17rk_normal.jpg")</f>
        <v>https://pbs.twimg.com/profile_images/1423307591715799044/5TFc17rk_normal.jpg</v>
      </c>
      <c r="G410" s="95"/>
      <c r="H410" s="71"/>
      <c r="I410" s="72"/>
      <c r="J410" s="96"/>
      <c r="K410" s="71" t="s">
        <v>11643</v>
      </c>
      <c r="L410" s="97"/>
      <c r="M410" s="76"/>
      <c r="N410" s="76"/>
      <c r="O410" s="77"/>
      <c r="P410" s="78"/>
      <c r="Q410" s="78"/>
      <c r="R410" s="92"/>
      <c r="S410" s="92"/>
      <c r="T410" s="92"/>
      <c r="U410" s="92"/>
      <c r="V410" s="52"/>
      <c r="W410" s="52"/>
      <c r="X410" s="52"/>
      <c r="Y410" s="52"/>
      <c r="Z410" s="51"/>
      <c r="AA410" s="73"/>
      <c r="AB410" s="73"/>
      <c r="AC410" s="74"/>
      <c r="AD410" s="81" t="s">
        <v>8275</v>
      </c>
      <c r="AE410" s="86" t="s">
        <v>9312</v>
      </c>
      <c r="AF410" s="81">
        <v>17</v>
      </c>
      <c r="AG410" s="81">
        <v>3</v>
      </c>
      <c r="AH410" s="81">
        <v>466</v>
      </c>
      <c r="AI410" s="81">
        <v>67</v>
      </c>
      <c r="AJ410" s="81"/>
      <c r="AK410" s="81"/>
      <c r="AL410" s="81"/>
      <c r="AM410" s="81"/>
      <c r="AN410" s="81"/>
      <c r="AO410" s="83">
        <v>43857.055115740739</v>
      </c>
      <c r="AP410" s="84" t="str">
        <f>HYPERLINK("https://pbs.twimg.com/profile_banners/1221603347863625729/1628178354")</f>
        <v>https://pbs.twimg.com/profile_banners/1221603347863625729/1628178354</v>
      </c>
      <c r="AQ410" s="81" t="b">
        <v>1</v>
      </c>
      <c r="AR410" s="81" t="b">
        <v>0</v>
      </c>
      <c r="AS410" s="81" t="b">
        <v>0</v>
      </c>
      <c r="AT410" s="81"/>
      <c r="AU410" s="81">
        <v>0</v>
      </c>
      <c r="AV410" s="81"/>
      <c r="AW410" s="81" t="b">
        <v>0</v>
      </c>
      <c r="AX410" s="81" t="s">
        <v>3728</v>
      </c>
      <c r="AY410" s="84" t="str">
        <f>HYPERLINK("https://twitter.com/palhacokrusty00")</f>
        <v>https://twitter.com/palhacokrusty00</v>
      </c>
      <c r="AZ410" s="81" t="s">
        <v>66</v>
      </c>
      <c r="BA410" s="2"/>
      <c r="BB410" s="3"/>
      <c r="BC410" s="3"/>
      <c r="BD410" s="3"/>
      <c r="BE410" s="3"/>
    </row>
    <row r="411" spans="1:57" x14ac:dyDescent="0.35">
      <c r="A411" s="66" t="s">
        <v>5039</v>
      </c>
      <c r="B411" s="67"/>
      <c r="C411" s="67"/>
      <c r="D411" s="68"/>
      <c r="E411" s="94"/>
      <c r="F411" s="93" t="str">
        <f>HYPERLINK("https://pbs.twimg.com/profile_images/1378130219786252290/BJPVVG9l_normal.jpg")</f>
        <v>https://pbs.twimg.com/profile_images/1378130219786252290/BJPVVG9l_normal.jpg</v>
      </c>
      <c r="G411" s="95"/>
      <c r="H411" s="71"/>
      <c r="I411" s="72"/>
      <c r="J411" s="96"/>
      <c r="K411" s="71" t="s">
        <v>11644</v>
      </c>
      <c r="L411" s="97"/>
      <c r="M411" s="76"/>
      <c r="N411" s="76"/>
      <c r="O411" s="77"/>
      <c r="P411" s="78"/>
      <c r="Q411" s="78"/>
      <c r="R411" s="92"/>
      <c r="S411" s="92"/>
      <c r="T411" s="92"/>
      <c r="U411" s="92"/>
      <c r="V411" s="52"/>
      <c r="W411" s="52"/>
      <c r="X411" s="52"/>
      <c r="Y411" s="52"/>
      <c r="Z411" s="51"/>
      <c r="AA411" s="73"/>
      <c r="AB411" s="73"/>
      <c r="AC411" s="74"/>
      <c r="AD411" s="81" t="s">
        <v>8276</v>
      </c>
      <c r="AE411" s="86" t="s">
        <v>9313</v>
      </c>
      <c r="AF411" s="81">
        <v>283</v>
      </c>
      <c r="AG411" s="81">
        <v>292799</v>
      </c>
      <c r="AH411" s="81">
        <v>187899</v>
      </c>
      <c r="AI411" s="81">
        <v>11632</v>
      </c>
      <c r="AJ411" s="81"/>
      <c r="AK411" s="81" t="s">
        <v>10278</v>
      </c>
      <c r="AL411" s="81" t="s">
        <v>11092</v>
      </c>
      <c r="AM411" s="84" t="str">
        <f>HYPERLINK("https://t.co/mP3L9Rwflq")</f>
        <v>https://t.co/mP3L9Rwflq</v>
      </c>
      <c r="AN411" s="81"/>
      <c r="AO411" s="83">
        <v>39497.114270833335</v>
      </c>
      <c r="AP411" s="84" t="str">
        <f>HYPERLINK("https://pbs.twimg.com/profile_banners/13653812/1510949351")</f>
        <v>https://pbs.twimg.com/profile_banners/13653812/1510949351</v>
      </c>
      <c r="AQ411" s="81" t="b">
        <v>0</v>
      </c>
      <c r="AR411" s="81" t="b">
        <v>0</v>
      </c>
      <c r="AS411" s="81" t="b">
        <v>1</v>
      </c>
      <c r="AT411" s="81"/>
      <c r="AU411" s="81">
        <v>1016</v>
      </c>
      <c r="AV411" s="84" t="str">
        <f>HYPERLINK("https://abs.twimg.com/images/themes/theme1/bg.png")</f>
        <v>https://abs.twimg.com/images/themes/theme1/bg.png</v>
      </c>
      <c r="AW411" s="81" t="b">
        <v>1</v>
      </c>
      <c r="AX411" s="81" t="s">
        <v>3728</v>
      </c>
      <c r="AY411" s="84" t="str">
        <f>HYPERLINK("https://twitter.com/pablovillaca")</f>
        <v>https://twitter.com/pablovillaca</v>
      </c>
      <c r="AZ411" s="81" t="s">
        <v>65</v>
      </c>
      <c r="BA411" s="2"/>
      <c r="BB411" s="3"/>
      <c r="BC411" s="3"/>
      <c r="BD411" s="3"/>
      <c r="BE411" s="3"/>
    </row>
    <row r="412" spans="1:57" x14ac:dyDescent="0.35">
      <c r="A412" s="66" t="s">
        <v>5040</v>
      </c>
      <c r="B412" s="67"/>
      <c r="C412" s="67"/>
      <c r="D412" s="68"/>
      <c r="E412" s="94"/>
      <c r="F412" s="93" t="str">
        <f>HYPERLINK("https://pbs.twimg.com/profile_images/1430526382329696259/BUviFe6C_normal.jpg")</f>
        <v>https://pbs.twimg.com/profile_images/1430526382329696259/BUviFe6C_normal.jpg</v>
      </c>
      <c r="G412" s="95"/>
      <c r="H412" s="71"/>
      <c r="I412" s="72"/>
      <c r="J412" s="96"/>
      <c r="K412" s="71" t="s">
        <v>11645</v>
      </c>
      <c r="L412" s="97"/>
      <c r="M412" s="76"/>
      <c r="N412" s="76"/>
      <c r="O412" s="77"/>
      <c r="P412" s="78"/>
      <c r="Q412" s="78"/>
      <c r="R412" s="92"/>
      <c r="S412" s="92"/>
      <c r="T412" s="92"/>
      <c r="U412" s="92"/>
      <c r="V412" s="52"/>
      <c r="W412" s="52"/>
      <c r="X412" s="52"/>
      <c r="Y412" s="52"/>
      <c r="Z412" s="51"/>
      <c r="AA412" s="73"/>
      <c r="AB412" s="73"/>
      <c r="AC412" s="74"/>
      <c r="AD412" s="81" t="s">
        <v>8277</v>
      </c>
      <c r="AE412" s="86" t="s">
        <v>9314</v>
      </c>
      <c r="AF412" s="81">
        <v>796</v>
      </c>
      <c r="AG412" s="81">
        <v>650</v>
      </c>
      <c r="AH412" s="81">
        <v>32964</v>
      </c>
      <c r="AI412" s="81">
        <v>49291</v>
      </c>
      <c r="AJ412" s="81"/>
      <c r="AK412" s="81" t="s">
        <v>10279</v>
      </c>
      <c r="AL412" s="81" t="s">
        <v>11093</v>
      </c>
      <c r="AM412" s="81"/>
      <c r="AN412" s="81"/>
      <c r="AO412" s="83">
        <v>40046.232986111114</v>
      </c>
      <c r="AP412" s="84" t="str">
        <f>HYPERLINK("https://pbs.twimg.com/profile_banners/67536011/1577064005")</f>
        <v>https://pbs.twimg.com/profile_banners/67536011/1577064005</v>
      </c>
      <c r="AQ412" s="81" t="b">
        <v>0</v>
      </c>
      <c r="AR412" s="81" t="b">
        <v>0</v>
      </c>
      <c r="AS412" s="81" t="b">
        <v>1</v>
      </c>
      <c r="AT412" s="81"/>
      <c r="AU412" s="81">
        <v>3</v>
      </c>
      <c r="AV412" s="84" t="str">
        <f>HYPERLINK("https://abs.twimg.com/images/themes/theme2/bg.gif")</f>
        <v>https://abs.twimg.com/images/themes/theme2/bg.gif</v>
      </c>
      <c r="AW412" s="81" t="b">
        <v>0</v>
      </c>
      <c r="AX412" s="81" t="s">
        <v>3728</v>
      </c>
      <c r="AY412" s="84" t="str">
        <f>HYPERLINK("https://twitter.com/jpesafi")</f>
        <v>https://twitter.com/jpesafi</v>
      </c>
      <c r="AZ412" s="81" t="s">
        <v>65</v>
      </c>
      <c r="BA412" s="2"/>
      <c r="BB412" s="3"/>
      <c r="BC412" s="3"/>
      <c r="BD412" s="3"/>
      <c r="BE412" s="3"/>
    </row>
    <row r="413" spans="1:57" x14ac:dyDescent="0.35">
      <c r="A413" s="66" t="s">
        <v>5041</v>
      </c>
      <c r="B413" s="67"/>
      <c r="C413" s="67"/>
      <c r="D413" s="68"/>
      <c r="E413" s="94"/>
      <c r="F413" s="93" t="str">
        <f>HYPERLINK("https://pbs.twimg.com/profile_images/1441069284264906752/aIG3JyRV_normal.jpg")</f>
        <v>https://pbs.twimg.com/profile_images/1441069284264906752/aIG3JyRV_normal.jpg</v>
      </c>
      <c r="G413" s="95"/>
      <c r="H413" s="71"/>
      <c r="I413" s="72"/>
      <c r="J413" s="96"/>
      <c r="K413" s="71" t="s">
        <v>11646</v>
      </c>
      <c r="L413" s="97"/>
      <c r="M413" s="76"/>
      <c r="N413" s="76"/>
      <c r="O413" s="77"/>
      <c r="P413" s="78"/>
      <c r="Q413" s="78"/>
      <c r="R413" s="92"/>
      <c r="S413" s="92"/>
      <c r="T413" s="92"/>
      <c r="U413" s="92"/>
      <c r="V413" s="52"/>
      <c r="W413" s="52"/>
      <c r="X413" s="52"/>
      <c r="Y413" s="52"/>
      <c r="Z413" s="51"/>
      <c r="AA413" s="73"/>
      <c r="AB413" s="73"/>
      <c r="AC413" s="74"/>
      <c r="AD413" s="81" t="s">
        <v>8278</v>
      </c>
      <c r="AE413" s="86" t="s">
        <v>7834</v>
      </c>
      <c r="AF413" s="81">
        <v>2205</v>
      </c>
      <c r="AG413" s="81">
        <v>1395</v>
      </c>
      <c r="AH413" s="81">
        <v>3905</v>
      </c>
      <c r="AI413" s="81">
        <v>1215</v>
      </c>
      <c r="AJ413" s="81"/>
      <c r="AK413" s="81" t="s">
        <v>10280</v>
      </c>
      <c r="AL413" s="81" t="s">
        <v>11078</v>
      </c>
      <c r="AM413" s="81"/>
      <c r="AN413" s="81"/>
      <c r="AO413" s="83">
        <v>44269.514062499999</v>
      </c>
      <c r="AP413" s="84" t="str">
        <f>HYPERLINK("https://pbs.twimg.com/profile_banners/1371073243466104832/1625709946")</f>
        <v>https://pbs.twimg.com/profile_banners/1371073243466104832/1625709946</v>
      </c>
      <c r="AQ413" s="81" t="b">
        <v>1</v>
      </c>
      <c r="AR413" s="81" t="b">
        <v>0</v>
      </c>
      <c r="AS413" s="81" t="b">
        <v>0</v>
      </c>
      <c r="AT413" s="81"/>
      <c r="AU413" s="81">
        <v>0</v>
      </c>
      <c r="AV413" s="81"/>
      <c r="AW413" s="81" t="b">
        <v>0</v>
      </c>
      <c r="AX413" s="81" t="s">
        <v>3728</v>
      </c>
      <c r="AY413" s="84" t="str">
        <f>HYPERLINK("https://twitter.com/paulosr88038070")</f>
        <v>https://twitter.com/paulosr88038070</v>
      </c>
      <c r="AZ413" s="81" t="s">
        <v>65</v>
      </c>
      <c r="BA413" s="2"/>
      <c r="BB413" s="3"/>
      <c r="BC413" s="3"/>
      <c r="BD413" s="3"/>
      <c r="BE413" s="3"/>
    </row>
    <row r="414" spans="1:57" x14ac:dyDescent="0.35">
      <c r="A414" s="66" t="s">
        <v>5042</v>
      </c>
      <c r="B414" s="67"/>
      <c r="C414" s="67"/>
      <c r="D414" s="68"/>
      <c r="E414" s="94"/>
      <c r="F414" s="93" t="str">
        <f>HYPERLINK("https://pbs.twimg.com/profile_images/928719076670795779/O3sadwyC_normal.jpg")</f>
        <v>https://pbs.twimg.com/profile_images/928719076670795779/O3sadwyC_normal.jpg</v>
      </c>
      <c r="G414" s="95"/>
      <c r="H414" s="71"/>
      <c r="I414" s="72"/>
      <c r="J414" s="96"/>
      <c r="K414" s="71" t="s">
        <v>11647</v>
      </c>
      <c r="L414" s="97"/>
      <c r="M414" s="76"/>
      <c r="N414" s="76"/>
      <c r="O414" s="77"/>
      <c r="P414" s="78"/>
      <c r="Q414" s="78"/>
      <c r="R414" s="92"/>
      <c r="S414" s="92"/>
      <c r="T414" s="92"/>
      <c r="U414" s="92"/>
      <c r="V414" s="52"/>
      <c r="W414" s="52"/>
      <c r="X414" s="52"/>
      <c r="Y414" s="52"/>
      <c r="Z414" s="51"/>
      <c r="AA414" s="73"/>
      <c r="AB414" s="73"/>
      <c r="AC414" s="74"/>
      <c r="AD414" s="81" t="s">
        <v>8279</v>
      </c>
      <c r="AE414" s="86" t="s">
        <v>9315</v>
      </c>
      <c r="AF414" s="81">
        <v>1492</v>
      </c>
      <c r="AG414" s="81">
        <v>54082</v>
      </c>
      <c r="AH414" s="81">
        <v>49777</v>
      </c>
      <c r="AI414" s="81">
        <v>12271</v>
      </c>
      <c r="AJ414" s="81"/>
      <c r="AK414" s="81" t="s">
        <v>10281</v>
      </c>
      <c r="AL414" s="81" t="s">
        <v>11094</v>
      </c>
      <c r="AM414" s="84" t="str">
        <f>HYPERLINK("https://t.co/sndnqQn4mA")</f>
        <v>https://t.co/sndnqQn4mA</v>
      </c>
      <c r="AN414" s="81"/>
      <c r="AO414" s="83">
        <v>39918.807835648149</v>
      </c>
      <c r="AP414" s="84" t="str">
        <f>HYPERLINK("https://pbs.twimg.com/profile_banners/31490951/1599490972")</f>
        <v>https://pbs.twimg.com/profile_banners/31490951/1599490972</v>
      </c>
      <c r="AQ414" s="81" t="b">
        <v>1</v>
      </c>
      <c r="AR414" s="81" t="b">
        <v>0</v>
      </c>
      <c r="AS414" s="81" t="b">
        <v>0</v>
      </c>
      <c r="AT414" s="81"/>
      <c r="AU414" s="81">
        <v>346</v>
      </c>
      <c r="AV414" s="84" t="str">
        <f>HYPERLINK("https://abs.twimg.com/images/themes/theme1/bg.png")</f>
        <v>https://abs.twimg.com/images/themes/theme1/bg.png</v>
      </c>
      <c r="AW414" s="81" t="b">
        <v>0</v>
      </c>
      <c r="AX414" s="81" t="s">
        <v>3728</v>
      </c>
      <c r="AY414" s="84" t="str">
        <f>HYPERLINK("https://twitter.com/willgomes")</f>
        <v>https://twitter.com/willgomes</v>
      </c>
      <c r="AZ414" s="81" t="s">
        <v>65</v>
      </c>
      <c r="BA414" s="2"/>
      <c r="BB414" s="3"/>
      <c r="BC414" s="3"/>
      <c r="BD414" s="3"/>
      <c r="BE414" s="3"/>
    </row>
    <row r="415" spans="1:57" x14ac:dyDescent="0.35">
      <c r="A415" s="66" t="s">
        <v>4348</v>
      </c>
      <c r="B415" s="67"/>
      <c r="C415" s="67"/>
      <c r="D415" s="68"/>
      <c r="E415" s="94"/>
      <c r="F415" s="93" t="str">
        <f>HYPERLINK("https://pbs.twimg.com/profile_images/512402281019359232/j6xGrpni_normal.jpeg")</f>
        <v>https://pbs.twimg.com/profile_images/512402281019359232/j6xGrpni_normal.jpeg</v>
      </c>
      <c r="G415" s="95"/>
      <c r="H415" s="71"/>
      <c r="I415" s="72"/>
      <c r="J415" s="96"/>
      <c r="K415" s="71" t="s">
        <v>11648</v>
      </c>
      <c r="L415" s="97"/>
      <c r="M415" s="76"/>
      <c r="N415" s="76"/>
      <c r="O415" s="77"/>
      <c r="P415" s="78"/>
      <c r="Q415" s="78"/>
      <c r="R415" s="92"/>
      <c r="S415" s="92"/>
      <c r="T415" s="92"/>
      <c r="U415" s="92"/>
      <c r="V415" s="52"/>
      <c r="W415" s="52"/>
      <c r="X415" s="52"/>
      <c r="Y415" s="52"/>
      <c r="Z415" s="51"/>
      <c r="AA415" s="73"/>
      <c r="AB415" s="73"/>
      <c r="AC415" s="74"/>
      <c r="AD415" s="81" t="s">
        <v>8280</v>
      </c>
      <c r="AE415" s="86" t="s">
        <v>9316</v>
      </c>
      <c r="AF415" s="81">
        <v>669</v>
      </c>
      <c r="AG415" s="81">
        <v>1663</v>
      </c>
      <c r="AH415" s="81">
        <v>38870</v>
      </c>
      <c r="AI415" s="81">
        <v>140340</v>
      </c>
      <c r="AJ415" s="81"/>
      <c r="AK415" s="81" t="s">
        <v>10282</v>
      </c>
      <c r="AL415" s="81" t="s">
        <v>11095</v>
      </c>
      <c r="AM415" s="84" t="str">
        <f>HYPERLINK("https://t.co/UcjB260o5s")</f>
        <v>https://t.co/UcjB260o5s</v>
      </c>
      <c r="AN415" s="81"/>
      <c r="AO415" s="83">
        <v>41891.86824074074</v>
      </c>
      <c r="AP415" s="84" t="str">
        <f>HYPERLINK("https://pbs.twimg.com/profile_banners/2800529756/1573155420")</f>
        <v>https://pbs.twimg.com/profile_banners/2800529756/1573155420</v>
      </c>
      <c r="AQ415" s="81" t="b">
        <v>1</v>
      </c>
      <c r="AR415" s="81" t="b">
        <v>0</v>
      </c>
      <c r="AS415" s="81" t="b">
        <v>0</v>
      </c>
      <c r="AT415" s="81"/>
      <c r="AU415" s="81">
        <v>34</v>
      </c>
      <c r="AV415" s="84" t="str">
        <f>HYPERLINK("https://abs.twimg.com/images/themes/theme1/bg.png")</f>
        <v>https://abs.twimg.com/images/themes/theme1/bg.png</v>
      </c>
      <c r="AW415" s="81" t="b">
        <v>0</v>
      </c>
      <c r="AX415" s="81" t="s">
        <v>3728</v>
      </c>
      <c r="AY415" s="84" t="str">
        <f>HYPERLINK("https://twitter.com/dosiveiga")</f>
        <v>https://twitter.com/dosiveiga</v>
      </c>
      <c r="AZ415" s="81" t="s">
        <v>66</v>
      </c>
      <c r="BA415" s="2"/>
      <c r="BB415" s="3"/>
      <c r="BC415" s="3"/>
      <c r="BD415" s="3"/>
      <c r="BE415" s="3"/>
    </row>
    <row r="416" spans="1:57" x14ac:dyDescent="0.35">
      <c r="A416" s="66" t="s">
        <v>4349</v>
      </c>
      <c r="B416" s="67"/>
      <c r="C416" s="67"/>
      <c r="D416" s="68"/>
      <c r="E416" s="94"/>
      <c r="F416" s="93" t="str">
        <f>HYPERLINK("https://pbs.twimg.com/profile_images/1442521850987171840/8YTOnZRc_normal.jpg")</f>
        <v>https://pbs.twimg.com/profile_images/1442521850987171840/8YTOnZRc_normal.jpg</v>
      </c>
      <c r="G416" s="95"/>
      <c r="H416" s="71"/>
      <c r="I416" s="72"/>
      <c r="J416" s="96"/>
      <c r="K416" s="71" t="s">
        <v>11649</v>
      </c>
      <c r="L416" s="97"/>
      <c r="M416" s="76"/>
      <c r="N416" s="76"/>
      <c r="O416" s="77"/>
      <c r="P416" s="78"/>
      <c r="Q416" s="78"/>
      <c r="R416" s="92"/>
      <c r="S416" s="92"/>
      <c r="T416" s="92"/>
      <c r="U416" s="92"/>
      <c r="V416" s="52"/>
      <c r="W416" s="52"/>
      <c r="X416" s="52"/>
      <c r="Y416" s="52"/>
      <c r="Z416" s="51"/>
      <c r="AA416" s="73"/>
      <c r="AB416" s="73"/>
      <c r="AC416" s="74"/>
      <c r="AD416" s="81" t="s">
        <v>8281</v>
      </c>
      <c r="AE416" s="86" t="s">
        <v>9317</v>
      </c>
      <c r="AF416" s="81">
        <v>4653</v>
      </c>
      <c r="AG416" s="81">
        <v>4553</v>
      </c>
      <c r="AH416" s="81">
        <v>19287</v>
      </c>
      <c r="AI416" s="81">
        <v>23646</v>
      </c>
      <c r="AJ416" s="81"/>
      <c r="AK416" s="81" t="s">
        <v>10283</v>
      </c>
      <c r="AL416" s="81" t="s">
        <v>11096</v>
      </c>
      <c r="AM416" s="81"/>
      <c r="AN416" s="81"/>
      <c r="AO416" s="83">
        <v>44097.952557870369</v>
      </c>
      <c r="AP416" s="84" t="str">
        <f>HYPERLINK("https://pbs.twimg.com/profile_banners/1308901808367194118/1632730159")</f>
        <v>https://pbs.twimg.com/profile_banners/1308901808367194118/1632730159</v>
      </c>
      <c r="AQ416" s="81" t="b">
        <v>1</v>
      </c>
      <c r="AR416" s="81" t="b">
        <v>0</v>
      </c>
      <c r="AS416" s="81" t="b">
        <v>1</v>
      </c>
      <c r="AT416" s="81"/>
      <c r="AU416" s="81">
        <v>3</v>
      </c>
      <c r="AV416" s="81"/>
      <c r="AW416" s="81" t="b">
        <v>0</v>
      </c>
      <c r="AX416" s="81" t="s">
        <v>3728</v>
      </c>
      <c r="AY416" s="84" t="str">
        <f>HYPERLINK("https://twitter.com/jamportugal10")</f>
        <v>https://twitter.com/jamportugal10</v>
      </c>
      <c r="AZ416" s="81" t="s">
        <v>66</v>
      </c>
      <c r="BA416" s="2"/>
      <c r="BB416" s="3"/>
      <c r="BC416" s="3"/>
      <c r="BD416" s="3"/>
      <c r="BE416" s="3"/>
    </row>
    <row r="417" spans="1:57" x14ac:dyDescent="0.35">
      <c r="A417" s="66" t="s">
        <v>4350</v>
      </c>
      <c r="B417" s="67"/>
      <c r="C417" s="67"/>
      <c r="D417" s="68"/>
      <c r="E417" s="94"/>
      <c r="F417" s="93" t="str">
        <f>HYPERLINK("https://pbs.twimg.com/profile_images/1441530311926587393/3PM6tjti_normal.jpg")</f>
        <v>https://pbs.twimg.com/profile_images/1441530311926587393/3PM6tjti_normal.jpg</v>
      </c>
      <c r="G417" s="95"/>
      <c r="H417" s="71"/>
      <c r="I417" s="72"/>
      <c r="J417" s="96"/>
      <c r="K417" s="71" t="s">
        <v>11650</v>
      </c>
      <c r="L417" s="97"/>
      <c r="M417" s="76"/>
      <c r="N417" s="76"/>
      <c r="O417" s="77"/>
      <c r="P417" s="78"/>
      <c r="Q417" s="78"/>
      <c r="R417" s="92"/>
      <c r="S417" s="92"/>
      <c r="T417" s="92"/>
      <c r="U417" s="92"/>
      <c r="V417" s="52"/>
      <c r="W417" s="52"/>
      <c r="X417" s="52"/>
      <c r="Y417" s="52"/>
      <c r="Z417" s="51"/>
      <c r="AA417" s="73"/>
      <c r="AB417" s="73"/>
      <c r="AC417" s="74"/>
      <c r="AD417" s="81" t="s">
        <v>8282</v>
      </c>
      <c r="AE417" s="86" t="s">
        <v>9318</v>
      </c>
      <c r="AF417" s="81">
        <v>1865</v>
      </c>
      <c r="AG417" s="81">
        <v>1758</v>
      </c>
      <c r="AH417" s="81">
        <v>86371</v>
      </c>
      <c r="AI417" s="81">
        <v>64616</v>
      </c>
      <c r="AJ417" s="81"/>
      <c r="AK417" s="81" t="s">
        <v>10284</v>
      </c>
      <c r="AL417" s="81" t="s">
        <v>11097</v>
      </c>
      <c r="AM417" s="81"/>
      <c r="AN417" s="81"/>
      <c r="AO417" s="83">
        <v>41355.532581018517</v>
      </c>
      <c r="AP417" s="84" t="str">
        <f>HYPERLINK("https://pbs.twimg.com/profile_banners/1288614823/1605403042")</f>
        <v>https://pbs.twimg.com/profile_banners/1288614823/1605403042</v>
      </c>
      <c r="AQ417" s="81" t="b">
        <v>0</v>
      </c>
      <c r="AR417" s="81" t="b">
        <v>0</v>
      </c>
      <c r="AS417" s="81" t="b">
        <v>1</v>
      </c>
      <c r="AT417" s="81"/>
      <c r="AU417" s="81">
        <v>2</v>
      </c>
      <c r="AV417" s="84" t="str">
        <f>HYPERLINK("https://abs.twimg.com/images/themes/theme13/bg.gif")</f>
        <v>https://abs.twimg.com/images/themes/theme13/bg.gif</v>
      </c>
      <c r="AW417" s="81" t="b">
        <v>0</v>
      </c>
      <c r="AX417" s="81" t="s">
        <v>3728</v>
      </c>
      <c r="AY417" s="84" t="str">
        <f>HYPERLINK("https://twitter.com/helenarubensl")</f>
        <v>https://twitter.com/helenarubensl</v>
      </c>
      <c r="AZ417" s="81" t="s">
        <v>66</v>
      </c>
      <c r="BA417" s="2"/>
      <c r="BB417" s="3"/>
      <c r="BC417" s="3"/>
      <c r="BD417" s="3"/>
      <c r="BE417" s="3"/>
    </row>
    <row r="418" spans="1:57" x14ac:dyDescent="0.35">
      <c r="A418" s="66" t="s">
        <v>349</v>
      </c>
      <c r="B418" s="67"/>
      <c r="C418" s="67"/>
      <c r="D418" s="68"/>
      <c r="E418" s="94"/>
      <c r="F418" s="93" t="str">
        <f>HYPERLINK("https://pbs.twimg.com/profile_images/1439585268269342726/sBe2vb7E_normal.jpg")</f>
        <v>https://pbs.twimg.com/profile_images/1439585268269342726/sBe2vb7E_normal.jpg</v>
      </c>
      <c r="G418" s="95"/>
      <c r="H418" s="71"/>
      <c r="I418" s="72"/>
      <c r="J418" s="96"/>
      <c r="K418" s="71" t="s">
        <v>3888</v>
      </c>
      <c r="L418" s="97"/>
      <c r="M418" s="76"/>
      <c r="N418" s="76"/>
      <c r="O418" s="77"/>
      <c r="P418" s="78"/>
      <c r="Q418" s="78"/>
      <c r="R418" s="92"/>
      <c r="S418" s="92"/>
      <c r="T418" s="92"/>
      <c r="U418" s="92"/>
      <c r="V418" s="52"/>
      <c r="W418" s="52"/>
      <c r="X418" s="52"/>
      <c r="Y418" s="52"/>
      <c r="Z418" s="51"/>
      <c r="AA418" s="73"/>
      <c r="AB418" s="73"/>
      <c r="AC418" s="74"/>
      <c r="AD418" s="81" t="s">
        <v>2403</v>
      </c>
      <c r="AE418" s="86" t="s">
        <v>2827</v>
      </c>
      <c r="AF418" s="81">
        <v>595</v>
      </c>
      <c r="AG418" s="81">
        <v>479</v>
      </c>
      <c r="AH418" s="81">
        <v>5948</v>
      </c>
      <c r="AI418" s="81">
        <v>7613</v>
      </c>
      <c r="AJ418" s="81"/>
      <c r="AK418" s="81" t="s">
        <v>3235</v>
      </c>
      <c r="AL418" s="81" t="s">
        <v>3603</v>
      </c>
      <c r="AM418" s="81"/>
      <c r="AN418" s="81"/>
      <c r="AO418" s="83">
        <v>44192.419918981483</v>
      </c>
      <c r="AP418" s="84" t="str">
        <f>HYPERLINK("https://pbs.twimg.com/profile_banners/1343135608592424966/1629472169")</f>
        <v>https://pbs.twimg.com/profile_banners/1343135608592424966/1629472169</v>
      </c>
      <c r="AQ418" s="81" t="b">
        <v>1</v>
      </c>
      <c r="AR418" s="81" t="b">
        <v>0</v>
      </c>
      <c r="AS418" s="81" t="b">
        <v>0</v>
      </c>
      <c r="AT418" s="81"/>
      <c r="AU418" s="81">
        <v>0</v>
      </c>
      <c r="AV418" s="81"/>
      <c r="AW418" s="81" t="b">
        <v>0</v>
      </c>
      <c r="AX418" s="81" t="s">
        <v>3728</v>
      </c>
      <c r="AY418" s="84" t="str">
        <f>HYPERLINK("https://twitter.com/miyongyu")</f>
        <v>https://twitter.com/miyongyu</v>
      </c>
      <c r="AZ418" s="81" t="s">
        <v>66</v>
      </c>
      <c r="BA418" s="2"/>
      <c r="BB418" s="3"/>
      <c r="BC418" s="3"/>
      <c r="BD418" s="3"/>
      <c r="BE418" s="3"/>
    </row>
    <row r="419" spans="1:57" x14ac:dyDescent="0.35">
      <c r="A419" s="66" t="s">
        <v>415</v>
      </c>
      <c r="B419" s="67"/>
      <c r="C419" s="67"/>
      <c r="D419" s="68"/>
      <c r="E419" s="94"/>
      <c r="F419" s="93" t="str">
        <f>HYPERLINK("https://pbs.twimg.com/profile_images/1439178728395853827/e6teIfPf_normal.jpg")</f>
        <v>https://pbs.twimg.com/profile_images/1439178728395853827/e6teIfPf_normal.jpg</v>
      </c>
      <c r="G419" s="95"/>
      <c r="H419" s="71"/>
      <c r="I419" s="72"/>
      <c r="J419" s="96"/>
      <c r="K419" s="71" t="s">
        <v>3889</v>
      </c>
      <c r="L419" s="97"/>
      <c r="M419" s="76"/>
      <c r="N419" s="76"/>
      <c r="O419" s="77"/>
      <c r="P419" s="78"/>
      <c r="Q419" s="78"/>
      <c r="R419" s="92"/>
      <c r="S419" s="92"/>
      <c r="T419" s="92"/>
      <c r="U419" s="92"/>
      <c r="V419" s="52"/>
      <c r="W419" s="52"/>
      <c r="X419" s="52"/>
      <c r="Y419" s="52"/>
      <c r="Z419" s="51"/>
      <c r="AA419" s="73"/>
      <c r="AB419" s="73"/>
      <c r="AC419" s="74"/>
      <c r="AD419" s="81" t="s">
        <v>2404</v>
      </c>
      <c r="AE419" s="86" t="s">
        <v>2828</v>
      </c>
      <c r="AF419" s="81">
        <v>255</v>
      </c>
      <c r="AG419" s="81">
        <v>39</v>
      </c>
      <c r="AH419" s="81">
        <v>1159</v>
      </c>
      <c r="AI419" s="81">
        <v>632</v>
      </c>
      <c r="AJ419" s="81"/>
      <c r="AK419" s="81" t="s">
        <v>3236</v>
      </c>
      <c r="AL419" s="81" t="s">
        <v>3604</v>
      </c>
      <c r="AM419" s="81"/>
      <c r="AN419" s="81"/>
      <c r="AO419" s="83">
        <v>44302.686874999999</v>
      </c>
      <c r="AP419" s="84" t="str">
        <f>HYPERLINK("https://pbs.twimg.com/profile_banners/1383095073286410242/1631961622")</f>
        <v>https://pbs.twimg.com/profile_banners/1383095073286410242/1631961622</v>
      </c>
      <c r="AQ419" s="81" t="b">
        <v>1</v>
      </c>
      <c r="AR419" s="81" t="b">
        <v>0</v>
      </c>
      <c r="AS419" s="81" t="b">
        <v>0</v>
      </c>
      <c r="AT419" s="81"/>
      <c r="AU419" s="81">
        <v>0</v>
      </c>
      <c r="AV419" s="81"/>
      <c r="AW419" s="81" t="b">
        <v>0</v>
      </c>
      <c r="AX419" s="81" t="s">
        <v>3728</v>
      </c>
      <c r="AY419" s="84" t="str">
        <f>HYPERLINK("https://twitter.com/tyongluvb")</f>
        <v>https://twitter.com/tyongluvb</v>
      </c>
      <c r="AZ419" s="81" t="s">
        <v>66</v>
      </c>
      <c r="BA419" s="2"/>
      <c r="BB419" s="3"/>
      <c r="BC419" s="3"/>
      <c r="BD419" s="3"/>
      <c r="BE419" s="3"/>
    </row>
    <row r="420" spans="1:57" x14ac:dyDescent="0.35">
      <c r="A420" s="66" t="s">
        <v>351</v>
      </c>
      <c r="B420" s="67"/>
      <c r="C420" s="67"/>
      <c r="D420" s="68"/>
      <c r="E420" s="94"/>
      <c r="F420" s="93" t="str">
        <f>HYPERLINK("https://pbs.twimg.com/profile_images/1433090595392688136/Qjy0xXOZ_normal.jpg")</f>
        <v>https://pbs.twimg.com/profile_images/1433090595392688136/Qjy0xXOZ_normal.jpg</v>
      </c>
      <c r="G420" s="95"/>
      <c r="H420" s="71"/>
      <c r="I420" s="72"/>
      <c r="J420" s="96"/>
      <c r="K420" s="71" t="s">
        <v>3890</v>
      </c>
      <c r="L420" s="97"/>
      <c r="M420" s="76"/>
      <c r="N420" s="76"/>
      <c r="O420" s="77"/>
      <c r="P420" s="78"/>
      <c r="Q420" s="78"/>
      <c r="R420" s="92"/>
      <c r="S420" s="92"/>
      <c r="T420" s="92"/>
      <c r="U420" s="92"/>
      <c r="V420" s="52"/>
      <c r="W420" s="52"/>
      <c r="X420" s="52"/>
      <c r="Y420" s="52"/>
      <c r="Z420" s="51"/>
      <c r="AA420" s="73"/>
      <c r="AB420" s="73"/>
      <c r="AC420" s="74"/>
      <c r="AD420" s="81" t="s">
        <v>2406</v>
      </c>
      <c r="AE420" s="86" t="s">
        <v>2830</v>
      </c>
      <c r="AF420" s="81">
        <v>4231</v>
      </c>
      <c r="AG420" s="81">
        <v>3312</v>
      </c>
      <c r="AH420" s="81">
        <v>23049</v>
      </c>
      <c r="AI420" s="81">
        <v>22940</v>
      </c>
      <c r="AJ420" s="81"/>
      <c r="AK420" s="81" t="s">
        <v>3238</v>
      </c>
      <c r="AL420" s="81" t="s">
        <v>3605</v>
      </c>
      <c r="AM420" s="84" t="str">
        <f>HYPERLINK("https://t.co/pPyUexggmn")</f>
        <v>https://t.co/pPyUexggmn</v>
      </c>
      <c r="AN420" s="81"/>
      <c r="AO420" s="83">
        <v>44202.574490740742</v>
      </c>
      <c r="AP420" s="84" t="str">
        <f>HYPERLINK("https://pbs.twimg.com/profile_banners/1346815530250817536/1626611453")</f>
        <v>https://pbs.twimg.com/profile_banners/1346815530250817536/1626611453</v>
      </c>
      <c r="AQ420" s="81" t="b">
        <v>1</v>
      </c>
      <c r="AR420" s="81" t="b">
        <v>0</v>
      </c>
      <c r="AS420" s="81" t="b">
        <v>0</v>
      </c>
      <c r="AT420" s="81"/>
      <c r="AU420" s="81">
        <v>5</v>
      </c>
      <c r="AV420" s="81"/>
      <c r="AW420" s="81" t="b">
        <v>0</v>
      </c>
      <c r="AX420" s="81" t="s">
        <v>3728</v>
      </c>
      <c r="AY420" s="84" t="str">
        <f>HYPERLINK("https://twitter.com/wh0junie")</f>
        <v>https://twitter.com/wh0junie</v>
      </c>
      <c r="AZ420" s="81" t="s">
        <v>66</v>
      </c>
      <c r="BA420" s="2"/>
      <c r="BB420" s="3"/>
      <c r="BC420" s="3"/>
      <c r="BD420" s="3"/>
      <c r="BE420" s="3"/>
    </row>
    <row r="421" spans="1:57" x14ac:dyDescent="0.35">
      <c r="A421" s="66" t="s">
        <v>352</v>
      </c>
      <c r="B421" s="67"/>
      <c r="C421" s="67"/>
      <c r="D421" s="68"/>
      <c r="E421" s="94"/>
      <c r="F421" s="93" t="str">
        <f>HYPERLINK("https://pbs.twimg.com/profile_images/1421543304961826816/pencPTQZ_normal.jpg")</f>
        <v>https://pbs.twimg.com/profile_images/1421543304961826816/pencPTQZ_normal.jpg</v>
      </c>
      <c r="G421" s="95"/>
      <c r="H421" s="71"/>
      <c r="I421" s="72"/>
      <c r="J421" s="96"/>
      <c r="K421" s="71" t="s">
        <v>3891</v>
      </c>
      <c r="L421" s="97"/>
      <c r="M421" s="76"/>
      <c r="N421" s="76"/>
      <c r="O421" s="77"/>
      <c r="P421" s="78"/>
      <c r="Q421" s="78"/>
      <c r="R421" s="92"/>
      <c r="S421" s="92"/>
      <c r="T421" s="92"/>
      <c r="U421" s="92"/>
      <c r="V421" s="52"/>
      <c r="W421" s="52"/>
      <c r="X421" s="52"/>
      <c r="Y421" s="52"/>
      <c r="Z421" s="51"/>
      <c r="AA421" s="73"/>
      <c r="AB421" s="73"/>
      <c r="AC421" s="74"/>
      <c r="AD421" s="81" t="s">
        <v>2407</v>
      </c>
      <c r="AE421" s="86" t="s">
        <v>2831</v>
      </c>
      <c r="AF421" s="81">
        <v>477</v>
      </c>
      <c r="AG421" s="81">
        <v>441</v>
      </c>
      <c r="AH421" s="81">
        <v>18201</v>
      </c>
      <c r="AI421" s="81">
        <v>30871</v>
      </c>
      <c r="AJ421" s="81"/>
      <c r="AK421" s="81" t="s">
        <v>3239</v>
      </c>
      <c r="AL421" s="81" t="s">
        <v>3606</v>
      </c>
      <c r="AM421" s="81"/>
      <c r="AN421" s="81"/>
      <c r="AO421" s="83">
        <v>44170.657060185185</v>
      </c>
      <c r="AP421" s="84" t="str">
        <f>HYPERLINK("https://pbs.twimg.com/profile_banners/1335249052351401984/1627488836")</f>
        <v>https://pbs.twimg.com/profile_banners/1335249052351401984/1627488836</v>
      </c>
      <c r="AQ421" s="81" t="b">
        <v>1</v>
      </c>
      <c r="AR421" s="81" t="b">
        <v>0</v>
      </c>
      <c r="AS421" s="81" t="b">
        <v>0</v>
      </c>
      <c r="AT421" s="81"/>
      <c r="AU421" s="81">
        <v>3</v>
      </c>
      <c r="AV421" s="81"/>
      <c r="AW421" s="81" t="b">
        <v>0</v>
      </c>
      <c r="AX421" s="81" t="s">
        <v>3728</v>
      </c>
      <c r="AY421" s="84" t="str">
        <f>HYPERLINK("https://twitter.com/chocoboyksw")</f>
        <v>https://twitter.com/chocoboyksw</v>
      </c>
      <c r="AZ421" s="81" t="s">
        <v>66</v>
      </c>
      <c r="BA421" s="2"/>
      <c r="BB421" s="3"/>
      <c r="BC421" s="3"/>
      <c r="BD421" s="3"/>
      <c r="BE421" s="3"/>
    </row>
    <row r="422" spans="1:57" x14ac:dyDescent="0.35">
      <c r="A422" s="66" t="s">
        <v>353</v>
      </c>
      <c r="B422" s="67"/>
      <c r="C422" s="67"/>
      <c r="D422" s="68"/>
      <c r="E422" s="94"/>
      <c r="F422" s="93" t="str">
        <f>HYPERLINK("https://pbs.twimg.com/profile_images/1305722746282733569/ZVSviG03_normal.jpg")</f>
        <v>https://pbs.twimg.com/profile_images/1305722746282733569/ZVSviG03_normal.jpg</v>
      </c>
      <c r="G422" s="95"/>
      <c r="H422" s="71"/>
      <c r="I422" s="72"/>
      <c r="J422" s="96"/>
      <c r="K422" s="71" t="s">
        <v>3892</v>
      </c>
      <c r="L422" s="97"/>
      <c r="M422" s="76"/>
      <c r="N422" s="76"/>
      <c r="O422" s="77"/>
      <c r="P422" s="78"/>
      <c r="Q422" s="78"/>
      <c r="R422" s="92"/>
      <c r="S422" s="92"/>
      <c r="T422" s="92"/>
      <c r="U422" s="92"/>
      <c r="V422" s="52"/>
      <c r="W422" s="52"/>
      <c r="X422" s="52"/>
      <c r="Y422" s="52"/>
      <c r="Z422" s="51"/>
      <c r="AA422" s="73"/>
      <c r="AB422" s="73"/>
      <c r="AC422" s="74"/>
      <c r="AD422" s="81" t="s">
        <v>2408</v>
      </c>
      <c r="AE422" s="86" t="s">
        <v>2832</v>
      </c>
      <c r="AF422" s="81">
        <v>48</v>
      </c>
      <c r="AG422" s="81">
        <v>71</v>
      </c>
      <c r="AH422" s="81">
        <v>729</v>
      </c>
      <c r="AI422" s="81">
        <v>5</v>
      </c>
      <c r="AJ422" s="81"/>
      <c r="AK422" s="81" t="s">
        <v>3240</v>
      </c>
      <c r="AL422" s="81" t="s">
        <v>3607</v>
      </c>
      <c r="AM422" s="84" t="str">
        <f>HYPERLINK("https://t.co/nuTI2TePu1")</f>
        <v>https://t.co/nuTI2TePu1</v>
      </c>
      <c r="AN422" s="81"/>
      <c r="AO422" s="83">
        <v>42901.443784722222</v>
      </c>
      <c r="AP422" s="84" t="str">
        <f>HYPERLINK("https://pbs.twimg.com/profile_banners/875301622154371072/1616477123")</f>
        <v>https://pbs.twimg.com/profile_banners/875301622154371072/1616477123</v>
      </c>
      <c r="AQ422" s="81" t="b">
        <v>1</v>
      </c>
      <c r="AR422" s="81" t="b">
        <v>0</v>
      </c>
      <c r="AS422" s="81" t="b">
        <v>1</v>
      </c>
      <c r="AT422" s="81"/>
      <c r="AU422" s="81">
        <v>0</v>
      </c>
      <c r="AV422" s="81"/>
      <c r="AW422" s="81" t="b">
        <v>0</v>
      </c>
      <c r="AX422" s="81" t="s">
        <v>3728</v>
      </c>
      <c r="AY422" s="84" t="str">
        <f>HYPERLINK("https://twitter.com/jasaraharjaaceh")</f>
        <v>https://twitter.com/jasaraharjaaceh</v>
      </c>
      <c r="AZ422" s="81" t="s">
        <v>66</v>
      </c>
      <c r="BA422" s="2"/>
      <c r="BB422" s="3"/>
      <c r="BC422" s="3"/>
      <c r="BD422" s="3"/>
      <c r="BE422" s="3"/>
    </row>
    <row r="423" spans="1:57" x14ac:dyDescent="0.35">
      <c r="A423" s="66" t="s">
        <v>4351</v>
      </c>
      <c r="B423" s="67"/>
      <c r="C423" s="67"/>
      <c r="D423" s="68"/>
      <c r="E423" s="94"/>
      <c r="F423" s="93" t="str">
        <f>HYPERLINK("https://pbs.twimg.com/profile_images/1334002085222707203/lrF_x9Rj_normal.jpg")</f>
        <v>https://pbs.twimg.com/profile_images/1334002085222707203/lrF_x9Rj_normal.jpg</v>
      </c>
      <c r="G423" s="95"/>
      <c r="H423" s="71"/>
      <c r="I423" s="72"/>
      <c r="J423" s="96"/>
      <c r="K423" s="71" t="s">
        <v>11651</v>
      </c>
      <c r="L423" s="97"/>
      <c r="M423" s="76"/>
      <c r="N423" s="76"/>
      <c r="O423" s="77"/>
      <c r="P423" s="78"/>
      <c r="Q423" s="78"/>
      <c r="R423" s="92"/>
      <c r="S423" s="92"/>
      <c r="T423" s="92"/>
      <c r="U423" s="92"/>
      <c r="V423" s="52"/>
      <c r="W423" s="52"/>
      <c r="X423" s="52"/>
      <c r="Y423" s="52"/>
      <c r="Z423" s="51"/>
      <c r="AA423" s="73"/>
      <c r="AB423" s="73"/>
      <c r="AC423" s="74"/>
      <c r="AD423" s="81" t="s">
        <v>8283</v>
      </c>
      <c r="AE423" s="86" t="s">
        <v>9319</v>
      </c>
      <c r="AF423" s="81">
        <v>371</v>
      </c>
      <c r="AG423" s="81">
        <v>112</v>
      </c>
      <c r="AH423" s="81">
        <v>1703</v>
      </c>
      <c r="AI423" s="81">
        <v>19566</v>
      </c>
      <c r="AJ423" s="81"/>
      <c r="AK423" s="81"/>
      <c r="AL423" s="81" t="s">
        <v>11098</v>
      </c>
      <c r="AM423" s="81"/>
      <c r="AN423" s="81"/>
      <c r="AO423" s="83">
        <v>43557.256192129629</v>
      </c>
      <c r="AP423" s="81"/>
      <c r="AQ423" s="81" t="b">
        <v>1</v>
      </c>
      <c r="AR423" s="81" t="b">
        <v>0</v>
      </c>
      <c r="AS423" s="81" t="b">
        <v>0</v>
      </c>
      <c r="AT423" s="81"/>
      <c r="AU423" s="81">
        <v>0</v>
      </c>
      <c r="AV423" s="81"/>
      <c r="AW423" s="81" t="b">
        <v>0</v>
      </c>
      <c r="AX423" s="81" t="s">
        <v>3728</v>
      </c>
      <c r="AY423" s="84" t="str">
        <f>HYPERLINK("https://twitter.com/ptmt2161")</f>
        <v>https://twitter.com/ptmt2161</v>
      </c>
      <c r="AZ423" s="81" t="s">
        <v>66</v>
      </c>
      <c r="BA423" s="2"/>
      <c r="BB423" s="3"/>
      <c r="BC423" s="3"/>
      <c r="BD423" s="3"/>
      <c r="BE423" s="3"/>
    </row>
    <row r="424" spans="1:57" x14ac:dyDescent="0.35">
      <c r="A424" s="66" t="s">
        <v>354</v>
      </c>
      <c r="B424" s="67"/>
      <c r="C424" s="67"/>
      <c r="D424" s="68"/>
      <c r="E424" s="94"/>
      <c r="F424" s="93" t="str">
        <f>HYPERLINK("https://pbs.twimg.com/profile_images/1436708613846810630/OWk4OF_w_normal.jpg")</f>
        <v>https://pbs.twimg.com/profile_images/1436708613846810630/OWk4OF_w_normal.jpg</v>
      </c>
      <c r="G424" s="95"/>
      <c r="H424" s="71"/>
      <c r="I424" s="72"/>
      <c r="J424" s="96"/>
      <c r="K424" s="71" t="s">
        <v>14270</v>
      </c>
      <c r="L424" s="97"/>
      <c r="M424" s="76"/>
      <c r="N424" s="76"/>
      <c r="O424" s="77"/>
      <c r="P424" s="78"/>
      <c r="Q424" s="78"/>
      <c r="R424" s="92"/>
      <c r="S424" s="92"/>
      <c r="T424" s="92"/>
      <c r="U424" s="92"/>
      <c r="V424" s="52"/>
      <c r="W424" s="52"/>
      <c r="X424" s="52"/>
      <c r="Y424" s="52"/>
      <c r="Z424" s="51"/>
      <c r="AA424" s="73"/>
      <c r="AB424" s="73"/>
      <c r="AC424" s="74"/>
      <c r="AD424" s="81" t="s">
        <v>2409</v>
      </c>
      <c r="AE424" s="86" t="s">
        <v>2833</v>
      </c>
      <c r="AF424" s="81">
        <v>3461</v>
      </c>
      <c r="AG424" s="81">
        <v>1865</v>
      </c>
      <c r="AH424" s="81">
        <v>141262</v>
      </c>
      <c r="AI424" s="81">
        <v>101792</v>
      </c>
      <c r="AJ424" s="81"/>
      <c r="AK424" s="81" t="s">
        <v>3241</v>
      </c>
      <c r="AL424" s="81" t="s">
        <v>3608</v>
      </c>
      <c r="AM424" s="81"/>
      <c r="AN424" s="81"/>
      <c r="AO424" s="83">
        <v>43067.530358796299</v>
      </c>
      <c r="AP424" s="84" t="str">
        <f>HYPERLINK("https://pbs.twimg.com/profile_banners/935489379694284801/1630233622")</f>
        <v>https://pbs.twimg.com/profile_banners/935489379694284801/1630233622</v>
      </c>
      <c r="AQ424" s="81" t="b">
        <v>1</v>
      </c>
      <c r="AR424" s="81" t="b">
        <v>0</v>
      </c>
      <c r="AS424" s="81" t="b">
        <v>1</v>
      </c>
      <c r="AT424" s="81"/>
      <c r="AU424" s="81">
        <v>4</v>
      </c>
      <c r="AV424" s="81"/>
      <c r="AW424" s="81" t="b">
        <v>0</v>
      </c>
      <c r="AX424" s="81" t="s">
        <v>3728</v>
      </c>
      <c r="AY424" s="84" t="str">
        <f>HYPERLINK("https://twitter.com/3kimandimdead")</f>
        <v>https://twitter.com/3kimandimdead</v>
      </c>
      <c r="AZ424" s="81" t="s">
        <v>66</v>
      </c>
      <c r="BA424" s="2"/>
      <c r="BB424" s="3"/>
      <c r="BC424" s="3"/>
      <c r="BD424" s="3"/>
      <c r="BE424" s="3"/>
    </row>
    <row r="425" spans="1:57" x14ac:dyDescent="0.35">
      <c r="A425" s="66" t="s">
        <v>637</v>
      </c>
      <c r="B425" s="67"/>
      <c r="C425" s="67"/>
      <c r="D425" s="68"/>
      <c r="E425" s="94"/>
      <c r="F425" s="93" t="str">
        <f>HYPERLINK("https://pbs.twimg.com/profile_images/1407619782967394305/-0g56ay7_normal.jpg")</f>
        <v>https://pbs.twimg.com/profile_images/1407619782967394305/-0g56ay7_normal.jpg</v>
      </c>
      <c r="G425" s="95"/>
      <c r="H425" s="71"/>
      <c r="I425" s="72"/>
      <c r="J425" s="96"/>
      <c r="K425" s="71" t="s">
        <v>3893</v>
      </c>
      <c r="L425" s="97"/>
      <c r="M425" s="76"/>
      <c r="N425" s="76"/>
      <c r="O425" s="77"/>
      <c r="P425" s="78"/>
      <c r="Q425" s="78"/>
      <c r="R425" s="92"/>
      <c r="S425" s="92"/>
      <c r="T425" s="92"/>
      <c r="U425" s="92"/>
      <c r="V425" s="52"/>
      <c r="W425" s="52"/>
      <c r="X425" s="52"/>
      <c r="Y425" s="52"/>
      <c r="Z425" s="51"/>
      <c r="AA425" s="73"/>
      <c r="AB425" s="73"/>
      <c r="AC425" s="74"/>
      <c r="AD425" s="81" t="s">
        <v>2410</v>
      </c>
      <c r="AE425" s="86" t="s">
        <v>2834</v>
      </c>
      <c r="AF425" s="81">
        <v>3</v>
      </c>
      <c r="AG425" s="81">
        <v>745</v>
      </c>
      <c r="AH425" s="81">
        <v>1546</v>
      </c>
      <c r="AI425" s="81">
        <v>30</v>
      </c>
      <c r="AJ425" s="81"/>
      <c r="AK425" s="81" t="s">
        <v>3242</v>
      </c>
      <c r="AL425" s="81" t="s">
        <v>3609</v>
      </c>
      <c r="AM425" s="81"/>
      <c r="AN425" s="81"/>
      <c r="AO425" s="83">
        <v>44224.260069444441</v>
      </c>
      <c r="AP425" s="84" t="str">
        <f>HYPERLINK("https://pbs.twimg.com/profile_banners/1354674117467721729/1611815237")</f>
        <v>https://pbs.twimg.com/profile_banners/1354674117467721729/1611815237</v>
      </c>
      <c r="AQ425" s="81" t="b">
        <v>1</v>
      </c>
      <c r="AR425" s="81" t="b">
        <v>0</v>
      </c>
      <c r="AS425" s="81" t="b">
        <v>0</v>
      </c>
      <c r="AT425" s="81"/>
      <c r="AU425" s="81">
        <v>1</v>
      </c>
      <c r="AV425" s="81"/>
      <c r="AW425" s="81" t="b">
        <v>0</v>
      </c>
      <c r="AX425" s="81" t="s">
        <v>3728</v>
      </c>
      <c r="AY425" s="84" t="str">
        <f>HYPERLINK("https://twitter.com/pasarsf9my")</f>
        <v>https://twitter.com/pasarsf9my</v>
      </c>
      <c r="AZ425" s="81" t="s">
        <v>65</v>
      </c>
      <c r="BA425" s="2"/>
      <c r="BB425" s="3"/>
      <c r="BC425" s="3"/>
      <c r="BD425" s="3"/>
      <c r="BE425" s="3"/>
    </row>
    <row r="426" spans="1:57" x14ac:dyDescent="0.35">
      <c r="A426" s="66" t="s">
        <v>355</v>
      </c>
      <c r="B426" s="67"/>
      <c r="C426" s="67"/>
      <c r="D426" s="68"/>
      <c r="E426" s="94"/>
      <c r="F426" s="93" t="str">
        <f>HYPERLINK("https://pbs.twimg.com/profile_images/1281490416202735616/GcdQPNE4_normal.jpg")</f>
        <v>https://pbs.twimg.com/profile_images/1281490416202735616/GcdQPNE4_normal.jpg</v>
      </c>
      <c r="G426" s="95"/>
      <c r="H426" s="71"/>
      <c r="I426" s="72"/>
      <c r="J426" s="96"/>
      <c r="K426" s="71" t="s">
        <v>3894</v>
      </c>
      <c r="L426" s="97"/>
      <c r="M426" s="76"/>
      <c r="N426" s="76"/>
      <c r="O426" s="77"/>
      <c r="P426" s="78"/>
      <c r="Q426" s="78"/>
      <c r="R426" s="92"/>
      <c r="S426" s="92"/>
      <c r="T426" s="92"/>
      <c r="U426" s="92"/>
      <c r="V426" s="52"/>
      <c r="W426" s="52"/>
      <c r="X426" s="52"/>
      <c r="Y426" s="52"/>
      <c r="Z426" s="51"/>
      <c r="AA426" s="73"/>
      <c r="AB426" s="73"/>
      <c r="AC426" s="74"/>
      <c r="AD426" s="81" t="s">
        <v>2411</v>
      </c>
      <c r="AE426" s="86" t="s">
        <v>2835</v>
      </c>
      <c r="AF426" s="81">
        <v>362</v>
      </c>
      <c r="AG426" s="81">
        <v>173</v>
      </c>
      <c r="AH426" s="81">
        <v>17598</v>
      </c>
      <c r="AI426" s="81">
        <v>17156</v>
      </c>
      <c r="AJ426" s="81"/>
      <c r="AK426" s="81" t="s">
        <v>3243</v>
      </c>
      <c r="AL426" s="81"/>
      <c r="AM426" s="81"/>
      <c r="AN426" s="81"/>
      <c r="AO426" s="83">
        <v>43656.182696759257</v>
      </c>
      <c r="AP426" s="84" t="str">
        <f>HYPERLINK("https://pbs.twimg.com/profile_banners/1148809845220315137/1594366505")</f>
        <v>https://pbs.twimg.com/profile_banners/1148809845220315137/1594366505</v>
      </c>
      <c r="AQ426" s="81" t="b">
        <v>1</v>
      </c>
      <c r="AR426" s="81" t="b">
        <v>0</v>
      </c>
      <c r="AS426" s="81" t="b">
        <v>0</v>
      </c>
      <c r="AT426" s="81"/>
      <c r="AU426" s="81">
        <v>0</v>
      </c>
      <c r="AV426" s="81"/>
      <c r="AW426" s="81" t="b">
        <v>0</v>
      </c>
      <c r="AX426" s="81" t="s">
        <v>3728</v>
      </c>
      <c r="AY426" s="84" t="str">
        <f>HYPERLINK("https://twitter.com/jihoneybebe")</f>
        <v>https://twitter.com/jihoneybebe</v>
      </c>
      <c r="AZ426" s="81" t="s">
        <v>66</v>
      </c>
      <c r="BA426" s="2"/>
      <c r="BB426" s="3"/>
      <c r="BC426" s="3"/>
      <c r="BD426" s="3"/>
      <c r="BE426" s="3"/>
    </row>
    <row r="427" spans="1:57" x14ac:dyDescent="0.35">
      <c r="A427" s="66" t="s">
        <v>356</v>
      </c>
      <c r="B427" s="67"/>
      <c r="C427" s="67"/>
      <c r="D427" s="68"/>
      <c r="E427" s="94"/>
      <c r="F427" s="93" t="str">
        <f>HYPERLINK("https://pbs.twimg.com/profile_images/1373674517516623873/pH5Pj9Bs_normal.jpg")</f>
        <v>https://pbs.twimg.com/profile_images/1373674517516623873/pH5Pj9Bs_normal.jpg</v>
      </c>
      <c r="G427" s="95"/>
      <c r="H427" s="71"/>
      <c r="I427" s="72"/>
      <c r="J427" s="96"/>
      <c r="K427" s="71" t="s">
        <v>3895</v>
      </c>
      <c r="L427" s="97"/>
      <c r="M427" s="76"/>
      <c r="N427" s="76"/>
      <c r="O427" s="77"/>
      <c r="P427" s="78"/>
      <c r="Q427" s="78"/>
      <c r="R427" s="92"/>
      <c r="S427" s="92"/>
      <c r="T427" s="92"/>
      <c r="U427" s="92"/>
      <c r="V427" s="52"/>
      <c r="W427" s="52"/>
      <c r="X427" s="52"/>
      <c r="Y427" s="52"/>
      <c r="Z427" s="51"/>
      <c r="AA427" s="73"/>
      <c r="AB427" s="73"/>
      <c r="AC427" s="74"/>
      <c r="AD427" s="81" t="s">
        <v>2412</v>
      </c>
      <c r="AE427" s="86" t="s">
        <v>2836</v>
      </c>
      <c r="AF427" s="81">
        <v>1244</v>
      </c>
      <c r="AG427" s="81">
        <v>1223</v>
      </c>
      <c r="AH427" s="81">
        <v>11449</v>
      </c>
      <c r="AI427" s="81">
        <v>10645</v>
      </c>
      <c r="AJ427" s="81"/>
      <c r="AK427" s="81" t="s">
        <v>3244</v>
      </c>
      <c r="AL427" s="81"/>
      <c r="AM427" s="81"/>
      <c r="AN427" s="81"/>
      <c r="AO427" s="83">
        <v>44235.196840277778</v>
      </c>
      <c r="AP427" s="84" t="str">
        <f>HYPERLINK("https://pbs.twimg.com/profile_banners/1358637376961060864/1616260787")</f>
        <v>https://pbs.twimg.com/profile_banners/1358637376961060864/1616260787</v>
      </c>
      <c r="AQ427" s="81" t="b">
        <v>1</v>
      </c>
      <c r="AR427" s="81" t="b">
        <v>0</v>
      </c>
      <c r="AS427" s="81" t="b">
        <v>0</v>
      </c>
      <c r="AT427" s="81"/>
      <c r="AU427" s="81">
        <v>3</v>
      </c>
      <c r="AV427" s="81"/>
      <c r="AW427" s="81" t="b">
        <v>0</v>
      </c>
      <c r="AX427" s="81" t="s">
        <v>3728</v>
      </c>
      <c r="AY427" s="84" t="str">
        <f>HYPERLINK("https://twitter.com/tibott2")</f>
        <v>https://twitter.com/tibott2</v>
      </c>
      <c r="AZ427" s="81" t="s">
        <v>66</v>
      </c>
      <c r="BA427" s="2"/>
      <c r="BB427" s="3"/>
      <c r="BC427" s="3"/>
      <c r="BD427" s="3"/>
      <c r="BE427" s="3"/>
    </row>
    <row r="428" spans="1:57" x14ac:dyDescent="0.35">
      <c r="A428" s="66" t="s">
        <v>369</v>
      </c>
      <c r="B428" s="67"/>
      <c r="C428" s="67"/>
      <c r="D428" s="68"/>
      <c r="E428" s="94"/>
      <c r="F428" s="93" t="str">
        <f>HYPERLINK("https://pbs.twimg.com/profile_images/1340224956475437056/yo0CLy-Y_normal.png")</f>
        <v>https://pbs.twimg.com/profile_images/1340224956475437056/yo0CLy-Y_normal.png</v>
      </c>
      <c r="G428" s="95"/>
      <c r="H428" s="71"/>
      <c r="I428" s="72"/>
      <c r="J428" s="96"/>
      <c r="K428" s="71" t="s">
        <v>3896</v>
      </c>
      <c r="L428" s="97"/>
      <c r="M428" s="76"/>
      <c r="N428" s="76"/>
      <c r="O428" s="77"/>
      <c r="P428" s="78"/>
      <c r="Q428" s="78"/>
      <c r="R428" s="92"/>
      <c r="S428" s="92"/>
      <c r="T428" s="92"/>
      <c r="U428" s="92"/>
      <c r="V428" s="52"/>
      <c r="W428" s="52"/>
      <c r="X428" s="52"/>
      <c r="Y428" s="52"/>
      <c r="Z428" s="51"/>
      <c r="AA428" s="73"/>
      <c r="AB428" s="73"/>
      <c r="AC428" s="74"/>
      <c r="AD428" s="81" t="s">
        <v>2413</v>
      </c>
      <c r="AE428" s="86" t="s">
        <v>2837</v>
      </c>
      <c r="AF428" s="81">
        <v>4721</v>
      </c>
      <c r="AG428" s="81">
        <v>4271</v>
      </c>
      <c r="AH428" s="81">
        <v>11684</v>
      </c>
      <c r="AI428" s="81">
        <v>25365</v>
      </c>
      <c r="AJ428" s="81"/>
      <c r="AK428" s="81" t="s">
        <v>13929</v>
      </c>
      <c r="AL428" s="81" t="s">
        <v>3559</v>
      </c>
      <c r="AM428" s="81"/>
      <c r="AN428" s="81"/>
      <c r="AO428" s="83">
        <v>43989.653067129628</v>
      </c>
      <c r="AP428" s="84" t="str">
        <f>HYPERLINK("https://pbs.twimg.com/profile_banners/1269654461569368064/1630657852")</f>
        <v>https://pbs.twimg.com/profile_banners/1269654461569368064/1630657852</v>
      </c>
      <c r="AQ428" s="81" t="b">
        <v>1</v>
      </c>
      <c r="AR428" s="81" t="b">
        <v>0</v>
      </c>
      <c r="AS428" s="81" t="b">
        <v>0</v>
      </c>
      <c r="AT428" s="81"/>
      <c r="AU428" s="81">
        <v>0</v>
      </c>
      <c r="AV428" s="81"/>
      <c r="AW428" s="81" t="b">
        <v>0</v>
      </c>
      <c r="AX428" s="81" t="s">
        <v>3728</v>
      </c>
      <c r="AY428" s="84" t="str">
        <f>HYPERLINK("https://twitter.com/anak_sultanjaya")</f>
        <v>https://twitter.com/anak_sultanjaya</v>
      </c>
      <c r="AZ428" s="81" t="s">
        <v>66</v>
      </c>
      <c r="BA428" s="2"/>
      <c r="BB428" s="3"/>
      <c r="BC428" s="3"/>
      <c r="BD428" s="3"/>
      <c r="BE428" s="3"/>
    </row>
    <row r="429" spans="1:57" x14ac:dyDescent="0.35">
      <c r="A429" s="66" t="s">
        <v>357</v>
      </c>
      <c r="B429" s="67"/>
      <c r="C429" s="67"/>
      <c r="D429" s="68"/>
      <c r="E429" s="94"/>
      <c r="F429" s="93" t="str">
        <f>HYPERLINK("https://pbs.twimg.com/profile_images/1382380287208792065/ftV0VLGe_normal.jpg")</f>
        <v>https://pbs.twimg.com/profile_images/1382380287208792065/ftV0VLGe_normal.jpg</v>
      </c>
      <c r="G429" s="95"/>
      <c r="H429" s="71"/>
      <c r="I429" s="72"/>
      <c r="J429" s="96"/>
      <c r="K429" s="71" t="s">
        <v>3897</v>
      </c>
      <c r="L429" s="97"/>
      <c r="M429" s="76"/>
      <c r="N429" s="76"/>
      <c r="O429" s="77"/>
      <c r="P429" s="78"/>
      <c r="Q429" s="78"/>
      <c r="R429" s="92"/>
      <c r="S429" s="92"/>
      <c r="T429" s="92"/>
      <c r="U429" s="92"/>
      <c r="V429" s="52"/>
      <c r="W429" s="52"/>
      <c r="X429" s="52"/>
      <c r="Y429" s="52"/>
      <c r="Z429" s="51"/>
      <c r="AA429" s="73"/>
      <c r="AB429" s="73"/>
      <c r="AC429" s="74"/>
      <c r="AD429" s="81" t="s">
        <v>2413</v>
      </c>
      <c r="AE429" s="86" t="s">
        <v>2838</v>
      </c>
      <c r="AF429" s="81">
        <v>4363</v>
      </c>
      <c r="AG429" s="81">
        <v>3850</v>
      </c>
      <c r="AH429" s="81">
        <v>7905</v>
      </c>
      <c r="AI429" s="81">
        <v>18865</v>
      </c>
      <c r="AJ429" s="81"/>
      <c r="AK429" s="81" t="s">
        <v>3245</v>
      </c>
      <c r="AL429" s="81" t="s">
        <v>3610</v>
      </c>
      <c r="AM429" s="81"/>
      <c r="AN429" s="81"/>
      <c r="AO429" s="83">
        <v>43702.679166666669</v>
      </c>
      <c r="AP429" s="84" t="str">
        <f>HYPERLINK("https://pbs.twimg.com/profile_banners/1165659560410894336/1608918488")</f>
        <v>https://pbs.twimg.com/profile_banners/1165659560410894336/1608918488</v>
      </c>
      <c r="AQ429" s="81" t="b">
        <v>1</v>
      </c>
      <c r="AR429" s="81" t="b">
        <v>0</v>
      </c>
      <c r="AS429" s="81" t="b">
        <v>0</v>
      </c>
      <c r="AT429" s="81"/>
      <c r="AU429" s="81">
        <v>0</v>
      </c>
      <c r="AV429" s="81"/>
      <c r="AW429" s="81" t="b">
        <v>0</v>
      </c>
      <c r="AX429" s="81" t="s">
        <v>3728</v>
      </c>
      <c r="AY429" s="84" t="str">
        <f>HYPERLINK("https://twitter.com/aly_pemuda")</f>
        <v>https://twitter.com/aly_pemuda</v>
      </c>
      <c r="AZ429" s="81" t="s">
        <v>66</v>
      </c>
      <c r="BA429" s="2"/>
      <c r="BB429" s="3"/>
      <c r="BC429" s="3"/>
      <c r="BD429" s="3"/>
      <c r="BE429" s="3"/>
    </row>
    <row r="430" spans="1:57" x14ac:dyDescent="0.35">
      <c r="A430" s="66" t="s">
        <v>358</v>
      </c>
      <c r="B430" s="67"/>
      <c r="C430" s="67"/>
      <c r="D430" s="68"/>
      <c r="E430" s="94"/>
      <c r="F430" s="93" t="str">
        <f>HYPERLINK("https://pbs.twimg.com/profile_images/1405082194331279361/LC05l1W4_normal.jpg")</f>
        <v>https://pbs.twimg.com/profile_images/1405082194331279361/LC05l1W4_normal.jpg</v>
      </c>
      <c r="G430" s="95"/>
      <c r="H430" s="71"/>
      <c r="I430" s="72"/>
      <c r="J430" s="96"/>
      <c r="K430" s="71" t="s">
        <v>3898</v>
      </c>
      <c r="L430" s="97"/>
      <c r="M430" s="76"/>
      <c r="N430" s="76"/>
      <c r="O430" s="77"/>
      <c r="P430" s="78"/>
      <c r="Q430" s="78"/>
      <c r="R430" s="92"/>
      <c r="S430" s="92"/>
      <c r="T430" s="92"/>
      <c r="U430" s="92"/>
      <c r="V430" s="52"/>
      <c r="W430" s="52"/>
      <c r="X430" s="52"/>
      <c r="Y430" s="52"/>
      <c r="Z430" s="51"/>
      <c r="AA430" s="73"/>
      <c r="AB430" s="73"/>
      <c r="AC430" s="74"/>
      <c r="AD430" s="81" t="s">
        <v>2414</v>
      </c>
      <c r="AE430" s="86" t="s">
        <v>2839</v>
      </c>
      <c r="AF430" s="81">
        <v>1173</v>
      </c>
      <c r="AG430" s="81">
        <v>1132</v>
      </c>
      <c r="AH430" s="81">
        <v>12326</v>
      </c>
      <c r="AI430" s="81">
        <v>9510</v>
      </c>
      <c r="AJ430" s="81"/>
      <c r="AK430" s="84" t="str">
        <f>HYPERLINK("https://t.co/RpgJmDEDzz")</f>
        <v>https://t.co/RpgJmDEDzz</v>
      </c>
      <c r="AL430" s="81"/>
      <c r="AM430" s="81"/>
      <c r="AN430" s="81"/>
      <c r="AO430" s="83">
        <v>44363.35119212963</v>
      </c>
      <c r="AP430" s="84" t="str">
        <f>HYPERLINK("https://pbs.twimg.com/profile_banners/1405079048846385152/1623834915")</f>
        <v>https://pbs.twimg.com/profile_banners/1405079048846385152/1623834915</v>
      </c>
      <c r="AQ430" s="81" t="b">
        <v>1</v>
      </c>
      <c r="AR430" s="81" t="b">
        <v>0</v>
      </c>
      <c r="AS430" s="81" t="b">
        <v>0</v>
      </c>
      <c r="AT430" s="81"/>
      <c r="AU430" s="81">
        <v>0</v>
      </c>
      <c r="AV430" s="81"/>
      <c r="AW430" s="81" t="b">
        <v>0</v>
      </c>
      <c r="AX430" s="81" t="s">
        <v>3728</v>
      </c>
      <c r="AY430" s="84" t="str">
        <f>HYPERLINK("https://twitter.com/naj_2709")</f>
        <v>https://twitter.com/naj_2709</v>
      </c>
      <c r="AZ430" s="81" t="s">
        <v>66</v>
      </c>
      <c r="BA430" s="2"/>
      <c r="BB430" s="3"/>
      <c r="BC430" s="3"/>
      <c r="BD430" s="3"/>
      <c r="BE430" s="3"/>
    </row>
    <row r="431" spans="1:57" x14ac:dyDescent="0.35">
      <c r="A431" s="66" t="s">
        <v>359</v>
      </c>
      <c r="B431" s="67"/>
      <c r="C431" s="67"/>
      <c r="D431" s="68"/>
      <c r="E431" s="94"/>
      <c r="F431" s="93" t="str">
        <f>HYPERLINK("https://pbs.twimg.com/profile_images/1370379061688639493/otshNSyV_normal.jpg")</f>
        <v>https://pbs.twimg.com/profile_images/1370379061688639493/otshNSyV_normal.jpg</v>
      </c>
      <c r="G431" s="95"/>
      <c r="H431" s="71"/>
      <c r="I431" s="72"/>
      <c r="J431" s="96"/>
      <c r="K431" s="71" t="s">
        <v>3899</v>
      </c>
      <c r="L431" s="97"/>
      <c r="M431" s="76"/>
      <c r="N431" s="76"/>
      <c r="O431" s="77"/>
      <c r="P431" s="78"/>
      <c r="Q431" s="78"/>
      <c r="R431" s="92"/>
      <c r="S431" s="92"/>
      <c r="T431" s="92"/>
      <c r="U431" s="92"/>
      <c r="V431" s="52"/>
      <c r="W431" s="52"/>
      <c r="X431" s="52"/>
      <c r="Y431" s="52"/>
      <c r="Z431" s="51"/>
      <c r="AA431" s="73"/>
      <c r="AB431" s="73"/>
      <c r="AC431" s="74"/>
      <c r="AD431" s="81" t="s">
        <v>359</v>
      </c>
      <c r="AE431" s="86" t="s">
        <v>2840</v>
      </c>
      <c r="AF431" s="81">
        <v>1242</v>
      </c>
      <c r="AG431" s="81">
        <v>1070</v>
      </c>
      <c r="AH431" s="81">
        <v>22528</v>
      </c>
      <c r="AI431" s="81">
        <v>8699</v>
      </c>
      <c r="AJ431" s="81"/>
      <c r="AK431" s="81" t="s">
        <v>3246</v>
      </c>
      <c r="AL431" s="81"/>
      <c r="AM431" s="81"/>
      <c r="AN431" s="81"/>
      <c r="AO431" s="83">
        <v>43574.453414351854</v>
      </c>
      <c r="AP431" s="84" t="str">
        <f>HYPERLINK("https://pbs.twimg.com/profile_banners/1119192142574784512/1615559478")</f>
        <v>https://pbs.twimg.com/profile_banners/1119192142574784512/1615559478</v>
      </c>
      <c r="AQ431" s="81" t="b">
        <v>1</v>
      </c>
      <c r="AR431" s="81" t="b">
        <v>0</v>
      </c>
      <c r="AS431" s="81" t="b">
        <v>0</v>
      </c>
      <c r="AT431" s="81"/>
      <c r="AU431" s="81">
        <v>0</v>
      </c>
      <c r="AV431" s="81"/>
      <c r="AW431" s="81" t="b">
        <v>0</v>
      </c>
      <c r="AX431" s="81" t="s">
        <v>3728</v>
      </c>
      <c r="AY431" s="84" t="str">
        <f>HYPERLINK("https://twitter.com/youngfarrel27")</f>
        <v>https://twitter.com/youngfarrel27</v>
      </c>
      <c r="AZ431" s="81" t="s">
        <v>66</v>
      </c>
      <c r="BA431" s="2"/>
      <c r="BB431" s="3"/>
      <c r="BC431" s="3"/>
      <c r="BD431" s="3"/>
      <c r="BE431" s="3"/>
    </row>
    <row r="432" spans="1:57" x14ac:dyDescent="0.35">
      <c r="A432" s="66" t="s">
        <v>360</v>
      </c>
      <c r="B432" s="67"/>
      <c r="C432" s="67"/>
      <c r="D432" s="68"/>
      <c r="E432" s="94"/>
      <c r="F432" s="93" t="str">
        <f>HYPERLINK("https://pbs.twimg.com/profile_images/1426932034476277771/jSNvYakT_normal.jpg")</f>
        <v>https://pbs.twimg.com/profile_images/1426932034476277771/jSNvYakT_normal.jpg</v>
      </c>
      <c r="G432" s="95"/>
      <c r="H432" s="71"/>
      <c r="I432" s="72"/>
      <c r="J432" s="96"/>
      <c r="K432" s="71" t="s">
        <v>3900</v>
      </c>
      <c r="L432" s="97"/>
      <c r="M432" s="76"/>
      <c r="N432" s="76"/>
      <c r="O432" s="77"/>
      <c r="P432" s="78"/>
      <c r="Q432" s="78"/>
      <c r="R432" s="92"/>
      <c r="S432" s="92"/>
      <c r="T432" s="92"/>
      <c r="U432" s="92"/>
      <c r="V432" s="52"/>
      <c r="W432" s="52"/>
      <c r="X432" s="52"/>
      <c r="Y432" s="52"/>
      <c r="Z432" s="51"/>
      <c r="AA432" s="73"/>
      <c r="AB432" s="73"/>
      <c r="AC432" s="74"/>
      <c r="AD432" s="81" t="s">
        <v>2415</v>
      </c>
      <c r="AE432" s="86" t="s">
        <v>2841</v>
      </c>
      <c r="AF432" s="81">
        <v>7100</v>
      </c>
      <c r="AG432" s="81">
        <v>6916</v>
      </c>
      <c r="AH432" s="81">
        <v>40002</v>
      </c>
      <c r="AI432" s="81">
        <v>9634</v>
      </c>
      <c r="AJ432" s="81"/>
      <c r="AK432" s="81" t="s">
        <v>13930</v>
      </c>
      <c r="AL432" s="81" t="s">
        <v>3611</v>
      </c>
      <c r="AM432" s="81"/>
      <c r="AN432" s="81"/>
      <c r="AO432" s="83">
        <v>40959.349745370368</v>
      </c>
      <c r="AP432" s="84" t="str">
        <f>HYPERLINK("https://pbs.twimg.com/profile_banners/497702911/1624367819")</f>
        <v>https://pbs.twimg.com/profile_banners/497702911/1624367819</v>
      </c>
      <c r="AQ432" s="81" t="b">
        <v>0</v>
      </c>
      <c r="AR432" s="81" t="b">
        <v>0</v>
      </c>
      <c r="AS432" s="81" t="b">
        <v>0</v>
      </c>
      <c r="AT432" s="81"/>
      <c r="AU432" s="81">
        <v>0</v>
      </c>
      <c r="AV432" s="84" t="str">
        <f>HYPERLINK("https://abs.twimg.com/images/themes/theme10/bg.gif")</f>
        <v>https://abs.twimg.com/images/themes/theme10/bg.gif</v>
      </c>
      <c r="AW432" s="81" t="b">
        <v>0</v>
      </c>
      <c r="AX432" s="81" t="s">
        <v>3728</v>
      </c>
      <c r="AY432" s="84" t="str">
        <f>HYPERLINK("https://twitter.com/ariestarico2")</f>
        <v>https://twitter.com/ariestarico2</v>
      </c>
      <c r="AZ432" s="81" t="s">
        <v>66</v>
      </c>
      <c r="BA432" s="2"/>
      <c r="BB432" s="3"/>
      <c r="BC432" s="3"/>
      <c r="BD432" s="3"/>
      <c r="BE432" s="3"/>
    </row>
    <row r="433" spans="1:57" x14ac:dyDescent="0.35">
      <c r="A433" s="66" t="s">
        <v>361</v>
      </c>
      <c r="B433" s="67"/>
      <c r="C433" s="67"/>
      <c r="D433" s="68"/>
      <c r="E433" s="94"/>
      <c r="F433" s="93" t="str">
        <f>HYPERLINK("https://pbs.twimg.com/profile_images/1419331343742214145/xNUgvSaq_normal.jpg")</f>
        <v>https://pbs.twimg.com/profile_images/1419331343742214145/xNUgvSaq_normal.jpg</v>
      </c>
      <c r="G433" s="95"/>
      <c r="H433" s="71"/>
      <c r="I433" s="72"/>
      <c r="J433" s="96"/>
      <c r="K433" s="71" t="s">
        <v>3901</v>
      </c>
      <c r="L433" s="97"/>
      <c r="M433" s="76"/>
      <c r="N433" s="76"/>
      <c r="O433" s="77"/>
      <c r="P433" s="78"/>
      <c r="Q433" s="78"/>
      <c r="R433" s="92"/>
      <c r="S433" s="92"/>
      <c r="T433" s="92"/>
      <c r="U433" s="92"/>
      <c r="V433" s="52"/>
      <c r="W433" s="52"/>
      <c r="X433" s="52"/>
      <c r="Y433" s="52"/>
      <c r="Z433" s="51"/>
      <c r="AA433" s="73"/>
      <c r="AB433" s="73"/>
      <c r="AC433" s="74"/>
      <c r="AD433" s="81" t="s">
        <v>2416</v>
      </c>
      <c r="AE433" s="86" t="s">
        <v>2842</v>
      </c>
      <c r="AF433" s="81">
        <v>2279</v>
      </c>
      <c r="AG433" s="81">
        <v>2219</v>
      </c>
      <c r="AH433" s="81">
        <v>8070</v>
      </c>
      <c r="AI433" s="81">
        <v>6358</v>
      </c>
      <c r="AJ433" s="81"/>
      <c r="AK433" s="81" t="s">
        <v>3247</v>
      </c>
      <c r="AL433" s="81" t="s">
        <v>2203</v>
      </c>
      <c r="AM433" s="81"/>
      <c r="AN433" s="81"/>
      <c r="AO433" s="83">
        <v>43307.323553240742</v>
      </c>
      <c r="AP433" s="84" t="str">
        <f>HYPERLINK("https://pbs.twimg.com/profile_banners/1022387521886375936/1627970479")</f>
        <v>https://pbs.twimg.com/profile_banners/1022387521886375936/1627970479</v>
      </c>
      <c r="AQ433" s="81" t="b">
        <v>1</v>
      </c>
      <c r="AR433" s="81" t="b">
        <v>0</v>
      </c>
      <c r="AS433" s="81" t="b">
        <v>1</v>
      </c>
      <c r="AT433" s="81"/>
      <c r="AU433" s="81">
        <v>0</v>
      </c>
      <c r="AV433" s="81"/>
      <c r="AW433" s="81" t="b">
        <v>0</v>
      </c>
      <c r="AX433" s="81" t="s">
        <v>3728</v>
      </c>
      <c r="AY433" s="84" t="str">
        <f>HYPERLINK("https://twitter.com/rizkidikka")</f>
        <v>https://twitter.com/rizkidikka</v>
      </c>
      <c r="AZ433" s="81" t="s">
        <v>66</v>
      </c>
      <c r="BA433" s="2"/>
      <c r="BB433" s="3"/>
      <c r="BC433" s="3"/>
      <c r="BD433" s="3"/>
      <c r="BE433" s="3"/>
    </row>
    <row r="434" spans="1:57" x14ac:dyDescent="0.35">
      <c r="A434" s="66" t="s">
        <v>362</v>
      </c>
      <c r="B434" s="67"/>
      <c r="C434" s="67"/>
      <c r="D434" s="68"/>
      <c r="E434" s="94"/>
      <c r="F434" s="93" t="str">
        <f>HYPERLINK("https://pbs.twimg.com/profile_images/1366731661363212291/XzRK8wds_normal.jpg")</f>
        <v>https://pbs.twimg.com/profile_images/1366731661363212291/XzRK8wds_normal.jpg</v>
      </c>
      <c r="G434" s="95"/>
      <c r="H434" s="71"/>
      <c r="I434" s="72"/>
      <c r="J434" s="96"/>
      <c r="K434" s="71" t="s">
        <v>3902</v>
      </c>
      <c r="L434" s="97"/>
      <c r="M434" s="76"/>
      <c r="N434" s="76"/>
      <c r="O434" s="77"/>
      <c r="P434" s="78"/>
      <c r="Q434" s="78"/>
      <c r="R434" s="92"/>
      <c r="S434" s="92"/>
      <c r="T434" s="92"/>
      <c r="U434" s="92"/>
      <c r="V434" s="52"/>
      <c r="W434" s="52"/>
      <c r="X434" s="52"/>
      <c r="Y434" s="52"/>
      <c r="Z434" s="51"/>
      <c r="AA434" s="73"/>
      <c r="AB434" s="73"/>
      <c r="AC434" s="74"/>
      <c r="AD434" s="81" t="s">
        <v>2417</v>
      </c>
      <c r="AE434" s="86" t="s">
        <v>2843</v>
      </c>
      <c r="AF434" s="81">
        <v>2513</v>
      </c>
      <c r="AG434" s="81">
        <v>2247</v>
      </c>
      <c r="AH434" s="81">
        <v>2965</v>
      </c>
      <c r="AI434" s="81">
        <v>2439</v>
      </c>
      <c r="AJ434" s="81"/>
      <c r="AK434" s="81" t="s">
        <v>3248</v>
      </c>
      <c r="AL434" s="81"/>
      <c r="AM434" s="81"/>
      <c r="AN434" s="81"/>
      <c r="AO434" s="83">
        <v>44257.531736111108</v>
      </c>
      <c r="AP434" s="84" t="str">
        <f>HYPERLINK("https://pbs.twimg.com/profile_banners/1366731333238591489/1614690625")</f>
        <v>https://pbs.twimg.com/profile_banners/1366731333238591489/1614690625</v>
      </c>
      <c r="AQ434" s="81" t="b">
        <v>1</v>
      </c>
      <c r="AR434" s="81" t="b">
        <v>0</v>
      </c>
      <c r="AS434" s="81" t="b">
        <v>0</v>
      </c>
      <c r="AT434" s="81"/>
      <c r="AU434" s="81">
        <v>0</v>
      </c>
      <c r="AV434" s="81"/>
      <c r="AW434" s="81" t="b">
        <v>0</v>
      </c>
      <c r="AX434" s="81" t="s">
        <v>3728</v>
      </c>
      <c r="AY434" s="84" t="str">
        <f>HYPERLINK("https://twitter.com/berli_flo")</f>
        <v>https://twitter.com/berli_flo</v>
      </c>
      <c r="AZ434" s="81" t="s">
        <v>66</v>
      </c>
      <c r="BA434" s="2"/>
      <c r="BB434" s="3"/>
      <c r="BC434" s="3"/>
      <c r="BD434" s="3"/>
      <c r="BE434" s="3"/>
    </row>
    <row r="435" spans="1:57" x14ac:dyDescent="0.35">
      <c r="A435" s="66" t="s">
        <v>12498</v>
      </c>
      <c r="B435" s="67"/>
      <c r="C435" s="67"/>
      <c r="D435" s="68"/>
      <c r="E435" s="94"/>
      <c r="F435" s="93" t="str">
        <f>HYPERLINK("https://pbs.twimg.com/profile_images/1304078527814340610/NkG-Kndg_normal.jpg")</f>
        <v>https://pbs.twimg.com/profile_images/1304078527814340610/NkG-Kndg_normal.jpg</v>
      </c>
      <c r="G435" s="95"/>
      <c r="H435" s="71"/>
      <c r="I435" s="72"/>
      <c r="J435" s="96"/>
      <c r="K435" s="71" t="s">
        <v>14271</v>
      </c>
      <c r="L435" s="97"/>
      <c r="M435" s="76"/>
      <c r="N435" s="76"/>
      <c r="O435" s="77"/>
      <c r="P435" s="78"/>
      <c r="Q435" s="78"/>
      <c r="R435" s="92"/>
      <c r="S435" s="92"/>
      <c r="T435" s="92"/>
      <c r="U435" s="92"/>
      <c r="V435" s="52"/>
      <c r="W435" s="52"/>
      <c r="X435" s="52"/>
      <c r="Y435" s="52"/>
      <c r="Z435" s="51"/>
      <c r="AA435" s="73"/>
      <c r="AB435" s="73"/>
      <c r="AC435" s="74"/>
      <c r="AD435" s="81" t="s">
        <v>13474</v>
      </c>
      <c r="AE435" s="86" t="s">
        <v>13723</v>
      </c>
      <c r="AF435" s="81">
        <v>123</v>
      </c>
      <c r="AG435" s="81">
        <v>48</v>
      </c>
      <c r="AH435" s="81">
        <v>204</v>
      </c>
      <c r="AI435" s="81">
        <v>89</v>
      </c>
      <c r="AJ435" s="81"/>
      <c r="AK435" s="81" t="s">
        <v>13931</v>
      </c>
      <c r="AL435" s="81" t="s">
        <v>14160</v>
      </c>
      <c r="AM435" s="84" t="str">
        <f>HYPERLINK("https://t.co/lTt6L23JNj")</f>
        <v>https://t.co/lTt6L23JNj</v>
      </c>
      <c r="AN435" s="81"/>
      <c r="AO435" s="83">
        <v>43412.658958333333</v>
      </c>
      <c r="AP435" s="84" t="str">
        <f>HYPERLINK("https://pbs.twimg.com/profile_banners/1060559795349020672/1599727291")</f>
        <v>https://pbs.twimg.com/profile_banners/1060559795349020672/1599727291</v>
      </c>
      <c r="AQ435" s="81" t="b">
        <v>0</v>
      </c>
      <c r="AR435" s="81" t="b">
        <v>0</v>
      </c>
      <c r="AS435" s="81" t="b">
        <v>1</v>
      </c>
      <c r="AT435" s="81"/>
      <c r="AU435" s="81">
        <v>0</v>
      </c>
      <c r="AV435" s="84" t="str">
        <f>HYPERLINK("https://abs.twimg.com/images/themes/theme1/bg.png")</f>
        <v>https://abs.twimg.com/images/themes/theme1/bg.png</v>
      </c>
      <c r="AW435" s="81" t="b">
        <v>0</v>
      </c>
      <c r="AX435" s="81" t="s">
        <v>3728</v>
      </c>
      <c r="AY435" s="84" t="str">
        <f>HYPERLINK("https://twitter.com/essalcoitao")</f>
        <v>https://twitter.com/essalcoitao</v>
      </c>
      <c r="AZ435" s="81" t="s">
        <v>66</v>
      </c>
      <c r="BA435" s="2"/>
      <c r="BB435" s="3"/>
      <c r="BC435" s="3"/>
      <c r="BD435" s="3"/>
      <c r="BE435" s="3"/>
    </row>
    <row r="436" spans="1:57" x14ac:dyDescent="0.35">
      <c r="A436" s="66" t="s">
        <v>363</v>
      </c>
      <c r="B436" s="67"/>
      <c r="C436" s="67"/>
      <c r="D436" s="68"/>
      <c r="E436" s="94"/>
      <c r="F436" s="93" t="str">
        <f>HYPERLINK("https://pbs.twimg.com/profile_images/1396421365264044042/bWcTyREo_normal.jpg")</f>
        <v>https://pbs.twimg.com/profile_images/1396421365264044042/bWcTyREo_normal.jpg</v>
      </c>
      <c r="G436" s="95"/>
      <c r="H436" s="71"/>
      <c r="I436" s="72"/>
      <c r="J436" s="96"/>
      <c r="K436" s="71" t="s">
        <v>3903</v>
      </c>
      <c r="L436" s="97"/>
      <c r="M436" s="76"/>
      <c r="N436" s="76"/>
      <c r="O436" s="77"/>
      <c r="P436" s="78"/>
      <c r="Q436" s="78"/>
      <c r="R436" s="92"/>
      <c r="S436" s="92"/>
      <c r="T436" s="92"/>
      <c r="U436" s="92"/>
      <c r="V436" s="52"/>
      <c r="W436" s="52"/>
      <c r="X436" s="52"/>
      <c r="Y436" s="52"/>
      <c r="Z436" s="51"/>
      <c r="AA436" s="73"/>
      <c r="AB436" s="73"/>
      <c r="AC436" s="74"/>
      <c r="AD436" s="81" t="s">
        <v>2418</v>
      </c>
      <c r="AE436" s="86" t="s">
        <v>2844</v>
      </c>
      <c r="AF436" s="81">
        <v>11099</v>
      </c>
      <c r="AG436" s="81">
        <v>14168</v>
      </c>
      <c r="AH436" s="81">
        <v>55681</v>
      </c>
      <c r="AI436" s="81">
        <v>59618</v>
      </c>
      <c r="AJ436" s="81"/>
      <c r="AK436" s="81" t="s">
        <v>3249</v>
      </c>
      <c r="AL436" s="81"/>
      <c r="AM436" s="81"/>
      <c r="AN436" s="81"/>
      <c r="AO436" s="83">
        <v>40039.413599537038</v>
      </c>
      <c r="AP436" s="84" t="str">
        <f>HYPERLINK("https://pbs.twimg.com/profile_banners/65603889/1630409711")</f>
        <v>https://pbs.twimg.com/profile_banners/65603889/1630409711</v>
      </c>
      <c r="AQ436" s="81" t="b">
        <v>1</v>
      </c>
      <c r="AR436" s="81" t="b">
        <v>0</v>
      </c>
      <c r="AS436" s="81" t="b">
        <v>1</v>
      </c>
      <c r="AT436" s="81"/>
      <c r="AU436" s="81">
        <v>1</v>
      </c>
      <c r="AV436" s="84" t="str">
        <f>HYPERLINK("https://abs.twimg.com/images/themes/theme1/bg.png")</f>
        <v>https://abs.twimg.com/images/themes/theme1/bg.png</v>
      </c>
      <c r="AW436" s="81" t="b">
        <v>0</v>
      </c>
      <c r="AX436" s="81" t="s">
        <v>3728</v>
      </c>
      <c r="AY436" s="84" t="str">
        <f>HYPERLINK("https://twitter.com/marv3lll")</f>
        <v>https://twitter.com/marv3lll</v>
      </c>
      <c r="AZ436" s="81" t="s">
        <v>66</v>
      </c>
      <c r="BA436" s="2"/>
      <c r="BB436" s="3"/>
      <c r="BC436" s="3"/>
      <c r="BD436" s="3"/>
      <c r="BE436" s="3"/>
    </row>
    <row r="437" spans="1:57" x14ac:dyDescent="0.35">
      <c r="A437" s="66" t="s">
        <v>364</v>
      </c>
      <c r="B437" s="67"/>
      <c r="C437" s="67"/>
      <c r="D437" s="68"/>
      <c r="E437" s="94"/>
      <c r="F437" s="93" t="str">
        <f>HYPERLINK("https://pbs.twimg.com/profile_images/1407998233700274184/wM2uv0NX_normal.jpg")</f>
        <v>https://pbs.twimg.com/profile_images/1407998233700274184/wM2uv0NX_normal.jpg</v>
      </c>
      <c r="G437" s="95"/>
      <c r="H437" s="71"/>
      <c r="I437" s="72"/>
      <c r="J437" s="96"/>
      <c r="K437" s="71" t="s">
        <v>3904</v>
      </c>
      <c r="L437" s="97"/>
      <c r="M437" s="76"/>
      <c r="N437" s="76"/>
      <c r="O437" s="77"/>
      <c r="P437" s="78"/>
      <c r="Q437" s="78"/>
      <c r="R437" s="92"/>
      <c r="S437" s="92"/>
      <c r="T437" s="92"/>
      <c r="U437" s="92"/>
      <c r="V437" s="52"/>
      <c r="W437" s="52"/>
      <c r="X437" s="52"/>
      <c r="Y437" s="52"/>
      <c r="Z437" s="51"/>
      <c r="AA437" s="73"/>
      <c r="AB437" s="73"/>
      <c r="AC437" s="74"/>
      <c r="AD437" s="81" t="s">
        <v>2419</v>
      </c>
      <c r="AE437" s="86" t="s">
        <v>2845</v>
      </c>
      <c r="AF437" s="81">
        <v>1269</v>
      </c>
      <c r="AG437" s="81">
        <v>1118</v>
      </c>
      <c r="AH437" s="81">
        <v>3568</v>
      </c>
      <c r="AI437" s="81">
        <v>2392</v>
      </c>
      <c r="AJ437" s="81"/>
      <c r="AK437" s="81" t="s">
        <v>3250</v>
      </c>
      <c r="AL437" s="81" t="s">
        <v>3612</v>
      </c>
      <c r="AM437" s="81"/>
      <c r="AN437" s="81"/>
      <c r="AO437" s="83">
        <v>41774.757280092592</v>
      </c>
      <c r="AP437" s="84" t="str">
        <f>HYPERLINK("https://pbs.twimg.com/profile_banners/2496865904/1624527916")</f>
        <v>https://pbs.twimg.com/profile_banners/2496865904/1624527916</v>
      </c>
      <c r="AQ437" s="81" t="b">
        <v>1</v>
      </c>
      <c r="AR437" s="81" t="b">
        <v>0</v>
      </c>
      <c r="AS437" s="81" t="b">
        <v>0</v>
      </c>
      <c r="AT437" s="81"/>
      <c r="AU437" s="81">
        <v>0</v>
      </c>
      <c r="AV437" s="84" t="str">
        <f>HYPERLINK("https://abs.twimg.com/images/themes/theme1/bg.png")</f>
        <v>https://abs.twimg.com/images/themes/theme1/bg.png</v>
      </c>
      <c r="AW437" s="81" t="b">
        <v>0</v>
      </c>
      <c r="AX437" s="81" t="s">
        <v>3728</v>
      </c>
      <c r="AY437" s="84" t="str">
        <f>HYPERLINK("https://twitter.com/panterorison20")</f>
        <v>https://twitter.com/panterorison20</v>
      </c>
      <c r="AZ437" s="81" t="s">
        <v>66</v>
      </c>
      <c r="BA437" s="2"/>
      <c r="BB437" s="3"/>
      <c r="BC437" s="3"/>
      <c r="BD437" s="3"/>
      <c r="BE437" s="3"/>
    </row>
    <row r="438" spans="1:57" x14ac:dyDescent="0.35">
      <c r="A438" s="66" t="s">
        <v>365</v>
      </c>
      <c r="B438" s="67"/>
      <c r="C438" s="67"/>
      <c r="D438" s="68"/>
      <c r="E438" s="94"/>
      <c r="F438" s="93" t="str">
        <f>HYPERLINK("https://pbs.twimg.com/profile_images/1398648555737288707/4Uw_Pcvy_normal.jpg")</f>
        <v>https://pbs.twimg.com/profile_images/1398648555737288707/4Uw_Pcvy_normal.jpg</v>
      </c>
      <c r="G438" s="95"/>
      <c r="H438" s="71"/>
      <c r="I438" s="72"/>
      <c r="J438" s="96"/>
      <c r="K438" s="71" t="s">
        <v>3905</v>
      </c>
      <c r="L438" s="97"/>
      <c r="M438" s="76"/>
      <c r="N438" s="76"/>
      <c r="O438" s="77"/>
      <c r="P438" s="78"/>
      <c r="Q438" s="78"/>
      <c r="R438" s="92"/>
      <c r="S438" s="92"/>
      <c r="T438" s="92"/>
      <c r="U438" s="92"/>
      <c r="V438" s="52"/>
      <c r="W438" s="52"/>
      <c r="X438" s="52"/>
      <c r="Y438" s="52"/>
      <c r="Z438" s="51"/>
      <c r="AA438" s="73"/>
      <c r="AB438" s="73"/>
      <c r="AC438" s="74"/>
      <c r="AD438" s="81" t="s">
        <v>2420</v>
      </c>
      <c r="AE438" s="86" t="s">
        <v>2846</v>
      </c>
      <c r="AF438" s="81">
        <v>8349</v>
      </c>
      <c r="AG438" s="81">
        <v>8871</v>
      </c>
      <c r="AH438" s="81">
        <v>12805</v>
      </c>
      <c r="AI438" s="81">
        <v>10358</v>
      </c>
      <c r="AJ438" s="81"/>
      <c r="AK438" s="81" t="s">
        <v>3251</v>
      </c>
      <c r="AL438" s="81" t="s">
        <v>3510</v>
      </c>
      <c r="AM438" s="84" t="str">
        <f>HYPERLINK("https://t.co/PFlYffbEk4")</f>
        <v>https://t.co/PFlYffbEk4</v>
      </c>
      <c r="AN438" s="81"/>
      <c r="AO438" s="83">
        <v>41690.212129629632</v>
      </c>
      <c r="AP438" s="84" t="str">
        <f>HYPERLINK("https://pbs.twimg.com/profile_banners/2352745627/1616383242")</f>
        <v>https://pbs.twimg.com/profile_banners/2352745627/1616383242</v>
      </c>
      <c r="AQ438" s="81" t="b">
        <v>1</v>
      </c>
      <c r="AR438" s="81" t="b">
        <v>0</v>
      </c>
      <c r="AS438" s="81" t="b">
        <v>0</v>
      </c>
      <c r="AT438" s="81"/>
      <c r="AU438" s="81">
        <v>0</v>
      </c>
      <c r="AV438" s="84" t="str">
        <f>HYPERLINK("https://abs.twimg.com/images/themes/theme1/bg.png")</f>
        <v>https://abs.twimg.com/images/themes/theme1/bg.png</v>
      </c>
      <c r="AW438" s="81" t="b">
        <v>0</v>
      </c>
      <c r="AX438" s="81" t="s">
        <v>3728</v>
      </c>
      <c r="AY438" s="84" t="str">
        <f>HYPERLINK("https://twitter.com/sydneyx5w")</f>
        <v>https://twitter.com/sydneyx5w</v>
      </c>
      <c r="AZ438" s="81" t="s">
        <v>66</v>
      </c>
      <c r="BA438" s="2"/>
      <c r="BB438" s="3"/>
      <c r="BC438" s="3"/>
      <c r="BD438" s="3"/>
      <c r="BE438" s="3"/>
    </row>
    <row r="439" spans="1:57" x14ac:dyDescent="0.35">
      <c r="A439" s="66" t="s">
        <v>4352</v>
      </c>
      <c r="B439" s="67"/>
      <c r="C439" s="67"/>
      <c r="D439" s="68"/>
      <c r="E439" s="94"/>
      <c r="F439" s="93" t="str">
        <f>HYPERLINK("https://pbs.twimg.com/profile_images/621355862012112896/6YXBxVKu_normal.jpg")</f>
        <v>https://pbs.twimg.com/profile_images/621355862012112896/6YXBxVKu_normal.jpg</v>
      </c>
      <c r="G439" s="95"/>
      <c r="H439" s="71"/>
      <c r="I439" s="72"/>
      <c r="J439" s="96"/>
      <c r="K439" s="71" t="s">
        <v>11652</v>
      </c>
      <c r="L439" s="97"/>
      <c r="M439" s="76"/>
      <c r="N439" s="76"/>
      <c r="O439" s="77"/>
      <c r="P439" s="78"/>
      <c r="Q439" s="78"/>
      <c r="R439" s="92"/>
      <c r="S439" s="92"/>
      <c r="T439" s="92"/>
      <c r="U439" s="92"/>
      <c r="V439" s="52"/>
      <c r="W439" s="52"/>
      <c r="X439" s="52"/>
      <c r="Y439" s="52"/>
      <c r="Z439" s="51"/>
      <c r="AA439" s="73"/>
      <c r="AB439" s="73"/>
      <c r="AC439" s="74"/>
      <c r="AD439" s="81" t="s">
        <v>8284</v>
      </c>
      <c r="AE439" s="86" t="s">
        <v>9320</v>
      </c>
      <c r="AF439" s="81">
        <v>462</v>
      </c>
      <c r="AG439" s="81">
        <v>951</v>
      </c>
      <c r="AH439" s="81">
        <v>45140</v>
      </c>
      <c r="AI439" s="81">
        <v>0</v>
      </c>
      <c r="AJ439" s="81"/>
      <c r="AK439" s="81" t="s">
        <v>10285</v>
      </c>
      <c r="AL439" s="81" t="s">
        <v>10990</v>
      </c>
      <c r="AM439" s="84" t="str">
        <f>HYPERLINK("https://t.co/L8eNJItMsI")</f>
        <v>https://t.co/L8eNJItMsI</v>
      </c>
      <c r="AN439" s="81"/>
      <c r="AO439" s="83">
        <v>40004.649953703702</v>
      </c>
      <c r="AP439" s="84" t="str">
        <f>HYPERLINK("https://pbs.twimg.com/profile_banners/55591083/1595251788")</f>
        <v>https://pbs.twimg.com/profile_banners/55591083/1595251788</v>
      </c>
      <c r="AQ439" s="81" t="b">
        <v>0</v>
      </c>
      <c r="AR439" s="81" t="b">
        <v>0</v>
      </c>
      <c r="AS439" s="81" t="b">
        <v>0</v>
      </c>
      <c r="AT439" s="81"/>
      <c r="AU439" s="81">
        <v>22</v>
      </c>
      <c r="AV439" s="84" t="str">
        <f>HYPERLINK("https://abs.twimg.com/images/themes/theme1/bg.png")</f>
        <v>https://abs.twimg.com/images/themes/theme1/bg.png</v>
      </c>
      <c r="AW439" s="81" t="b">
        <v>0</v>
      </c>
      <c r="AX439" s="81" t="s">
        <v>3728</v>
      </c>
      <c r="AY439" s="84" t="str">
        <f>HYPERLINK("https://twitter.com/aeiou_pt")</f>
        <v>https://twitter.com/aeiou_pt</v>
      </c>
      <c r="AZ439" s="81" t="s">
        <v>66</v>
      </c>
      <c r="BA439" s="2"/>
      <c r="BB439" s="3"/>
      <c r="BC439" s="3"/>
      <c r="BD439" s="3"/>
      <c r="BE439" s="3"/>
    </row>
    <row r="440" spans="1:57" x14ac:dyDescent="0.35">
      <c r="A440" s="66" t="s">
        <v>366</v>
      </c>
      <c r="B440" s="67"/>
      <c r="C440" s="67"/>
      <c r="D440" s="68"/>
      <c r="E440" s="94"/>
      <c r="F440" s="93" t="str">
        <f>HYPERLINK("https://pbs.twimg.com/profile_images/1367427699224944643/rYHtleLv_normal.jpg")</f>
        <v>https://pbs.twimg.com/profile_images/1367427699224944643/rYHtleLv_normal.jpg</v>
      </c>
      <c r="G440" s="95"/>
      <c r="H440" s="71"/>
      <c r="I440" s="72"/>
      <c r="J440" s="96"/>
      <c r="K440" s="71" t="s">
        <v>3906</v>
      </c>
      <c r="L440" s="97"/>
      <c r="M440" s="76"/>
      <c r="N440" s="76"/>
      <c r="O440" s="77"/>
      <c r="P440" s="78"/>
      <c r="Q440" s="78"/>
      <c r="R440" s="92"/>
      <c r="S440" s="92"/>
      <c r="T440" s="92"/>
      <c r="U440" s="92"/>
      <c r="V440" s="52"/>
      <c r="W440" s="52"/>
      <c r="X440" s="52"/>
      <c r="Y440" s="52"/>
      <c r="Z440" s="51"/>
      <c r="AA440" s="73"/>
      <c r="AB440" s="73"/>
      <c r="AC440" s="74"/>
      <c r="AD440" s="81" t="s">
        <v>366</v>
      </c>
      <c r="AE440" s="86" t="s">
        <v>2847</v>
      </c>
      <c r="AF440" s="81">
        <v>6793</v>
      </c>
      <c r="AG440" s="81">
        <v>7114</v>
      </c>
      <c r="AH440" s="81">
        <v>33308</v>
      </c>
      <c r="AI440" s="81">
        <v>20165</v>
      </c>
      <c r="AJ440" s="81"/>
      <c r="AK440" s="81" t="s">
        <v>3252</v>
      </c>
      <c r="AL440" s="81"/>
      <c r="AM440" s="81"/>
      <c r="AN440" s="81"/>
      <c r="AO440" s="83">
        <v>44036.663182870368</v>
      </c>
      <c r="AP440" s="84" t="str">
        <f>HYPERLINK("https://pbs.twimg.com/profile_banners/1286691301258194946/1620189476")</f>
        <v>https://pbs.twimg.com/profile_banners/1286691301258194946/1620189476</v>
      </c>
      <c r="AQ440" s="81" t="b">
        <v>1</v>
      </c>
      <c r="AR440" s="81" t="b">
        <v>0</v>
      </c>
      <c r="AS440" s="81" t="b">
        <v>0</v>
      </c>
      <c r="AT440" s="81"/>
      <c r="AU440" s="81">
        <v>0</v>
      </c>
      <c r="AV440" s="81"/>
      <c r="AW440" s="81" t="b">
        <v>0</v>
      </c>
      <c r="AX440" s="81" t="s">
        <v>3728</v>
      </c>
      <c r="AY440" s="84" t="str">
        <f>HYPERLINK("https://twitter.com/farrel27")</f>
        <v>https://twitter.com/farrel27</v>
      </c>
      <c r="AZ440" s="81" t="s">
        <v>66</v>
      </c>
      <c r="BA440" s="2"/>
      <c r="BB440" s="3"/>
      <c r="BC440" s="3"/>
      <c r="BD440" s="3"/>
      <c r="BE440" s="3"/>
    </row>
    <row r="441" spans="1:57" x14ac:dyDescent="0.35">
      <c r="A441" s="66" t="s">
        <v>367</v>
      </c>
      <c r="B441" s="67"/>
      <c r="C441" s="67"/>
      <c r="D441" s="68"/>
      <c r="E441" s="94"/>
      <c r="F441" s="93" t="str">
        <f>HYPERLINK("https://pbs.twimg.com/profile_images/1438859269172981762/NxIiCu02_normal.jpg")</f>
        <v>https://pbs.twimg.com/profile_images/1438859269172981762/NxIiCu02_normal.jpg</v>
      </c>
      <c r="G441" s="95"/>
      <c r="H441" s="71"/>
      <c r="I441" s="72"/>
      <c r="J441" s="96"/>
      <c r="K441" s="71" t="s">
        <v>3907</v>
      </c>
      <c r="L441" s="97"/>
      <c r="M441" s="76"/>
      <c r="N441" s="76"/>
      <c r="O441" s="77"/>
      <c r="P441" s="78"/>
      <c r="Q441" s="78"/>
      <c r="R441" s="92"/>
      <c r="S441" s="92"/>
      <c r="T441" s="92"/>
      <c r="U441" s="92"/>
      <c r="V441" s="52"/>
      <c r="W441" s="52"/>
      <c r="X441" s="52"/>
      <c r="Y441" s="52"/>
      <c r="Z441" s="51"/>
      <c r="AA441" s="73"/>
      <c r="AB441" s="73"/>
      <c r="AC441" s="74"/>
      <c r="AD441" s="81" t="s">
        <v>2421</v>
      </c>
      <c r="AE441" s="86" t="s">
        <v>2848</v>
      </c>
      <c r="AF441" s="81">
        <v>857</v>
      </c>
      <c r="AG441" s="81">
        <v>879</v>
      </c>
      <c r="AH441" s="81">
        <v>12811</v>
      </c>
      <c r="AI441" s="81">
        <v>33692</v>
      </c>
      <c r="AJ441" s="81"/>
      <c r="AK441" s="81" t="s">
        <v>3253</v>
      </c>
      <c r="AL441" s="81" t="s">
        <v>3613</v>
      </c>
      <c r="AM441" s="81"/>
      <c r="AN441" s="81"/>
      <c r="AO441" s="83">
        <v>43998.829618055555</v>
      </c>
      <c r="AP441" s="84" t="str">
        <f>HYPERLINK("https://pbs.twimg.com/profile_banners/1272980895352291329/1627314402")</f>
        <v>https://pbs.twimg.com/profile_banners/1272980895352291329/1627314402</v>
      </c>
      <c r="AQ441" s="81" t="b">
        <v>1</v>
      </c>
      <c r="AR441" s="81" t="b">
        <v>0</v>
      </c>
      <c r="AS441" s="81" t="b">
        <v>0</v>
      </c>
      <c r="AT441" s="81"/>
      <c r="AU441" s="81">
        <v>13</v>
      </c>
      <c r="AV441" s="81"/>
      <c r="AW441" s="81" t="b">
        <v>0</v>
      </c>
      <c r="AX441" s="81" t="s">
        <v>3728</v>
      </c>
      <c r="AY441" s="84" t="str">
        <f>HYPERLINK("https://twitter.com/babyericsohn")</f>
        <v>https://twitter.com/babyericsohn</v>
      </c>
      <c r="AZ441" s="81" t="s">
        <v>66</v>
      </c>
      <c r="BA441" s="2"/>
      <c r="BB441" s="3"/>
      <c r="BC441" s="3"/>
      <c r="BD441" s="3"/>
      <c r="BE441" s="3"/>
    </row>
    <row r="442" spans="1:57" x14ac:dyDescent="0.35">
      <c r="A442" s="66" t="s">
        <v>4353</v>
      </c>
      <c r="B442" s="67"/>
      <c r="C442" s="67"/>
      <c r="D442" s="68"/>
      <c r="E442" s="94"/>
      <c r="F442" s="93" t="str">
        <f>HYPERLINK("https://pbs.twimg.com/profile_images/1406984439922561029/P9jWHWkG_normal.jpg")</f>
        <v>https://pbs.twimg.com/profile_images/1406984439922561029/P9jWHWkG_normal.jpg</v>
      </c>
      <c r="G442" s="95"/>
      <c r="H442" s="71"/>
      <c r="I442" s="72"/>
      <c r="J442" s="96"/>
      <c r="K442" s="71" t="s">
        <v>11653</v>
      </c>
      <c r="L442" s="97"/>
      <c r="M442" s="76"/>
      <c r="N442" s="76"/>
      <c r="O442" s="77"/>
      <c r="P442" s="78"/>
      <c r="Q442" s="78"/>
      <c r="R442" s="92"/>
      <c r="S442" s="92"/>
      <c r="T442" s="92"/>
      <c r="U442" s="92"/>
      <c r="V442" s="52"/>
      <c r="W442" s="52"/>
      <c r="X442" s="52"/>
      <c r="Y442" s="52"/>
      <c r="Z442" s="51"/>
      <c r="AA442" s="73"/>
      <c r="AB442" s="73"/>
      <c r="AC442" s="74"/>
      <c r="AD442" s="81" t="s">
        <v>8285</v>
      </c>
      <c r="AE442" s="86" t="s">
        <v>9321</v>
      </c>
      <c r="AF442" s="81">
        <v>303</v>
      </c>
      <c r="AG442" s="81">
        <v>3319</v>
      </c>
      <c r="AH442" s="81">
        <v>67445</v>
      </c>
      <c r="AI442" s="81">
        <v>41131</v>
      </c>
      <c r="AJ442" s="81"/>
      <c r="AK442" s="81" t="s">
        <v>10286</v>
      </c>
      <c r="AL442" s="81" t="s">
        <v>10971</v>
      </c>
      <c r="AM442" s="81"/>
      <c r="AN442" s="81"/>
      <c r="AO442" s="83">
        <v>41550.698379629626</v>
      </c>
      <c r="AP442" s="84" t="str">
        <f>HYPERLINK("https://pbs.twimg.com/profile_banners/700528695/1438650873")</f>
        <v>https://pbs.twimg.com/profile_banners/700528695/1438650873</v>
      </c>
      <c r="AQ442" s="81" t="b">
        <v>0</v>
      </c>
      <c r="AR442" s="81" t="b">
        <v>0</v>
      </c>
      <c r="AS442" s="81" t="b">
        <v>1</v>
      </c>
      <c r="AT442" s="81"/>
      <c r="AU442" s="81">
        <v>31</v>
      </c>
      <c r="AV442" s="84" t="str">
        <f>HYPERLINK("https://abs.twimg.com/images/themes/theme14/bg.gif")</f>
        <v>https://abs.twimg.com/images/themes/theme14/bg.gif</v>
      </c>
      <c r="AW442" s="81" t="b">
        <v>0</v>
      </c>
      <c r="AX442" s="81" t="s">
        <v>3728</v>
      </c>
      <c r="AY442" s="84" t="str">
        <f>HYPERLINK("https://twitter.com/paulaponto")</f>
        <v>https://twitter.com/paulaponto</v>
      </c>
      <c r="AZ442" s="81" t="s">
        <v>66</v>
      </c>
      <c r="BA442" s="2"/>
      <c r="BB442" s="3"/>
      <c r="BC442" s="3"/>
      <c r="BD442" s="3"/>
      <c r="BE442" s="3"/>
    </row>
    <row r="443" spans="1:57" x14ac:dyDescent="0.35">
      <c r="A443" s="66" t="s">
        <v>4354</v>
      </c>
      <c r="B443" s="67"/>
      <c r="C443" s="67"/>
      <c r="D443" s="68"/>
      <c r="E443" s="94"/>
      <c r="F443" s="93" t="str">
        <f>HYPERLINK("https://pbs.twimg.com/profile_images/1345889943961423872/oG535Qmi_normal.jpg")</f>
        <v>https://pbs.twimg.com/profile_images/1345889943961423872/oG535Qmi_normal.jpg</v>
      </c>
      <c r="G443" s="95"/>
      <c r="H443" s="71"/>
      <c r="I443" s="72"/>
      <c r="J443" s="96"/>
      <c r="K443" s="71" t="s">
        <v>11654</v>
      </c>
      <c r="L443" s="97"/>
      <c r="M443" s="76"/>
      <c r="N443" s="76"/>
      <c r="O443" s="77"/>
      <c r="P443" s="78"/>
      <c r="Q443" s="78"/>
      <c r="R443" s="92"/>
      <c r="S443" s="92"/>
      <c r="T443" s="92"/>
      <c r="U443" s="92"/>
      <c r="V443" s="52"/>
      <c r="W443" s="52"/>
      <c r="X443" s="52"/>
      <c r="Y443" s="52"/>
      <c r="Z443" s="51"/>
      <c r="AA443" s="73"/>
      <c r="AB443" s="73"/>
      <c r="AC443" s="74"/>
      <c r="AD443" s="81" t="s">
        <v>8286</v>
      </c>
      <c r="AE443" s="86" t="s">
        <v>9322</v>
      </c>
      <c r="AF443" s="81">
        <v>2036</v>
      </c>
      <c r="AG443" s="81">
        <v>2540</v>
      </c>
      <c r="AH443" s="81">
        <v>140266</v>
      </c>
      <c r="AI443" s="81">
        <v>92407</v>
      </c>
      <c r="AJ443" s="81"/>
      <c r="AK443" s="81"/>
      <c r="AL443" s="81" t="s">
        <v>11099</v>
      </c>
      <c r="AM443" s="84" t="str">
        <f>HYPERLINK("https://t.co/IxXBeZKSTv")</f>
        <v>https://t.co/IxXBeZKSTv</v>
      </c>
      <c r="AN443" s="81"/>
      <c r="AO443" s="83">
        <v>41281.948055555556</v>
      </c>
      <c r="AP443" s="84" t="str">
        <f>HYPERLINK("https://pbs.twimg.com/profile_banners/1069376713/1402660108")</f>
        <v>https://pbs.twimg.com/profile_banners/1069376713/1402660108</v>
      </c>
      <c r="AQ443" s="81" t="b">
        <v>1</v>
      </c>
      <c r="AR443" s="81" t="b">
        <v>0</v>
      </c>
      <c r="AS443" s="81" t="b">
        <v>1</v>
      </c>
      <c r="AT443" s="81"/>
      <c r="AU443" s="81">
        <v>18</v>
      </c>
      <c r="AV443" s="84" t="str">
        <f>HYPERLINK("https://abs.twimg.com/images/themes/theme1/bg.png")</f>
        <v>https://abs.twimg.com/images/themes/theme1/bg.png</v>
      </c>
      <c r="AW443" s="81" t="b">
        <v>0</v>
      </c>
      <c r="AX443" s="81" t="s">
        <v>3728</v>
      </c>
      <c r="AY443" s="84" t="str">
        <f>HYPERLINK("https://twitter.com/isabecarve")</f>
        <v>https://twitter.com/isabecarve</v>
      </c>
      <c r="AZ443" s="81" t="s">
        <v>66</v>
      </c>
      <c r="BA443" s="2"/>
      <c r="BB443" s="3"/>
      <c r="BC443" s="3"/>
      <c r="BD443" s="3"/>
      <c r="BE443" s="3"/>
    </row>
    <row r="444" spans="1:57" x14ac:dyDescent="0.35">
      <c r="A444" s="66" t="s">
        <v>368</v>
      </c>
      <c r="B444" s="67"/>
      <c r="C444" s="67"/>
      <c r="D444" s="68"/>
      <c r="E444" s="94"/>
      <c r="F444" s="93" t="str">
        <f>HYPERLINK("https://pbs.twimg.com/profile_images/1401757786845839365/Tn64uPfo_normal.jpg")</f>
        <v>https://pbs.twimg.com/profile_images/1401757786845839365/Tn64uPfo_normal.jpg</v>
      </c>
      <c r="G444" s="95"/>
      <c r="H444" s="71"/>
      <c r="I444" s="72"/>
      <c r="J444" s="96"/>
      <c r="K444" s="71" t="s">
        <v>3908</v>
      </c>
      <c r="L444" s="97"/>
      <c r="M444" s="76"/>
      <c r="N444" s="76"/>
      <c r="O444" s="77"/>
      <c r="P444" s="78"/>
      <c r="Q444" s="78"/>
      <c r="R444" s="92"/>
      <c r="S444" s="92"/>
      <c r="T444" s="92"/>
      <c r="U444" s="92"/>
      <c r="V444" s="52"/>
      <c r="W444" s="52"/>
      <c r="X444" s="52"/>
      <c r="Y444" s="52"/>
      <c r="Z444" s="51"/>
      <c r="AA444" s="73"/>
      <c r="AB444" s="73"/>
      <c r="AC444" s="74"/>
      <c r="AD444" s="81" t="s">
        <v>2422</v>
      </c>
      <c r="AE444" s="86" t="s">
        <v>2849</v>
      </c>
      <c r="AF444" s="81">
        <v>311</v>
      </c>
      <c r="AG444" s="81">
        <v>276</v>
      </c>
      <c r="AH444" s="81">
        <v>342</v>
      </c>
      <c r="AI444" s="81">
        <v>504</v>
      </c>
      <c r="AJ444" s="81"/>
      <c r="AK444" s="81" t="s">
        <v>3254</v>
      </c>
      <c r="AL444" s="81"/>
      <c r="AM444" s="81"/>
      <c r="AN444" s="81"/>
      <c r="AO444" s="83">
        <v>44354.181087962963</v>
      </c>
      <c r="AP444" s="84" t="str">
        <f>HYPERLINK("https://pbs.twimg.com/profile_banners/1401755949073780738/1623040264")</f>
        <v>https://pbs.twimg.com/profile_banners/1401755949073780738/1623040264</v>
      </c>
      <c r="AQ444" s="81" t="b">
        <v>1</v>
      </c>
      <c r="AR444" s="81" t="b">
        <v>0</v>
      </c>
      <c r="AS444" s="81" t="b">
        <v>0</v>
      </c>
      <c r="AT444" s="81"/>
      <c r="AU444" s="81">
        <v>0</v>
      </c>
      <c r="AV444" s="81"/>
      <c r="AW444" s="81" t="b">
        <v>0</v>
      </c>
      <c r="AX444" s="81" t="s">
        <v>3728</v>
      </c>
      <c r="AY444" s="84" t="str">
        <f>HYPERLINK("https://twitter.com/putiandamdewi16")</f>
        <v>https://twitter.com/putiandamdewi16</v>
      </c>
      <c r="AZ444" s="81" t="s">
        <v>66</v>
      </c>
      <c r="BA444" s="2"/>
      <c r="BB444" s="3"/>
      <c r="BC444" s="3"/>
      <c r="BD444" s="3"/>
      <c r="BE444" s="3"/>
    </row>
    <row r="445" spans="1:57" x14ac:dyDescent="0.35">
      <c r="A445" s="66" t="s">
        <v>370</v>
      </c>
      <c r="B445" s="67"/>
      <c r="C445" s="67"/>
      <c r="D445" s="68"/>
      <c r="E445" s="94"/>
      <c r="F445" s="93" t="str">
        <f>HYPERLINK("https://pbs.twimg.com/profile_images/1250065840537550848/vus8douU_normal.jpg")</f>
        <v>https://pbs.twimg.com/profile_images/1250065840537550848/vus8douU_normal.jpg</v>
      </c>
      <c r="G445" s="95"/>
      <c r="H445" s="71"/>
      <c r="I445" s="72"/>
      <c r="J445" s="96"/>
      <c r="K445" s="71" t="s">
        <v>3909</v>
      </c>
      <c r="L445" s="97"/>
      <c r="M445" s="76"/>
      <c r="N445" s="76"/>
      <c r="O445" s="77"/>
      <c r="P445" s="78"/>
      <c r="Q445" s="78"/>
      <c r="R445" s="92"/>
      <c r="S445" s="92"/>
      <c r="T445" s="92"/>
      <c r="U445" s="92"/>
      <c r="V445" s="52"/>
      <c r="W445" s="52"/>
      <c r="X445" s="52"/>
      <c r="Y445" s="52"/>
      <c r="Z445" s="51"/>
      <c r="AA445" s="73"/>
      <c r="AB445" s="73"/>
      <c r="AC445" s="74"/>
      <c r="AD445" s="81" t="s">
        <v>2423</v>
      </c>
      <c r="AE445" s="86" t="s">
        <v>2850</v>
      </c>
      <c r="AF445" s="81">
        <v>7072</v>
      </c>
      <c r="AG445" s="81">
        <v>7559</v>
      </c>
      <c r="AH445" s="81">
        <v>38948</v>
      </c>
      <c r="AI445" s="81">
        <v>50919</v>
      </c>
      <c r="AJ445" s="81"/>
      <c r="AK445" s="81" t="s">
        <v>3255</v>
      </c>
      <c r="AL445" s="81"/>
      <c r="AM445" s="81"/>
      <c r="AN445" s="81"/>
      <c r="AO445" s="83">
        <v>40521.467164351852</v>
      </c>
      <c r="AP445" s="84" t="str">
        <f>HYPERLINK("https://pbs.twimg.com/profile_banners/224590687/1603774688")</f>
        <v>https://pbs.twimg.com/profile_banners/224590687/1603774688</v>
      </c>
      <c r="AQ445" s="81" t="b">
        <v>1</v>
      </c>
      <c r="AR445" s="81" t="b">
        <v>0</v>
      </c>
      <c r="AS445" s="81" t="b">
        <v>1</v>
      </c>
      <c r="AT445" s="81"/>
      <c r="AU445" s="81">
        <v>0</v>
      </c>
      <c r="AV445" s="84" t="str">
        <f>HYPERLINK("https://abs.twimg.com/images/themes/theme1/bg.png")</f>
        <v>https://abs.twimg.com/images/themes/theme1/bg.png</v>
      </c>
      <c r="AW445" s="81" t="b">
        <v>0</v>
      </c>
      <c r="AX445" s="81" t="s">
        <v>3728</v>
      </c>
      <c r="AY445" s="84" t="str">
        <f>HYPERLINK("https://twitter.com/ta_k3n")</f>
        <v>https://twitter.com/ta_k3n</v>
      </c>
      <c r="AZ445" s="81" t="s">
        <v>66</v>
      </c>
      <c r="BA445" s="2"/>
      <c r="BB445" s="3"/>
      <c r="BC445" s="3"/>
      <c r="BD445" s="3"/>
      <c r="BE445" s="3"/>
    </row>
    <row r="446" spans="1:57" x14ac:dyDescent="0.35">
      <c r="A446" s="66" t="s">
        <v>371</v>
      </c>
      <c r="B446" s="67"/>
      <c r="C446" s="67"/>
      <c r="D446" s="68"/>
      <c r="E446" s="94"/>
      <c r="F446" s="93" t="str">
        <f>HYPERLINK("https://pbs.twimg.com/profile_images/1405377170810179585/Xc9382dp_normal.jpg")</f>
        <v>https://pbs.twimg.com/profile_images/1405377170810179585/Xc9382dp_normal.jpg</v>
      </c>
      <c r="G446" s="95"/>
      <c r="H446" s="71"/>
      <c r="I446" s="72"/>
      <c r="J446" s="96"/>
      <c r="K446" s="71" t="s">
        <v>3910</v>
      </c>
      <c r="L446" s="97"/>
      <c r="M446" s="76"/>
      <c r="N446" s="76"/>
      <c r="O446" s="77"/>
      <c r="P446" s="78"/>
      <c r="Q446" s="78"/>
      <c r="R446" s="92"/>
      <c r="S446" s="92"/>
      <c r="T446" s="92"/>
      <c r="U446" s="92"/>
      <c r="V446" s="52"/>
      <c r="W446" s="52"/>
      <c r="X446" s="52"/>
      <c r="Y446" s="52"/>
      <c r="Z446" s="51"/>
      <c r="AA446" s="73"/>
      <c r="AB446" s="73"/>
      <c r="AC446" s="74"/>
      <c r="AD446" s="81" t="s">
        <v>2424</v>
      </c>
      <c r="AE446" s="86" t="s">
        <v>2112</v>
      </c>
      <c r="AF446" s="81">
        <v>61</v>
      </c>
      <c r="AG446" s="81">
        <v>6299</v>
      </c>
      <c r="AH446" s="81">
        <v>5229</v>
      </c>
      <c r="AI446" s="81">
        <v>61</v>
      </c>
      <c r="AJ446" s="81"/>
      <c r="AK446" s="81" t="s">
        <v>3256</v>
      </c>
      <c r="AL446" s="81" t="s">
        <v>3515</v>
      </c>
      <c r="AM446" s="84" t="str">
        <f>HYPERLINK("https://t.co/Ar3VaAp8Zy")</f>
        <v>https://t.co/Ar3VaAp8Zy</v>
      </c>
      <c r="AN446" s="81"/>
      <c r="AO446" s="83">
        <v>42326.127187500002</v>
      </c>
      <c r="AP446" s="84" t="str">
        <f>HYPERLINK("https://pbs.twimg.com/profile_banners/4214856850/1602061858")</f>
        <v>https://pbs.twimg.com/profile_banners/4214856850/1602061858</v>
      </c>
      <c r="AQ446" s="81" t="b">
        <v>0</v>
      </c>
      <c r="AR446" s="81" t="b">
        <v>0</v>
      </c>
      <c r="AS446" s="81" t="b">
        <v>1</v>
      </c>
      <c r="AT446" s="81"/>
      <c r="AU446" s="81">
        <v>4</v>
      </c>
      <c r="AV446" s="84" t="str">
        <f>HYPERLINK("https://abs.twimg.com/images/themes/theme1/bg.png")</f>
        <v>https://abs.twimg.com/images/themes/theme1/bg.png</v>
      </c>
      <c r="AW446" s="81" t="b">
        <v>0</v>
      </c>
      <c r="AX446" s="81" t="s">
        <v>3728</v>
      </c>
      <c r="AY446" s="84" t="str">
        <f>HYPERLINK("https://twitter.com/kemenkumham_jtm")</f>
        <v>https://twitter.com/kemenkumham_jtm</v>
      </c>
      <c r="AZ446" s="81" t="s">
        <v>66</v>
      </c>
      <c r="BA446" s="2"/>
      <c r="BB446" s="3"/>
      <c r="BC446" s="3"/>
      <c r="BD446" s="3"/>
      <c r="BE446" s="3"/>
    </row>
    <row r="447" spans="1:57" x14ac:dyDescent="0.35">
      <c r="A447" s="66" t="s">
        <v>638</v>
      </c>
      <c r="B447" s="67"/>
      <c r="C447" s="67"/>
      <c r="D447" s="68"/>
      <c r="E447" s="94"/>
      <c r="F447" s="93" t="str">
        <f>HYPERLINK("https://pbs.twimg.com/profile_images/1174847803903709189/M0scmM6X_normal.jpg")</f>
        <v>https://pbs.twimg.com/profile_images/1174847803903709189/M0scmM6X_normal.jpg</v>
      </c>
      <c r="G447" s="95"/>
      <c r="H447" s="71"/>
      <c r="I447" s="72"/>
      <c r="J447" s="96"/>
      <c r="K447" s="71" t="s">
        <v>3911</v>
      </c>
      <c r="L447" s="97"/>
      <c r="M447" s="76"/>
      <c r="N447" s="76"/>
      <c r="O447" s="77"/>
      <c r="P447" s="78"/>
      <c r="Q447" s="78"/>
      <c r="R447" s="92"/>
      <c r="S447" s="92"/>
      <c r="T447" s="92"/>
      <c r="U447" s="92"/>
      <c r="V447" s="52"/>
      <c r="W447" s="52"/>
      <c r="X447" s="52"/>
      <c r="Y447" s="52"/>
      <c r="Z447" s="51"/>
      <c r="AA447" s="73"/>
      <c r="AB447" s="73"/>
      <c r="AC447" s="74"/>
      <c r="AD447" s="81" t="s">
        <v>2425</v>
      </c>
      <c r="AE447" s="86" t="s">
        <v>2851</v>
      </c>
      <c r="AF447" s="81">
        <v>57</v>
      </c>
      <c r="AG447" s="81">
        <v>2063</v>
      </c>
      <c r="AH447" s="81">
        <v>298</v>
      </c>
      <c r="AI447" s="81">
        <v>32</v>
      </c>
      <c r="AJ447" s="81"/>
      <c r="AK447" s="81" t="s">
        <v>3257</v>
      </c>
      <c r="AL447" s="81" t="s">
        <v>3548</v>
      </c>
      <c r="AM447" s="84" t="str">
        <f>HYPERLINK("https://t.co/UJYXSmQ2Gs")</f>
        <v>https://t.co/UJYXSmQ2Gs</v>
      </c>
      <c r="AN447" s="81"/>
      <c r="AO447" s="83">
        <v>42443.368356481478</v>
      </c>
      <c r="AP447" s="84" t="str">
        <f>HYPERLINK("https://pbs.twimg.com/profile_banners/709300642267811840/1467725407")</f>
        <v>https://pbs.twimg.com/profile_banners/709300642267811840/1467725407</v>
      </c>
      <c r="AQ447" s="81" t="b">
        <v>0</v>
      </c>
      <c r="AR447" s="81" t="b">
        <v>0</v>
      </c>
      <c r="AS447" s="81" t="b">
        <v>1</v>
      </c>
      <c r="AT447" s="81"/>
      <c r="AU447" s="81">
        <v>0</v>
      </c>
      <c r="AV447" s="84" t="str">
        <f>HYPERLINK("https://abs.twimg.com/images/themes/theme7/bg.gif")</f>
        <v>https://abs.twimg.com/images/themes/theme7/bg.gif</v>
      </c>
      <c r="AW447" s="81" t="b">
        <v>0</v>
      </c>
      <c r="AX447" s="81" t="s">
        <v>3728</v>
      </c>
      <c r="AY447" s="84" t="str">
        <f>HYPERLINK("https://twitter.com/rbkunwas")</f>
        <v>https://twitter.com/rbkunwas</v>
      </c>
      <c r="AZ447" s="81" t="s">
        <v>65</v>
      </c>
      <c r="BA447" s="2"/>
      <c r="BB447" s="3"/>
      <c r="BC447" s="3"/>
      <c r="BD447" s="3"/>
      <c r="BE447" s="3"/>
    </row>
    <row r="448" spans="1:57" x14ac:dyDescent="0.35">
      <c r="A448" s="66" t="s">
        <v>4355</v>
      </c>
      <c r="B448" s="67"/>
      <c r="C448" s="67"/>
      <c r="D448" s="68"/>
      <c r="E448" s="94"/>
      <c r="F448" s="93" t="str">
        <f>HYPERLINK("https://pbs.twimg.com/profile_images/1308390360125714434/yuIH3RiP_normal.jpg")</f>
        <v>https://pbs.twimg.com/profile_images/1308390360125714434/yuIH3RiP_normal.jpg</v>
      </c>
      <c r="G448" s="95"/>
      <c r="H448" s="71"/>
      <c r="I448" s="72"/>
      <c r="J448" s="96"/>
      <c r="K448" s="71" t="s">
        <v>11655</v>
      </c>
      <c r="L448" s="97"/>
      <c r="M448" s="76"/>
      <c r="N448" s="76"/>
      <c r="O448" s="77"/>
      <c r="P448" s="78"/>
      <c r="Q448" s="78"/>
      <c r="R448" s="92"/>
      <c r="S448" s="92"/>
      <c r="T448" s="92"/>
      <c r="U448" s="92"/>
      <c r="V448" s="52"/>
      <c r="W448" s="52"/>
      <c r="X448" s="52"/>
      <c r="Y448" s="52"/>
      <c r="Z448" s="51"/>
      <c r="AA448" s="73"/>
      <c r="AB448" s="73"/>
      <c r="AC448" s="74"/>
      <c r="AD448" s="81" t="s">
        <v>8287</v>
      </c>
      <c r="AE448" s="86" t="s">
        <v>9323</v>
      </c>
      <c r="AF448" s="81">
        <v>1069</v>
      </c>
      <c r="AG448" s="81">
        <v>1605</v>
      </c>
      <c r="AH448" s="81">
        <v>267157</v>
      </c>
      <c r="AI448" s="81">
        <v>469</v>
      </c>
      <c r="AJ448" s="81"/>
      <c r="AK448" s="81"/>
      <c r="AL448" s="81"/>
      <c r="AM448" s="81"/>
      <c r="AN448" s="81"/>
      <c r="AO448" s="83">
        <v>41071.997986111113</v>
      </c>
      <c r="AP448" s="81"/>
      <c r="AQ448" s="81" t="b">
        <v>1</v>
      </c>
      <c r="AR448" s="81" t="b">
        <v>0</v>
      </c>
      <c r="AS448" s="81" t="b">
        <v>1</v>
      </c>
      <c r="AT448" s="81"/>
      <c r="AU448" s="81">
        <v>73</v>
      </c>
      <c r="AV448" s="84" t="str">
        <f>HYPERLINK("https://abs.twimg.com/images/themes/theme1/bg.png")</f>
        <v>https://abs.twimg.com/images/themes/theme1/bg.png</v>
      </c>
      <c r="AW448" s="81" t="b">
        <v>0</v>
      </c>
      <c r="AX448" s="81" t="s">
        <v>3728</v>
      </c>
      <c r="AY448" s="84" t="str">
        <f>HYPERLINK("https://twitter.com/alrguerreiro")</f>
        <v>https://twitter.com/alrguerreiro</v>
      </c>
      <c r="AZ448" s="81" t="s">
        <v>66</v>
      </c>
      <c r="BA448" s="2"/>
      <c r="BB448" s="3"/>
      <c r="BC448" s="3"/>
      <c r="BD448" s="3"/>
      <c r="BE448" s="3"/>
    </row>
    <row r="449" spans="1:57" x14ac:dyDescent="0.35">
      <c r="A449" s="66" t="s">
        <v>4482</v>
      </c>
      <c r="B449" s="67"/>
      <c r="C449" s="67"/>
      <c r="D449" s="68"/>
      <c r="E449" s="94"/>
      <c r="F449" s="93" t="str">
        <f>HYPERLINK("https://pbs.twimg.com/profile_images/1238209221365284881/15cDar2Q_normal.jpg")</f>
        <v>https://pbs.twimg.com/profile_images/1238209221365284881/15cDar2Q_normal.jpg</v>
      </c>
      <c r="G449" s="95"/>
      <c r="H449" s="71"/>
      <c r="I449" s="72"/>
      <c r="J449" s="96"/>
      <c r="K449" s="71" t="s">
        <v>11656</v>
      </c>
      <c r="L449" s="97"/>
      <c r="M449" s="76"/>
      <c r="N449" s="76"/>
      <c r="O449" s="77"/>
      <c r="P449" s="78"/>
      <c r="Q449" s="78"/>
      <c r="R449" s="92"/>
      <c r="S449" s="92"/>
      <c r="T449" s="92"/>
      <c r="U449" s="92"/>
      <c r="V449" s="52"/>
      <c r="W449" s="52"/>
      <c r="X449" s="52"/>
      <c r="Y449" s="52"/>
      <c r="Z449" s="51"/>
      <c r="AA449" s="73"/>
      <c r="AB449" s="73"/>
      <c r="AC449" s="74"/>
      <c r="AD449" s="81" t="s">
        <v>8288</v>
      </c>
      <c r="AE449" s="86" t="s">
        <v>9324</v>
      </c>
      <c r="AF449" s="81">
        <v>40</v>
      </c>
      <c r="AG449" s="81">
        <v>203214</v>
      </c>
      <c r="AH449" s="81">
        <v>291698</v>
      </c>
      <c r="AI449" s="81">
        <v>294</v>
      </c>
      <c r="AJ449" s="81"/>
      <c r="AK449" s="81" t="s">
        <v>10287</v>
      </c>
      <c r="AL449" s="81" t="s">
        <v>10990</v>
      </c>
      <c r="AM449" s="84" t="str">
        <f>HYPERLINK("https://t.co/Efww6KSSbS")</f>
        <v>https://t.co/Efww6KSSbS</v>
      </c>
      <c r="AN449" s="81"/>
      <c r="AO449" s="83">
        <v>41508.356296296297</v>
      </c>
      <c r="AP449" s="84" t="str">
        <f>HYPERLINK("https://pbs.twimg.com/profile_banners/1690412382/1629302596")</f>
        <v>https://pbs.twimg.com/profile_banners/1690412382/1629302596</v>
      </c>
      <c r="AQ449" s="81" t="b">
        <v>0</v>
      </c>
      <c r="AR449" s="81" t="b">
        <v>0</v>
      </c>
      <c r="AS449" s="81" t="b">
        <v>1</v>
      </c>
      <c r="AT449" s="81"/>
      <c r="AU449" s="81">
        <v>1141</v>
      </c>
      <c r="AV449" s="84" t="str">
        <f>HYPERLINK("https://abs.twimg.com/images/themes/theme1/bg.png")</f>
        <v>https://abs.twimg.com/images/themes/theme1/bg.png</v>
      </c>
      <c r="AW449" s="81" t="b">
        <v>1</v>
      </c>
      <c r="AX449" s="81" t="s">
        <v>3728</v>
      </c>
      <c r="AY449" s="84" t="str">
        <f>HYPERLINK("https://twitter.com/observadorpt")</f>
        <v>https://twitter.com/observadorpt</v>
      </c>
      <c r="AZ449" s="81" t="s">
        <v>66</v>
      </c>
      <c r="BA449" s="2"/>
      <c r="BB449" s="3"/>
      <c r="BC449" s="3"/>
      <c r="BD449" s="3"/>
      <c r="BE449" s="3"/>
    </row>
    <row r="450" spans="1:57" x14ac:dyDescent="0.35">
      <c r="A450" s="66" t="s">
        <v>4356</v>
      </c>
      <c r="B450" s="67"/>
      <c r="C450" s="67"/>
      <c r="D450" s="68"/>
      <c r="E450" s="94"/>
      <c r="F450" s="93" t="str">
        <f>HYPERLINK("https://pbs.twimg.com/profile_images/1014578100611543043/VIM57Zky_normal.jpg")</f>
        <v>https://pbs.twimg.com/profile_images/1014578100611543043/VIM57Zky_normal.jpg</v>
      </c>
      <c r="G450" s="95"/>
      <c r="H450" s="71"/>
      <c r="I450" s="72"/>
      <c r="J450" s="96"/>
      <c r="K450" s="71" t="s">
        <v>11657</v>
      </c>
      <c r="L450" s="97"/>
      <c r="M450" s="76"/>
      <c r="N450" s="76"/>
      <c r="O450" s="77"/>
      <c r="P450" s="78"/>
      <c r="Q450" s="78"/>
      <c r="R450" s="92"/>
      <c r="S450" s="92"/>
      <c r="T450" s="92"/>
      <c r="U450" s="92"/>
      <c r="V450" s="52"/>
      <c r="W450" s="52"/>
      <c r="X450" s="52"/>
      <c r="Y450" s="52"/>
      <c r="Z450" s="51"/>
      <c r="AA450" s="73"/>
      <c r="AB450" s="73"/>
      <c r="AC450" s="74"/>
      <c r="AD450" s="81" t="s">
        <v>8289</v>
      </c>
      <c r="AE450" s="86" t="s">
        <v>9325</v>
      </c>
      <c r="AF450" s="81">
        <v>446</v>
      </c>
      <c r="AG450" s="81">
        <v>45</v>
      </c>
      <c r="AH450" s="81">
        <v>7073</v>
      </c>
      <c r="AI450" s="81">
        <v>15124</v>
      </c>
      <c r="AJ450" s="81"/>
      <c r="AK450" s="81" t="s">
        <v>10288</v>
      </c>
      <c r="AL450" s="81" t="s">
        <v>11100</v>
      </c>
      <c r="AM450" s="81"/>
      <c r="AN450" s="81"/>
      <c r="AO450" s="83">
        <v>41755.058888888889</v>
      </c>
      <c r="AP450" s="84" t="str">
        <f>HYPERLINK("https://pbs.twimg.com/profile_banners/2463899971/1406987221")</f>
        <v>https://pbs.twimg.com/profile_banners/2463899971/1406987221</v>
      </c>
      <c r="AQ450" s="81" t="b">
        <v>1</v>
      </c>
      <c r="AR450" s="81" t="b">
        <v>0</v>
      </c>
      <c r="AS450" s="81" t="b">
        <v>0</v>
      </c>
      <c r="AT450" s="81"/>
      <c r="AU450" s="81">
        <v>0</v>
      </c>
      <c r="AV450" s="84" t="str">
        <f>HYPERLINK("https://abs.twimg.com/images/themes/theme1/bg.png")</f>
        <v>https://abs.twimg.com/images/themes/theme1/bg.png</v>
      </c>
      <c r="AW450" s="81" t="b">
        <v>0</v>
      </c>
      <c r="AX450" s="81" t="s">
        <v>3728</v>
      </c>
      <c r="AY450" s="84" t="str">
        <f>HYPERLINK("https://twitter.com/thiagolamboglia")</f>
        <v>https://twitter.com/thiagolamboglia</v>
      </c>
      <c r="AZ450" s="81" t="s">
        <v>66</v>
      </c>
      <c r="BA450" s="2"/>
      <c r="BB450" s="3"/>
      <c r="BC450" s="3"/>
      <c r="BD450" s="3"/>
      <c r="BE450" s="3"/>
    </row>
    <row r="451" spans="1:57" x14ac:dyDescent="0.35">
      <c r="A451" s="66" t="s">
        <v>5043</v>
      </c>
      <c r="B451" s="67"/>
      <c r="C451" s="67"/>
      <c r="D451" s="68"/>
      <c r="E451" s="94"/>
      <c r="F451" s="93" t="str">
        <f>HYPERLINK("https://pbs.twimg.com/profile_images/1425524834713341954/lKfcwDnx_normal.jpg")</f>
        <v>https://pbs.twimg.com/profile_images/1425524834713341954/lKfcwDnx_normal.jpg</v>
      </c>
      <c r="G451" s="95"/>
      <c r="H451" s="71"/>
      <c r="I451" s="72"/>
      <c r="J451" s="96"/>
      <c r="K451" s="71" t="s">
        <v>11658</v>
      </c>
      <c r="L451" s="97"/>
      <c r="M451" s="76"/>
      <c r="N451" s="76"/>
      <c r="O451" s="77"/>
      <c r="P451" s="78"/>
      <c r="Q451" s="78"/>
      <c r="R451" s="92"/>
      <c r="S451" s="92"/>
      <c r="T451" s="92"/>
      <c r="U451" s="92"/>
      <c r="V451" s="52"/>
      <c r="W451" s="52"/>
      <c r="X451" s="52"/>
      <c r="Y451" s="52"/>
      <c r="Z451" s="51"/>
      <c r="AA451" s="73"/>
      <c r="AB451" s="73"/>
      <c r="AC451" s="74"/>
      <c r="AD451" s="81" t="s">
        <v>8290</v>
      </c>
      <c r="AE451" s="86" t="s">
        <v>9326</v>
      </c>
      <c r="AF451" s="81">
        <v>2540</v>
      </c>
      <c r="AG451" s="81">
        <v>170204</v>
      </c>
      <c r="AH451" s="81">
        <v>135628</v>
      </c>
      <c r="AI451" s="81">
        <v>56232</v>
      </c>
      <c r="AJ451" s="81"/>
      <c r="AK451" s="81" t="s">
        <v>10289</v>
      </c>
      <c r="AL451" s="81" t="s">
        <v>10975</v>
      </c>
      <c r="AM451" s="84" t="str">
        <f>HYPERLINK("https://t.co/HT1ZkfAIuR")</f>
        <v>https://t.co/HT1ZkfAIuR</v>
      </c>
      <c r="AN451" s="81"/>
      <c r="AO451" s="83">
        <v>40780.788310185184</v>
      </c>
      <c r="AP451" s="84" t="str">
        <f>HYPERLINK("https://pbs.twimg.com/profile_banners/362033655/1628707808")</f>
        <v>https://pbs.twimg.com/profile_banners/362033655/1628707808</v>
      </c>
      <c r="AQ451" s="81" t="b">
        <v>0</v>
      </c>
      <c r="AR451" s="81" t="b">
        <v>0</v>
      </c>
      <c r="AS451" s="81" t="b">
        <v>0</v>
      </c>
      <c r="AT451" s="81"/>
      <c r="AU451" s="81">
        <v>894</v>
      </c>
      <c r="AV451" s="84" t="str">
        <f>HYPERLINK("https://abs.twimg.com/images/themes/theme1/bg.png")</f>
        <v>https://abs.twimg.com/images/themes/theme1/bg.png</v>
      </c>
      <c r="AW451" s="81" t="b">
        <v>1</v>
      </c>
      <c r="AX451" s="81" t="s">
        <v>3728</v>
      </c>
      <c r="AY451" s="84" t="str">
        <f>HYPERLINK("https://twitter.com/jornalismowando")</f>
        <v>https://twitter.com/jornalismowando</v>
      </c>
      <c r="AZ451" s="81" t="s">
        <v>65</v>
      </c>
      <c r="BA451" s="2"/>
      <c r="BB451" s="3"/>
      <c r="BC451" s="3"/>
      <c r="BD451" s="3"/>
      <c r="BE451" s="3"/>
    </row>
    <row r="452" spans="1:57" x14ac:dyDescent="0.35">
      <c r="A452" s="66" t="s">
        <v>5044</v>
      </c>
      <c r="B452" s="67"/>
      <c r="C452" s="67"/>
      <c r="D452" s="68"/>
      <c r="E452" s="94"/>
      <c r="F452" s="93" t="str">
        <f>HYPERLINK("https://pbs.twimg.com/profile_images/1405680338949611527/pjXTNsP2_normal.jpg")</f>
        <v>https://pbs.twimg.com/profile_images/1405680338949611527/pjXTNsP2_normal.jpg</v>
      </c>
      <c r="G452" s="95"/>
      <c r="H452" s="71"/>
      <c r="I452" s="72"/>
      <c r="J452" s="96"/>
      <c r="K452" s="71" t="s">
        <v>11659</v>
      </c>
      <c r="L452" s="97"/>
      <c r="M452" s="76"/>
      <c r="N452" s="76"/>
      <c r="O452" s="77"/>
      <c r="P452" s="78"/>
      <c r="Q452" s="78"/>
      <c r="R452" s="92"/>
      <c r="S452" s="92"/>
      <c r="T452" s="92"/>
      <c r="U452" s="92"/>
      <c r="V452" s="52"/>
      <c r="W452" s="52"/>
      <c r="X452" s="52"/>
      <c r="Y452" s="52"/>
      <c r="Z452" s="51"/>
      <c r="AA452" s="73"/>
      <c r="AB452" s="73"/>
      <c r="AC452" s="74"/>
      <c r="AD452" s="81" t="s">
        <v>8291</v>
      </c>
      <c r="AE452" s="86" t="s">
        <v>9327</v>
      </c>
      <c r="AF452" s="81">
        <v>1090</v>
      </c>
      <c r="AG452" s="81">
        <v>284</v>
      </c>
      <c r="AH452" s="81">
        <v>2387</v>
      </c>
      <c r="AI452" s="81">
        <v>2591</v>
      </c>
      <c r="AJ452" s="81"/>
      <c r="AK452" s="81"/>
      <c r="AL452" s="81"/>
      <c r="AM452" s="81"/>
      <c r="AN452" s="81"/>
      <c r="AO452" s="83">
        <v>44364.851238425923</v>
      </c>
      <c r="AP452" s="81"/>
      <c r="AQ452" s="81" t="b">
        <v>1</v>
      </c>
      <c r="AR452" s="81" t="b">
        <v>0</v>
      </c>
      <c r="AS452" s="81" t="b">
        <v>0</v>
      </c>
      <c r="AT452" s="81"/>
      <c r="AU452" s="81">
        <v>0</v>
      </c>
      <c r="AV452" s="81"/>
      <c r="AW452" s="81" t="b">
        <v>0</v>
      </c>
      <c r="AX452" s="81" t="s">
        <v>3728</v>
      </c>
      <c r="AY452" s="84" t="str">
        <f>HYPERLINK("https://twitter.com/adisabomani")</f>
        <v>https://twitter.com/adisabomani</v>
      </c>
      <c r="AZ452" s="81" t="s">
        <v>65</v>
      </c>
      <c r="BA452" s="2"/>
      <c r="BB452" s="3"/>
      <c r="BC452" s="3"/>
      <c r="BD452" s="3"/>
      <c r="BE452" s="3"/>
    </row>
    <row r="453" spans="1:57" x14ac:dyDescent="0.35">
      <c r="A453" s="66" t="s">
        <v>5045</v>
      </c>
      <c r="B453" s="67"/>
      <c r="C453" s="67"/>
      <c r="D453" s="68"/>
      <c r="E453" s="94"/>
      <c r="F453" s="93" t="str">
        <f>HYPERLINK("https://pbs.twimg.com/profile_images/1401382991339962372/jJROyMQ__normal.jpg")</f>
        <v>https://pbs.twimg.com/profile_images/1401382991339962372/jJROyMQ__normal.jpg</v>
      </c>
      <c r="G453" s="95"/>
      <c r="H453" s="71"/>
      <c r="I453" s="72"/>
      <c r="J453" s="96"/>
      <c r="K453" s="71" t="s">
        <v>11660</v>
      </c>
      <c r="L453" s="97"/>
      <c r="M453" s="76"/>
      <c r="N453" s="76"/>
      <c r="O453" s="77"/>
      <c r="P453" s="78"/>
      <c r="Q453" s="78"/>
      <c r="R453" s="92"/>
      <c r="S453" s="92"/>
      <c r="T453" s="92"/>
      <c r="U453" s="92"/>
      <c r="V453" s="52"/>
      <c r="W453" s="52"/>
      <c r="X453" s="52"/>
      <c r="Y453" s="52"/>
      <c r="Z453" s="51"/>
      <c r="AA453" s="73"/>
      <c r="AB453" s="73"/>
      <c r="AC453" s="74"/>
      <c r="AD453" s="81" t="s">
        <v>8292</v>
      </c>
      <c r="AE453" s="86" t="s">
        <v>9328</v>
      </c>
      <c r="AF453" s="81">
        <v>690</v>
      </c>
      <c r="AG453" s="81">
        <v>510</v>
      </c>
      <c r="AH453" s="81">
        <v>19439</v>
      </c>
      <c r="AI453" s="81">
        <v>109627</v>
      </c>
      <c r="AJ453" s="81"/>
      <c r="AK453" s="81" t="s">
        <v>10290</v>
      </c>
      <c r="AL453" s="81"/>
      <c r="AM453" s="81"/>
      <c r="AN453" s="81"/>
      <c r="AO453" s="83">
        <v>41329.972442129627</v>
      </c>
      <c r="AP453" s="84" t="str">
        <f>HYPERLINK("https://pbs.twimg.com/profile_banners/1216793539/1623602591")</f>
        <v>https://pbs.twimg.com/profile_banners/1216793539/1623602591</v>
      </c>
      <c r="AQ453" s="81" t="b">
        <v>0</v>
      </c>
      <c r="AR453" s="81" t="b">
        <v>0</v>
      </c>
      <c r="AS453" s="81" t="b">
        <v>0</v>
      </c>
      <c r="AT453" s="81"/>
      <c r="AU453" s="81">
        <v>3</v>
      </c>
      <c r="AV453" s="84" t="str">
        <f>HYPERLINK("https://abs.twimg.com/images/themes/theme1/bg.png")</f>
        <v>https://abs.twimg.com/images/themes/theme1/bg.png</v>
      </c>
      <c r="AW453" s="81" t="b">
        <v>0</v>
      </c>
      <c r="AX453" s="81" t="s">
        <v>3728</v>
      </c>
      <c r="AY453" s="84" t="str">
        <f>HYPERLINK("https://twitter.com/dark_dan01")</f>
        <v>https://twitter.com/dark_dan01</v>
      </c>
      <c r="AZ453" s="81" t="s">
        <v>65</v>
      </c>
      <c r="BA453" s="2"/>
      <c r="BB453" s="3"/>
      <c r="BC453" s="3"/>
      <c r="BD453" s="3"/>
      <c r="BE453" s="3"/>
    </row>
    <row r="454" spans="1:57" x14ac:dyDescent="0.35">
      <c r="A454" s="66" t="s">
        <v>5046</v>
      </c>
      <c r="B454" s="67"/>
      <c r="C454" s="67"/>
      <c r="D454" s="68"/>
      <c r="E454" s="94"/>
      <c r="F454" s="93" t="str">
        <f>HYPERLINK("https://pbs.twimg.com/profile_images/1154946873393844224/NFy5n0FG_normal.jpg")</f>
        <v>https://pbs.twimg.com/profile_images/1154946873393844224/NFy5n0FG_normal.jpg</v>
      </c>
      <c r="G454" s="95"/>
      <c r="H454" s="71"/>
      <c r="I454" s="72"/>
      <c r="J454" s="96"/>
      <c r="K454" s="71" t="s">
        <v>11661</v>
      </c>
      <c r="L454" s="97"/>
      <c r="M454" s="76"/>
      <c r="N454" s="76"/>
      <c r="O454" s="77"/>
      <c r="P454" s="78"/>
      <c r="Q454" s="78"/>
      <c r="R454" s="92"/>
      <c r="S454" s="92"/>
      <c r="T454" s="92"/>
      <c r="U454" s="92"/>
      <c r="V454" s="52"/>
      <c r="W454" s="52"/>
      <c r="X454" s="52"/>
      <c r="Y454" s="52"/>
      <c r="Z454" s="51"/>
      <c r="AA454" s="73"/>
      <c r="AB454" s="73"/>
      <c r="AC454" s="74"/>
      <c r="AD454" s="81" t="s">
        <v>8293</v>
      </c>
      <c r="AE454" s="86" t="s">
        <v>7835</v>
      </c>
      <c r="AF454" s="81">
        <v>882</v>
      </c>
      <c r="AG454" s="81">
        <v>459</v>
      </c>
      <c r="AH454" s="81">
        <v>10301</v>
      </c>
      <c r="AI454" s="81">
        <v>17768</v>
      </c>
      <c r="AJ454" s="81"/>
      <c r="AK454" s="81" t="s">
        <v>10291</v>
      </c>
      <c r="AL454" s="81"/>
      <c r="AM454" s="81"/>
      <c r="AN454" s="81"/>
      <c r="AO454" s="83">
        <v>40036.57240740741</v>
      </c>
      <c r="AP454" s="84" t="str">
        <f>HYPERLINK("https://pbs.twimg.com/profile_banners/64716630/1588017096")</f>
        <v>https://pbs.twimg.com/profile_banners/64716630/1588017096</v>
      </c>
      <c r="AQ454" s="81" t="b">
        <v>0</v>
      </c>
      <c r="AR454" s="81" t="b">
        <v>0</v>
      </c>
      <c r="AS454" s="81" t="b">
        <v>1</v>
      </c>
      <c r="AT454" s="81"/>
      <c r="AU454" s="81">
        <v>7</v>
      </c>
      <c r="AV454" s="84" t="str">
        <f>HYPERLINK("https://abs.twimg.com/images/themes/theme1/bg.png")</f>
        <v>https://abs.twimg.com/images/themes/theme1/bg.png</v>
      </c>
      <c r="AW454" s="81" t="b">
        <v>0</v>
      </c>
      <c r="AX454" s="81" t="s">
        <v>3728</v>
      </c>
      <c r="AY454" s="84" t="str">
        <f>HYPERLINK("https://twitter.com/jadircorrea")</f>
        <v>https://twitter.com/jadircorrea</v>
      </c>
      <c r="AZ454" s="81" t="s">
        <v>65</v>
      </c>
      <c r="BA454" s="2"/>
      <c r="BB454" s="3"/>
      <c r="BC454" s="3"/>
      <c r="BD454" s="3"/>
      <c r="BE454" s="3"/>
    </row>
    <row r="455" spans="1:57" x14ac:dyDescent="0.35">
      <c r="A455" s="66" t="s">
        <v>372</v>
      </c>
      <c r="B455" s="67"/>
      <c r="C455" s="67"/>
      <c r="D455" s="68"/>
      <c r="E455" s="94"/>
      <c r="F455" s="93" t="str">
        <f>HYPERLINK("https://pbs.twimg.com/profile_images/1423353275177312256/vHyIXVDy_normal.jpg")</f>
        <v>https://pbs.twimg.com/profile_images/1423353275177312256/vHyIXVDy_normal.jpg</v>
      </c>
      <c r="G455" s="95"/>
      <c r="H455" s="71"/>
      <c r="I455" s="72"/>
      <c r="J455" s="96"/>
      <c r="K455" s="71" t="s">
        <v>3912</v>
      </c>
      <c r="L455" s="97"/>
      <c r="M455" s="76"/>
      <c r="N455" s="76"/>
      <c r="O455" s="77"/>
      <c r="P455" s="78"/>
      <c r="Q455" s="78"/>
      <c r="R455" s="92"/>
      <c r="S455" s="92"/>
      <c r="T455" s="92"/>
      <c r="U455" s="92"/>
      <c r="V455" s="52"/>
      <c r="W455" s="52"/>
      <c r="X455" s="52"/>
      <c r="Y455" s="52"/>
      <c r="Z455" s="51"/>
      <c r="AA455" s="73"/>
      <c r="AB455" s="73"/>
      <c r="AC455" s="74"/>
      <c r="AD455" s="81" t="s">
        <v>2426</v>
      </c>
      <c r="AE455" s="86" t="s">
        <v>2852</v>
      </c>
      <c r="AF455" s="81">
        <v>763</v>
      </c>
      <c r="AG455" s="81">
        <v>655</v>
      </c>
      <c r="AH455" s="81">
        <v>5134</v>
      </c>
      <c r="AI455" s="81">
        <v>10723</v>
      </c>
      <c r="AJ455" s="81"/>
      <c r="AK455" s="81" t="s">
        <v>3258</v>
      </c>
      <c r="AL455" s="81" t="s">
        <v>3615</v>
      </c>
      <c r="AM455" s="81"/>
      <c r="AN455" s="81"/>
      <c r="AO455" s="83">
        <v>43917.594826388886</v>
      </c>
      <c r="AP455" s="84" t="str">
        <f>HYPERLINK("https://pbs.twimg.com/profile_banners/1243542351940849666/1628188840")</f>
        <v>https://pbs.twimg.com/profile_banners/1243542351940849666/1628188840</v>
      </c>
      <c r="AQ455" s="81" t="b">
        <v>1</v>
      </c>
      <c r="AR455" s="81" t="b">
        <v>0</v>
      </c>
      <c r="AS455" s="81" t="b">
        <v>1</v>
      </c>
      <c r="AT455" s="81"/>
      <c r="AU455" s="81">
        <v>1</v>
      </c>
      <c r="AV455" s="81"/>
      <c r="AW455" s="81" t="b">
        <v>0</v>
      </c>
      <c r="AX455" s="81" t="s">
        <v>3728</v>
      </c>
      <c r="AY455" s="84" t="str">
        <f>HYPERLINK("https://twitter.com/hoonqhwadxjj")</f>
        <v>https://twitter.com/hoonqhwadxjj</v>
      </c>
      <c r="AZ455" s="81" t="s">
        <v>66</v>
      </c>
      <c r="BA455" s="2"/>
      <c r="BB455" s="3"/>
      <c r="BC455" s="3"/>
      <c r="BD455" s="3"/>
      <c r="BE455" s="3"/>
    </row>
    <row r="456" spans="1:57" x14ac:dyDescent="0.35">
      <c r="A456" s="66" t="s">
        <v>4357</v>
      </c>
      <c r="B456" s="67"/>
      <c r="C456" s="67"/>
      <c r="D456" s="68"/>
      <c r="E456" s="94"/>
      <c r="F456" s="93" t="str">
        <f>HYPERLINK("https://pbs.twimg.com/profile_images/1433581849675173897/ZtxTxyI9_normal.jpg")</f>
        <v>https://pbs.twimg.com/profile_images/1433581849675173897/ZtxTxyI9_normal.jpg</v>
      </c>
      <c r="G456" s="95"/>
      <c r="H456" s="71"/>
      <c r="I456" s="72"/>
      <c r="J456" s="96"/>
      <c r="K456" s="71" t="s">
        <v>11662</v>
      </c>
      <c r="L456" s="97"/>
      <c r="M456" s="76"/>
      <c r="N456" s="76"/>
      <c r="O456" s="77"/>
      <c r="P456" s="78"/>
      <c r="Q456" s="78"/>
      <c r="R456" s="92"/>
      <c r="S456" s="92"/>
      <c r="T456" s="92"/>
      <c r="U456" s="92"/>
      <c r="V456" s="52"/>
      <c r="W456" s="52"/>
      <c r="X456" s="52"/>
      <c r="Y456" s="52"/>
      <c r="Z456" s="51"/>
      <c r="AA456" s="73"/>
      <c r="AB456" s="73"/>
      <c r="AC456" s="74"/>
      <c r="AD456" s="81" t="s">
        <v>8294</v>
      </c>
      <c r="AE456" s="86" t="s">
        <v>9329</v>
      </c>
      <c r="AF456" s="81">
        <v>3234</v>
      </c>
      <c r="AG456" s="81">
        <v>1647</v>
      </c>
      <c r="AH456" s="81">
        <v>1702</v>
      </c>
      <c r="AI456" s="81">
        <v>1432</v>
      </c>
      <c r="AJ456" s="81"/>
      <c r="AK456" s="81" t="s">
        <v>10292</v>
      </c>
      <c r="AL456" s="81" t="s">
        <v>11101</v>
      </c>
      <c r="AM456" s="81"/>
      <c r="AN456" s="81"/>
      <c r="AO456" s="83">
        <v>43842.668877314813</v>
      </c>
      <c r="AP456" s="81"/>
      <c r="AQ456" s="81" t="b">
        <v>1</v>
      </c>
      <c r="AR456" s="81" t="b">
        <v>0</v>
      </c>
      <c r="AS456" s="81" t="b">
        <v>0</v>
      </c>
      <c r="AT456" s="81"/>
      <c r="AU456" s="81">
        <v>0</v>
      </c>
      <c r="AV456" s="81"/>
      <c r="AW456" s="81" t="b">
        <v>0</v>
      </c>
      <c r="AX456" s="81" t="s">
        <v>3728</v>
      </c>
      <c r="AY456" s="84" t="str">
        <f>HYPERLINK("https://twitter.com/orlando29389818")</f>
        <v>https://twitter.com/orlando29389818</v>
      </c>
      <c r="AZ456" s="81" t="s">
        <v>66</v>
      </c>
      <c r="BA456" s="2"/>
      <c r="BB456" s="3"/>
      <c r="BC456" s="3"/>
      <c r="BD456" s="3"/>
      <c r="BE456" s="3"/>
    </row>
    <row r="457" spans="1:57" x14ac:dyDescent="0.35">
      <c r="A457" s="66" t="s">
        <v>582</v>
      </c>
      <c r="B457" s="67"/>
      <c r="C457" s="67"/>
      <c r="D457" s="68"/>
      <c r="E457" s="94"/>
      <c r="F457" s="93" t="str">
        <f>HYPERLINK("https://pbs.twimg.com/profile_images/1045532153419685888/tI5IrzoY_normal.jpg")</f>
        <v>https://pbs.twimg.com/profile_images/1045532153419685888/tI5IrzoY_normal.jpg</v>
      </c>
      <c r="G457" s="95"/>
      <c r="H457" s="71"/>
      <c r="I457" s="72"/>
      <c r="J457" s="96"/>
      <c r="K457" s="71" t="s">
        <v>11663</v>
      </c>
      <c r="L457" s="97"/>
      <c r="M457" s="76"/>
      <c r="N457" s="76"/>
      <c r="O457" s="77"/>
      <c r="P457" s="78"/>
      <c r="Q457" s="78"/>
      <c r="R457" s="92"/>
      <c r="S457" s="92"/>
      <c r="T457" s="92"/>
      <c r="U457" s="92"/>
      <c r="V457" s="52"/>
      <c r="W457" s="52"/>
      <c r="X457" s="52"/>
      <c r="Y457" s="52"/>
      <c r="Z457" s="51"/>
      <c r="AA457" s="73"/>
      <c r="AB457" s="73"/>
      <c r="AC457" s="74"/>
      <c r="AD457" s="81" t="s">
        <v>2457</v>
      </c>
      <c r="AE457" s="86" t="s">
        <v>3064</v>
      </c>
      <c r="AF457" s="81">
        <v>50</v>
      </c>
      <c r="AG457" s="81">
        <v>6428</v>
      </c>
      <c r="AH457" s="81">
        <v>9055</v>
      </c>
      <c r="AI457" s="81">
        <v>63</v>
      </c>
      <c r="AJ457" s="81"/>
      <c r="AK457" s="81" t="s">
        <v>3490</v>
      </c>
      <c r="AL457" s="81" t="s">
        <v>2202</v>
      </c>
      <c r="AM457" s="84" t="str">
        <f>HYPERLINK("https://t.co/QifpQfWrKs")</f>
        <v>https://t.co/QifpQfWrKs</v>
      </c>
      <c r="AN457" s="81"/>
      <c r="AO457" s="83">
        <v>41872.933506944442</v>
      </c>
      <c r="AP457" s="84" t="str">
        <f>HYPERLINK("https://pbs.twimg.com/profile_banners/2753228456/1533602801")</f>
        <v>https://pbs.twimg.com/profile_banners/2753228456/1533602801</v>
      </c>
      <c r="AQ457" s="81" t="b">
        <v>0</v>
      </c>
      <c r="AR457" s="81" t="b">
        <v>0</v>
      </c>
      <c r="AS457" s="81" t="b">
        <v>1</v>
      </c>
      <c r="AT457" s="81"/>
      <c r="AU457" s="81">
        <v>16</v>
      </c>
      <c r="AV457" s="84" t="str">
        <f>HYPERLINK("https://abs.twimg.com/images/themes/theme1/bg.png")</f>
        <v>https://abs.twimg.com/images/themes/theme1/bg.png</v>
      </c>
      <c r="AW457" s="81" t="b">
        <v>0</v>
      </c>
      <c r="AX457" s="81" t="s">
        <v>3728</v>
      </c>
      <c r="AY457" s="84" t="str">
        <f>HYPERLINK("https://twitter.com/openkerja")</f>
        <v>https://twitter.com/openkerja</v>
      </c>
      <c r="AZ457" s="81" t="s">
        <v>66</v>
      </c>
      <c r="BA457" s="2"/>
      <c r="BB457" s="3"/>
      <c r="BC457" s="3"/>
      <c r="BD457" s="3"/>
      <c r="BE457" s="3"/>
    </row>
    <row r="458" spans="1:57" x14ac:dyDescent="0.35">
      <c r="A458" s="66" t="s">
        <v>4358</v>
      </c>
      <c r="B458" s="67"/>
      <c r="C458" s="67"/>
      <c r="D458" s="68"/>
      <c r="E458" s="94"/>
      <c r="F458" s="93" t="str">
        <f>HYPERLINK("https://pbs.twimg.com/profile_images/1130000854788976640/I1q8kSda_normal.jpg")</f>
        <v>https://pbs.twimg.com/profile_images/1130000854788976640/I1q8kSda_normal.jpg</v>
      </c>
      <c r="G458" s="95"/>
      <c r="H458" s="71"/>
      <c r="I458" s="72"/>
      <c r="J458" s="96"/>
      <c r="K458" s="71" t="s">
        <v>11664</v>
      </c>
      <c r="L458" s="97"/>
      <c r="M458" s="76"/>
      <c r="N458" s="76"/>
      <c r="O458" s="77"/>
      <c r="P458" s="78"/>
      <c r="Q458" s="78"/>
      <c r="R458" s="92"/>
      <c r="S458" s="92"/>
      <c r="T458" s="92"/>
      <c r="U458" s="92"/>
      <c r="V458" s="52"/>
      <c r="W458" s="52"/>
      <c r="X458" s="52"/>
      <c r="Y458" s="52"/>
      <c r="Z458" s="51"/>
      <c r="AA458" s="73"/>
      <c r="AB458" s="73"/>
      <c r="AC458" s="74"/>
      <c r="AD458" s="81" t="s">
        <v>8295</v>
      </c>
      <c r="AE458" s="86" t="s">
        <v>9330</v>
      </c>
      <c r="AF458" s="81">
        <v>46</v>
      </c>
      <c r="AG458" s="81">
        <v>27</v>
      </c>
      <c r="AH458" s="81">
        <v>1344</v>
      </c>
      <c r="AI458" s="81">
        <v>1980</v>
      </c>
      <c r="AJ458" s="81"/>
      <c r="AK458" s="81"/>
      <c r="AL458" s="81" t="s">
        <v>3576</v>
      </c>
      <c r="AM458" s="81"/>
      <c r="AN458" s="81"/>
      <c r="AO458" s="83">
        <v>41269.184074074074</v>
      </c>
      <c r="AP458" s="84" t="str">
        <f>HYPERLINK("https://pbs.twimg.com/profile_banners/1036296841/1620312439")</f>
        <v>https://pbs.twimg.com/profile_banners/1036296841/1620312439</v>
      </c>
      <c r="AQ458" s="81" t="b">
        <v>1</v>
      </c>
      <c r="AR458" s="81" t="b">
        <v>0</v>
      </c>
      <c r="AS458" s="81" t="b">
        <v>1</v>
      </c>
      <c r="AT458" s="81"/>
      <c r="AU458" s="81">
        <v>0</v>
      </c>
      <c r="AV458" s="84" t="str">
        <f>HYPERLINK("https://abs.twimg.com/images/themes/theme1/bg.png")</f>
        <v>https://abs.twimg.com/images/themes/theme1/bg.png</v>
      </c>
      <c r="AW458" s="81" t="b">
        <v>0</v>
      </c>
      <c r="AX458" s="81" t="s">
        <v>3728</v>
      </c>
      <c r="AY458" s="84" t="str">
        <f>HYPERLINK("https://twitter.com/radityoarifn")</f>
        <v>https://twitter.com/radityoarifn</v>
      </c>
      <c r="AZ458" s="81" t="s">
        <v>66</v>
      </c>
      <c r="BA458" s="2"/>
      <c r="BB458" s="3"/>
      <c r="BC458" s="3"/>
      <c r="BD458" s="3"/>
      <c r="BE458" s="3"/>
    </row>
    <row r="459" spans="1:57" x14ac:dyDescent="0.35">
      <c r="A459" s="66" t="s">
        <v>5047</v>
      </c>
      <c r="B459" s="67"/>
      <c r="C459" s="67"/>
      <c r="D459" s="68"/>
      <c r="E459" s="94"/>
      <c r="F459" s="93" t="str">
        <f>HYPERLINK("https://pbs.twimg.com/profile_images/1433781269616156677/7xtR6xkL_normal.jpg")</f>
        <v>https://pbs.twimg.com/profile_images/1433781269616156677/7xtR6xkL_normal.jpg</v>
      </c>
      <c r="G459" s="95"/>
      <c r="H459" s="71"/>
      <c r="I459" s="72"/>
      <c r="J459" s="96"/>
      <c r="K459" s="71" t="s">
        <v>11665</v>
      </c>
      <c r="L459" s="97"/>
      <c r="M459" s="76"/>
      <c r="N459" s="76"/>
      <c r="O459" s="77"/>
      <c r="P459" s="78"/>
      <c r="Q459" s="78"/>
      <c r="R459" s="92"/>
      <c r="S459" s="92"/>
      <c r="T459" s="92"/>
      <c r="U459" s="92"/>
      <c r="V459" s="52"/>
      <c r="W459" s="52"/>
      <c r="X459" s="52"/>
      <c r="Y459" s="52"/>
      <c r="Z459" s="51"/>
      <c r="AA459" s="73"/>
      <c r="AB459" s="73"/>
      <c r="AC459" s="74"/>
      <c r="AD459" s="81" t="s">
        <v>8296</v>
      </c>
      <c r="AE459" s="86" t="s">
        <v>7836</v>
      </c>
      <c r="AF459" s="81">
        <v>679</v>
      </c>
      <c r="AG459" s="81">
        <v>4042636</v>
      </c>
      <c r="AH459" s="81">
        <v>1541136</v>
      </c>
      <c r="AI459" s="81">
        <v>7070</v>
      </c>
      <c r="AJ459" s="81"/>
      <c r="AK459" s="81" t="s">
        <v>10293</v>
      </c>
      <c r="AL459" s="81" t="s">
        <v>3667</v>
      </c>
      <c r="AM459" s="84" t="str">
        <f>HYPERLINK("https://t.co/ABKy73jpCv")</f>
        <v>https://t.co/ABKy73jpCv</v>
      </c>
      <c r="AN459" s="81"/>
      <c r="AO459" s="83">
        <v>39980.450277777774</v>
      </c>
      <c r="AP459" s="84" t="str">
        <f>HYPERLINK("https://pbs.twimg.com/profile_banners/47596019/1632544525")</f>
        <v>https://pbs.twimg.com/profile_banners/47596019/1632544525</v>
      </c>
      <c r="AQ459" s="81" t="b">
        <v>0</v>
      </c>
      <c r="AR459" s="81" t="b">
        <v>0</v>
      </c>
      <c r="AS459" s="81" t="b">
        <v>1</v>
      </c>
      <c r="AT459" s="81"/>
      <c r="AU459" s="81">
        <v>4899</v>
      </c>
      <c r="AV459" s="84" t="str">
        <f>HYPERLINK("https://abs.twimg.com/images/themes/theme16/bg.gif")</f>
        <v>https://abs.twimg.com/images/themes/theme16/bg.gif</v>
      </c>
      <c r="AW459" s="81" t="b">
        <v>1</v>
      </c>
      <c r="AX459" s="81" t="s">
        <v>3728</v>
      </c>
      <c r="AY459" s="84" t="str">
        <f>HYPERLINK("https://twitter.com/liputan6dotcom")</f>
        <v>https://twitter.com/liputan6dotcom</v>
      </c>
      <c r="AZ459" s="81" t="s">
        <v>65</v>
      </c>
      <c r="BA459" s="2"/>
      <c r="BB459" s="3"/>
      <c r="BC459" s="3"/>
      <c r="BD459" s="3"/>
      <c r="BE459" s="3"/>
    </row>
    <row r="460" spans="1:57" x14ac:dyDescent="0.35">
      <c r="A460" s="66" t="s">
        <v>4359</v>
      </c>
      <c r="B460" s="67"/>
      <c r="C460" s="67"/>
      <c r="D460" s="68"/>
      <c r="E460" s="94"/>
      <c r="F460" s="93" t="str">
        <f>HYPERLINK("https://pbs.twimg.com/profile_images/769361009886629889/K6H8rkN0_normal.jpg")</f>
        <v>https://pbs.twimg.com/profile_images/769361009886629889/K6H8rkN0_normal.jpg</v>
      </c>
      <c r="G460" s="95"/>
      <c r="H460" s="71"/>
      <c r="I460" s="72"/>
      <c r="J460" s="96"/>
      <c r="K460" s="71" t="s">
        <v>11666</v>
      </c>
      <c r="L460" s="97"/>
      <c r="M460" s="76"/>
      <c r="N460" s="76"/>
      <c r="O460" s="77"/>
      <c r="P460" s="78"/>
      <c r="Q460" s="78"/>
      <c r="R460" s="92"/>
      <c r="S460" s="92"/>
      <c r="T460" s="92"/>
      <c r="U460" s="92"/>
      <c r="V460" s="52"/>
      <c r="W460" s="52"/>
      <c r="X460" s="52"/>
      <c r="Y460" s="52"/>
      <c r="Z460" s="51"/>
      <c r="AA460" s="73"/>
      <c r="AB460" s="73"/>
      <c r="AC460" s="74"/>
      <c r="AD460" s="81" t="s">
        <v>8297</v>
      </c>
      <c r="AE460" s="86" t="s">
        <v>9331</v>
      </c>
      <c r="AF460" s="81">
        <v>1631</v>
      </c>
      <c r="AG460" s="81">
        <v>203</v>
      </c>
      <c r="AH460" s="81">
        <v>9848</v>
      </c>
      <c r="AI460" s="81">
        <v>27529</v>
      </c>
      <c r="AJ460" s="81"/>
      <c r="AK460" s="81" t="s">
        <v>10294</v>
      </c>
      <c r="AL460" s="81" t="s">
        <v>11102</v>
      </c>
      <c r="AM460" s="81"/>
      <c r="AN460" s="81"/>
      <c r="AO460" s="83">
        <v>40244.154803240737</v>
      </c>
      <c r="AP460" s="81"/>
      <c r="AQ460" s="81" t="b">
        <v>1</v>
      </c>
      <c r="AR460" s="81" t="b">
        <v>0</v>
      </c>
      <c r="AS460" s="81" t="b">
        <v>0</v>
      </c>
      <c r="AT460" s="81"/>
      <c r="AU460" s="81">
        <v>3</v>
      </c>
      <c r="AV460" s="84" t="str">
        <f>HYPERLINK("https://abs.twimg.com/images/themes/theme1/bg.png")</f>
        <v>https://abs.twimg.com/images/themes/theme1/bg.png</v>
      </c>
      <c r="AW460" s="81" t="b">
        <v>0</v>
      </c>
      <c r="AX460" s="81" t="s">
        <v>3728</v>
      </c>
      <c r="AY460" s="84" t="str">
        <f>HYPERLINK("https://twitter.com/averagepm")</f>
        <v>https://twitter.com/averagepm</v>
      </c>
      <c r="AZ460" s="81" t="s">
        <v>66</v>
      </c>
      <c r="BA460" s="2"/>
      <c r="BB460" s="3"/>
      <c r="BC460" s="3"/>
      <c r="BD460" s="3"/>
      <c r="BE460" s="3"/>
    </row>
    <row r="461" spans="1:57" x14ac:dyDescent="0.35">
      <c r="A461" s="66" t="s">
        <v>2171</v>
      </c>
      <c r="B461" s="67"/>
      <c r="C461" s="67"/>
      <c r="D461" s="68"/>
      <c r="E461" s="94"/>
      <c r="F461" s="93" t="str">
        <f>HYPERLINK("https://pbs.twimg.com/profile_images/1111450494134710272/z04ukiat_normal.jpg")</f>
        <v>https://pbs.twimg.com/profile_images/1111450494134710272/z04ukiat_normal.jpg</v>
      </c>
      <c r="G461" s="95"/>
      <c r="H461" s="71"/>
      <c r="I461" s="72"/>
      <c r="J461" s="96"/>
      <c r="K461" s="71" t="s">
        <v>11393</v>
      </c>
      <c r="L461" s="97"/>
      <c r="M461" s="76"/>
      <c r="N461" s="76"/>
      <c r="O461" s="77"/>
      <c r="P461" s="78"/>
      <c r="Q461" s="78"/>
      <c r="R461" s="92"/>
      <c r="S461" s="92"/>
      <c r="T461" s="92"/>
      <c r="U461" s="92"/>
      <c r="V461" s="52"/>
      <c r="W461" s="52"/>
      <c r="X461" s="52"/>
      <c r="Y461" s="52"/>
      <c r="Z461" s="51"/>
      <c r="AA461" s="73"/>
      <c r="AB461" s="73"/>
      <c r="AC461" s="74"/>
      <c r="AD461" s="81" t="s">
        <v>8027</v>
      </c>
      <c r="AE461" s="86" t="s">
        <v>7837</v>
      </c>
      <c r="AF461" s="81">
        <v>1899</v>
      </c>
      <c r="AG461" s="81">
        <v>21247</v>
      </c>
      <c r="AH461" s="81">
        <v>33832</v>
      </c>
      <c r="AI461" s="81">
        <v>68308</v>
      </c>
      <c r="AJ461" s="81"/>
      <c r="AK461" s="81" t="s">
        <v>10054</v>
      </c>
      <c r="AL461" s="81" t="s">
        <v>10974</v>
      </c>
      <c r="AM461" s="81"/>
      <c r="AN461" s="81"/>
      <c r="AO461" s="83">
        <v>39376.076979166668</v>
      </c>
      <c r="AP461" s="84" t="str">
        <f>HYPERLINK("https://pbs.twimg.com/profile_banners/9571702/1384924696")</f>
        <v>https://pbs.twimg.com/profile_banners/9571702/1384924696</v>
      </c>
      <c r="AQ461" s="81" t="b">
        <v>0</v>
      </c>
      <c r="AR461" s="81" t="b">
        <v>0</v>
      </c>
      <c r="AS461" s="81" t="b">
        <v>1</v>
      </c>
      <c r="AT461" s="81"/>
      <c r="AU461" s="81">
        <v>682</v>
      </c>
      <c r="AV461" s="84" t="str">
        <f>HYPERLINK("https://abs.twimg.com/images/themes/theme1/bg.png")</f>
        <v>https://abs.twimg.com/images/themes/theme1/bg.png</v>
      </c>
      <c r="AW461" s="81" t="b">
        <v>0</v>
      </c>
      <c r="AX461" s="81" t="s">
        <v>3728</v>
      </c>
      <c r="AY461" s="84" t="str">
        <f>HYPERLINK("https://twitter.com/pt")</f>
        <v>https://twitter.com/pt</v>
      </c>
      <c r="AZ461" s="81" t="s">
        <v>65</v>
      </c>
      <c r="BA461" s="2"/>
      <c r="BB461" s="3"/>
      <c r="BC461" s="3"/>
      <c r="BD461" s="3"/>
      <c r="BE461" s="3"/>
    </row>
    <row r="462" spans="1:57" x14ac:dyDescent="0.35">
      <c r="A462" s="66" t="s">
        <v>373</v>
      </c>
      <c r="B462" s="67"/>
      <c r="C462" s="67"/>
      <c r="D462" s="68"/>
      <c r="E462" s="94"/>
      <c r="F462" s="93" t="str">
        <f>HYPERLINK("https://pbs.twimg.com/profile_images/378800000712005095/544fa235b799e7d30b49a0b4193e3c30_normal.png")</f>
        <v>https://pbs.twimg.com/profile_images/378800000712005095/544fa235b799e7d30b49a0b4193e3c30_normal.png</v>
      </c>
      <c r="G462" s="95"/>
      <c r="H462" s="71"/>
      <c r="I462" s="72"/>
      <c r="J462" s="96"/>
      <c r="K462" s="71" t="s">
        <v>3914</v>
      </c>
      <c r="L462" s="97"/>
      <c r="M462" s="76"/>
      <c r="N462" s="76"/>
      <c r="O462" s="77"/>
      <c r="P462" s="78"/>
      <c r="Q462" s="78"/>
      <c r="R462" s="92"/>
      <c r="S462" s="92"/>
      <c r="T462" s="92"/>
      <c r="U462" s="92"/>
      <c r="V462" s="52"/>
      <c r="W462" s="52"/>
      <c r="X462" s="52"/>
      <c r="Y462" s="52"/>
      <c r="Z462" s="51"/>
      <c r="AA462" s="73"/>
      <c r="AB462" s="73"/>
      <c r="AC462" s="74"/>
      <c r="AD462" s="81" t="s">
        <v>2429</v>
      </c>
      <c r="AE462" s="86" t="s">
        <v>2853</v>
      </c>
      <c r="AF462" s="81">
        <v>0</v>
      </c>
      <c r="AG462" s="81">
        <v>147592</v>
      </c>
      <c r="AH462" s="81">
        <v>26359</v>
      </c>
      <c r="AI462" s="81">
        <v>22</v>
      </c>
      <c r="AJ462" s="81"/>
      <c r="AK462" s="81" t="s">
        <v>3260</v>
      </c>
      <c r="AL462" s="81" t="s">
        <v>2202</v>
      </c>
      <c r="AM462" s="84" t="str">
        <f>HYPERLINK("http://t.co/oAAtmvwYp9")</f>
        <v>http://t.co/oAAtmvwYp9</v>
      </c>
      <c r="AN462" s="81"/>
      <c r="AO462" s="83">
        <v>40046.184942129628</v>
      </c>
      <c r="AP462" s="84" t="str">
        <f>HYPERLINK("https://pbs.twimg.com/profile_banners/67523537/1452998468")</f>
        <v>https://pbs.twimg.com/profile_banners/67523537/1452998468</v>
      </c>
      <c r="AQ462" s="81" t="b">
        <v>1</v>
      </c>
      <c r="AR462" s="81" t="b">
        <v>0</v>
      </c>
      <c r="AS462" s="81" t="b">
        <v>1</v>
      </c>
      <c r="AT462" s="81"/>
      <c r="AU462" s="81">
        <v>350</v>
      </c>
      <c r="AV462" s="84" t="str">
        <f>HYPERLINK("https://abs.twimg.com/images/themes/theme1/bg.png")</f>
        <v>https://abs.twimg.com/images/themes/theme1/bg.png</v>
      </c>
      <c r="AW462" s="81" t="b">
        <v>0</v>
      </c>
      <c r="AX462" s="81" t="s">
        <v>3728</v>
      </c>
      <c r="AY462" s="84" t="str">
        <f>HYPERLINK("https://twitter.com/twitlowongan")</f>
        <v>https://twitter.com/twitlowongan</v>
      </c>
      <c r="AZ462" s="81" t="s">
        <v>66</v>
      </c>
      <c r="BA462" s="2"/>
      <c r="BB462" s="3"/>
      <c r="BC462" s="3"/>
      <c r="BD462" s="3"/>
      <c r="BE462" s="3"/>
    </row>
    <row r="463" spans="1:57" x14ac:dyDescent="0.35">
      <c r="A463" s="66" t="s">
        <v>374</v>
      </c>
      <c r="B463" s="67"/>
      <c r="C463" s="67"/>
      <c r="D463" s="68"/>
      <c r="E463" s="94"/>
      <c r="F463" s="93" t="str">
        <f>HYPERLINK("https://pbs.twimg.com/profile_images/1163465530415575040/8dgi9M-i_normal.jpg")</f>
        <v>https://pbs.twimg.com/profile_images/1163465530415575040/8dgi9M-i_normal.jpg</v>
      </c>
      <c r="G463" s="95"/>
      <c r="H463" s="71"/>
      <c r="I463" s="72"/>
      <c r="J463" s="96"/>
      <c r="K463" s="71" t="s">
        <v>3915</v>
      </c>
      <c r="L463" s="97"/>
      <c r="M463" s="76"/>
      <c r="N463" s="76"/>
      <c r="O463" s="77"/>
      <c r="P463" s="78"/>
      <c r="Q463" s="78"/>
      <c r="R463" s="92"/>
      <c r="S463" s="92"/>
      <c r="T463" s="92"/>
      <c r="U463" s="92"/>
      <c r="V463" s="52"/>
      <c r="W463" s="52"/>
      <c r="X463" s="52"/>
      <c r="Y463" s="52"/>
      <c r="Z463" s="51"/>
      <c r="AA463" s="73"/>
      <c r="AB463" s="73"/>
      <c r="AC463" s="74"/>
      <c r="AD463" s="81" t="s">
        <v>2430</v>
      </c>
      <c r="AE463" s="86" t="s">
        <v>2854</v>
      </c>
      <c r="AF463" s="81">
        <v>178</v>
      </c>
      <c r="AG463" s="81">
        <v>326</v>
      </c>
      <c r="AH463" s="81">
        <v>62270</v>
      </c>
      <c r="AI463" s="81">
        <v>603</v>
      </c>
      <c r="AJ463" s="81"/>
      <c r="AK463" s="81" t="s">
        <v>3261</v>
      </c>
      <c r="AL463" s="81" t="s">
        <v>3616</v>
      </c>
      <c r="AM463" s="84" t="str">
        <f>HYPERLINK("https://t.co/diJDaevv2Y")</f>
        <v>https://t.co/diJDaevv2Y</v>
      </c>
      <c r="AN463" s="81"/>
      <c r="AO463" s="83">
        <v>40695.75341435185</v>
      </c>
      <c r="AP463" s="84" t="str">
        <f>HYPERLINK("https://pbs.twimg.com/profile_banners/309198751/1588177644")</f>
        <v>https://pbs.twimg.com/profile_banners/309198751/1588177644</v>
      </c>
      <c r="AQ463" s="81" t="b">
        <v>0</v>
      </c>
      <c r="AR463" s="81" t="b">
        <v>0</v>
      </c>
      <c r="AS463" s="81" t="b">
        <v>1</v>
      </c>
      <c r="AT463" s="81"/>
      <c r="AU463" s="81">
        <v>7</v>
      </c>
      <c r="AV463" s="84" t="str">
        <f>HYPERLINK("https://abs.twimg.com/images/themes/theme9/bg.gif")</f>
        <v>https://abs.twimg.com/images/themes/theme9/bg.gif</v>
      </c>
      <c r="AW463" s="81" t="b">
        <v>0</v>
      </c>
      <c r="AX463" s="81" t="s">
        <v>3728</v>
      </c>
      <c r="AY463" s="84" t="str">
        <f>HYPERLINK("https://twitter.com/imanhidayat85")</f>
        <v>https://twitter.com/imanhidayat85</v>
      </c>
      <c r="AZ463" s="81" t="s">
        <v>66</v>
      </c>
      <c r="BA463" s="2"/>
      <c r="BB463" s="3"/>
      <c r="BC463" s="3"/>
      <c r="BD463" s="3"/>
      <c r="BE463" s="3"/>
    </row>
    <row r="464" spans="1:57" x14ac:dyDescent="0.35">
      <c r="A464" s="66" t="s">
        <v>375</v>
      </c>
      <c r="B464" s="67"/>
      <c r="C464" s="67"/>
      <c r="D464" s="68"/>
      <c r="E464" s="94"/>
      <c r="F464" s="93" t="str">
        <f>HYPERLINK("https://pbs.twimg.com/profile_images/1346376911560196096/kk3Dkgda_normal.jpg")</f>
        <v>https://pbs.twimg.com/profile_images/1346376911560196096/kk3Dkgda_normal.jpg</v>
      </c>
      <c r="G464" s="95"/>
      <c r="H464" s="71"/>
      <c r="I464" s="72"/>
      <c r="J464" s="96"/>
      <c r="K464" s="71" t="s">
        <v>3916</v>
      </c>
      <c r="L464" s="97"/>
      <c r="M464" s="76"/>
      <c r="N464" s="76"/>
      <c r="O464" s="77"/>
      <c r="P464" s="78"/>
      <c r="Q464" s="78"/>
      <c r="R464" s="92"/>
      <c r="S464" s="92"/>
      <c r="T464" s="92"/>
      <c r="U464" s="92"/>
      <c r="V464" s="52"/>
      <c r="W464" s="52"/>
      <c r="X464" s="52"/>
      <c r="Y464" s="52"/>
      <c r="Z464" s="51"/>
      <c r="AA464" s="73"/>
      <c r="AB464" s="73"/>
      <c r="AC464" s="74"/>
      <c r="AD464" s="81" t="s">
        <v>2431</v>
      </c>
      <c r="AE464" s="86" t="s">
        <v>2855</v>
      </c>
      <c r="AF464" s="81">
        <v>379</v>
      </c>
      <c r="AG464" s="81">
        <v>289</v>
      </c>
      <c r="AH464" s="81">
        <v>33397</v>
      </c>
      <c r="AI464" s="81">
        <v>3565</v>
      </c>
      <c r="AJ464" s="81"/>
      <c r="AK464" s="81" t="s">
        <v>3262</v>
      </c>
      <c r="AL464" s="81" t="s">
        <v>3617</v>
      </c>
      <c r="AM464" s="84" t="str">
        <f>HYPERLINK("https://t.co/5vrg6FQwHo")</f>
        <v>https://t.co/5vrg6FQwHo</v>
      </c>
      <c r="AN464" s="81"/>
      <c r="AO464" s="83">
        <v>40521.537835648145</v>
      </c>
      <c r="AP464" s="84" t="str">
        <f>HYPERLINK("https://pbs.twimg.com/profile_banners/224618442/1524932480")</f>
        <v>https://pbs.twimg.com/profile_banners/224618442/1524932480</v>
      </c>
      <c r="AQ464" s="81" t="b">
        <v>0</v>
      </c>
      <c r="AR464" s="81" t="b">
        <v>0</v>
      </c>
      <c r="AS464" s="81" t="b">
        <v>1</v>
      </c>
      <c r="AT464" s="81"/>
      <c r="AU464" s="81">
        <v>2</v>
      </c>
      <c r="AV464" s="84" t="str">
        <f>HYPERLINK("https://abs.twimg.com/images/themes/theme4/bg.gif")</f>
        <v>https://abs.twimg.com/images/themes/theme4/bg.gif</v>
      </c>
      <c r="AW464" s="81" t="b">
        <v>0</v>
      </c>
      <c r="AX464" s="81" t="s">
        <v>3728</v>
      </c>
      <c r="AY464" s="84" t="str">
        <f>HYPERLINK("https://twitter.com/dnyrstn_")</f>
        <v>https://twitter.com/dnyrstn_</v>
      </c>
      <c r="AZ464" s="81" t="s">
        <v>66</v>
      </c>
      <c r="BA464" s="2"/>
      <c r="BB464" s="3"/>
      <c r="BC464" s="3"/>
      <c r="BD464" s="3"/>
      <c r="BE464" s="3"/>
    </row>
    <row r="465" spans="1:57" x14ac:dyDescent="0.35">
      <c r="A465" s="66" t="s">
        <v>4360</v>
      </c>
      <c r="B465" s="67"/>
      <c r="C465" s="67"/>
      <c r="D465" s="68"/>
      <c r="E465" s="94"/>
      <c r="F465" s="93" t="str">
        <f>HYPERLINK("https://pbs.twimg.com/profile_images/487171636076896257/kN7azLDn_normal.jpeg")</f>
        <v>https://pbs.twimg.com/profile_images/487171636076896257/kN7azLDn_normal.jpeg</v>
      </c>
      <c r="G465" s="95"/>
      <c r="H465" s="71"/>
      <c r="I465" s="72"/>
      <c r="J465" s="96"/>
      <c r="K465" s="71" t="s">
        <v>11667</v>
      </c>
      <c r="L465" s="97"/>
      <c r="M465" s="76"/>
      <c r="N465" s="76"/>
      <c r="O465" s="77"/>
      <c r="P465" s="78"/>
      <c r="Q465" s="78"/>
      <c r="R465" s="92"/>
      <c r="S465" s="92"/>
      <c r="T465" s="92"/>
      <c r="U465" s="92"/>
      <c r="V465" s="52"/>
      <c r="W465" s="52"/>
      <c r="X465" s="52"/>
      <c r="Y465" s="52"/>
      <c r="Z465" s="51"/>
      <c r="AA465" s="73"/>
      <c r="AB465" s="73"/>
      <c r="AC465" s="74"/>
      <c r="AD465" s="81" t="s">
        <v>8298</v>
      </c>
      <c r="AE465" s="86" t="s">
        <v>9332</v>
      </c>
      <c r="AF465" s="81">
        <v>1172</v>
      </c>
      <c r="AG465" s="81">
        <v>517</v>
      </c>
      <c r="AH465" s="81">
        <v>9503</v>
      </c>
      <c r="AI465" s="81">
        <v>1327</v>
      </c>
      <c r="AJ465" s="81"/>
      <c r="AK465" s="81"/>
      <c r="AL465" s="81" t="s">
        <v>10990</v>
      </c>
      <c r="AM465" s="81"/>
      <c r="AN465" s="81"/>
      <c r="AO465" s="83">
        <v>41830.380555555559</v>
      </c>
      <c r="AP465" s="81"/>
      <c r="AQ465" s="81" t="b">
        <v>0</v>
      </c>
      <c r="AR465" s="81" t="b">
        <v>0</v>
      </c>
      <c r="AS465" s="81" t="b">
        <v>1</v>
      </c>
      <c r="AT465" s="81"/>
      <c r="AU465" s="81">
        <v>7</v>
      </c>
      <c r="AV465" s="84" t="str">
        <f>HYPERLINK("https://abs.twimg.com/images/themes/theme1/bg.png")</f>
        <v>https://abs.twimg.com/images/themes/theme1/bg.png</v>
      </c>
      <c r="AW465" s="81" t="b">
        <v>0</v>
      </c>
      <c r="AX465" s="81" t="s">
        <v>3728</v>
      </c>
      <c r="AY465" s="84" t="str">
        <f>HYPERLINK("https://twitter.com/pt_veiga")</f>
        <v>https://twitter.com/pt_veiga</v>
      </c>
      <c r="AZ465" s="81" t="s">
        <v>66</v>
      </c>
      <c r="BA465" s="2"/>
      <c r="BB465" s="3"/>
      <c r="BC465" s="3"/>
      <c r="BD465" s="3"/>
      <c r="BE465" s="3"/>
    </row>
    <row r="466" spans="1:57" x14ac:dyDescent="0.35">
      <c r="A466" s="66" t="s">
        <v>5048</v>
      </c>
      <c r="B466" s="67"/>
      <c r="C466" s="67"/>
      <c r="D466" s="68"/>
      <c r="E466" s="94"/>
      <c r="F466" s="93" t="str">
        <f>HYPERLINK("https://pbs.twimg.com/profile_images/1270822910089887745/NjKMkVMu_normal.jpg")</f>
        <v>https://pbs.twimg.com/profile_images/1270822910089887745/NjKMkVMu_normal.jpg</v>
      </c>
      <c r="G466" s="95"/>
      <c r="H466" s="71"/>
      <c r="I466" s="72"/>
      <c r="J466" s="96"/>
      <c r="K466" s="71" t="s">
        <v>11668</v>
      </c>
      <c r="L466" s="97"/>
      <c r="M466" s="76"/>
      <c r="N466" s="76"/>
      <c r="O466" s="77"/>
      <c r="P466" s="78"/>
      <c r="Q466" s="78"/>
      <c r="R466" s="92"/>
      <c r="S466" s="92"/>
      <c r="T466" s="92"/>
      <c r="U466" s="92"/>
      <c r="V466" s="52"/>
      <c r="W466" s="52"/>
      <c r="X466" s="52"/>
      <c r="Y466" s="52"/>
      <c r="Z466" s="51"/>
      <c r="AA466" s="73"/>
      <c r="AB466" s="73"/>
      <c r="AC466" s="74"/>
      <c r="AD466" s="81" t="s">
        <v>8299</v>
      </c>
      <c r="AE466" s="86" t="s">
        <v>9333</v>
      </c>
      <c r="AF466" s="81">
        <v>2033</v>
      </c>
      <c r="AG466" s="81">
        <v>12064</v>
      </c>
      <c r="AH466" s="81">
        <v>213335</v>
      </c>
      <c r="AI466" s="81">
        <v>6809</v>
      </c>
      <c r="AJ466" s="81"/>
      <c r="AK466" s="81"/>
      <c r="AL466" s="81"/>
      <c r="AM466" s="84" t="str">
        <f>HYPERLINK("https://t.co/eQQEHaL2fF")</f>
        <v>https://t.co/eQQEHaL2fF</v>
      </c>
      <c r="AN466" s="81"/>
      <c r="AO466" s="83">
        <v>39829.849340277775</v>
      </c>
      <c r="AP466" s="84" t="str">
        <f>HYPERLINK("https://pbs.twimg.com/profile_banners/19083439/1612356166")</f>
        <v>https://pbs.twimg.com/profile_banners/19083439/1612356166</v>
      </c>
      <c r="AQ466" s="81" t="b">
        <v>1</v>
      </c>
      <c r="AR466" s="81" t="b">
        <v>0</v>
      </c>
      <c r="AS466" s="81" t="b">
        <v>1</v>
      </c>
      <c r="AT466" s="81"/>
      <c r="AU466" s="81">
        <v>155</v>
      </c>
      <c r="AV466" s="84" t="str">
        <f>HYPERLINK("https://abs.twimg.com/images/themes/theme1/bg.png")</f>
        <v>https://abs.twimg.com/images/themes/theme1/bg.png</v>
      </c>
      <c r="AW466" s="81" t="b">
        <v>0</v>
      </c>
      <c r="AX466" s="81" t="s">
        <v>3728</v>
      </c>
      <c r="AY466" s="84" t="str">
        <f>HYPERLINK("https://twitter.com/joaomiranda")</f>
        <v>https://twitter.com/joaomiranda</v>
      </c>
      <c r="AZ466" s="81" t="s">
        <v>65</v>
      </c>
      <c r="BA466" s="2"/>
      <c r="BB466" s="3"/>
      <c r="BC466" s="3"/>
      <c r="BD466" s="3"/>
      <c r="BE466" s="3"/>
    </row>
    <row r="467" spans="1:57" x14ac:dyDescent="0.35">
      <c r="A467" s="66" t="s">
        <v>5049</v>
      </c>
      <c r="B467" s="67"/>
      <c r="C467" s="67"/>
      <c r="D467" s="68"/>
      <c r="E467" s="94"/>
      <c r="F467" s="93" t="str">
        <f>HYPERLINK("https://pbs.twimg.com/profile_images/1173619370985238528/7of-2QgN_normal.jpg")</f>
        <v>https://pbs.twimg.com/profile_images/1173619370985238528/7of-2QgN_normal.jpg</v>
      </c>
      <c r="G467" s="95"/>
      <c r="H467" s="71"/>
      <c r="I467" s="72"/>
      <c r="J467" s="96"/>
      <c r="K467" s="71" t="s">
        <v>11669</v>
      </c>
      <c r="L467" s="97"/>
      <c r="M467" s="76"/>
      <c r="N467" s="76"/>
      <c r="O467" s="77"/>
      <c r="P467" s="78"/>
      <c r="Q467" s="78"/>
      <c r="R467" s="92"/>
      <c r="S467" s="92"/>
      <c r="T467" s="92"/>
      <c r="U467" s="92"/>
      <c r="V467" s="52"/>
      <c r="W467" s="52"/>
      <c r="X467" s="52"/>
      <c r="Y467" s="52"/>
      <c r="Z467" s="51"/>
      <c r="AA467" s="73"/>
      <c r="AB467" s="73"/>
      <c r="AC467" s="74"/>
      <c r="AD467" s="81" t="s">
        <v>8300</v>
      </c>
      <c r="AE467" s="86" t="s">
        <v>7838</v>
      </c>
      <c r="AF467" s="81">
        <v>686</v>
      </c>
      <c r="AG467" s="81">
        <v>40</v>
      </c>
      <c r="AH467" s="81">
        <v>2337</v>
      </c>
      <c r="AI467" s="81">
        <v>2038</v>
      </c>
      <c r="AJ467" s="81"/>
      <c r="AK467" s="81"/>
      <c r="AL467" s="81"/>
      <c r="AM467" s="81"/>
      <c r="AN467" s="81"/>
      <c r="AO467" s="83">
        <v>40854.818078703705</v>
      </c>
      <c r="AP467" s="81"/>
      <c r="AQ467" s="81" t="b">
        <v>1</v>
      </c>
      <c r="AR467" s="81" t="b">
        <v>0</v>
      </c>
      <c r="AS467" s="81" t="b">
        <v>0</v>
      </c>
      <c r="AT467" s="81"/>
      <c r="AU467" s="81">
        <v>1</v>
      </c>
      <c r="AV467" s="84" t="str">
        <f>HYPERLINK("https://abs.twimg.com/images/themes/theme1/bg.png")</f>
        <v>https://abs.twimg.com/images/themes/theme1/bg.png</v>
      </c>
      <c r="AW467" s="81" t="b">
        <v>0</v>
      </c>
      <c r="AX467" s="81" t="s">
        <v>3728</v>
      </c>
      <c r="AY467" s="84" t="str">
        <f>HYPERLINK("https://twitter.com/pmacedo216")</f>
        <v>https://twitter.com/pmacedo216</v>
      </c>
      <c r="AZ467" s="81" t="s">
        <v>65</v>
      </c>
      <c r="BA467" s="2"/>
      <c r="BB467" s="3"/>
      <c r="BC467" s="3"/>
      <c r="BD467" s="3"/>
      <c r="BE467" s="3"/>
    </row>
    <row r="468" spans="1:57" x14ac:dyDescent="0.35">
      <c r="A468" s="66" t="s">
        <v>376</v>
      </c>
      <c r="B468" s="67"/>
      <c r="C468" s="67"/>
      <c r="D468" s="68"/>
      <c r="E468" s="94"/>
      <c r="F468" s="93" t="str">
        <f>HYPERLINK("https://pbs.twimg.com/profile_images/1417059285914165253/tPOTzH3W_normal.jpg")</f>
        <v>https://pbs.twimg.com/profile_images/1417059285914165253/tPOTzH3W_normal.jpg</v>
      </c>
      <c r="G468" s="95"/>
      <c r="H468" s="71"/>
      <c r="I468" s="72"/>
      <c r="J468" s="96"/>
      <c r="K468" s="71" t="s">
        <v>3917</v>
      </c>
      <c r="L468" s="97"/>
      <c r="M468" s="76"/>
      <c r="N468" s="76"/>
      <c r="O468" s="77"/>
      <c r="P468" s="78"/>
      <c r="Q468" s="78"/>
      <c r="R468" s="92"/>
      <c r="S468" s="92"/>
      <c r="T468" s="92"/>
      <c r="U468" s="92"/>
      <c r="V468" s="52"/>
      <c r="W468" s="52"/>
      <c r="X468" s="52"/>
      <c r="Y468" s="52"/>
      <c r="Z468" s="51"/>
      <c r="AA468" s="73"/>
      <c r="AB468" s="73"/>
      <c r="AC468" s="74"/>
      <c r="AD468" s="81" t="s">
        <v>2432</v>
      </c>
      <c r="AE468" s="86" t="s">
        <v>2856</v>
      </c>
      <c r="AF468" s="81">
        <v>215</v>
      </c>
      <c r="AG468" s="81">
        <v>132</v>
      </c>
      <c r="AH468" s="81">
        <v>12805</v>
      </c>
      <c r="AI468" s="81">
        <v>19072</v>
      </c>
      <c r="AJ468" s="81"/>
      <c r="AK468" s="81" t="s">
        <v>3263</v>
      </c>
      <c r="AL468" s="81" t="s">
        <v>3618</v>
      </c>
      <c r="AM468" s="81"/>
      <c r="AN468" s="81"/>
      <c r="AO468" s="83">
        <v>42997.557175925926</v>
      </c>
      <c r="AP468" s="84" t="str">
        <f>HYPERLINK("https://pbs.twimg.com/profile_banners/910131948063825920/1632506462")</f>
        <v>https://pbs.twimg.com/profile_banners/910131948063825920/1632506462</v>
      </c>
      <c r="AQ468" s="81" t="b">
        <v>1</v>
      </c>
      <c r="AR468" s="81" t="b">
        <v>0</v>
      </c>
      <c r="AS468" s="81" t="b">
        <v>0</v>
      </c>
      <c r="AT468" s="81"/>
      <c r="AU468" s="81">
        <v>0</v>
      </c>
      <c r="AV468" s="81"/>
      <c r="AW468" s="81" t="b">
        <v>0</v>
      </c>
      <c r="AX468" s="81" t="s">
        <v>3728</v>
      </c>
      <c r="AY468" s="84" t="str">
        <f>HYPERLINK("https://twitter.com/leezxv")</f>
        <v>https://twitter.com/leezxv</v>
      </c>
      <c r="AZ468" s="81" t="s">
        <v>66</v>
      </c>
      <c r="BA468" s="2"/>
      <c r="BB468" s="3"/>
      <c r="BC468" s="3"/>
      <c r="BD468" s="3"/>
      <c r="BE468" s="3"/>
    </row>
    <row r="469" spans="1:57" x14ac:dyDescent="0.35">
      <c r="A469" s="66" t="s">
        <v>4361</v>
      </c>
      <c r="B469" s="67"/>
      <c r="C469" s="67"/>
      <c r="D469" s="68"/>
      <c r="E469" s="94"/>
      <c r="F469" s="93" t="str">
        <f>HYPERLINK("https://pbs.twimg.com/profile_images/1440091198962683904/hh8cIQpr_normal.jpg")</f>
        <v>https://pbs.twimg.com/profile_images/1440091198962683904/hh8cIQpr_normal.jpg</v>
      </c>
      <c r="G469" s="95"/>
      <c r="H469" s="71"/>
      <c r="I469" s="72"/>
      <c r="J469" s="96"/>
      <c r="K469" s="71" t="s">
        <v>11670</v>
      </c>
      <c r="L469" s="97"/>
      <c r="M469" s="76"/>
      <c r="N469" s="76"/>
      <c r="O469" s="77"/>
      <c r="P469" s="78"/>
      <c r="Q469" s="78"/>
      <c r="R469" s="92"/>
      <c r="S469" s="92"/>
      <c r="T469" s="92"/>
      <c r="U469" s="92"/>
      <c r="V469" s="52"/>
      <c r="W469" s="52"/>
      <c r="X469" s="52"/>
      <c r="Y469" s="52"/>
      <c r="Z469" s="51"/>
      <c r="AA469" s="73"/>
      <c r="AB469" s="73"/>
      <c r="AC469" s="74"/>
      <c r="AD469" s="81" t="s">
        <v>8301</v>
      </c>
      <c r="AE469" s="86" t="s">
        <v>9334</v>
      </c>
      <c r="AF469" s="81">
        <v>307</v>
      </c>
      <c r="AG469" s="81">
        <v>536</v>
      </c>
      <c r="AH469" s="81">
        <v>9692</v>
      </c>
      <c r="AI469" s="81">
        <v>18263</v>
      </c>
      <c r="AJ469" s="81"/>
      <c r="AK469" s="81" t="s">
        <v>10295</v>
      </c>
      <c r="AL469" s="81" t="s">
        <v>11103</v>
      </c>
      <c r="AM469" s="81"/>
      <c r="AN469" s="81"/>
      <c r="AO469" s="83">
        <v>39956.708865740744</v>
      </c>
      <c r="AP469" s="84" t="str">
        <f>HYPERLINK("https://pbs.twimg.com/profile_banners/42058613/1590964241")</f>
        <v>https://pbs.twimg.com/profile_banners/42058613/1590964241</v>
      </c>
      <c r="AQ469" s="81" t="b">
        <v>0</v>
      </c>
      <c r="AR469" s="81" t="b">
        <v>0</v>
      </c>
      <c r="AS469" s="81" t="b">
        <v>1</v>
      </c>
      <c r="AT469" s="81"/>
      <c r="AU469" s="81">
        <v>1</v>
      </c>
      <c r="AV469" s="84" t="str">
        <f>HYPERLINK("https://abs.twimg.com/images/themes/theme5/bg.gif")</f>
        <v>https://abs.twimg.com/images/themes/theme5/bg.gif</v>
      </c>
      <c r="AW469" s="81" t="b">
        <v>0</v>
      </c>
      <c r="AX469" s="81" t="s">
        <v>3728</v>
      </c>
      <c r="AY469" s="84" t="str">
        <f>HYPERLINK("https://twitter.com/josuel_castro")</f>
        <v>https://twitter.com/josuel_castro</v>
      </c>
      <c r="AZ469" s="81" t="s">
        <v>66</v>
      </c>
      <c r="BA469" s="2"/>
      <c r="BB469" s="3"/>
      <c r="BC469" s="3"/>
      <c r="BD469" s="3"/>
      <c r="BE469" s="3"/>
    </row>
    <row r="470" spans="1:57" x14ac:dyDescent="0.35">
      <c r="A470" s="66" t="s">
        <v>5050</v>
      </c>
      <c r="B470" s="67"/>
      <c r="C470" s="67"/>
      <c r="D470" s="68"/>
      <c r="E470" s="94"/>
      <c r="F470" s="93" t="str">
        <f>HYPERLINK("https://pbs.twimg.com/profile_images/1384152837223903241/67NM0rtX_normal.jpg")</f>
        <v>https://pbs.twimg.com/profile_images/1384152837223903241/67NM0rtX_normal.jpg</v>
      </c>
      <c r="G470" s="95"/>
      <c r="H470" s="71"/>
      <c r="I470" s="72"/>
      <c r="J470" s="96"/>
      <c r="K470" s="71" t="s">
        <v>11671</v>
      </c>
      <c r="L470" s="97"/>
      <c r="M470" s="76"/>
      <c r="N470" s="76"/>
      <c r="O470" s="77"/>
      <c r="P470" s="78"/>
      <c r="Q470" s="78"/>
      <c r="R470" s="92"/>
      <c r="S470" s="92"/>
      <c r="T470" s="92"/>
      <c r="U470" s="92"/>
      <c r="V470" s="52"/>
      <c r="W470" s="52"/>
      <c r="X470" s="52"/>
      <c r="Y470" s="52"/>
      <c r="Z470" s="51"/>
      <c r="AA470" s="73"/>
      <c r="AB470" s="73"/>
      <c r="AC470" s="74"/>
      <c r="AD470" s="81" t="s">
        <v>8302</v>
      </c>
      <c r="AE470" s="86" t="s">
        <v>7839</v>
      </c>
      <c r="AF470" s="81">
        <v>144</v>
      </c>
      <c r="AG470" s="81">
        <v>249351</v>
      </c>
      <c r="AH470" s="81">
        <v>20280</v>
      </c>
      <c r="AI470" s="81">
        <v>500</v>
      </c>
      <c r="AJ470" s="81"/>
      <c r="AK470" s="81"/>
      <c r="AL470" s="81" t="s">
        <v>10975</v>
      </c>
      <c r="AM470" s="84" t="str">
        <f>HYPERLINK("https://t.co/hwoe6S56Iz")</f>
        <v>https://t.co/hwoe6S56Iz</v>
      </c>
      <c r="AN470" s="81"/>
      <c r="AO470" s="83">
        <v>43860.742812500001</v>
      </c>
      <c r="AP470" s="84" t="str">
        <f>HYPERLINK("https://pbs.twimg.com/profile_banners/1222939896349970432/1584125714")</f>
        <v>https://pbs.twimg.com/profile_banners/1222939896349970432/1584125714</v>
      </c>
      <c r="AQ470" s="81" t="b">
        <v>1</v>
      </c>
      <c r="AR470" s="81" t="b">
        <v>0</v>
      </c>
      <c r="AS470" s="81" t="b">
        <v>0</v>
      </c>
      <c r="AT470" s="81"/>
      <c r="AU470" s="81">
        <v>412</v>
      </c>
      <c r="AV470" s="81"/>
      <c r="AW470" s="81" t="b">
        <v>0</v>
      </c>
      <c r="AX470" s="81" t="s">
        <v>3728</v>
      </c>
      <c r="AY470" s="84" t="str">
        <f>HYPERLINK("https://twitter.com/revistaoeste")</f>
        <v>https://twitter.com/revistaoeste</v>
      </c>
      <c r="AZ470" s="81" t="s">
        <v>65</v>
      </c>
      <c r="BA470" s="2"/>
      <c r="BB470" s="3"/>
      <c r="BC470" s="3"/>
      <c r="BD470" s="3"/>
      <c r="BE470" s="3"/>
    </row>
    <row r="471" spans="1:57" x14ac:dyDescent="0.35">
      <c r="A471" s="66" t="s">
        <v>4362</v>
      </c>
      <c r="B471" s="67"/>
      <c r="C471" s="67"/>
      <c r="D471" s="68"/>
      <c r="E471" s="94"/>
      <c r="F471" s="93" t="str">
        <f>HYPERLINK("https://pbs.twimg.com/profile_images/1437720985399033861/IzCe_ky8_normal.jpg")</f>
        <v>https://pbs.twimg.com/profile_images/1437720985399033861/IzCe_ky8_normal.jpg</v>
      </c>
      <c r="G471" s="95"/>
      <c r="H471" s="71"/>
      <c r="I471" s="72"/>
      <c r="J471" s="96"/>
      <c r="K471" s="71" t="s">
        <v>11672</v>
      </c>
      <c r="L471" s="97"/>
      <c r="M471" s="76"/>
      <c r="N471" s="76"/>
      <c r="O471" s="77"/>
      <c r="P471" s="78"/>
      <c r="Q471" s="78"/>
      <c r="R471" s="92"/>
      <c r="S471" s="92"/>
      <c r="T471" s="92"/>
      <c r="U471" s="92"/>
      <c r="V471" s="52"/>
      <c r="W471" s="52"/>
      <c r="X471" s="52"/>
      <c r="Y471" s="52"/>
      <c r="Z471" s="51"/>
      <c r="AA471" s="73"/>
      <c r="AB471" s="73"/>
      <c r="AC471" s="74"/>
      <c r="AD471" s="81" t="s">
        <v>8303</v>
      </c>
      <c r="AE471" s="86" t="s">
        <v>9335</v>
      </c>
      <c r="AF471" s="81">
        <v>264</v>
      </c>
      <c r="AG471" s="81">
        <v>48</v>
      </c>
      <c r="AH471" s="81">
        <v>4885</v>
      </c>
      <c r="AI471" s="81">
        <v>4146</v>
      </c>
      <c r="AJ471" s="81"/>
      <c r="AK471" s="81" t="s">
        <v>10296</v>
      </c>
      <c r="AL471" s="81" t="s">
        <v>11104</v>
      </c>
      <c r="AM471" s="84" t="str">
        <f>HYPERLINK("https://t.co/VQ6SocO6Gd")</f>
        <v>https://t.co/VQ6SocO6Gd</v>
      </c>
      <c r="AN471" s="81"/>
      <c r="AO471" s="83">
        <v>43734.640983796293</v>
      </c>
      <c r="AP471" s="84" t="str">
        <f>HYPERLINK("https://pbs.twimg.com/profile_banners/1177242129577328640/1629261108")</f>
        <v>https://pbs.twimg.com/profile_banners/1177242129577328640/1629261108</v>
      </c>
      <c r="AQ471" s="81" t="b">
        <v>1</v>
      </c>
      <c r="AR471" s="81" t="b">
        <v>0</v>
      </c>
      <c r="AS471" s="81" t="b">
        <v>0</v>
      </c>
      <c r="AT471" s="81"/>
      <c r="AU471" s="81">
        <v>0</v>
      </c>
      <c r="AV471" s="81"/>
      <c r="AW471" s="81" t="b">
        <v>0</v>
      </c>
      <c r="AX471" s="81" t="s">
        <v>3728</v>
      </c>
      <c r="AY471" s="84" t="str">
        <f>HYPERLINK("https://twitter.com/alyashahsuhaimi")</f>
        <v>https://twitter.com/alyashahsuhaimi</v>
      </c>
      <c r="AZ471" s="81" t="s">
        <v>66</v>
      </c>
      <c r="BA471" s="2"/>
      <c r="BB471" s="3"/>
      <c r="BC471" s="3"/>
      <c r="BD471" s="3"/>
      <c r="BE471" s="3"/>
    </row>
    <row r="472" spans="1:57" x14ac:dyDescent="0.35">
      <c r="A472" s="66" t="s">
        <v>4363</v>
      </c>
      <c r="B472" s="67"/>
      <c r="C472" s="67"/>
      <c r="D472" s="68"/>
      <c r="E472" s="94"/>
      <c r="F472" s="93" t="str">
        <f>HYPERLINK("https://pbs.twimg.com/profile_images/1393251887571509251/s5-shUJ9_normal.jpg")</f>
        <v>https://pbs.twimg.com/profile_images/1393251887571509251/s5-shUJ9_normal.jpg</v>
      </c>
      <c r="G472" s="95"/>
      <c r="H472" s="71"/>
      <c r="I472" s="72"/>
      <c r="J472" s="96"/>
      <c r="K472" s="71" t="s">
        <v>11673</v>
      </c>
      <c r="L472" s="97"/>
      <c r="M472" s="76"/>
      <c r="N472" s="76"/>
      <c r="O472" s="77"/>
      <c r="P472" s="78"/>
      <c r="Q472" s="78"/>
      <c r="R472" s="92"/>
      <c r="S472" s="92"/>
      <c r="T472" s="92"/>
      <c r="U472" s="92"/>
      <c r="V472" s="52"/>
      <c r="W472" s="52"/>
      <c r="X472" s="52"/>
      <c r="Y472" s="52"/>
      <c r="Z472" s="51"/>
      <c r="AA472" s="73"/>
      <c r="AB472" s="73"/>
      <c r="AC472" s="74"/>
      <c r="AD472" s="81" t="s">
        <v>8304</v>
      </c>
      <c r="AE472" s="86" t="s">
        <v>9336</v>
      </c>
      <c r="AF472" s="81">
        <v>3</v>
      </c>
      <c r="AG472" s="81">
        <v>419</v>
      </c>
      <c r="AH472" s="81">
        <v>12296</v>
      </c>
      <c r="AI472" s="81">
        <v>1</v>
      </c>
      <c r="AJ472" s="81"/>
      <c r="AK472" s="81" t="s">
        <v>10297</v>
      </c>
      <c r="AL472" s="81" t="s">
        <v>11105</v>
      </c>
      <c r="AM472" s="84" t="str">
        <f>HYPERLINK("https://t.co/iCmDAcE8Al")</f>
        <v>https://t.co/iCmDAcE8Al</v>
      </c>
      <c r="AN472" s="81"/>
      <c r="AO472" s="83">
        <v>44330.713564814818</v>
      </c>
      <c r="AP472" s="84" t="str">
        <f>HYPERLINK("https://pbs.twimg.com/profile_banners/1393251606179745794/1621015304")</f>
        <v>https://pbs.twimg.com/profile_banners/1393251606179745794/1621015304</v>
      </c>
      <c r="AQ472" s="81" t="b">
        <v>1</v>
      </c>
      <c r="AR472" s="81" t="b">
        <v>0</v>
      </c>
      <c r="AS472" s="81" t="b">
        <v>0</v>
      </c>
      <c r="AT472" s="81"/>
      <c r="AU472" s="81">
        <v>0</v>
      </c>
      <c r="AV472" s="81"/>
      <c r="AW472" s="81" t="b">
        <v>0</v>
      </c>
      <c r="AX472" s="81" t="s">
        <v>3728</v>
      </c>
      <c r="AY472" s="84" t="str">
        <f>HYPERLINK("https://twitter.com/botufba")</f>
        <v>https://twitter.com/botufba</v>
      </c>
      <c r="AZ472" s="81" t="s">
        <v>66</v>
      </c>
      <c r="BA472" s="2"/>
      <c r="BB472" s="3"/>
      <c r="BC472" s="3"/>
      <c r="BD472" s="3"/>
      <c r="BE472" s="3"/>
    </row>
    <row r="473" spans="1:57" x14ac:dyDescent="0.35">
      <c r="A473" s="66" t="s">
        <v>4378</v>
      </c>
      <c r="B473" s="67"/>
      <c r="C473" s="67"/>
      <c r="D473" s="68"/>
      <c r="E473" s="94"/>
      <c r="F473" s="93" t="str">
        <f>HYPERLINK("https://pbs.twimg.com/profile_images/1257666507028529155/2wDkfjJo_normal.jpg")</f>
        <v>https://pbs.twimg.com/profile_images/1257666507028529155/2wDkfjJo_normal.jpg</v>
      </c>
      <c r="G473" s="95"/>
      <c r="H473" s="71"/>
      <c r="I473" s="72"/>
      <c r="J473" s="96"/>
      <c r="K473" s="71" t="s">
        <v>11674</v>
      </c>
      <c r="L473" s="97"/>
      <c r="M473" s="76"/>
      <c r="N473" s="76"/>
      <c r="O473" s="77"/>
      <c r="P473" s="78"/>
      <c r="Q473" s="78"/>
      <c r="R473" s="92"/>
      <c r="S473" s="92"/>
      <c r="T473" s="92"/>
      <c r="U473" s="92"/>
      <c r="V473" s="52"/>
      <c r="W473" s="52"/>
      <c r="X473" s="52"/>
      <c r="Y473" s="52"/>
      <c r="Z473" s="51"/>
      <c r="AA473" s="73"/>
      <c r="AB473" s="73"/>
      <c r="AC473" s="74"/>
      <c r="AD473" s="81" t="s">
        <v>8305</v>
      </c>
      <c r="AE473" s="86" t="s">
        <v>9337</v>
      </c>
      <c r="AF473" s="81">
        <v>1298</v>
      </c>
      <c r="AG473" s="81">
        <v>11403</v>
      </c>
      <c r="AH473" s="81">
        <v>16623</v>
      </c>
      <c r="AI473" s="81">
        <v>2922</v>
      </c>
      <c r="AJ473" s="81"/>
      <c r="AK473" s="81" t="s">
        <v>10298</v>
      </c>
      <c r="AL473" s="81" t="s">
        <v>10994</v>
      </c>
      <c r="AM473" s="81"/>
      <c r="AN473" s="81"/>
      <c r="AO473" s="83">
        <v>39971.898819444446</v>
      </c>
      <c r="AP473" s="84" t="str">
        <f>HYPERLINK("https://pbs.twimg.com/profile_banners/45428696/1618870879")</f>
        <v>https://pbs.twimg.com/profile_banners/45428696/1618870879</v>
      </c>
      <c r="AQ473" s="81" t="b">
        <v>0</v>
      </c>
      <c r="AR473" s="81" t="b">
        <v>0</v>
      </c>
      <c r="AS473" s="81" t="b">
        <v>1</v>
      </c>
      <c r="AT473" s="81"/>
      <c r="AU473" s="81">
        <v>182</v>
      </c>
      <c r="AV473" s="84" t="str">
        <f>HYPERLINK("https://abs.twimg.com/images/themes/theme10/bg.gif")</f>
        <v>https://abs.twimg.com/images/themes/theme10/bg.gif</v>
      </c>
      <c r="AW473" s="81" t="b">
        <v>1</v>
      </c>
      <c r="AX473" s="81" t="s">
        <v>3728</v>
      </c>
      <c r="AY473" s="84" t="str">
        <f>HYPERLINK("https://twitter.com/mairakubik")</f>
        <v>https://twitter.com/mairakubik</v>
      </c>
      <c r="AZ473" s="81" t="s">
        <v>66</v>
      </c>
      <c r="BA473" s="2"/>
      <c r="BB473" s="3"/>
      <c r="BC473" s="3"/>
      <c r="BD473" s="3"/>
      <c r="BE473" s="3"/>
    </row>
    <row r="474" spans="1:57" x14ac:dyDescent="0.35">
      <c r="A474" s="66" t="s">
        <v>4364</v>
      </c>
      <c r="B474" s="67"/>
      <c r="C474" s="67"/>
      <c r="D474" s="68"/>
      <c r="E474" s="94"/>
      <c r="F474" s="93" t="str">
        <f>HYPERLINK("https://pbs.twimg.com/profile_images/1376758297244618754/RVoYG46U_normal.jpg")</f>
        <v>https://pbs.twimg.com/profile_images/1376758297244618754/RVoYG46U_normal.jpg</v>
      </c>
      <c r="G474" s="95"/>
      <c r="H474" s="71"/>
      <c r="I474" s="72"/>
      <c r="J474" s="96"/>
      <c r="K474" s="71" t="s">
        <v>11675</v>
      </c>
      <c r="L474" s="97"/>
      <c r="M474" s="76"/>
      <c r="N474" s="76"/>
      <c r="O474" s="77"/>
      <c r="P474" s="78"/>
      <c r="Q474" s="78"/>
      <c r="R474" s="92"/>
      <c r="S474" s="92"/>
      <c r="T474" s="92"/>
      <c r="U474" s="92"/>
      <c r="V474" s="52"/>
      <c r="W474" s="52"/>
      <c r="X474" s="52"/>
      <c r="Y474" s="52"/>
      <c r="Z474" s="51"/>
      <c r="AA474" s="73"/>
      <c r="AB474" s="73"/>
      <c r="AC474" s="74"/>
      <c r="AD474" s="81" t="s">
        <v>8306</v>
      </c>
      <c r="AE474" s="86" t="s">
        <v>9338</v>
      </c>
      <c r="AF474" s="81">
        <v>632</v>
      </c>
      <c r="AG474" s="81">
        <v>1316</v>
      </c>
      <c r="AH474" s="81">
        <v>48842</v>
      </c>
      <c r="AI474" s="81">
        <v>52721</v>
      </c>
      <c r="AJ474" s="81"/>
      <c r="AK474" s="81" t="s">
        <v>10299</v>
      </c>
      <c r="AL474" s="81"/>
      <c r="AM474" s="84" t="str">
        <f>HYPERLINK("https://t.co/VUhnpAUjSA")</f>
        <v>https://t.co/VUhnpAUjSA</v>
      </c>
      <c r="AN474" s="81"/>
      <c r="AO474" s="83">
        <v>40265.52847222222</v>
      </c>
      <c r="AP474" s="84" t="str">
        <f>HYPERLINK("https://pbs.twimg.com/profile_banners/127207829/1613869889")</f>
        <v>https://pbs.twimg.com/profile_banners/127207829/1613869889</v>
      </c>
      <c r="AQ474" s="81" t="b">
        <v>0</v>
      </c>
      <c r="AR474" s="81" t="b">
        <v>0</v>
      </c>
      <c r="AS474" s="81" t="b">
        <v>0</v>
      </c>
      <c r="AT474" s="81"/>
      <c r="AU474" s="81">
        <v>18</v>
      </c>
      <c r="AV474" s="84" t="str">
        <f>HYPERLINK("https://abs.twimg.com/images/themes/theme7/bg.gif")</f>
        <v>https://abs.twimg.com/images/themes/theme7/bg.gif</v>
      </c>
      <c r="AW474" s="81" t="b">
        <v>0</v>
      </c>
      <c r="AX474" s="81" t="s">
        <v>3728</v>
      </c>
      <c r="AY474" s="84" t="str">
        <f>HYPERLINK("https://twitter.com/lucianahn")</f>
        <v>https://twitter.com/lucianahn</v>
      </c>
      <c r="AZ474" s="81" t="s">
        <v>66</v>
      </c>
      <c r="BA474" s="2"/>
      <c r="BB474" s="3"/>
      <c r="BC474" s="3"/>
      <c r="BD474" s="3"/>
      <c r="BE474" s="3"/>
    </row>
    <row r="475" spans="1:57" x14ac:dyDescent="0.35">
      <c r="A475" s="66" t="s">
        <v>4365</v>
      </c>
      <c r="B475" s="67"/>
      <c r="C475" s="67"/>
      <c r="D475" s="68"/>
      <c r="E475" s="94"/>
      <c r="F475" s="93" t="str">
        <f>HYPERLINK("https://pbs.twimg.com/profile_images/1369798286450843655/PknPErmE_normal.jpg")</f>
        <v>https://pbs.twimg.com/profile_images/1369798286450843655/PknPErmE_normal.jpg</v>
      </c>
      <c r="G475" s="95"/>
      <c r="H475" s="71"/>
      <c r="I475" s="72"/>
      <c r="J475" s="96"/>
      <c r="K475" s="71" t="s">
        <v>11676</v>
      </c>
      <c r="L475" s="97"/>
      <c r="M475" s="76"/>
      <c r="N475" s="76"/>
      <c r="O475" s="77"/>
      <c r="P475" s="78"/>
      <c r="Q475" s="78"/>
      <c r="R475" s="92"/>
      <c r="S475" s="92"/>
      <c r="T475" s="92"/>
      <c r="U475" s="92"/>
      <c r="V475" s="52"/>
      <c r="W475" s="52"/>
      <c r="X475" s="52"/>
      <c r="Y475" s="52"/>
      <c r="Z475" s="51"/>
      <c r="AA475" s="73"/>
      <c r="AB475" s="73"/>
      <c r="AC475" s="74"/>
      <c r="AD475" s="81" t="s">
        <v>8307</v>
      </c>
      <c r="AE475" s="86" t="s">
        <v>9339</v>
      </c>
      <c r="AF475" s="81">
        <v>554</v>
      </c>
      <c r="AG475" s="81">
        <v>821</v>
      </c>
      <c r="AH475" s="81">
        <v>3791</v>
      </c>
      <c r="AI475" s="81">
        <v>15297</v>
      </c>
      <c r="AJ475" s="81"/>
      <c r="AK475" s="81" t="s">
        <v>10300</v>
      </c>
      <c r="AL475" s="81"/>
      <c r="AM475" s="84" t="str">
        <f>HYPERLINK("https://t.co/NjKBe51Utn")</f>
        <v>https://t.co/NjKBe51Utn</v>
      </c>
      <c r="AN475" s="81"/>
      <c r="AO475" s="83">
        <v>43145.91269675926</v>
      </c>
      <c r="AP475" s="84" t="str">
        <f>HYPERLINK("https://pbs.twimg.com/profile_banners/963894186276728832/1610980728")</f>
        <v>https://pbs.twimg.com/profile_banners/963894186276728832/1610980728</v>
      </c>
      <c r="AQ475" s="81" t="b">
        <v>1</v>
      </c>
      <c r="AR475" s="81" t="b">
        <v>0</v>
      </c>
      <c r="AS475" s="81" t="b">
        <v>0</v>
      </c>
      <c r="AT475" s="81"/>
      <c r="AU475" s="81">
        <v>1</v>
      </c>
      <c r="AV475" s="81"/>
      <c r="AW475" s="81" t="b">
        <v>0</v>
      </c>
      <c r="AX475" s="81" t="s">
        <v>3728</v>
      </c>
      <c r="AY475" s="84" t="str">
        <f>HYPERLINK("https://twitter.com/araujombarbara")</f>
        <v>https://twitter.com/araujombarbara</v>
      </c>
      <c r="AZ475" s="81" t="s">
        <v>66</v>
      </c>
      <c r="BA475" s="2"/>
      <c r="BB475" s="3"/>
      <c r="BC475" s="3"/>
      <c r="BD475" s="3"/>
      <c r="BE475" s="3"/>
    </row>
    <row r="476" spans="1:57" x14ac:dyDescent="0.35">
      <c r="A476" s="66" t="s">
        <v>4366</v>
      </c>
      <c r="B476" s="67"/>
      <c r="C476" s="67"/>
      <c r="D476" s="68"/>
      <c r="E476" s="94"/>
      <c r="F476" s="93" t="str">
        <f>HYPERLINK("https://pbs.twimg.com/profile_images/1265397299645120518/KQsRqgRM_normal.jpg")</f>
        <v>https://pbs.twimg.com/profile_images/1265397299645120518/KQsRqgRM_normal.jpg</v>
      </c>
      <c r="G476" s="95"/>
      <c r="H476" s="71"/>
      <c r="I476" s="72"/>
      <c r="J476" s="96"/>
      <c r="K476" s="71" t="s">
        <v>11677</v>
      </c>
      <c r="L476" s="97"/>
      <c r="M476" s="76"/>
      <c r="N476" s="76"/>
      <c r="O476" s="77"/>
      <c r="P476" s="78"/>
      <c r="Q476" s="78"/>
      <c r="R476" s="92"/>
      <c r="S476" s="92"/>
      <c r="T476" s="92"/>
      <c r="U476" s="92"/>
      <c r="V476" s="52"/>
      <c r="W476" s="52"/>
      <c r="X476" s="52"/>
      <c r="Y476" s="52"/>
      <c r="Z476" s="51"/>
      <c r="AA476" s="73"/>
      <c r="AB476" s="73"/>
      <c r="AC476" s="74"/>
      <c r="AD476" s="81" t="s">
        <v>8308</v>
      </c>
      <c r="AE476" s="86" t="s">
        <v>9340</v>
      </c>
      <c r="AF476" s="81">
        <v>252</v>
      </c>
      <c r="AG476" s="81">
        <v>94</v>
      </c>
      <c r="AH476" s="81">
        <v>9463</v>
      </c>
      <c r="AI476" s="81">
        <v>1280</v>
      </c>
      <c r="AJ476" s="81"/>
      <c r="AK476" s="81" t="s">
        <v>10301</v>
      </c>
      <c r="AL476" s="81"/>
      <c r="AM476" s="81"/>
      <c r="AN476" s="81"/>
      <c r="AO476" s="83">
        <v>39995.083506944444</v>
      </c>
      <c r="AP476" s="84" t="str">
        <f>HYPERLINK("https://pbs.twimg.com/profile_banners/52598127/1594906748")</f>
        <v>https://pbs.twimg.com/profile_banners/52598127/1594906748</v>
      </c>
      <c r="AQ476" s="81" t="b">
        <v>0</v>
      </c>
      <c r="AR476" s="81" t="b">
        <v>0</v>
      </c>
      <c r="AS476" s="81" t="b">
        <v>1</v>
      </c>
      <c r="AT476" s="81"/>
      <c r="AU476" s="81">
        <v>0</v>
      </c>
      <c r="AV476" s="84" t="str">
        <f>HYPERLINK("https://abs.twimg.com/images/themes/theme14/bg.gif")</f>
        <v>https://abs.twimg.com/images/themes/theme14/bg.gif</v>
      </c>
      <c r="AW476" s="81" t="b">
        <v>0</v>
      </c>
      <c r="AX476" s="81" t="s">
        <v>3728</v>
      </c>
      <c r="AY476" s="84" t="str">
        <f>HYPERLINK("https://twitter.com/jssclmgmn")</f>
        <v>https://twitter.com/jssclmgmn</v>
      </c>
      <c r="AZ476" s="81" t="s">
        <v>66</v>
      </c>
      <c r="BA476" s="2"/>
      <c r="BB476" s="3"/>
      <c r="BC476" s="3"/>
      <c r="BD476" s="3"/>
      <c r="BE476" s="3"/>
    </row>
    <row r="477" spans="1:57" x14ac:dyDescent="0.35">
      <c r="A477" s="66" t="s">
        <v>4367</v>
      </c>
      <c r="B477" s="67"/>
      <c r="C477" s="67"/>
      <c r="D477" s="68"/>
      <c r="E477" s="94"/>
      <c r="F477" s="93" t="str">
        <f>HYPERLINK("https://pbs.twimg.com/profile_images/1052410490826018816/EMf1_KaY_normal.jpg")</f>
        <v>https://pbs.twimg.com/profile_images/1052410490826018816/EMf1_KaY_normal.jpg</v>
      </c>
      <c r="G477" s="95"/>
      <c r="H477" s="71"/>
      <c r="I477" s="72"/>
      <c r="J477" s="96"/>
      <c r="K477" s="71" t="s">
        <v>11678</v>
      </c>
      <c r="L477" s="97"/>
      <c r="M477" s="76"/>
      <c r="N477" s="76"/>
      <c r="O477" s="77"/>
      <c r="P477" s="78"/>
      <c r="Q477" s="78"/>
      <c r="R477" s="92"/>
      <c r="S477" s="92"/>
      <c r="T477" s="92"/>
      <c r="U477" s="92"/>
      <c r="V477" s="52"/>
      <c r="W477" s="52"/>
      <c r="X477" s="52"/>
      <c r="Y477" s="52"/>
      <c r="Z477" s="51"/>
      <c r="AA477" s="73"/>
      <c r="AB477" s="73"/>
      <c r="AC477" s="74"/>
      <c r="AD477" s="81" t="s">
        <v>8309</v>
      </c>
      <c r="AE477" s="86" t="s">
        <v>9341</v>
      </c>
      <c r="AF477" s="81">
        <v>928</v>
      </c>
      <c r="AG477" s="81">
        <v>2203</v>
      </c>
      <c r="AH477" s="81">
        <v>162128</v>
      </c>
      <c r="AI477" s="81">
        <v>342</v>
      </c>
      <c r="AJ477" s="81"/>
      <c r="AK477" s="81" t="s">
        <v>10302</v>
      </c>
      <c r="AL477" s="81" t="s">
        <v>11106</v>
      </c>
      <c r="AM477" s="84" t="str">
        <f>HYPERLINK("https://t.co/MCn89yUIFm")</f>
        <v>https://t.co/MCn89yUIFm</v>
      </c>
      <c r="AN477" s="81"/>
      <c r="AO477" s="83">
        <v>39392.668240740742</v>
      </c>
      <c r="AP477" s="84" t="str">
        <f>HYPERLINK("https://pbs.twimg.com/profile_banners/10002062/1479250478")</f>
        <v>https://pbs.twimg.com/profile_banners/10002062/1479250478</v>
      </c>
      <c r="AQ477" s="81" t="b">
        <v>0</v>
      </c>
      <c r="AR477" s="81" t="b">
        <v>0</v>
      </c>
      <c r="AS477" s="81" t="b">
        <v>1</v>
      </c>
      <c r="AT477" s="81"/>
      <c r="AU477" s="81">
        <v>44</v>
      </c>
      <c r="AV477" s="84" t="str">
        <f>HYPERLINK("https://abs.twimg.com/images/themes/theme1/bg.png")</f>
        <v>https://abs.twimg.com/images/themes/theme1/bg.png</v>
      </c>
      <c r="AW477" s="81" t="b">
        <v>0</v>
      </c>
      <c r="AX477" s="81" t="s">
        <v>3728</v>
      </c>
      <c r="AY477" s="84" t="str">
        <f>HYPERLINK("https://twitter.com/lcmarinho")</f>
        <v>https://twitter.com/lcmarinho</v>
      </c>
      <c r="AZ477" s="81" t="s">
        <v>66</v>
      </c>
      <c r="BA477" s="2"/>
      <c r="BB477" s="3"/>
      <c r="BC477" s="3"/>
      <c r="BD477" s="3"/>
      <c r="BE477" s="3"/>
    </row>
    <row r="478" spans="1:57" x14ac:dyDescent="0.35">
      <c r="A478" s="66" t="s">
        <v>4368</v>
      </c>
      <c r="B478" s="67"/>
      <c r="C478" s="67"/>
      <c r="D478" s="68"/>
      <c r="E478" s="94"/>
      <c r="F478" s="93" t="str">
        <f>HYPERLINK("https://pbs.twimg.com/profile_images/1215107003477110787/P9RxyOZ8_normal.jpg")</f>
        <v>https://pbs.twimg.com/profile_images/1215107003477110787/P9RxyOZ8_normal.jpg</v>
      </c>
      <c r="G478" s="95"/>
      <c r="H478" s="71"/>
      <c r="I478" s="72"/>
      <c r="J478" s="96"/>
      <c r="K478" s="71" t="s">
        <v>11679</v>
      </c>
      <c r="L478" s="97"/>
      <c r="M478" s="76"/>
      <c r="N478" s="76"/>
      <c r="O478" s="77"/>
      <c r="P478" s="78"/>
      <c r="Q478" s="78"/>
      <c r="R478" s="92"/>
      <c r="S478" s="92"/>
      <c r="T478" s="92"/>
      <c r="U478" s="92"/>
      <c r="V478" s="52"/>
      <c r="W478" s="52"/>
      <c r="X478" s="52"/>
      <c r="Y478" s="52"/>
      <c r="Z478" s="51"/>
      <c r="AA478" s="73"/>
      <c r="AB478" s="73"/>
      <c r="AC478" s="74"/>
      <c r="AD478" s="81" t="s">
        <v>8310</v>
      </c>
      <c r="AE478" s="86" t="s">
        <v>9342</v>
      </c>
      <c r="AF478" s="81">
        <v>1164</v>
      </c>
      <c r="AG478" s="81">
        <v>9465</v>
      </c>
      <c r="AH478" s="81">
        <v>32023</v>
      </c>
      <c r="AI478" s="81">
        <v>17337</v>
      </c>
      <c r="AJ478" s="81"/>
      <c r="AK478" s="81" t="s">
        <v>10303</v>
      </c>
      <c r="AL478" s="81" t="s">
        <v>11107</v>
      </c>
      <c r="AM478" s="84" t="str">
        <f>HYPERLINK("https://t.co/Nr0HZzHoiz")</f>
        <v>https://t.co/Nr0HZzHoiz</v>
      </c>
      <c r="AN478" s="81"/>
      <c r="AO478" s="83">
        <v>40117.064814814818</v>
      </c>
      <c r="AP478" s="84" t="str">
        <f>HYPERLINK("https://pbs.twimg.com/profile_banners/86438458/1578539259")</f>
        <v>https://pbs.twimg.com/profile_banners/86438458/1578539259</v>
      </c>
      <c r="AQ478" s="81" t="b">
        <v>0</v>
      </c>
      <c r="AR478" s="81" t="b">
        <v>0</v>
      </c>
      <c r="AS478" s="81" t="b">
        <v>1</v>
      </c>
      <c r="AT478" s="81"/>
      <c r="AU478" s="81">
        <v>219</v>
      </c>
      <c r="AV478" s="84" t="str">
        <f>HYPERLINK("https://abs.twimg.com/images/themes/theme9/bg.gif")</f>
        <v>https://abs.twimg.com/images/themes/theme9/bg.gif</v>
      </c>
      <c r="AW478" s="81" t="b">
        <v>0</v>
      </c>
      <c r="AX478" s="81" t="s">
        <v>3728</v>
      </c>
      <c r="AY478" s="84" t="str">
        <f>HYPERLINK("https://twitter.com/felipedjeguaka")</f>
        <v>https://twitter.com/felipedjeguaka</v>
      </c>
      <c r="AZ478" s="81" t="s">
        <v>66</v>
      </c>
      <c r="BA478" s="2"/>
      <c r="BB478" s="3"/>
      <c r="BC478" s="3"/>
      <c r="BD478" s="3"/>
      <c r="BE478" s="3"/>
    </row>
    <row r="479" spans="1:57" x14ac:dyDescent="0.35">
      <c r="A479" s="66" t="s">
        <v>4369</v>
      </c>
      <c r="B479" s="67"/>
      <c r="C479" s="67"/>
      <c r="D479" s="68"/>
      <c r="E479" s="94"/>
      <c r="F479" s="93" t="str">
        <f>HYPERLINK("https://pbs.twimg.com/profile_images/1416810776845852676/bhl_a64r_normal.jpg")</f>
        <v>https://pbs.twimg.com/profile_images/1416810776845852676/bhl_a64r_normal.jpg</v>
      </c>
      <c r="G479" s="95"/>
      <c r="H479" s="71"/>
      <c r="I479" s="72"/>
      <c r="J479" s="96"/>
      <c r="K479" s="71" t="s">
        <v>11680</v>
      </c>
      <c r="L479" s="97"/>
      <c r="M479" s="76"/>
      <c r="N479" s="76"/>
      <c r="O479" s="77"/>
      <c r="P479" s="78"/>
      <c r="Q479" s="78"/>
      <c r="R479" s="92"/>
      <c r="S479" s="92"/>
      <c r="T479" s="92"/>
      <c r="U479" s="92"/>
      <c r="V479" s="52"/>
      <c r="W479" s="52"/>
      <c r="X479" s="52"/>
      <c r="Y479" s="52"/>
      <c r="Z479" s="51"/>
      <c r="AA479" s="73"/>
      <c r="AB479" s="73"/>
      <c r="AC479" s="74"/>
      <c r="AD479" s="81" t="s">
        <v>4369</v>
      </c>
      <c r="AE479" s="86" t="s">
        <v>9343</v>
      </c>
      <c r="AF479" s="81">
        <v>375</v>
      </c>
      <c r="AG479" s="81">
        <v>216</v>
      </c>
      <c r="AH479" s="81">
        <v>5755</v>
      </c>
      <c r="AI479" s="81">
        <v>23671</v>
      </c>
      <c r="AJ479" s="81"/>
      <c r="AK479" s="81"/>
      <c r="AL479" s="81" t="s">
        <v>11108</v>
      </c>
      <c r="AM479" s="81"/>
      <c r="AN479" s="81"/>
      <c r="AO479" s="83">
        <v>43157.914907407408</v>
      </c>
      <c r="AP479" s="84" t="str">
        <f>HYPERLINK("https://pbs.twimg.com/profile_banners/968243641906065414/1611034820")</f>
        <v>https://pbs.twimg.com/profile_banners/968243641906065414/1611034820</v>
      </c>
      <c r="AQ479" s="81" t="b">
        <v>0</v>
      </c>
      <c r="AR479" s="81" t="b">
        <v>0</v>
      </c>
      <c r="AS479" s="81" t="b">
        <v>0</v>
      </c>
      <c r="AT479" s="81"/>
      <c r="AU479" s="81">
        <v>0</v>
      </c>
      <c r="AV479" s="84" t="str">
        <f>HYPERLINK("https://abs.twimg.com/images/themes/theme1/bg.png")</f>
        <v>https://abs.twimg.com/images/themes/theme1/bg.png</v>
      </c>
      <c r="AW479" s="81" t="b">
        <v>0</v>
      </c>
      <c r="AX479" s="81" t="s">
        <v>3728</v>
      </c>
      <c r="AY479" s="84" t="str">
        <f>HYPERLINK("https://twitter.com/chokitodecarne")</f>
        <v>https://twitter.com/chokitodecarne</v>
      </c>
      <c r="AZ479" s="81" t="s">
        <v>66</v>
      </c>
      <c r="BA479" s="2"/>
      <c r="BB479" s="3"/>
      <c r="BC479" s="3"/>
      <c r="BD479" s="3"/>
      <c r="BE479" s="3"/>
    </row>
    <row r="480" spans="1:57" x14ac:dyDescent="0.35">
      <c r="A480" s="66" t="s">
        <v>5051</v>
      </c>
      <c r="B480" s="67"/>
      <c r="C480" s="67"/>
      <c r="D480" s="68"/>
      <c r="E480" s="94"/>
      <c r="F480" s="93" t="str">
        <f>HYPERLINK("https://pbs.twimg.com/profile_images/1060243945496735745/o0IHY0Rx_normal.jpg")</f>
        <v>https://pbs.twimg.com/profile_images/1060243945496735745/o0IHY0Rx_normal.jpg</v>
      </c>
      <c r="G480" s="95"/>
      <c r="H480" s="71"/>
      <c r="I480" s="72"/>
      <c r="J480" s="96"/>
      <c r="K480" s="71" t="s">
        <v>11681</v>
      </c>
      <c r="L480" s="97"/>
      <c r="M480" s="76"/>
      <c r="N480" s="76"/>
      <c r="O480" s="77"/>
      <c r="P480" s="78"/>
      <c r="Q480" s="78"/>
      <c r="R480" s="92"/>
      <c r="S480" s="92"/>
      <c r="T480" s="92"/>
      <c r="U480" s="92"/>
      <c r="V480" s="52"/>
      <c r="W480" s="52"/>
      <c r="X480" s="52"/>
      <c r="Y480" s="52"/>
      <c r="Z480" s="51"/>
      <c r="AA480" s="73"/>
      <c r="AB480" s="73"/>
      <c r="AC480" s="74"/>
      <c r="AD480" s="81" t="s">
        <v>8311</v>
      </c>
      <c r="AE480" s="86" t="s">
        <v>9344</v>
      </c>
      <c r="AF480" s="81">
        <v>2765</v>
      </c>
      <c r="AG480" s="81">
        <v>5119</v>
      </c>
      <c r="AH480" s="81">
        <v>5571</v>
      </c>
      <c r="AI480" s="81">
        <v>24849</v>
      </c>
      <c r="AJ480" s="81"/>
      <c r="AK480" s="81" t="s">
        <v>10304</v>
      </c>
      <c r="AL480" s="81" t="s">
        <v>7998</v>
      </c>
      <c r="AM480" s="81"/>
      <c r="AN480" s="81"/>
      <c r="AO480" s="83">
        <v>39839.656990740739</v>
      </c>
      <c r="AP480" s="84" t="str">
        <f>HYPERLINK("https://pbs.twimg.com/profile_banners/19540066/1539887182")</f>
        <v>https://pbs.twimg.com/profile_banners/19540066/1539887182</v>
      </c>
      <c r="AQ480" s="81" t="b">
        <v>1</v>
      </c>
      <c r="AR480" s="81" t="b">
        <v>0</v>
      </c>
      <c r="AS480" s="81" t="b">
        <v>0</v>
      </c>
      <c r="AT480" s="81"/>
      <c r="AU480" s="81">
        <v>126</v>
      </c>
      <c r="AV480" s="84" t="str">
        <f>HYPERLINK("https://abs.twimg.com/images/themes/theme1/bg.png")</f>
        <v>https://abs.twimg.com/images/themes/theme1/bg.png</v>
      </c>
      <c r="AW480" s="81" t="b">
        <v>1</v>
      </c>
      <c r="AX480" s="81" t="s">
        <v>3728</v>
      </c>
      <c r="AY480" s="84" t="str">
        <f>HYPERLINK("https://twitter.com/mariosbessa")</f>
        <v>https://twitter.com/mariosbessa</v>
      </c>
      <c r="AZ480" s="81" t="s">
        <v>65</v>
      </c>
      <c r="BA480" s="2"/>
      <c r="BB480" s="3"/>
      <c r="BC480" s="3"/>
      <c r="BD480" s="3"/>
      <c r="BE480" s="3"/>
    </row>
    <row r="481" spans="1:57" x14ac:dyDescent="0.35">
      <c r="A481" s="66" t="s">
        <v>5052</v>
      </c>
      <c r="B481" s="67"/>
      <c r="C481" s="67"/>
      <c r="D481" s="68"/>
      <c r="E481" s="94"/>
      <c r="F481" s="93" t="str">
        <f>HYPERLINK("https://pbs.twimg.com/profile_images/1425304502924627968/Tx9Ng51Y_normal.jpg")</f>
        <v>https://pbs.twimg.com/profile_images/1425304502924627968/Tx9Ng51Y_normal.jpg</v>
      </c>
      <c r="G481" s="95"/>
      <c r="H481" s="71"/>
      <c r="I481" s="72"/>
      <c r="J481" s="96"/>
      <c r="K481" s="71" t="s">
        <v>11682</v>
      </c>
      <c r="L481" s="97"/>
      <c r="M481" s="76"/>
      <c r="N481" s="76"/>
      <c r="O481" s="77"/>
      <c r="P481" s="78"/>
      <c r="Q481" s="78"/>
      <c r="R481" s="92"/>
      <c r="S481" s="92"/>
      <c r="T481" s="92"/>
      <c r="U481" s="92"/>
      <c r="V481" s="52"/>
      <c r="W481" s="52"/>
      <c r="X481" s="52"/>
      <c r="Y481" s="52"/>
      <c r="Z481" s="51"/>
      <c r="AA481" s="73"/>
      <c r="AB481" s="73"/>
      <c r="AC481" s="74"/>
      <c r="AD481" s="81" t="s">
        <v>8312</v>
      </c>
      <c r="AE481" s="86" t="s">
        <v>9345</v>
      </c>
      <c r="AF481" s="81">
        <v>1826</v>
      </c>
      <c r="AG481" s="81">
        <v>30</v>
      </c>
      <c r="AH481" s="81">
        <v>496</v>
      </c>
      <c r="AI481" s="81">
        <v>8427</v>
      </c>
      <c r="AJ481" s="81"/>
      <c r="AK481" s="81" t="s">
        <v>10305</v>
      </c>
      <c r="AL481" s="81"/>
      <c r="AM481" s="81"/>
      <c r="AN481" s="81"/>
      <c r="AO481" s="83">
        <v>44339.865787037037</v>
      </c>
      <c r="AP481" s="84" t="str">
        <f>HYPERLINK("https://pbs.twimg.com/profile_banners/1396568200922402827/1627909403")</f>
        <v>https://pbs.twimg.com/profile_banners/1396568200922402827/1627909403</v>
      </c>
      <c r="AQ481" s="81" t="b">
        <v>1</v>
      </c>
      <c r="AR481" s="81" t="b">
        <v>0</v>
      </c>
      <c r="AS481" s="81" t="b">
        <v>0</v>
      </c>
      <c r="AT481" s="81"/>
      <c r="AU481" s="81">
        <v>1</v>
      </c>
      <c r="AV481" s="81"/>
      <c r="AW481" s="81" t="b">
        <v>0</v>
      </c>
      <c r="AX481" s="81" t="s">
        <v>3728</v>
      </c>
      <c r="AY481" s="84" t="str">
        <f>HYPERLINK("https://twitter.com/oldboy_monster")</f>
        <v>https://twitter.com/oldboy_monster</v>
      </c>
      <c r="AZ481" s="81" t="s">
        <v>65</v>
      </c>
      <c r="BA481" s="2"/>
      <c r="BB481" s="3"/>
      <c r="BC481" s="3"/>
      <c r="BD481" s="3"/>
      <c r="BE481" s="3"/>
    </row>
    <row r="482" spans="1:57" x14ac:dyDescent="0.35">
      <c r="A482" s="66" t="s">
        <v>5053</v>
      </c>
      <c r="B482" s="67"/>
      <c r="C482" s="67"/>
      <c r="D482" s="68"/>
      <c r="E482" s="94"/>
      <c r="F482" s="93" t="str">
        <f>HYPERLINK("https://pbs.twimg.com/profile_images/1171058177246420992/ueZjV1Vg_normal.jpg")</f>
        <v>https://pbs.twimg.com/profile_images/1171058177246420992/ueZjV1Vg_normal.jpg</v>
      </c>
      <c r="G482" s="95"/>
      <c r="H482" s="71"/>
      <c r="I482" s="72"/>
      <c r="J482" s="96"/>
      <c r="K482" s="71" t="s">
        <v>11683</v>
      </c>
      <c r="L482" s="97"/>
      <c r="M482" s="76"/>
      <c r="N482" s="76"/>
      <c r="O482" s="77"/>
      <c r="P482" s="78"/>
      <c r="Q482" s="78"/>
      <c r="R482" s="92"/>
      <c r="S482" s="92"/>
      <c r="T482" s="92"/>
      <c r="U482" s="92"/>
      <c r="V482" s="52"/>
      <c r="W482" s="52"/>
      <c r="X482" s="52"/>
      <c r="Y482" s="52"/>
      <c r="Z482" s="51"/>
      <c r="AA482" s="73"/>
      <c r="AB482" s="73"/>
      <c r="AC482" s="74"/>
      <c r="AD482" s="81" t="s">
        <v>8313</v>
      </c>
      <c r="AE482" s="86" t="s">
        <v>7840</v>
      </c>
      <c r="AF482" s="81">
        <v>34</v>
      </c>
      <c r="AG482" s="81">
        <v>11</v>
      </c>
      <c r="AH482" s="81">
        <v>2726</v>
      </c>
      <c r="AI482" s="81">
        <v>178</v>
      </c>
      <c r="AJ482" s="81"/>
      <c r="AK482" s="81"/>
      <c r="AL482" s="81"/>
      <c r="AM482" s="81"/>
      <c r="AN482" s="81"/>
      <c r="AO482" s="83">
        <v>43717.576006944444</v>
      </c>
      <c r="AP482" s="81"/>
      <c r="AQ482" s="81" t="b">
        <v>1</v>
      </c>
      <c r="AR482" s="81" t="b">
        <v>0</v>
      </c>
      <c r="AS482" s="81" t="b">
        <v>0</v>
      </c>
      <c r="AT482" s="81"/>
      <c r="AU482" s="81">
        <v>0</v>
      </c>
      <c r="AV482" s="81"/>
      <c r="AW482" s="81" t="b">
        <v>0</v>
      </c>
      <c r="AX482" s="81" t="s">
        <v>3728</v>
      </c>
      <c r="AY482" s="84" t="str">
        <f>HYPERLINK("https://twitter.com/leandrosc18")</f>
        <v>https://twitter.com/leandrosc18</v>
      </c>
      <c r="AZ482" s="81" t="s">
        <v>65</v>
      </c>
      <c r="BA482" s="2"/>
      <c r="BB482" s="3"/>
      <c r="BC482" s="3"/>
      <c r="BD482" s="3"/>
      <c r="BE482" s="3"/>
    </row>
    <row r="483" spans="1:57" x14ac:dyDescent="0.35">
      <c r="A483" s="66" t="s">
        <v>4370</v>
      </c>
      <c r="B483" s="67"/>
      <c r="C483" s="67"/>
      <c r="D483" s="68"/>
      <c r="E483" s="94"/>
      <c r="F483" s="93" t="str">
        <f>HYPERLINK("https://pbs.twimg.com/profile_images/1433807998367961092/JC-PVhrW_normal.jpg")</f>
        <v>https://pbs.twimg.com/profile_images/1433807998367961092/JC-PVhrW_normal.jpg</v>
      </c>
      <c r="G483" s="95"/>
      <c r="H483" s="71"/>
      <c r="I483" s="72"/>
      <c r="J483" s="96"/>
      <c r="K483" s="71" t="s">
        <v>11684</v>
      </c>
      <c r="L483" s="97"/>
      <c r="M483" s="76"/>
      <c r="N483" s="76"/>
      <c r="O483" s="77"/>
      <c r="P483" s="78"/>
      <c r="Q483" s="78"/>
      <c r="R483" s="92"/>
      <c r="S483" s="92"/>
      <c r="T483" s="92"/>
      <c r="U483" s="92"/>
      <c r="V483" s="52"/>
      <c r="W483" s="52"/>
      <c r="X483" s="52"/>
      <c r="Y483" s="52"/>
      <c r="Z483" s="51"/>
      <c r="AA483" s="73"/>
      <c r="AB483" s="73"/>
      <c r="AC483" s="74"/>
      <c r="AD483" s="81" t="s">
        <v>8314</v>
      </c>
      <c r="AE483" s="86" t="s">
        <v>9346</v>
      </c>
      <c r="AF483" s="81">
        <v>1634</v>
      </c>
      <c r="AG483" s="81">
        <v>1925</v>
      </c>
      <c r="AH483" s="81">
        <v>3830</v>
      </c>
      <c r="AI483" s="81">
        <v>12360</v>
      </c>
      <c r="AJ483" s="81"/>
      <c r="AK483" s="81" t="s">
        <v>10306</v>
      </c>
      <c r="AL483" s="81"/>
      <c r="AM483" s="84" t="str">
        <f>HYPERLINK("https://t.co/hjCAcNoUq8")</f>
        <v>https://t.co/hjCAcNoUq8</v>
      </c>
      <c r="AN483" s="81"/>
      <c r="AO483" s="83">
        <v>40022.99900462963</v>
      </c>
      <c r="AP483" s="84" t="str">
        <f>HYPERLINK("https://pbs.twimg.com/profile_banners/61058501/1631328176")</f>
        <v>https://pbs.twimg.com/profile_banners/61058501/1631328176</v>
      </c>
      <c r="AQ483" s="81" t="b">
        <v>0</v>
      </c>
      <c r="AR483" s="81" t="b">
        <v>0</v>
      </c>
      <c r="AS483" s="81" t="b">
        <v>0</v>
      </c>
      <c r="AT483" s="81"/>
      <c r="AU483" s="81">
        <v>15</v>
      </c>
      <c r="AV483" s="84" t="str">
        <f>HYPERLINK("https://abs.twimg.com/images/themes/theme1/bg.png")</f>
        <v>https://abs.twimg.com/images/themes/theme1/bg.png</v>
      </c>
      <c r="AW483" s="81" t="b">
        <v>0</v>
      </c>
      <c r="AX483" s="81" t="s">
        <v>3728</v>
      </c>
      <c r="AY483" s="84" t="str">
        <f>HYPERLINK("https://twitter.com/marciarcandido")</f>
        <v>https://twitter.com/marciarcandido</v>
      </c>
      <c r="AZ483" s="81" t="s">
        <v>66</v>
      </c>
      <c r="BA483" s="2"/>
      <c r="BB483" s="3"/>
      <c r="BC483" s="3"/>
      <c r="BD483" s="3"/>
      <c r="BE483" s="3"/>
    </row>
    <row r="484" spans="1:57" x14ac:dyDescent="0.35">
      <c r="A484" s="66" t="s">
        <v>4371</v>
      </c>
      <c r="B484" s="67"/>
      <c r="C484" s="67"/>
      <c r="D484" s="68"/>
      <c r="E484" s="94"/>
      <c r="F484" s="93" t="str">
        <f>HYPERLINK("https://pbs.twimg.com/profile_images/1423780372328984582/e5E8Mcov_normal.jpg")</f>
        <v>https://pbs.twimg.com/profile_images/1423780372328984582/e5E8Mcov_normal.jpg</v>
      </c>
      <c r="G484" s="95"/>
      <c r="H484" s="71"/>
      <c r="I484" s="72"/>
      <c r="J484" s="96"/>
      <c r="K484" s="71" t="s">
        <v>11685</v>
      </c>
      <c r="L484" s="97"/>
      <c r="M484" s="76"/>
      <c r="N484" s="76"/>
      <c r="O484" s="77"/>
      <c r="P484" s="78"/>
      <c r="Q484" s="78"/>
      <c r="R484" s="92"/>
      <c r="S484" s="92"/>
      <c r="T484" s="92"/>
      <c r="U484" s="92"/>
      <c r="V484" s="52"/>
      <c r="W484" s="52"/>
      <c r="X484" s="52"/>
      <c r="Y484" s="52"/>
      <c r="Z484" s="51"/>
      <c r="AA484" s="73"/>
      <c r="AB484" s="73"/>
      <c r="AC484" s="74"/>
      <c r="AD484" s="81" t="s">
        <v>8315</v>
      </c>
      <c r="AE484" s="86" t="s">
        <v>9347</v>
      </c>
      <c r="AF484" s="81">
        <v>1358</v>
      </c>
      <c r="AG484" s="81">
        <v>929</v>
      </c>
      <c r="AH484" s="81">
        <v>2785</v>
      </c>
      <c r="AI484" s="81">
        <v>3781</v>
      </c>
      <c r="AJ484" s="81"/>
      <c r="AK484" s="81" t="s">
        <v>10307</v>
      </c>
      <c r="AL484" s="81" t="s">
        <v>11109</v>
      </c>
      <c r="AM484" s="81"/>
      <c r="AN484" s="81"/>
      <c r="AO484" s="83">
        <v>44414.899467592593</v>
      </c>
      <c r="AP484" s="81"/>
      <c r="AQ484" s="81" t="b">
        <v>1</v>
      </c>
      <c r="AR484" s="81" t="b">
        <v>0</v>
      </c>
      <c r="AS484" s="81" t="b">
        <v>0</v>
      </c>
      <c r="AT484" s="81"/>
      <c r="AU484" s="81">
        <v>1</v>
      </c>
      <c r="AV484" s="81"/>
      <c r="AW484" s="81" t="b">
        <v>0</v>
      </c>
      <c r="AX484" s="81" t="s">
        <v>3728</v>
      </c>
      <c r="AY484" s="84" t="str">
        <f>HYPERLINK("https://twitter.com/antnioc23355379")</f>
        <v>https://twitter.com/antnioc23355379</v>
      </c>
      <c r="AZ484" s="81" t="s">
        <v>66</v>
      </c>
      <c r="BA484" s="2"/>
      <c r="BB484" s="3"/>
      <c r="BC484" s="3"/>
      <c r="BD484" s="3"/>
      <c r="BE484" s="3"/>
    </row>
    <row r="485" spans="1:57" x14ac:dyDescent="0.35">
      <c r="A485" s="66" t="s">
        <v>5054</v>
      </c>
      <c r="B485" s="67"/>
      <c r="C485" s="67"/>
      <c r="D485" s="68"/>
      <c r="E485" s="94"/>
      <c r="F485" s="93" t="str">
        <f>HYPERLINK("https://pbs.twimg.com/profile_images/651467900306501633/M-6M4Fgg_normal.jpg")</f>
        <v>https://pbs.twimg.com/profile_images/651467900306501633/M-6M4Fgg_normal.jpg</v>
      </c>
      <c r="G485" s="95"/>
      <c r="H485" s="71"/>
      <c r="I485" s="72"/>
      <c r="J485" s="96"/>
      <c r="K485" s="71" t="s">
        <v>11686</v>
      </c>
      <c r="L485" s="97"/>
      <c r="M485" s="76"/>
      <c r="N485" s="76"/>
      <c r="O485" s="77"/>
      <c r="P485" s="78"/>
      <c r="Q485" s="78"/>
      <c r="R485" s="92"/>
      <c r="S485" s="92"/>
      <c r="T485" s="92"/>
      <c r="U485" s="92"/>
      <c r="V485" s="52"/>
      <c r="W485" s="52"/>
      <c r="X485" s="52"/>
      <c r="Y485" s="52"/>
      <c r="Z485" s="51"/>
      <c r="AA485" s="73"/>
      <c r="AB485" s="73"/>
      <c r="AC485" s="74"/>
      <c r="AD485" s="81" t="s">
        <v>8316</v>
      </c>
      <c r="AE485" s="86" t="s">
        <v>7950</v>
      </c>
      <c r="AF485" s="81">
        <v>871</v>
      </c>
      <c r="AG485" s="81">
        <v>209637</v>
      </c>
      <c r="AH485" s="81">
        <v>33909</v>
      </c>
      <c r="AI485" s="81">
        <v>1</v>
      </c>
      <c r="AJ485" s="81"/>
      <c r="AK485" s="81" t="s">
        <v>10308</v>
      </c>
      <c r="AL485" s="81"/>
      <c r="AM485" s="84" t="str">
        <f>HYPERLINK("http://t.co/PVh3fYQpP9")</f>
        <v>http://t.co/PVh3fYQpP9</v>
      </c>
      <c r="AN485" s="81"/>
      <c r="AO485" s="83">
        <v>40469.626527777778</v>
      </c>
      <c r="AP485" s="84" t="str">
        <f>HYPERLINK("https://pbs.twimg.com/profile_banners/204368952/1444745846")</f>
        <v>https://pbs.twimg.com/profile_banners/204368952/1444745846</v>
      </c>
      <c r="AQ485" s="81" t="b">
        <v>0</v>
      </c>
      <c r="AR485" s="81" t="b">
        <v>0</v>
      </c>
      <c r="AS485" s="81" t="b">
        <v>0</v>
      </c>
      <c r="AT485" s="81"/>
      <c r="AU485" s="81">
        <v>1228</v>
      </c>
      <c r="AV485" s="84" t="str">
        <f>HYPERLINK("https://abs.twimg.com/images/themes/theme15/bg.png")</f>
        <v>https://abs.twimg.com/images/themes/theme15/bg.png</v>
      </c>
      <c r="AW485" s="81" t="b">
        <v>1</v>
      </c>
      <c r="AX485" s="81" t="s">
        <v>3728</v>
      </c>
      <c r="AY485" s="84" t="str">
        <f>HYPERLINK("https://twitter.com/laurojardim")</f>
        <v>https://twitter.com/laurojardim</v>
      </c>
      <c r="AZ485" s="81" t="s">
        <v>65</v>
      </c>
      <c r="BA485" s="2"/>
      <c r="BB485" s="3"/>
      <c r="BC485" s="3"/>
      <c r="BD485" s="3"/>
      <c r="BE485" s="3"/>
    </row>
    <row r="486" spans="1:57" x14ac:dyDescent="0.35">
      <c r="A486" s="66" t="s">
        <v>4372</v>
      </c>
      <c r="B486" s="67"/>
      <c r="C486" s="67"/>
      <c r="D486" s="68"/>
      <c r="E486" s="94"/>
      <c r="F486" s="93" t="str">
        <f>HYPERLINK("https://pbs.twimg.com/profile_images/1436472673614376960/PFgloBWn_normal.jpg")</f>
        <v>https://pbs.twimg.com/profile_images/1436472673614376960/PFgloBWn_normal.jpg</v>
      </c>
      <c r="G486" s="95"/>
      <c r="H486" s="71"/>
      <c r="I486" s="72"/>
      <c r="J486" s="96"/>
      <c r="K486" s="71" t="s">
        <v>11687</v>
      </c>
      <c r="L486" s="97"/>
      <c r="M486" s="76"/>
      <c r="N486" s="76"/>
      <c r="O486" s="77"/>
      <c r="P486" s="78"/>
      <c r="Q486" s="78"/>
      <c r="R486" s="92"/>
      <c r="S486" s="92"/>
      <c r="T486" s="92"/>
      <c r="U486" s="92"/>
      <c r="V486" s="52"/>
      <c r="W486" s="52"/>
      <c r="X486" s="52"/>
      <c r="Y486" s="52"/>
      <c r="Z486" s="51"/>
      <c r="AA486" s="73"/>
      <c r="AB486" s="73"/>
      <c r="AC486" s="74"/>
      <c r="AD486" s="81" t="s">
        <v>8317</v>
      </c>
      <c r="AE486" s="86" t="s">
        <v>9348</v>
      </c>
      <c r="AF486" s="81">
        <v>164</v>
      </c>
      <c r="AG486" s="81">
        <v>162</v>
      </c>
      <c r="AH486" s="81">
        <v>2774</v>
      </c>
      <c r="AI486" s="81">
        <v>1236</v>
      </c>
      <c r="AJ486" s="81"/>
      <c r="AK486" s="81"/>
      <c r="AL486" s="81"/>
      <c r="AM486" s="81"/>
      <c r="AN486" s="81"/>
      <c r="AO486" s="83">
        <v>40194.124571759261</v>
      </c>
      <c r="AP486" s="81"/>
      <c r="AQ486" s="81" t="b">
        <v>0</v>
      </c>
      <c r="AR486" s="81" t="b">
        <v>0</v>
      </c>
      <c r="AS486" s="81" t="b">
        <v>0</v>
      </c>
      <c r="AT486" s="81"/>
      <c r="AU486" s="81">
        <v>2</v>
      </c>
      <c r="AV486" s="84" t="str">
        <f>HYPERLINK("https://abs.twimg.com/images/themes/theme7/bg.gif")</f>
        <v>https://abs.twimg.com/images/themes/theme7/bg.gif</v>
      </c>
      <c r="AW486" s="81" t="b">
        <v>0</v>
      </c>
      <c r="AX486" s="81" t="s">
        <v>3728</v>
      </c>
      <c r="AY486" s="84" t="str">
        <f>HYPERLINK("https://twitter.com/biaml")</f>
        <v>https://twitter.com/biaml</v>
      </c>
      <c r="AZ486" s="81" t="s">
        <v>66</v>
      </c>
      <c r="BA486" s="2"/>
      <c r="BB486" s="3"/>
      <c r="BC486" s="3"/>
      <c r="BD486" s="3"/>
      <c r="BE486" s="3"/>
    </row>
    <row r="487" spans="1:57" x14ac:dyDescent="0.35">
      <c r="A487" s="66" t="s">
        <v>4373</v>
      </c>
      <c r="B487" s="67"/>
      <c r="C487" s="67"/>
      <c r="D487" s="68"/>
      <c r="E487" s="94"/>
      <c r="F487" s="93" t="str">
        <f>HYPERLINK("https://pbs.twimg.com/profile_images/949668581880553473/jEQEQ_Ja_normal.jpg")</f>
        <v>https://pbs.twimg.com/profile_images/949668581880553473/jEQEQ_Ja_normal.jpg</v>
      </c>
      <c r="G487" s="95"/>
      <c r="H487" s="71"/>
      <c r="I487" s="72"/>
      <c r="J487" s="96"/>
      <c r="K487" s="71" t="s">
        <v>11688</v>
      </c>
      <c r="L487" s="97"/>
      <c r="M487" s="76"/>
      <c r="N487" s="76"/>
      <c r="O487" s="77"/>
      <c r="P487" s="78"/>
      <c r="Q487" s="78"/>
      <c r="R487" s="92"/>
      <c r="S487" s="92"/>
      <c r="T487" s="92"/>
      <c r="U487" s="92"/>
      <c r="V487" s="52"/>
      <c r="W487" s="52"/>
      <c r="X487" s="52"/>
      <c r="Y487" s="52"/>
      <c r="Z487" s="51"/>
      <c r="AA487" s="73"/>
      <c r="AB487" s="73"/>
      <c r="AC487" s="74"/>
      <c r="AD487" s="81" t="s">
        <v>8318</v>
      </c>
      <c r="AE487" s="86" t="s">
        <v>9349</v>
      </c>
      <c r="AF487" s="81">
        <v>67</v>
      </c>
      <c r="AG487" s="81">
        <v>48</v>
      </c>
      <c r="AH487" s="81">
        <v>310</v>
      </c>
      <c r="AI487" s="81">
        <v>1462</v>
      </c>
      <c r="AJ487" s="81"/>
      <c r="AK487" s="81" t="s">
        <v>10309</v>
      </c>
      <c r="AL487" s="81" t="s">
        <v>11110</v>
      </c>
      <c r="AM487" s="81"/>
      <c r="AN487" s="81"/>
      <c r="AO487" s="83">
        <v>40097.82949074074</v>
      </c>
      <c r="AP487" s="81"/>
      <c r="AQ487" s="81" t="b">
        <v>0</v>
      </c>
      <c r="AR487" s="81" t="b">
        <v>0</v>
      </c>
      <c r="AS487" s="81" t="b">
        <v>0</v>
      </c>
      <c r="AT487" s="81"/>
      <c r="AU487" s="81">
        <v>0</v>
      </c>
      <c r="AV487" s="84" t="str">
        <f>HYPERLINK("https://abs.twimg.com/images/themes/theme9/bg.gif")</f>
        <v>https://abs.twimg.com/images/themes/theme9/bg.gif</v>
      </c>
      <c r="AW487" s="81" t="b">
        <v>0</v>
      </c>
      <c r="AX487" s="81" t="s">
        <v>3728</v>
      </c>
      <c r="AY487" s="84" t="str">
        <f>HYPERLINK("https://twitter.com/riobonitoac")</f>
        <v>https://twitter.com/riobonitoac</v>
      </c>
      <c r="AZ487" s="81" t="s">
        <v>66</v>
      </c>
      <c r="BA487" s="2"/>
      <c r="BB487" s="3"/>
      <c r="BC487" s="3"/>
      <c r="BD487" s="3"/>
      <c r="BE487" s="3"/>
    </row>
    <row r="488" spans="1:57" x14ac:dyDescent="0.35">
      <c r="A488" s="66" t="s">
        <v>5055</v>
      </c>
      <c r="B488" s="67"/>
      <c r="C488" s="67"/>
      <c r="D488" s="68"/>
      <c r="E488" s="94"/>
      <c r="F488" s="93" t="str">
        <f>HYPERLINK("https://pbs.twimg.com/profile_images/943483867410960384/fpj6_U7B_normal.jpg")</f>
        <v>https://pbs.twimg.com/profile_images/943483867410960384/fpj6_U7B_normal.jpg</v>
      </c>
      <c r="G488" s="95"/>
      <c r="H488" s="71"/>
      <c r="I488" s="72"/>
      <c r="J488" s="96"/>
      <c r="K488" s="71" t="s">
        <v>11689</v>
      </c>
      <c r="L488" s="97"/>
      <c r="M488" s="76"/>
      <c r="N488" s="76"/>
      <c r="O488" s="77"/>
      <c r="P488" s="78"/>
      <c r="Q488" s="78"/>
      <c r="R488" s="92"/>
      <c r="S488" s="92"/>
      <c r="T488" s="92"/>
      <c r="U488" s="92"/>
      <c r="V488" s="52"/>
      <c r="W488" s="52"/>
      <c r="X488" s="52"/>
      <c r="Y488" s="52"/>
      <c r="Z488" s="51"/>
      <c r="AA488" s="73"/>
      <c r="AB488" s="73"/>
      <c r="AC488" s="74"/>
      <c r="AD488" s="81" t="s">
        <v>8319</v>
      </c>
      <c r="AE488" s="86" t="s">
        <v>7841</v>
      </c>
      <c r="AF488" s="81">
        <v>859</v>
      </c>
      <c r="AG488" s="81">
        <v>200688</v>
      </c>
      <c r="AH488" s="81">
        <v>27757</v>
      </c>
      <c r="AI488" s="81">
        <v>23702</v>
      </c>
      <c r="AJ488" s="81"/>
      <c r="AK488" s="81" t="s">
        <v>10310</v>
      </c>
      <c r="AL488" s="81" t="s">
        <v>10992</v>
      </c>
      <c r="AM488" s="84" t="str">
        <f>HYPERLINK("https://t.co/Ot5mWRAXrI")</f>
        <v>https://t.co/Ot5mWRAXrI</v>
      </c>
      <c r="AN488" s="81"/>
      <c r="AO488" s="83">
        <v>39926.952118055553</v>
      </c>
      <c r="AP488" s="84" t="str">
        <f>HYPERLINK("https://pbs.twimg.com/profile_banners/34759495/1567046136")</f>
        <v>https://pbs.twimg.com/profile_banners/34759495/1567046136</v>
      </c>
      <c r="AQ488" s="81" t="b">
        <v>0</v>
      </c>
      <c r="AR488" s="81" t="b">
        <v>0</v>
      </c>
      <c r="AS488" s="81" t="b">
        <v>1</v>
      </c>
      <c r="AT488" s="81"/>
      <c r="AU488" s="81">
        <v>708</v>
      </c>
      <c r="AV488" s="84" t="str">
        <f>HYPERLINK("https://abs.twimg.com/images/themes/theme17/bg.gif")</f>
        <v>https://abs.twimg.com/images/themes/theme17/bg.gif</v>
      </c>
      <c r="AW488" s="81" t="b">
        <v>1</v>
      </c>
      <c r="AX488" s="81" t="s">
        <v>3728</v>
      </c>
      <c r="AY488" s="84" t="str">
        <f>HYPERLINK("https://twitter.com/samydana")</f>
        <v>https://twitter.com/samydana</v>
      </c>
      <c r="AZ488" s="81" t="s">
        <v>65</v>
      </c>
      <c r="BA488" s="2"/>
      <c r="BB488" s="3"/>
      <c r="BC488" s="3"/>
      <c r="BD488" s="3"/>
      <c r="BE488" s="3"/>
    </row>
    <row r="489" spans="1:57" x14ac:dyDescent="0.35">
      <c r="A489" s="66" t="s">
        <v>4374</v>
      </c>
      <c r="B489" s="67"/>
      <c r="C489" s="67"/>
      <c r="D489" s="68"/>
      <c r="E489" s="94"/>
      <c r="F489" s="93" t="str">
        <f>HYPERLINK("https://pbs.twimg.com/profile_images/1058226559058829312/d4vJ76QL_normal.jpg")</f>
        <v>https://pbs.twimg.com/profile_images/1058226559058829312/d4vJ76QL_normal.jpg</v>
      </c>
      <c r="G489" s="95"/>
      <c r="H489" s="71"/>
      <c r="I489" s="72"/>
      <c r="J489" s="96"/>
      <c r="K489" s="71" t="s">
        <v>11690</v>
      </c>
      <c r="L489" s="97"/>
      <c r="M489" s="76"/>
      <c r="N489" s="76"/>
      <c r="O489" s="77"/>
      <c r="P489" s="78"/>
      <c r="Q489" s="78"/>
      <c r="R489" s="92"/>
      <c r="S489" s="92"/>
      <c r="T489" s="92"/>
      <c r="U489" s="92"/>
      <c r="V489" s="52"/>
      <c r="W489" s="52"/>
      <c r="X489" s="52"/>
      <c r="Y489" s="52"/>
      <c r="Z489" s="51"/>
      <c r="AA489" s="73"/>
      <c r="AB489" s="73"/>
      <c r="AC489" s="74"/>
      <c r="AD489" s="81" t="s">
        <v>8320</v>
      </c>
      <c r="AE489" s="86" t="s">
        <v>9350</v>
      </c>
      <c r="AF489" s="81">
        <v>476</v>
      </c>
      <c r="AG489" s="81">
        <v>1253</v>
      </c>
      <c r="AH489" s="81">
        <v>1806194</v>
      </c>
      <c r="AI489" s="81">
        <v>883670</v>
      </c>
      <c r="AJ489" s="81"/>
      <c r="AK489" s="81" t="s">
        <v>10311</v>
      </c>
      <c r="AL489" s="81"/>
      <c r="AM489" s="81"/>
      <c r="AN489" s="81"/>
      <c r="AO489" s="83">
        <v>42460.1012962963</v>
      </c>
      <c r="AP489" s="84" t="str">
        <f>HYPERLINK("https://pbs.twimg.com/profile_banners/715364459099856896/1630258351")</f>
        <v>https://pbs.twimg.com/profile_banners/715364459099856896/1630258351</v>
      </c>
      <c r="AQ489" s="81" t="b">
        <v>0</v>
      </c>
      <c r="AR489" s="81" t="b">
        <v>0</v>
      </c>
      <c r="AS489" s="81" t="b">
        <v>0</v>
      </c>
      <c r="AT489" s="81"/>
      <c r="AU489" s="81">
        <v>43</v>
      </c>
      <c r="AV489" s="84" t="str">
        <f>HYPERLINK("https://abs.twimg.com/images/themes/theme1/bg.png")</f>
        <v>https://abs.twimg.com/images/themes/theme1/bg.png</v>
      </c>
      <c r="AW489" s="81" t="b">
        <v>0</v>
      </c>
      <c r="AX489" s="81" t="s">
        <v>3728</v>
      </c>
      <c r="AY489" s="84" t="str">
        <f>HYPERLINK("https://twitter.com/odio_nao")</f>
        <v>https://twitter.com/odio_nao</v>
      </c>
      <c r="AZ489" s="81" t="s">
        <v>66</v>
      </c>
      <c r="BA489" s="2"/>
      <c r="BB489" s="3"/>
      <c r="BC489" s="3"/>
      <c r="BD489" s="3"/>
      <c r="BE489" s="3"/>
    </row>
    <row r="490" spans="1:57" x14ac:dyDescent="0.35">
      <c r="A490" s="66" t="s">
        <v>4375</v>
      </c>
      <c r="B490" s="67"/>
      <c r="C490" s="67"/>
      <c r="D490" s="68"/>
      <c r="E490" s="94"/>
      <c r="F490" s="93" t="str">
        <f>HYPERLINK("https://pbs.twimg.com/profile_images/1440276047908335617/ozl6cPCw_normal.jpg")</f>
        <v>https://pbs.twimg.com/profile_images/1440276047908335617/ozl6cPCw_normal.jpg</v>
      </c>
      <c r="G490" s="95"/>
      <c r="H490" s="71"/>
      <c r="I490" s="72"/>
      <c r="J490" s="96"/>
      <c r="K490" s="71" t="s">
        <v>11691</v>
      </c>
      <c r="L490" s="97"/>
      <c r="M490" s="76"/>
      <c r="N490" s="76"/>
      <c r="O490" s="77"/>
      <c r="P490" s="78"/>
      <c r="Q490" s="78"/>
      <c r="R490" s="92"/>
      <c r="S490" s="92"/>
      <c r="T490" s="92"/>
      <c r="U490" s="92"/>
      <c r="V490" s="52"/>
      <c r="W490" s="52"/>
      <c r="X490" s="52"/>
      <c r="Y490" s="52"/>
      <c r="Z490" s="51"/>
      <c r="AA490" s="73"/>
      <c r="AB490" s="73"/>
      <c r="AC490" s="74"/>
      <c r="AD490" s="81" t="s">
        <v>8321</v>
      </c>
      <c r="AE490" s="86" t="s">
        <v>9351</v>
      </c>
      <c r="AF490" s="81">
        <v>1036</v>
      </c>
      <c r="AG490" s="81">
        <v>1623</v>
      </c>
      <c r="AH490" s="81">
        <v>27132</v>
      </c>
      <c r="AI490" s="81">
        <v>19474</v>
      </c>
      <c r="AJ490" s="81"/>
      <c r="AK490" s="81" t="s">
        <v>10312</v>
      </c>
      <c r="AL490" s="81" t="s">
        <v>11084</v>
      </c>
      <c r="AM490" s="81"/>
      <c r="AN490" s="81"/>
      <c r="AO490" s="83">
        <v>41189.081805555557</v>
      </c>
      <c r="AP490" s="84" t="str">
        <f>HYPERLINK("https://pbs.twimg.com/profile_banners/865613653/1598894249")</f>
        <v>https://pbs.twimg.com/profile_banners/865613653/1598894249</v>
      </c>
      <c r="AQ490" s="81" t="b">
        <v>0</v>
      </c>
      <c r="AR490" s="81" t="b">
        <v>0</v>
      </c>
      <c r="AS490" s="81" t="b">
        <v>0</v>
      </c>
      <c r="AT490" s="81"/>
      <c r="AU490" s="81">
        <v>5</v>
      </c>
      <c r="AV490" s="84" t="str">
        <f>HYPERLINK("https://abs.twimg.com/images/themes/theme1/bg.png")</f>
        <v>https://abs.twimg.com/images/themes/theme1/bg.png</v>
      </c>
      <c r="AW490" s="81" t="b">
        <v>0</v>
      </c>
      <c r="AX490" s="81" t="s">
        <v>3728</v>
      </c>
      <c r="AY490" s="84" t="str">
        <f>HYPERLINK("https://twitter.com/celinequadra")</f>
        <v>https://twitter.com/celinequadra</v>
      </c>
      <c r="AZ490" s="81" t="s">
        <v>66</v>
      </c>
      <c r="BA490" s="2"/>
      <c r="BB490" s="3"/>
      <c r="BC490" s="3"/>
      <c r="BD490" s="3"/>
      <c r="BE490" s="3"/>
    </row>
    <row r="491" spans="1:57" x14ac:dyDescent="0.35">
      <c r="A491" s="66" t="s">
        <v>4376</v>
      </c>
      <c r="B491" s="67"/>
      <c r="C491" s="67"/>
      <c r="D491" s="68"/>
      <c r="E491" s="94"/>
      <c r="F491" s="93" t="str">
        <f>HYPERLINK("https://pbs.twimg.com/profile_images/1418598893340798989/S6_pu0cU_normal.jpg")</f>
        <v>https://pbs.twimg.com/profile_images/1418598893340798989/S6_pu0cU_normal.jpg</v>
      </c>
      <c r="G491" s="95"/>
      <c r="H491" s="71"/>
      <c r="I491" s="72"/>
      <c r="J491" s="96"/>
      <c r="K491" s="71" t="s">
        <v>11692</v>
      </c>
      <c r="L491" s="97"/>
      <c r="M491" s="76"/>
      <c r="N491" s="76"/>
      <c r="O491" s="77"/>
      <c r="P491" s="78"/>
      <c r="Q491" s="78"/>
      <c r="R491" s="92"/>
      <c r="S491" s="92"/>
      <c r="T491" s="92"/>
      <c r="U491" s="92"/>
      <c r="V491" s="52"/>
      <c r="W491" s="52"/>
      <c r="X491" s="52"/>
      <c r="Y491" s="52"/>
      <c r="Z491" s="51"/>
      <c r="AA491" s="73"/>
      <c r="AB491" s="73"/>
      <c r="AC491" s="74"/>
      <c r="AD491" s="81" t="s">
        <v>8322</v>
      </c>
      <c r="AE491" s="86" t="s">
        <v>9352</v>
      </c>
      <c r="AF491" s="81">
        <v>249</v>
      </c>
      <c r="AG491" s="81">
        <v>163</v>
      </c>
      <c r="AH491" s="81">
        <v>1948</v>
      </c>
      <c r="AI491" s="81">
        <v>15057</v>
      </c>
      <c r="AJ491" s="81"/>
      <c r="AK491" s="81"/>
      <c r="AL491" s="81" t="s">
        <v>11111</v>
      </c>
      <c r="AM491" s="81"/>
      <c r="AN491" s="81"/>
      <c r="AO491" s="83">
        <v>42826.144733796296</v>
      </c>
      <c r="AP491" s="81"/>
      <c r="AQ491" s="81" t="b">
        <v>1</v>
      </c>
      <c r="AR491" s="81" t="b">
        <v>0</v>
      </c>
      <c r="AS491" s="81" t="b">
        <v>1</v>
      </c>
      <c r="AT491" s="81"/>
      <c r="AU491" s="81">
        <v>1</v>
      </c>
      <c r="AV491" s="81"/>
      <c r="AW491" s="81" t="b">
        <v>0</v>
      </c>
      <c r="AX491" s="81" t="s">
        <v>3728</v>
      </c>
      <c r="AY491" s="84" t="str">
        <f>HYPERLINK("https://twitter.com/renatofrancisq2")</f>
        <v>https://twitter.com/renatofrancisq2</v>
      </c>
      <c r="AZ491" s="81" t="s">
        <v>66</v>
      </c>
      <c r="BA491" s="2"/>
      <c r="BB491" s="3"/>
      <c r="BC491" s="3"/>
      <c r="BD491" s="3"/>
      <c r="BE491" s="3"/>
    </row>
    <row r="492" spans="1:57" x14ac:dyDescent="0.35">
      <c r="A492" s="66" t="s">
        <v>4377</v>
      </c>
      <c r="B492" s="67"/>
      <c r="C492" s="67"/>
      <c r="D492" s="68"/>
      <c r="E492" s="94"/>
      <c r="F492" s="93" t="str">
        <f>HYPERLINK("https://pbs.twimg.com/profile_images/1440108547912749058/hvHbMFgL_normal.jpg")</f>
        <v>https://pbs.twimg.com/profile_images/1440108547912749058/hvHbMFgL_normal.jpg</v>
      </c>
      <c r="G492" s="95"/>
      <c r="H492" s="71"/>
      <c r="I492" s="72"/>
      <c r="J492" s="96"/>
      <c r="K492" s="71" t="s">
        <v>11693</v>
      </c>
      <c r="L492" s="97"/>
      <c r="M492" s="76"/>
      <c r="N492" s="76"/>
      <c r="O492" s="77"/>
      <c r="P492" s="78"/>
      <c r="Q492" s="78"/>
      <c r="R492" s="92"/>
      <c r="S492" s="92"/>
      <c r="T492" s="92"/>
      <c r="U492" s="92"/>
      <c r="V492" s="52"/>
      <c r="W492" s="52"/>
      <c r="X492" s="52"/>
      <c r="Y492" s="52"/>
      <c r="Z492" s="51"/>
      <c r="AA492" s="73"/>
      <c r="AB492" s="73"/>
      <c r="AC492" s="74"/>
      <c r="AD492" s="81" t="s">
        <v>8323</v>
      </c>
      <c r="AE492" s="86" t="s">
        <v>9353</v>
      </c>
      <c r="AF492" s="81">
        <v>38</v>
      </c>
      <c r="AG492" s="81">
        <v>0</v>
      </c>
      <c r="AH492" s="81">
        <v>22</v>
      </c>
      <c r="AI492" s="81">
        <v>884</v>
      </c>
      <c r="AJ492" s="81"/>
      <c r="AK492" s="81" t="s">
        <v>10313</v>
      </c>
      <c r="AL492" s="81"/>
      <c r="AM492" s="81"/>
      <c r="AN492" s="81"/>
      <c r="AO492" s="83">
        <v>44330.017476851855</v>
      </c>
      <c r="AP492" s="81"/>
      <c r="AQ492" s="81" t="b">
        <v>1</v>
      </c>
      <c r="AR492" s="81" t="b">
        <v>0</v>
      </c>
      <c r="AS492" s="81" t="b">
        <v>0</v>
      </c>
      <c r="AT492" s="81"/>
      <c r="AU492" s="81">
        <v>0</v>
      </c>
      <c r="AV492" s="81"/>
      <c r="AW492" s="81" t="b">
        <v>0</v>
      </c>
      <c r="AX492" s="81" t="s">
        <v>3728</v>
      </c>
      <c r="AY492" s="84" t="str">
        <f>HYPERLINK("https://twitter.com/anabell84264132")</f>
        <v>https://twitter.com/anabell84264132</v>
      </c>
      <c r="AZ492" s="81" t="s">
        <v>66</v>
      </c>
      <c r="BA492" s="2"/>
      <c r="BB492" s="3"/>
      <c r="BC492" s="3"/>
      <c r="BD492" s="3"/>
      <c r="BE492" s="3"/>
    </row>
    <row r="493" spans="1:57" x14ac:dyDescent="0.35">
      <c r="A493" s="66" t="s">
        <v>5056</v>
      </c>
      <c r="B493" s="67"/>
      <c r="C493" s="67"/>
      <c r="D493" s="68"/>
      <c r="E493" s="94"/>
      <c r="F493" s="93" t="str">
        <f>HYPERLINK("https://pbs.twimg.com/profile_images/1420534265377443844/GTekkFnw_normal.jpg")</f>
        <v>https://pbs.twimg.com/profile_images/1420534265377443844/GTekkFnw_normal.jpg</v>
      </c>
      <c r="G493" s="95"/>
      <c r="H493" s="71"/>
      <c r="I493" s="72"/>
      <c r="J493" s="96"/>
      <c r="K493" s="71" t="s">
        <v>11694</v>
      </c>
      <c r="L493" s="97"/>
      <c r="M493" s="76"/>
      <c r="N493" s="76"/>
      <c r="O493" s="77"/>
      <c r="P493" s="78"/>
      <c r="Q493" s="78"/>
      <c r="R493" s="92"/>
      <c r="S493" s="92"/>
      <c r="T493" s="92"/>
      <c r="U493" s="92"/>
      <c r="V493" s="52"/>
      <c r="W493" s="52"/>
      <c r="X493" s="52"/>
      <c r="Y493" s="52"/>
      <c r="Z493" s="51"/>
      <c r="AA493" s="73"/>
      <c r="AB493" s="73"/>
      <c r="AC493" s="74"/>
      <c r="AD493" s="81" t="s">
        <v>8324</v>
      </c>
      <c r="AE493" s="86" t="s">
        <v>9354</v>
      </c>
      <c r="AF493" s="81">
        <v>2696</v>
      </c>
      <c r="AG493" s="81">
        <v>2205749</v>
      </c>
      <c r="AH493" s="81">
        <v>68171</v>
      </c>
      <c r="AI493" s="81">
        <v>146320</v>
      </c>
      <c r="AJ493" s="81"/>
      <c r="AK493" s="84" t="str">
        <f>HYPERLINK("https://t.co/K9Uh7jrxTp")</f>
        <v>https://t.co/K9Uh7jrxTp</v>
      </c>
      <c r="AL493" s="81"/>
      <c r="AM493" s="84" t="str">
        <f>HYPERLINK("https://t.co/1D7j52S1Z3")</f>
        <v>https://t.co/1D7j52S1Z3</v>
      </c>
      <c r="AN493" s="81"/>
      <c r="AO493" s="83">
        <v>41526.964074074072</v>
      </c>
      <c r="AP493" s="84" t="str">
        <f>HYPERLINK("https://pbs.twimg.com/profile_banners/1849697408/1627666407")</f>
        <v>https://pbs.twimg.com/profile_banners/1849697408/1627666407</v>
      </c>
      <c r="AQ493" s="81" t="b">
        <v>0</v>
      </c>
      <c r="AR493" s="81" t="b">
        <v>0</v>
      </c>
      <c r="AS493" s="81" t="b">
        <v>1</v>
      </c>
      <c r="AT493" s="81"/>
      <c r="AU493" s="81">
        <v>607</v>
      </c>
      <c r="AV493" s="84" t="str">
        <f>HYPERLINK("https://abs.twimg.com/images/themes/theme4/bg.gif")</f>
        <v>https://abs.twimg.com/images/themes/theme4/bg.gif</v>
      </c>
      <c r="AW493" s="81" t="b">
        <v>1</v>
      </c>
      <c r="AX493" s="81" t="s">
        <v>3728</v>
      </c>
      <c r="AY493" s="84" t="str">
        <f>HYPERLINK("https://twitter.com/pocah")</f>
        <v>https://twitter.com/pocah</v>
      </c>
      <c r="AZ493" s="81" t="s">
        <v>65</v>
      </c>
      <c r="BA493" s="2"/>
      <c r="BB493" s="3"/>
      <c r="BC493" s="3"/>
      <c r="BD493" s="3"/>
      <c r="BE493" s="3"/>
    </row>
    <row r="494" spans="1:57" x14ac:dyDescent="0.35">
      <c r="A494" s="66" t="s">
        <v>4984</v>
      </c>
      <c r="B494" s="67"/>
      <c r="C494" s="67"/>
      <c r="D494" s="68"/>
      <c r="E494" s="94"/>
      <c r="F494" s="93" t="str">
        <f>HYPERLINK("https://pbs.twimg.com/profile_images/1433180155481149452/Kvc0zP3G_normal.jpg")</f>
        <v>https://pbs.twimg.com/profile_images/1433180155481149452/Kvc0zP3G_normal.jpg</v>
      </c>
      <c r="G494" s="95"/>
      <c r="H494" s="71"/>
      <c r="I494" s="72"/>
      <c r="J494" s="96"/>
      <c r="K494" s="71" t="s">
        <v>11400</v>
      </c>
      <c r="L494" s="97"/>
      <c r="M494" s="76"/>
      <c r="N494" s="76"/>
      <c r="O494" s="77"/>
      <c r="P494" s="78"/>
      <c r="Q494" s="78"/>
      <c r="R494" s="92"/>
      <c r="S494" s="92"/>
      <c r="T494" s="92"/>
      <c r="U494" s="92"/>
      <c r="V494" s="52"/>
      <c r="W494" s="52"/>
      <c r="X494" s="52"/>
      <c r="Y494" s="52"/>
      <c r="Z494" s="51"/>
      <c r="AA494" s="73"/>
      <c r="AB494" s="73"/>
      <c r="AC494" s="74"/>
      <c r="AD494" s="81" t="s">
        <v>8034</v>
      </c>
      <c r="AE494" s="86" t="s">
        <v>7794</v>
      </c>
      <c r="AF494" s="81">
        <v>4254</v>
      </c>
      <c r="AG494" s="81">
        <v>3776054</v>
      </c>
      <c r="AH494" s="81">
        <v>17754</v>
      </c>
      <c r="AI494" s="81">
        <v>19850</v>
      </c>
      <c r="AJ494" s="81"/>
      <c r="AK494" s="81" t="s">
        <v>10062</v>
      </c>
      <c r="AL494" s="81" t="s">
        <v>10993</v>
      </c>
      <c r="AM494" s="84" t="str">
        <f>HYPERLINK("https://t.co/GybFuAgOs2")</f>
        <v>https://t.co/GybFuAgOs2</v>
      </c>
      <c r="AN494" s="81"/>
      <c r="AO494" s="83">
        <v>44214.644201388888</v>
      </c>
      <c r="AP494" s="84" t="str">
        <f>HYPERLINK("https://pbs.twimg.com/profile_banners/1351188841558913025/1630944946")</f>
        <v>https://pbs.twimg.com/profile_banners/1351188841558913025/1630944946</v>
      </c>
      <c r="AQ494" s="81" t="b">
        <v>1</v>
      </c>
      <c r="AR494" s="81" t="b">
        <v>0</v>
      </c>
      <c r="AS494" s="81" t="b">
        <v>1</v>
      </c>
      <c r="AT494" s="81"/>
      <c r="AU494" s="81">
        <v>1245</v>
      </c>
      <c r="AV494" s="81"/>
      <c r="AW494" s="81" t="b">
        <v>1</v>
      </c>
      <c r="AX494" s="81" t="s">
        <v>3728</v>
      </c>
      <c r="AY494" s="84" t="str">
        <f>HYPERLINK("https://twitter.com/juliette")</f>
        <v>https://twitter.com/juliette</v>
      </c>
      <c r="AZ494" s="81" t="s">
        <v>65</v>
      </c>
      <c r="BA494" s="2"/>
      <c r="BB494" s="3"/>
      <c r="BC494" s="3"/>
      <c r="BD494" s="3"/>
      <c r="BE494" s="3"/>
    </row>
    <row r="495" spans="1:57" x14ac:dyDescent="0.35">
      <c r="A495" s="66" t="s">
        <v>5057</v>
      </c>
      <c r="B495" s="67"/>
      <c r="C495" s="67"/>
      <c r="D495" s="68"/>
      <c r="E495" s="94"/>
      <c r="F495" s="93" t="str">
        <f>HYPERLINK("https://pbs.twimg.com/profile_images/1436398396512907264/Pw9EDYOm_normal.jpg")</f>
        <v>https://pbs.twimg.com/profile_images/1436398396512907264/Pw9EDYOm_normal.jpg</v>
      </c>
      <c r="G495" s="95"/>
      <c r="H495" s="71"/>
      <c r="I495" s="72"/>
      <c r="J495" s="96"/>
      <c r="K495" s="71" t="s">
        <v>11695</v>
      </c>
      <c r="L495" s="97"/>
      <c r="M495" s="76"/>
      <c r="N495" s="76"/>
      <c r="O495" s="77"/>
      <c r="P495" s="78"/>
      <c r="Q495" s="78"/>
      <c r="R495" s="92"/>
      <c r="S495" s="92"/>
      <c r="T495" s="92"/>
      <c r="U495" s="92"/>
      <c r="V495" s="52"/>
      <c r="W495" s="52"/>
      <c r="X495" s="52"/>
      <c r="Y495" s="52"/>
      <c r="Z495" s="51"/>
      <c r="AA495" s="73"/>
      <c r="AB495" s="73"/>
      <c r="AC495" s="74"/>
      <c r="AD495" s="81" t="s">
        <v>8325</v>
      </c>
      <c r="AE495" s="86" t="s">
        <v>7842</v>
      </c>
      <c r="AF495" s="81">
        <v>302</v>
      </c>
      <c r="AG495" s="81">
        <v>6696858</v>
      </c>
      <c r="AH495" s="81">
        <v>345534</v>
      </c>
      <c r="AI495" s="81">
        <v>20694</v>
      </c>
      <c r="AJ495" s="81"/>
      <c r="AK495" s="81" t="s">
        <v>10314</v>
      </c>
      <c r="AL495" s="81"/>
      <c r="AM495" s="81"/>
      <c r="AN495" s="81"/>
      <c r="AO495" s="83">
        <v>39377.797291666669</v>
      </c>
      <c r="AP495" s="84" t="str">
        <f>HYPERLINK("https://pbs.twimg.com/profile_banners/9604032/1631576603")</f>
        <v>https://pbs.twimg.com/profile_banners/9604032/1631576603</v>
      </c>
      <c r="AQ495" s="81" t="b">
        <v>0</v>
      </c>
      <c r="AR495" s="81" t="b">
        <v>0</v>
      </c>
      <c r="AS495" s="81" t="b">
        <v>1</v>
      </c>
      <c r="AT495" s="81"/>
      <c r="AU495" s="81">
        <v>4302</v>
      </c>
      <c r="AV495" s="84" t="str">
        <f>HYPERLINK("https://abs.twimg.com/images/themes/theme1/bg.png")</f>
        <v>https://abs.twimg.com/images/themes/theme1/bg.png</v>
      </c>
      <c r="AW495" s="81" t="b">
        <v>1</v>
      </c>
      <c r="AX495" s="81" t="s">
        <v>3728</v>
      </c>
      <c r="AY495" s="84" t="str">
        <f>HYPERLINK("https://twitter.com/multishow")</f>
        <v>https://twitter.com/multishow</v>
      </c>
      <c r="AZ495" s="81" t="s">
        <v>65</v>
      </c>
      <c r="BA495" s="2"/>
      <c r="BB495" s="3"/>
      <c r="BC495" s="3"/>
      <c r="BD495" s="3"/>
      <c r="BE495" s="3"/>
    </row>
    <row r="496" spans="1:57" x14ac:dyDescent="0.35">
      <c r="A496" s="66" t="s">
        <v>4379</v>
      </c>
      <c r="B496" s="67"/>
      <c r="C496" s="67"/>
      <c r="D496" s="68"/>
      <c r="E496" s="94"/>
      <c r="F496" s="93" t="str">
        <f>HYPERLINK("https://pbs.twimg.com/profile_images/1248668728155426817/vRq0q8ag_normal.jpg")</f>
        <v>https://pbs.twimg.com/profile_images/1248668728155426817/vRq0q8ag_normal.jpg</v>
      </c>
      <c r="G496" s="95"/>
      <c r="H496" s="71"/>
      <c r="I496" s="72"/>
      <c r="J496" s="96"/>
      <c r="K496" s="71" t="s">
        <v>11696</v>
      </c>
      <c r="L496" s="97"/>
      <c r="M496" s="76"/>
      <c r="N496" s="76"/>
      <c r="O496" s="77"/>
      <c r="P496" s="78"/>
      <c r="Q496" s="78"/>
      <c r="R496" s="92"/>
      <c r="S496" s="92"/>
      <c r="T496" s="92"/>
      <c r="U496" s="92"/>
      <c r="V496" s="52"/>
      <c r="W496" s="52"/>
      <c r="X496" s="52"/>
      <c r="Y496" s="52"/>
      <c r="Z496" s="51"/>
      <c r="AA496" s="73"/>
      <c r="AB496" s="73"/>
      <c r="AC496" s="74"/>
      <c r="AD496" s="81" t="s">
        <v>8326</v>
      </c>
      <c r="AE496" s="86" t="s">
        <v>9355</v>
      </c>
      <c r="AF496" s="81">
        <v>880</v>
      </c>
      <c r="AG496" s="81">
        <v>794</v>
      </c>
      <c r="AH496" s="81">
        <v>8872</v>
      </c>
      <c r="AI496" s="81">
        <v>63703</v>
      </c>
      <c r="AJ496" s="81"/>
      <c r="AK496" s="81" t="s">
        <v>10315</v>
      </c>
      <c r="AL496" s="81" t="s">
        <v>10994</v>
      </c>
      <c r="AM496" s="84" t="str">
        <f>HYPERLINK("https://t.co/OXDAIR74Pp")</f>
        <v>https://t.co/OXDAIR74Pp</v>
      </c>
      <c r="AN496" s="81"/>
      <c r="AO496" s="83">
        <v>40684.898611111108</v>
      </c>
      <c r="AP496" s="84" t="str">
        <f>HYPERLINK("https://pbs.twimg.com/profile_banners/302853572/1512933211")</f>
        <v>https://pbs.twimg.com/profile_banners/302853572/1512933211</v>
      </c>
      <c r="AQ496" s="81" t="b">
        <v>1</v>
      </c>
      <c r="AR496" s="81" t="b">
        <v>0</v>
      </c>
      <c r="AS496" s="81" t="b">
        <v>0</v>
      </c>
      <c r="AT496" s="81"/>
      <c r="AU496" s="81">
        <v>4</v>
      </c>
      <c r="AV496" s="84" t="str">
        <f>HYPERLINK("https://abs.twimg.com/images/themes/theme1/bg.png")</f>
        <v>https://abs.twimg.com/images/themes/theme1/bg.png</v>
      </c>
      <c r="AW496" s="81" t="b">
        <v>0</v>
      </c>
      <c r="AX496" s="81" t="s">
        <v>3728</v>
      </c>
      <c r="AY496" s="84" t="str">
        <f>HYPERLINK("https://twitter.com/fabioperiandro")</f>
        <v>https://twitter.com/fabioperiandro</v>
      </c>
      <c r="AZ496" s="81" t="s">
        <v>66</v>
      </c>
      <c r="BA496" s="2"/>
      <c r="BB496" s="3"/>
      <c r="BC496" s="3"/>
      <c r="BD496" s="3"/>
      <c r="BE496" s="3"/>
    </row>
    <row r="497" spans="1:57" x14ac:dyDescent="0.35">
      <c r="A497" s="66" t="s">
        <v>4380</v>
      </c>
      <c r="B497" s="67"/>
      <c r="C497" s="67"/>
      <c r="D497" s="68"/>
      <c r="E497" s="94"/>
      <c r="F497" s="93" t="str">
        <f>HYPERLINK("https://pbs.twimg.com/profile_images/867745634094391298/vnS6XWN1_normal.jpg")</f>
        <v>https://pbs.twimg.com/profile_images/867745634094391298/vnS6XWN1_normal.jpg</v>
      </c>
      <c r="G497" s="95"/>
      <c r="H497" s="71"/>
      <c r="I497" s="72"/>
      <c r="J497" s="96"/>
      <c r="K497" s="71" t="s">
        <v>11697</v>
      </c>
      <c r="L497" s="97"/>
      <c r="M497" s="76"/>
      <c r="N497" s="76"/>
      <c r="O497" s="77"/>
      <c r="P497" s="78"/>
      <c r="Q497" s="78"/>
      <c r="R497" s="92"/>
      <c r="S497" s="92"/>
      <c r="T497" s="92"/>
      <c r="U497" s="92"/>
      <c r="V497" s="52"/>
      <c r="W497" s="52"/>
      <c r="X497" s="52"/>
      <c r="Y497" s="52"/>
      <c r="Z497" s="51"/>
      <c r="AA497" s="73"/>
      <c r="AB497" s="73"/>
      <c r="AC497" s="74"/>
      <c r="AD497" s="81" t="s">
        <v>8327</v>
      </c>
      <c r="AE497" s="86" t="s">
        <v>9356</v>
      </c>
      <c r="AF497" s="81">
        <v>1054</v>
      </c>
      <c r="AG497" s="81">
        <v>564</v>
      </c>
      <c r="AH497" s="81">
        <v>5768</v>
      </c>
      <c r="AI497" s="81">
        <v>665</v>
      </c>
      <c r="AJ497" s="81"/>
      <c r="AK497" s="81" t="s">
        <v>10316</v>
      </c>
      <c r="AL497" s="81" t="s">
        <v>10992</v>
      </c>
      <c r="AM497" s="84" t="str">
        <f>HYPERLINK("http://t.co/shhuJqiQA6")</f>
        <v>http://t.co/shhuJqiQA6</v>
      </c>
      <c r="AN497" s="81"/>
      <c r="AO497" s="83">
        <v>41745.828043981484</v>
      </c>
      <c r="AP497" s="84" t="str">
        <f>HYPERLINK("https://pbs.twimg.com/profile_banners/2447915935/1612456943")</f>
        <v>https://pbs.twimg.com/profile_banners/2447915935/1612456943</v>
      </c>
      <c r="AQ497" s="81" t="b">
        <v>0</v>
      </c>
      <c r="AR497" s="81" t="b">
        <v>0</v>
      </c>
      <c r="AS497" s="81" t="b">
        <v>1</v>
      </c>
      <c r="AT497" s="81"/>
      <c r="AU497" s="81">
        <v>43</v>
      </c>
      <c r="AV497" s="84" t="str">
        <f>HYPERLINK("https://abs.twimg.com/images/themes/theme7/bg.gif")</f>
        <v>https://abs.twimg.com/images/themes/theme7/bg.gif</v>
      </c>
      <c r="AW497" s="81" t="b">
        <v>0</v>
      </c>
      <c r="AX497" s="81" t="s">
        <v>3728</v>
      </c>
      <c r="AY497" s="84" t="str">
        <f>HYPERLINK("https://twitter.com/genesys_brasil")</f>
        <v>https://twitter.com/genesys_brasil</v>
      </c>
      <c r="AZ497" s="81" t="s">
        <v>66</v>
      </c>
      <c r="BA497" s="2"/>
      <c r="BB497" s="3"/>
      <c r="BC497" s="3"/>
      <c r="BD497" s="3"/>
      <c r="BE497" s="3"/>
    </row>
    <row r="498" spans="1:57" x14ac:dyDescent="0.35">
      <c r="A498" s="66" t="s">
        <v>4381</v>
      </c>
      <c r="B498" s="67"/>
      <c r="C498" s="67"/>
      <c r="D498" s="68"/>
      <c r="E498" s="94"/>
      <c r="F498" s="93" t="str">
        <f>HYPERLINK("https://pbs.twimg.com/profile_images/1441899116171124740/1_cjr7--_normal.jpg")</f>
        <v>https://pbs.twimg.com/profile_images/1441899116171124740/1_cjr7--_normal.jpg</v>
      </c>
      <c r="G498" s="95"/>
      <c r="H498" s="71"/>
      <c r="I498" s="72"/>
      <c r="J498" s="96"/>
      <c r="K498" s="71" t="s">
        <v>11698</v>
      </c>
      <c r="L498" s="97"/>
      <c r="M498" s="76"/>
      <c r="N498" s="76"/>
      <c r="O498" s="77"/>
      <c r="P498" s="78"/>
      <c r="Q498" s="78"/>
      <c r="R498" s="92"/>
      <c r="S498" s="92"/>
      <c r="T498" s="92"/>
      <c r="U498" s="92"/>
      <c r="V498" s="52"/>
      <c r="W498" s="52"/>
      <c r="X498" s="52"/>
      <c r="Y498" s="52"/>
      <c r="Z498" s="51"/>
      <c r="AA498" s="73"/>
      <c r="AB498" s="73"/>
      <c r="AC498" s="74"/>
      <c r="AD498" s="81" t="s">
        <v>8328</v>
      </c>
      <c r="AE498" s="86" t="s">
        <v>7843</v>
      </c>
      <c r="AF498" s="81">
        <v>195</v>
      </c>
      <c r="AG498" s="81">
        <v>64</v>
      </c>
      <c r="AH498" s="81">
        <v>2198</v>
      </c>
      <c r="AI498" s="81">
        <v>125</v>
      </c>
      <c r="AJ498" s="81"/>
      <c r="AK498" s="81" t="s">
        <v>10317</v>
      </c>
      <c r="AL498" s="81"/>
      <c r="AM498" s="81"/>
      <c r="AN498" s="81"/>
      <c r="AO498" s="83">
        <v>44413.983634259261</v>
      </c>
      <c r="AP498" s="84" t="str">
        <f>HYPERLINK("https://pbs.twimg.com/profile_banners/1423426566319640579/1632390439")</f>
        <v>https://pbs.twimg.com/profile_banners/1423426566319640579/1632390439</v>
      </c>
      <c r="AQ498" s="81" t="b">
        <v>1</v>
      </c>
      <c r="AR498" s="81" t="b">
        <v>0</v>
      </c>
      <c r="AS498" s="81" t="b">
        <v>0</v>
      </c>
      <c r="AT498" s="81"/>
      <c r="AU498" s="81">
        <v>0</v>
      </c>
      <c r="AV498" s="81"/>
      <c r="AW498" s="81" t="b">
        <v>0</v>
      </c>
      <c r="AX498" s="81" t="s">
        <v>3728</v>
      </c>
      <c r="AY498" s="84" t="str">
        <f>HYPERLINK("https://twitter.com/krysbrasil")</f>
        <v>https://twitter.com/krysbrasil</v>
      </c>
      <c r="AZ498" s="81" t="s">
        <v>66</v>
      </c>
      <c r="BA498" s="2"/>
      <c r="BB498" s="3"/>
      <c r="BC498" s="3"/>
      <c r="BD498" s="3"/>
      <c r="BE498" s="3"/>
    </row>
    <row r="499" spans="1:57" x14ac:dyDescent="0.35">
      <c r="A499" s="66" t="s">
        <v>4382</v>
      </c>
      <c r="B499" s="67"/>
      <c r="C499" s="67"/>
      <c r="D499" s="68"/>
      <c r="E499" s="94"/>
      <c r="F499" s="93" t="str">
        <f>HYPERLINK("https://pbs.twimg.com/profile_images/1379846698168692736/sGR1U13X_normal.jpg")</f>
        <v>https://pbs.twimg.com/profile_images/1379846698168692736/sGR1U13X_normal.jpg</v>
      </c>
      <c r="G499" s="95"/>
      <c r="H499" s="71"/>
      <c r="I499" s="72"/>
      <c r="J499" s="96"/>
      <c r="K499" s="71" t="s">
        <v>11699</v>
      </c>
      <c r="L499" s="97"/>
      <c r="M499" s="76"/>
      <c r="N499" s="76"/>
      <c r="O499" s="77"/>
      <c r="P499" s="78"/>
      <c r="Q499" s="78"/>
      <c r="R499" s="92"/>
      <c r="S499" s="92"/>
      <c r="T499" s="92"/>
      <c r="U499" s="92"/>
      <c r="V499" s="52"/>
      <c r="W499" s="52"/>
      <c r="X499" s="52"/>
      <c r="Y499" s="52"/>
      <c r="Z499" s="51"/>
      <c r="AA499" s="73"/>
      <c r="AB499" s="73"/>
      <c r="AC499" s="74"/>
      <c r="AD499" s="81" t="s">
        <v>8329</v>
      </c>
      <c r="AE499" s="86" t="s">
        <v>9357</v>
      </c>
      <c r="AF499" s="81">
        <v>276</v>
      </c>
      <c r="AG499" s="81">
        <v>180</v>
      </c>
      <c r="AH499" s="81">
        <v>2284</v>
      </c>
      <c r="AI499" s="81">
        <v>215</v>
      </c>
      <c r="AJ499" s="81"/>
      <c r="AK499" s="81"/>
      <c r="AL499" s="81"/>
      <c r="AM499" s="81"/>
      <c r="AN499" s="81"/>
      <c r="AO499" s="83">
        <v>40555.61105324074</v>
      </c>
      <c r="AP499" s="84" t="str">
        <f>HYPERLINK("https://pbs.twimg.com/profile_banners/237297309/1553641757")</f>
        <v>https://pbs.twimg.com/profile_banners/237297309/1553641757</v>
      </c>
      <c r="AQ499" s="81" t="b">
        <v>0</v>
      </c>
      <c r="AR499" s="81" t="b">
        <v>0</v>
      </c>
      <c r="AS499" s="81" t="b">
        <v>0</v>
      </c>
      <c r="AT499" s="81"/>
      <c r="AU499" s="81">
        <v>0</v>
      </c>
      <c r="AV499" s="84" t="str">
        <f>HYPERLINK("https://abs.twimg.com/images/themes/theme1/bg.png")</f>
        <v>https://abs.twimg.com/images/themes/theme1/bg.png</v>
      </c>
      <c r="AW499" s="81" t="b">
        <v>0</v>
      </c>
      <c r="AX499" s="81" t="s">
        <v>3728</v>
      </c>
      <c r="AY499" s="84" t="str">
        <f>HYPERLINK("https://twitter.com/naoesquerda")</f>
        <v>https://twitter.com/naoesquerda</v>
      </c>
      <c r="AZ499" s="81" t="s">
        <v>66</v>
      </c>
      <c r="BA499" s="2"/>
      <c r="BB499" s="3"/>
      <c r="BC499" s="3"/>
      <c r="BD499" s="3"/>
      <c r="BE499" s="3"/>
    </row>
    <row r="500" spans="1:57" x14ac:dyDescent="0.35">
      <c r="A500" s="66" t="s">
        <v>5058</v>
      </c>
      <c r="B500" s="67"/>
      <c r="C500" s="67"/>
      <c r="D500" s="68"/>
      <c r="E500" s="94"/>
      <c r="F500" s="93" t="str">
        <f>HYPERLINK("https://pbs.twimg.com/profile_images/1425102201266049026/0uT-6tTX_normal.jpg")</f>
        <v>https://pbs.twimg.com/profile_images/1425102201266049026/0uT-6tTX_normal.jpg</v>
      </c>
      <c r="G500" s="95"/>
      <c r="H500" s="71"/>
      <c r="I500" s="72"/>
      <c r="J500" s="96"/>
      <c r="K500" s="71" t="s">
        <v>11700</v>
      </c>
      <c r="L500" s="97"/>
      <c r="M500" s="76"/>
      <c r="N500" s="76"/>
      <c r="O500" s="77"/>
      <c r="P500" s="78"/>
      <c r="Q500" s="78"/>
      <c r="R500" s="92"/>
      <c r="S500" s="92"/>
      <c r="T500" s="92"/>
      <c r="U500" s="92"/>
      <c r="V500" s="52"/>
      <c r="W500" s="52"/>
      <c r="X500" s="52"/>
      <c r="Y500" s="52"/>
      <c r="Z500" s="51"/>
      <c r="AA500" s="73"/>
      <c r="AB500" s="73"/>
      <c r="AC500" s="74"/>
      <c r="AD500" s="81" t="s">
        <v>8330</v>
      </c>
      <c r="AE500" s="86" t="s">
        <v>9358</v>
      </c>
      <c r="AF500" s="81">
        <v>127</v>
      </c>
      <c r="AG500" s="81">
        <v>49832</v>
      </c>
      <c r="AH500" s="81">
        <v>2564</v>
      </c>
      <c r="AI500" s="81">
        <v>1103</v>
      </c>
      <c r="AJ500" s="81"/>
      <c r="AK500" s="81" t="s">
        <v>10318</v>
      </c>
      <c r="AL500" s="81" t="s">
        <v>11112</v>
      </c>
      <c r="AM500" s="81"/>
      <c r="AN500" s="81"/>
      <c r="AO500" s="83">
        <v>43812.853402777779</v>
      </c>
      <c r="AP500" s="84" t="str">
        <f>HYPERLINK("https://pbs.twimg.com/profile_banners/1205585363957436416/1621283835")</f>
        <v>https://pbs.twimg.com/profile_banners/1205585363957436416/1621283835</v>
      </c>
      <c r="AQ500" s="81" t="b">
        <v>1</v>
      </c>
      <c r="AR500" s="81" t="b">
        <v>0</v>
      </c>
      <c r="AS500" s="81" t="b">
        <v>0</v>
      </c>
      <c r="AT500" s="81"/>
      <c r="AU500" s="81">
        <v>55</v>
      </c>
      <c r="AV500" s="81"/>
      <c r="AW500" s="81" t="b">
        <v>0</v>
      </c>
      <c r="AX500" s="81" t="s">
        <v>3728</v>
      </c>
      <c r="AY500" s="84" t="str">
        <f>HYPERLINK("https://twitter.com/cpidosmemes")</f>
        <v>https://twitter.com/cpidosmemes</v>
      </c>
      <c r="AZ500" s="81" t="s">
        <v>65</v>
      </c>
      <c r="BA500" s="2"/>
      <c r="BB500" s="3"/>
      <c r="BC500" s="3"/>
      <c r="BD500" s="3"/>
      <c r="BE500" s="3"/>
    </row>
    <row r="501" spans="1:57" x14ac:dyDescent="0.35">
      <c r="A501" s="66" t="s">
        <v>5059</v>
      </c>
      <c r="B501" s="67"/>
      <c r="C501" s="67"/>
      <c r="D501" s="68"/>
      <c r="E501" s="94"/>
      <c r="F501" s="93" t="str">
        <f>HYPERLINK("https://pbs.twimg.com/profile_images/1256681977203363844/ONdtwt9u_normal.jpg")</f>
        <v>https://pbs.twimg.com/profile_images/1256681977203363844/ONdtwt9u_normal.jpg</v>
      </c>
      <c r="G501" s="95"/>
      <c r="H501" s="71"/>
      <c r="I501" s="72"/>
      <c r="J501" s="96"/>
      <c r="K501" s="71" t="s">
        <v>11701</v>
      </c>
      <c r="L501" s="97"/>
      <c r="M501" s="76"/>
      <c r="N501" s="76"/>
      <c r="O501" s="77"/>
      <c r="P501" s="78"/>
      <c r="Q501" s="78"/>
      <c r="R501" s="92"/>
      <c r="S501" s="92"/>
      <c r="T501" s="92"/>
      <c r="U501" s="92"/>
      <c r="V501" s="52"/>
      <c r="W501" s="52"/>
      <c r="X501" s="52"/>
      <c r="Y501" s="52"/>
      <c r="Z501" s="51"/>
      <c r="AA501" s="73"/>
      <c r="AB501" s="73"/>
      <c r="AC501" s="74"/>
      <c r="AD501" s="81" t="s">
        <v>8331</v>
      </c>
      <c r="AE501" s="86" t="s">
        <v>9359</v>
      </c>
      <c r="AF501" s="81">
        <v>59</v>
      </c>
      <c r="AG501" s="81">
        <v>13</v>
      </c>
      <c r="AH501" s="81">
        <v>288</v>
      </c>
      <c r="AI501" s="81">
        <v>272</v>
      </c>
      <c r="AJ501" s="81"/>
      <c r="AK501" s="81" t="s">
        <v>10319</v>
      </c>
      <c r="AL501" s="81"/>
      <c r="AM501" s="81"/>
      <c r="AN501" s="81"/>
      <c r="AO501" s="83">
        <v>43953.793900462966</v>
      </c>
      <c r="AP501" s="81"/>
      <c r="AQ501" s="81" t="b">
        <v>1</v>
      </c>
      <c r="AR501" s="81" t="b">
        <v>0</v>
      </c>
      <c r="AS501" s="81" t="b">
        <v>0</v>
      </c>
      <c r="AT501" s="81"/>
      <c r="AU501" s="81">
        <v>0</v>
      </c>
      <c r="AV501" s="81"/>
      <c r="AW501" s="81" t="b">
        <v>0</v>
      </c>
      <c r="AX501" s="81" t="s">
        <v>3728</v>
      </c>
      <c r="AY501" s="84" t="str">
        <f>HYPERLINK("https://twitter.com/raquel90299473")</f>
        <v>https://twitter.com/raquel90299473</v>
      </c>
      <c r="AZ501" s="81" t="s">
        <v>65</v>
      </c>
      <c r="BA501" s="2"/>
      <c r="BB501" s="3"/>
      <c r="BC501" s="3"/>
      <c r="BD501" s="3"/>
      <c r="BE501" s="3"/>
    </row>
    <row r="502" spans="1:57" x14ac:dyDescent="0.35">
      <c r="A502" s="66" t="s">
        <v>5060</v>
      </c>
      <c r="B502" s="67"/>
      <c r="C502" s="67"/>
      <c r="D502" s="68"/>
      <c r="E502" s="94"/>
      <c r="F502" s="93" t="str">
        <f>HYPERLINK("https://pbs.twimg.com/profile_images/1441126081218506755/06mHzqH8_normal.jpg")</f>
        <v>https://pbs.twimg.com/profile_images/1441126081218506755/06mHzqH8_normal.jpg</v>
      </c>
      <c r="G502" s="95"/>
      <c r="H502" s="71"/>
      <c r="I502" s="72"/>
      <c r="J502" s="96"/>
      <c r="K502" s="71" t="s">
        <v>11702</v>
      </c>
      <c r="L502" s="97"/>
      <c r="M502" s="76"/>
      <c r="N502" s="76"/>
      <c r="O502" s="77"/>
      <c r="P502" s="78"/>
      <c r="Q502" s="78"/>
      <c r="R502" s="92"/>
      <c r="S502" s="92"/>
      <c r="T502" s="92"/>
      <c r="U502" s="92"/>
      <c r="V502" s="52"/>
      <c r="W502" s="52"/>
      <c r="X502" s="52"/>
      <c r="Y502" s="52"/>
      <c r="Z502" s="51"/>
      <c r="AA502" s="73"/>
      <c r="AB502" s="73"/>
      <c r="AC502" s="74"/>
      <c r="AD502" s="81" t="s">
        <v>8332</v>
      </c>
      <c r="AE502" s="86" t="s">
        <v>7844</v>
      </c>
      <c r="AF502" s="81">
        <v>107</v>
      </c>
      <c r="AG502" s="81">
        <v>91</v>
      </c>
      <c r="AH502" s="81">
        <v>88</v>
      </c>
      <c r="AI502" s="81">
        <v>10</v>
      </c>
      <c r="AJ502" s="81"/>
      <c r="AK502" s="81" t="s">
        <v>13932</v>
      </c>
      <c r="AL502" s="81"/>
      <c r="AM502" s="84" t="str">
        <f>HYPERLINK("https://t.co/5dfbTMYk9b")</f>
        <v>https://t.co/5dfbTMYk9b</v>
      </c>
      <c r="AN502" s="81"/>
      <c r="AO502" s="83">
        <v>44438.059745370374</v>
      </c>
      <c r="AP502" s="84" t="str">
        <f>HYPERLINK("https://pbs.twimg.com/profile_banners/1432152549038120964/1632104240")</f>
        <v>https://pbs.twimg.com/profile_banners/1432152549038120964/1632104240</v>
      </c>
      <c r="AQ502" s="81" t="b">
        <v>1</v>
      </c>
      <c r="AR502" s="81" t="b">
        <v>0</v>
      </c>
      <c r="AS502" s="81" t="b">
        <v>0</v>
      </c>
      <c r="AT502" s="81"/>
      <c r="AU502" s="81">
        <v>0</v>
      </c>
      <c r="AV502" s="81"/>
      <c r="AW502" s="81" t="b">
        <v>0</v>
      </c>
      <c r="AX502" s="81" t="s">
        <v>3728</v>
      </c>
      <c r="AY502" s="84" t="str">
        <f>HYPERLINK("https://twitter.com/ver54c3")</f>
        <v>https://twitter.com/ver54c3</v>
      </c>
      <c r="AZ502" s="81" t="s">
        <v>65</v>
      </c>
      <c r="BA502" s="2"/>
      <c r="BB502" s="3"/>
      <c r="BC502" s="3"/>
      <c r="BD502" s="3"/>
      <c r="BE502" s="3"/>
    </row>
    <row r="503" spans="1:57" x14ac:dyDescent="0.35">
      <c r="A503" s="66" t="s">
        <v>4383</v>
      </c>
      <c r="B503" s="67"/>
      <c r="C503" s="67"/>
      <c r="D503" s="68"/>
      <c r="E503" s="94"/>
      <c r="F503" s="93" t="str">
        <f>HYPERLINK("https://pbs.twimg.com/profile_images/1398886608330317824/-l-IJcvi_normal.jpg")</f>
        <v>https://pbs.twimg.com/profile_images/1398886608330317824/-l-IJcvi_normal.jpg</v>
      </c>
      <c r="G503" s="95"/>
      <c r="H503" s="71"/>
      <c r="I503" s="72"/>
      <c r="J503" s="96"/>
      <c r="K503" s="71" t="s">
        <v>11703</v>
      </c>
      <c r="L503" s="97"/>
      <c r="M503" s="76"/>
      <c r="N503" s="76"/>
      <c r="O503" s="77"/>
      <c r="P503" s="78"/>
      <c r="Q503" s="78"/>
      <c r="R503" s="92"/>
      <c r="S503" s="92"/>
      <c r="T503" s="92"/>
      <c r="U503" s="92"/>
      <c r="V503" s="52"/>
      <c r="W503" s="52"/>
      <c r="X503" s="52"/>
      <c r="Y503" s="52"/>
      <c r="Z503" s="51"/>
      <c r="AA503" s="73"/>
      <c r="AB503" s="73"/>
      <c r="AC503" s="74"/>
      <c r="AD503" s="81" t="s">
        <v>8333</v>
      </c>
      <c r="AE503" s="86" t="s">
        <v>9360</v>
      </c>
      <c r="AF503" s="81">
        <v>284</v>
      </c>
      <c r="AG503" s="81">
        <v>332</v>
      </c>
      <c r="AH503" s="81">
        <v>10150</v>
      </c>
      <c r="AI503" s="81">
        <v>596</v>
      </c>
      <c r="AJ503" s="81"/>
      <c r="AK503" s="81" t="s">
        <v>10320</v>
      </c>
      <c r="AL503" s="81" t="s">
        <v>2202</v>
      </c>
      <c r="AM503" s="84" t="str">
        <f>HYPERLINK("https://t.co/7W4BRhLruA")</f>
        <v>https://t.co/7W4BRhLruA</v>
      </c>
      <c r="AN503" s="81"/>
      <c r="AO503" s="83">
        <v>40480.312303240738</v>
      </c>
      <c r="AP503" s="84" t="str">
        <f>HYPERLINK("https://pbs.twimg.com/profile_banners/209467064/1604602582")</f>
        <v>https://pbs.twimg.com/profile_banners/209467064/1604602582</v>
      </c>
      <c r="AQ503" s="81" t="b">
        <v>0</v>
      </c>
      <c r="AR503" s="81" t="b">
        <v>0</v>
      </c>
      <c r="AS503" s="81" t="b">
        <v>0</v>
      </c>
      <c r="AT503" s="81"/>
      <c r="AU503" s="81">
        <v>7</v>
      </c>
      <c r="AV503" s="84" t="str">
        <f>HYPERLINK("https://abs.twimg.com/images/themes/theme1/bg.png")</f>
        <v>https://abs.twimg.com/images/themes/theme1/bg.png</v>
      </c>
      <c r="AW503" s="81" t="b">
        <v>0</v>
      </c>
      <c r="AX503" s="81" t="s">
        <v>3728</v>
      </c>
      <c r="AY503" s="84" t="str">
        <f>HYPERLINK("https://twitter.com/ompian")</f>
        <v>https://twitter.com/ompian</v>
      </c>
      <c r="AZ503" s="81" t="s">
        <v>66</v>
      </c>
      <c r="BA503" s="2"/>
      <c r="BB503" s="3"/>
      <c r="BC503" s="3"/>
      <c r="BD503" s="3"/>
      <c r="BE503" s="3"/>
    </row>
    <row r="504" spans="1:57" x14ac:dyDescent="0.35">
      <c r="A504" s="66" t="s">
        <v>5061</v>
      </c>
      <c r="B504" s="67"/>
      <c r="C504" s="67"/>
      <c r="D504" s="68"/>
      <c r="E504" s="94"/>
      <c r="F504" s="93" t="str">
        <f>HYPERLINK("https://pbs.twimg.com/profile_images/1431786468276506625/rAKQ_rMB_normal.jpg")</f>
        <v>https://pbs.twimg.com/profile_images/1431786468276506625/rAKQ_rMB_normal.jpg</v>
      </c>
      <c r="G504" s="95"/>
      <c r="H504" s="71"/>
      <c r="I504" s="72"/>
      <c r="J504" s="96"/>
      <c r="K504" s="71" t="s">
        <v>11704</v>
      </c>
      <c r="L504" s="97"/>
      <c r="M504" s="76"/>
      <c r="N504" s="76"/>
      <c r="O504" s="77"/>
      <c r="P504" s="78"/>
      <c r="Q504" s="78"/>
      <c r="R504" s="92"/>
      <c r="S504" s="92"/>
      <c r="T504" s="92"/>
      <c r="U504" s="92"/>
      <c r="V504" s="52"/>
      <c r="W504" s="52"/>
      <c r="X504" s="52"/>
      <c r="Y504" s="52"/>
      <c r="Z504" s="51"/>
      <c r="AA504" s="73"/>
      <c r="AB504" s="73"/>
      <c r="AC504" s="74"/>
      <c r="AD504" s="81" t="s">
        <v>8334</v>
      </c>
      <c r="AE504" s="86" t="s">
        <v>7845</v>
      </c>
      <c r="AF504" s="81">
        <v>704</v>
      </c>
      <c r="AG504" s="81">
        <v>227790</v>
      </c>
      <c r="AH504" s="81">
        <v>72307</v>
      </c>
      <c r="AI504" s="81">
        <v>817</v>
      </c>
      <c r="AJ504" s="81"/>
      <c r="AK504" s="81" t="s">
        <v>10321</v>
      </c>
      <c r="AL504" s="81"/>
      <c r="AM504" s="84" t="str">
        <f>HYPERLINK("https://t.co/3iFkmicqN7")</f>
        <v>https://t.co/3iFkmicqN7</v>
      </c>
      <c r="AN504" s="81"/>
      <c r="AO504" s="83">
        <v>40435.224224537036</v>
      </c>
      <c r="AP504" s="84" t="str">
        <f>HYPERLINK("https://pbs.twimg.com/profile_banners/190535830/1441357309")</f>
        <v>https://pbs.twimg.com/profile_banners/190535830/1441357309</v>
      </c>
      <c r="AQ504" s="81" t="b">
        <v>0</v>
      </c>
      <c r="AR504" s="81" t="b">
        <v>0</v>
      </c>
      <c r="AS504" s="81" t="b">
        <v>1</v>
      </c>
      <c r="AT504" s="81"/>
      <c r="AU504" s="81">
        <v>522</v>
      </c>
      <c r="AV504" s="84" t="str">
        <f>HYPERLINK("https://abs.twimg.com/images/themes/theme1/bg.png")</f>
        <v>https://abs.twimg.com/images/themes/theme1/bg.png</v>
      </c>
      <c r="AW504" s="81" t="b">
        <v>0</v>
      </c>
      <c r="AX504" s="81" t="s">
        <v>3728</v>
      </c>
      <c r="AY504" s="84" t="str">
        <f>HYPERLINK("https://twitter.com/strategi_bisnis")</f>
        <v>https://twitter.com/strategi_bisnis</v>
      </c>
      <c r="AZ504" s="81" t="s">
        <v>65</v>
      </c>
      <c r="BA504" s="2"/>
      <c r="BB504" s="3"/>
      <c r="BC504" s="3"/>
      <c r="BD504" s="3"/>
      <c r="BE504" s="3"/>
    </row>
    <row r="505" spans="1:57" x14ac:dyDescent="0.35">
      <c r="A505" s="66" t="s">
        <v>4384</v>
      </c>
      <c r="B505" s="67"/>
      <c r="C505" s="67"/>
      <c r="D505" s="68"/>
      <c r="E505" s="94"/>
      <c r="F505" s="93" t="str">
        <f>HYPERLINK("https://pbs.twimg.com/profile_images/1436121404743856128/CI4Pgzya_normal.jpg")</f>
        <v>https://pbs.twimg.com/profile_images/1436121404743856128/CI4Pgzya_normal.jpg</v>
      </c>
      <c r="G505" s="95"/>
      <c r="H505" s="71"/>
      <c r="I505" s="72"/>
      <c r="J505" s="96"/>
      <c r="K505" s="71" t="s">
        <v>11705</v>
      </c>
      <c r="L505" s="97"/>
      <c r="M505" s="76"/>
      <c r="N505" s="76"/>
      <c r="O505" s="77"/>
      <c r="P505" s="78"/>
      <c r="Q505" s="78"/>
      <c r="R505" s="92"/>
      <c r="S505" s="92"/>
      <c r="T505" s="92"/>
      <c r="U505" s="92"/>
      <c r="V505" s="52"/>
      <c r="W505" s="52"/>
      <c r="X505" s="52"/>
      <c r="Y505" s="52"/>
      <c r="Z505" s="51"/>
      <c r="AA505" s="73"/>
      <c r="AB505" s="73"/>
      <c r="AC505" s="74"/>
      <c r="AD505" s="81" t="s">
        <v>8335</v>
      </c>
      <c r="AE505" s="86" t="s">
        <v>9361</v>
      </c>
      <c r="AF505" s="81">
        <v>444</v>
      </c>
      <c r="AG505" s="81">
        <v>373</v>
      </c>
      <c r="AH505" s="81">
        <v>2518</v>
      </c>
      <c r="AI505" s="81">
        <v>3188</v>
      </c>
      <c r="AJ505" s="81"/>
      <c r="AK505" s="81" t="s">
        <v>10322</v>
      </c>
      <c r="AL505" s="81"/>
      <c r="AM505" s="81"/>
      <c r="AN505" s="81"/>
      <c r="AO505" s="83">
        <v>44048.069236111114</v>
      </c>
      <c r="AP505" s="84" t="str">
        <f>HYPERLINK("https://pbs.twimg.com/profile_banners/1290824648763080705/1606100291")</f>
        <v>https://pbs.twimg.com/profile_banners/1290824648763080705/1606100291</v>
      </c>
      <c r="AQ505" s="81" t="b">
        <v>1</v>
      </c>
      <c r="AR505" s="81" t="b">
        <v>0</v>
      </c>
      <c r="AS505" s="81" t="b">
        <v>0</v>
      </c>
      <c r="AT505" s="81"/>
      <c r="AU505" s="81">
        <v>0</v>
      </c>
      <c r="AV505" s="81"/>
      <c r="AW505" s="81" t="b">
        <v>0</v>
      </c>
      <c r="AX505" s="81" t="s">
        <v>3728</v>
      </c>
      <c r="AY505" s="84" t="str">
        <f>HYPERLINK("https://twitter.com/gomesgiuliaa")</f>
        <v>https://twitter.com/gomesgiuliaa</v>
      </c>
      <c r="AZ505" s="81" t="s">
        <v>66</v>
      </c>
      <c r="BA505" s="2"/>
      <c r="BB505" s="3"/>
      <c r="BC505" s="3"/>
      <c r="BD505" s="3"/>
      <c r="BE505" s="3"/>
    </row>
    <row r="506" spans="1:57" x14ac:dyDescent="0.35">
      <c r="A506" s="66" t="s">
        <v>4385</v>
      </c>
      <c r="B506" s="67"/>
      <c r="C506" s="67"/>
      <c r="D506" s="68"/>
      <c r="E506" s="94"/>
      <c r="F506" s="93" t="str">
        <f>HYPERLINK("https://pbs.twimg.com/profile_images/1403120495810187264/obVI8IdD_normal.jpg")</f>
        <v>https://pbs.twimg.com/profile_images/1403120495810187264/obVI8IdD_normal.jpg</v>
      </c>
      <c r="G506" s="95"/>
      <c r="H506" s="71"/>
      <c r="I506" s="72"/>
      <c r="J506" s="96"/>
      <c r="K506" s="71" t="s">
        <v>11706</v>
      </c>
      <c r="L506" s="97"/>
      <c r="M506" s="76"/>
      <c r="N506" s="76"/>
      <c r="O506" s="77"/>
      <c r="P506" s="78"/>
      <c r="Q506" s="78"/>
      <c r="R506" s="92"/>
      <c r="S506" s="92"/>
      <c r="T506" s="92"/>
      <c r="U506" s="92"/>
      <c r="V506" s="52"/>
      <c r="W506" s="52"/>
      <c r="X506" s="52"/>
      <c r="Y506" s="52"/>
      <c r="Z506" s="51"/>
      <c r="AA506" s="73"/>
      <c r="AB506" s="73"/>
      <c r="AC506" s="74"/>
      <c r="AD506" s="81" t="s">
        <v>8336</v>
      </c>
      <c r="AE506" s="86" t="s">
        <v>9362</v>
      </c>
      <c r="AF506" s="81">
        <v>500</v>
      </c>
      <c r="AG506" s="81">
        <v>2633</v>
      </c>
      <c r="AH506" s="81">
        <v>5189</v>
      </c>
      <c r="AI506" s="81">
        <v>3115</v>
      </c>
      <c r="AJ506" s="81"/>
      <c r="AK506" s="81" t="s">
        <v>10323</v>
      </c>
      <c r="AL506" s="81" t="s">
        <v>10985</v>
      </c>
      <c r="AM506" s="84" t="str">
        <f>HYPERLINK("https://t.co/Z0iE0GsZsB")</f>
        <v>https://t.co/Z0iE0GsZsB</v>
      </c>
      <c r="AN506" s="81"/>
      <c r="AO506" s="83">
        <v>40151.732997685183</v>
      </c>
      <c r="AP506" s="84" t="str">
        <f>HYPERLINK("https://pbs.twimg.com/profile_banners/94602545/1614913090")</f>
        <v>https://pbs.twimg.com/profile_banners/94602545/1614913090</v>
      </c>
      <c r="AQ506" s="81" t="b">
        <v>0</v>
      </c>
      <c r="AR506" s="81" t="b">
        <v>0</v>
      </c>
      <c r="AS506" s="81" t="b">
        <v>1</v>
      </c>
      <c r="AT506" s="81"/>
      <c r="AU506" s="81">
        <v>12</v>
      </c>
      <c r="AV506" s="84" t="str">
        <f>HYPERLINK("https://abs.twimg.com/images/themes/theme1/bg.png")</f>
        <v>https://abs.twimg.com/images/themes/theme1/bg.png</v>
      </c>
      <c r="AW506" s="81" t="b">
        <v>0</v>
      </c>
      <c r="AX506" s="81" t="s">
        <v>3728</v>
      </c>
      <c r="AY506" s="84" t="str">
        <f>HYPERLINK("https://twitter.com/pulguinhalhp")</f>
        <v>https://twitter.com/pulguinhalhp</v>
      </c>
      <c r="AZ506" s="81" t="s">
        <v>66</v>
      </c>
      <c r="BA506" s="2"/>
      <c r="BB506" s="3"/>
      <c r="BC506" s="3"/>
      <c r="BD506" s="3"/>
      <c r="BE506" s="3"/>
    </row>
    <row r="507" spans="1:57" x14ac:dyDescent="0.35">
      <c r="A507" s="66" t="s">
        <v>5062</v>
      </c>
      <c r="B507" s="67"/>
      <c r="C507" s="67"/>
      <c r="D507" s="68"/>
      <c r="E507" s="94"/>
      <c r="F507" s="93" t="str">
        <f>HYPERLINK("https://pbs.twimg.com/profile_images/1274025163059867648/sg5M_LAo_normal.jpg")</f>
        <v>https://pbs.twimg.com/profile_images/1274025163059867648/sg5M_LAo_normal.jpg</v>
      </c>
      <c r="G507" s="95"/>
      <c r="H507" s="71"/>
      <c r="I507" s="72"/>
      <c r="J507" s="96"/>
      <c r="K507" s="71" t="s">
        <v>11707</v>
      </c>
      <c r="L507" s="97"/>
      <c r="M507" s="76"/>
      <c r="N507" s="76"/>
      <c r="O507" s="77"/>
      <c r="P507" s="78"/>
      <c r="Q507" s="78"/>
      <c r="R507" s="92"/>
      <c r="S507" s="92"/>
      <c r="T507" s="92"/>
      <c r="U507" s="92"/>
      <c r="V507" s="52"/>
      <c r="W507" s="52"/>
      <c r="X507" s="52"/>
      <c r="Y507" s="52"/>
      <c r="Z507" s="51"/>
      <c r="AA507" s="73"/>
      <c r="AB507" s="73"/>
      <c r="AC507" s="74"/>
      <c r="AD507" s="81" t="s">
        <v>8337</v>
      </c>
      <c r="AE507" s="86" t="s">
        <v>7846</v>
      </c>
      <c r="AF507" s="81">
        <v>448</v>
      </c>
      <c r="AG507" s="81">
        <v>131</v>
      </c>
      <c r="AH507" s="81">
        <v>4730</v>
      </c>
      <c r="AI507" s="81">
        <v>24966</v>
      </c>
      <c r="AJ507" s="81"/>
      <c r="AK507" s="81" t="s">
        <v>10324</v>
      </c>
      <c r="AL507" s="81"/>
      <c r="AM507" s="81"/>
      <c r="AN507" s="81"/>
      <c r="AO507" s="83">
        <v>43870.925057870372</v>
      </c>
      <c r="AP507" s="84" t="str">
        <f>HYPERLINK("https://pbs.twimg.com/profile_banners/1226629831263215617/1626641129")</f>
        <v>https://pbs.twimg.com/profile_banners/1226629831263215617/1626641129</v>
      </c>
      <c r="AQ507" s="81" t="b">
        <v>1</v>
      </c>
      <c r="AR507" s="81" t="b">
        <v>0</v>
      </c>
      <c r="AS507" s="81" t="b">
        <v>0</v>
      </c>
      <c r="AT507" s="81"/>
      <c r="AU507" s="81">
        <v>1</v>
      </c>
      <c r="AV507" s="81"/>
      <c r="AW507" s="81" t="b">
        <v>0</v>
      </c>
      <c r="AX507" s="81" t="s">
        <v>3728</v>
      </c>
      <c r="AY507" s="84" t="str">
        <f>HYPERLINK("https://twitter.com/furtwanglervon")</f>
        <v>https://twitter.com/furtwanglervon</v>
      </c>
      <c r="AZ507" s="81" t="s">
        <v>65</v>
      </c>
      <c r="BA507" s="2"/>
      <c r="BB507" s="3"/>
      <c r="BC507" s="3"/>
      <c r="BD507" s="3"/>
      <c r="BE507" s="3"/>
    </row>
    <row r="508" spans="1:57" x14ac:dyDescent="0.35">
      <c r="A508" s="66" t="s">
        <v>4386</v>
      </c>
      <c r="B508" s="67"/>
      <c r="C508" s="67"/>
      <c r="D508" s="68"/>
      <c r="E508" s="94"/>
      <c r="F508" s="93" t="str">
        <f>HYPERLINK("https://pbs.twimg.com/profile_images/1434276357777895430/hHgsGmwK_normal.jpg")</f>
        <v>https://pbs.twimg.com/profile_images/1434276357777895430/hHgsGmwK_normal.jpg</v>
      </c>
      <c r="G508" s="95"/>
      <c r="H508" s="71"/>
      <c r="I508" s="72"/>
      <c r="J508" s="96"/>
      <c r="K508" s="71" t="s">
        <v>11708</v>
      </c>
      <c r="L508" s="97"/>
      <c r="M508" s="76"/>
      <c r="N508" s="76"/>
      <c r="O508" s="77"/>
      <c r="P508" s="78"/>
      <c r="Q508" s="78"/>
      <c r="R508" s="92"/>
      <c r="S508" s="92"/>
      <c r="T508" s="92"/>
      <c r="U508" s="92"/>
      <c r="V508" s="52"/>
      <c r="W508" s="52"/>
      <c r="X508" s="52"/>
      <c r="Y508" s="52"/>
      <c r="Z508" s="51"/>
      <c r="AA508" s="73"/>
      <c r="AB508" s="73"/>
      <c r="AC508" s="74"/>
      <c r="AD508" s="81" t="s">
        <v>8338</v>
      </c>
      <c r="AE508" s="86" t="s">
        <v>9363</v>
      </c>
      <c r="AF508" s="81">
        <v>936</v>
      </c>
      <c r="AG508" s="81">
        <v>484</v>
      </c>
      <c r="AH508" s="81">
        <v>18219</v>
      </c>
      <c r="AI508" s="81">
        <v>99015</v>
      </c>
      <c r="AJ508" s="81"/>
      <c r="AK508" s="81" t="s">
        <v>10325</v>
      </c>
      <c r="AL508" s="81" t="s">
        <v>11113</v>
      </c>
      <c r="AM508" s="81"/>
      <c r="AN508" s="81"/>
      <c r="AO508" s="83">
        <v>43472.830497685187</v>
      </c>
      <c r="AP508" s="84" t="str">
        <f>HYPERLINK("https://pbs.twimg.com/profile_banners/1082365232968884224/1622850102")</f>
        <v>https://pbs.twimg.com/profile_banners/1082365232968884224/1622850102</v>
      </c>
      <c r="AQ508" s="81" t="b">
        <v>0</v>
      </c>
      <c r="AR508" s="81" t="b">
        <v>0</v>
      </c>
      <c r="AS508" s="81" t="b">
        <v>0</v>
      </c>
      <c r="AT508" s="81"/>
      <c r="AU508" s="81">
        <v>0</v>
      </c>
      <c r="AV508" s="84" t="str">
        <f>HYPERLINK("https://abs.twimg.com/images/themes/theme1/bg.png")</f>
        <v>https://abs.twimg.com/images/themes/theme1/bg.png</v>
      </c>
      <c r="AW508" s="81" t="b">
        <v>0</v>
      </c>
      <c r="AX508" s="81" t="s">
        <v>3728</v>
      </c>
      <c r="AY508" s="84" t="str">
        <f>HYPERLINK("https://twitter.com/victoraciarlini")</f>
        <v>https://twitter.com/victoraciarlini</v>
      </c>
      <c r="AZ508" s="81" t="s">
        <v>66</v>
      </c>
      <c r="BA508" s="2"/>
      <c r="BB508" s="3"/>
      <c r="BC508" s="3"/>
      <c r="BD508" s="3"/>
      <c r="BE508" s="3"/>
    </row>
    <row r="509" spans="1:57" x14ac:dyDescent="0.35">
      <c r="A509" s="66" t="s">
        <v>4387</v>
      </c>
      <c r="B509" s="67"/>
      <c r="C509" s="67"/>
      <c r="D509" s="68"/>
      <c r="E509" s="94"/>
      <c r="F509" s="93" t="str">
        <f>HYPERLINK("https://pbs.twimg.com/profile_images/791353275027259394/WI0bwkN2_normal.jpg")</f>
        <v>https://pbs.twimg.com/profile_images/791353275027259394/WI0bwkN2_normal.jpg</v>
      </c>
      <c r="G509" s="95"/>
      <c r="H509" s="71"/>
      <c r="I509" s="72"/>
      <c r="J509" s="96"/>
      <c r="K509" s="71" t="s">
        <v>11709</v>
      </c>
      <c r="L509" s="97"/>
      <c r="M509" s="76"/>
      <c r="N509" s="76"/>
      <c r="O509" s="77"/>
      <c r="P509" s="78"/>
      <c r="Q509" s="78"/>
      <c r="R509" s="92"/>
      <c r="S509" s="92"/>
      <c r="T509" s="92"/>
      <c r="U509" s="92"/>
      <c r="V509" s="52"/>
      <c r="W509" s="52"/>
      <c r="X509" s="52"/>
      <c r="Y509" s="52"/>
      <c r="Z509" s="51"/>
      <c r="AA509" s="73"/>
      <c r="AB509" s="73"/>
      <c r="AC509" s="74"/>
      <c r="AD509" s="81" t="s">
        <v>8339</v>
      </c>
      <c r="AE509" s="86" t="s">
        <v>9364</v>
      </c>
      <c r="AF509" s="81">
        <v>11</v>
      </c>
      <c r="AG509" s="81">
        <v>20</v>
      </c>
      <c r="AH509" s="81">
        <v>39</v>
      </c>
      <c r="AI509" s="81">
        <v>9</v>
      </c>
      <c r="AJ509" s="81"/>
      <c r="AK509" s="81" t="s">
        <v>10326</v>
      </c>
      <c r="AL509" s="81" t="s">
        <v>11114</v>
      </c>
      <c r="AM509" s="84" t="str">
        <f>HYPERLINK("https://t.co/7BPAT5d3uS")</f>
        <v>https://t.co/7BPAT5d3uS</v>
      </c>
      <c r="AN509" s="81"/>
      <c r="AO509" s="83">
        <v>42669.788865740738</v>
      </c>
      <c r="AP509" s="84" t="str">
        <f>HYPERLINK("https://pbs.twimg.com/profile_banners/791352688671940612/1477517471")</f>
        <v>https://pbs.twimg.com/profile_banners/791352688671940612/1477517471</v>
      </c>
      <c r="AQ509" s="81" t="b">
        <v>1</v>
      </c>
      <c r="AR509" s="81" t="b">
        <v>0</v>
      </c>
      <c r="AS509" s="81" t="b">
        <v>0</v>
      </c>
      <c r="AT509" s="81"/>
      <c r="AU509" s="81">
        <v>0</v>
      </c>
      <c r="AV509" s="81"/>
      <c r="AW509" s="81" t="b">
        <v>0</v>
      </c>
      <c r="AX509" s="81" t="s">
        <v>3728</v>
      </c>
      <c r="AY509" s="84" t="str">
        <f>HYPERLINK("https://twitter.com/deipucrio")</f>
        <v>https://twitter.com/deipucrio</v>
      </c>
      <c r="AZ509" s="81" t="s">
        <v>66</v>
      </c>
      <c r="BA509" s="2"/>
      <c r="BB509" s="3"/>
      <c r="BC509" s="3"/>
      <c r="BD509" s="3"/>
      <c r="BE509" s="3"/>
    </row>
    <row r="510" spans="1:57" x14ac:dyDescent="0.35">
      <c r="A510" s="66" t="s">
        <v>4388</v>
      </c>
      <c r="B510" s="67"/>
      <c r="C510" s="67"/>
      <c r="D510" s="68"/>
      <c r="E510" s="94"/>
      <c r="F510" s="93" t="str">
        <f>HYPERLINK("https://pbs.twimg.com/profile_images/1429394522245668866/HHjStj8k_normal.jpg")</f>
        <v>https://pbs.twimg.com/profile_images/1429394522245668866/HHjStj8k_normal.jpg</v>
      </c>
      <c r="G510" s="95"/>
      <c r="H510" s="71"/>
      <c r="I510" s="72"/>
      <c r="J510" s="96"/>
      <c r="K510" s="71" t="s">
        <v>11710</v>
      </c>
      <c r="L510" s="97"/>
      <c r="M510" s="76"/>
      <c r="N510" s="76"/>
      <c r="O510" s="77"/>
      <c r="P510" s="78"/>
      <c r="Q510" s="78"/>
      <c r="R510" s="92"/>
      <c r="S510" s="92"/>
      <c r="T510" s="92"/>
      <c r="U510" s="92"/>
      <c r="V510" s="52"/>
      <c r="W510" s="52"/>
      <c r="X510" s="52"/>
      <c r="Y510" s="52"/>
      <c r="Z510" s="51"/>
      <c r="AA510" s="73"/>
      <c r="AB510" s="73"/>
      <c r="AC510" s="74"/>
      <c r="AD510" s="81" t="s">
        <v>8340</v>
      </c>
      <c r="AE510" s="86" t="s">
        <v>9365</v>
      </c>
      <c r="AF510" s="81">
        <v>106</v>
      </c>
      <c r="AG510" s="81">
        <v>11</v>
      </c>
      <c r="AH510" s="81">
        <v>27</v>
      </c>
      <c r="AI510" s="81">
        <v>199</v>
      </c>
      <c r="AJ510" s="81"/>
      <c r="AK510" s="81"/>
      <c r="AL510" s="81"/>
      <c r="AM510" s="81"/>
      <c r="AN510" s="81"/>
      <c r="AO510" s="83">
        <v>44430.447094907409</v>
      </c>
      <c r="AP510" s="81"/>
      <c r="AQ510" s="81" t="b">
        <v>1</v>
      </c>
      <c r="AR510" s="81" t="b">
        <v>0</v>
      </c>
      <c r="AS510" s="81" t="b">
        <v>0</v>
      </c>
      <c r="AT510" s="81"/>
      <c r="AU510" s="81">
        <v>0</v>
      </c>
      <c r="AV510" s="81"/>
      <c r="AW510" s="81" t="b">
        <v>0</v>
      </c>
      <c r="AX510" s="81" t="s">
        <v>3728</v>
      </c>
      <c r="AY510" s="84" t="str">
        <f>HYPERLINK("https://twitter.com/roccosi96495550")</f>
        <v>https://twitter.com/roccosi96495550</v>
      </c>
      <c r="AZ510" s="81" t="s">
        <v>66</v>
      </c>
      <c r="BA510" s="2"/>
      <c r="BB510" s="3"/>
      <c r="BC510" s="3"/>
      <c r="BD510" s="3"/>
      <c r="BE510" s="3"/>
    </row>
    <row r="511" spans="1:57" x14ac:dyDescent="0.35">
      <c r="A511" s="66" t="s">
        <v>5063</v>
      </c>
      <c r="B511" s="67"/>
      <c r="C511" s="67"/>
      <c r="D511" s="68"/>
      <c r="E511" s="94"/>
      <c r="F511" s="93" t="str">
        <f>HYPERLINK("https://pbs.twimg.com/profile_images/1133774717075247105/sbr3tx4w_normal.jpg")</f>
        <v>https://pbs.twimg.com/profile_images/1133774717075247105/sbr3tx4w_normal.jpg</v>
      </c>
      <c r="G511" s="95"/>
      <c r="H511" s="71"/>
      <c r="I511" s="72"/>
      <c r="J511" s="96"/>
      <c r="K511" s="71" t="s">
        <v>11711</v>
      </c>
      <c r="L511" s="97"/>
      <c r="M511" s="76"/>
      <c r="N511" s="76"/>
      <c r="O511" s="77"/>
      <c r="P511" s="78"/>
      <c r="Q511" s="78"/>
      <c r="R511" s="92"/>
      <c r="S511" s="92"/>
      <c r="T511" s="92"/>
      <c r="U511" s="92"/>
      <c r="V511" s="52"/>
      <c r="W511" s="52"/>
      <c r="X511" s="52"/>
      <c r="Y511" s="52"/>
      <c r="Z511" s="51"/>
      <c r="AA511" s="73"/>
      <c r="AB511" s="73"/>
      <c r="AC511" s="74"/>
      <c r="AD511" s="81" t="s">
        <v>8341</v>
      </c>
      <c r="AE511" s="86" t="s">
        <v>9366</v>
      </c>
      <c r="AF511" s="81">
        <v>794</v>
      </c>
      <c r="AG511" s="81">
        <v>654</v>
      </c>
      <c r="AH511" s="81">
        <v>780</v>
      </c>
      <c r="AI511" s="81">
        <v>16964</v>
      </c>
      <c r="AJ511" s="81"/>
      <c r="AK511" s="81"/>
      <c r="AL511" s="81" t="s">
        <v>11114</v>
      </c>
      <c r="AM511" s="81"/>
      <c r="AN511" s="81"/>
      <c r="AO511" s="83">
        <v>43586.544328703705</v>
      </c>
      <c r="AP511" s="84" t="str">
        <f>HYPERLINK("https://pbs.twimg.com/profile_banners/1123573743450824705/1559147786")</f>
        <v>https://pbs.twimg.com/profile_banners/1123573743450824705/1559147786</v>
      </c>
      <c r="AQ511" s="81" t="b">
        <v>1</v>
      </c>
      <c r="AR511" s="81" t="b">
        <v>0</v>
      </c>
      <c r="AS511" s="81" t="b">
        <v>0</v>
      </c>
      <c r="AT511" s="81"/>
      <c r="AU511" s="81">
        <v>0</v>
      </c>
      <c r="AV511" s="81"/>
      <c r="AW511" s="81" t="b">
        <v>0</v>
      </c>
      <c r="AX511" s="81" t="s">
        <v>3728</v>
      </c>
      <c r="AY511" s="84" t="str">
        <f>HYPERLINK("https://twitter.com/marcosaude1978")</f>
        <v>https://twitter.com/marcosaude1978</v>
      </c>
      <c r="AZ511" s="81" t="s">
        <v>65</v>
      </c>
      <c r="BA511" s="2"/>
      <c r="BB511" s="3"/>
      <c r="BC511" s="3"/>
      <c r="BD511" s="3"/>
      <c r="BE511" s="3"/>
    </row>
    <row r="512" spans="1:57" x14ac:dyDescent="0.35">
      <c r="A512" s="66" t="s">
        <v>5064</v>
      </c>
      <c r="B512" s="67"/>
      <c r="C512" s="67"/>
      <c r="D512" s="68"/>
      <c r="E512" s="94"/>
      <c r="F512" s="93" t="str">
        <f>HYPERLINK("https://pbs.twimg.com/profile_images/1146986993550843910/PqqknB_I_normal.png")</f>
        <v>https://pbs.twimg.com/profile_images/1146986993550843910/PqqknB_I_normal.png</v>
      </c>
      <c r="G512" s="95"/>
      <c r="H512" s="71"/>
      <c r="I512" s="72"/>
      <c r="J512" s="96"/>
      <c r="K512" s="71" t="s">
        <v>11712</v>
      </c>
      <c r="L512" s="97"/>
      <c r="M512" s="76"/>
      <c r="N512" s="76"/>
      <c r="O512" s="77"/>
      <c r="P512" s="78"/>
      <c r="Q512" s="78"/>
      <c r="R512" s="92"/>
      <c r="S512" s="92"/>
      <c r="T512" s="92"/>
      <c r="U512" s="92"/>
      <c r="V512" s="52"/>
      <c r="W512" s="52"/>
      <c r="X512" s="52"/>
      <c r="Y512" s="52"/>
      <c r="Z512" s="51"/>
      <c r="AA512" s="73"/>
      <c r="AB512" s="73"/>
      <c r="AC512" s="74"/>
      <c r="AD512" s="81" t="s">
        <v>8342</v>
      </c>
      <c r="AE512" s="86" t="s">
        <v>7847</v>
      </c>
      <c r="AF512" s="81">
        <v>269</v>
      </c>
      <c r="AG512" s="81">
        <v>35</v>
      </c>
      <c r="AH512" s="81">
        <v>180</v>
      </c>
      <c r="AI512" s="81">
        <v>877</v>
      </c>
      <c r="AJ512" s="81"/>
      <c r="AK512" s="81"/>
      <c r="AL512" s="81"/>
      <c r="AM512" s="81"/>
      <c r="AN512" s="81"/>
      <c r="AO512" s="83">
        <v>43615.187037037038</v>
      </c>
      <c r="AP512" s="81"/>
      <c r="AQ512" s="81" t="b">
        <v>1</v>
      </c>
      <c r="AR512" s="81" t="b">
        <v>0</v>
      </c>
      <c r="AS512" s="81" t="b">
        <v>0</v>
      </c>
      <c r="AT512" s="81"/>
      <c r="AU512" s="81">
        <v>0</v>
      </c>
      <c r="AV512" s="81"/>
      <c r="AW512" s="81" t="b">
        <v>0</v>
      </c>
      <c r="AX512" s="81" t="s">
        <v>3728</v>
      </c>
      <c r="AY512" s="84" t="str">
        <f>HYPERLINK("https://twitter.com/orodrigovaz")</f>
        <v>https://twitter.com/orodrigovaz</v>
      </c>
      <c r="AZ512" s="81" t="s">
        <v>65</v>
      </c>
      <c r="BA512" s="2"/>
      <c r="BB512" s="3"/>
      <c r="BC512" s="3"/>
      <c r="BD512" s="3"/>
      <c r="BE512" s="3"/>
    </row>
    <row r="513" spans="1:57" x14ac:dyDescent="0.35">
      <c r="A513" s="66" t="s">
        <v>5065</v>
      </c>
      <c r="B513" s="67"/>
      <c r="C513" s="67"/>
      <c r="D513" s="68"/>
      <c r="E513" s="94"/>
      <c r="F513" s="93" t="str">
        <f>HYPERLINK("https://pbs.twimg.com/profile_images/1329552913841188869/JIitpkF9_normal.jpg")</f>
        <v>https://pbs.twimg.com/profile_images/1329552913841188869/JIitpkF9_normal.jpg</v>
      </c>
      <c r="G513" s="95"/>
      <c r="H513" s="71"/>
      <c r="I513" s="72"/>
      <c r="J513" s="96"/>
      <c r="K513" s="71" t="s">
        <v>11713</v>
      </c>
      <c r="L513" s="97"/>
      <c r="M513" s="76"/>
      <c r="N513" s="76"/>
      <c r="O513" s="77"/>
      <c r="P513" s="78"/>
      <c r="Q513" s="78"/>
      <c r="R513" s="92"/>
      <c r="S513" s="92"/>
      <c r="T513" s="92"/>
      <c r="U513" s="92"/>
      <c r="V513" s="52"/>
      <c r="W513" s="52"/>
      <c r="X513" s="52"/>
      <c r="Y513" s="52"/>
      <c r="Z513" s="51"/>
      <c r="AA513" s="73"/>
      <c r="AB513" s="73"/>
      <c r="AC513" s="74"/>
      <c r="AD513" s="81" t="s">
        <v>8343</v>
      </c>
      <c r="AE513" s="86" t="s">
        <v>7862</v>
      </c>
      <c r="AF513" s="81">
        <v>410</v>
      </c>
      <c r="AG513" s="81">
        <v>16367</v>
      </c>
      <c r="AH513" s="81">
        <v>9726</v>
      </c>
      <c r="AI513" s="81">
        <v>6517</v>
      </c>
      <c r="AJ513" s="81"/>
      <c r="AK513" s="81" t="s">
        <v>10327</v>
      </c>
      <c r="AL513" s="81"/>
      <c r="AM513" s="81"/>
      <c r="AN513" s="81"/>
      <c r="AO513" s="83">
        <v>40482.737627314818</v>
      </c>
      <c r="AP513" s="84" t="str">
        <f>HYPERLINK("https://pbs.twimg.com/profile_banners/210538923/1573046879")</f>
        <v>https://pbs.twimg.com/profile_banners/210538923/1573046879</v>
      </c>
      <c r="AQ513" s="81" t="b">
        <v>1</v>
      </c>
      <c r="AR513" s="81" t="b">
        <v>0</v>
      </c>
      <c r="AS513" s="81" t="b">
        <v>0</v>
      </c>
      <c r="AT513" s="81"/>
      <c r="AU513" s="81">
        <v>25</v>
      </c>
      <c r="AV513" s="84" t="str">
        <f>HYPERLINK("https://abs.twimg.com/images/themes/theme1/bg.png")</f>
        <v>https://abs.twimg.com/images/themes/theme1/bg.png</v>
      </c>
      <c r="AW513" s="81" t="b">
        <v>0</v>
      </c>
      <c r="AX513" s="81" t="s">
        <v>3728</v>
      </c>
      <c r="AY513" s="84" t="str">
        <f>HYPERLINK("https://twitter.com/gustavocastanon")</f>
        <v>https://twitter.com/gustavocastanon</v>
      </c>
      <c r="AZ513" s="81" t="s">
        <v>65</v>
      </c>
      <c r="BA513" s="2"/>
      <c r="BB513" s="3"/>
      <c r="BC513" s="3"/>
      <c r="BD513" s="3"/>
      <c r="BE513" s="3"/>
    </row>
    <row r="514" spans="1:57" x14ac:dyDescent="0.35">
      <c r="A514" s="66" t="s">
        <v>377</v>
      </c>
      <c r="B514" s="67"/>
      <c r="C514" s="67"/>
      <c r="D514" s="68"/>
      <c r="E514" s="94"/>
      <c r="F514" s="93" t="str">
        <f>HYPERLINK("https://pbs.twimg.com/profile_images/1426958855834009607/EF41PtQ1_normal.jpg")</f>
        <v>https://pbs.twimg.com/profile_images/1426958855834009607/EF41PtQ1_normal.jpg</v>
      </c>
      <c r="G514" s="95"/>
      <c r="H514" s="71"/>
      <c r="I514" s="72"/>
      <c r="J514" s="96"/>
      <c r="K514" s="71" t="s">
        <v>3918</v>
      </c>
      <c r="L514" s="97"/>
      <c r="M514" s="76"/>
      <c r="N514" s="76"/>
      <c r="O514" s="77"/>
      <c r="P514" s="78"/>
      <c r="Q514" s="78"/>
      <c r="R514" s="92"/>
      <c r="S514" s="92"/>
      <c r="T514" s="92"/>
      <c r="U514" s="92"/>
      <c r="V514" s="52"/>
      <c r="W514" s="52"/>
      <c r="X514" s="52"/>
      <c r="Y514" s="52"/>
      <c r="Z514" s="51"/>
      <c r="AA514" s="73"/>
      <c r="AB514" s="73"/>
      <c r="AC514" s="74"/>
      <c r="AD514" s="81" t="s">
        <v>2433</v>
      </c>
      <c r="AE514" s="86" t="s">
        <v>2857</v>
      </c>
      <c r="AF514" s="81">
        <v>1736</v>
      </c>
      <c r="AG514" s="81">
        <v>2927</v>
      </c>
      <c r="AH514" s="81">
        <v>31952</v>
      </c>
      <c r="AI514" s="81">
        <v>66195</v>
      </c>
      <c r="AJ514" s="81"/>
      <c r="AK514" s="81" t="s">
        <v>3264</v>
      </c>
      <c r="AL514" s="81" t="s">
        <v>3620</v>
      </c>
      <c r="AM514" s="84" t="str">
        <f>HYPERLINK("https://t.co/Bsf1CVVCr2")</f>
        <v>https://t.co/Bsf1CVVCr2</v>
      </c>
      <c r="AN514" s="81"/>
      <c r="AO514" s="83">
        <v>43367.070671296293</v>
      </c>
      <c r="AP514" s="84" t="str">
        <f>HYPERLINK("https://pbs.twimg.com/profile_banners/1044039155057999872/1537753551")</f>
        <v>https://pbs.twimg.com/profile_banners/1044039155057999872/1537753551</v>
      </c>
      <c r="AQ514" s="81" t="b">
        <v>1</v>
      </c>
      <c r="AR514" s="81" t="b">
        <v>0</v>
      </c>
      <c r="AS514" s="81" t="b">
        <v>1</v>
      </c>
      <c r="AT514" s="81"/>
      <c r="AU514" s="81">
        <v>1</v>
      </c>
      <c r="AV514" s="81"/>
      <c r="AW514" s="81" t="b">
        <v>0</v>
      </c>
      <c r="AX514" s="81" t="s">
        <v>3728</v>
      </c>
      <c r="AY514" s="84" t="str">
        <f>HYPERLINK("https://twitter.com/bukansamsmith")</f>
        <v>https://twitter.com/bukansamsmith</v>
      </c>
      <c r="AZ514" s="81" t="s">
        <v>66</v>
      </c>
      <c r="BA514" s="2"/>
      <c r="BB514" s="3"/>
      <c r="BC514" s="3"/>
      <c r="BD514" s="3"/>
      <c r="BE514" s="3"/>
    </row>
    <row r="515" spans="1:57" x14ac:dyDescent="0.35">
      <c r="A515" s="66" t="s">
        <v>640</v>
      </c>
      <c r="B515" s="67"/>
      <c r="C515" s="67"/>
      <c r="D515" s="68"/>
      <c r="E515" s="94"/>
      <c r="F515" s="93" t="str">
        <f>HYPERLINK("https://pbs.twimg.com/profile_images/1340546129239240707/tImTDtfa_normal.jpg")</f>
        <v>https://pbs.twimg.com/profile_images/1340546129239240707/tImTDtfa_normal.jpg</v>
      </c>
      <c r="G515" s="95"/>
      <c r="H515" s="71"/>
      <c r="I515" s="72"/>
      <c r="J515" s="96"/>
      <c r="K515" s="71" t="s">
        <v>3919</v>
      </c>
      <c r="L515" s="97"/>
      <c r="M515" s="76"/>
      <c r="N515" s="76"/>
      <c r="O515" s="77"/>
      <c r="P515" s="78"/>
      <c r="Q515" s="78"/>
      <c r="R515" s="92"/>
      <c r="S515" s="92"/>
      <c r="T515" s="92"/>
      <c r="U515" s="92"/>
      <c r="V515" s="52"/>
      <c r="W515" s="52"/>
      <c r="X515" s="52"/>
      <c r="Y515" s="52"/>
      <c r="Z515" s="51"/>
      <c r="AA515" s="73"/>
      <c r="AB515" s="73"/>
      <c r="AC515" s="74"/>
      <c r="AD515" s="81" t="s">
        <v>2434</v>
      </c>
      <c r="AE515" s="86" t="s">
        <v>2114</v>
      </c>
      <c r="AF515" s="81">
        <v>695</v>
      </c>
      <c r="AG515" s="81">
        <v>13181</v>
      </c>
      <c r="AH515" s="81">
        <v>35954</v>
      </c>
      <c r="AI515" s="81">
        <v>23062</v>
      </c>
      <c r="AJ515" s="81"/>
      <c r="AK515" s="81" t="s">
        <v>3265</v>
      </c>
      <c r="AL515" s="81" t="s">
        <v>3512</v>
      </c>
      <c r="AM515" s="81"/>
      <c r="AN515" s="81"/>
      <c r="AO515" s="83">
        <v>43623.571527777778</v>
      </c>
      <c r="AP515" s="84" t="str">
        <f>HYPERLINK("https://pbs.twimg.com/profile_banners/1136991951025164289/1615629719")</f>
        <v>https://pbs.twimg.com/profile_banners/1136991951025164289/1615629719</v>
      </c>
      <c r="AQ515" s="81" t="b">
        <v>1</v>
      </c>
      <c r="AR515" s="81" t="b">
        <v>0</v>
      </c>
      <c r="AS515" s="81" t="b">
        <v>1</v>
      </c>
      <c r="AT515" s="81"/>
      <c r="AU515" s="81">
        <v>5</v>
      </c>
      <c r="AV515" s="81"/>
      <c r="AW515" s="81" t="b">
        <v>0</v>
      </c>
      <c r="AX515" s="81" t="s">
        <v>3728</v>
      </c>
      <c r="AY515" s="84" t="str">
        <f>HYPERLINK("https://twitter.com/pandabeardada")</f>
        <v>https://twitter.com/pandabeardada</v>
      </c>
      <c r="AZ515" s="81" t="s">
        <v>65</v>
      </c>
      <c r="BA515" s="2"/>
      <c r="BB515" s="3"/>
      <c r="BC515" s="3"/>
      <c r="BD515" s="3"/>
      <c r="BE515" s="3"/>
    </row>
    <row r="516" spans="1:57" x14ac:dyDescent="0.35">
      <c r="A516" s="66" t="s">
        <v>4389</v>
      </c>
      <c r="B516" s="67"/>
      <c r="C516" s="67"/>
      <c r="D516" s="68"/>
      <c r="E516" s="94"/>
      <c r="F516" s="93" t="str">
        <f>HYPERLINK("https://pbs.twimg.com/profile_images/1277858528783413249/zWBafpZ6_normal.jpg")</f>
        <v>https://pbs.twimg.com/profile_images/1277858528783413249/zWBafpZ6_normal.jpg</v>
      </c>
      <c r="G516" s="95"/>
      <c r="H516" s="71"/>
      <c r="I516" s="72"/>
      <c r="J516" s="96"/>
      <c r="K516" s="71" t="s">
        <v>11714</v>
      </c>
      <c r="L516" s="97"/>
      <c r="M516" s="76"/>
      <c r="N516" s="76"/>
      <c r="O516" s="77"/>
      <c r="P516" s="78"/>
      <c r="Q516" s="78"/>
      <c r="R516" s="92"/>
      <c r="S516" s="92"/>
      <c r="T516" s="92"/>
      <c r="U516" s="92"/>
      <c r="V516" s="52"/>
      <c r="W516" s="52"/>
      <c r="X516" s="52"/>
      <c r="Y516" s="52"/>
      <c r="Z516" s="51"/>
      <c r="AA516" s="73"/>
      <c r="AB516" s="73"/>
      <c r="AC516" s="74"/>
      <c r="AD516" s="81" t="s">
        <v>8344</v>
      </c>
      <c r="AE516" s="86" t="s">
        <v>7848</v>
      </c>
      <c r="AF516" s="81">
        <v>32</v>
      </c>
      <c r="AG516" s="81">
        <v>237</v>
      </c>
      <c r="AH516" s="81">
        <v>5517</v>
      </c>
      <c r="AI516" s="81">
        <v>20602</v>
      </c>
      <c r="AJ516" s="81"/>
      <c r="AK516" s="81" t="s">
        <v>10328</v>
      </c>
      <c r="AL516" s="81" t="s">
        <v>11115</v>
      </c>
      <c r="AM516" s="84" t="str">
        <f>HYPERLINK("https://t.co/LxuX7A2YN9")</f>
        <v>https://t.co/LxuX7A2YN9</v>
      </c>
      <c r="AN516" s="81"/>
      <c r="AO516" s="83">
        <v>43781.286805555559</v>
      </c>
      <c r="AP516" s="84" t="str">
        <f>HYPERLINK("https://pbs.twimg.com/profile_banners/1194145981589315584/1593500192")</f>
        <v>https://pbs.twimg.com/profile_banners/1194145981589315584/1593500192</v>
      </c>
      <c r="AQ516" s="81" t="b">
        <v>1</v>
      </c>
      <c r="AR516" s="81" t="b">
        <v>0</v>
      </c>
      <c r="AS516" s="81" t="b">
        <v>1</v>
      </c>
      <c r="AT516" s="81"/>
      <c r="AU516" s="81">
        <v>1</v>
      </c>
      <c r="AV516" s="81"/>
      <c r="AW516" s="81" t="b">
        <v>0</v>
      </c>
      <c r="AX516" s="81" t="s">
        <v>3728</v>
      </c>
      <c r="AY516" s="84" t="str">
        <f>HYPERLINK("https://twitter.com/zlupiza")</f>
        <v>https://twitter.com/zlupiza</v>
      </c>
      <c r="AZ516" s="81" t="s">
        <v>66</v>
      </c>
      <c r="BA516" s="2"/>
      <c r="BB516" s="3"/>
      <c r="BC516" s="3"/>
      <c r="BD516" s="3"/>
      <c r="BE516" s="3"/>
    </row>
    <row r="517" spans="1:57" x14ac:dyDescent="0.35">
      <c r="A517" s="66" t="s">
        <v>378</v>
      </c>
      <c r="B517" s="67"/>
      <c r="C517" s="67"/>
      <c r="D517" s="68"/>
      <c r="E517" s="94"/>
      <c r="F517" s="93" t="str">
        <f>HYPERLINK("https://pbs.twimg.com/profile_images/1347477892075196416/p7jZrHBn_normal.jpg")</f>
        <v>https://pbs.twimg.com/profile_images/1347477892075196416/p7jZrHBn_normal.jpg</v>
      </c>
      <c r="G517" s="95"/>
      <c r="H517" s="71"/>
      <c r="I517" s="72"/>
      <c r="J517" s="96"/>
      <c r="K517" s="71" t="s">
        <v>3920</v>
      </c>
      <c r="L517" s="97"/>
      <c r="M517" s="76"/>
      <c r="N517" s="76"/>
      <c r="O517" s="77"/>
      <c r="P517" s="78"/>
      <c r="Q517" s="78"/>
      <c r="R517" s="92"/>
      <c r="S517" s="92"/>
      <c r="T517" s="92"/>
      <c r="U517" s="92"/>
      <c r="V517" s="52"/>
      <c r="W517" s="52"/>
      <c r="X517" s="52"/>
      <c r="Y517" s="52"/>
      <c r="Z517" s="51"/>
      <c r="AA517" s="73"/>
      <c r="AB517" s="73"/>
      <c r="AC517" s="74"/>
      <c r="AD517" s="81" t="s">
        <v>2435</v>
      </c>
      <c r="AE517" s="86" t="s">
        <v>2858</v>
      </c>
      <c r="AF517" s="81">
        <v>8</v>
      </c>
      <c r="AG517" s="81">
        <v>1262</v>
      </c>
      <c r="AH517" s="81">
        <v>3102</v>
      </c>
      <c r="AI517" s="81">
        <v>11</v>
      </c>
      <c r="AJ517" s="81"/>
      <c r="AK517" s="81" t="s">
        <v>3266</v>
      </c>
      <c r="AL517" s="81"/>
      <c r="AM517" s="84" t="str">
        <f>HYPERLINK("https://t.co/q6899ymmHN")</f>
        <v>https://t.co/q6899ymmHN</v>
      </c>
      <c r="AN517" s="81"/>
      <c r="AO517" s="83">
        <v>44204.401585648149</v>
      </c>
      <c r="AP517" s="84" t="str">
        <f>HYPERLINK("https://pbs.twimg.com/profile_banners/1347477636058996737/1610099182")</f>
        <v>https://pbs.twimg.com/profile_banners/1347477636058996737/1610099182</v>
      </c>
      <c r="AQ517" s="81" t="b">
        <v>1</v>
      </c>
      <c r="AR517" s="81" t="b">
        <v>0</v>
      </c>
      <c r="AS517" s="81" t="b">
        <v>0</v>
      </c>
      <c r="AT517" s="81"/>
      <c r="AU517" s="81">
        <v>3</v>
      </c>
      <c r="AV517" s="81"/>
      <c r="AW517" s="81" t="b">
        <v>0</v>
      </c>
      <c r="AX517" s="81" t="s">
        <v>3728</v>
      </c>
      <c r="AY517" s="84" t="str">
        <f>HYPERLINK("https://twitter.com/pasartheboyz")</f>
        <v>https://twitter.com/pasartheboyz</v>
      </c>
      <c r="AZ517" s="81" t="s">
        <v>66</v>
      </c>
      <c r="BA517" s="2"/>
      <c r="BB517" s="3"/>
      <c r="BC517" s="3"/>
      <c r="BD517" s="3"/>
      <c r="BE517" s="3"/>
    </row>
    <row r="518" spans="1:57" x14ac:dyDescent="0.35">
      <c r="A518" s="66" t="s">
        <v>379</v>
      </c>
      <c r="B518" s="67"/>
      <c r="C518" s="67"/>
      <c r="D518" s="68"/>
      <c r="E518" s="94"/>
      <c r="F518" s="93" t="str">
        <f>HYPERLINK("https://pbs.twimg.com/profile_images/1321548073516986369/LR76zNyN_normal.png")</f>
        <v>https://pbs.twimg.com/profile_images/1321548073516986369/LR76zNyN_normal.png</v>
      </c>
      <c r="G518" s="95"/>
      <c r="H518" s="71"/>
      <c r="I518" s="72"/>
      <c r="J518" s="96"/>
      <c r="K518" s="71" t="s">
        <v>3921</v>
      </c>
      <c r="L518" s="97"/>
      <c r="M518" s="76"/>
      <c r="N518" s="76"/>
      <c r="O518" s="77"/>
      <c r="P518" s="78"/>
      <c r="Q518" s="78"/>
      <c r="R518" s="92"/>
      <c r="S518" s="92"/>
      <c r="T518" s="92"/>
      <c r="U518" s="92"/>
      <c r="V518" s="52"/>
      <c r="W518" s="52"/>
      <c r="X518" s="52"/>
      <c r="Y518" s="52"/>
      <c r="Z518" s="51"/>
      <c r="AA518" s="73"/>
      <c r="AB518" s="73"/>
      <c r="AC518" s="74"/>
      <c r="AD518" s="81" t="s">
        <v>2436</v>
      </c>
      <c r="AE518" s="86" t="s">
        <v>2859</v>
      </c>
      <c r="AF518" s="81">
        <v>0</v>
      </c>
      <c r="AG518" s="81">
        <v>259</v>
      </c>
      <c r="AH518" s="81">
        <v>440</v>
      </c>
      <c r="AI518" s="81">
        <v>396</v>
      </c>
      <c r="AJ518" s="81"/>
      <c r="AK518" s="81" t="s">
        <v>3267</v>
      </c>
      <c r="AL518" s="81"/>
      <c r="AM518" s="81"/>
      <c r="AN518" s="81"/>
      <c r="AO518" s="83">
        <v>44132.845393518517</v>
      </c>
      <c r="AP518" s="84" t="str">
        <f>HYPERLINK("https://pbs.twimg.com/profile_banners/1321546572442726400/1603916597")</f>
        <v>https://pbs.twimg.com/profile_banners/1321546572442726400/1603916597</v>
      </c>
      <c r="AQ518" s="81" t="b">
        <v>1</v>
      </c>
      <c r="AR518" s="81" t="b">
        <v>0</v>
      </c>
      <c r="AS518" s="81" t="b">
        <v>0</v>
      </c>
      <c r="AT518" s="81"/>
      <c r="AU518" s="81">
        <v>0</v>
      </c>
      <c r="AV518" s="81"/>
      <c r="AW518" s="81" t="b">
        <v>0</v>
      </c>
      <c r="AX518" s="81" t="s">
        <v>3728</v>
      </c>
      <c r="AY518" s="84" t="str">
        <f>HYPERLINK("https://twitter.com/gudangloker_com")</f>
        <v>https://twitter.com/gudangloker_com</v>
      </c>
      <c r="AZ518" s="81" t="s">
        <v>66</v>
      </c>
      <c r="BA518" s="2"/>
      <c r="BB518" s="3"/>
      <c r="BC518" s="3"/>
      <c r="BD518" s="3"/>
      <c r="BE518" s="3"/>
    </row>
    <row r="519" spans="1:57" x14ac:dyDescent="0.35">
      <c r="A519" s="66" t="s">
        <v>4390</v>
      </c>
      <c r="B519" s="67"/>
      <c r="C519" s="67"/>
      <c r="D519" s="68"/>
      <c r="E519" s="94"/>
      <c r="F519" s="93" t="str">
        <f>HYPERLINK("https://pbs.twimg.com/profile_images/1274519714472091650/b5jfIc4v_normal.jpg")</f>
        <v>https://pbs.twimg.com/profile_images/1274519714472091650/b5jfIc4v_normal.jpg</v>
      </c>
      <c r="G519" s="95"/>
      <c r="H519" s="71"/>
      <c r="I519" s="72"/>
      <c r="J519" s="96"/>
      <c r="K519" s="71" t="s">
        <v>11715</v>
      </c>
      <c r="L519" s="97"/>
      <c r="M519" s="76"/>
      <c r="N519" s="76"/>
      <c r="O519" s="77"/>
      <c r="P519" s="78"/>
      <c r="Q519" s="78"/>
      <c r="R519" s="92"/>
      <c r="S519" s="92"/>
      <c r="T519" s="92"/>
      <c r="U519" s="92"/>
      <c r="V519" s="52"/>
      <c r="W519" s="52"/>
      <c r="X519" s="52"/>
      <c r="Y519" s="52"/>
      <c r="Z519" s="51"/>
      <c r="AA519" s="73"/>
      <c r="AB519" s="73"/>
      <c r="AC519" s="74"/>
      <c r="AD519" s="81" t="s">
        <v>8345</v>
      </c>
      <c r="AE519" s="86" t="s">
        <v>9367</v>
      </c>
      <c r="AF519" s="81">
        <v>355</v>
      </c>
      <c r="AG519" s="81">
        <v>98</v>
      </c>
      <c r="AH519" s="81">
        <v>2488</v>
      </c>
      <c r="AI519" s="81">
        <v>1135</v>
      </c>
      <c r="AJ519" s="81"/>
      <c r="AK519" s="81"/>
      <c r="AL519" s="81"/>
      <c r="AM519" s="81"/>
      <c r="AN519" s="81"/>
      <c r="AO519" s="83">
        <v>44003.075219907405</v>
      </c>
      <c r="AP519" s="81"/>
      <c r="AQ519" s="81" t="b">
        <v>1</v>
      </c>
      <c r="AR519" s="81" t="b">
        <v>0</v>
      </c>
      <c r="AS519" s="81" t="b">
        <v>0</v>
      </c>
      <c r="AT519" s="81"/>
      <c r="AU519" s="81">
        <v>0</v>
      </c>
      <c r="AV519" s="81"/>
      <c r="AW519" s="81" t="b">
        <v>0</v>
      </c>
      <c r="AX519" s="81" t="s">
        <v>3728</v>
      </c>
      <c r="AY519" s="84" t="str">
        <f>HYPERLINK("https://twitter.com/francorubim")</f>
        <v>https://twitter.com/francorubim</v>
      </c>
      <c r="AZ519" s="81" t="s">
        <v>66</v>
      </c>
      <c r="BA519" s="2"/>
      <c r="BB519" s="3"/>
      <c r="BC519" s="3"/>
      <c r="BD519" s="3"/>
      <c r="BE519" s="3"/>
    </row>
    <row r="520" spans="1:57" x14ac:dyDescent="0.35">
      <c r="A520" s="66" t="s">
        <v>5066</v>
      </c>
      <c r="B520" s="67"/>
      <c r="C520" s="67"/>
      <c r="D520" s="68"/>
      <c r="E520" s="94"/>
      <c r="F520" s="93" t="str">
        <f>HYPERLINK("https://pbs.twimg.com/profile_images/1113126472225619968/HOtiwqV9_normal.png")</f>
        <v>https://pbs.twimg.com/profile_images/1113126472225619968/HOtiwqV9_normal.png</v>
      </c>
      <c r="G520" s="95"/>
      <c r="H520" s="71"/>
      <c r="I520" s="72"/>
      <c r="J520" s="96"/>
      <c r="K520" s="71" t="s">
        <v>11716</v>
      </c>
      <c r="L520" s="97"/>
      <c r="M520" s="76"/>
      <c r="N520" s="76"/>
      <c r="O520" s="77"/>
      <c r="P520" s="78"/>
      <c r="Q520" s="78"/>
      <c r="R520" s="92"/>
      <c r="S520" s="92"/>
      <c r="T520" s="92"/>
      <c r="U520" s="92"/>
      <c r="V520" s="52"/>
      <c r="W520" s="52"/>
      <c r="X520" s="52"/>
      <c r="Y520" s="52"/>
      <c r="Z520" s="51"/>
      <c r="AA520" s="73"/>
      <c r="AB520" s="73"/>
      <c r="AC520" s="74"/>
      <c r="AD520" s="81" t="s">
        <v>8346</v>
      </c>
      <c r="AE520" s="86" t="s">
        <v>9368</v>
      </c>
      <c r="AF520" s="81">
        <v>51</v>
      </c>
      <c r="AG520" s="81">
        <v>3329855</v>
      </c>
      <c r="AH520" s="81">
        <v>1331</v>
      </c>
      <c r="AI520" s="81">
        <v>37</v>
      </c>
      <c r="AJ520" s="81"/>
      <c r="AK520" s="81" t="s">
        <v>10329</v>
      </c>
      <c r="AL520" s="81" t="s">
        <v>11116</v>
      </c>
      <c r="AM520" s="81"/>
      <c r="AN520" s="81"/>
      <c r="AO520" s="83">
        <v>43557.628101851849</v>
      </c>
      <c r="AP520" s="84" t="str">
        <f>HYPERLINK("https://pbs.twimg.com/profile_banners/1113094855281008641/1588103885")</f>
        <v>https://pbs.twimg.com/profile_banners/1113094855281008641/1588103885</v>
      </c>
      <c r="AQ520" s="81" t="b">
        <v>1</v>
      </c>
      <c r="AR520" s="81" t="b">
        <v>0</v>
      </c>
      <c r="AS520" s="81" t="b">
        <v>0</v>
      </c>
      <c r="AT520" s="81"/>
      <c r="AU520" s="81">
        <v>2289</v>
      </c>
      <c r="AV520" s="81"/>
      <c r="AW520" s="81" t="b">
        <v>1</v>
      </c>
      <c r="AX520" s="81" t="s">
        <v>3728</v>
      </c>
      <c r="AY520" s="84" t="str">
        <f>HYPERLINK("https://twitter.com/sf_moro")</f>
        <v>https://twitter.com/sf_moro</v>
      </c>
      <c r="AZ520" s="81" t="s">
        <v>65</v>
      </c>
      <c r="BA520" s="2"/>
      <c r="BB520" s="3"/>
      <c r="BC520" s="3"/>
      <c r="BD520" s="3"/>
      <c r="BE520" s="3"/>
    </row>
    <row r="521" spans="1:57" x14ac:dyDescent="0.35">
      <c r="A521" s="66" t="s">
        <v>5067</v>
      </c>
      <c r="B521" s="67"/>
      <c r="C521" s="67"/>
      <c r="D521" s="68"/>
      <c r="E521" s="94"/>
      <c r="F521" s="93" t="str">
        <f>HYPERLINK("https://pbs.twimg.com/profile_images/1436103891544940556/MGlrvtuz_normal.jpg")</f>
        <v>https://pbs.twimg.com/profile_images/1436103891544940556/MGlrvtuz_normal.jpg</v>
      </c>
      <c r="G521" s="95"/>
      <c r="H521" s="71"/>
      <c r="I521" s="72"/>
      <c r="J521" s="96"/>
      <c r="K521" s="71" t="s">
        <v>11717</v>
      </c>
      <c r="L521" s="97"/>
      <c r="M521" s="76"/>
      <c r="N521" s="76"/>
      <c r="O521" s="77"/>
      <c r="P521" s="78"/>
      <c r="Q521" s="78"/>
      <c r="R521" s="92"/>
      <c r="S521" s="92"/>
      <c r="T521" s="92"/>
      <c r="U521" s="92"/>
      <c r="V521" s="52"/>
      <c r="W521" s="52"/>
      <c r="X521" s="52"/>
      <c r="Y521" s="52"/>
      <c r="Z521" s="51"/>
      <c r="AA521" s="73"/>
      <c r="AB521" s="73"/>
      <c r="AC521" s="74"/>
      <c r="AD521" s="81" t="s">
        <v>8347</v>
      </c>
      <c r="AE521" s="86" t="s">
        <v>7849</v>
      </c>
      <c r="AF521" s="81">
        <v>72</v>
      </c>
      <c r="AG521" s="81">
        <v>23</v>
      </c>
      <c r="AH521" s="81">
        <v>1803</v>
      </c>
      <c r="AI521" s="81">
        <v>4706</v>
      </c>
      <c r="AJ521" s="81"/>
      <c r="AK521" s="81" t="s">
        <v>10330</v>
      </c>
      <c r="AL521" s="81"/>
      <c r="AM521" s="81"/>
      <c r="AN521" s="81"/>
      <c r="AO521" s="83">
        <v>41054.904895833337</v>
      </c>
      <c r="AP521" s="84" t="str">
        <f>HYPERLINK("https://pbs.twimg.com/profile_banners/590423274/1600366549")</f>
        <v>https://pbs.twimg.com/profile_banners/590423274/1600366549</v>
      </c>
      <c r="AQ521" s="81" t="b">
        <v>1</v>
      </c>
      <c r="AR521" s="81" t="b">
        <v>0</v>
      </c>
      <c r="AS521" s="81" t="b">
        <v>0</v>
      </c>
      <c r="AT521" s="81"/>
      <c r="AU521" s="81">
        <v>0</v>
      </c>
      <c r="AV521" s="84" t="str">
        <f>HYPERLINK("https://abs.twimg.com/images/themes/theme1/bg.png")</f>
        <v>https://abs.twimg.com/images/themes/theme1/bg.png</v>
      </c>
      <c r="AW521" s="81" t="b">
        <v>0</v>
      </c>
      <c r="AX521" s="81" t="s">
        <v>3728</v>
      </c>
      <c r="AY521" s="84" t="str">
        <f>HYPERLINK("https://twitter.com/af_stivanelli")</f>
        <v>https://twitter.com/af_stivanelli</v>
      </c>
      <c r="AZ521" s="81" t="s">
        <v>65</v>
      </c>
      <c r="BA521" s="2"/>
      <c r="BB521" s="3"/>
      <c r="BC521" s="3"/>
      <c r="BD521" s="3"/>
      <c r="BE521" s="3"/>
    </row>
    <row r="522" spans="1:57" x14ac:dyDescent="0.35">
      <c r="A522" s="66" t="s">
        <v>4391</v>
      </c>
      <c r="B522" s="67"/>
      <c r="C522" s="67"/>
      <c r="D522" s="68"/>
      <c r="E522" s="94"/>
      <c r="F522" s="93" t="str">
        <f>HYPERLINK("https://pbs.twimg.com/profile_images/1322556511499988993/s7PM1TjK_normal.jpg")</f>
        <v>https://pbs.twimg.com/profile_images/1322556511499988993/s7PM1TjK_normal.jpg</v>
      </c>
      <c r="G522" s="95"/>
      <c r="H522" s="71"/>
      <c r="I522" s="72"/>
      <c r="J522" s="96"/>
      <c r="K522" s="71" t="s">
        <v>11718</v>
      </c>
      <c r="L522" s="97"/>
      <c r="M522" s="76"/>
      <c r="N522" s="76"/>
      <c r="O522" s="77"/>
      <c r="P522" s="78"/>
      <c r="Q522" s="78"/>
      <c r="R522" s="92"/>
      <c r="S522" s="92"/>
      <c r="T522" s="92"/>
      <c r="U522" s="92"/>
      <c r="V522" s="52"/>
      <c r="W522" s="52"/>
      <c r="X522" s="52"/>
      <c r="Y522" s="52"/>
      <c r="Z522" s="51"/>
      <c r="AA522" s="73"/>
      <c r="AB522" s="73"/>
      <c r="AC522" s="74"/>
      <c r="AD522" s="81" t="s">
        <v>8348</v>
      </c>
      <c r="AE522" s="86" t="s">
        <v>9369</v>
      </c>
      <c r="AF522" s="81">
        <v>842</v>
      </c>
      <c r="AG522" s="81">
        <v>6430</v>
      </c>
      <c r="AH522" s="81">
        <v>275863</v>
      </c>
      <c r="AI522" s="81">
        <v>56801</v>
      </c>
      <c r="AJ522" s="81"/>
      <c r="AK522" s="81" t="s">
        <v>10331</v>
      </c>
      <c r="AL522" s="81" t="s">
        <v>11117</v>
      </c>
      <c r="AM522" s="84" t="str">
        <f>HYPERLINK("https://t.co/T0Bf4YrI9c")</f>
        <v>https://t.co/T0Bf4YrI9c</v>
      </c>
      <c r="AN522" s="81"/>
      <c r="AO522" s="83">
        <v>39778.035312499997</v>
      </c>
      <c r="AP522" s="84" t="str">
        <f>HYPERLINK("https://pbs.twimg.com/profile_banners/17637572/1600657920")</f>
        <v>https://pbs.twimg.com/profile_banners/17637572/1600657920</v>
      </c>
      <c r="AQ522" s="81" t="b">
        <v>0</v>
      </c>
      <c r="AR522" s="81" t="b">
        <v>0</v>
      </c>
      <c r="AS522" s="81" t="b">
        <v>1</v>
      </c>
      <c r="AT522" s="81"/>
      <c r="AU522" s="81">
        <v>135</v>
      </c>
      <c r="AV522" s="84" t="str">
        <f>HYPERLINK("https://abs.twimg.com/images/themes/theme6/bg.gif")</f>
        <v>https://abs.twimg.com/images/themes/theme6/bg.gif</v>
      </c>
      <c r="AW522" s="81" t="b">
        <v>0</v>
      </c>
      <c r="AX522" s="81" t="s">
        <v>3728</v>
      </c>
      <c r="AY522" s="84" t="str">
        <f>HYPERLINK("https://twitter.com/g_l")</f>
        <v>https://twitter.com/g_l</v>
      </c>
      <c r="AZ522" s="81" t="s">
        <v>66</v>
      </c>
      <c r="BA522" s="2"/>
      <c r="BB522" s="3"/>
      <c r="BC522" s="3"/>
      <c r="BD522" s="3"/>
      <c r="BE522" s="3"/>
    </row>
    <row r="523" spans="1:57" x14ac:dyDescent="0.35">
      <c r="A523" s="66" t="s">
        <v>5068</v>
      </c>
      <c r="B523" s="67"/>
      <c r="C523" s="67"/>
      <c r="D523" s="68"/>
      <c r="E523" s="94"/>
      <c r="F523" s="93" t="str">
        <f>HYPERLINK("https://pbs.twimg.com/profile_images/1427345710358347782/lunq2q4Z_normal.jpg")</f>
        <v>https://pbs.twimg.com/profile_images/1427345710358347782/lunq2q4Z_normal.jpg</v>
      </c>
      <c r="G523" s="95"/>
      <c r="H523" s="71"/>
      <c r="I523" s="72"/>
      <c r="J523" s="96"/>
      <c r="K523" s="71" t="s">
        <v>11719</v>
      </c>
      <c r="L523" s="97"/>
      <c r="M523" s="76"/>
      <c r="N523" s="76"/>
      <c r="O523" s="77"/>
      <c r="P523" s="78"/>
      <c r="Q523" s="78"/>
      <c r="R523" s="92"/>
      <c r="S523" s="92"/>
      <c r="T523" s="92"/>
      <c r="U523" s="92"/>
      <c r="V523" s="52"/>
      <c r="W523" s="52"/>
      <c r="X523" s="52"/>
      <c r="Y523" s="52"/>
      <c r="Z523" s="51"/>
      <c r="AA523" s="73"/>
      <c r="AB523" s="73"/>
      <c r="AC523" s="74"/>
      <c r="AD523" s="81" t="s">
        <v>8349</v>
      </c>
      <c r="AE523" s="86" t="s">
        <v>7850</v>
      </c>
      <c r="AF523" s="81">
        <v>265</v>
      </c>
      <c r="AG523" s="81">
        <v>16</v>
      </c>
      <c r="AH523" s="81">
        <v>595</v>
      </c>
      <c r="AI523" s="81">
        <v>413</v>
      </c>
      <c r="AJ523" s="81"/>
      <c r="AK523" s="81" t="s">
        <v>10332</v>
      </c>
      <c r="AL523" s="81"/>
      <c r="AM523" s="81"/>
      <c r="AN523" s="81"/>
      <c r="AO523" s="83">
        <v>44424.793379629627</v>
      </c>
      <c r="AP523" s="81"/>
      <c r="AQ523" s="81" t="b">
        <v>1</v>
      </c>
      <c r="AR523" s="81" t="b">
        <v>0</v>
      </c>
      <c r="AS523" s="81" t="b">
        <v>0</v>
      </c>
      <c r="AT523" s="81"/>
      <c r="AU523" s="81">
        <v>0</v>
      </c>
      <c r="AV523" s="81"/>
      <c r="AW523" s="81" t="b">
        <v>0</v>
      </c>
      <c r="AX523" s="81" t="s">
        <v>3728</v>
      </c>
      <c r="AY523" s="84" t="str">
        <f>HYPERLINK("https://twitter.com/cinzento19")</f>
        <v>https://twitter.com/cinzento19</v>
      </c>
      <c r="AZ523" s="81" t="s">
        <v>65</v>
      </c>
      <c r="BA523" s="2"/>
      <c r="BB523" s="3"/>
      <c r="BC523" s="3"/>
      <c r="BD523" s="3"/>
      <c r="BE523" s="3"/>
    </row>
    <row r="524" spans="1:57" x14ac:dyDescent="0.35">
      <c r="A524" s="66" t="s">
        <v>4392</v>
      </c>
      <c r="B524" s="67"/>
      <c r="C524" s="67"/>
      <c r="D524" s="68"/>
      <c r="E524" s="94"/>
      <c r="F524" s="93" t="str">
        <f>HYPERLINK("https://pbs.twimg.com/profile_images/1373082121171054592/fIel1HVH_normal.jpg")</f>
        <v>https://pbs.twimg.com/profile_images/1373082121171054592/fIel1HVH_normal.jpg</v>
      </c>
      <c r="G524" s="95"/>
      <c r="H524" s="71"/>
      <c r="I524" s="72"/>
      <c r="J524" s="96"/>
      <c r="K524" s="71" t="s">
        <v>11720</v>
      </c>
      <c r="L524" s="97"/>
      <c r="M524" s="76"/>
      <c r="N524" s="76"/>
      <c r="O524" s="77"/>
      <c r="P524" s="78"/>
      <c r="Q524" s="78"/>
      <c r="R524" s="92"/>
      <c r="S524" s="92"/>
      <c r="T524" s="92"/>
      <c r="U524" s="92"/>
      <c r="V524" s="52"/>
      <c r="W524" s="52"/>
      <c r="X524" s="52"/>
      <c r="Y524" s="52"/>
      <c r="Z524" s="51"/>
      <c r="AA524" s="73"/>
      <c r="AB524" s="73"/>
      <c r="AC524" s="74"/>
      <c r="AD524" s="81" t="s">
        <v>8350</v>
      </c>
      <c r="AE524" s="86" t="s">
        <v>9370</v>
      </c>
      <c r="AF524" s="81">
        <v>859</v>
      </c>
      <c r="AG524" s="81">
        <v>1326</v>
      </c>
      <c r="AH524" s="81">
        <v>5598</v>
      </c>
      <c r="AI524" s="81">
        <v>499</v>
      </c>
      <c r="AJ524" s="81"/>
      <c r="AK524" s="81" t="s">
        <v>10333</v>
      </c>
      <c r="AL524" s="81" t="s">
        <v>10985</v>
      </c>
      <c r="AM524" s="84" t="str">
        <f>HYPERLINK("https://t.co/njjww2Fk9w")</f>
        <v>https://t.co/njjww2Fk9w</v>
      </c>
      <c r="AN524" s="81"/>
      <c r="AO524" s="83">
        <v>44003.91165509259</v>
      </c>
      <c r="AP524" s="84" t="str">
        <f>HYPERLINK("https://pbs.twimg.com/profile_banners/1274822460077154304/1616203263")</f>
        <v>https://pbs.twimg.com/profile_banners/1274822460077154304/1616203263</v>
      </c>
      <c r="AQ524" s="81" t="b">
        <v>1</v>
      </c>
      <c r="AR524" s="81" t="b">
        <v>0</v>
      </c>
      <c r="AS524" s="81" t="b">
        <v>0</v>
      </c>
      <c r="AT524" s="81"/>
      <c r="AU524" s="81">
        <v>17</v>
      </c>
      <c r="AV524" s="81"/>
      <c r="AW524" s="81" t="b">
        <v>0</v>
      </c>
      <c r="AX524" s="81" t="s">
        <v>3728</v>
      </c>
      <c r="AY524" s="84" t="str">
        <f>HYPERLINK("https://twitter.com/ocafricano")</f>
        <v>https://twitter.com/ocafricano</v>
      </c>
      <c r="AZ524" s="81" t="s">
        <v>66</v>
      </c>
      <c r="BA524" s="2"/>
      <c r="BB524" s="3"/>
      <c r="BC524" s="3"/>
      <c r="BD524" s="3"/>
      <c r="BE524" s="3"/>
    </row>
    <row r="525" spans="1:57" x14ac:dyDescent="0.35">
      <c r="A525" s="66" t="s">
        <v>380</v>
      </c>
      <c r="B525" s="67"/>
      <c r="C525" s="67"/>
      <c r="D525" s="68"/>
      <c r="E525" s="94"/>
      <c r="F525" s="93" t="str">
        <f>HYPERLINK("https://pbs.twimg.com/profile_images/1144132838951809026/UsSe9lTl_normal.png")</f>
        <v>https://pbs.twimg.com/profile_images/1144132838951809026/UsSe9lTl_normal.png</v>
      </c>
      <c r="G525" s="95"/>
      <c r="H525" s="71"/>
      <c r="I525" s="72"/>
      <c r="J525" s="96"/>
      <c r="K525" s="71" t="s">
        <v>3922</v>
      </c>
      <c r="L525" s="97"/>
      <c r="M525" s="76"/>
      <c r="N525" s="76"/>
      <c r="O525" s="77"/>
      <c r="P525" s="78"/>
      <c r="Q525" s="78"/>
      <c r="R525" s="92"/>
      <c r="S525" s="92"/>
      <c r="T525" s="92"/>
      <c r="U525" s="92"/>
      <c r="V525" s="52"/>
      <c r="W525" s="52"/>
      <c r="X525" s="52"/>
      <c r="Y525" s="52"/>
      <c r="Z525" s="51"/>
      <c r="AA525" s="73"/>
      <c r="AB525" s="73"/>
      <c r="AC525" s="74"/>
      <c r="AD525" s="81" t="s">
        <v>2437</v>
      </c>
      <c r="AE525" s="86" t="s">
        <v>2860</v>
      </c>
      <c r="AF525" s="81">
        <v>18</v>
      </c>
      <c r="AG525" s="81">
        <v>7959</v>
      </c>
      <c r="AH525" s="81">
        <v>301959</v>
      </c>
      <c r="AI525" s="81">
        <v>1011</v>
      </c>
      <c r="AJ525" s="81"/>
      <c r="AK525" s="81" t="s">
        <v>3268</v>
      </c>
      <c r="AL525" s="81" t="s">
        <v>3510</v>
      </c>
      <c r="AM525" s="84" t="str">
        <f>HYPERLINK("https://t.co/F3Uvvs9E3z")</f>
        <v>https://t.co/F3Uvvs9E3z</v>
      </c>
      <c r="AN525" s="81"/>
      <c r="AO525" s="83">
        <v>42656.534143518518</v>
      </c>
      <c r="AP525" s="84" t="str">
        <f>HYPERLINK("https://pbs.twimg.com/profile_banners/786549338818224128/1632802248")</f>
        <v>https://pbs.twimg.com/profile_banners/786549338818224128/1632802248</v>
      </c>
      <c r="AQ525" s="81" t="b">
        <v>0</v>
      </c>
      <c r="AR525" s="81" t="b">
        <v>0</v>
      </c>
      <c r="AS525" s="81" t="b">
        <v>1</v>
      </c>
      <c r="AT525" s="81"/>
      <c r="AU525" s="81">
        <v>14</v>
      </c>
      <c r="AV525" s="84" t="str">
        <f>HYPERLINK("https://abs.twimg.com/images/themes/theme1/bg.png")</f>
        <v>https://abs.twimg.com/images/themes/theme1/bg.png</v>
      </c>
      <c r="AW525" s="81" t="b">
        <v>0</v>
      </c>
      <c r="AX525" s="81" t="s">
        <v>3728</v>
      </c>
      <c r="AY525" s="84" t="str">
        <f>HYPERLINK("https://twitter.com/akuratco")</f>
        <v>https://twitter.com/akuratco</v>
      </c>
      <c r="AZ525" s="81" t="s">
        <v>66</v>
      </c>
      <c r="BA525" s="2"/>
      <c r="BB525" s="3"/>
      <c r="BC525" s="3"/>
      <c r="BD525" s="3"/>
      <c r="BE525" s="3"/>
    </row>
    <row r="526" spans="1:57" x14ac:dyDescent="0.35">
      <c r="A526" s="66" t="s">
        <v>4393</v>
      </c>
      <c r="B526" s="67"/>
      <c r="C526" s="67"/>
      <c r="D526" s="68"/>
      <c r="E526" s="94"/>
      <c r="F526" s="93" t="str">
        <f>HYPERLINK("https://pbs.twimg.com/profile_images/1437188855044714498/3VUifLdc_normal.jpg")</f>
        <v>https://pbs.twimg.com/profile_images/1437188855044714498/3VUifLdc_normal.jpg</v>
      </c>
      <c r="G526" s="95"/>
      <c r="H526" s="71"/>
      <c r="I526" s="72"/>
      <c r="J526" s="96"/>
      <c r="K526" s="71" t="s">
        <v>11721</v>
      </c>
      <c r="L526" s="97"/>
      <c r="M526" s="76"/>
      <c r="N526" s="76"/>
      <c r="O526" s="77"/>
      <c r="P526" s="78"/>
      <c r="Q526" s="78"/>
      <c r="R526" s="92"/>
      <c r="S526" s="92"/>
      <c r="T526" s="92"/>
      <c r="U526" s="92"/>
      <c r="V526" s="52"/>
      <c r="W526" s="52"/>
      <c r="X526" s="52"/>
      <c r="Y526" s="52"/>
      <c r="Z526" s="51"/>
      <c r="AA526" s="73"/>
      <c r="AB526" s="73"/>
      <c r="AC526" s="74"/>
      <c r="AD526" s="81" t="s">
        <v>8351</v>
      </c>
      <c r="AE526" s="86" t="s">
        <v>9371</v>
      </c>
      <c r="AF526" s="81">
        <v>251</v>
      </c>
      <c r="AG526" s="81">
        <v>260</v>
      </c>
      <c r="AH526" s="81">
        <v>3016</v>
      </c>
      <c r="AI526" s="81">
        <v>2549</v>
      </c>
      <c r="AJ526" s="81"/>
      <c r="AK526" s="81" t="s">
        <v>10334</v>
      </c>
      <c r="AL526" s="81" t="s">
        <v>11118</v>
      </c>
      <c r="AM526" s="81"/>
      <c r="AN526" s="81"/>
      <c r="AO526" s="83">
        <v>43138.662222222221</v>
      </c>
      <c r="AP526" s="84" t="str">
        <f>HYPERLINK("https://pbs.twimg.com/profile_banners/961266705472290816/1632540007")</f>
        <v>https://pbs.twimg.com/profile_banners/961266705472290816/1632540007</v>
      </c>
      <c r="AQ526" s="81" t="b">
        <v>1</v>
      </c>
      <c r="AR526" s="81" t="b">
        <v>0</v>
      </c>
      <c r="AS526" s="81" t="b">
        <v>0</v>
      </c>
      <c r="AT526" s="81"/>
      <c r="AU526" s="81">
        <v>0</v>
      </c>
      <c r="AV526" s="81"/>
      <c r="AW526" s="81" t="b">
        <v>0</v>
      </c>
      <c r="AX526" s="81" t="s">
        <v>3728</v>
      </c>
      <c r="AY526" s="84" t="str">
        <f>HYPERLINK("https://twitter.com/_mardega")</f>
        <v>https://twitter.com/_mardega</v>
      </c>
      <c r="AZ526" s="81" t="s">
        <v>66</v>
      </c>
      <c r="BA526" s="2"/>
      <c r="BB526" s="3"/>
      <c r="BC526" s="3"/>
      <c r="BD526" s="3"/>
      <c r="BE526" s="3"/>
    </row>
    <row r="527" spans="1:57" x14ac:dyDescent="0.35">
      <c r="A527" s="66" t="s">
        <v>5069</v>
      </c>
      <c r="B527" s="67"/>
      <c r="C527" s="67"/>
      <c r="D527" s="68"/>
      <c r="E527" s="94"/>
      <c r="F527" s="93" t="str">
        <f>HYPERLINK("https://pbs.twimg.com/profile_images/1441991198386892800/0lZ50V4d_normal.jpg")</f>
        <v>https://pbs.twimg.com/profile_images/1441991198386892800/0lZ50V4d_normal.jpg</v>
      </c>
      <c r="G527" s="95"/>
      <c r="H527" s="71"/>
      <c r="I527" s="72"/>
      <c r="J527" s="96"/>
      <c r="K527" s="71" t="s">
        <v>11722</v>
      </c>
      <c r="L527" s="97"/>
      <c r="M527" s="76"/>
      <c r="N527" s="76"/>
      <c r="O527" s="77"/>
      <c r="P527" s="78"/>
      <c r="Q527" s="78"/>
      <c r="R527" s="92"/>
      <c r="S527" s="92"/>
      <c r="T527" s="92"/>
      <c r="U527" s="92"/>
      <c r="V527" s="52"/>
      <c r="W527" s="52"/>
      <c r="X527" s="52"/>
      <c r="Y527" s="52"/>
      <c r="Z527" s="51"/>
      <c r="AA527" s="73"/>
      <c r="AB527" s="73"/>
      <c r="AC527" s="74"/>
      <c r="AD527" s="81" t="s">
        <v>8352</v>
      </c>
      <c r="AE527" s="86" t="s">
        <v>7851</v>
      </c>
      <c r="AF527" s="81">
        <v>242</v>
      </c>
      <c r="AG527" s="81">
        <v>278</v>
      </c>
      <c r="AH527" s="81">
        <v>807</v>
      </c>
      <c r="AI527" s="81">
        <v>2506</v>
      </c>
      <c r="AJ527" s="81"/>
      <c r="AK527" s="81" t="s">
        <v>10335</v>
      </c>
      <c r="AL527" s="81" t="s">
        <v>11119</v>
      </c>
      <c r="AM527" s="84" t="str">
        <f>HYPERLINK("https://t.co/z9hYwRWjAy")</f>
        <v>https://t.co/z9hYwRWjAy</v>
      </c>
      <c r="AN527" s="81"/>
      <c r="AO527" s="83">
        <v>43076.005590277775</v>
      </c>
      <c r="AP527" s="84" t="str">
        <f>HYPERLINK("https://pbs.twimg.com/profile_banners/938560699374202880/1632456285")</f>
        <v>https://pbs.twimg.com/profile_banners/938560699374202880/1632456285</v>
      </c>
      <c r="AQ527" s="81" t="b">
        <v>1</v>
      </c>
      <c r="AR527" s="81" t="b">
        <v>0</v>
      </c>
      <c r="AS527" s="81" t="b">
        <v>1</v>
      </c>
      <c r="AT527" s="81"/>
      <c r="AU527" s="81">
        <v>0</v>
      </c>
      <c r="AV527" s="81"/>
      <c r="AW527" s="81" t="b">
        <v>0</v>
      </c>
      <c r="AX527" s="81" t="s">
        <v>3728</v>
      </c>
      <c r="AY527" s="84" t="str">
        <f>HYPERLINK("https://twitter.com/amorimgabaa")</f>
        <v>https://twitter.com/amorimgabaa</v>
      </c>
      <c r="AZ527" s="81" t="s">
        <v>65</v>
      </c>
      <c r="BA527" s="2"/>
      <c r="BB527" s="3"/>
      <c r="BC527" s="3"/>
      <c r="BD527" s="3"/>
      <c r="BE527" s="3"/>
    </row>
    <row r="528" spans="1:57" x14ac:dyDescent="0.35">
      <c r="A528" s="66" t="s">
        <v>381</v>
      </c>
      <c r="B528" s="67"/>
      <c r="C528" s="67"/>
      <c r="D528" s="68"/>
      <c r="E528" s="94"/>
      <c r="F528" s="93" t="str">
        <f>HYPERLINK("https://pbs.twimg.com/profile_images/1433080538311528453/mEI8ycFo_normal.jpg")</f>
        <v>https://pbs.twimg.com/profile_images/1433080538311528453/mEI8ycFo_normal.jpg</v>
      </c>
      <c r="G528" s="95"/>
      <c r="H528" s="71"/>
      <c r="I528" s="72"/>
      <c r="J528" s="96"/>
      <c r="K528" s="71" t="s">
        <v>3923</v>
      </c>
      <c r="L528" s="97"/>
      <c r="M528" s="76"/>
      <c r="N528" s="76"/>
      <c r="O528" s="77"/>
      <c r="P528" s="78"/>
      <c r="Q528" s="78"/>
      <c r="R528" s="92"/>
      <c r="S528" s="92"/>
      <c r="T528" s="92"/>
      <c r="U528" s="92"/>
      <c r="V528" s="52"/>
      <c r="W528" s="52"/>
      <c r="X528" s="52"/>
      <c r="Y528" s="52"/>
      <c r="Z528" s="51"/>
      <c r="AA528" s="73"/>
      <c r="AB528" s="73"/>
      <c r="AC528" s="74"/>
      <c r="AD528" s="81" t="s">
        <v>2438</v>
      </c>
      <c r="AE528" s="86" t="s">
        <v>2861</v>
      </c>
      <c r="AF528" s="81">
        <v>451</v>
      </c>
      <c r="AG528" s="81">
        <v>559</v>
      </c>
      <c r="AH528" s="81">
        <v>77640</v>
      </c>
      <c r="AI528" s="81">
        <v>24260</v>
      </c>
      <c r="AJ528" s="81"/>
      <c r="AK528" s="81" t="s">
        <v>3269</v>
      </c>
      <c r="AL528" s="81" t="s">
        <v>3621</v>
      </c>
      <c r="AM528" s="81"/>
      <c r="AN528" s="81"/>
      <c r="AO528" s="83">
        <v>41114.562141203707</v>
      </c>
      <c r="AP528" s="84" t="str">
        <f>HYPERLINK("https://pbs.twimg.com/profile_banners/714291518/1629269436")</f>
        <v>https://pbs.twimg.com/profile_banners/714291518/1629269436</v>
      </c>
      <c r="AQ528" s="81" t="b">
        <v>0</v>
      </c>
      <c r="AR528" s="81" t="b">
        <v>0</v>
      </c>
      <c r="AS528" s="81" t="b">
        <v>1</v>
      </c>
      <c r="AT528" s="81"/>
      <c r="AU528" s="81">
        <v>2</v>
      </c>
      <c r="AV528" s="84" t="str">
        <f>HYPERLINK("https://abs.twimg.com/images/themes/theme11/bg.gif")</f>
        <v>https://abs.twimg.com/images/themes/theme11/bg.gif</v>
      </c>
      <c r="AW528" s="81" t="b">
        <v>0</v>
      </c>
      <c r="AX528" s="81" t="s">
        <v>3728</v>
      </c>
      <c r="AY528" s="84" t="str">
        <f>HYPERLINK("https://twitter.com/smootieskies")</f>
        <v>https://twitter.com/smootieskies</v>
      </c>
      <c r="AZ528" s="81" t="s">
        <v>66</v>
      </c>
      <c r="BA528" s="2"/>
      <c r="BB528" s="3"/>
      <c r="BC528" s="3"/>
      <c r="BD528" s="3"/>
      <c r="BE528" s="3"/>
    </row>
    <row r="529" spans="1:57" x14ac:dyDescent="0.35">
      <c r="A529" s="66" t="s">
        <v>4394</v>
      </c>
      <c r="B529" s="67"/>
      <c r="C529" s="67"/>
      <c r="D529" s="68"/>
      <c r="E529" s="94"/>
      <c r="F529" s="93" t="str">
        <f>HYPERLINK("https://pbs.twimg.com/profile_images/1427354602710646787/7cdn8dhg_normal.jpg")</f>
        <v>https://pbs.twimg.com/profile_images/1427354602710646787/7cdn8dhg_normal.jpg</v>
      </c>
      <c r="G529" s="95"/>
      <c r="H529" s="71"/>
      <c r="I529" s="72"/>
      <c r="J529" s="96"/>
      <c r="K529" s="71" t="s">
        <v>11723</v>
      </c>
      <c r="L529" s="97"/>
      <c r="M529" s="76"/>
      <c r="N529" s="76"/>
      <c r="O529" s="77"/>
      <c r="P529" s="78"/>
      <c r="Q529" s="78"/>
      <c r="R529" s="92"/>
      <c r="S529" s="92"/>
      <c r="T529" s="92"/>
      <c r="U529" s="92"/>
      <c r="V529" s="52"/>
      <c r="W529" s="52"/>
      <c r="X529" s="52"/>
      <c r="Y529" s="52"/>
      <c r="Z529" s="51"/>
      <c r="AA529" s="73"/>
      <c r="AB529" s="73"/>
      <c r="AC529" s="74"/>
      <c r="AD529" s="81" t="s">
        <v>8353</v>
      </c>
      <c r="AE529" s="86" t="s">
        <v>7852</v>
      </c>
      <c r="AF529" s="81">
        <v>302</v>
      </c>
      <c r="AG529" s="81">
        <v>266</v>
      </c>
      <c r="AH529" s="81">
        <v>2600</v>
      </c>
      <c r="AI529" s="81">
        <v>8103</v>
      </c>
      <c r="AJ529" s="81"/>
      <c r="AK529" s="81" t="s">
        <v>10336</v>
      </c>
      <c r="AL529" s="81" t="s">
        <v>11120</v>
      </c>
      <c r="AM529" s="84" t="str">
        <f>HYPERLINK("https://t.co/zHBSW7i8zH")</f>
        <v>https://t.co/zHBSW7i8zH</v>
      </c>
      <c r="AN529" s="81"/>
      <c r="AO529" s="83">
        <v>43897.235358796293</v>
      </c>
      <c r="AP529" s="84" t="str">
        <f>HYPERLINK("https://pbs.twimg.com/profile_banners/1236164256040726529/1629444340")</f>
        <v>https://pbs.twimg.com/profile_banners/1236164256040726529/1629444340</v>
      </c>
      <c r="AQ529" s="81" t="b">
        <v>1</v>
      </c>
      <c r="AR529" s="81" t="b">
        <v>0</v>
      </c>
      <c r="AS529" s="81" t="b">
        <v>0</v>
      </c>
      <c r="AT529" s="81"/>
      <c r="AU529" s="81">
        <v>2</v>
      </c>
      <c r="AV529" s="81"/>
      <c r="AW529" s="81" t="b">
        <v>0</v>
      </c>
      <c r="AX529" s="81" t="s">
        <v>3728</v>
      </c>
      <c r="AY529" s="84" t="str">
        <f>HYPERLINK("https://twitter.com/gayhobbit")</f>
        <v>https://twitter.com/gayhobbit</v>
      </c>
      <c r="AZ529" s="81" t="s">
        <v>66</v>
      </c>
      <c r="BA529" s="2"/>
      <c r="BB529" s="3"/>
      <c r="BC529" s="3"/>
      <c r="BD529" s="3"/>
      <c r="BE529" s="3"/>
    </row>
    <row r="530" spans="1:57" x14ac:dyDescent="0.35">
      <c r="A530" s="66" t="s">
        <v>382</v>
      </c>
      <c r="B530" s="67"/>
      <c r="C530" s="67"/>
      <c r="D530" s="68"/>
      <c r="E530" s="94"/>
      <c r="F530" s="93" t="str">
        <f>HYPERLINK("https://pbs.twimg.com/profile_images/521783012321529857/jxYnIjmW_normal.jpeg")</f>
        <v>https://pbs.twimg.com/profile_images/521783012321529857/jxYnIjmW_normal.jpeg</v>
      </c>
      <c r="G530" s="95"/>
      <c r="H530" s="71"/>
      <c r="I530" s="72"/>
      <c r="J530" s="96"/>
      <c r="K530" s="71" t="s">
        <v>3924</v>
      </c>
      <c r="L530" s="97"/>
      <c r="M530" s="76"/>
      <c r="N530" s="76"/>
      <c r="O530" s="77"/>
      <c r="P530" s="78"/>
      <c r="Q530" s="78"/>
      <c r="R530" s="92"/>
      <c r="S530" s="92"/>
      <c r="T530" s="92"/>
      <c r="U530" s="92"/>
      <c r="V530" s="52"/>
      <c r="W530" s="52"/>
      <c r="X530" s="52"/>
      <c r="Y530" s="52"/>
      <c r="Z530" s="51"/>
      <c r="AA530" s="73"/>
      <c r="AB530" s="73"/>
      <c r="AC530" s="74"/>
      <c r="AD530" s="81" t="s">
        <v>2439</v>
      </c>
      <c r="AE530" s="86" t="s">
        <v>2862</v>
      </c>
      <c r="AF530" s="81">
        <v>1</v>
      </c>
      <c r="AG530" s="81">
        <v>3685</v>
      </c>
      <c r="AH530" s="81">
        <v>237342</v>
      </c>
      <c r="AI530" s="81">
        <v>5</v>
      </c>
      <c r="AJ530" s="81"/>
      <c r="AK530" s="81" t="s">
        <v>3270</v>
      </c>
      <c r="AL530" s="81" t="s">
        <v>3622</v>
      </c>
      <c r="AM530" s="84" t="str">
        <f>HYPERLINK("http://t.co/oyBVRUnmRK")</f>
        <v>http://t.co/oyBVRUnmRK</v>
      </c>
      <c r="AN530" s="81"/>
      <c r="AO530" s="83">
        <v>41186.514479166668</v>
      </c>
      <c r="AP530" s="84" t="str">
        <f>HYPERLINK("https://pbs.twimg.com/profile_banners/861305918/1413237767")</f>
        <v>https://pbs.twimg.com/profile_banners/861305918/1413237767</v>
      </c>
      <c r="AQ530" s="81" t="b">
        <v>0</v>
      </c>
      <c r="AR530" s="81" t="b">
        <v>0</v>
      </c>
      <c r="AS530" s="81" t="b">
        <v>0</v>
      </c>
      <c r="AT530" s="81"/>
      <c r="AU530" s="81">
        <v>64</v>
      </c>
      <c r="AV530" s="84" t="str">
        <f>HYPERLINK("https://abs.twimg.com/images/themes/theme1/bg.png")</f>
        <v>https://abs.twimg.com/images/themes/theme1/bg.png</v>
      </c>
      <c r="AW530" s="81" t="b">
        <v>0</v>
      </c>
      <c r="AX530" s="81" t="s">
        <v>3728</v>
      </c>
      <c r="AY530" s="84" t="str">
        <f>HYPERLINK("https://twitter.com/mitraloker")</f>
        <v>https://twitter.com/mitraloker</v>
      </c>
      <c r="AZ530" s="81" t="s">
        <v>66</v>
      </c>
      <c r="BA530" s="2"/>
      <c r="BB530" s="3"/>
      <c r="BC530" s="3"/>
      <c r="BD530" s="3"/>
      <c r="BE530" s="3"/>
    </row>
    <row r="531" spans="1:57" x14ac:dyDescent="0.35">
      <c r="A531" s="66" t="s">
        <v>383</v>
      </c>
      <c r="B531" s="67"/>
      <c r="C531" s="67"/>
      <c r="D531" s="68"/>
      <c r="E531" s="94"/>
      <c r="F531" s="93" t="str">
        <f>HYPERLINK("https://pbs.twimg.com/profile_images/1406551823230541826/qNMPRivD_normal.jpg")</f>
        <v>https://pbs.twimg.com/profile_images/1406551823230541826/qNMPRivD_normal.jpg</v>
      </c>
      <c r="G531" s="95"/>
      <c r="H531" s="71"/>
      <c r="I531" s="72"/>
      <c r="J531" s="96"/>
      <c r="K531" s="71" t="s">
        <v>3925</v>
      </c>
      <c r="L531" s="97"/>
      <c r="M531" s="76"/>
      <c r="N531" s="76"/>
      <c r="O531" s="77"/>
      <c r="P531" s="78"/>
      <c r="Q531" s="78"/>
      <c r="R531" s="92"/>
      <c r="S531" s="92"/>
      <c r="T531" s="92"/>
      <c r="U531" s="92"/>
      <c r="V531" s="52"/>
      <c r="W531" s="52"/>
      <c r="X531" s="52"/>
      <c r="Y531" s="52"/>
      <c r="Z531" s="51"/>
      <c r="AA531" s="73"/>
      <c r="AB531" s="73"/>
      <c r="AC531" s="74"/>
      <c r="AD531" s="81" t="s">
        <v>2440</v>
      </c>
      <c r="AE531" s="86" t="s">
        <v>2863</v>
      </c>
      <c r="AF531" s="81">
        <v>196</v>
      </c>
      <c r="AG531" s="81">
        <v>195</v>
      </c>
      <c r="AH531" s="81">
        <v>64575</v>
      </c>
      <c r="AI531" s="81">
        <v>146054</v>
      </c>
      <c r="AJ531" s="81"/>
      <c r="AK531" s="81" t="s">
        <v>3271</v>
      </c>
      <c r="AL531" s="81"/>
      <c r="AM531" s="81"/>
      <c r="AN531" s="81"/>
      <c r="AO531" s="83">
        <v>41248.325150462966</v>
      </c>
      <c r="AP531" s="84" t="str">
        <f>HYPERLINK("https://pbs.twimg.com/profile_banners/990439075/1563953251")</f>
        <v>https://pbs.twimg.com/profile_banners/990439075/1563953251</v>
      </c>
      <c r="AQ531" s="81" t="b">
        <v>0</v>
      </c>
      <c r="AR531" s="81" t="b">
        <v>0</v>
      </c>
      <c r="AS531" s="81" t="b">
        <v>0</v>
      </c>
      <c r="AT531" s="81"/>
      <c r="AU531" s="81">
        <v>1</v>
      </c>
      <c r="AV531" s="84" t="str">
        <f>HYPERLINK("https://abs.twimg.com/images/themes/theme11/bg.gif")</f>
        <v>https://abs.twimg.com/images/themes/theme11/bg.gif</v>
      </c>
      <c r="AW531" s="81" t="b">
        <v>0</v>
      </c>
      <c r="AX531" s="81" t="s">
        <v>3728</v>
      </c>
      <c r="AY531" s="84" t="str">
        <f>HYPERLINK("https://twitter.com/_44ngel_")</f>
        <v>https://twitter.com/_44ngel_</v>
      </c>
      <c r="AZ531" s="81" t="s">
        <v>66</v>
      </c>
      <c r="BA531" s="2"/>
      <c r="BB531" s="3"/>
      <c r="BC531" s="3"/>
      <c r="BD531" s="3"/>
      <c r="BE531" s="3"/>
    </row>
    <row r="532" spans="1:57" x14ac:dyDescent="0.35">
      <c r="A532" s="66" t="s">
        <v>384</v>
      </c>
      <c r="B532" s="67"/>
      <c r="C532" s="67"/>
      <c r="D532" s="68"/>
      <c r="E532" s="94"/>
      <c r="F532" s="93" t="str">
        <f>HYPERLINK("https://pbs.twimg.com/profile_images/461691104329359360/Y5j2ASJP_normal.jpeg")</f>
        <v>https://pbs.twimg.com/profile_images/461691104329359360/Y5j2ASJP_normal.jpeg</v>
      </c>
      <c r="G532" s="95"/>
      <c r="H532" s="71"/>
      <c r="I532" s="72"/>
      <c r="J532" s="96"/>
      <c r="K532" s="71" t="s">
        <v>3926</v>
      </c>
      <c r="L532" s="97"/>
      <c r="M532" s="76"/>
      <c r="N532" s="76"/>
      <c r="O532" s="77"/>
      <c r="P532" s="78"/>
      <c r="Q532" s="78"/>
      <c r="R532" s="92"/>
      <c r="S532" s="92"/>
      <c r="T532" s="92"/>
      <c r="U532" s="92"/>
      <c r="V532" s="52"/>
      <c r="W532" s="52"/>
      <c r="X532" s="52"/>
      <c r="Y532" s="52"/>
      <c r="Z532" s="51"/>
      <c r="AA532" s="73"/>
      <c r="AB532" s="73"/>
      <c r="AC532" s="74"/>
      <c r="AD532" s="81" t="s">
        <v>384</v>
      </c>
      <c r="AE532" s="86" t="s">
        <v>2864</v>
      </c>
      <c r="AF532" s="81">
        <v>246</v>
      </c>
      <c r="AG532" s="81">
        <v>2521</v>
      </c>
      <c r="AH532" s="81">
        <v>20580</v>
      </c>
      <c r="AI532" s="81">
        <v>10</v>
      </c>
      <c r="AJ532" s="81"/>
      <c r="AK532" s="81" t="s">
        <v>3272</v>
      </c>
      <c r="AL532" s="81"/>
      <c r="AM532" s="84" t="str">
        <f>HYPERLINK("http://t.co/yqS766n5Rt")</f>
        <v>http://t.co/yqS766n5Rt</v>
      </c>
      <c r="AN532" s="81"/>
      <c r="AO532" s="83">
        <v>41760.063715277778</v>
      </c>
      <c r="AP532" s="84" t="str">
        <f>HYPERLINK("https://pbs.twimg.com/profile_banners/2471761039/1398910682")</f>
        <v>https://pbs.twimg.com/profile_banners/2471761039/1398910682</v>
      </c>
      <c r="AQ532" s="81" t="b">
        <v>0</v>
      </c>
      <c r="AR532" s="81" t="b">
        <v>0</v>
      </c>
      <c r="AS532" s="81" t="b">
        <v>0</v>
      </c>
      <c r="AT532" s="81"/>
      <c r="AU532" s="81">
        <v>19</v>
      </c>
      <c r="AV532" s="84" t="str">
        <f>HYPERLINK("https://abs.twimg.com/images/themes/theme1/bg.png")</f>
        <v>https://abs.twimg.com/images/themes/theme1/bg.png</v>
      </c>
      <c r="AW532" s="81" t="b">
        <v>0</v>
      </c>
      <c r="AX532" s="81" t="s">
        <v>3728</v>
      </c>
      <c r="AY532" s="84" t="str">
        <f>HYPERLINK("https://twitter.com/indojobinfo")</f>
        <v>https://twitter.com/indojobinfo</v>
      </c>
      <c r="AZ532" s="81" t="s">
        <v>66</v>
      </c>
      <c r="BA532" s="2"/>
      <c r="BB532" s="3"/>
      <c r="BC532" s="3"/>
      <c r="BD532" s="3"/>
      <c r="BE532" s="3"/>
    </row>
    <row r="533" spans="1:57" x14ac:dyDescent="0.35">
      <c r="A533" s="66" t="s">
        <v>385</v>
      </c>
      <c r="B533" s="67"/>
      <c r="C533" s="67"/>
      <c r="D533" s="68"/>
      <c r="E533" s="94"/>
      <c r="F533" s="93" t="str">
        <f>HYPERLINK("https://pbs.twimg.com/profile_images/1354267278695485440/XudgKeDn_normal.jpg")</f>
        <v>https://pbs.twimg.com/profile_images/1354267278695485440/XudgKeDn_normal.jpg</v>
      </c>
      <c r="G533" s="95"/>
      <c r="H533" s="71"/>
      <c r="I533" s="72"/>
      <c r="J533" s="96"/>
      <c r="K533" s="71" t="s">
        <v>3927</v>
      </c>
      <c r="L533" s="97"/>
      <c r="M533" s="76"/>
      <c r="N533" s="76"/>
      <c r="O533" s="77"/>
      <c r="P533" s="78"/>
      <c r="Q533" s="78"/>
      <c r="R533" s="92"/>
      <c r="S533" s="92"/>
      <c r="T533" s="92"/>
      <c r="U533" s="92"/>
      <c r="V533" s="52"/>
      <c r="W533" s="52"/>
      <c r="X533" s="52"/>
      <c r="Y533" s="52"/>
      <c r="Z533" s="51"/>
      <c r="AA533" s="73"/>
      <c r="AB533" s="73"/>
      <c r="AC533" s="74"/>
      <c r="AD533" s="81" t="s">
        <v>2441</v>
      </c>
      <c r="AE533" s="86" t="s">
        <v>2865</v>
      </c>
      <c r="AF533" s="81">
        <v>264</v>
      </c>
      <c r="AG533" s="81">
        <v>1006</v>
      </c>
      <c r="AH533" s="81">
        <v>162760</v>
      </c>
      <c r="AI533" s="81">
        <v>40136</v>
      </c>
      <c r="AJ533" s="81"/>
      <c r="AK533" s="81" t="s">
        <v>3273</v>
      </c>
      <c r="AL533" s="81" t="s">
        <v>3623</v>
      </c>
      <c r="AM533" s="81"/>
      <c r="AN533" s="81"/>
      <c r="AO533" s="83">
        <v>41774.629027777781</v>
      </c>
      <c r="AP533" s="84" t="str">
        <f>HYPERLINK("https://pbs.twimg.com/profile_banners/2496531500/1596318111")</f>
        <v>https://pbs.twimg.com/profile_banners/2496531500/1596318111</v>
      </c>
      <c r="AQ533" s="81" t="b">
        <v>0</v>
      </c>
      <c r="AR533" s="81" t="b">
        <v>0</v>
      </c>
      <c r="AS533" s="81" t="b">
        <v>1</v>
      </c>
      <c r="AT533" s="81"/>
      <c r="AU533" s="81">
        <v>5</v>
      </c>
      <c r="AV533" s="84" t="str">
        <f>HYPERLINK("https://abs.twimg.com/images/themes/theme1/bg.png")</f>
        <v>https://abs.twimg.com/images/themes/theme1/bg.png</v>
      </c>
      <c r="AW533" s="81" t="b">
        <v>0</v>
      </c>
      <c r="AX533" s="81" t="s">
        <v>3728</v>
      </c>
      <c r="AY533" s="84" t="str">
        <f>HYPERLINK("https://twitter.com/dyodks")</f>
        <v>https://twitter.com/dyodks</v>
      </c>
      <c r="AZ533" s="81" t="s">
        <v>66</v>
      </c>
      <c r="BA533" s="2"/>
      <c r="BB533" s="3"/>
      <c r="BC533" s="3"/>
      <c r="BD533" s="3"/>
      <c r="BE533" s="3"/>
    </row>
    <row r="534" spans="1:57" x14ac:dyDescent="0.35">
      <c r="A534" s="66" t="s">
        <v>386</v>
      </c>
      <c r="B534" s="67"/>
      <c r="C534" s="67"/>
      <c r="D534" s="68"/>
      <c r="E534" s="94"/>
      <c r="F534" s="93" t="str">
        <f>HYPERLINK("https://pbs.twimg.com/profile_images/1407642938197168132/Ri8ZozSZ_normal.jpg")</f>
        <v>https://pbs.twimg.com/profile_images/1407642938197168132/Ri8ZozSZ_normal.jpg</v>
      </c>
      <c r="G534" s="95"/>
      <c r="H534" s="71"/>
      <c r="I534" s="72"/>
      <c r="J534" s="96"/>
      <c r="K534" s="71" t="s">
        <v>3928</v>
      </c>
      <c r="L534" s="97"/>
      <c r="M534" s="76"/>
      <c r="N534" s="76"/>
      <c r="O534" s="77"/>
      <c r="P534" s="78"/>
      <c r="Q534" s="78"/>
      <c r="R534" s="92"/>
      <c r="S534" s="92"/>
      <c r="T534" s="92"/>
      <c r="U534" s="92"/>
      <c r="V534" s="52"/>
      <c r="W534" s="52"/>
      <c r="X534" s="52"/>
      <c r="Y534" s="52"/>
      <c r="Z534" s="51"/>
      <c r="AA534" s="73"/>
      <c r="AB534" s="73"/>
      <c r="AC534" s="74"/>
      <c r="AD534" s="81" t="s">
        <v>2442</v>
      </c>
      <c r="AE534" s="86" t="s">
        <v>2866</v>
      </c>
      <c r="AF534" s="81">
        <v>546</v>
      </c>
      <c r="AG534" s="81">
        <v>448</v>
      </c>
      <c r="AH534" s="81">
        <v>141</v>
      </c>
      <c r="AI534" s="81">
        <v>359</v>
      </c>
      <c r="AJ534" s="81"/>
      <c r="AK534" s="81" t="s">
        <v>3274</v>
      </c>
      <c r="AL534" s="81" t="s">
        <v>3624</v>
      </c>
      <c r="AM534" s="81"/>
      <c r="AN534" s="81"/>
      <c r="AO534" s="83">
        <v>44125.01054398148</v>
      </c>
      <c r="AP534" s="84" t="str">
        <f>HYPERLINK("https://pbs.twimg.com/profile_banners/1318707323842392066/1603923972")</f>
        <v>https://pbs.twimg.com/profile_banners/1318707323842392066/1603923972</v>
      </c>
      <c r="AQ534" s="81" t="b">
        <v>1</v>
      </c>
      <c r="AR534" s="81" t="b">
        <v>0</v>
      </c>
      <c r="AS534" s="81" t="b">
        <v>1</v>
      </c>
      <c r="AT534" s="81"/>
      <c r="AU534" s="81">
        <v>0</v>
      </c>
      <c r="AV534" s="81"/>
      <c r="AW534" s="81" t="b">
        <v>0</v>
      </c>
      <c r="AX534" s="81" t="s">
        <v>3728</v>
      </c>
      <c r="AY534" s="84" t="str">
        <f>HYPERLINK("https://twitter.com/dochil97")</f>
        <v>https://twitter.com/dochil97</v>
      </c>
      <c r="AZ534" s="81" t="s">
        <v>66</v>
      </c>
      <c r="BA534" s="2"/>
      <c r="BB534" s="3"/>
      <c r="BC534" s="3"/>
      <c r="BD534" s="3"/>
      <c r="BE534" s="3"/>
    </row>
    <row r="535" spans="1:57" x14ac:dyDescent="0.35">
      <c r="A535" s="66" t="s">
        <v>641</v>
      </c>
      <c r="B535" s="67"/>
      <c r="C535" s="67"/>
      <c r="D535" s="68"/>
      <c r="E535" s="94"/>
      <c r="F535" s="93" t="str">
        <f>HYPERLINK("https://pbs.twimg.com/profile_images/1424689203523121154/XiA22o6e_normal.jpg")</f>
        <v>https://pbs.twimg.com/profile_images/1424689203523121154/XiA22o6e_normal.jpg</v>
      </c>
      <c r="G535" s="95"/>
      <c r="H535" s="71"/>
      <c r="I535" s="72"/>
      <c r="J535" s="96"/>
      <c r="K535" s="71" t="s">
        <v>3929</v>
      </c>
      <c r="L535" s="97"/>
      <c r="M535" s="76"/>
      <c r="N535" s="76"/>
      <c r="O535" s="77"/>
      <c r="P535" s="78"/>
      <c r="Q535" s="78"/>
      <c r="R535" s="92"/>
      <c r="S535" s="92"/>
      <c r="T535" s="92"/>
      <c r="U535" s="92"/>
      <c r="V535" s="52"/>
      <c r="W535" s="52"/>
      <c r="X535" s="52"/>
      <c r="Y535" s="52"/>
      <c r="Z535" s="51"/>
      <c r="AA535" s="73"/>
      <c r="AB535" s="73"/>
      <c r="AC535" s="74"/>
      <c r="AD535" s="81" t="s">
        <v>2443</v>
      </c>
      <c r="AE535" s="86" t="s">
        <v>2116</v>
      </c>
      <c r="AF535" s="81">
        <v>518</v>
      </c>
      <c r="AG535" s="81">
        <v>620</v>
      </c>
      <c r="AH535" s="81">
        <v>719</v>
      </c>
      <c r="AI535" s="81">
        <v>3303</v>
      </c>
      <c r="AJ535" s="81"/>
      <c r="AK535" s="81" t="s">
        <v>3275</v>
      </c>
      <c r="AL535" s="81"/>
      <c r="AM535" s="81"/>
      <c r="AN535" s="81"/>
      <c r="AO535" s="83">
        <v>44313.202222222222</v>
      </c>
      <c r="AP535" s="81"/>
      <c r="AQ535" s="81" t="b">
        <v>1</v>
      </c>
      <c r="AR535" s="81" t="b">
        <v>0</v>
      </c>
      <c r="AS535" s="81" t="b">
        <v>0</v>
      </c>
      <c r="AT535" s="81"/>
      <c r="AU535" s="81">
        <v>0</v>
      </c>
      <c r="AV535" s="81"/>
      <c r="AW535" s="81" t="b">
        <v>0</v>
      </c>
      <c r="AX535" s="81" t="s">
        <v>3728</v>
      </c>
      <c r="AY535" s="84" t="str">
        <f>HYPERLINK("https://twitter.com/vchristyano")</f>
        <v>https://twitter.com/vchristyano</v>
      </c>
      <c r="AZ535" s="81" t="s">
        <v>65</v>
      </c>
      <c r="BA535" s="2"/>
      <c r="BB535" s="3"/>
      <c r="BC535" s="3"/>
      <c r="BD535" s="3"/>
      <c r="BE535" s="3"/>
    </row>
    <row r="536" spans="1:57" x14ac:dyDescent="0.35">
      <c r="A536" s="66" t="s">
        <v>4395</v>
      </c>
      <c r="B536" s="67"/>
      <c r="C536" s="67"/>
      <c r="D536" s="68"/>
      <c r="E536" s="94"/>
      <c r="F536" s="93" t="str">
        <f>HYPERLINK("https://pbs.twimg.com/profile_images/1084646613/DSC00016_normal.JPG")</f>
        <v>https://pbs.twimg.com/profile_images/1084646613/DSC00016_normal.JPG</v>
      </c>
      <c r="G536" s="95"/>
      <c r="H536" s="71"/>
      <c r="I536" s="72"/>
      <c r="J536" s="96"/>
      <c r="K536" s="71" t="s">
        <v>11724</v>
      </c>
      <c r="L536" s="97"/>
      <c r="M536" s="76"/>
      <c r="N536" s="76"/>
      <c r="O536" s="77"/>
      <c r="P536" s="78"/>
      <c r="Q536" s="78"/>
      <c r="R536" s="92"/>
      <c r="S536" s="92"/>
      <c r="T536" s="92"/>
      <c r="U536" s="92"/>
      <c r="V536" s="52"/>
      <c r="W536" s="52"/>
      <c r="X536" s="52"/>
      <c r="Y536" s="52"/>
      <c r="Z536" s="51"/>
      <c r="AA536" s="73"/>
      <c r="AB536" s="73"/>
      <c r="AC536" s="74"/>
      <c r="AD536" s="81" t="s">
        <v>8354</v>
      </c>
      <c r="AE536" s="86" t="s">
        <v>9372</v>
      </c>
      <c r="AF536" s="81">
        <v>174</v>
      </c>
      <c r="AG536" s="81">
        <v>74</v>
      </c>
      <c r="AH536" s="81">
        <v>1200</v>
      </c>
      <c r="AI536" s="81">
        <v>223</v>
      </c>
      <c r="AJ536" s="81"/>
      <c r="AK536" s="81"/>
      <c r="AL536" s="81" t="s">
        <v>11121</v>
      </c>
      <c r="AM536" s="81"/>
      <c r="AN536" s="81"/>
      <c r="AO536" s="83">
        <v>40382.919548611113</v>
      </c>
      <c r="AP536" s="81"/>
      <c r="AQ536" s="81" t="b">
        <v>0</v>
      </c>
      <c r="AR536" s="81" t="b">
        <v>0</v>
      </c>
      <c r="AS536" s="81" t="b">
        <v>0</v>
      </c>
      <c r="AT536" s="81"/>
      <c r="AU536" s="81">
        <v>0</v>
      </c>
      <c r="AV536" s="84" t="str">
        <f>HYPERLINK("https://abs.twimg.com/images/themes/theme16/bg.gif")</f>
        <v>https://abs.twimg.com/images/themes/theme16/bg.gif</v>
      </c>
      <c r="AW536" s="81" t="b">
        <v>0</v>
      </c>
      <c r="AX536" s="81" t="s">
        <v>3728</v>
      </c>
      <c r="AY536" s="84" t="str">
        <f>HYPERLINK("https://twitter.com/shamomyam")</f>
        <v>https://twitter.com/shamomyam</v>
      </c>
      <c r="AZ536" s="81" t="s">
        <v>66</v>
      </c>
      <c r="BA536" s="2"/>
      <c r="BB536" s="3"/>
      <c r="BC536" s="3"/>
      <c r="BD536" s="3"/>
      <c r="BE536" s="3"/>
    </row>
    <row r="537" spans="1:57" x14ac:dyDescent="0.35">
      <c r="A537" s="66" t="s">
        <v>4396</v>
      </c>
      <c r="B537" s="67"/>
      <c r="C537" s="67"/>
      <c r="D537" s="68"/>
      <c r="E537" s="94"/>
      <c r="F537" s="93" t="str">
        <f>HYPERLINK("https://abs.twimg.com/sticky/default_profile_images/default_profile_normal.png")</f>
        <v>https://abs.twimg.com/sticky/default_profile_images/default_profile_normal.png</v>
      </c>
      <c r="G537" s="95"/>
      <c r="H537" s="71"/>
      <c r="I537" s="72"/>
      <c r="J537" s="96"/>
      <c r="K537" s="71" t="s">
        <v>11725</v>
      </c>
      <c r="L537" s="97"/>
      <c r="M537" s="76"/>
      <c r="N537" s="76"/>
      <c r="O537" s="77"/>
      <c r="P537" s="78"/>
      <c r="Q537" s="78"/>
      <c r="R537" s="92"/>
      <c r="S537" s="92"/>
      <c r="T537" s="92"/>
      <c r="U537" s="92"/>
      <c r="V537" s="52"/>
      <c r="W537" s="52"/>
      <c r="X537" s="52"/>
      <c r="Y537" s="52"/>
      <c r="Z537" s="51"/>
      <c r="AA537" s="73"/>
      <c r="AB537" s="73"/>
      <c r="AC537" s="74"/>
      <c r="AD537" s="81" t="s">
        <v>8355</v>
      </c>
      <c r="AE537" s="86" t="s">
        <v>9373</v>
      </c>
      <c r="AF537" s="81">
        <v>7</v>
      </c>
      <c r="AG537" s="81">
        <v>1</v>
      </c>
      <c r="AH537" s="81">
        <v>492</v>
      </c>
      <c r="AI537" s="81">
        <v>32</v>
      </c>
      <c r="AJ537" s="81"/>
      <c r="AK537" s="81" t="s">
        <v>10337</v>
      </c>
      <c r="AL537" s="81"/>
      <c r="AM537" s="81"/>
      <c r="AN537" s="81"/>
      <c r="AO537" s="83">
        <v>44406.137129629627</v>
      </c>
      <c r="AP537" s="81"/>
      <c r="AQ537" s="81" t="b">
        <v>1</v>
      </c>
      <c r="AR537" s="81" t="b">
        <v>1</v>
      </c>
      <c r="AS537" s="81" t="b">
        <v>0</v>
      </c>
      <c r="AT537" s="81"/>
      <c r="AU537" s="81">
        <v>0</v>
      </c>
      <c r="AV537" s="81"/>
      <c r="AW537" s="81" t="b">
        <v>0</v>
      </c>
      <c r="AX537" s="81" t="s">
        <v>3728</v>
      </c>
      <c r="AY537" s="84" t="str">
        <f>HYPERLINK("https://twitter.com/humas_sipirok")</f>
        <v>https://twitter.com/humas_sipirok</v>
      </c>
      <c r="AZ537" s="81" t="s">
        <v>66</v>
      </c>
      <c r="BA537" s="2"/>
      <c r="BB537" s="3"/>
      <c r="BC537" s="3"/>
      <c r="BD537" s="3"/>
      <c r="BE537" s="3"/>
    </row>
    <row r="538" spans="1:57" x14ac:dyDescent="0.35">
      <c r="A538" s="66" t="s">
        <v>387</v>
      </c>
      <c r="B538" s="67"/>
      <c r="C538" s="67"/>
      <c r="D538" s="68"/>
      <c r="E538" s="94"/>
      <c r="F538" s="93" t="str">
        <f>HYPERLINK("https://pbs.twimg.com/profile_images/1443428218447433733/JO4zyWqz_normal.jpg")</f>
        <v>https://pbs.twimg.com/profile_images/1443428218447433733/JO4zyWqz_normal.jpg</v>
      </c>
      <c r="G538" s="95"/>
      <c r="H538" s="71"/>
      <c r="I538" s="72"/>
      <c r="J538" s="96"/>
      <c r="K538" s="71" t="s">
        <v>3930</v>
      </c>
      <c r="L538" s="97"/>
      <c r="M538" s="76"/>
      <c r="N538" s="76"/>
      <c r="O538" s="77"/>
      <c r="P538" s="78"/>
      <c r="Q538" s="78"/>
      <c r="R538" s="92"/>
      <c r="S538" s="92"/>
      <c r="T538" s="92"/>
      <c r="U538" s="92"/>
      <c r="V538" s="52"/>
      <c r="W538" s="52"/>
      <c r="X538" s="52"/>
      <c r="Y538" s="52"/>
      <c r="Z538" s="51"/>
      <c r="AA538" s="73"/>
      <c r="AB538" s="73"/>
      <c r="AC538" s="74"/>
      <c r="AD538" s="81" t="s">
        <v>2444</v>
      </c>
      <c r="AE538" s="86" t="s">
        <v>2867</v>
      </c>
      <c r="AF538" s="81">
        <v>350</v>
      </c>
      <c r="AG538" s="81">
        <v>126</v>
      </c>
      <c r="AH538" s="81">
        <v>3405</v>
      </c>
      <c r="AI538" s="81">
        <v>473</v>
      </c>
      <c r="AJ538" s="81"/>
      <c r="AK538" s="81" t="s">
        <v>3276</v>
      </c>
      <c r="AL538" s="81"/>
      <c r="AM538" s="81"/>
      <c r="AN538" s="81"/>
      <c r="AO538" s="83">
        <v>44029.594976851855</v>
      </c>
      <c r="AP538" s="84" t="str">
        <f>HYPERLINK("https://pbs.twimg.com/profile_banners/1284129784792887297/1630494435")</f>
        <v>https://pbs.twimg.com/profile_banners/1284129784792887297/1630494435</v>
      </c>
      <c r="AQ538" s="81" t="b">
        <v>1</v>
      </c>
      <c r="AR538" s="81" t="b">
        <v>0</v>
      </c>
      <c r="AS538" s="81" t="b">
        <v>0</v>
      </c>
      <c r="AT538" s="81"/>
      <c r="AU538" s="81">
        <v>0</v>
      </c>
      <c r="AV538" s="81"/>
      <c r="AW538" s="81" t="b">
        <v>0</v>
      </c>
      <c r="AX538" s="81" t="s">
        <v>3728</v>
      </c>
      <c r="AY538" s="84" t="str">
        <f>HYPERLINK("https://twitter.com/jieyalahh")</f>
        <v>https://twitter.com/jieyalahh</v>
      </c>
      <c r="AZ538" s="81" t="s">
        <v>66</v>
      </c>
      <c r="BA538" s="2"/>
      <c r="BB538" s="3"/>
      <c r="BC538" s="3"/>
      <c r="BD538" s="3"/>
      <c r="BE538" s="3"/>
    </row>
    <row r="539" spans="1:57" x14ac:dyDescent="0.35">
      <c r="A539" s="66" t="s">
        <v>388</v>
      </c>
      <c r="B539" s="67"/>
      <c r="C539" s="67"/>
      <c r="D539" s="68"/>
      <c r="E539" s="94"/>
      <c r="F539" s="93" t="str">
        <f>HYPERLINK("https://pbs.twimg.com/profile_images/1434473050137792514/CApaT34-_normal.jpg")</f>
        <v>https://pbs.twimg.com/profile_images/1434473050137792514/CApaT34-_normal.jpg</v>
      </c>
      <c r="G539" s="95"/>
      <c r="H539" s="71"/>
      <c r="I539" s="72"/>
      <c r="J539" s="96"/>
      <c r="K539" s="71" t="s">
        <v>3931</v>
      </c>
      <c r="L539" s="97"/>
      <c r="M539" s="76"/>
      <c r="N539" s="76"/>
      <c r="O539" s="77"/>
      <c r="P539" s="78"/>
      <c r="Q539" s="78"/>
      <c r="R539" s="92"/>
      <c r="S539" s="92"/>
      <c r="T539" s="92"/>
      <c r="U539" s="92"/>
      <c r="V539" s="52"/>
      <c r="W539" s="52"/>
      <c r="X539" s="52"/>
      <c r="Y539" s="52"/>
      <c r="Z539" s="51"/>
      <c r="AA539" s="73"/>
      <c r="AB539" s="73"/>
      <c r="AC539" s="74"/>
      <c r="AD539" s="81" t="s">
        <v>2445</v>
      </c>
      <c r="AE539" s="86" t="s">
        <v>2868</v>
      </c>
      <c r="AF539" s="81">
        <v>52</v>
      </c>
      <c r="AG539" s="81">
        <v>42</v>
      </c>
      <c r="AH539" s="81">
        <v>1676</v>
      </c>
      <c r="AI539" s="81">
        <v>1</v>
      </c>
      <c r="AJ539" s="81"/>
      <c r="AK539" s="81" t="s">
        <v>3277</v>
      </c>
      <c r="AL539" s="81" t="s">
        <v>3625</v>
      </c>
      <c r="AM539" s="84" t="str">
        <f>HYPERLINK("https://t.co/uFzYjGhtnS")</f>
        <v>https://t.co/uFzYjGhtnS</v>
      </c>
      <c r="AN539" s="81"/>
      <c r="AO539" s="83">
        <v>44251.43246527778</v>
      </c>
      <c r="AP539" s="84" t="str">
        <f>HYPERLINK("https://pbs.twimg.com/profile_banners/1364521091314507778/1632635986")</f>
        <v>https://pbs.twimg.com/profile_banners/1364521091314507778/1632635986</v>
      </c>
      <c r="AQ539" s="81" t="b">
        <v>1</v>
      </c>
      <c r="AR539" s="81" t="b">
        <v>0</v>
      </c>
      <c r="AS539" s="81" t="b">
        <v>0</v>
      </c>
      <c r="AT539" s="81"/>
      <c r="AU539" s="81">
        <v>0</v>
      </c>
      <c r="AV539" s="81"/>
      <c r="AW539" s="81" t="b">
        <v>0</v>
      </c>
      <c r="AX539" s="81" t="s">
        <v>3728</v>
      </c>
      <c r="AY539" s="84" t="str">
        <f>HYPERLINK("https://twitter.com/isrdotcom")</f>
        <v>https://twitter.com/isrdotcom</v>
      </c>
      <c r="AZ539" s="81" t="s">
        <v>66</v>
      </c>
      <c r="BA539" s="2"/>
      <c r="BB539" s="3"/>
      <c r="BC539" s="3"/>
      <c r="BD539" s="3"/>
      <c r="BE539" s="3"/>
    </row>
    <row r="540" spans="1:57" x14ac:dyDescent="0.35">
      <c r="A540" s="66" t="s">
        <v>389</v>
      </c>
      <c r="B540" s="67"/>
      <c r="C540" s="67"/>
      <c r="D540" s="68"/>
      <c r="E540" s="94"/>
      <c r="F540" s="93" t="str">
        <f>HYPERLINK("https://pbs.twimg.com/profile_images/1440316386513850370/n2SpEeqH_normal.jpg")</f>
        <v>https://pbs.twimg.com/profile_images/1440316386513850370/n2SpEeqH_normal.jpg</v>
      </c>
      <c r="G540" s="95"/>
      <c r="H540" s="71"/>
      <c r="I540" s="72"/>
      <c r="J540" s="96"/>
      <c r="K540" s="71" t="s">
        <v>3932</v>
      </c>
      <c r="L540" s="97"/>
      <c r="M540" s="76"/>
      <c r="N540" s="76"/>
      <c r="O540" s="77"/>
      <c r="P540" s="78"/>
      <c r="Q540" s="78"/>
      <c r="R540" s="92"/>
      <c r="S540" s="92"/>
      <c r="T540" s="92"/>
      <c r="U540" s="92"/>
      <c r="V540" s="52"/>
      <c r="W540" s="52"/>
      <c r="X540" s="52"/>
      <c r="Y540" s="52"/>
      <c r="Z540" s="51"/>
      <c r="AA540" s="73"/>
      <c r="AB540" s="73"/>
      <c r="AC540" s="74"/>
      <c r="AD540" s="81" t="s">
        <v>2446</v>
      </c>
      <c r="AE540" s="86" t="s">
        <v>2869</v>
      </c>
      <c r="AF540" s="81">
        <v>491</v>
      </c>
      <c r="AG540" s="81">
        <v>516</v>
      </c>
      <c r="AH540" s="81">
        <v>11967</v>
      </c>
      <c r="AI540" s="81">
        <v>503</v>
      </c>
      <c r="AJ540" s="81"/>
      <c r="AK540" s="81" t="s">
        <v>3278</v>
      </c>
      <c r="AL540" s="81" t="s">
        <v>3627</v>
      </c>
      <c r="AM540" s="81"/>
      <c r="AN540" s="81"/>
      <c r="AO540" s="83">
        <v>42447.068159722221</v>
      </c>
      <c r="AP540" s="84" t="str">
        <f>HYPERLINK("https://pbs.twimg.com/profile_banners/710641408940572672/1632220831")</f>
        <v>https://pbs.twimg.com/profile_banners/710641408940572672/1632220831</v>
      </c>
      <c r="AQ540" s="81" t="b">
        <v>1</v>
      </c>
      <c r="AR540" s="81" t="b">
        <v>0</v>
      </c>
      <c r="AS540" s="81" t="b">
        <v>0</v>
      </c>
      <c r="AT540" s="81"/>
      <c r="AU540" s="81">
        <v>0</v>
      </c>
      <c r="AV540" s="81"/>
      <c r="AW540" s="81" t="b">
        <v>0</v>
      </c>
      <c r="AX540" s="81" t="s">
        <v>3728</v>
      </c>
      <c r="AY540" s="84" t="str">
        <f>HYPERLINK("https://twitter.com/sherlynzlee")</f>
        <v>https://twitter.com/sherlynzlee</v>
      </c>
      <c r="AZ540" s="81" t="s">
        <v>66</v>
      </c>
      <c r="BA540" s="2"/>
      <c r="BB540" s="3"/>
      <c r="BC540" s="3"/>
      <c r="BD540" s="3"/>
      <c r="BE540" s="3"/>
    </row>
    <row r="541" spans="1:57" x14ac:dyDescent="0.35">
      <c r="A541" s="66" t="s">
        <v>635</v>
      </c>
      <c r="B541" s="67"/>
      <c r="C541" s="67"/>
      <c r="D541" s="68"/>
      <c r="E541" s="94"/>
      <c r="F541" s="93" t="str">
        <f>HYPERLINK("https://pbs.twimg.com/profile_images/1390241463657668608/t7fsuv4I_normal.jpg")</f>
        <v>https://pbs.twimg.com/profile_images/1390241463657668608/t7fsuv4I_normal.jpg</v>
      </c>
      <c r="G541" s="95"/>
      <c r="H541" s="71"/>
      <c r="I541" s="72"/>
      <c r="J541" s="96"/>
      <c r="K541" s="71" t="s">
        <v>3869</v>
      </c>
      <c r="L541" s="97"/>
      <c r="M541" s="76"/>
      <c r="N541" s="76"/>
      <c r="O541" s="77"/>
      <c r="P541" s="78"/>
      <c r="Q541" s="78"/>
      <c r="R541" s="92"/>
      <c r="S541" s="92"/>
      <c r="T541" s="92"/>
      <c r="U541" s="92"/>
      <c r="V541" s="52"/>
      <c r="W541" s="52"/>
      <c r="X541" s="52"/>
      <c r="Y541" s="52"/>
      <c r="Z541" s="51"/>
      <c r="AA541" s="73"/>
      <c r="AB541" s="73"/>
      <c r="AC541" s="74"/>
      <c r="AD541" s="81" t="s">
        <v>2382</v>
      </c>
      <c r="AE541" s="86" t="s">
        <v>2111</v>
      </c>
      <c r="AF541" s="81">
        <v>12383</v>
      </c>
      <c r="AG541" s="81">
        <v>161972</v>
      </c>
      <c r="AH541" s="81">
        <v>478388</v>
      </c>
      <c r="AI541" s="81">
        <v>10</v>
      </c>
      <c r="AJ541" s="81"/>
      <c r="AK541" s="81" t="s">
        <v>3217</v>
      </c>
      <c r="AL541" s="81" t="s">
        <v>3504</v>
      </c>
      <c r="AM541" s="84" t="str">
        <f>HYPERLINK("https://t.co/83Zhp1kEKn")</f>
        <v>https://t.co/83Zhp1kEKn</v>
      </c>
      <c r="AN541" s="81"/>
      <c r="AO541" s="83">
        <v>43789.784317129626</v>
      </c>
      <c r="AP541" s="84" t="str">
        <f>HYPERLINK("https://pbs.twimg.com/profile_banners/1197225394866282496/1582631802")</f>
        <v>https://pbs.twimg.com/profile_banners/1197225394866282496/1582631802</v>
      </c>
      <c r="AQ541" s="81" t="b">
        <v>1</v>
      </c>
      <c r="AR541" s="81" t="b">
        <v>0</v>
      </c>
      <c r="AS541" s="81" t="b">
        <v>0</v>
      </c>
      <c r="AT541" s="81"/>
      <c r="AU541" s="81">
        <v>2451</v>
      </c>
      <c r="AV541" s="81"/>
      <c r="AW541" s="81" t="b">
        <v>0</v>
      </c>
      <c r="AX541" s="81" t="s">
        <v>3728</v>
      </c>
      <c r="AY541" s="84" t="str">
        <f>HYPERLINK("https://twitter.com/askrlfess")</f>
        <v>https://twitter.com/askrlfess</v>
      </c>
      <c r="AZ541" s="81" t="s">
        <v>65</v>
      </c>
      <c r="BA541" s="2"/>
      <c r="BB541" s="3"/>
      <c r="BC541" s="3"/>
      <c r="BD541" s="3"/>
      <c r="BE541" s="3"/>
    </row>
    <row r="542" spans="1:57" x14ac:dyDescent="0.35">
      <c r="A542" s="66" t="s">
        <v>390</v>
      </c>
      <c r="B542" s="67"/>
      <c r="C542" s="67"/>
      <c r="D542" s="68"/>
      <c r="E542" s="94"/>
      <c r="F542" s="93" t="str">
        <f>HYPERLINK("https://pbs.twimg.com/profile_images/1442483374593961984/iO-bL88c_normal.jpg")</f>
        <v>https://pbs.twimg.com/profile_images/1442483374593961984/iO-bL88c_normal.jpg</v>
      </c>
      <c r="G542" s="95"/>
      <c r="H542" s="71"/>
      <c r="I542" s="72"/>
      <c r="J542" s="96"/>
      <c r="K542" s="71" t="s">
        <v>3933</v>
      </c>
      <c r="L542" s="97"/>
      <c r="M542" s="76"/>
      <c r="N542" s="76"/>
      <c r="O542" s="77"/>
      <c r="P542" s="78"/>
      <c r="Q542" s="78"/>
      <c r="R542" s="92"/>
      <c r="S542" s="92"/>
      <c r="T542" s="92"/>
      <c r="U542" s="92"/>
      <c r="V542" s="52"/>
      <c r="W542" s="52"/>
      <c r="X542" s="52"/>
      <c r="Y542" s="52"/>
      <c r="Z542" s="51"/>
      <c r="AA542" s="73"/>
      <c r="AB542" s="73"/>
      <c r="AC542" s="74"/>
      <c r="AD542" s="81" t="s">
        <v>2447</v>
      </c>
      <c r="AE542" s="86" t="s">
        <v>2870</v>
      </c>
      <c r="AF542" s="81">
        <v>2242</v>
      </c>
      <c r="AG542" s="81">
        <v>663</v>
      </c>
      <c r="AH542" s="81">
        <v>21956</v>
      </c>
      <c r="AI542" s="81">
        <v>11543</v>
      </c>
      <c r="AJ542" s="81"/>
      <c r="AK542" s="81" t="s">
        <v>3279</v>
      </c>
      <c r="AL542" s="81" t="s">
        <v>3628</v>
      </c>
      <c r="AM542" s="84" t="str">
        <f>HYPERLINK("https://t.co/XwLBMYdGkk")</f>
        <v>https://t.co/XwLBMYdGkk</v>
      </c>
      <c r="AN542" s="81"/>
      <c r="AO542" s="83">
        <v>44246.053101851852</v>
      </c>
      <c r="AP542" s="84" t="str">
        <f>HYPERLINK("https://pbs.twimg.com/profile_banners/1362571418039324673/1629569754")</f>
        <v>https://pbs.twimg.com/profile_banners/1362571418039324673/1629569754</v>
      </c>
      <c r="AQ542" s="81" t="b">
        <v>1</v>
      </c>
      <c r="AR542" s="81" t="b">
        <v>0</v>
      </c>
      <c r="AS542" s="81" t="b">
        <v>0</v>
      </c>
      <c r="AT542" s="81"/>
      <c r="AU542" s="81">
        <v>0</v>
      </c>
      <c r="AV542" s="81"/>
      <c r="AW542" s="81" t="b">
        <v>0</v>
      </c>
      <c r="AX542" s="81" t="s">
        <v>3728</v>
      </c>
      <c r="AY542" s="84" t="str">
        <f>HYPERLINK("https://twitter.com/temandeeptalk")</f>
        <v>https://twitter.com/temandeeptalk</v>
      </c>
      <c r="AZ542" s="81" t="s">
        <v>66</v>
      </c>
      <c r="BA542" s="2"/>
      <c r="BB542" s="3"/>
      <c r="BC542" s="3"/>
      <c r="BD542" s="3"/>
      <c r="BE542" s="3"/>
    </row>
    <row r="543" spans="1:57" x14ac:dyDescent="0.35">
      <c r="A543" s="66" t="s">
        <v>12499</v>
      </c>
      <c r="B543" s="67"/>
      <c r="C543" s="67"/>
      <c r="D543" s="68"/>
      <c r="E543" s="94"/>
      <c r="F543" s="93" t="str">
        <f>HYPERLINK("https://pbs.twimg.com/profile_images/1436400795201593345/60s4ORzQ_normal.jpg")</f>
        <v>https://pbs.twimg.com/profile_images/1436400795201593345/60s4ORzQ_normal.jpg</v>
      </c>
      <c r="G543" s="95"/>
      <c r="H543" s="71"/>
      <c r="I543" s="72"/>
      <c r="J543" s="96"/>
      <c r="K543" s="71" t="s">
        <v>14272</v>
      </c>
      <c r="L543" s="97"/>
      <c r="M543" s="76"/>
      <c r="N543" s="76"/>
      <c r="O543" s="77"/>
      <c r="P543" s="78"/>
      <c r="Q543" s="78"/>
      <c r="R543" s="92"/>
      <c r="S543" s="92"/>
      <c r="T543" s="92"/>
      <c r="U543" s="92"/>
      <c r="V543" s="52"/>
      <c r="W543" s="52"/>
      <c r="X543" s="52"/>
      <c r="Y543" s="52"/>
      <c r="Z543" s="51"/>
      <c r="AA543" s="73"/>
      <c r="AB543" s="73"/>
      <c r="AC543" s="74"/>
      <c r="AD543" s="81" t="s">
        <v>13475</v>
      </c>
      <c r="AE543" s="86" t="s">
        <v>2871</v>
      </c>
      <c r="AF543" s="81">
        <v>471</v>
      </c>
      <c r="AG543" s="81">
        <v>1235</v>
      </c>
      <c r="AH543" s="81">
        <v>25269</v>
      </c>
      <c r="AI543" s="81">
        <v>16435</v>
      </c>
      <c r="AJ543" s="81"/>
      <c r="AK543" s="81" t="s">
        <v>3280</v>
      </c>
      <c r="AL543" s="81" t="s">
        <v>3629</v>
      </c>
      <c r="AM543" s="84" t="str">
        <f>HYPERLINK("https://t.co/wk0Hq2PUn8")</f>
        <v>https://t.co/wk0Hq2PUn8</v>
      </c>
      <c r="AN543" s="81"/>
      <c r="AO543" s="83">
        <v>43880.58871527778</v>
      </c>
      <c r="AP543" s="84" t="str">
        <f>HYPERLINK("https://pbs.twimg.com/profile_banners/1230131779878604801/1629357607")</f>
        <v>https://pbs.twimg.com/profile_banners/1230131779878604801/1629357607</v>
      </c>
      <c r="AQ543" s="81" t="b">
        <v>1</v>
      </c>
      <c r="AR543" s="81" t="b">
        <v>0</v>
      </c>
      <c r="AS543" s="81" t="b">
        <v>0</v>
      </c>
      <c r="AT543" s="81"/>
      <c r="AU543" s="81">
        <v>0</v>
      </c>
      <c r="AV543" s="81"/>
      <c r="AW543" s="81" t="b">
        <v>0</v>
      </c>
      <c r="AX543" s="81" t="s">
        <v>3728</v>
      </c>
      <c r="AY543" s="84" t="str">
        <f>HYPERLINK("https://twitter.com/wintershakitty")</f>
        <v>https://twitter.com/wintershakitty</v>
      </c>
      <c r="AZ543" s="81" t="s">
        <v>66</v>
      </c>
      <c r="BA543" s="2"/>
      <c r="BB543" s="3"/>
      <c r="BC543" s="3"/>
      <c r="BD543" s="3"/>
      <c r="BE543" s="3"/>
    </row>
    <row r="544" spans="1:57" x14ac:dyDescent="0.35">
      <c r="A544" s="66" t="s">
        <v>642</v>
      </c>
      <c r="B544" s="67"/>
      <c r="C544" s="67"/>
      <c r="D544" s="68"/>
      <c r="E544" s="94"/>
      <c r="F544" s="93" t="str">
        <f>HYPERLINK("https://pbs.twimg.com/profile_images/1436726212580155392/Ni7u_tTd_normal.jpg")</f>
        <v>https://pbs.twimg.com/profile_images/1436726212580155392/Ni7u_tTd_normal.jpg</v>
      </c>
      <c r="G544" s="95"/>
      <c r="H544" s="71"/>
      <c r="I544" s="72"/>
      <c r="J544" s="96"/>
      <c r="K544" s="71" t="s">
        <v>3934</v>
      </c>
      <c r="L544" s="97"/>
      <c r="M544" s="76"/>
      <c r="N544" s="76"/>
      <c r="O544" s="77"/>
      <c r="P544" s="78"/>
      <c r="Q544" s="78"/>
      <c r="R544" s="92"/>
      <c r="S544" s="92"/>
      <c r="T544" s="92"/>
      <c r="U544" s="92"/>
      <c r="V544" s="52"/>
      <c r="W544" s="52"/>
      <c r="X544" s="52"/>
      <c r="Y544" s="52"/>
      <c r="Z544" s="51"/>
      <c r="AA544" s="73"/>
      <c r="AB544" s="73"/>
      <c r="AC544" s="74"/>
      <c r="AD544" s="81" t="s">
        <v>2448</v>
      </c>
      <c r="AE544" s="86" t="s">
        <v>2117</v>
      </c>
      <c r="AF544" s="81">
        <v>66</v>
      </c>
      <c r="AG544" s="81">
        <v>34</v>
      </c>
      <c r="AH544" s="81">
        <v>302</v>
      </c>
      <c r="AI544" s="81">
        <v>158</v>
      </c>
      <c r="AJ544" s="81"/>
      <c r="AK544" s="81" t="s">
        <v>3281</v>
      </c>
      <c r="AL544" s="81"/>
      <c r="AM544" s="81"/>
      <c r="AN544" s="81"/>
      <c r="AO544" s="83">
        <v>44414.53979166667</v>
      </c>
      <c r="AP544" s="81"/>
      <c r="AQ544" s="81" t="b">
        <v>1</v>
      </c>
      <c r="AR544" s="81" t="b">
        <v>0</v>
      </c>
      <c r="AS544" s="81" t="b">
        <v>0</v>
      </c>
      <c r="AT544" s="81"/>
      <c r="AU544" s="81">
        <v>0</v>
      </c>
      <c r="AV544" s="81"/>
      <c r="AW544" s="81" t="b">
        <v>0</v>
      </c>
      <c r="AX544" s="81" t="s">
        <v>3728</v>
      </c>
      <c r="AY544" s="84" t="str">
        <f>HYPERLINK("https://twitter.com/lonelyboy77x")</f>
        <v>https://twitter.com/lonelyboy77x</v>
      </c>
      <c r="AZ544" s="81" t="s">
        <v>65</v>
      </c>
      <c r="BA544" s="2"/>
      <c r="BB544" s="3"/>
      <c r="BC544" s="3"/>
      <c r="BD544" s="3"/>
      <c r="BE544" s="3"/>
    </row>
    <row r="545" spans="1:57" x14ac:dyDescent="0.35">
      <c r="A545" s="66" t="s">
        <v>391</v>
      </c>
      <c r="B545" s="67"/>
      <c r="C545" s="67"/>
      <c r="D545" s="68"/>
      <c r="E545" s="94"/>
      <c r="F545" s="93" t="str">
        <f>HYPERLINK("https://pbs.twimg.com/profile_images/1336640123828543491/7YNLJsz__normal.jpg")</f>
        <v>https://pbs.twimg.com/profile_images/1336640123828543491/7YNLJsz__normal.jpg</v>
      </c>
      <c r="G545" s="95"/>
      <c r="H545" s="71"/>
      <c r="I545" s="72"/>
      <c r="J545" s="96"/>
      <c r="K545" s="71" t="s">
        <v>3935</v>
      </c>
      <c r="L545" s="97"/>
      <c r="M545" s="76"/>
      <c r="N545" s="76"/>
      <c r="O545" s="77"/>
      <c r="P545" s="78"/>
      <c r="Q545" s="78"/>
      <c r="R545" s="92"/>
      <c r="S545" s="92"/>
      <c r="T545" s="92"/>
      <c r="U545" s="92"/>
      <c r="V545" s="52"/>
      <c r="W545" s="52"/>
      <c r="X545" s="52"/>
      <c r="Y545" s="52"/>
      <c r="Z545" s="51"/>
      <c r="AA545" s="73"/>
      <c r="AB545" s="73"/>
      <c r="AC545" s="74"/>
      <c r="AD545" s="81" t="s">
        <v>2449</v>
      </c>
      <c r="AE545" s="86" t="s">
        <v>2872</v>
      </c>
      <c r="AF545" s="81">
        <v>486</v>
      </c>
      <c r="AG545" s="81">
        <v>736</v>
      </c>
      <c r="AH545" s="81">
        <v>30248</v>
      </c>
      <c r="AI545" s="81">
        <v>5622</v>
      </c>
      <c r="AJ545" s="81"/>
      <c r="AK545" s="81" t="s">
        <v>3282</v>
      </c>
      <c r="AL545" s="81" t="s">
        <v>3562</v>
      </c>
      <c r="AM545" s="84" t="str">
        <f>HYPERLINK("https://t.co/HineTI8WUH")</f>
        <v>https://t.co/HineTI8WUH</v>
      </c>
      <c r="AN545" s="81"/>
      <c r="AO545" s="83">
        <v>40978.223692129628</v>
      </c>
      <c r="AP545" s="84" t="str">
        <f>HYPERLINK("https://pbs.twimg.com/profile_banners/520116042/1621425193")</f>
        <v>https://pbs.twimg.com/profile_banners/520116042/1621425193</v>
      </c>
      <c r="AQ545" s="81" t="b">
        <v>0</v>
      </c>
      <c r="AR545" s="81" t="b">
        <v>0</v>
      </c>
      <c r="AS545" s="81" t="b">
        <v>1</v>
      </c>
      <c r="AT545" s="81"/>
      <c r="AU545" s="81">
        <v>1</v>
      </c>
      <c r="AV545" s="84" t="str">
        <f>HYPERLINK("https://abs.twimg.com/images/themes/theme1/bg.png")</f>
        <v>https://abs.twimg.com/images/themes/theme1/bg.png</v>
      </c>
      <c r="AW545" s="81" t="b">
        <v>0</v>
      </c>
      <c r="AX545" s="81" t="s">
        <v>3728</v>
      </c>
      <c r="AY545" s="84" t="str">
        <f>HYPERLINK("https://twitter.com/tsyahana")</f>
        <v>https://twitter.com/tsyahana</v>
      </c>
      <c r="AZ545" s="81" t="s">
        <v>66</v>
      </c>
      <c r="BA545" s="2"/>
      <c r="BB545" s="3"/>
      <c r="BC545" s="3"/>
      <c r="BD545" s="3"/>
      <c r="BE545" s="3"/>
    </row>
    <row r="546" spans="1:57" x14ac:dyDescent="0.35">
      <c r="A546" s="66" t="s">
        <v>394</v>
      </c>
      <c r="B546" s="67"/>
      <c r="C546" s="67"/>
      <c r="D546" s="68"/>
      <c r="E546" s="94"/>
      <c r="F546" s="93" t="str">
        <f>HYPERLINK("https://pbs.twimg.com/profile_images/1378843273834340353/W7B4PMcM_normal.jpg")</f>
        <v>https://pbs.twimg.com/profile_images/1378843273834340353/W7B4PMcM_normal.jpg</v>
      </c>
      <c r="G546" s="95"/>
      <c r="H546" s="71"/>
      <c r="I546" s="72"/>
      <c r="J546" s="96"/>
      <c r="K546" s="71" t="s">
        <v>11726</v>
      </c>
      <c r="L546" s="97"/>
      <c r="M546" s="76"/>
      <c r="N546" s="76"/>
      <c r="O546" s="77"/>
      <c r="P546" s="78"/>
      <c r="Q546" s="78"/>
      <c r="R546" s="92"/>
      <c r="S546" s="92"/>
      <c r="T546" s="92"/>
      <c r="U546" s="92"/>
      <c r="V546" s="52"/>
      <c r="W546" s="52"/>
      <c r="X546" s="52"/>
      <c r="Y546" s="52"/>
      <c r="Z546" s="51"/>
      <c r="AA546" s="73"/>
      <c r="AB546" s="73"/>
      <c r="AC546" s="74"/>
      <c r="AD546" s="81" t="s">
        <v>2452</v>
      </c>
      <c r="AE546" s="86" t="s">
        <v>2875</v>
      </c>
      <c r="AF546" s="81">
        <v>856</v>
      </c>
      <c r="AG546" s="81">
        <v>7</v>
      </c>
      <c r="AH546" s="81">
        <v>6923</v>
      </c>
      <c r="AI546" s="81">
        <v>2</v>
      </c>
      <c r="AJ546" s="81"/>
      <c r="AK546" s="81" t="s">
        <v>3284</v>
      </c>
      <c r="AL546" s="81" t="s">
        <v>3630</v>
      </c>
      <c r="AM546" s="84" t="str">
        <f>HYPERLINK("https://t.co/hIJYN33p4i")</f>
        <v>https://t.co/hIJYN33p4i</v>
      </c>
      <c r="AN546" s="81"/>
      <c r="AO546" s="83">
        <v>44285.033460648148</v>
      </c>
      <c r="AP546" s="84" t="str">
        <f>HYPERLINK("https://pbs.twimg.com/profile_banners/1376697702973501440/1628841494")</f>
        <v>https://pbs.twimg.com/profile_banners/1376697702973501440/1628841494</v>
      </c>
      <c r="AQ546" s="81" t="b">
        <v>1</v>
      </c>
      <c r="AR546" s="81" t="b">
        <v>0</v>
      </c>
      <c r="AS546" s="81" t="b">
        <v>0</v>
      </c>
      <c r="AT546" s="81"/>
      <c r="AU546" s="81">
        <v>0</v>
      </c>
      <c r="AV546" s="81"/>
      <c r="AW546" s="81" t="b">
        <v>0</v>
      </c>
      <c r="AX546" s="81" t="s">
        <v>3728</v>
      </c>
      <c r="AY546" s="84" t="str">
        <f>HYPERLINK("https://twitter.com/mybigbozz")</f>
        <v>https://twitter.com/mybigbozz</v>
      </c>
      <c r="AZ546" s="81" t="s">
        <v>66</v>
      </c>
      <c r="BA546" s="2"/>
      <c r="BB546" s="3"/>
      <c r="BC546" s="3"/>
      <c r="BD546" s="3"/>
      <c r="BE546" s="3"/>
    </row>
    <row r="547" spans="1:57" x14ac:dyDescent="0.35">
      <c r="A547" s="66" t="s">
        <v>395</v>
      </c>
      <c r="B547" s="67"/>
      <c r="C547" s="67"/>
      <c r="D547" s="68"/>
      <c r="E547" s="94"/>
      <c r="F547" s="93" t="str">
        <f>HYPERLINK("https://pbs.twimg.com/profile_images/1271048734558883841/QbyPPeXW_normal.jpg")</f>
        <v>https://pbs.twimg.com/profile_images/1271048734558883841/QbyPPeXW_normal.jpg</v>
      </c>
      <c r="G547" s="95"/>
      <c r="H547" s="71"/>
      <c r="I547" s="72"/>
      <c r="J547" s="96"/>
      <c r="K547" s="71" t="s">
        <v>3936</v>
      </c>
      <c r="L547" s="97"/>
      <c r="M547" s="76"/>
      <c r="N547" s="76"/>
      <c r="O547" s="77"/>
      <c r="P547" s="78"/>
      <c r="Q547" s="78"/>
      <c r="R547" s="92"/>
      <c r="S547" s="92"/>
      <c r="T547" s="92"/>
      <c r="U547" s="92"/>
      <c r="V547" s="52"/>
      <c r="W547" s="52"/>
      <c r="X547" s="52"/>
      <c r="Y547" s="52"/>
      <c r="Z547" s="51"/>
      <c r="AA547" s="73"/>
      <c r="AB547" s="73"/>
      <c r="AC547" s="74"/>
      <c r="AD547" s="81" t="s">
        <v>2453</v>
      </c>
      <c r="AE547" s="86" t="s">
        <v>2876</v>
      </c>
      <c r="AF547" s="81">
        <v>967</v>
      </c>
      <c r="AG547" s="81">
        <v>2509</v>
      </c>
      <c r="AH547" s="81">
        <v>27225</v>
      </c>
      <c r="AI547" s="81">
        <v>31807</v>
      </c>
      <c r="AJ547" s="81"/>
      <c r="AK547" s="81" t="s">
        <v>3285</v>
      </c>
      <c r="AL547" s="81" t="s">
        <v>3631</v>
      </c>
      <c r="AM547" s="84" t="str">
        <f>HYPERLINK("https://t.co/SgXLfA6Cl5")</f>
        <v>https://t.co/SgXLfA6Cl5</v>
      </c>
      <c r="AN547" s="81"/>
      <c r="AO547" s="83">
        <v>41125.34002314815</v>
      </c>
      <c r="AP547" s="84" t="str">
        <f>HYPERLINK("https://pbs.twimg.com/profile_banners/736343868/1354704999")</f>
        <v>https://pbs.twimg.com/profile_banners/736343868/1354704999</v>
      </c>
      <c r="AQ547" s="81" t="b">
        <v>0</v>
      </c>
      <c r="AR547" s="81" t="b">
        <v>0</v>
      </c>
      <c r="AS547" s="81" t="b">
        <v>1</v>
      </c>
      <c r="AT547" s="81"/>
      <c r="AU547" s="81">
        <v>3</v>
      </c>
      <c r="AV547" s="84" t="str">
        <f>HYPERLINK("https://abs.twimg.com/images/themes/theme1/bg.png")</f>
        <v>https://abs.twimg.com/images/themes/theme1/bg.png</v>
      </c>
      <c r="AW547" s="81" t="b">
        <v>0</v>
      </c>
      <c r="AX547" s="81" t="s">
        <v>3728</v>
      </c>
      <c r="AY547" s="84" t="str">
        <f>HYPERLINK("https://twitter.com/cikguainan")</f>
        <v>https://twitter.com/cikguainan</v>
      </c>
      <c r="AZ547" s="81" t="s">
        <v>66</v>
      </c>
      <c r="BA547" s="2"/>
      <c r="BB547" s="3"/>
      <c r="BC547" s="3"/>
      <c r="BD547" s="3"/>
      <c r="BE547" s="3"/>
    </row>
    <row r="548" spans="1:57" x14ac:dyDescent="0.35">
      <c r="A548" s="66" t="s">
        <v>643</v>
      </c>
      <c r="B548" s="67"/>
      <c r="C548" s="67"/>
      <c r="D548" s="68"/>
      <c r="E548" s="94"/>
      <c r="F548" s="93" t="str">
        <f>HYPERLINK("https://pbs.twimg.com/profile_images/1433415049083699210/PfysGeYU_normal.jpg")</f>
        <v>https://pbs.twimg.com/profile_images/1433415049083699210/PfysGeYU_normal.jpg</v>
      </c>
      <c r="G548" s="95"/>
      <c r="H548" s="71"/>
      <c r="I548" s="72"/>
      <c r="J548" s="96"/>
      <c r="K548" s="71" t="s">
        <v>3937</v>
      </c>
      <c r="L548" s="97"/>
      <c r="M548" s="76"/>
      <c r="N548" s="76"/>
      <c r="O548" s="77"/>
      <c r="P548" s="78"/>
      <c r="Q548" s="78"/>
      <c r="R548" s="92"/>
      <c r="S548" s="92"/>
      <c r="T548" s="92"/>
      <c r="U548" s="92"/>
      <c r="V548" s="52"/>
      <c r="W548" s="52"/>
      <c r="X548" s="52"/>
      <c r="Y548" s="52"/>
      <c r="Z548" s="51"/>
      <c r="AA548" s="73"/>
      <c r="AB548" s="73"/>
      <c r="AC548" s="74"/>
      <c r="AD548" s="81" t="s">
        <v>2454</v>
      </c>
      <c r="AE548" s="86" t="s">
        <v>2118</v>
      </c>
      <c r="AF548" s="81">
        <v>1716</v>
      </c>
      <c r="AG548" s="81">
        <v>1089</v>
      </c>
      <c r="AH548" s="81">
        <v>19675</v>
      </c>
      <c r="AI548" s="81">
        <v>25441</v>
      </c>
      <c r="AJ548" s="81"/>
      <c r="AK548" s="81" t="s">
        <v>3286</v>
      </c>
      <c r="AL548" s="81" t="s">
        <v>3632</v>
      </c>
      <c r="AM548" s="81"/>
      <c r="AN548" s="81"/>
      <c r="AO548" s="83">
        <v>43949.194479166668</v>
      </c>
      <c r="AP548" s="84" t="str">
        <f>HYPERLINK("https://pbs.twimg.com/profile_banners/1254993707167649793/1632113019")</f>
        <v>https://pbs.twimg.com/profile_banners/1254993707167649793/1632113019</v>
      </c>
      <c r="AQ548" s="81" t="b">
        <v>1</v>
      </c>
      <c r="AR548" s="81" t="b">
        <v>0</v>
      </c>
      <c r="AS548" s="81" t="b">
        <v>0</v>
      </c>
      <c r="AT548" s="81"/>
      <c r="AU548" s="81">
        <v>1</v>
      </c>
      <c r="AV548" s="81"/>
      <c r="AW548" s="81" t="b">
        <v>0</v>
      </c>
      <c r="AX548" s="81" t="s">
        <v>3728</v>
      </c>
      <c r="AY548" s="84" t="str">
        <f>HYPERLINK("https://twitter.com/kam_camelia")</f>
        <v>https://twitter.com/kam_camelia</v>
      </c>
      <c r="AZ548" s="81" t="s">
        <v>65</v>
      </c>
      <c r="BA548" s="2"/>
      <c r="BB548" s="3"/>
      <c r="BC548" s="3"/>
      <c r="BD548" s="3"/>
      <c r="BE548" s="3"/>
    </row>
    <row r="549" spans="1:57" x14ac:dyDescent="0.35">
      <c r="A549" s="66" t="s">
        <v>4397</v>
      </c>
      <c r="B549" s="67"/>
      <c r="C549" s="67"/>
      <c r="D549" s="68"/>
      <c r="E549" s="94"/>
      <c r="F549" s="93" t="str">
        <f>HYPERLINK("https://pbs.twimg.com/profile_images/687625485459828736/gZBe_kDo_normal.jpg")</f>
        <v>https://pbs.twimg.com/profile_images/687625485459828736/gZBe_kDo_normal.jpg</v>
      </c>
      <c r="G549" s="95"/>
      <c r="H549" s="71"/>
      <c r="I549" s="72"/>
      <c r="J549" s="96"/>
      <c r="K549" s="71" t="s">
        <v>11727</v>
      </c>
      <c r="L549" s="97"/>
      <c r="M549" s="76"/>
      <c r="N549" s="76"/>
      <c r="O549" s="77"/>
      <c r="P549" s="78"/>
      <c r="Q549" s="78"/>
      <c r="R549" s="92"/>
      <c r="S549" s="92"/>
      <c r="T549" s="92"/>
      <c r="U549" s="92"/>
      <c r="V549" s="52"/>
      <c r="W549" s="52"/>
      <c r="X549" s="52"/>
      <c r="Y549" s="52"/>
      <c r="Z549" s="51"/>
      <c r="AA549" s="73"/>
      <c r="AB549" s="73"/>
      <c r="AC549" s="74"/>
      <c r="AD549" s="81" t="s">
        <v>8356</v>
      </c>
      <c r="AE549" s="86" t="s">
        <v>9374</v>
      </c>
      <c r="AF549" s="81">
        <v>27295</v>
      </c>
      <c r="AG549" s="81">
        <v>26547</v>
      </c>
      <c r="AH549" s="81">
        <v>965001</v>
      </c>
      <c r="AI549" s="81">
        <v>675055</v>
      </c>
      <c r="AJ549" s="81"/>
      <c r="AK549" s="81" t="s">
        <v>10338</v>
      </c>
      <c r="AL549" s="81" t="s">
        <v>11122</v>
      </c>
      <c r="AM549" s="81"/>
      <c r="AN549" s="81"/>
      <c r="AO549" s="83">
        <v>41995.083680555559</v>
      </c>
      <c r="AP549" s="84" t="str">
        <f>HYPERLINK("https://pbs.twimg.com/profile_banners/2936292323/1444937732")</f>
        <v>https://pbs.twimg.com/profile_banners/2936292323/1444937732</v>
      </c>
      <c r="AQ549" s="81" t="b">
        <v>1</v>
      </c>
      <c r="AR549" s="81" t="b">
        <v>0</v>
      </c>
      <c r="AS549" s="81" t="b">
        <v>1</v>
      </c>
      <c r="AT549" s="81"/>
      <c r="AU549" s="81">
        <v>585</v>
      </c>
      <c r="AV549" s="84" t="str">
        <f>HYPERLINK("https://abs.twimg.com/images/themes/theme1/bg.png")</f>
        <v>https://abs.twimg.com/images/themes/theme1/bg.png</v>
      </c>
      <c r="AW549" s="81" t="b">
        <v>0</v>
      </c>
      <c r="AX549" s="81" t="s">
        <v>3728</v>
      </c>
      <c r="AY549" s="84" t="str">
        <f>HYPERLINK("https://twitter.com/miguelhilargiak")</f>
        <v>https://twitter.com/miguelhilargiak</v>
      </c>
      <c r="AZ549" s="81" t="s">
        <v>66</v>
      </c>
      <c r="BA549" s="2"/>
      <c r="BB549" s="3"/>
      <c r="BC549" s="3"/>
      <c r="BD549" s="3"/>
      <c r="BE549" s="3"/>
    </row>
    <row r="550" spans="1:57" x14ac:dyDescent="0.35">
      <c r="A550" s="66" t="s">
        <v>4870</v>
      </c>
      <c r="B550" s="67"/>
      <c r="C550" s="67"/>
      <c r="D550" s="68"/>
      <c r="E550" s="94"/>
      <c r="F550" s="93" t="str">
        <f>HYPERLINK("https://pbs.twimg.com/profile_images/1408367175291781123/YDDEo1Fp_normal.jpg")</f>
        <v>https://pbs.twimg.com/profile_images/1408367175291781123/YDDEo1Fp_normal.jpg</v>
      </c>
      <c r="G550" s="95"/>
      <c r="H550" s="71"/>
      <c r="I550" s="72"/>
      <c r="J550" s="96"/>
      <c r="K550" s="71" t="s">
        <v>11728</v>
      </c>
      <c r="L550" s="97"/>
      <c r="M550" s="76"/>
      <c r="N550" s="76"/>
      <c r="O550" s="77"/>
      <c r="P550" s="78"/>
      <c r="Q550" s="78"/>
      <c r="R550" s="92"/>
      <c r="S550" s="92"/>
      <c r="T550" s="92"/>
      <c r="U550" s="92"/>
      <c r="V550" s="52"/>
      <c r="W550" s="52"/>
      <c r="X550" s="52"/>
      <c r="Y550" s="52"/>
      <c r="Z550" s="51"/>
      <c r="AA550" s="73"/>
      <c r="AB550" s="73"/>
      <c r="AC550" s="74"/>
      <c r="AD550" s="81" t="s">
        <v>8357</v>
      </c>
      <c r="AE550" s="86" t="s">
        <v>9375</v>
      </c>
      <c r="AF550" s="81">
        <v>623</v>
      </c>
      <c r="AG550" s="81">
        <v>496866</v>
      </c>
      <c r="AH550" s="81">
        <v>474440</v>
      </c>
      <c r="AI550" s="81">
        <v>155</v>
      </c>
      <c r="AJ550" s="81"/>
      <c r="AK550" s="81" t="s">
        <v>10339</v>
      </c>
      <c r="AL550" s="81" t="s">
        <v>10998</v>
      </c>
      <c r="AM550" s="84" t="str">
        <f>HYPERLINK("https://t.co/oSbdVg8hNh")</f>
        <v>https://t.co/oSbdVg8hNh</v>
      </c>
      <c r="AN550" s="81"/>
      <c r="AO550" s="83">
        <v>39330.127199074072</v>
      </c>
      <c r="AP550" s="84" t="str">
        <f>HYPERLINK("https://pbs.twimg.com/profile_banners/8665852/1624882035")</f>
        <v>https://pbs.twimg.com/profile_banners/8665852/1624882035</v>
      </c>
      <c r="AQ550" s="81" t="b">
        <v>0</v>
      </c>
      <c r="AR550" s="81" t="b">
        <v>0</v>
      </c>
      <c r="AS550" s="81" t="b">
        <v>0</v>
      </c>
      <c r="AT550" s="81"/>
      <c r="AU550" s="81">
        <v>1804</v>
      </c>
      <c r="AV550" s="84" t="str">
        <f>HYPERLINK("https://abs.twimg.com/images/themes/theme1/bg.png")</f>
        <v>https://abs.twimg.com/images/themes/theme1/bg.png</v>
      </c>
      <c r="AW550" s="81" t="b">
        <v>1</v>
      </c>
      <c r="AX550" s="81" t="s">
        <v>3728</v>
      </c>
      <c r="AY550" s="84" t="str">
        <f>HYPERLINK("https://twitter.com/expresso")</f>
        <v>https://twitter.com/expresso</v>
      </c>
      <c r="AZ550" s="81" t="s">
        <v>66</v>
      </c>
      <c r="BA550" s="2"/>
      <c r="BB550" s="3"/>
      <c r="BC550" s="3"/>
      <c r="BD550" s="3"/>
      <c r="BE550" s="3"/>
    </row>
    <row r="551" spans="1:57" x14ac:dyDescent="0.35">
      <c r="A551" s="66" t="s">
        <v>397</v>
      </c>
      <c r="B551" s="67"/>
      <c r="C551" s="67"/>
      <c r="D551" s="68"/>
      <c r="E551" s="94"/>
      <c r="F551" s="93" t="str">
        <f>HYPERLINK("https://pbs.twimg.com/profile_images/1145695805237420033/Nal12BDa_normal.png")</f>
        <v>https://pbs.twimg.com/profile_images/1145695805237420033/Nal12BDa_normal.png</v>
      </c>
      <c r="G551" s="95"/>
      <c r="H551" s="71"/>
      <c r="I551" s="72"/>
      <c r="J551" s="96"/>
      <c r="K551" s="71" t="s">
        <v>3938</v>
      </c>
      <c r="L551" s="97"/>
      <c r="M551" s="76"/>
      <c r="N551" s="76"/>
      <c r="O551" s="77"/>
      <c r="P551" s="78"/>
      <c r="Q551" s="78"/>
      <c r="R551" s="92"/>
      <c r="S551" s="92"/>
      <c r="T551" s="92"/>
      <c r="U551" s="92"/>
      <c r="V551" s="52"/>
      <c r="W551" s="52"/>
      <c r="X551" s="52"/>
      <c r="Y551" s="52"/>
      <c r="Z551" s="51"/>
      <c r="AA551" s="73"/>
      <c r="AB551" s="73"/>
      <c r="AC551" s="74"/>
      <c r="AD551" s="81" t="s">
        <v>2456</v>
      </c>
      <c r="AE551" s="86" t="s">
        <v>2878</v>
      </c>
      <c r="AF551" s="81">
        <v>165</v>
      </c>
      <c r="AG551" s="81">
        <v>66</v>
      </c>
      <c r="AH551" s="81">
        <v>10866</v>
      </c>
      <c r="AI551" s="81">
        <v>1</v>
      </c>
      <c r="AJ551" s="81"/>
      <c r="AK551" s="81" t="s">
        <v>3288</v>
      </c>
      <c r="AL551" s="81" t="s">
        <v>3633</v>
      </c>
      <c r="AM551" s="84" t="str">
        <f>HYPERLINK("http://t.co/WsqzQScwU2")</f>
        <v>http://t.co/WsqzQScwU2</v>
      </c>
      <c r="AN551" s="81"/>
      <c r="AO551" s="83">
        <v>40926.866979166669</v>
      </c>
      <c r="AP551" s="81"/>
      <c r="AQ551" s="81" t="b">
        <v>0</v>
      </c>
      <c r="AR551" s="81" t="b">
        <v>0</v>
      </c>
      <c r="AS551" s="81" t="b">
        <v>0</v>
      </c>
      <c r="AT551" s="81"/>
      <c r="AU551" s="81">
        <v>0</v>
      </c>
      <c r="AV551" s="84" t="str">
        <f>HYPERLINK("https://abs.twimg.com/images/themes/theme1/bg.png")</f>
        <v>https://abs.twimg.com/images/themes/theme1/bg.png</v>
      </c>
      <c r="AW551" s="81" t="b">
        <v>0</v>
      </c>
      <c r="AX551" s="81" t="s">
        <v>3728</v>
      </c>
      <c r="AY551" s="84" t="str">
        <f>HYPERLINK("https://twitter.com/kharismaselaras")</f>
        <v>https://twitter.com/kharismaselaras</v>
      </c>
      <c r="AZ551" s="81" t="s">
        <v>66</v>
      </c>
      <c r="BA551" s="2"/>
      <c r="BB551" s="3"/>
      <c r="BC551" s="3"/>
      <c r="BD551" s="3"/>
      <c r="BE551" s="3"/>
    </row>
    <row r="552" spans="1:57" x14ac:dyDescent="0.35">
      <c r="A552" s="66" t="s">
        <v>4398</v>
      </c>
      <c r="B552" s="67"/>
      <c r="C552" s="67"/>
      <c r="D552" s="68"/>
      <c r="E552" s="94"/>
      <c r="F552" s="93" t="str">
        <f>HYPERLINK("https://pbs.twimg.com/profile_images/1435218263177236483/CgOFbzLz_normal.jpg")</f>
        <v>https://pbs.twimg.com/profile_images/1435218263177236483/CgOFbzLz_normal.jpg</v>
      </c>
      <c r="G552" s="95"/>
      <c r="H552" s="71"/>
      <c r="I552" s="72"/>
      <c r="J552" s="96"/>
      <c r="K552" s="71" t="s">
        <v>11729</v>
      </c>
      <c r="L552" s="97"/>
      <c r="M552" s="76"/>
      <c r="N552" s="76"/>
      <c r="O552" s="77"/>
      <c r="P552" s="78"/>
      <c r="Q552" s="78"/>
      <c r="R552" s="92"/>
      <c r="S552" s="92"/>
      <c r="T552" s="92"/>
      <c r="U552" s="92"/>
      <c r="V552" s="52"/>
      <c r="W552" s="52"/>
      <c r="X552" s="52"/>
      <c r="Y552" s="52"/>
      <c r="Z552" s="51"/>
      <c r="AA552" s="73"/>
      <c r="AB552" s="73"/>
      <c r="AC552" s="74"/>
      <c r="AD552" s="81" t="s">
        <v>8358</v>
      </c>
      <c r="AE552" s="86" t="s">
        <v>9376</v>
      </c>
      <c r="AF552" s="81">
        <v>294</v>
      </c>
      <c r="AG552" s="81">
        <v>90</v>
      </c>
      <c r="AH552" s="81">
        <v>21916</v>
      </c>
      <c r="AI552" s="81">
        <v>10608</v>
      </c>
      <c r="AJ552" s="81"/>
      <c r="AK552" s="81"/>
      <c r="AL552" s="81" t="s">
        <v>11123</v>
      </c>
      <c r="AM552" s="84" t="str">
        <f>HYPERLINK("https://t.co/NsA9ZQIvaq")</f>
        <v>https://t.co/NsA9ZQIvaq</v>
      </c>
      <c r="AN552" s="81"/>
      <c r="AO552" s="83">
        <v>40802.608807870369</v>
      </c>
      <c r="AP552" s="84" t="str">
        <f>HYPERLINK("https://pbs.twimg.com/profile_banners/374556377/1627646140")</f>
        <v>https://pbs.twimg.com/profile_banners/374556377/1627646140</v>
      </c>
      <c r="AQ552" s="81" t="b">
        <v>0</v>
      </c>
      <c r="AR552" s="81" t="b">
        <v>0</v>
      </c>
      <c r="AS552" s="81" t="b">
        <v>0</v>
      </c>
      <c r="AT552" s="81"/>
      <c r="AU552" s="81">
        <v>6</v>
      </c>
      <c r="AV552" s="84" t="str">
        <f>HYPERLINK("https://abs.twimg.com/images/themes/theme10/bg.gif")</f>
        <v>https://abs.twimg.com/images/themes/theme10/bg.gif</v>
      </c>
      <c r="AW552" s="81" t="b">
        <v>0</v>
      </c>
      <c r="AX552" s="81" t="s">
        <v>3728</v>
      </c>
      <c r="AY552" s="84" t="str">
        <f>HYPERLINK("https://twitter.com/jjyumilkyu")</f>
        <v>https://twitter.com/jjyumilkyu</v>
      </c>
      <c r="AZ552" s="81" t="s">
        <v>66</v>
      </c>
      <c r="BA552" s="2"/>
      <c r="BB552" s="3"/>
      <c r="BC552" s="3"/>
      <c r="BD552" s="3"/>
      <c r="BE552" s="3"/>
    </row>
    <row r="553" spans="1:57" x14ac:dyDescent="0.35">
      <c r="A553" s="66" t="s">
        <v>4399</v>
      </c>
      <c r="B553" s="67"/>
      <c r="C553" s="67"/>
      <c r="D553" s="68"/>
      <c r="E553" s="94"/>
      <c r="F553" s="93" t="str">
        <f>HYPERLINK("https://pbs.twimg.com/profile_images/1418580275144101888/oxOyY2DK_normal.jpg")</f>
        <v>https://pbs.twimg.com/profile_images/1418580275144101888/oxOyY2DK_normal.jpg</v>
      </c>
      <c r="G553" s="95"/>
      <c r="H553" s="71"/>
      <c r="I553" s="72"/>
      <c r="J553" s="96"/>
      <c r="K553" s="71" t="s">
        <v>11730</v>
      </c>
      <c r="L553" s="97"/>
      <c r="M553" s="76"/>
      <c r="N553" s="76"/>
      <c r="O553" s="77"/>
      <c r="P553" s="78"/>
      <c r="Q553" s="78"/>
      <c r="R553" s="92"/>
      <c r="S553" s="92"/>
      <c r="T553" s="92"/>
      <c r="U553" s="92"/>
      <c r="V553" s="52"/>
      <c r="W553" s="52"/>
      <c r="X553" s="52"/>
      <c r="Y553" s="52"/>
      <c r="Z553" s="51"/>
      <c r="AA553" s="73"/>
      <c r="AB553" s="73"/>
      <c r="AC553" s="74"/>
      <c r="AD553" s="81" t="s">
        <v>8359</v>
      </c>
      <c r="AE553" s="86" t="s">
        <v>9377</v>
      </c>
      <c r="AF553" s="81">
        <v>1090</v>
      </c>
      <c r="AG553" s="81">
        <v>749</v>
      </c>
      <c r="AH553" s="81">
        <v>10026</v>
      </c>
      <c r="AI553" s="81">
        <v>2844</v>
      </c>
      <c r="AJ553" s="81"/>
      <c r="AK553" s="81" t="s">
        <v>10340</v>
      </c>
      <c r="AL553" s="81" t="s">
        <v>10994</v>
      </c>
      <c r="AM553" s="84" t="str">
        <f>HYPERLINK("https://t.co/XsmafE717r")</f>
        <v>https://t.co/XsmafE717r</v>
      </c>
      <c r="AN553" s="81"/>
      <c r="AO553" s="83">
        <v>40057.622048611112</v>
      </c>
      <c r="AP553" s="84" t="str">
        <f>HYPERLINK("https://pbs.twimg.com/profile_banners/70698293/1625441169")</f>
        <v>https://pbs.twimg.com/profile_banners/70698293/1625441169</v>
      </c>
      <c r="AQ553" s="81" t="b">
        <v>0</v>
      </c>
      <c r="AR553" s="81" t="b">
        <v>0</v>
      </c>
      <c r="AS553" s="81" t="b">
        <v>1</v>
      </c>
      <c r="AT553" s="81"/>
      <c r="AU553" s="81">
        <v>5</v>
      </c>
      <c r="AV553" s="84" t="str">
        <f>HYPERLINK("https://abs.twimg.com/images/themes/theme9/bg.gif")</f>
        <v>https://abs.twimg.com/images/themes/theme9/bg.gif</v>
      </c>
      <c r="AW553" s="81" t="b">
        <v>1</v>
      </c>
      <c r="AX553" s="81" t="s">
        <v>3728</v>
      </c>
      <c r="AY553" s="84" t="str">
        <f>HYPERLINK("https://twitter.com/rodansilva")</f>
        <v>https://twitter.com/rodansilva</v>
      </c>
      <c r="AZ553" s="81" t="s">
        <v>66</v>
      </c>
      <c r="BA553" s="2"/>
      <c r="BB553" s="3"/>
      <c r="BC553" s="3"/>
      <c r="BD553" s="3"/>
      <c r="BE553" s="3"/>
    </row>
    <row r="554" spans="1:57" x14ac:dyDescent="0.35">
      <c r="A554" s="66" t="s">
        <v>400</v>
      </c>
      <c r="B554" s="67"/>
      <c r="C554" s="67"/>
      <c r="D554" s="68"/>
      <c r="E554" s="94"/>
      <c r="F554" s="93" t="str">
        <f>HYPERLINK("https://pbs.twimg.com/profile_images/1434556476190642183/_FNctcWC_normal.jpg")</f>
        <v>https://pbs.twimg.com/profile_images/1434556476190642183/_FNctcWC_normal.jpg</v>
      </c>
      <c r="G554" s="95"/>
      <c r="H554" s="71"/>
      <c r="I554" s="72"/>
      <c r="J554" s="96"/>
      <c r="K554" s="71" t="s">
        <v>3940</v>
      </c>
      <c r="L554" s="97"/>
      <c r="M554" s="76"/>
      <c r="N554" s="76"/>
      <c r="O554" s="77"/>
      <c r="P554" s="78"/>
      <c r="Q554" s="78"/>
      <c r="R554" s="92"/>
      <c r="S554" s="92"/>
      <c r="T554" s="92"/>
      <c r="U554" s="92"/>
      <c r="V554" s="52"/>
      <c r="W554" s="52"/>
      <c r="X554" s="52"/>
      <c r="Y554" s="52"/>
      <c r="Z554" s="51"/>
      <c r="AA554" s="73"/>
      <c r="AB554" s="73"/>
      <c r="AC554" s="74"/>
      <c r="AD554" s="81" t="s">
        <v>2460</v>
      </c>
      <c r="AE554" s="86" t="s">
        <v>2881</v>
      </c>
      <c r="AF554" s="81">
        <v>55</v>
      </c>
      <c r="AG554" s="81">
        <v>94</v>
      </c>
      <c r="AH554" s="81">
        <v>1108</v>
      </c>
      <c r="AI554" s="81">
        <v>1318</v>
      </c>
      <c r="AJ554" s="81"/>
      <c r="AK554" s="81" t="s">
        <v>3292</v>
      </c>
      <c r="AL554" s="81"/>
      <c r="AM554" s="81"/>
      <c r="AN554" s="81"/>
      <c r="AO554" s="83">
        <v>43776.681319444448</v>
      </c>
      <c r="AP554" s="84" t="str">
        <f>HYPERLINK("https://pbs.twimg.com/profile_banners/1192477042500980736/1630116386")</f>
        <v>https://pbs.twimg.com/profile_banners/1192477042500980736/1630116386</v>
      </c>
      <c r="AQ554" s="81" t="b">
        <v>1</v>
      </c>
      <c r="AR554" s="81" t="b">
        <v>0</v>
      </c>
      <c r="AS554" s="81" t="b">
        <v>0</v>
      </c>
      <c r="AT554" s="81"/>
      <c r="AU554" s="81">
        <v>1</v>
      </c>
      <c r="AV554" s="81"/>
      <c r="AW554" s="81" t="b">
        <v>0</v>
      </c>
      <c r="AX554" s="81" t="s">
        <v>3728</v>
      </c>
      <c r="AY554" s="84" t="str">
        <f>HYPERLINK("https://twitter.com/haiqal_mahtiar")</f>
        <v>https://twitter.com/haiqal_mahtiar</v>
      </c>
      <c r="AZ554" s="81" t="s">
        <v>66</v>
      </c>
      <c r="BA554" s="2"/>
      <c r="BB554" s="3"/>
      <c r="BC554" s="3"/>
      <c r="BD554" s="3"/>
      <c r="BE554" s="3"/>
    </row>
    <row r="555" spans="1:57" x14ac:dyDescent="0.35">
      <c r="A555" s="66" t="s">
        <v>645</v>
      </c>
      <c r="B555" s="67"/>
      <c r="C555" s="67"/>
      <c r="D555" s="68"/>
      <c r="E555" s="94"/>
      <c r="F555" s="93" t="str">
        <f>HYPERLINK("https://pbs.twimg.com/profile_images/1442857289526886400/QHQKKGum_normal.jpg")</f>
        <v>https://pbs.twimg.com/profile_images/1442857289526886400/QHQKKGum_normal.jpg</v>
      </c>
      <c r="G555" s="95"/>
      <c r="H555" s="71"/>
      <c r="I555" s="72"/>
      <c r="J555" s="96"/>
      <c r="K555" s="71" t="s">
        <v>3941</v>
      </c>
      <c r="L555" s="97"/>
      <c r="M555" s="76"/>
      <c r="N555" s="76"/>
      <c r="O555" s="77"/>
      <c r="P555" s="78"/>
      <c r="Q555" s="78"/>
      <c r="R555" s="92"/>
      <c r="S555" s="92"/>
      <c r="T555" s="92"/>
      <c r="U555" s="92"/>
      <c r="V555" s="52"/>
      <c r="W555" s="52"/>
      <c r="X555" s="52"/>
      <c r="Y555" s="52"/>
      <c r="Z555" s="51"/>
      <c r="AA555" s="73"/>
      <c r="AB555" s="73"/>
      <c r="AC555" s="74"/>
      <c r="AD555" s="81" t="s">
        <v>2461</v>
      </c>
      <c r="AE555" s="86" t="s">
        <v>2120</v>
      </c>
      <c r="AF555" s="81">
        <v>142</v>
      </c>
      <c r="AG555" s="81">
        <v>130</v>
      </c>
      <c r="AH555" s="81">
        <v>7713</v>
      </c>
      <c r="AI555" s="81">
        <v>12243</v>
      </c>
      <c r="AJ555" s="81"/>
      <c r="AK555" s="81">
        <v>888</v>
      </c>
      <c r="AL555" s="81"/>
      <c r="AM555" s="81"/>
      <c r="AN555" s="81"/>
      <c r="AO555" s="83">
        <v>43047.327349537038</v>
      </c>
      <c r="AP555" s="84" t="str">
        <f>HYPERLINK("https://pbs.twimg.com/profile_banners/928168055816859648/1632838960")</f>
        <v>https://pbs.twimg.com/profile_banners/928168055816859648/1632838960</v>
      </c>
      <c r="AQ555" s="81" t="b">
        <v>0</v>
      </c>
      <c r="AR555" s="81" t="b">
        <v>0</v>
      </c>
      <c r="AS555" s="81" t="b">
        <v>1</v>
      </c>
      <c r="AT555" s="81"/>
      <c r="AU555" s="81">
        <v>0</v>
      </c>
      <c r="AV555" s="84" t="str">
        <f>HYPERLINK("https://abs.twimg.com/images/themes/theme1/bg.png")</f>
        <v>https://abs.twimg.com/images/themes/theme1/bg.png</v>
      </c>
      <c r="AW555" s="81" t="b">
        <v>0</v>
      </c>
      <c r="AX555" s="81" t="s">
        <v>3728</v>
      </c>
      <c r="AY555" s="84" t="str">
        <f>HYPERLINK("https://twitter.com/aly4chan")</f>
        <v>https://twitter.com/aly4chan</v>
      </c>
      <c r="AZ555" s="81" t="s">
        <v>65</v>
      </c>
      <c r="BA555" s="2"/>
      <c r="BB555" s="3"/>
      <c r="BC555" s="3"/>
      <c r="BD555" s="3"/>
      <c r="BE555" s="3"/>
    </row>
    <row r="556" spans="1:57" x14ac:dyDescent="0.35">
      <c r="A556" s="66" t="s">
        <v>401</v>
      </c>
      <c r="B556" s="67"/>
      <c r="C556" s="67"/>
      <c r="D556" s="68"/>
      <c r="E556" s="94"/>
      <c r="F556" s="93" t="str">
        <f>HYPERLINK("https://pbs.twimg.com/profile_images/1432384830486941696/VjHBj8OX_normal.jpg")</f>
        <v>https://pbs.twimg.com/profile_images/1432384830486941696/VjHBj8OX_normal.jpg</v>
      </c>
      <c r="G556" s="95"/>
      <c r="H556" s="71"/>
      <c r="I556" s="72"/>
      <c r="J556" s="96"/>
      <c r="K556" s="71" t="s">
        <v>3942</v>
      </c>
      <c r="L556" s="97"/>
      <c r="M556" s="76"/>
      <c r="N556" s="76"/>
      <c r="O556" s="77"/>
      <c r="P556" s="78"/>
      <c r="Q556" s="78"/>
      <c r="R556" s="92"/>
      <c r="S556" s="92"/>
      <c r="T556" s="92"/>
      <c r="U556" s="92"/>
      <c r="V556" s="52"/>
      <c r="W556" s="52"/>
      <c r="X556" s="52"/>
      <c r="Y556" s="52"/>
      <c r="Z556" s="51"/>
      <c r="AA556" s="73"/>
      <c r="AB556" s="73"/>
      <c r="AC556" s="74"/>
      <c r="AD556" s="81" t="s">
        <v>2462</v>
      </c>
      <c r="AE556" s="86" t="s">
        <v>2882</v>
      </c>
      <c r="AF556" s="81">
        <v>164</v>
      </c>
      <c r="AG556" s="81">
        <v>178</v>
      </c>
      <c r="AH556" s="81">
        <v>18786</v>
      </c>
      <c r="AI556" s="81">
        <v>5619</v>
      </c>
      <c r="AJ556" s="81"/>
      <c r="AK556" s="81" t="s">
        <v>3293</v>
      </c>
      <c r="AL556" s="81" t="s">
        <v>3508</v>
      </c>
      <c r="AM556" s="81"/>
      <c r="AN556" s="81"/>
      <c r="AO556" s="83">
        <v>43946.243668981479</v>
      </c>
      <c r="AP556" s="84" t="str">
        <f>HYPERLINK("https://pbs.twimg.com/profile_banners/1253924390590312448/1601223953")</f>
        <v>https://pbs.twimg.com/profile_banners/1253924390590312448/1601223953</v>
      </c>
      <c r="AQ556" s="81" t="b">
        <v>1</v>
      </c>
      <c r="AR556" s="81" t="b">
        <v>0</v>
      </c>
      <c r="AS556" s="81" t="b">
        <v>0</v>
      </c>
      <c r="AT556" s="81"/>
      <c r="AU556" s="81">
        <v>4</v>
      </c>
      <c r="AV556" s="81"/>
      <c r="AW556" s="81" t="b">
        <v>0</v>
      </c>
      <c r="AX556" s="81" t="s">
        <v>3728</v>
      </c>
      <c r="AY556" s="84" t="str">
        <f>HYPERLINK("https://twitter.com/pingpongshh")</f>
        <v>https://twitter.com/pingpongshh</v>
      </c>
      <c r="AZ556" s="81" t="s">
        <v>66</v>
      </c>
      <c r="BA556" s="2"/>
      <c r="BB556" s="3"/>
      <c r="BC556" s="3"/>
      <c r="BD556" s="3"/>
      <c r="BE556" s="3"/>
    </row>
    <row r="557" spans="1:57" x14ac:dyDescent="0.35">
      <c r="A557" s="66" t="s">
        <v>4400</v>
      </c>
      <c r="B557" s="67"/>
      <c r="C557" s="67"/>
      <c r="D557" s="68"/>
      <c r="E557" s="94"/>
      <c r="F557" s="93" t="str">
        <f>HYPERLINK("https://pbs.twimg.com/profile_images/1417881300552269825/rB30qcxc_normal.jpg")</f>
        <v>https://pbs.twimg.com/profile_images/1417881300552269825/rB30qcxc_normal.jpg</v>
      </c>
      <c r="G557" s="95"/>
      <c r="H557" s="71"/>
      <c r="I557" s="72"/>
      <c r="J557" s="96"/>
      <c r="K557" s="71" t="s">
        <v>11731</v>
      </c>
      <c r="L557" s="97"/>
      <c r="M557" s="76"/>
      <c r="N557" s="76"/>
      <c r="O557" s="77"/>
      <c r="P557" s="78"/>
      <c r="Q557" s="78"/>
      <c r="R557" s="92"/>
      <c r="S557" s="92"/>
      <c r="T557" s="92"/>
      <c r="U557" s="92"/>
      <c r="V557" s="52"/>
      <c r="W557" s="52"/>
      <c r="X557" s="52"/>
      <c r="Y557" s="52"/>
      <c r="Z557" s="51"/>
      <c r="AA557" s="73"/>
      <c r="AB557" s="73"/>
      <c r="AC557" s="74"/>
      <c r="AD557" s="81" t="s">
        <v>8360</v>
      </c>
      <c r="AE557" s="86" t="s">
        <v>9378</v>
      </c>
      <c r="AF557" s="81">
        <v>1092</v>
      </c>
      <c r="AG557" s="81">
        <v>1377</v>
      </c>
      <c r="AH557" s="81">
        <v>30876</v>
      </c>
      <c r="AI557" s="81">
        <v>36865</v>
      </c>
      <c r="AJ557" s="81"/>
      <c r="AK557" s="81" t="s">
        <v>10341</v>
      </c>
      <c r="AL557" s="81" t="s">
        <v>11124</v>
      </c>
      <c r="AM557" s="81"/>
      <c r="AN557" s="81"/>
      <c r="AO557" s="83">
        <v>42940.647488425922</v>
      </c>
      <c r="AP557" s="84" t="str">
        <f>HYPERLINK("https://pbs.twimg.com/profile_banners/889508568533217280/1613013068")</f>
        <v>https://pbs.twimg.com/profile_banners/889508568533217280/1613013068</v>
      </c>
      <c r="AQ557" s="81" t="b">
        <v>1</v>
      </c>
      <c r="AR557" s="81" t="b">
        <v>0</v>
      </c>
      <c r="AS557" s="81" t="b">
        <v>0</v>
      </c>
      <c r="AT557" s="81"/>
      <c r="AU557" s="81">
        <v>5</v>
      </c>
      <c r="AV557" s="81"/>
      <c r="AW557" s="81" t="b">
        <v>0</v>
      </c>
      <c r="AX557" s="81" t="s">
        <v>3728</v>
      </c>
      <c r="AY557" s="84" t="str">
        <f>HYPERLINK("https://twitter.com/prince_x007")</f>
        <v>https://twitter.com/prince_x007</v>
      </c>
      <c r="AZ557" s="81" t="s">
        <v>66</v>
      </c>
      <c r="BA557" s="2"/>
      <c r="BB557" s="3"/>
      <c r="BC557" s="3"/>
      <c r="BD557" s="3"/>
      <c r="BE557" s="3"/>
    </row>
    <row r="558" spans="1:57" x14ac:dyDescent="0.35">
      <c r="A558" s="66" t="s">
        <v>4401</v>
      </c>
      <c r="B558" s="67"/>
      <c r="C558" s="67"/>
      <c r="D558" s="68"/>
      <c r="E558" s="94"/>
      <c r="F558" s="93" t="str">
        <f>HYPERLINK("https://pbs.twimg.com/profile_images/1434236277465964548/cia_B37l_normal.jpg")</f>
        <v>https://pbs.twimg.com/profile_images/1434236277465964548/cia_B37l_normal.jpg</v>
      </c>
      <c r="G558" s="95"/>
      <c r="H558" s="71"/>
      <c r="I558" s="72"/>
      <c r="J558" s="96"/>
      <c r="K558" s="71" t="s">
        <v>11732</v>
      </c>
      <c r="L558" s="97"/>
      <c r="M558" s="76"/>
      <c r="N558" s="76"/>
      <c r="O558" s="77"/>
      <c r="P558" s="78"/>
      <c r="Q558" s="78"/>
      <c r="R558" s="92"/>
      <c r="S558" s="92"/>
      <c r="T558" s="92"/>
      <c r="U558" s="92"/>
      <c r="V558" s="52"/>
      <c r="W558" s="52"/>
      <c r="X558" s="52"/>
      <c r="Y558" s="52"/>
      <c r="Z558" s="51"/>
      <c r="AA558" s="73"/>
      <c r="AB558" s="73"/>
      <c r="AC558" s="74"/>
      <c r="AD558" s="81" t="s">
        <v>8361</v>
      </c>
      <c r="AE558" s="86" t="s">
        <v>9379</v>
      </c>
      <c r="AF558" s="81">
        <v>200</v>
      </c>
      <c r="AG558" s="81">
        <v>1778</v>
      </c>
      <c r="AH558" s="81">
        <v>2593</v>
      </c>
      <c r="AI558" s="81">
        <v>4761</v>
      </c>
      <c r="AJ558" s="81"/>
      <c r="AK558" s="81" t="s">
        <v>10342</v>
      </c>
      <c r="AL558" s="81" t="s">
        <v>11125</v>
      </c>
      <c r="AM558" s="84" t="str">
        <f>HYPERLINK("https://t.co/fCx7qWfaAI")</f>
        <v>https://t.co/fCx7qWfaAI</v>
      </c>
      <c r="AN558" s="81"/>
      <c r="AO558" s="83">
        <v>44241.079745370371</v>
      </c>
      <c r="AP558" s="84" t="str">
        <f>HYPERLINK("https://pbs.twimg.com/profile_banners/1360769400182341641/1623589190")</f>
        <v>https://pbs.twimg.com/profile_banners/1360769400182341641/1623589190</v>
      </c>
      <c r="AQ558" s="81" t="b">
        <v>1</v>
      </c>
      <c r="AR558" s="81" t="b">
        <v>0</v>
      </c>
      <c r="AS558" s="81" t="b">
        <v>0</v>
      </c>
      <c r="AT558" s="81"/>
      <c r="AU558" s="81">
        <v>31</v>
      </c>
      <c r="AV558" s="81"/>
      <c r="AW558" s="81" t="b">
        <v>0</v>
      </c>
      <c r="AX558" s="81" t="s">
        <v>3728</v>
      </c>
      <c r="AY558" s="84" t="str">
        <f>HYPERLINK("https://twitter.com/rosannatrades")</f>
        <v>https://twitter.com/rosannatrades</v>
      </c>
      <c r="AZ558" s="81" t="s">
        <v>66</v>
      </c>
      <c r="BA558" s="2"/>
      <c r="BB558" s="3"/>
      <c r="BC558" s="3"/>
      <c r="BD558" s="3"/>
      <c r="BE558" s="3"/>
    </row>
    <row r="559" spans="1:57" x14ac:dyDescent="0.35">
      <c r="A559" s="66" t="s">
        <v>402</v>
      </c>
      <c r="B559" s="67"/>
      <c r="C559" s="67"/>
      <c r="D559" s="68"/>
      <c r="E559" s="94"/>
      <c r="F559" s="93" t="str">
        <f>HYPERLINK("https://pbs.twimg.com/profile_images/1430850932766429189/8OqrK0Mr_normal.jpg")</f>
        <v>https://pbs.twimg.com/profile_images/1430850932766429189/8OqrK0Mr_normal.jpg</v>
      </c>
      <c r="G559" s="95"/>
      <c r="H559" s="71"/>
      <c r="I559" s="72"/>
      <c r="J559" s="96"/>
      <c r="K559" s="71" t="s">
        <v>3943</v>
      </c>
      <c r="L559" s="97"/>
      <c r="M559" s="76"/>
      <c r="N559" s="76"/>
      <c r="O559" s="77"/>
      <c r="P559" s="78"/>
      <c r="Q559" s="78"/>
      <c r="R559" s="92"/>
      <c r="S559" s="92"/>
      <c r="T559" s="92"/>
      <c r="U559" s="92"/>
      <c r="V559" s="52"/>
      <c r="W559" s="52"/>
      <c r="X559" s="52"/>
      <c r="Y559" s="52"/>
      <c r="Z559" s="51"/>
      <c r="AA559" s="73"/>
      <c r="AB559" s="73"/>
      <c r="AC559" s="74"/>
      <c r="AD559" s="81" t="s">
        <v>2463</v>
      </c>
      <c r="AE559" s="86" t="s">
        <v>2883</v>
      </c>
      <c r="AF559" s="81">
        <v>207</v>
      </c>
      <c r="AG559" s="81">
        <v>190</v>
      </c>
      <c r="AH559" s="81">
        <v>60079</v>
      </c>
      <c r="AI559" s="81">
        <v>15193</v>
      </c>
      <c r="AJ559" s="81"/>
      <c r="AK559" s="81" t="s">
        <v>3294</v>
      </c>
      <c r="AL559" s="81" t="s">
        <v>3635</v>
      </c>
      <c r="AM559" s="81"/>
      <c r="AN559" s="81"/>
      <c r="AO559" s="83">
        <v>40205.377314814818</v>
      </c>
      <c r="AP559" s="84" t="str">
        <f>HYPERLINK("https://pbs.twimg.com/profile_banners/108883401/1620360076")</f>
        <v>https://pbs.twimg.com/profile_banners/108883401/1620360076</v>
      </c>
      <c r="AQ559" s="81" t="b">
        <v>1</v>
      </c>
      <c r="AR559" s="81" t="b">
        <v>0</v>
      </c>
      <c r="AS559" s="81" t="b">
        <v>0</v>
      </c>
      <c r="AT559" s="81"/>
      <c r="AU559" s="81">
        <v>5</v>
      </c>
      <c r="AV559" s="84" t="str">
        <f>HYPERLINK("https://abs.twimg.com/images/themes/theme1/bg.png")</f>
        <v>https://abs.twimg.com/images/themes/theme1/bg.png</v>
      </c>
      <c r="AW559" s="81" t="b">
        <v>0</v>
      </c>
      <c r="AX559" s="81" t="s">
        <v>3728</v>
      </c>
      <c r="AY559" s="84" t="str">
        <f>HYPERLINK("https://twitter.com/ajisaazeez")</f>
        <v>https://twitter.com/ajisaazeez</v>
      </c>
      <c r="AZ559" s="81" t="s">
        <v>66</v>
      </c>
      <c r="BA559" s="2"/>
      <c r="BB559" s="3"/>
      <c r="BC559" s="3"/>
      <c r="BD559" s="3"/>
      <c r="BE559" s="3"/>
    </row>
    <row r="560" spans="1:57" x14ac:dyDescent="0.35">
      <c r="A560" s="66" t="s">
        <v>4402</v>
      </c>
      <c r="B560" s="67"/>
      <c r="C560" s="67"/>
      <c r="D560" s="68"/>
      <c r="E560" s="94"/>
      <c r="F560" s="93" t="str">
        <f>HYPERLINK("https://pbs.twimg.com/profile_images/1370379305692368896/ej16P0YH_normal.jpg")</f>
        <v>https://pbs.twimg.com/profile_images/1370379305692368896/ej16P0YH_normal.jpg</v>
      </c>
      <c r="G560" s="95"/>
      <c r="H560" s="71"/>
      <c r="I560" s="72"/>
      <c r="J560" s="96"/>
      <c r="K560" s="71" t="s">
        <v>11733</v>
      </c>
      <c r="L560" s="97"/>
      <c r="M560" s="76"/>
      <c r="N560" s="76"/>
      <c r="O560" s="77"/>
      <c r="P560" s="78"/>
      <c r="Q560" s="78"/>
      <c r="R560" s="92"/>
      <c r="S560" s="92"/>
      <c r="T560" s="92"/>
      <c r="U560" s="92"/>
      <c r="V560" s="52"/>
      <c r="W560" s="52"/>
      <c r="X560" s="52"/>
      <c r="Y560" s="52"/>
      <c r="Z560" s="51"/>
      <c r="AA560" s="73"/>
      <c r="AB560" s="73"/>
      <c r="AC560" s="74"/>
      <c r="AD560" s="81" t="s">
        <v>8362</v>
      </c>
      <c r="AE560" s="86" t="s">
        <v>9380</v>
      </c>
      <c r="AF560" s="81">
        <v>83</v>
      </c>
      <c r="AG560" s="81">
        <v>11</v>
      </c>
      <c r="AH560" s="81">
        <v>273</v>
      </c>
      <c r="AI560" s="81">
        <v>350</v>
      </c>
      <c r="AJ560" s="81"/>
      <c r="AK560" s="81"/>
      <c r="AL560" s="81" t="s">
        <v>10970</v>
      </c>
      <c r="AM560" s="81"/>
      <c r="AN560" s="81"/>
      <c r="AO560" s="83">
        <v>40112.255532407406</v>
      </c>
      <c r="AP560" s="81"/>
      <c r="AQ560" s="81" t="b">
        <v>1</v>
      </c>
      <c r="AR560" s="81" t="b">
        <v>0</v>
      </c>
      <c r="AS560" s="81" t="b">
        <v>0</v>
      </c>
      <c r="AT560" s="81"/>
      <c r="AU560" s="81">
        <v>0</v>
      </c>
      <c r="AV560" s="84" t="str">
        <f>HYPERLINK("https://abs.twimg.com/images/themes/theme1/bg.png")</f>
        <v>https://abs.twimg.com/images/themes/theme1/bg.png</v>
      </c>
      <c r="AW560" s="81" t="b">
        <v>0</v>
      </c>
      <c r="AX560" s="81" t="s">
        <v>3728</v>
      </c>
      <c r="AY560" s="84" t="str">
        <f>HYPERLINK("https://twitter.com/cocasares")</f>
        <v>https://twitter.com/cocasares</v>
      </c>
      <c r="AZ560" s="81" t="s">
        <v>66</v>
      </c>
      <c r="BA560" s="2"/>
      <c r="BB560" s="3"/>
      <c r="BC560" s="3"/>
      <c r="BD560" s="3"/>
      <c r="BE560" s="3"/>
    </row>
    <row r="561" spans="1:57" x14ac:dyDescent="0.35">
      <c r="A561" s="66" t="s">
        <v>4403</v>
      </c>
      <c r="B561" s="67"/>
      <c r="C561" s="67"/>
      <c r="D561" s="68"/>
      <c r="E561" s="94"/>
      <c r="F561" s="93" t="str">
        <f>HYPERLINK("https://pbs.twimg.com/profile_images/1255545312976031745/1El06_mm_normal.jpg")</f>
        <v>https://pbs.twimg.com/profile_images/1255545312976031745/1El06_mm_normal.jpg</v>
      </c>
      <c r="G561" s="95"/>
      <c r="H561" s="71"/>
      <c r="I561" s="72"/>
      <c r="J561" s="96"/>
      <c r="K561" s="71" t="s">
        <v>11734</v>
      </c>
      <c r="L561" s="97"/>
      <c r="M561" s="76"/>
      <c r="N561" s="76"/>
      <c r="O561" s="77"/>
      <c r="P561" s="78"/>
      <c r="Q561" s="78"/>
      <c r="R561" s="92"/>
      <c r="S561" s="92"/>
      <c r="T561" s="92"/>
      <c r="U561" s="92"/>
      <c r="V561" s="52"/>
      <c r="W561" s="52"/>
      <c r="X561" s="52"/>
      <c r="Y561" s="52"/>
      <c r="Z561" s="51"/>
      <c r="AA561" s="73"/>
      <c r="AB561" s="73"/>
      <c r="AC561" s="74"/>
      <c r="AD561" s="81" t="s">
        <v>8363</v>
      </c>
      <c r="AE561" s="86" t="s">
        <v>9381</v>
      </c>
      <c r="AF561" s="81">
        <v>171</v>
      </c>
      <c r="AG561" s="81">
        <v>501</v>
      </c>
      <c r="AH561" s="81">
        <v>615</v>
      </c>
      <c r="AI561" s="81">
        <v>903</v>
      </c>
      <c r="AJ561" s="81"/>
      <c r="AK561" s="81" t="s">
        <v>10343</v>
      </c>
      <c r="AL561" s="81" t="s">
        <v>10975</v>
      </c>
      <c r="AM561" s="84" t="str">
        <f>HYPERLINK("https://t.co/W42TFmqt7U")</f>
        <v>https://t.co/W42TFmqt7U</v>
      </c>
      <c r="AN561" s="81"/>
      <c r="AO561" s="83">
        <v>43950.715381944443</v>
      </c>
      <c r="AP561" s="84" t="str">
        <f>HYPERLINK("https://pbs.twimg.com/profile_banners/1255544722204098560/1600299746")</f>
        <v>https://pbs.twimg.com/profile_banners/1255544722204098560/1600299746</v>
      </c>
      <c r="AQ561" s="81" t="b">
        <v>1</v>
      </c>
      <c r="AR561" s="81" t="b">
        <v>0</v>
      </c>
      <c r="AS561" s="81" t="b">
        <v>0</v>
      </c>
      <c r="AT561" s="81"/>
      <c r="AU561" s="81">
        <v>19</v>
      </c>
      <c r="AV561" s="81"/>
      <c r="AW561" s="81" t="b">
        <v>0</v>
      </c>
      <c r="AX561" s="81" t="s">
        <v>3728</v>
      </c>
      <c r="AY561" s="84" t="str">
        <f>HYPERLINK("https://twitter.com/abphe2")</f>
        <v>https://twitter.com/abphe2</v>
      </c>
      <c r="AZ561" s="81" t="s">
        <v>66</v>
      </c>
      <c r="BA561" s="2"/>
      <c r="BB561" s="3"/>
      <c r="BC561" s="3"/>
      <c r="BD561" s="3"/>
      <c r="BE561" s="3"/>
    </row>
    <row r="562" spans="1:57" x14ac:dyDescent="0.35">
      <c r="A562" s="66" t="s">
        <v>4404</v>
      </c>
      <c r="B562" s="67"/>
      <c r="C562" s="67"/>
      <c r="D562" s="68"/>
      <c r="E562" s="94"/>
      <c r="F562" s="93" t="str">
        <f>HYPERLINK("https://pbs.twimg.com/profile_images/1383198952200241152/mOmANwVV_normal.jpg")</f>
        <v>https://pbs.twimg.com/profile_images/1383198952200241152/mOmANwVV_normal.jpg</v>
      </c>
      <c r="G562" s="95"/>
      <c r="H562" s="71"/>
      <c r="I562" s="72"/>
      <c r="J562" s="96"/>
      <c r="K562" s="71" t="s">
        <v>11735</v>
      </c>
      <c r="L562" s="97"/>
      <c r="M562" s="76"/>
      <c r="N562" s="76"/>
      <c r="O562" s="77"/>
      <c r="P562" s="78"/>
      <c r="Q562" s="78"/>
      <c r="R562" s="92"/>
      <c r="S562" s="92"/>
      <c r="T562" s="92"/>
      <c r="U562" s="92"/>
      <c r="V562" s="52"/>
      <c r="W562" s="52"/>
      <c r="X562" s="52"/>
      <c r="Y562" s="52"/>
      <c r="Z562" s="51"/>
      <c r="AA562" s="73"/>
      <c r="AB562" s="73"/>
      <c r="AC562" s="74"/>
      <c r="AD562" s="81" t="s">
        <v>8364</v>
      </c>
      <c r="AE562" s="86" t="s">
        <v>9382</v>
      </c>
      <c r="AF562" s="81">
        <v>596</v>
      </c>
      <c r="AG562" s="81">
        <v>168</v>
      </c>
      <c r="AH562" s="81">
        <v>22925</v>
      </c>
      <c r="AI562" s="81">
        <v>19618</v>
      </c>
      <c r="AJ562" s="81"/>
      <c r="AK562" s="81" t="s">
        <v>10344</v>
      </c>
      <c r="AL562" s="81" t="s">
        <v>10970</v>
      </c>
      <c r="AM562" s="81"/>
      <c r="AN562" s="81"/>
      <c r="AO562" s="83">
        <v>42764.01803240741</v>
      </c>
      <c r="AP562" s="84" t="str">
        <f>HYPERLINK("https://pbs.twimg.com/profile_banners/825500194842275844/1579104915")</f>
        <v>https://pbs.twimg.com/profile_banners/825500194842275844/1579104915</v>
      </c>
      <c r="AQ562" s="81" t="b">
        <v>0</v>
      </c>
      <c r="AR562" s="81" t="b">
        <v>0</v>
      </c>
      <c r="AS562" s="81" t="b">
        <v>0</v>
      </c>
      <c r="AT562" s="81"/>
      <c r="AU562" s="81">
        <v>1</v>
      </c>
      <c r="AV562" s="84" t="str">
        <f>HYPERLINK("https://abs.twimg.com/images/themes/theme1/bg.png")</f>
        <v>https://abs.twimg.com/images/themes/theme1/bg.png</v>
      </c>
      <c r="AW562" s="81" t="b">
        <v>0</v>
      </c>
      <c r="AX562" s="81" t="s">
        <v>3728</v>
      </c>
      <c r="AY562" s="84" t="str">
        <f>HYPERLINK("https://twitter.com/gnrdias")</f>
        <v>https://twitter.com/gnrdias</v>
      </c>
      <c r="AZ562" s="81" t="s">
        <v>66</v>
      </c>
      <c r="BA562" s="2"/>
      <c r="BB562" s="3"/>
      <c r="BC562" s="3"/>
      <c r="BD562" s="3"/>
      <c r="BE562" s="3"/>
    </row>
    <row r="563" spans="1:57" x14ac:dyDescent="0.35">
      <c r="A563" s="66" t="s">
        <v>403</v>
      </c>
      <c r="B563" s="67"/>
      <c r="C563" s="67"/>
      <c r="D563" s="68"/>
      <c r="E563" s="94"/>
      <c r="F563" s="93" t="str">
        <f>HYPERLINK("https://pbs.twimg.com/profile_images/1442847340273049610/FPhR4p1n_normal.jpg")</f>
        <v>https://pbs.twimg.com/profile_images/1442847340273049610/FPhR4p1n_normal.jpg</v>
      </c>
      <c r="G563" s="95"/>
      <c r="H563" s="71"/>
      <c r="I563" s="72"/>
      <c r="J563" s="96"/>
      <c r="K563" s="71" t="s">
        <v>3944</v>
      </c>
      <c r="L563" s="97"/>
      <c r="M563" s="76"/>
      <c r="N563" s="76"/>
      <c r="O563" s="77"/>
      <c r="P563" s="78"/>
      <c r="Q563" s="78"/>
      <c r="R563" s="92"/>
      <c r="S563" s="92"/>
      <c r="T563" s="92"/>
      <c r="U563" s="92"/>
      <c r="V563" s="52"/>
      <c r="W563" s="52"/>
      <c r="X563" s="52"/>
      <c r="Y563" s="52"/>
      <c r="Z563" s="51"/>
      <c r="AA563" s="73"/>
      <c r="AB563" s="73"/>
      <c r="AC563" s="74"/>
      <c r="AD563" s="81" t="s">
        <v>2464</v>
      </c>
      <c r="AE563" s="86" t="s">
        <v>2884</v>
      </c>
      <c r="AF563" s="81">
        <v>290</v>
      </c>
      <c r="AG563" s="81">
        <v>141</v>
      </c>
      <c r="AH563" s="81">
        <v>109818</v>
      </c>
      <c r="AI563" s="81">
        <v>10140</v>
      </c>
      <c r="AJ563" s="81"/>
      <c r="AK563" s="81" t="s">
        <v>3295</v>
      </c>
      <c r="AL563" s="81" t="s">
        <v>3636</v>
      </c>
      <c r="AM563" s="81"/>
      <c r="AN563" s="81"/>
      <c r="AO563" s="83">
        <v>43308.516481481478</v>
      </c>
      <c r="AP563" s="84" t="str">
        <f>HYPERLINK("https://pbs.twimg.com/profile_banners/1022819827658850304/1631385772")</f>
        <v>https://pbs.twimg.com/profile_banners/1022819827658850304/1631385772</v>
      </c>
      <c r="AQ563" s="81" t="b">
        <v>1</v>
      </c>
      <c r="AR563" s="81" t="b">
        <v>0</v>
      </c>
      <c r="AS563" s="81" t="b">
        <v>0</v>
      </c>
      <c r="AT563" s="81"/>
      <c r="AU563" s="81">
        <v>1</v>
      </c>
      <c r="AV563" s="81"/>
      <c r="AW563" s="81" t="b">
        <v>0</v>
      </c>
      <c r="AX563" s="81" t="s">
        <v>3728</v>
      </c>
      <c r="AY563" s="84" t="str">
        <f>HYPERLINK("https://twitter.com/ireneizbaee")</f>
        <v>https://twitter.com/ireneizbaee</v>
      </c>
      <c r="AZ563" s="81" t="s">
        <v>66</v>
      </c>
      <c r="BA563" s="2"/>
      <c r="BB563" s="3"/>
      <c r="BC563" s="3"/>
      <c r="BD563" s="3"/>
      <c r="BE563" s="3"/>
    </row>
    <row r="564" spans="1:57" x14ac:dyDescent="0.35">
      <c r="A564" s="66" t="s">
        <v>4408</v>
      </c>
      <c r="B564" s="67"/>
      <c r="C564" s="67"/>
      <c r="D564" s="68"/>
      <c r="E564" s="94"/>
      <c r="F564" s="93" t="str">
        <f>HYPERLINK("https://pbs.twimg.com/profile_images/1422008955916664833/AiIm552u_normal.jpg")</f>
        <v>https://pbs.twimg.com/profile_images/1422008955916664833/AiIm552u_normal.jpg</v>
      </c>
      <c r="G564" s="95"/>
      <c r="H564" s="71"/>
      <c r="I564" s="72"/>
      <c r="J564" s="96"/>
      <c r="K564" s="71" t="s">
        <v>11736</v>
      </c>
      <c r="L564" s="97"/>
      <c r="M564" s="76"/>
      <c r="N564" s="76"/>
      <c r="O564" s="77"/>
      <c r="P564" s="78"/>
      <c r="Q564" s="78"/>
      <c r="R564" s="92"/>
      <c r="S564" s="92"/>
      <c r="T564" s="92"/>
      <c r="U564" s="92"/>
      <c r="V564" s="52"/>
      <c r="W564" s="52"/>
      <c r="X564" s="52"/>
      <c r="Y564" s="52"/>
      <c r="Z564" s="51"/>
      <c r="AA564" s="73"/>
      <c r="AB564" s="73"/>
      <c r="AC564" s="74"/>
      <c r="AD564" s="81" t="s">
        <v>8365</v>
      </c>
      <c r="AE564" s="86" t="s">
        <v>9383</v>
      </c>
      <c r="AF564" s="81">
        <v>2311</v>
      </c>
      <c r="AG564" s="81">
        <v>1007</v>
      </c>
      <c r="AH564" s="81">
        <v>2238</v>
      </c>
      <c r="AI564" s="81">
        <v>1640</v>
      </c>
      <c r="AJ564" s="81"/>
      <c r="AK564" s="81" t="s">
        <v>10345</v>
      </c>
      <c r="AL564" s="81" t="s">
        <v>11126</v>
      </c>
      <c r="AM564" s="81"/>
      <c r="AN564" s="81"/>
      <c r="AO564" s="83">
        <v>44323.900173611109</v>
      </c>
      <c r="AP564" s="84" t="str">
        <f>HYPERLINK("https://pbs.twimg.com/profile_banners/1390782259817504768/1625446406")</f>
        <v>https://pbs.twimg.com/profile_banners/1390782259817504768/1625446406</v>
      </c>
      <c r="AQ564" s="81" t="b">
        <v>1</v>
      </c>
      <c r="AR564" s="81" t="b">
        <v>0</v>
      </c>
      <c r="AS564" s="81" t="b">
        <v>1</v>
      </c>
      <c r="AT564" s="81"/>
      <c r="AU564" s="81">
        <v>0</v>
      </c>
      <c r="AV564" s="81"/>
      <c r="AW564" s="81" t="b">
        <v>0</v>
      </c>
      <c r="AX564" s="81" t="s">
        <v>3728</v>
      </c>
      <c r="AY564" s="84" t="str">
        <f>HYPERLINK("https://twitter.com/jaimequebara")</f>
        <v>https://twitter.com/jaimequebara</v>
      </c>
      <c r="AZ564" s="81" t="s">
        <v>66</v>
      </c>
      <c r="BA564" s="2"/>
      <c r="BB564" s="3"/>
      <c r="BC564" s="3"/>
      <c r="BD564" s="3"/>
      <c r="BE564" s="3"/>
    </row>
    <row r="565" spans="1:57" x14ac:dyDescent="0.35">
      <c r="A565" s="66" t="s">
        <v>5070</v>
      </c>
      <c r="B565" s="67"/>
      <c r="C565" s="67"/>
      <c r="D565" s="68"/>
      <c r="E565" s="94"/>
      <c r="F565" s="93" t="str">
        <f>HYPERLINK("https://pbs.twimg.com/profile_images/1399855588885024768/pG4xSYkh_normal.jpg")</f>
        <v>https://pbs.twimg.com/profile_images/1399855588885024768/pG4xSYkh_normal.jpg</v>
      </c>
      <c r="G565" s="95"/>
      <c r="H565" s="71"/>
      <c r="I565" s="72"/>
      <c r="J565" s="96"/>
      <c r="K565" s="71" t="s">
        <v>11737</v>
      </c>
      <c r="L565" s="97"/>
      <c r="M565" s="76"/>
      <c r="N565" s="76"/>
      <c r="O565" s="77"/>
      <c r="P565" s="78"/>
      <c r="Q565" s="78"/>
      <c r="R565" s="92"/>
      <c r="S565" s="92"/>
      <c r="T565" s="92"/>
      <c r="U565" s="92"/>
      <c r="V565" s="52"/>
      <c r="W565" s="52"/>
      <c r="X565" s="52"/>
      <c r="Y565" s="52"/>
      <c r="Z565" s="51"/>
      <c r="AA565" s="73"/>
      <c r="AB565" s="73"/>
      <c r="AC565" s="74"/>
      <c r="AD565" s="81" t="s">
        <v>8366</v>
      </c>
      <c r="AE565" s="86" t="s">
        <v>7853</v>
      </c>
      <c r="AF565" s="81">
        <v>1978</v>
      </c>
      <c r="AG565" s="81">
        <v>863</v>
      </c>
      <c r="AH565" s="81">
        <v>27207</v>
      </c>
      <c r="AI565" s="81">
        <v>67340</v>
      </c>
      <c r="AJ565" s="81"/>
      <c r="AK565" s="81" t="s">
        <v>10346</v>
      </c>
      <c r="AL565" s="81" t="s">
        <v>10969</v>
      </c>
      <c r="AM565" s="84" t="str">
        <f>HYPERLINK("https://t.co/fqPF2AObus")</f>
        <v>https://t.co/fqPF2AObus</v>
      </c>
      <c r="AN565" s="81"/>
      <c r="AO565" s="83">
        <v>43488.74732638889</v>
      </c>
      <c r="AP565" s="84" t="str">
        <f>HYPERLINK("https://pbs.twimg.com/profile_banners/1088133295735537664/1621474073")</f>
        <v>https://pbs.twimg.com/profile_banners/1088133295735537664/1621474073</v>
      </c>
      <c r="AQ565" s="81" t="b">
        <v>1</v>
      </c>
      <c r="AR565" s="81" t="b">
        <v>0</v>
      </c>
      <c r="AS565" s="81" t="b">
        <v>0</v>
      </c>
      <c r="AT565" s="81"/>
      <c r="AU565" s="81">
        <v>1</v>
      </c>
      <c r="AV565" s="81"/>
      <c r="AW565" s="81" t="b">
        <v>0</v>
      </c>
      <c r="AX565" s="81" t="s">
        <v>3728</v>
      </c>
      <c r="AY565" s="84" t="str">
        <f>HYPERLINK("https://twitter.com/realninatigret")</f>
        <v>https://twitter.com/realninatigret</v>
      </c>
      <c r="AZ565" s="81" t="s">
        <v>65</v>
      </c>
      <c r="BA565" s="2"/>
      <c r="BB565" s="3"/>
      <c r="BC565" s="3"/>
      <c r="BD565" s="3"/>
      <c r="BE565" s="3"/>
    </row>
    <row r="566" spans="1:57" x14ac:dyDescent="0.35">
      <c r="A566" s="66" t="s">
        <v>5071</v>
      </c>
      <c r="B566" s="67"/>
      <c r="C566" s="67"/>
      <c r="D566" s="68"/>
      <c r="E566" s="94"/>
      <c r="F566" s="93" t="str">
        <f>HYPERLINK("https://pbs.twimg.com/profile_images/1418312721976729609/-5SjWdgr_normal.jpg")</f>
        <v>https://pbs.twimg.com/profile_images/1418312721976729609/-5SjWdgr_normal.jpg</v>
      </c>
      <c r="G566" s="95"/>
      <c r="H566" s="71"/>
      <c r="I566" s="72"/>
      <c r="J566" s="96"/>
      <c r="K566" s="71" t="s">
        <v>11738</v>
      </c>
      <c r="L566" s="97"/>
      <c r="M566" s="76"/>
      <c r="N566" s="76"/>
      <c r="O566" s="77"/>
      <c r="P566" s="78"/>
      <c r="Q566" s="78"/>
      <c r="R566" s="92"/>
      <c r="S566" s="92"/>
      <c r="T566" s="92"/>
      <c r="U566" s="92"/>
      <c r="V566" s="52"/>
      <c r="W566" s="52"/>
      <c r="X566" s="52"/>
      <c r="Y566" s="52"/>
      <c r="Z566" s="51"/>
      <c r="AA566" s="73"/>
      <c r="AB566" s="73"/>
      <c r="AC566" s="74"/>
      <c r="AD566" s="81" t="s">
        <v>8367</v>
      </c>
      <c r="AE566" s="86" t="s">
        <v>9384</v>
      </c>
      <c r="AF566" s="81">
        <v>5884</v>
      </c>
      <c r="AG566" s="81">
        <v>6958</v>
      </c>
      <c r="AH566" s="81">
        <v>61880</v>
      </c>
      <c r="AI566" s="81">
        <v>138471</v>
      </c>
      <c r="AJ566" s="81"/>
      <c r="AK566" s="81" t="s">
        <v>10347</v>
      </c>
      <c r="AL566" s="81" t="s">
        <v>10975</v>
      </c>
      <c r="AM566" s="81"/>
      <c r="AN566" s="81"/>
      <c r="AO566" s="83">
        <v>43643.048252314817</v>
      </c>
      <c r="AP566" s="84" t="str">
        <f>HYPERLINK("https://pbs.twimg.com/profile_banners/1144050082209304576/1609023889")</f>
        <v>https://pbs.twimg.com/profile_banners/1144050082209304576/1609023889</v>
      </c>
      <c r="AQ566" s="81" t="b">
        <v>1</v>
      </c>
      <c r="AR566" s="81" t="b">
        <v>0</v>
      </c>
      <c r="AS566" s="81" t="b">
        <v>0</v>
      </c>
      <c r="AT566" s="81"/>
      <c r="AU566" s="81">
        <v>15</v>
      </c>
      <c r="AV566" s="81"/>
      <c r="AW566" s="81" t="b">
        <v>0</v>
      </c>
      <c r="AX566" s="81" t="s">
        <v>3728</v>
      </c>
      <c r="AY566" s="84" t="str">
        <f>HYPERLINK("https://twitter.com/belemjameson")</f>
        <v>https://twitter.com/belemjameson</v>
      </c>
      <c r="AZ566" s="81" t="s">
        <v>65</v>
      </c>
      <c r="BA566" s="2"/>
      <c r="BB566" s="3"/>
      <c r="BC566" s="3"/>
      <c r="BD566" s="3"/>
      <c r="BE566" s="3"/>
    </row>
    <row r="567" spans="1:57" x14ac:dyDescent="0.35">
      <c r="A567" s="66" t="s">
        <v>5072</v>
      </c>
      <c r="B567" s="67"/>
      <c r="C567" s="67"/>
      <c r="D567" s="68"/>
      <c r="E567" s="94"/>
      <c r="F567" s="93" t="str">
        <f>HYPERLINK("https://pbs.twimg.com/profile_images/1413505405645434882/H2o8PhNS_normal.jpg")</f>
        <v>https://pbs.twimg.com/profile_images/1413505405645434882/H2o8PhNS_normal.jpg</v>
      </c>
      <c r="G567" s="95"/>
      <c r="H567" s="71"/>
      <c r="I567" s="72"/>
      <c r="J567" s="96"/>
      <c r="K567" s="71" t="s">
        <v>11739</v>
      </c>
      <c r="L567" s="97"/>
      <c r="M567" s="76"/>
      <c r="N567" s="76"/>
      <c r="O567" s="77"/>
      <c r="P567" s="78"/>
      <c r="Q567" s="78"/>
      <c r="R567" s="92"/>
      <c r="S567" s="92"/>
      <c r="T567" s="92"/>
      <c r="U567" s="92"/>
      <c r="V567" s="52"/>
      <c r="W567" s="52"/>
      <c r="X567" s="52"/>
      <c r="Y567" s="52"/>
      <c r="Z567" s="51"/>
      <c r="AA567" s="73"/>
      <c r="AB567" s="73"/>
      <c r="AC567" s="74"/>
      <c r="AD567" s="81" t="s">
        <v>8368</v>
      </c>
      <c r="AE567" s="86" t="s">
        <v>9385</v>
      </c>
      <c r="AF567" s="81">
        <v>763</v>
      </c>
      <c r="AG567" s="81">
        <v>767</v>
      </c>
      <c r="AH567" s="81">
        <v>10109</v>
      </c>
      <c r="AI567" s="81">
        <v>8217</v>
      </c>
      <c r="AJ567" s="81"/>
      <c r="AK567" s="81"/>
      <c r="AL567" s="81" t="s">
        <v>11110</v>
      </c>
      <c r="AM567" s="81"/>
      <c r="AN567" s="81"/>
      <c r="AO567" s="83">
        <v>41907.903310185182</v>
      </c>
      <c r="AP567" s="84" t="str">
        <f>HYPERLINK("https://pbs.twimg.com/profile_banners/2784472498/1585587754")</f>
        <v>https://pbs.twimg.com/profile_banners/2784472498/1585587754</v>
      </c>
      <c r="AQ567" s="81" t="b">
        <v>1</v>
      </c>
      <c r="AR567" s="81" t="b">
        <v>0</v>
      </c>
      <c r="AS567" s="81" t="b">
        <v>1</v>
      </c>
      <c r="AT567" s="81"/>
      <c r="AU567" s="81">
        <v>0</v>
      </c>
      <c r="AV567" s="84" t="str">
        <f>HYPERLINK("https://abs.twimg.com/images/themes/theme1/bg.png")</f>
        <v>https://abs.twimg.com/images/themes/theme1/bg.png</v>
      </c>
      <c r="AW567" s="81" t="b">
        <v>0</v>
      </c>
      <c r="AX567" s="81" t="s">
        <v>3728</v>
      </c>
      <c r="AY567" s="84" t="str">
        <f>HYPERLINK("https://twitter.com/kgabrielam")</f>
        <v>https://twitter.com/kgabrielam</v>
      </c>
      <c r="AZ567" s="81" t="s">
        <v>65</v>
      </c>
      <c r="BA567" s="2"/>
      <c r="BB567" s="3"/>
      <c r="BC567" s="3"/>
      <c r="BD567" s="3"/>
      <c r="BE567" s="3"/>
    </row>
    <row r="568" spans="1:57" x14ac:dyDescent="0.35">
      <c r="A568" s="66" t="s">
        <v>5073</v>
      </c>
      <c r="B568" s="67"/>
      <c r="C568" s="67"/>
      <c r="D568" s="68"/>
      <c r="E568" s="94"/>
      <c r="F568" s="93" t="str">
        <f>HYPERLINK("https://pbs.twimg.com/profile_images/1439366215797981185/pROfUc5E_normal.jpg")</f>
        <v>https://pbs.twimg.com/profile_images/1439366215797981185/pROfUc5E_normal.jpg</v>
      </c>
      <c r="G568" s="95"/>
      <c r="H568" s="71"/>
      <c r="I568" s="72"/>
      <c r="J568" s="96"/>
      <c r="K568" s="71" t="s">
        <v>11740</v>
      </c>
      <c r="L568" s="97"/>
      <c r="M568" s="76"/>
      <c r="N568" s="76"/>
      <c r="O568" s="77"/>
      <c r="P568" s="78"/>
      <c r="Q568" s="78"/>
      <c r="R568" s="92"/>
      <c r="S568" s="92"/>
      <c r="T568" s="92"/>
      <c r="U568" s="92"/>
      <c r="V568" s="52"/>
      <c r="W568" s="52"/>
      <c r="X568" s="52"/>
      <c r="Y568" s="52"/>
      <c r="Z568" s="51"/>
      <c r="AA568" s="73"/>
      <c r="AB568" s="73"/>
      <c r="AC568" s="74"/>
      <c r="AD568" s="81" t="s">
        <v>8369</v>
      </c>
      <c r="AE568" s="86" t="s">
        <v>9386</v>
      </c>
      <c r="AF568" s="81">
        <v>85</v>
      </c>
      <c r="AG568" s="81">
        <v>29</v>
      </c>
      <c r="AH568" s="81">
        <v>300</v>
      </c>
      <c r="AI568" s="81">
        <v>34</v>
      </c>
      <c r="AJ568" s="81"/>
      <c r="AK568" s="81" t="s">
        <v>10348</v>
      </c>
      <c r="AL568" s="81" t="s">
        <v>11127</v>
      </c>
      <c r="AM568" s="81"/>
      <c r="AN568" s="81"/>
      <c r="AO568" s="83">
        <v>44433.940381944441</v>
      </c>
      <c r="AP568" s="84" t="str">
        <f>HYPERLINK("https://pbs.twimg.com/profile_banners/1430659724601614342/1632006901")</f>
        <v>https://pbs.twimg.com/profile_banners/1430659724601614342/1632006901</v>
      </c>
      <c r="AQ568" s="81" t="b">
        <v>1</v>
      </c>
      <c r="AR568" s="81" t="b">
        <v>0</v>
      </c>
      <c r="AS568" s="81" t="b">
        <v>0</v>
      </c>
      <c r="AT568" s="81"/>
      <c r="AU568" s="81">
        <v>0</v>
      </c>
      <c r="AV568" s="81"/>
      <c r="AW568" s="81" t="b">
        <v>0</v>
      </c>
      <c r="AX568" s="81" t="s">
        <v>3728</v>
      </c>
      <c r="AY568" s="84" t="str">
        <f>HYPERLINK("https://twitter.com/sulistaliberal")</f>
        <v>https://twitter.com/sulistaliberal</v>
      </c>
      <c r="AZ568" s="81" t="s">
        <v>65</v>
      </c>
      <c r="BA568" s="2"/>
      <c r="BB568" s="3"/>
      <c r="BC568" s="3"/>
      <c r="BD568" s="3"/>
      <c r="BE568" s="3"/>
    </row>
    <row r="569" spans="1:57" x14ac:dyDescent="0.35">
      <c r="A569" s="66" t="s">
        <v>5074</v>
      </c>
      <c r="B569" s="67"/>
      <c r="C569" s="67"/>
      <c r="D569" s="68"/>
      <c r="E569" s="94"/>
      <c r="F569" s="93" t="str">
        <f>HYPERLINK("https://pbs.twimg.com/profile_images/1398335583592894465/-UsuGlOZ_normal.jpg")</f>
        <v>https://pbs.twimg.com/profile_images/1398335583592894465/-UsuGlOZ_normal.jpg</v>
      </c>
      <c r="G569" s="95"/>
      <c r="H569" s="71"/>
      <c r="I569" s="72"/>
      <c r="J569" s="96"/>
      <c r="K569" s="71" t="s">
        <v>11741</v>
      </c>
      <c r="L569" s="97"/>
      <c r="M569" s="76"/>
      <c r="N569" s="76"/>
      <c r="O569" s="77"/>
      <c r="P569" s="78"/>
      <c r="Q569" s="78"/>
      <c r="R569" s="92"/>
      <c r="S569" s="92"/>
      <c r="T569" s="92"/>
      <c r="U569" s="92"/>
      <c r="V569" s="52"/>
      <c r="W569" s="52"/>
      <c r="X569" s="52"/>
      <c r="Y569" s="52"/>
      <c r="Z569" s="51"/>
      <c r="AA569" s="73"/>
      <c r="AB569" s="73"/>
      <c r="AC569" s="74"/>
      <c r="AD569" s="81" t="s">
        <v>8370</v>
      </c>
      <c r="AE569" s="86" t="s">
        <v>7854</v>
      </c>
      <c r="AF569" s="81">
        <v>160</v>
      </c>
      <c r="AG569" s="81">
        <v>45</v>
      </c>
      <c r="AH569" s="81">
        <v>283</v>
      </c>
      <c r="AI569" s="81">
        <v>5296</v>
      </c>
      <c r="AJ569" s="81"/>
      <c r="AK569" s="81"/>
      <c r="AL569" s="81"/>
      <c r="AM569" s="81"/>
      <c r="AN569" s="81"/>
      <c r="AO569" s="83">
        <v>44066.968888888892</v>
      </c>
      <c r="AP569" s="84" t="str">
        <f>HYPERLINK("https://pbs.twimg.com/profile_banners/1297673716772614147/1623179750")</f>
        <v>https://pbs.twimg.com/profile_banners/1297673716772614147/1623179750</v>
      </c>
      <c r="AQ569" s="81" t="b">
        <v>1</v>
      </c>
      <c r="AR569" s="81" t="b">
        <v>0</v>
      </c>
      <c r="AS569" s="81" t="b">
        <v>0</v>
      </c>
      <c r="AT569" s="81"/>
      <c r="AU569" s="81">
        <v>0</v>
      </c>
      <c r="AV569" s="81"/>
      <c r="AW569" s="81" t="b">
        <v>0</v>
      </c>
      <c r="AX569" s="81" t="s">
        <v>3728</v>
      </c>
      <c r="AY569" s="84" t="str">
        <f>HYPERLINK("https://twitter.com/mlimapassos")</f>
        <v>https://twitter.com/mlimapassos</v>
      </c>
      <c r="AZ569" s="81" t="s">
        <v>65</v>
      </c>
      <c r="BA569" s="2"/>
      <c r="BB569" s="3"/>
      <c r="BC569" s="3"/>
      <c r="BD569" s="3"/>
      <c r="BE569" s="3"/>
    </row>
    <row r="570" spans="1:57" x14ac:dyDescent="0.35">
      <c r="A570" s="66" t="s">
        <v>4409</v>
      </c>
      <c r="B570" s="67"/>
      <c r="C570" s="67"/>
      <c r="D570" s="68"/>
      <c r="E570" s="94"/>
      <c r="F570" s="93" t="str">
        <f>HYPERLINK("https://abs.twimg.com/sticky/default_profile_images/default_profile_normal.png")</f>
        <v>https://abs.twimg.com/sticky/default_profile_images/default_profile_normal.png</v>
      </c>
      <c r="G570" s="95"/>
      <c r="H570" s="71"/>
      <c r="I570" s="72"/>
      <c r="J570" s="96"/>
      <c r="K570" s="71" t="s">
        <v>11742</v>
      </c>
      <c r="L570" s="97"/>
      <c r="M570" s="76"/>
      <c r="N570" s="76"/>
      <c r="O570" s="77"/>
      <c r="P570" s="78"/>
      <c r="Q570" s="78"/>
      <c r="R570" s="92"/>
      <c r="S570" s="92"/>
      <c r="T570" s="92"/>
      <c r="U570" s="92"/>
      <c r="V570" s="52"/>
      <c r="W570" s="52"/>
      <c r="X570" s="52"/>
      <c r="Y570" s="52"/>
      <c r="Z570" s="51"/>
      <c r="AA570" s="73"/>
      <c r="AB570" s="73"/>
      <c r="AC570" s="74"/>
      <c r="AD570" s="81" t="s">
        <v>8371</v>
      </c>
      <c r="AE570" s="86" t="s">
        <v>9387</v>
      </c>
      <c r="AF570" s="81">
        <v>556</v>
      </c>
      <c r="AG570" s="81">
        <v>78</v>
      </c>
      <c r="AH570" s="81">
        <v>9305</v>
      </c>
      <c r="AI570" s="81">
        <v>9158</v>
      </c>
      <c r="AJ570" s="81"/>
      <c r="AK570" s="81"/>
      <c r="AL570" s="81"/>
      <c r="AM570" s="81"/>
      <c r="AN570" s="81"/>
      <c r="AO570" s="83">
        <v>44179.171724537038</v>
      </c>
      <c r="AP570" s="81"/>
      <c r="AQ570" s="81" t="b">
        <v>1</v>
      </c>
      <c r="AR570" s="81" t="b">
        <v>1</v>
      </c>
      <c r="AS570" s="81" t="b">
        <v>0</v>
      </c>
      <c r="AT570" s="81"/>
      <c r="AU570" s="81">
        <v>0</v>
      </c>
      <c r="AV570" s="81"/>
      <c r="AW570" s="81" t="b">
        <v>0</v>
      </c>
      <c r="AX570" s="81" t="s">
        <v>3728</v>
      </c>
      <c r="AY570" s="84" t="str">
        <f>HYPERLINK("https://twitter.com/rodrigo89789957")</f>
        <v>https://twitter.com/rodrigo89789957</v>
      </c>
      <c r="AZ570" s="81" t="s">
        <v>66</v>
      </c>
      <c r="BA570" s="2"/>
      <c r="BB570" s="3"/>
      <c r="BC570" s="3"/>
      <c r="BD570" s="3"/>
      <c r="BE570" s="3"/>
    </row>
    <row r="571" spans="1:57" x14ac:dyDescent="0.35">
      <c r="A571" s="66" t="s">
        <v>4410</v>
      </c>
      <c r="B571" s="67"/>
      <c r="C571" s="67"/>
      <c r="D571" s="68"/>
      <c r="E571" s="94"/>
      <c r="F571" s="93" t="str">
        <f>HYPERLINK("https://pbs.twimg.com/profile_images/1425098361133207552/ZUiDTa1L_normal.jpg")</f>
        <v>https://pbs.twimg.com/profile_images/1425098361133207552/ZUiDTa1L_normal.jpg</v>
      </c>
      <c r="G571" s="95"/>
      <c r="H571" s="71"/>
      <c r="I571" s="72"/>
      <c r="J571" s="96"/>
      <c r="K571" s="71" t="s">
        <v>11743</v>
      </c>
      <c r="L571" s="97"/>
      <c r="M571" s="76"/>
      <c r="N571" s="76"/>
      <c r="O571" s="77"/>
      <c r="P571" s="78"/>
      <c r="Q571" s="78"/>
      <c r="R571" s="92"/>
      <c r="S571" s="92"/>
      <c r="T571" s="92"/>
      <c r="U571" s="92"/>
      <c r="V571" s="52"/>
      <c r="W571" s="52"/>
      <c r="X571" s="52"/>
      <c r="Y571" s="52"/>
      <c r="Z571" s="51"/>
      <c r="AA571" s="73"/>
      <c r="AB571" s="73"/>
      <c r="AC571" s="74"/>
      <c r="AD571" s="81" t="s">
        <v>8372</v>
      </c>
      <c r="AE571" s="86" t="s">
        <v>9388</v>
      </c>
      <c r="AF571" s="81">
        <v>1075</v>
      </c>
      <c r="AG571" s="81">
        <v>759</v>
      </c>
      <c r="AH571" s="81">
        <v>758</v>
      </c>
      <c r="AI571" s="81">
        <v>287</v>
      </c>
      <c r="AJ571" s="81"/>
      <c r="AK571" s="81" t="s">
        <v>10349</v>
      </c>
      <c r="AL571" s="81" t="s">
        <v>10971</v>
      </c>
      <c r="AM571" s="84" t="str">
        <f>HYPERLINK("https://t.co/HX7L31JZKH")</f>
        <v>https://t.co/HX7L31JZKH</v>
      </c>
      <c r="AN571" s="81"/>
      <c r="AO571" s="83">
        <v>43276.687592592592</v>
      </c>
      <c r="AP571" s="84" t="str">
        <f>HYPERLINK("https://pbs.twimg.com/profile_banners/1011285423174406146/1628604902")</f>
        <v>https://pbs.twimg.com/profile_banners/1011285423174406146/1628604902</v>
      </c>
      <c r="AQ571" s="81" t="b">
        <v>0</v>
      </c>
      <c r="AR571" s="81" t="b">
        <v>0</v>
      </c>
      <c r="AS571" s="81" t="b">
        <v>0</v>
      </c>
      <c r="AT571" s="81"/>
      <c r="AU571" s="81">
        <v>11</v>
      </c>
      <c r="AV571" s="84" t="str">
        <f>HYPERLINK("https://abs.twimg.com/images/themes/theme1/bg.png")</f>
        <v>https://abs.twimg.com/images/themes/theme1/bg.png</v>
      </c>
      <c r="AW571" s="81" t="b">
        <v>0</v>
      </c>
      <c r="AX571" s="81" t="s">
        <v>3728</v>
      </c>
      <c r="AY571" s="84" t="str">
        <f>HYPERLINK("https://twitter.com/tba_lisboa")</f>
        <v>https://twitter.com/tba_lisboa</v>
      </c>
      <c r="AZ571" s="81" t="s">
        <v>66</v>
      </c>
      <c r="BA571" s="2"/>
      <c r="BB571" s="3"/>
      <c r="BC571" s="3"/>
      <c r="BD571" s="3"/>
      <c r="BE571" s="3"/>
    </row>
    <row r="572" spans="1:57" x14ac:dyDescent="0.35">
      <c r="A572" s="66" t="s">
        <v>404</v>
      </c>
      <c r="B572" s="67"/>
      <c r="C572" s="67"/>
      <c r="D572" s="68"/>
      <c r="E572" s="94"/>
      <c r="F572" s="93" t="str">
        <f>HYPERLINK("https://pbs.twimg.com/profile_images/1438872335147143175/wdSmCQd0_normal.jpg")</f>
        <v>https://pbs.twimg.com/profile_images/1438872335147143175/wdSmCQd0_normal.jpg</v>
      </c>
      <c r="G572" s="95"/>
      <c r="H572" s="71"/>
      <c r="I572" s="72"/>
      <c r="J572" s="96"/>
      <c r="K572" s="71" t="s">
        <v>3945</v>
      </c>
      <c r="L572" s="97"/>
      <c r="M572" s="76"/>
      <c r="N572" s="76"/>
      <c r="O572" s="77"/>
      <c r="P572" s="78"/>
      <c r="Q572" s="78"/>
      <c r="R572" s="92"/>
      <c r="S572" s="92"/>
      <c r="T572" s="92"/>
      <c r="U572" s="92"/>
      <c r="V572" s="52"/>
      <c r="W572" s="52"/>
      <c r="X572" s="52"/>
      <c r="Y572" s="52"/>
      <c r="Z572" s="51"/>
      <c r="AA572" s="73"/>
      <c r="AB572" s="73"/>
      <c r="AC572" s="74"/>
      <c r="AD572" s="81" t="s">
        <v>2465</v>
      </c>
      <c r="AE572" s="86" t="s">
        <v>2885</v>
      </c>
      <c r="AF572" s="81">
        <v>199</v>
      </c>
      <c r="AG572" s="81">
        <v>281</v>
      </c>
      <c r="AH572" s="81">
        <v>16119</v>
      </c>
      <c r="AI572" s="81">
        <v>19174</v>
      </c>
      <c r="AJ572" s="81"/>
      <c r="AK572" s="81" t="s">
        <v>3296</v>
      </c>
      <c r="AL572" s="81"/>
      <c r="AM572" s="81"/>
      <c r="AN572" s="81"/>
      <c r="AO572" s="83">
        <v>43181.381111111114</v>
      </c>
      <c r="AP572" s="84" t="str">
        <f>HYPERLINK("https://pbs.twimg.com/profile_banners/976747508968796160/1628262120")</f>
        <v>https://pbs.twimg.com/profile_banners/976747508968796160/1628262120</v>
      </c>
      <c r="AQ572" s="81" t="b">
        <v>1</v>
      </c>
      <c r="AR572" s="81" t="b">
        <v>0</v>
      </c>
      <c r="AS572" s="81" t="b">
        <v>0</v>
      </c>
      <c r="AT572" s="81"/>
      <c r="AU572" s="81">
        <v>1</v>
      </c>
      <c r="AV572" s="81"/>
      <c r="AW572" s="81" t="b">
        <v>0</v>
      </c>
      <c r="AX572" s="81" t="s">
        <v>3728</v>
      </c>
      <c r="AY572" s="84" t="str">
        <f>HYPERLINK("https://twitter.com/nraisyah_12")</f>
        <v>https://twitter.com/nraisyah_12</v>
      </c>
      <c r="AZ572" s="81" t="s">
        <v>66</v>
      </c>
      <c r="BA572" s="2"/>
      <c r="BB572" s="3"/>
      <c r="BC572" s="3"/>
      <c r="BD572" s="3"/>
      <c r="BE572" s="3"/>
    </row>
    <row r="573" spans="1:57" x14ac:dyDescent="0.35">
      <c r="A573" s="66" t="s">
        <v>405</v>
      </c>
      <c r="B573" s="67"/>
      <c r="C573" s="67"/>
      <c r="D573" s="68"/>
      <c r="E573" s="94"/>
      <c r="F573" s="93" t="str">
        <f>HYPERLINK("https://pbs.twimg.com/profile_images/1418924602814775299/0OT3n5Q8_normal.jpg")</f>
        <v>https://pbs.twimg.com/profile_images/1418924602814775299/0OT3n5Q8_normal.jpg</v>
      </c>
      <c r="G573" s="95"/>
      <c r="H573" s="71"/>
      <c r="I573" s="72"/>
      <c r="J573" s="96"/>
      <c r="K573" s="71" t="s">
        <v>3946</v>
      </c>
      <c r="L573" s="97"/>
      <c r="M573" s="76"/>
      <c r="N573" s="76"/>
      <c r="O573" s="77"/>
      <c r="P573" s="78"/>
      <c r="Q573" s="78"/>
      <c r="R573" s="92"/>
      <c r="S573" s="92"/>
      <c r="T573" s="92"/>
      <c r="U573" s="92"/>
      <c r="V573" s="52"/>
      <c r="W573" s="52"/>
      <c r="X573" s="52"/>
      <c r="Y573" s="52"/>
      <c r="Z573" s="51"/>
      <c r="AA573" s="73"/>
      <c r="AB573" s="73"/>
      <c r="AC573" s="74"/>
      <c r="AD573" s="81" t="s">
        <v>2466</v>
      </c>
      <c r="AE573" s="86" t="s">
        <v>2886</v>
      </c>
      <c r="AF573" s="81">
        <v>1233</v>
      </c>
      <c r="AG573" s="81">
        <v>898</v>
      </c>
      <c r="AH573" s="81">
        <v>13188</v>
      </c>
      <c r="AI573" s="81">
        <v>6913</v>
      </c>
      <c r="AJ573" s="81"/>
      <c r="AK573" s="81" t="s">
        <v>3297</v>
      </c>
      <c r="AL573" s="81"/>
      <c r="AM573" s="81"/>
      <c r="AN573" s="81"/>
      <c r="AO573" s="83">
        <v>44058.506990740738</v>
      </c>
      <c r="AP573" s="84" t="str">
        <f>HYPERLINK("https://pbs.twimg.com/profile_banners/1294607244558872576/1597493954")</f>
        <v>https://pbs.twimg.com/profile_banners/1294607244558872576/1597493954</v>
      </c>
      <c r="AQ573" s="81" t="b">
        <v>1</v>
      </c>
      <c r="AR573" s="81" t="b">
        <v>0</v>
      </c>
      <c r="AS573" s="81" t="b">
        <v>0</v>
      </c>
      <c r="AT573" s="81"/>
      <c r="AU573" s="81">
        <v>0</v>
      </c>
      <c r="AV573" s="81"/>
      <c r="AW573" s="81" t="b">
        <v>0</v>
      </c>
      <c r="AX573" s="81" t="s">
        <v>3728</v>
      </c>
      <c r="AY573" s="84" t="str">
        <f>HYPERLINK("https://twitter.com/soorisaa")</f>
        <v>https://twitter.com/soorisaa</v>
      </c>
      <c r="AZ573" s="81" t="s">
        <v>66</v>
      </c>
      <c r="BA573" s="2"/>
      <c r="BB573" s="3"/>
      <c r="BC573" s="3"/>
      <c r="BD573" s="3"/>
      <c r="BE573" s="3"/>
    </row>
    <row r="574" spans="1:57" x14ac:dyDescent="0.35">
      <c r="A574" s="66" t="s">
        <v>461</v>
      </c>
      <c r="B574" s="67"/>
      <c r="C574" s="67"/>
      <c r="D574" s="68"/>
      <c r="E574" s="94"/>
      <c r="F574" s="93" t="str">
        <f>HYPERLINK("https://pbs.twimg.com/profile_images/1442274400594640908/QsIuAivm_normal.jpg")</f>
        <v>https://pbs.twimg.com/profile_images/1442274400594640908/QsIuAivm_normal.jpg</v>
      </c>
      <c r="G574" s="95"/>
      <c r="H574" s="71"/>
      <c r="I574" s="72"/>
      <c r="J574" s="96"/>
      <c r="K574" s="71" t="s">
        <v>3947</v>
      </c>
      <c r="L574" s="97"/>
      <c r="M574" s="76"/>
      <c r="N574" s="76"/>
      <c r="O574" s="77"/>
      <c r="P574" s="78"/>
      <c r="Q574" s="78"/>
      <c r="R574" s="92"/>
      <c r="S574" s="92"/>
      <c r="T574" s="92"/>
      <c r="U574" s="92"/>
      <c r="V574" s="52"/>
      <c r="W574" s="52"/>
      <c r="X574" s="52"/>
      <c r="Y574" s="52"/>
      <c r="Z574" s="51"/>
      <c r="AA574" s="73"/>
      <c r="AB574" s="73"/>
      <c r="AC574" s="74"/>
      <c r="AD574" s="81" t="s">
        <v>2467</v>
      </c>
      <c r="AE574" s="86" t="s">
        <v>2887</v>
      </c>
      <c r="AF574" s="81">
        <v>84</v>
      </c>
      <c r="AG574" s="81">
        <v>49</v>
      </c>
      <c r="AH574" s="81">
        <v>5198</v>
      </c>
      <c r="AI574" s="81">
        <v>23279</v>
      </c>
      <c r="AJ574" s="81"/>
      <c r="AK574" s="81" t="s">
        <v>3298</v>
      </c>
      <c r="AL574" s="81" t="s">
        <v>3509</v>
      </c>
      <c r="AM574" s="81"/>
      <c r="AN574" s="81"/>
      <c r="AO574" s="83">
        <v>44086.522731481484</v>
      </c>
      <c r="AP574" s="84" t="str">
        <f>HYPERLINK("https://pbs.twimg.com/profile_banners/1304759703302336512/1631113771")</f>
        <v>https://pbs.twimg.com/profile_banners/1304759703302336512/1631113771</v>
      </c>
      <c r="AQ574" s="81" t="b">
        <v>1</v>
      </c>
      <c r="AR574" s="81" t="b">
        <v>0</v>
      </c>
      <c r="AS574" s="81" t="b">
        <v>0</v>
      </c>
      <c r="AT574" s="81"/>
      <c r="AU574" s="81">
        <v>1</v>
      </c>
      <c r="AV574" s="81"/>
      <c r="AW574" s="81" t="b">
        <v>0</v>
      </c>
      <c r="AX574" s="81" t="s">
        <v>3728</v>
      </c>
      <c r="AY574" s="84" t="str">
        <f>HYPERLINK("https://twitter.com/seungvocado22")</f>
        <v>https://twitter.com/seungvocado22</v>
      </c>
      <c r="AZ574" s="81" t="s">
        <v>66</v>
      </c>
      <c r="BA574" s="2"/>
      <c r="BB574" s="3"/>
      <c r="BC574" s="3"/>
      <c r="BD574" s="3"/>
      <c r="BE574" s="3"/>
    </row>
    <row r="575" spans="1:57" x14ac:dyDescent="0.35">
      <c r="A575" s="66" t="s">
        <v>406</v>
      </c>
      <c r="B575" s="67"/>
      <c r="C575" s="67"/>
      <c r="D575" s="68"/>
      <c r="E575" s="94"/>
      <c r="F575" s="93" t="str">
        <f>HYPERLINK("https://pbs.twimg.com/profile_images/1443200621520293893/sERCkDGc_normal.jpg")</f>
        <v>https://pbs.twimg.com/profile_images/1443200621520293893/sERCkDGc_normal.jpg</v>
      </c>
      <c r="G575" s="95"/>
      <c r="H575" s="71"/>
      <c r="I575" s="72"/>
      <c r="J575" s="96"/>
      <c r="K575" s="71" t="s">
        <v>3948</v>
      </c>
      <c r="L575" s="97"/>
      <c r="M575" s="76"/>
      <c r="N575" s="76"/>
      <c r="O575" s="77"/>
      <c r="P575" s="78"/>
      <c r="Q575" s="78"/>
      <c r="R575" s="92"/>
      <c r="S575" s="92"/>
      <c r="T575" s="92"/>
      <c r="U575" s="92"/>
      <c r="V575" s="52"/>
      <c r="W575" s="52"/>
      <c r="X575" s="52"/>
      <c r="Y575" s="52"/>
      <c r="Z575" s="51"/>
      <c r="AA575" s="73"/>
      <c r="AB575" s="73"/>
      <c r="AC575" s="74"/>
      <c r="AD575" s="81" t="s">
        <v>13476</v>
      </c>
      <c r="AE575" s="86" t="s">
        <v>2888</v>
      </c>
      <c r="AF575" s="81">
        <v>1637</v>
      </c>
      <c r="AG575" s="81">
        <v>1441</v>
      </c>
      <c r="AH575" s="81">
        <v>18504</v>
      </c>
      <c r="AI575" s="81">
        <v>79210</v>
      </c>
      <c r="AJ575" s="81"/>
      <c r="AK575" s="81" t="s">
        <v>3299</v>
      </c>
      <c r="AL575" s="81" t="s">
        <v>3637</v>
      </c>
      <c r="AM575" s="81"/>
      <c r="AN575" s="81"/>
      <c r="AO575" s="83">
        <v>43762.452974537038</v>
      </c>
      <c r="AP575" s="84" t="str">
        <f>HYPERLINK("https://pbs.twimg.com/profile_banners/1187320768977260544/1632920686")</f>
        <v>https://pbs.twimg.com/profile_banners/1187320768977260544/1632920686</v>
      </c>
      <c r="AQ575" s="81" t="b">
        <v>1</v>
      </c>
      <c r="AR575" s="81" t="b">
        <v>0</v>
      </c>
      <c r="AS575" s="81" t="b">
        <v>0</v>
      </c>
      <c r="AT575" s="81"/>
      <c r="AU575" s="81">
        <v>5</v>
      </c>
      <c r="AV575" s="81"/>
      <c r="AW575" s="81" t="b">
        <v>0</v>
      </c>
      <c r="AX575" s="81" t="s">
        <v>3728</v>
      </c>
      <c r="AY575" s="84" t="str">
        <f>HYPERLINK("https://twitter.com/lcvely_wn")</f>
        <v>https://twitter.com/lcvely_wn</v>
      </c>
      <c r="AZ575" s="81" t="s">
        <v>66</v>
      </c>
      <c r="BA575" s="2"/>
      <c r="BB575" s="3"/>
      <c r="BC575" s="3"/>
      <c r="BD575" s="3"/>
      <c r="BE575" s="3"/>
    </row>
    <row r="576" spans="1:57" x14ac:dyDescent="0.35">
      <c r="A576" s="66" t="s">
        <v>407</v>
      </c>
      <c r="B576" s="67"/>
      <c r="C576" s="67"/>
      <c r="D576" s="68"/>
      <c r="E576" s="94"/>
      <c r="F576" s="93" t="str">
        <f>HYPERLINK("https://pbs.twimg.com/profile_images/1443264203872038915/XgOKajDS_normal.jpg")</f>
        <v>https://pbs.twimg.com/profile_images/1443264203872038915/XgOKajDS_normal.jpg</v>
      </c>
      <c r="G576" s="95"/>
      <c r="H576" s="71"/>
      <c r="I576" s="72"/>
      <c r="J576" s="96"/>
      <c r="K576" s="71" t="s">
        <v>3949</v>
      </c>
      <c r="L576" s="97"/>
      <c r="M576" s="76"/>
      <c r="N576" s="76"/>
      <c r="O576" s="77"/>
      <c r="P576" s="78"/>
      <c r="Q576" s="78"/>
      <c r="R576" s="92"/>
      <c r="S576" s="92"/>
      <c r="T576" s="92"/>
      <c r="U576" s="92"/>
      <c r="V576" s="52"/>
      <c r="W576" s="52"/>
      <c r="X576" s="52"/>
      <c r="Y576" s="52"/>
      <c r="Z576" s="51"/>
      <c r="AA576" s="73"/>
      <c r="AB576" s="73"/>
      <c r="AC576" s="74"/>
      <c r="AD576" s="81" t="s">
        <v>2468</v>
      </c>
      <c r="AE576" s="86" t="s">
        <v>2889</v>
      </c>
      <c r="AF576" s="81">
        <v>41</v>
      </c>
      <c r="AG576" s="81">
        <v>23</v>
      </c>
      <c r="AH576" s="81">
        <v>252</v>
      </c>
      <c r="AI576" s="81">
        <v>2223</v>
      </c>
      <c r="AJ576" s="81"/>
      <c r="AK576" s="81" t="s">
        <v>13933</v>
      </c>
      <c r="AL576" s="81"/>
      <c r="AM576" s="81"/>
      <c r="AN576" s="81"/>
      <c r="AO576" s="83">
        <v>44332.491238425922</v>
      </c>
      <c r="AP576" s="84" t="str">
        <f>HYPERLINK("https://pbs.twimg.com/profile_banners/1393895807418470403/1632935974")</f>
        <v>https://pbs.twimg.com/profile_banners/1393895807418470403/1632935974</v>
      </c>
      <c r="AQ576" s="81" t="b">
        <v>1</v>
      </c>
      <c r="AR576" s="81" t="b">
        <v>0</v>
      </c>
      <c r="AS576" s="81" t="b">
        <v>0</v>
      </c>
      <c r="AT576" s="81"/>
      <c r="AU576" s="81">
        <v>0</v>
      </c>
      <c r="AV576" s="81"/>
      <c r="AW576" s="81" t="b">
        <v>0</v>
      </c>
      <c r="AX576" s="81" t="s">
        <v>3728</v>
      </c>
      <c r="AY576" s="84" t="str">
        <f>HYPERLINK("https://twitter.com/shadatuzn")</f>
        <v>https://twitter.com/shadatuzn</v>
      </c>
      <c r="AZ576" s="81" t="s">
        <v>66</v>
      </c>
      <c r="BA576" s="2"/>
      <c r="BB576" s="3"/>
      <c r="BC576" s="3"/>
      <c r="BD576" s="3"/>
      <c r="BE576" s="3"/>
    </row>
    <row r="577" spans="1:57" x14ac:dyDescent="0.35">
      <c r="A577" s="66" t="s">
        <v>408</v>
      </c>
      <c r="B577" s="67"/>
      <c r="C577" s="67"/>
      <c r="D577" s="68"/>
      <c r="E577" s="94"/>
      <c r="F577" s="93" t="str">
        <f>HYPERLINK("https://pbs.twimg.com/profile_images/1434777401884479490/ZTfkGSB8_normal.jpg")</f>
        <v>https://pbs.twimg.com/profile_images/1434777401884479490/ZTfkGSB8_normal.jpg</v>
      </c>
      <c r="G577" s="95"/>
      <c r="H577" s="71"/>
      <c r="I577" s="72"/>
      <c r="J577" s="96"/>
      <c r="K577" s="71" t="s">
        <v>3950</v>
      </c>
      <c r="L577" s="97"/>
      <c r="M577" s="76"/>
      <c r="N577" s="76"/>
      <c r="O577" s="77"/>
      <c r="P577" s="78"/>
      <c r="Q577" s="78"/>
      <c r="R577" s="92"/>
      <c r="S577" s="92"/>
      <c r="T577" s="92"/>
      <c r="U577" s="92"/>
      <c r="V577" s="52"/>
      <c r="W577" s="52"/>
      <c r="X577" s="52"/>
      <c r="Y577" s="52"/>
      <c r="Z577" s="51"/>
      <c r="AA577" s="73"/>
      <c r="AB577" s="73"/>
      <c r="AC577" s="74"/>
      <c r="AD577" s="81" t="s">
        <v>2469</v>
      </c>
      <c r="AE577" s="86" t="s">
        <v>2890</v>
      </c>
      <c r="AF577" s="81">
        <v>49</v>
      </c>
      <c r="AG577" s="81">
        <v>5</v>
      </c>
      <c r="AH577" s="81">
        <v>469</v>
      </c>
      <c r="AI577" s="81">
        <v>157</v>
      </c>
      <c r="AJ577" s="81"/>
      <c r="AK577" s="81" t="s">
        <v>3300</v>
      </c>
      <c r="AL577" s="81" t="s">
        <v>3508</v>
      </c>
      <c r="AM577" s="81"/>
      <c r="AN577" s="81"/>
      <c r="AO577" s="83">
        <v>44431.612569444442</v>
      </c>
      <c r="AP577" s="84" t="str">
        <f>HYPERLINK("https://pbs.twimg.com/profile_banners/1429815900836810757/1631245079")</f>
        <v>https://pbs.twimg.com/profile_banners/1429815900836810757/1631245079</v>
      </c>
      <c r="AQ577" s="81" t="b">
        <v>1</v>
      </c>
      <c r="AR577" s="81" t="b">
        <v>0</v>
      </c>
      <c r="AS577" s="81" t="b">
        <v>0</v>
      </c>
      <c r="AT577" s="81"/>
      <c r="AU577" s="81">
        <v>0</v>
      </c>
      <c r="AV577" s="81"/>
      <c r="AW577" s="81" t="b">
        <v>0</v>
      </c>
      <c r="AX577" s="81" t="s">
        <v>3728</v>
      </c>
      <c r="AY577" s="84" t="str">
        <f>HYPERLINK("https://twitter.com/jeonginfoxyy")</f>
        <v>https://twitter.com/jeonginfoxyy</v>
      </c>
      <c r="AZ577" s="81" t="s">
        <v>66</v>
      </c>
      <c r="BA577" s="2"/>
      <c r="BB577" s="3"/>
      <c r="BC577" s="3"/>
      <c r="BD577" s="3"/>
      <c r="BE577" s="3"/>
    </row>
    <row r="578" spans="1:57" x14ac:dyDescent="0.35">
      <c r="A578" s="66" t="s">
        <v>409</v>
      </c>
      <c r="B578" s="67"/>
      <c r="C578" s="67"/>
      <c r="D578" s="68"/>
      <c r="E578" s="94"/>
      <c r="F578" s="93" t="str">
        <f>HYPERLINK("https://pbs.twimg.com/profile_images/1423275992999550978/j-AoRFXl_normal.jpg")</f>
        <v>https://pbs.twimg.com/profile_images/1423275992999550978/j-AoRFXl_normal.jpg</v>
      </c>
      <c r="G578" s="95"/>
      <c r="H578" s="71"/>
      <c r="I578" s="72"/>
      <c r="J578" s="96"/>
      <c r="K578" s="71" t="s">
        <v>3951</v>
      </c>
      <c r="L578" s="97"/>
      <c r="M578" s="76"/>
      <c r="N578" s="76"/>
      <c r="O578" s="77"/>
      <c r="P578" s="78"/>
      <c r="Q578" s="78"/>
      <c r="R578" s="92"/>
      <c r="S578" s="92"/>
      <c r="T578" s="92"/>
      <c r="U578" s="92"/>
      <c r="V578" s="52"/>
      <c r="W578" s="52"/>
      <c r="X578" s="52"/>
      <c r="Y578" s="52"/>
      <c r="Z578" s="51"/>
      <c r="AA578" s="73"/>
      <c r="AB578" s="73"/>
      <c r="AC578" s="74"/>
      <c r="AD578" s="81" t="s">
        <v>2470</v>
      </c>
      <c r="AE578" s="86" t="s">
        <v>2891</v>
      </c>
      <c r="AF578" s="81">
        <v>696</v>
      </c>
      <c r="AG578" s="81">
        <v>689</v>
      </c>
      <c r="AH578" s="81">
        <v>3488</v>
      </c>
      <c r="AI578" s="81">
        <v>26171</v>
      </c>
      <c r="AJ578" s="81"/>
      <c r="AK578" s="81" t="s">
        <v>3301</v>
      </c>
      <c r="AL578" s="81" t="s">
        <v>3509</v>
      </c>
      <c r="AM578" s="81"/>
      <c r="AN578" s="81"/>
      <c r="AO578" s="83">
        <v>43807.137129629627</v>
      </c>
      <c r="AP578" s="84" t="str">
        <f>HYPERLINK("https://pbs.twimg.com/profile_banners/1203513796129476608/1628170414")</f>
        <v>https://pbs.twimg.com/profile_banners/1203513796129476608/1628170414</v>
      </c>
      <c r="AQ578" s="81" t="b">
        <v>1</v>
      </c>
      <c r="AR578" s="81" t="b">
        <v>0</v>
      </c>
      <c r="AS578" s="81" t="b">
        <v>0</v>
      </c>
      <c r="AT578" s="81"/>
      <c r="AU578" s="81">
        <v>2</v>
      </c>
      <c r="AV578" s="81"/>
      <c r="AW578" s="81" t="b">
        <v>0</v>
      </c>
      <c r="AX578" s="81" t="s">
        <v>3728</v>
      </c>
      <c r="AY578" s="84" t="str">
        <f>HYPERLINK("https://twitter.com/teutoong21")</f>
        <v>https://twitter.com/teutoong21</v>
      </c>
      <c r="AZ578" s="81" t="s">
        <v>66</v>
      </c>
      <c r="BA578" s="2"/>
      <c r="BB578" s="3"/>
      <c r="BC578" s="3"/>
      <c r="BD578" s="3"/>
      <c r="BE578" s="3"/>
    </row>
    <row r="579" spans="1:57" x14ac:dyDescent="0.35">
      <c r="A579" s="66" t="s">
        <v>4411</v>
      </c>
      <c r="B579" s="67"/>
      <c r="C579" s="67"/>
      <c r="D579" s="68"/>
      <c r="E579" s="94"/>
      <c r="F579" s="93" t="str">
        <f>HYPERLINK("https://pbs.twimg.com/profile_images/1439012553070370824/gps5Dmmw_normal.jpg")</f>
        <v>https://pbs.twimg.com/profile_images/1439012553070370824/gps5Dmmw_normal.jpg</v>
      </c>
      <c r="G579" s="95"/>
      <c r="H579" s="71"/>
      <c r="I579" s="72"/>
      <c r="J579" s="96"/>
      <c r="K579" s="71" t="s">
        <v>11744</v>
      </c>
      <c r="L579" s="97"/>
      <c r="M579" s="76"/>
      <c r="N579" s="76"/>
      <c r="O579" s="77"/>
      <c r="P579" s="78"/>
      <c r="Q579" s="78"/>
      <c r="R579" s="92"/>
      <c r="S579" s="92"/>
      <c r="T579" s="92"/>
      <c r="U579" s="92"/>
      <c r="V579" s="52"/>
      <c r="W579" s="52"/>
      <c r="X579" s="52"/>
      <c r="Y579" s="52"/>
      <c r="Z579" s="51"/>
      <c r="AA579" s="73"/>
      <c r="AB579" s="73"/>
      <c r="AC579" s="74"/>
      <c r="AD579" s="81" t="s">
        <v>8373</v>
      </c>
      <c r="AE579" s="86" t="s">
        <v>9389</v>
      </c>
      <c r="AF579" s="81">
        <v>1431</v>
      </c>
      <c r="AG579" s="81">
        <v>1098</v>
      </c>
      <c r="AH579" s="81">
        <v>5811</v>
      </c>
      <c r="AI579" s="81">
        <v>1164</v>
      </c>
      <c r="AJ579" s="81"/>
      <c r="AK579" s="81" t="s">
        <v>10350</v>
      </c>
      <c r="AL579" s="81" t="s">
        <v>11128</v>
      </c>
      <c r="AM579" s="81"/>
      <c r="AN579" s="81"/>
      <c r="AO579" s="83">
        <v>43954.912893518522</v>
      </c>
      <c r="AP579" s="84" t="str">
        <f>HYPERLINK("https://pbs.twimg.com/profile_banners/1257066009938313216/1631922304")</f>
        <v>https://pbs.twimg.com/profile_banners/1257066009938313216/1631922304</v>
      </c>
      <c r="AQ579" s="81" t="b">
        <v>1</v>
      </c>
      <c r="AR579" s="81" t="b">
        <v>0</v>
      </c>
      <c r="AS579" s="81" t="b">
        <v>0</v>
      </c>
      <c r="AT579" s="81"/>
      <c r="AU579" s="81">
        <v>1</v>
      </c>
      <c r="AV579" s="81"/>
      <c r="AW579" s="81" t="b">
        <v>0</v>
      </c>
      <c r="AX579" s="81" t="s">
        <v>3728</v>
      </c>
      <c r="AY579" s="84" t="str">
        <f>HYPERLINK("https://twitter.com/hxbitualnorris")</f>
        <v>https://twitter.com/hxbitualnorris</v>
      </c>
      <c r="AZ579" s="81" t="s">
        <v>66</v>
      </c>
      <c r="BA579" s="2"/>
      <c r="BB579" s="3"/>
      <c r="BC579" s="3"/>
      <c r="BD579" s="3"/>
      <c r="BE579" s="3"/>
    </row>
    <row r="580" spans="1:57" x14ac:dyDescent="0.35">
      <c r="A580" s="66" t="s">
        <v>4412</v>
      </c>
      <c r="B580" s="67"/>
      <c r="C580" s="67"/>
      <c r="D580" s="68"/>
      <c r="E580" s="94"/>
      <c r="F580" s="93" t="str">
        <f>HYPERLINK("https://pbs.twimg.com/profile_images/1375086819188957188/ltIMNMo1_normal.jpg")</f>
        <v>https://pbs.twimg.com/profile_images/1375086819188957188/ltIMNMo1_normal.jpg</v>
      </c>
      <c r="G580" s="95"/>
      <c r="H580" s="71"/>
      <c r="I580" s="72"/>
      <c r="J580" s="96"/>
      <c r="K580" s="71" t="s">
        <v>11745</v>
      </c>
      <c r="L580" s="97"/>
      <c r="M580" s="76"/>
      <c r="N580" s="76"/>
      <c r="O580" s="77"/>
      <c r="P580" s="78"/>
      <c r="Q580" s="78"/>
      <c r="R580" s="92"/>
      <c r="S580" s="92"/>
      <c r="T580" s="92"/>
      <c r="U580" s="92"/>
      <c r="V580" s="52"/>
      <c r="W580" s="52"/>
      <c r="X580" s="52"/>
      <c r="Y580" s="52"/>
      <c r="Z580" s="51"/>
      <c r="AA580" s="73"/>
      <c r="AB580" s="73"/>
      <c r="AC580" s="74"/>
      <c r="AD580" s="81" t="s">
        <v>8374</v>
      </c>
      <c r="AE580" s="86" t="s">
        <v>9390</v>
      </c>
      <c r="AF580" s="81">
        <v>6</v>
      </c>
      <c r="AG580" s="81">
        <v>1264</v>
      </c>
      <c r="AH580" s="81">
        <v>4343</v>
      </c>
      <c r="AI580" s="81">
        <v>865</v>
      </c>
      <c r="AJ580" s="81"/>
      <c r="AK580" s="81" t="s">
        <v>10351</v>
      </c>
      <c r="AL580" s="81" t="s">
        <v>3508</v>
      </c>
      <c r="AM580" s="81"/>
      <c r="AN580" s="81"/>
      <c r="AO580" s="83">
        <v>44236.0312037037</v>
      </c>
      <c r="AP580" s="84" t="str">
        <f>HYPERLINK("https://pbs.twimg.com/profile_banners/1358939873403539456/1615105835")</f>
        <v>https://pbs.twimg.com/profile_banners/1358939873403539456/1615105835</v>
      </c>
      <c r="AQ580" s="81" t="b">
        <v>1</v>
      </c>
      <c r="AR580" s="81" t="b">
        <v>0</v>
      </c>
      <c r="AS580" s="81" t="b">
        <v>0</v>
      </c>
      <c r="AT580" s="81"/>
      <c r="AU580" s="81">
        <v>5</v>
      </c>
      <c r="AV580" s="81"/>
      <c r="AW580" s="81" t="b">
        <v>0</v>
      </c>
      <c r="AX580" s="81" t="s">
        <v>3728</v>
      </c>
      <c r="AY580" s="84" t="str">
        <f>HYPERLINK("https://twitter.com/pasarateez")</f>
        <v>https://twitter.com/pasarateez</v>
      </c>
      <c r="AZ580" s="81" t="s">
        <v>66</v>
      </c>
      <c r="BA580" s="2"/>
      <c r="BB580" s="3"/>
      <c r="BC580" s="3"/>
      <c r="BD580" s="3"/>
      <c r="BE580" s="3"/>
    </row>
    <row r="581" spans="1:57" x14ac:dyDescent="0.35">
      <c r="A581" s="66" t="s">
        <v>4427</v>
      </c>
      <c r="B581" s="67"/>
      <c r="C581" s="67"/>
      <c r="D581" s="68"/>
      <c r="E581" s="94"/>
      <c r="F581" s="93" t="str">
        <f>HYPERLINK("https://pbs.twimg.com/profile_images/1433111868705370116/mOicvtpk_normal.jpg")</f>
        <v>https://pbs.twimg.com/profile_images/1433111868705370116/mOicvtpk_normal.jpg</v>
      </c>
      <c r="G581" s="95"/>
      <c r="H581" s="71"/>
      <c r="I581" s="72"/>
      <c r="J581" s="96"/>
      <c r="K581" s="71" t="s">
        <v>11746</v>
      </c>
      <c r="L581" s="97"/>
      <c r="M581" s="76"/>
      <c r="N581" s="76"/>
      <c r="O581" s="77"/>
      <c r="P581" s="78"/>
      <c r="Q581" s="78"/>
      <c r="R581" s="92"/>
      <c r="S581" s="92"/>
      <c r="T581" s="92"/>
      <c r="U581" s="92"/>
      <c r="V581" s="52"/>
      <c r="W581" s="52"/>
      <c r="X581" s="52"/>
      <c r="Y581" s="52"/>
      <c r="Z581" s="51"/>
      <c r="AA581" s="73"/>
      <c r="AB581" s="73"/>
      <c r="AC581" s="74"/>
      <c r="AD581" s="81" t="s">
        <v>2387</v>
      </c>
      <c r="AE581" s="86" t="s">
        <v>9391</v>
      </c>
      <c r="AF581" s="81">
        <v>7</v>
      </c>
      <c r="AG581" s="81">
        <v>2</v>
      </c>
      <c r="AH581" s="81">
        <v>85</v>
      </c>
      <c r="AI581" s="81">
        <v>3</v>
      </c>
      <c r="AJ581" s="81"/>
      <c r="AK581" s="81" t="s">
        <v>10352</v>
      </c>
      <c r="AL581" s="81" t="s">
        <v>11129</v>
      </c>
      <c r="AM581" s="84" t="str">
        <f>HYPERLINK("https://t.co/RwHafvzpEL")</f>
        <v>https://t.co/RwHafvzpEL</v>
      </c>
      <c r="AN581" s="81"/>
      <c r="AO581" s="83">
        <v>44408.741516203707</v>
      </c>
      <c r="AP581" s="84" t="str">
        <f>HYPERLINK("https://pbs.twimg.com/profile_banners/1421527996003880961/1631158205")</f>
        <v>https://pbs.twimg.com/profile_banners/1421527996003880961/1631158205</v>
      </c>
      <c r="AQ581" s="81" t="b">
        <v>1</v>
      </c>
      <c r="AR581" s="81" t="b">
        <v>0</v>
      </c>
      <c r="AS581" s="81" t="b">
        <v>0</v>
      </c>
      <c r="AT581" s="81"/>
      <c r="AU581" s="81">
        <v>0</v>
      </c>
      <c r="AV581" s="81"/>
      <c r="AW581" s="81" t="b">
        <v>0</v>
      </c>
      <c r="AX581" s="81" t="s">
        <v>3728</v>
      </c>
      <c r="AY581" s="84" t="str">
        <f>HYPERLINK("https://twitter.com/mrklite")</f>
        <v>https://twitter.com/mrklite</v>
      </c>
      <c r="AZ581" s="81" t="s">
        <v>66</v>
      </c>
      <c r="BA581" s="2"/>
      <c r="BB581" s="3"/>
      <c r="BC581" s="3"/>
      <c r="BD581" s="3"/>
      <c r="BE581" s="3"/>
    </row>
    <row r="582" spans="1:57" x14ac:dyDescent="0.35">
      <c r="A582" s="66" t="s">
        <v>4413</v>
      </c>
      <c r="B582" s="67"/>
      <c r="C582" s="67"/>
      <c r="D582" s="68"/>
      <c r="E582" s="94"/>
      <c r="F582" s="93" t="str">
        <f>HYPERLINK("https://pbs.twimg.com/profile_images/1438203791459848193/UKmhLLGM_normal.jpg")</f>
        <v>https://pbs.twimg.com/profile_images/1438203791459848193/UKmhLLGM_normal.jpg</v>
      </c>
      <c r="G582" s="95"/>
      <c r="H582" s="71"/>
      <c r="I582" s="72"/>
      <c r="J582" s="96"/>
      <c r="K582" s="71" t="s">
        <v>11747</v>
      </c>
      <c r="L582" s="97"/>
      <c r="M582" s="76"/>
      <c r="N582" s="76"/>
      <c r="O582" s="77"/>
      <c r="P582" s="78"/>
      <c r="Q582" s="78"/>
      <c r="R582" s="92"/>
      <c r="S582" s="92"/>
      <c r="T582" s="92"/>
      <c r="U582" s="92"/>
      <c r="V582" s="52"/>
      <c r="W582" s="52"/>
      <c r="X582" s="52"/>
      <c r="Y582" s="52"/>
      <c r="Z582" s="51"/>
      <c r="AA582" s="73"/>
      <c r="AB582" s="73"/>
      <c r="AC582" s="74"/>
      <c r="AD582" s="81" t="s">
        <v>8375</v>
      </c>
      <c r="AE582" s="86" t="s">
        <v>9392</v>
      </c>
      <c r="AF582" s="81">
        <v>134</v>
      </c>
      <c r="AG582" s="81">
        <v>16</v>
      </c>
      <c r="AH582" s="81">
        <v>511</v>
      </c>
      <c r="AI582" s="81">
        <v>358</v>
      </c>
      <c r="AJ582" s="81"/>
      <c r="AK582" s="81"/>
      <c r="AL582" s="81"/>
      <c r="AM582" s="81"/>
      <c r="AN582" s="81"/>
      <c r="AO582" s="83">
        <v>44083.659212962964</v>
      </c>
      <c r="AP582" s="84" t="str">
        <f>HYPERLINK("https://pbs.twimg.com/profile_banners/1303722103493914624/1631729577")</f>
        <v>https://pbs.twimg.com/profile_banners/1303722103493914624/1631729577</v>
      </c>
      <c r="AQ582" s="81" t="b">
        <v>1</v>
      </c>
      <c r="AR582" s="81" t="b">
        <v>0</v>
      </c>
      <c r="AS582" s="81" t="b">
        <v>0</v>
      </c>
      <c r="AT582" s="81"/>
      <c r="AU582" s="81">
        <v>0</v>
      </c>
      <c r="AV582" s="81"/>
      <c r="AW582" s="81" t="b">
        <v>0</v>
      </c>
      <c r="AX582" s="81" t="s">
        <v>3728</v>
      </c>
      <c r="AY582" s="84" t="str">
        <f>HYPERLINK("https://twitter.com/sxyzx08")</f>
        <v>https://twitter.com/sxyzx08</v>
      </c>
      <c r="AZ582" s="81" t="s">
        <v>66</v>
      </c>
      <c r="BA582" s="2"/>
      <c r="BB582" s="3"/>
      <c r="BC582" s="3"/>
      <c r="BD582" s="3"/>
      <c r="BE582" s="3"/>
    </row>
    <row r="583" spans="1:57" x14ac:dyDescent="0.35">
      <c r="A583" s="66" t="s">
        <v>329</v>
      </c>
      <c r="B583" s="67"/>
      <c r="C583" s="67"/>
      <c r="D583" s="68"/>
      <c r="E583" s="94"/>
      <c r="F583" s="93" t="str">
        <f>HYPERLINK("https://pbs.twimg.com/profile_images/1441627411683049482/iB_krL1X_normal.jpg")</f>
        <v>https://pbs.twimg.com/profile_images/1441627411683049482/iB_krL1X_normal.jpg</v>
      </c>
      <c r="G583" s="95"/>
      <c r="H583" s="71"/>
      <c r="I583" s="72"/>
      <c r="J583" s="96"/>
      <c r="K583" s="71" t="s">
        <v>11748</v>
      </c>
      <c r="L583" s="97"/>
      <c r="M583" s="76"/>
      <c r="N583" s="76"/>
      <c r="O583" s="77"/>
      <c r="P583" s="78"/>
      <c r="Q583" s="78"/>
      <c r="R583" s="92"/>
      <c r="S583" s="92"/>
      <c r="T583" s="92"/>
      <c r="U583" s="92"/>
      <c r="V583" s="52"/>
      <c r="W583" s="52"/>
      <c r="X583" s="52"/>
      <c r="Y583" s="52"/>
      <c r="Z583" s="51"/>
      <c r="AA583" s="73"/>
      <c r="AB583" s="73"/>
      <c r="AC583" s="74"/>
      <c r="AD583" s="81" t="s">
        <v>2381</v>
      </c>
      <c r="AE583" s="86" t="s">
        <v>2808</v>
      </c>
      <c r="AF583" s="81">
        <v>24</v>
      </c>
      <c r="AG583" s="81">
        <v>20</v>
      </c>
      <c r="AH583" s="81">
        <v>729</v>
      </c>
      <c r="AI583" s="81">
        <v>8</v>
      </c>
      <c r="AJ583" s="81"/>
      <c r="AK583" s="81" t="s">
        <v>3216</v>
      </c>
      <c r="AL583" s="81"/>
      <c r="AM583" s="81"/>
      <c r="AN583" s="81"/>
      <c r="AO583" s="83">
        <v>44460.695706018516</v>
      </c>
      <c r="AP583" s="84" t="str">
        <f>HYPERLINK("https://pbs.twimg.com/profile_banners/1440355320958570502/1632545596")</f>
        <v>https://pbs.twimg.com/profile_banners/1440355320958570502/1632545596</v>
      </c>
      <c r="AQ583" s="81" t="b">
        <v>1</v>
      </c>
      <c r="AR583" s="81" t="b">
        <v>0</v>
      </c>
      <c r="AS583" s="81" t="b">
        <v>0</v>
      </c>
      <c r="AT583" s="81"/>
      <c r="AU583" s="81">
        <v>0</v>
      </c>
      <c r="AV583" s="81"/>
      <c r="AW583" s="81" t="b">
        <v>0</v>
      </c>
      <c r="AX583" s="81" t="s">
        <v>3728</v>
      </c>
      <c r="AY583" s="84" t="str">
        <f>HYPERLINK("https://twitter.com/lem0n4de_sh0p")</f>
        <v>https://twitter.com/lem0n4de_sh0p</v>
      </c>
      <c r="AZ583" s="81" t="s">
        <v>66</v>
      </c>
      <c r="BA583" s="2"/>
      <c r="BB583" s="3"/>
      <c r="BC583" s="3"/>
      <c r="BD583" s="3"/>
      <c r="BE583" s="3"/>
    </row>
    <row r="584" spans="1:57" x14ac:dyDescent="0.35">
      <c r="A584" s="66" t="s">
        <v>410</v>
      </c>
      <c r="B584" s="67"/>
      <c r="C584" s="67"/>
      <c r="D584" s="68"/>
      <c r="E584" s="94"/>
      <c r="F584" s="93" t="str">
        <f>HYPERLINK("https://pbs.twimg.com/profile_images/1437571689877938182/n-DYWW72_normal.jpg")</f>
        <v>https://pbs.twimg.com/profile_images/1437571689877938182/n-DYWW72_normal.jpg</v>
      </c>
      <c r="G584" s="95"/>
      <c r="H584" s="71"/>
      <c r="I584" s="72"/>
      <c r="J584" s="96"/>
      <c r="K584" s="71" t="s">
        <v>3952</v>
      </c>
      <c r="L584" s="97"/>
      <c r="M584" s="76"/>
      <c r="N584" s="76"/>
      <c r="O584" s="77"/>
      <c r="P584" s="78"/>
      <c r="Q584" s="78"/>
      <c r="R584" s="92"/>
      <c r="S584" s="92"/>
      <c r="T584" s="92"/>
      <c r="U584" s="92"/>
      <c r="V584" s="52"/>
      <c r="W584" s="52"/>
      <c r="X584" s="52"/>
      <c r="Y584" s="52"/>
      <c r="Z584" s="51"/>
      <c r="AA584" s="73"/>
      <c r="AB584" s="73"/>
      <c r="AC584" s="74"/>
      <c r="AD584" s="81" t="s">
        <v>2471</v>
      </c>
      <c r="AE584" s="86" t="s">
        <v>2892</v>
      </c>
      <c r="AF584" s="81">
        <v>102</v>
      </c>
      <c r="AG584" s="81">
        <v>80</v>
      </c>
      <c r="AH584" s="81">
        <v>45</v>
      </c>
      <c r="AI584" s="81">
        <v>29</v>
      </c>
      <c r="AJ584" s="81"/>
      <c r="AK584" s="81"/>
      <c r="AL584" s="81"/>
      <c r="AM584" s="81"/>
      <c r="AN584" s="81"/>
      <c r="AO584" s="83">
        <v>44207.505266203705</v>
      </c>
      <c r="AP584" s="84" t="str">
        <f>HYPERLINK("https://pbs.twimg.com/profile_banners/1348602344666062848/1629613981")</f>
        <v>https://pbs.twimg.com/profile_banners/1348602344666062848/1629613981</v>
      </c>
      <c r="AQ584" s="81" t="b">
        <v>1</v>
      </c>
      <c r="AR584" s="81" t="b">
        <v>0</v>
      </c>
      <c r="AS584" s="81" t="b">
        <v>0</v>
      </c>
      <c r="AT584" s="81"/>
      <c r="AU584" s="81">
        <v>0</v>
      </c>
      <c r="AV584" s="81"/>
      <c r="AW584" s="81" t="b">
        <v>0</v>
      </c>
      <c r="AX584" s="81" t="s">
        <v>3728</v>
      </c>
      <c r="AY584" s="84" t="str">
        <f>HYPERLINK("https://twitter.com/iyenstars")</f>
        <v>https://twitter.com/iyenstars</v>
      </c>
      <c r="AZ584" s="81" t="s">
        <v>66</v>
      </c>
      <c r="BA584" s="2"/>
      <c r="BB584" s="3"/>
      <c r="BC584" s="3"/>
      <c r="BD584" s="3"/>
      <c r="BE584" s="3"/>
    </row>
    <row r="585" spans="1:57" x14ac:dyDescent="0.35">
      <c r="A585" s="66" t="s">
        <v>4414</v>
      </c>
      <c r="B585" s="67"/>
      <c r="C585" s="67"/>
      <c r="D585" s="68"/>
      <c r="E585" s="94"/>
      <c r="F585" s="93" t="str">
        <f>HYPERLINK("https://pbs.twimg.com/profile_images/1223085844673761280/y-IeOUhY_normal.jpg")</f>
        <v>https://pbs.twimg.com/profile_images/1223085844673761280/y-IeOUhY_normal.jpg</v>
      </c>
      <c r="G585" s="95"/>
      <c r="H585" s="71"/>
      <c r="I585" s="72"/>
      <c r="J585" s="96"/>
      <c r="K585" s="71" t="s">
        <v>11749</v>
      </c>
      <c r="L585" s="97"/>
      <c r="M585" s="76"/>
      <c r="N585" s="76"/>
      <c r="O585" s="77"/>
      <c r="P585" s="78"/>
      <c r="Q585" s="78"/>
      <c r="R585" s="92"/>
      <c r="S585" s="92"/>
      <c r="T585" s="92"/>
      <c r="U585" s="92"/>
      <c r="V585" s="52"/>
      <c r="W585" s="52"/>
      <c r="X585" s="52"/>
      <c r="Y585" s="52"/>
      <c r="Z585" s="51"/>
      <c r="AA585" s="73"/>
      <c r="AB585" s="73"/>
      <c r="AC585" s="74"/>
      <c r="AD585" s="81" t="s">
        <v>8376</v>
      </c>
      <c r="AE585" s="86" t="s">
        <v>9393</v>
      </c>
      <c r="AF585" s="81">
        <v>1502</v>
      </c>
      <c r="AG585" s="81">
        <v>2485</v>
      </c>
      <c r="AH585" s="81">
        <v>116096</v>
      </c>
      <c r="AI585" s="81">
        <v>158739</v>
      </c>
      <c r="AJ585" s="81"/>
      <c r="AK585" s="81" t="s">
        <v>10353</v>
      </c>
      <c r="AL585" s="81" t="s">
        <v>10985</v>
      </c>
      <c r="AM585" s="81"/>
      <c r="AN585" s="81"/>
      <c r="AO585" s="83">
        <v>43322.164131944446</v>
      </c>
      <c r="AP585" s="84" t="str">
        <f>HYPERLINK("https://pbs.twimg.com/profile_banners/1027765568814899201/1542415962")</f>
        <v>https://pbs.twimg.com/profile_banners/1027765568814899201/1542415962</v>
      </c>
      <c r="AQ585" s="81" t="b">
        <v>1</v>
      </c>
      <c r="AR585" s="81" t="b">
        <v>0</v>
      </c>
      <c r="AS585" s="81" t="b">
        <v>1</v>
      </c>
      <c r="AT585" s="81"/>
      <c r="AU585" s="81">
        <v>0</v>
      </c>
      <c r="AV585" s="81"/>
      <c r="AW585" s="81" t="b">
        <v>0</v>
      </c>
      <c r="AX585" s="81" t="s">
        <v>3728</v>
      </c>
      <c r="AY585" s="84" t="str">
        <f>HYPERLINK("https://twitter.com/voliaalmeida")</f>
        <v>https://twitter.com/voliaalmeida</v>
      </c>
      <c r="AZ585" s="81" t="s">
        <v>66</v>
      </c>
      <c r="BA585" s="2"/>
      <c r="BB585" s="3"/>
      <c r="BC585" s="3"/>
      <c r="BD585" s="3"/>
      <c r="BE585" s="3"/>
    </row>
    <row r="586" spans="1:57" x14ac:dyDescent="0.35">
      <c r="A586" s="66" t="s">
        <v>5075</v>
      </c>
      <c r="B586" s="67"/>
      <c r="C586" s="67"/>
      <c r="D586" s="68"/>
      <c r="E586" s="94"/>
      <c r="F586" s="93" t="str">
        <f>HYPERLINK("https://pbs.twimg.com/profile_images/1363939416021102594/7dXVr6bz_normal.jpg")</f>
        <v>https://pbs.twimg.com/profile_images/1363939416021102594/7dXVr6bz_normal.jpg</v>
      </c>
      <c r="G586" s="95"/>
      <c r="H586" s="71"/>
      <c r="I586" s="72"/>
      <c r="J586" s="96"/>
      <c r="K586" s="71" t="s">
        <v>11750</v>
      </c>
      <c r="L586" s="97"/>
      <c r="M586" s="76"/>
      <c r="N586" s="76"/>
      <c r="O586" s="77"/>
      <c r="P586" s="78"/>
      <c r="Q586" s="78"/>
      <c r="R586" s="92"/>
      <c r="S586" s="92"/>
      <c r="T586" s="92"/>
      <c r="U586" s="92"/>
      <c r="V586" s="52"/>
      <c r="W586" s="52"/>
      <c r="X586" s="52"/>
      <c r="Y586" s="52"/>
      <c r="Z586" s="51"/>
      <c r="AA586" s="73"/>
      <c r="AB586" s="73"/>
      <c r="AC586" s="74"/>
      <c r="AD586" s="81" t="s">
        <v>8377</v>
      </c>
      <c r="AE586" s="86" t="s">
        <v>9394</v>
      </c>
      <c r="AF586" s="81">
        <v>449</v>
      </c>
      <c r="AG586" s="81">
        <v>129842</v>
      </c>
      <c r="AH586" s="81">
        <v>2741</v>
      </c>
      <c r="AI586" s="81">
        <v>4052</v>
      </c>
      <c r="AJ586" s="81"/>
      <c r="AK586" s="81" t="s">
        <v>10354</v>
      </c>
      <c r="AL586" s="81" t="s">
        <v>10975</v>
      </c>
      <c r="AM586" s="84" t="str">
        <f>HYPERLINK("https://t.co/bEbeiz4aGN")</f>
        <v>https://t.co/bEbeiz4aGN</v>
      </c>
      <c r="AN586" s="81"/>
      <c r="AO586" s="83">
        <v>44045.929745370369</v>
      </c>
      <c r="AP586" s="84" t="str">
        <f>HYPERLINK("https://pbs.twimg.com/profile_banners/1290049409993117696/1604583102")</f>
        <v>https://pbs.twimg.com/profile_banners/1290049409993117696/1604583102</v>
      </c>
      <c r="AQ586" s="81" t="b">
        <v>1</v>
      </c>
      <c r="AR586" s="81" t="b">
        <v>0</v>
      </c>
      <c r="AS586" s="81" t="b">
        <v>1</v>
      </c>
      <c r="AT586" s="81"/>
      <c r="AU586" s="81">
        <v>221</v>
      </c>
      <c r="AV586" s="81"/>
      <c r="AW586" s="81" t="b">
        <v>0</v>
      </c>
      <c r="AX586" s="81" t="s">
        <v>3728</v>
      </c>
      <c r="AY586" s="84" t="str">
        <f>HYPERLINK("https://twitter.com/bernardokuster2")</f>
        <v>https://twitter.com/bernardokuster2</v>
      </c>
      <c r="AZ586" s="81" t="s">
        <v>65</v>
      </c>
      <c r="BA586" s="2"/>
      <c r="BB586" s="3"/>
      <c r="BC586" s="3"/>
      <c r="BD586" s="3"/>
      <c r="BE586" s="3"/>
    </row>
    <row r="587" spans="1:57" x14ac:dyDescent="0.35">
      <c r="A587" s="66" t="s">
        <v>5076</v>
      </c>
      <c r="B587" s="67"/>
      <c r="C587" s="67"/>
      <c r="D587" s="68"/>
      <c r="E587" s="94"/>
      <c r="F587" s="93" t="str">
        <f>HYPERLINK("https://pbs.twimg.com/profile_images/1269709581695045635/tY0sqyhn_normal.jpg")</f>
        <v>https://pbs.twimg.com/profile_images/1269709581695045635/tY0sqyhn_normal.jpg</v>
      </c>
      <c r="G587" s="95"/>
      <c r="H587" s="71"/>
      <c r="I587" s="72"/>
      <c r="J587" s="96"/>
      <c r="K587" s="71" t="s">
        <v>11751</v>
      </c>
      <c r="L587" s="97"/>
      <c r="M587" s="76"/>
      <c r="N587" s="76"/>
      <c r="O587" s="77"/>
      <c r="P587" s="78"/>
      <c r="Q587" s="78"/>
      <c r="R587" s="92"/>
      <c r="S587" s="92"/>
      <c r="T587" s="92"/>
      <c r="U587" s="92"/>
      <c r="V587" s="52"/>
      <c r="W587" s="52"/>
      <c r="X587" s="52"/>
      <c r="Y587" s="52"/>
      <c r="Z587" s="51"/>
      <c r="AA587" s="73"/>
      <c r="AB587" s="73"/>
      <c r="AC587" s="74"/>
      <c r="AD587" s="81" t="s">
        <v>8378</v>
      </c>
      <c r="AE587" s="86" t="s">
        <v>9395</v>
      </c>
      <c r="AF587" s="81">
        <v>1033</v>
      </c>
      <c r="AG587" s="81">
        <v>3415</v>
      </c>
      <c r="AH587" s="81">
        <v>29692</v>
      </c>
      <c r="AI587" s="81">
        <v>29391</v>
      </c>
      <c r="AJ587" s="81"/>
      <c r="AK587" s="81" t="s">
        <v>10355</v>
      </c>
      <c r="AL587" s="81"/>
      <c r="AM587" s="81"/>
      <c r="AN587" s="81"/>
      <c r="AO587" s="83">
        <v>43345.609618055554</v>
      </c>
      <c r="AP587" s="84" t="str">
        <f>HYPERLINK("https://pbs.twimg.com/profile_banners/1036261928241426434/1623013519")</f>
        <v>https://pbs.twimg.com/profile_banners/1036261928241426434/1623013519</v>
      </c>
      <c r="AQ587" s="81" t="b">
        <v>0</v>
      </c>
      <c r="AR587" s="81" t="b">
        <v>0</v>
      </c>
      <c r="AS587" s="81" t="b">
        <v>0</v>
      </c>
      <c r="AT587" s="81"/>
      <c r="AU587" s="81">
        <v>11</v>
      </c>
      <c r="AV587" s="84" t="str">
        <f>HYPERLINK("https://abs.twimg.com/images/themes/theme1/bg.png")</f>
        <v>https://abs.twimg.com/images/themes/theme1/bg.png</v>
      </c>
      <c r="AW587" s="81" t="b">
        <v>0</v>
      </c>
      <c r="AX587" s="81" t="s">
        <v>3728</v>
      </c>
      <c r="AY587" s="84" t="str">
        <f>HYPERLINK("https://twitter.com/liambourn")</f>
        <v>https://twitter.com/liambourn</v>
      </c>
      <c r="AZ587" s="81" t="s">
        <v>65</v>
      </c>
      <c r="BA587" s="2"/>
      <c r="BB587" s="3"/>
      <c r="BC587" s="3"/>
      <c r="BD587" s="3"/>
      <c r="BE587" s="3"/>
    </row>
    <row r="588" spans="1:57" x14ac:dyDescent="0.35">
      <c r="A588" s="66" t="s">
        <v>5077</v>
      </c>
      <c r="B588" s="67"/>
      <c r="C588" s="67"/>
      <c r="D588" s="68"/>
      <c r="E588" s="94"/>
      <c r="F588" s="93" t="str">
        <f>HYPERLINK("https://pbs.twimg.com/profile_images/1245702797452025856/TRCMkn_e_normal.jpg")</f>
        <v>https://pbs.twimg.com/profile_images/1245702797452025856/TRCMkn_e_normal.jpg</v>
      </c>
      <c r="G588" s="95"/>
      <c r="H588" s="71"/>
      <c r="I588" s="72"/>
      <c r="J588" s="96"/>
      <c r="K588" s="71" t="s">
        <v>11752</v>
      </c>
      <c r="L588" s="97"/>
      <c r="M588" s="76"/>
      <c r="N588" s="76"/>
      <c r="O588" s="77"/>
      <c r="P588" s="78"/>
      <c r="Q588" s="78"/>
      <c r="R588" s="92"/>
      <c r="S588" s="92"/>
      <c r="T588" s="92"/>
      <c r="U588" s="92"/>
      <c r="V588" s="52"/>
      <c r="W588" s="52"/>
      <c r="X588" s="52"/>
      <c r="Y588" s="52"/>
      <c r="Z588" s="51"/>
      <c r="AA588" s="73"/>
      <c r="AB588" s="73"/>
      <c r="AC588" s="74"/>
      <c r="AD588" s="81" t="s">
        <v>8379</v>
      </c>
      <c r="AE588" s="86" t="s">
        <v>7855</v>
      </c>
      <c r="AF588" s="81">
        <v>1010</v>
      </c>
      <c r="AG588" s="81">
        <v>496</v>
      </c>
      <c r="AH588" s="81">
        <v>68841</v>
      </c>
      <c r="AI588" s="81">
        <v>172905</v>
      </c>
      <c r="AJ588" s="81"/>
      <c r="AK588" s="81" t="s">
        <v>10356</v>
      </c>
      <c r="AL588" s="81"/>
      <c r="AM588" s="81"/>
      <c r="AN588" s="81"/>
      <c r="AO588" s="83">
        <v>40134.15896990741</v>
      </c>
      <c r="AP588" s="84" t="str">
        <f>HYPERLINK("https://pbs.twimg.com/profile_banners/90556761/1585834681")</f>
        <v>https://pbs.twimg.com/profile_banners/90556761/1585834681</v>
      </c>
      <c r="AQ588" s="81" t="b">
        <v>1</v>
      </c>
      <c r="AR588" s="81" t="b">
        <v>0</v>
      </c>
      <c r="AS588" s="81" t="b">
        <v>0</v>
      </c>
      <c r="AT588" s="81"/>
      <c r="AU588" s="81">
        <v>0</v>
      </c>
      <c r="AV588" s="84" t="str">
        <f>HYPERLINK("https://abs.twimg.com/images/themes/theme1/bg.png")</f>
        <v>https://abs.twimg.com/images/themes/theme1/bg.png</v>
      </c>
      <c r="AW588" s="81" t="b">
        <v>0</v>
      </c>
      <c r="AX588" s="81" t="s">
        <v>3728</v>
      </c>
      <c r="AY588" s="84" t="str">
        <f>HYPERLINK("https://twitter.com/tato_rj")</f>
        <v>https://twitter.com/tato_rj</v>
      </c>
      <c r="AZ588" s="81" t="s">
        <v>65</v>
      </c>
      <c r="BA588" s="2"/>
      <c r="BB588" s="3"/>
      <c r="BC588" s="3"/>
      <c r="BD588" s="3"/>
      <c r="BE588" s="3"/>
    </row>
    <row r="589" spans="1:57" x14ac:dyDescent="0.35">
      <c r="A589" s="66" t="s">
        <v>411</v>
      </c>
      <c r="B589" s="67"/>
      <c r="C589" s="67"/>
      <c r="D589" s="68"/>
      <c r="E589" s="94"/>
      <c r="F589" s="93" t="str">
        <f>HYPERLINK("https://pbs.twimg.com/profile_images/1412073242286641152/9aetRgF5_normal.jpg")</f>
        <v>https://pbs.twimg.com/profile_images/1412073242286641152/9aetRgF5_normal.jpg</v>
      </c>
      <c r="G589" s="95"/>
      <c r="H589" s="71"/>
      <c r="I589" s="72"/>
      <c r="J589" s="96"/>
      <c r="K589" s="71" t="s">
        <v>3953</v>
      </c>
      <c r="L589" s="97"/>
      <c r="M589" s="76"/>
      <c r="N589" s="76"/>
      <c r="O589" s="77"/>
      <c r="P589" s="78"/>
      <c r="Q589" s="78"/>
      <c r="R589" s="92"/>
      <c r="S589" s="92"/>
      <c r="T589" s="92"/>
      <c r="U589" s="92"/>
      <c r="V589" s="52"/>
      <c r="W589" s="52"/>
      <c r="X589" s="52"/>
      <c r="Y589" s="52"/>
      <c r="Z589" s="51"/>
      <c r="AA589" s="73"/>
      <c r="AB589" s="73"/>
      <c r="AC589" s="74"/>
      <c r="AD589" s="81" t="s">
        <v>2472</v>
      </c>
      <c r="AE589" s="86" t="s">
        <v>2893</v>
      </c>
      <c r="AF589" s="81">
        <v>54</v>
      </c>
      <c r="AG589" s="81">
        <v>7</v>
      </c>
      <c r="AH589" s="81">
        <v>99</v>
      </c>
      <c r="AI589" s="81">
        <v>144</v>
      </c>
      <c r="AJ589" s="81"/>
      <c r="AK589" s="81" t="s">
        <v>3302</v>
      </c>
      <c r="AL589" s="81"/>
      <c r="AM589" s="81"/>
      <c r="AN589" s="81"/>
      <c r="AO589" s="83">
        <v>44327.973333333335</v>
      </c>
      <c r="AP589" s="84" t="str">
        <f>HYPERLINK("https://pbs.twimg.com/profile_banners/1392258574688997382/1632227106")</f>
        <v>https://pbs.twimg.com/profile_banners/1392258574688997382/1632227106</v>
      </c>
      <c r="AQ589" s="81" t="b">
        <v>1</v>
      </c>
      <c r="AR589" s="81" t="b">
        <v>0</v>
      </c>
      <c r="AS589" s="81" t="b">
        <v>0</v>
      </c>
      <c r="AT589" s="81"/>
      <c r="AU589" s="81">
        <v>0</v>
      </c>
      <c r="AV589" s="81"/>
      <c r="AW589" s="81" t="b">
        <v>0</v>
      </c>
      <c r="AX589" s="81" t="s">
        <v>3728</v>
      </c>
      <c r="AY589" s="84" t="str">
        <f>HYPERLINK("https://twitter.com/cthe0luvr")</f>
        <v>https://twitter.com/cthe0luvr</v>
      </c>
      <c r="AZ589" s="81" t="s">
        <v>66</v>
      </c>
      <c r="BA589" s="2"/>
      <c r="BB589" s="3"/>
      <c r="BC589" s="3"/>
      <c r="BD589" s="3"/>
      <c r="BE589" s="3"/>
    </row>
    <row r="590" spans="1:57" x14ac:dyDescent="0.35">
      <c r="A590" s="66" t="s">
        <v>412</v>
      </c>
      <c r="B590" s="67"/>
      <c r="C590" s="67"/>
      <c r="D590" s="68"/>
      <c r="E590" s="94"/>
      <c r="F590" s="93" t="str">
        <f>HYPERLINK("https://pbs.twimg.com/profile_images/1439437047396282374/mcFO4rGG_normal.jpg")</f>
        <v>https://pbs.twimg.com/profile_images/1439437047396282374/mcFO4rGG_normal.jpg</v>
      </c>
      <c r="G590" s="95"/>
      <c r="H590" s="71"/>
      <c r="I590" s="72"/>
      <c r="J590" s="96"/>
      <c r="K590" s="71" t="s">
        <v>3954</v>
      </c>
      <c r="L590" s="97"/>
      <c r="M590" s="76"/>
      <c r="N590" s="76"/>
      <c r="O590" s="77"/>
      <c r="P590" s="78"/>
      <c r="Q590" s="78"/>
      <c r="R590" s="92"/>
      <c r="S590" s="92"/>
      <c r="T590" s="92"/>
      <c r="U590" s="92"/>
      <c r="V590" s="52"/>
      <c r="W590" s="52"/>
      <c r="X590" s="52"/>
      <c r="Y590" s="52"/>
      <c r="Z590" s="51"/>
      <c r="AA590" s="73"/>
      <c r="AB590" s="73"/>
      <c r="AC590" s="74"/>
      <c r="AD590" s="81" t="s">
        <v>2473</v>
      </c>
      <c r="AE590" s="86" t="s">
        <v>2121</v>
      </c>
      <c r="AF590" s="81">
        <v>257</v>
      </c>
      <c r="AG590" s="81">
        <v>164</v>
      </c>
      <c r="AH590" s="81">
        <v>3938</v>
      </c>
      <c r="AI590" s="81">
        <v>1279</v>
      </c>
      <c r="AJ590" s="81"/>
      <c r="AK590" s="81"/>
      <c r="AL590" s="81"/>
      <c r="AM590" s="81"/>
      <c r="AN590" s="81"/>
      <c r="AO590" s="83">
        <v>44161.310717592591</v>
      </c>
      <c r="AP590" s="84" t="str">
        <f>HYPERLINK("https://pbs.twimg.com/profile_banners/1331862071273656320/1621275299")</f>
        <v>https://pbs.twimg.com/profile_banners/1331862071273656320/1621275299</v>
      </c>
      <c r="AQ590" s="81" t="b">
        <v>1</v>
      </c>
      <c r="AR590" s="81" t="b">
        <v>0</v>
      </c>
      <c r="AS590" s="81" t="b">
        <v>1</v>
      </c>
      <c r="AT590" s="81"/>
      <c r="AU590" s="81">
        <v>0</v>
      </c>
      <c r="AV590" s="81"/>
      <c r="AW590" s="81" t="b">
        <v>0</v>
      </c>
      <c r="AX590" s="81" t="s">
        <v>3728</v>
      </c>
      <c r="AY590" s="84" t="str">
        <f>HYPERLINK("https://twitter.com/briankhis")</f>
        <v>https://twitter.com/briankhis</v>
      </c>
      <c r="AZ590" s="81" t="s">
        <v>66</v>
      </c>
      <c r="BA590" s="2"/>
      <c r="BB590" s="3"/>
      <c r="BC590" s="3"/>
      <c r="BD590" s="3"/>
      <c r="BE590" s="3"/>
    </row>
    <row r="591" spans="1:57" x14ac:dyDescent="0.35">
      <c r="A591" s="66" t="s">
        <v>413</v>
      </c>
      <c r="B591" s="67"/>
      <c r="C591" s="67"/>
      <c r="D591" s="68"/>
      <c r="E591" s="94"/>
      <c r="F591" s="93" t="str">
        <f>HYPERLINK("https://pbs.twimg.com/profile_images/1436728340748980228/BbUga0Sv_normal.jpg")</f>
        <v>https://pbs.twimg.com/profile_images/1436728340748980228/BbUga0Sv_normal.jpg</v>
      </c>
      <c r="G591" s="95"/>
      <c r="H591" s="71"/>
      <c r="I591" s="72"/>
      <c r="J591" s="96"/>
      <c r="K591" s="71" t="s">
        <v>3955</v>
      </c>
      <c r="L591" s="97"/>
      <c r="M591" s="76"/>
      <c r="N591" s="76"/>
      <c r="O591" s="77"/>
      <c r="P591" s="78"/>
      <c r="Q591" s="78"/>
      <c r="R591" s="92"/>
      <c r="S591" s="92"/>
      <c r="T591" s="92"/>
      <c r="U591" s="92"/>
      <c r="V591" s="52"/>
      <c r="W591" s="52"/>
      <c r="X591" s="52"/>
      <c r="Y591" s="52"/>
      <c r="Z591" s="51"/>
      <c r="AA591" s="73"/>
      <c r="AB591" s="73"/>
      <c r="AC591" s="74"/>
      <c r="AD591" s="81" t="s">
        <v>2474</v>
      </c>
      <c r="AE591" s="86" t="s">
        <v>2894</v>
      </c>
      <c r="AF591" s="81">
        <v>1766</v>
      </c>
      <c r="AG591" s="81">
        <v>4682</v>
      </c>
      <c r="AH591" s="81">
        <v>31008</v>
      </c>
      <c r="AI591" s="81">
        <v>8493</v>
      </c>
      <c r="AJ591" s="81"/>
      <c r="AK591" s="81" t="s">
        <v>3303</v>
      </c>
      <c r="AL591" s="81"/>
      <c r="AM591" s="84" t="str">
        <f>HYPERLINK("https://t.co/GN9FKoLHdE")</f>
        <v>https://t.co/GN9FKoLHdE</v>
      </c>
      <c r="AN591" s="81"/>
      <c r="AO591" s="83">
        <v>41598.402569444443</v>
      </c>
      <c r="AP591" s="84" t="str">
        <f>HYPERLINK("https://pbs.twimg.com/profile_banners/2204607402/1630520243")</f>
        <v>https://pbs.twimg.com/profile_banners/2204607402/1630520243</v>
      </c>
      <c r="AQ591" s="81" t="b">
        <v>1</v>
      </c>
      <c r="AR591" s="81" t="b">
        <v>0</v>
      </c>
      <c r="AS591" s="81" t="b">
        <v>0</v>
      </c>
      <c r="AT591" s="81"/>
      <c r="AU591" s="81">
        <v>7</v>
      </c>
      <c r="AV591" s="84" t="str">
        <f>HYPERLINK("https://abs.twimg.com/images/themes/theme1/bg.png")</f>
        <v>https://abs.twimg.com/images/themes/theme1/bg.png</v>
      </c>
      <c r="AW591" s="81" t="b">
        <v>0</v>
      </c>
      <c r="AX591" s="81" t="s">
        <v>3728</v>
      </c>
      <c r="AY591" s="84" t="str">
        <f>HYPERLINK("https://twitter.com/ainthesame")</f>
        <v>https://twitter.com/ainthesame</v>
      </c>
      <c r="AZ591" s="81" t="s">
        <v>66</v>
      </c>
      <c r="BA591" s="2"/>
      <c r="BB591" s="3"/>
      <c r="BC591" s="3"/>
      <c r="BD591" s="3"/>
      <c r="BE591" s="3"/>
    </row>
    <row r="592" spans="1:57" x14ac:dyDescent="0.35">
      <c r="A592" s="66" t="s">
        <v>4415</v>
      </c>
      <c r="B592" s="67"/>
      <c r="C592" s="67"/>
      <c r="D592" s="68"/>
      <c r="E592" s="94"/>
      <c r="F592" s="93" t="str">
        <f>HYPERLINK("https://pbs.twimg.com/profile_images/1374384662500364298/WOIzjH1Q_normal.jpg")</f>
        <v>https://pbs.twimg.com/profile_images/1374384662500364298/WOIzjH1Q_normal.jpg</v>
      </c>
      <c r="G592" s="95"/>
      <c r="H592" s="71"/>
      <c r="I592" s="72"/>
      <c r="J592" s="96"/>
      <c r="K592" s="71" t="s">
        <v>11753</v>
      </c>
      <c r="L592" s="97"/>
      <c r="M592" s="76"/>
      <c r="N592" s="76"/>
      <c r="O592" s="77"/>
      <c r="P592" s="78"/>
      <c r="Q592" s="78"/>
      <c r="R592" s="92"/>
      <c r="S592" s="92"/>
      <c r="T592" s="92"/>
      <c r="U592" s="92"/>
      <c r="V592" s="52"/>
      <c r="W592" s="52"/>
      <c r="X592" s="52"/>
      <c r="Y592" s="52"/>
      <c r="Z592" s="51"/>
      <c r="AA592" s="73"/>
      <c r="AB592" s="73"/>
      <c r="AC592" s="74"/>
      <c r="AD592" s="81" t="s">
        <v>8380</v>
      </c>
      <c r="AE592" s="86" t="s">
        <v>9396</v>
      </c>
      <c r="AF592" s="81">
        <v>3</v>
      </c>
      <c r="AG592" s="81">
        <v>952</v>
      </c>
      <c r="AH592" s="81">
        <v>3386</v>
      </c>
      <c r="AI592" s="81">
        <v>114</v>
      </c>
      <c r="AJ592" s="81"/>
      <c r="AK592" s="81" t="s">
        <v>10357</v>
      </c>
      <c r="AL592" s="81" t="s">
        <v>11130</v>
      </c>
      <c r="AM592" s="81"/>
      <c r="AN592" s="81"/>
      <c r="AO592" s="83">
        <v>44173.706238425926</v>
      </c>
      <c r="AP592" s="84" t="str">
        <f>HYPERLINK("https://pbs.twimg.com/profile_banners/1336353870264471552/1607521925")</f>
        <v>https://pbs.twimg.com/profile_banners/1336353870264471552/1607521925</v>
      </c>
      <c r="AQ592" s="81" t="b">
        <v>1</v>
      </c>
      <c r="AR592" s="81" t="b">
        <v>0</v>
      </c>
      <c r="AS592" s="81" t="b">
        <v>0</v>
      </c>
      <c r="AT592" s="81"/>
      <c r="AU592" s="81">
        <v>2</v>
      </c>
      <c r="AV592" s="81"/>
      <c r="AW592" s="81" t="b">
        <v>0</v>
      </c>
      <c r="AX592" s="81" t="s">
        <v>3728</v>
      </c>
      <c r="AY592" s="84" t="str">
        <f>HYPERLINK("https://twitter.com/ateezmall_my")</f>
        <v>https://twitter.com/ateezmall_my</v>
      </c>
      <c r="AZ592" s="81" t="s">
        <v>66</v>
      </c>
      <c r="BA592" s="2"/>
      <c r="BB592" s="3"/>
      <c r="BC592" s="3"/>
      <c r="BD592" s="3"/>
      <c r="BE592" s="3"/>
    </row>
    <row r="593" spans="1:57" x14ac:dyDescent="0.35">
      <c r="A593" s="66" t="s">
        <v>4416</v>
      </c>
      <c r="B593" s="67"/>
      <c r="C593" s="67"/>
      <c r="D593" s="68"/>
      <c r="E593" s="94"/>
      <c r="F593" s="93" t="str">
        <f>HYPERLINK("https://pbs.twimg.com/profile_images/1413786043623649280/nhwcF7pP_normal.jpg")</f>
        <v>https://pbs.twimg.com/profile_images/1413786043623649280/nhwcF7pP_normal.jpg</v>
      </c>
      <c r="G593" s="95"/>
      <c r="H593" s="71"/>
      <c r="I593" s="72"/>
      <c r="J593" s="96"/>
      <c r="K593" s="71" t="s">
        <v>11754</v>
      </c>
      <c r="L593" s="97"/>
      <c r="M593" s="76"/>
      <c r="N593" s="76"/>
      <c r="O593" s="77"/>
      <c r="P593" s="78"/>
      <c r="Q593" s="78"/>
      <c r="R593" s="92"/>
      <c r="S593" s="92"/>
      <c r="T593" s="92"/>
      <c r="U593" s="92"/>
      <c r="V593" s="52"/>
      <c r="W593" s="52"/>
      <c r="X593" s="52"/>
      <c r="Y593" s="52"/>
      <c r="Z593" s="51"/>
      <c r="AA593" s="73"/>
      <c r="AB593" s="73"/>
      <c r="AC593" s="74"/>
      <c r="AD593" s="81" t="s">
        <v>3508</v>
      </c>
      <c r="AE593" s="86" t="s">
        <v>9397</v>
      </c>
      <c r="AF593" s="81">
        <v>7</v>
      </c>
      <c r="AG593" s="81">
        <v>789</v>
      </c>
      <c r="AH593" s="81">
        <v>3269</v>
      </c>
      <c r="AI593" s="81">
        <v>8</v>
      </c>
      <c r="AJ593" s="81"/>
      <c r="AK593" s="81" t="s">
        <v>10358</v>
      </c>
      <c r="AL593" s="81" t="s">
        <v>11131</v>
      </c>
      <c r="AM593" s="81"/>
      <c r="AN593" s="81"/>
      <c r="AO593" s="83">
        <v>44115.456608796296</v>
      </c>
      <c r="AP593" s="84" t="str">
        <f>HYPERLINK("https://pbs.twimg.com/profile_banners/1315245043783880704/1625907843")</f>
        <v>https://pbs.twimg.com/profile_banners/1315245043783880704/1625907843</v>
      </c>
      <c r="AQ593" s="81" t="b">
        <v>1</v>
      </c>
      <c r="AR593" s="81" t="b">
        <v>0</v>
      </c>
      <c r="AS593" s="81" t="b">
        <v>0</v>
      </c>
      <c r="AT593" s="81"/>
      <c r="AU593" s="81">
        <v>1</v>
      </c>
      <c r="AV593" s="81"/>
      <c r="AW593" s="81" t="b">
        <v>0</v>
      </c>
      <c r="AX593" s="81" t="s">
        <v>3728</v>
      </c>
      <c r="AY593" s="84" t="str">
        <f>HYPERLINK("https://twitter.com/ateezselling_my")</f>
        <v>https://twitter.com/ateezselling_my</v>
      </c>
      <c r="AZ593" s="81" t="s">
        <v>66</v>
      </c>
      <c r="BA593" s="2"/>
      <c r="BB593" s="3"/>
      <c r="BC593" s="3"/>
      <c r="BD593" s="3"/>
      <c r="BE593" s="3"/>
    </row>
    <row r="594" spans="1:57" x14ac:dyDescent="0.35">
      <c r="A594" s="66" t="s">
        <v>4417</v>
      </c>
      <c r="B594" s="67"/>
      <c r="C594" s="67"/>
      <c r="D594" s="68"/>
      <c r="E594" s="94"/>
      <c r="F594" s="93" t="str">
        <f>HYPERLINK("https://pbs.twimg.com/profile_images/378800000214509608/4338c4399f3922c4855c9c376c3467df_normal.jpeg")</f>
        <v>https://pbs.twimg.com/profile_images/378800000214509608/4338c4399f3922c4855c9c376c3467df_normal.jpeg</v>
      </c>
      <c r="G594" s="95"/>
      <c r="H594" s="71"/>
      <c r="I594" s="72"/>
      <c r="J594" s="96"/>
      <c r="K594" s="71" t="s">
        <v>11755</v>
      </c>
      <c r="L594" s="97"/>
      <c r="M594" s="76"/>
      <c r="N594" s="76"/>
      <c r="O594" s="77"/>
      <c r="P594" s="78"/>
      <c r="Q594" s="78"/>
      <c r="R594" s="92"/>
      <c r="S594" s="92"/>
      <c r="T594" s="92"/>
      <c r="U594" s="92"/>
      <c r="V594" s="52"/>
      <c r="W594" s="52"/>
      <c r="X594" s="52"/>
      <c r="Y594" s="52"/>
      <c r="Z594" s="51"/>
      <c r="AA594" s="73"/>
      <c r="AB594" s="73"/>
      <c r="AC594" s="74"/>
      <c r="AD594" s="81" t="s">
        <v>8381</v>
      </c>
      <c r="AE594" s="86" t="s">
        <v>9398</v>
      </c>
      <c r="AF594" s="81">
        <v>253</v>
      </c>
      <c r="AG594" s="81">
        <v>150</v>
      </c>
      <c r="AH594" s="81">
        <v>17196</v>
      </c>
      <c r="AI594" s="81">
        <v>4469</v>
      </c>
      <c r="AJ594" s="81"/>
      <c r="AK594" s="81"/>
      <c r="AL594" s="81"/>
      <c r="AM594" s="81"/>
      <c r="AN594" s="81"/>
      <c r="AO594" s="83">
        <v>41484.96533564815</v>
      </c>
      <c r="AP594" s="84" t="str">
        <f>HYPERLINK("https://pbs.twimg.com/profile_banners/1631494729/1624633071")</f>
        <v>https://pbs.twimg.com/profile_banners/1631494729/1624633071</v>
      </c>
      <c r="AQ594" s="81" t="b">
        <v>1</v>
      </c>
      <c r="AR594" s="81" t="b">
        <v>0</v>
      </c>
      <c r="AS594" s="81" t="b">
        <v>0</v>
      </c>
      <c r="AT594" s="81"/>
      <c r="AU594" s="81">
        <v>0</v>
      </c>
      <c r="AV594" s="84" t="str">
        <f>HYPERLINK("https://abs.twimg.com/images/themes/theme1/bg.png")</f>
        <v>https://abs.twimg.com/images/themes/theme1/bg.png</v>
      </c>
      <c r="AW594" s="81" t="b">
        <v>0</v>
      </c>
      <c r="AX594" s="81" t="s">
        <v>3728</v>
      </c>
      <c r="AY594" s="84" t="str">
        <f>HYPERLINK("https://twitter.com/santosdomansa")</f>
        <v>https://twitter.com/santosdomansa</v>
      </c>
      <c r="AZ594" s="81" t="s">
        <v>66</v>
      </c>
      <c r="BA594" s="2"/>
      <c r="BB594" s="3"/>
      <c r="BC594" s="3"/>
      <c r="BD594" s="3"/>
      <c r="BE594" s="3"/>
    </row>
    <row r="595" spans="1:57" x14ac:dyDescent="0.35">
      <c r="A595" s="66" t="s">
        <v>5035</v>
      </c>
      <c r="B595" s="67"/>
      <c r="C595" s="67"/>
      <c r="D595" s="68"/>
      <c r="E595" s="94"/>
      <c r="F595" s="93" t="str">
        <f>HYPERLINK("https://pbs.twimg.com/profile_images/2624910428/sw9r1nq7hlm97goc7s35_normal.jpeg")</f>
        <v>https://pbs.twimg.com/profile_images/2624910428/sw9r1nq7hlm97goc7s35_normal.jpeg</v>
      </c>
      <c r="G595" s="95"/>
      <c r="H595" s="71"/>
      <c r="I595" s="72"/>
      <c r="J595" s="96"/>
      <c r="K595" s="71" t="s">
        <v>11630</v>
      </c>
      <c r="L595" s="97"/>
      <c r="M595" s="76"/>
      <c r="N595" s="76"/>
      <c r="O595" s="77"/>
      <c r="P595" s="78"/>
      <c r="Q595" s="78"/>
      <c r="R595" s="92"/>
      <c r="S595" s="92"/>
      <c r="T595" s="92"/>
      <c r="U595" s="92"/>
      <c r="V595" s="52"/>
      <c r="W595" s="52"/>
      <c r="X595" s="52"/>
      <c r="Y595" s="52"/>
      <c r="Z595" s="51"/>
      <c r="AA595" s="73"/>
      <c r="AB595" s="73"/>
      <c r="AC595" s="74"/>
      <c r="AD595" s="81" t="s">
        <v>8262</v>
      </c>
      <c r="AE595" s="86" t="s">
        <v>7831</v>
      </c>
      <c r="AF595" s="81">
        <v>491</v>
      </c>
      <c r="AG595" s="81">
        <v>1109601</v>
      </c>
      <c r="AH595" s="81">
        <v>54742</v>
      </c>
      <c r="AI595" s="81">
        <v>295</v>
      </c>
      <c r="AJ595" s="81"/>
      <c r="AK595" s="81" t="s">
        <v>10265</v>
      </c>
      <c r="AL595" s="81" t="s">
        <v>11088</v>
      </c>
      <c r="AM595" s="84" t="str">
        <f>HYPERLINK("https://t.co/80W1nsSwSH")</f>
        <v>https://t.co/80W1nsSwSH</v>
      </c>
      <c r="AN595" s="81"/>
      <c r="AO595" s="83">
        <v>39803.649236111109</v>
      </c>
      <c r="AP595" s="84" t="str">
        <f>HYPERLINK("https://pbs.twimg.com/profile_banners/18286139/1497276119")</f>
        <v>https://pbs.twimg.com/profile_banners/18286139/1497276119</v>
      </c>
      <c r="AQ595" s="81" t="b">
        <v>0</v>
      </c>
      <c r="AR595" s="81" t="b">
        <v>0</v>
      </c>
      <c r="AS595" s="81" t="b">
        <v>1</v>
      </c>
      <c r="AT595" s="81"/>
      <c r="AU595" s="81">
        <v>3271</v>
      </c>
      <c r="AV595" s="84" t="str">
        <f>HYPERLINK("https://abs.twimg.com/images/themes/theme1/bg.png")</f>
        <v>https://abs.twimg.com/images/themes/theme1/bg.png</v>
      </c>
      <c r="AW595" s="81" t="b">
        <v>1</v>
      </c>
      <c r="AX595" s="81" t="s">
        <v>3728</v>
      </c>
      <c r="AY595" s="84" t="str">
        <f>HYPERLINK("https://twitter.com/reinaldoazevedo")</f>
        <v>https://twitter.com/reinaldoazevedo</v>
      </c>
      <c r="AZ595" s="81" t="s">
        <v>65</v>
      </c>
      <c r="BA595" s="2"/>
      <c r="BB595" s="3"/>
      <c r="BC595" s="3"/>
      <c r="BD595" s="3"/>
      <c r="BE595" s="3"/>
    </row>
    <row r="596" spans="1:57" x14ac:dyDescent="0.35">
      <c r="A596" s="66" t="s">
        <v>4499</v>
      </c>
      <c r="B596" s="67"/>
      <c r="C596" s="67"/>
      <c r="D596" s="68"/>
      <c r="E596" s="94"/>
      <c r="F596" s="93" t="str">
        <f>HYPERLINK("https://pbs.twimg.com/profile_images/1439310462504554500/Ctf1hM5F_normal.jpg")</f>
        <v>https://pbs.twimg.com/profile_images/1439310462504554500/Ctf1hM5F_normal.jpg</v>
      </c>
      <c r="G596" s="95"/>
      <c r="H596" s="71"/>
      <c r="I596" s="72"/>
      <c r="J596" s="96"/>
      <c r="K596" s="71" t="s">
        <v>11756</v>
      </c>
      <c r="L596" s="97"/>
      <c r="M596" s="76"/>
      <c r="N596" s="76"/>
      <c r="O596" s="77"/>
      <c r="P596" s="78"/>
      <c r="Q596" s="78"/>
      <c r="R596" s="92"/>
      <c r="S596" s="92"/>
      <c r="T596" s="92"/>
      <c r="U596" s="92"/>
      <c r="V596" s="52"/>
      <c r="W596" s="52"/>
      <c r="X596" s="52"/>
      <c r="Y596" s="52"/>
      <c r="Z596" s="51"/>
      <c r="AA596" s="73"/>
      <c r="AB596" s="73"/>
      <c r="AC596" s="74"/>
      <c r="AD596" s="81" t="s">
        <v>8382</v>
      </c>
      <c r="AE596" s="86" t="s">
        <v>9399</v>
      </c>
      <c r="AF596" s="81">
        <v>1527</v>
      </c>
      <c r="AG596" s="81">
        <v>1759</v>
      </c>
      <c r="AH596" s="81">
        <v>21788</v>
      </c>
      <c r="AI596" s="81">
        <v>160940</v>
      </c>
      <c r="AJ596" s="81"/>
      <c r="AK596" s="81" t="s">
        <v>10359</v>
      </c>
      <c r="AL596" s="81" t="s">
        <v>10975</v>
      </c>
      <c r="AM596" s="81"/>
      <c r="AN596" s="81"/>
      <c r="AO596" s="83">
        <v>43639.710949074077</v>
      </c>
      <c r="AP596" s="84" t="str">
        <f>HYPERLINK("https://pbs.twimg.com/profile_banners/1142840683302203401/1628795027")</f>
        <v>https://pbs.twimg.com/profile_banners/1142840683302203401/1628795027</v>
      </c>
      <c r="AQ596" s="81" t="b">
        <v>1</v>
      </c>
      <c r="AR596" s="81" t="b">
        <v>0</v>
      </c>
      <c r="AS596" s="81" t="b">
        <v>1</v>
      </c>
      <c r="AT596" s="81"/>
      <c r="AU596" s="81">
        <v>1</v>
      </c>
      <c r="AV596" s="81"/>
      <c r="AW596" s="81" t="b">
        <v>0</v>
      </c>
      <c r="AX596" s="81" t="s">
        <v>3728</v>
      </c>
      <c r="AY596" s="84" t="str">
        <f>HYPERLINK("https://twitter.com/analuz1503")</f>
        <v>https://twitter.com/analuz1503</v>
      </c>
      <c r="AZ596" s="81" t="s">
        <v>66</v>
      </c>
      <c r="BA596" s="2"/>
      <c r="BB596" s="3"/>
      <c r="BC596" s="3"/>
      <c r="BD596" s="3"/>
      <c r="BE596" s="3"/>
    </row>
    <row r="597" spans="1:57" x14ac:dyDescent="0.35">
      <c r="A597" s="66" t="s">
        <v>5078</v>
      </c>
      <c r="B597" s="67"/>
      <c r="C597" s="67"/>
      <c r="D597" s="68"/>
      <c r="E597" s="94"/>
      <c r="F597" s="93" t="str">
        <f>HYPERLINK("https://pbs.twimg.com/profile_images/1239756763391500288/23NpWZ1t_normal.jpg")</f>
        <v>https://pbs.twimg.com/profile_images/1239756763391500288/23NpWZ1t_normal.jpg</v>
      </c>
      <c r="G597" s="95"/>
      <c r="H597" s="71"/>
      <c r="I597" s="72"/>
      <c r="J597" s="96"/>
      <c r="K597" s="71" t="s">
        <v>11757</v>
      </c>
      <c r="L597" s="97"/>
      <c r="M597" s="76"/>
      <c r="N597" s="76"/>
      <c r="O597" s="77"/>
      <c r="P597" s="78"/>
      <c r="Q597" s="78"/>
      <c r="R597" s="92"/>
      <c r="S597" s="92"/>
      <c r="T597" s="92"/>
      <c r="U597" s="92"/>
      <c r="V597" s="52"/>
      <c r="W597" s="52"/>
      <c r="X597" s="52"/>
      <c r="Y597" s="52"/>
      <c r="Z597" s="51"/>
      <c r="AA597" s="73"/>
      <c r="AB597" s="73"/>
      <c r="AC597" s="74"/>
      <c r="AD597" s="81" t="s">
        <v>8383</v>
      </c>
      <c r="AE597" s="86" t="s">
        <v>7869</v>
      </c>
      <c r="AF597" s="81">
        <v>771</v>
      </c>
      <c r="AG597" s="81">
        <v>1753</v>
      </c>
      <c r="AH597" s="81">
        <v>12153</v>
      </c>
      <c r="AI597" s="81">
        <v>14591</v>
      </c>
      <c r="AJ597" s="81"/>
      <c r="AK597" s="81" t="s">
        <v>10360</v>
      </c>
      <c r="AL597" s="81"/>
      <c r="AM597" s="81"/>
      <c r="AN597" s="81"/>
      <c r="AO597" s="83">
        <v>43562.524375000001</v>
      </c>
      <c r="AP597" s="81"/>
      <c r="AQ597" s="81" t="b">
        <v>1</v>
      </c>
      <c r="AR597" s="81" t="b">
        <v>0</v>
      </c>
      <c r="AS597" s="81" t="b">
        <v>0</v>
      </c>
      <c r="AT597" s="81"/>
      <c r="AU597" s="81">
        <v>7</v>
      </c>
      <c r="AV597" s="81"/>
      <c r="AW597" s="81" t="b">
        <v>0</v>
      </c>
      <c r="AX597" s="81" t="s">
        <v>3728</v>
      </c>
      <c r="AY597" s="84" t="str">
        <f>HYPERLINK("https://twitter.com/democratabr")</f>
        <v>https://twitter.com/democratabr</v>
      </c>
      <c r="AZ597" s="81" t="s">
        <v>65</v>
      </c>
      <c r="BA597" s="2"/>
      <c r="BB597" s="3"/>
      <c r="BC597" s="3"/>
      <c r="BD597" s="3"/>
      <c r="BE597" s="3"/>
    </row>
    <row r="598" spans="1:57" x14ac:dyDescent="0.35">
      <c r="A598" s="66" t="s">
        <v>4418</v>
      </c>
      <c r="B598" s="67"/>
      <c r="C598" s="67"/>
      <c r="D598" s="68"/>
      <c r="E598" s="94"/>
      <c r="F598" s="93" t="str">
        <f>HYPERLINK("https://pbs.twimg.com/profile_images/896054972395044864/WVigqfE1_normal.jpg")</f>
        <v>https://pbs.twimg.com/profile_images/896054972395044864/WVigqfE1_normal.jpg</v>
      </c>
      <c r="G598" s="95"/>
      <c r="H598" s="71"/>
      <c r="I598" s="72"/>
      <c r="J598" s="96"/>
      <c r="K598" s="71" t="s">
        <v>11758</v>
      </c>
      <c r="L598" s="97"/>
      <c r="M598" s="76"/>
      <c r="N598" s="76"/>
      <c r="O598" s="77"/>
      <c r="P598" s="78"/>
      <c r="Q598" s="78"/>
      <c r="R598" s="92"/>
      <c r="S598" s="92"/>
      <c r="T598" s="92"/>
      <c r="U598" s="92"/>
      <c r="V598" s="52"/>
      <c r="W598" s="52"/>
      <c r="X598" s="52"/>
      <c r="Y598" s="52"/>
      <c r="Z598" s="51"/>
      <c r="AA598" s="73"/>
      <c r="AB598" s="73"/>
      <c r="AC598" s="74"/>
      <c r="AD598" s="81" t="s">
        <v>8384</v>
      </c>
      <c r="AE598" s="86" t="s">
        <v>9400</v>
      </c>
      <c r="AF598" s="81">
        <v>666</v>
      </c>
      <c r="AG598" s="81">
        <v>6078</v>
      </c>
      <c r="AH598" s="81">
        <v>24334</v>
      </c>
      <c r="AI598" s="81">
        <v>15156</v>
      </c>
      <c r="AJ598" s="81"/>
      <c r="AK598" s="81" t="s">
        <v>10361</v>
      </c>
      <c r="AL598" s="81" t="s">
        <v>11132</v>
      </c>
      <c r="AM598" s="84" t="str">
        <f>HYPERLINK("https://t.co/8vmdpaDC0l")</f>
        <v>https://t.co/8vmdpaDC0l</v>
      </c>
      <c r="AN598" s="81"/>
      <c r="AO598" s="83">
        <v>40059.848749999997</v>
      </c>
      <c r="AP598" s="84" t="str">
        <f>HYPERLINK("https://pbs.twimg.com/profile_banners/71349346/1502471094")</f>
        <v>https://pbs.twimg.com/profile_banners/71349346/1502471094</v>
      </c>
      <c r="AQ598" s="81" t="b">
        <v>0</v>
      </c>
      <c r="AR598" s="81" t="b">
        <v>0</v>
      </c>
      <c r="AS598" s="81" t="b">
        <v>0</v>
      </c>
      <c r="AT598" s="81"/>
      <c r="AU598" s="81">
        <v>313</v>
      </c>
      <c r="AV598" s="84" t="str">
        <f>HYPERLINK("https://abs.twimg.com/images/themes/theme9/bg.gif")</f>
        <v>https://abs.twimg.com/images/themes/theme9/bg.gif</v>
      </c>
      <c r="AW598" s="81" t="b">
        <v>0</v>
      </c>
      <c r="AX598" s="81" t="s">
        <v>3728</v>
      </c>
      <c r="AY598" s="84" t="str">
        <f>HYPERLINK("https://twitter.com/yuridiogenes")</f>
        <v>https://twitter.com/yuridiogenes</v>
      </c>
      <c r="AZ598" s="81" t="s">
        <v>66</v>
      </c>
      <c r="BA598" s="2"/>
      <c r="BB598" s="3"/>
      <c r="BC598" s="3"/>
      <c r="BD598" s="3"/>
      <c r="BE598" s="3"/>
    </row>
    <row r="599" spans="1:57" x14ac:dyDescent="0.35">
      <c r="A599" s="66" t="s">
        <v>414</v>
      </c>
      <c r="B599" s="67"/>
      <c r="C599" s="67"/>
      <c r="D599" s="68"/>
      <c r="E599" s="94"/>
      <c r="F599" s="93" t="str">
        <f>HYPERLINK("https://pbs.twimg.com/profile_images/1423454406217900032/DFW-q7HU_normal.jpg")</f>
        <v>https://pbs.twimg.com/profile_images/1423454406217900032/DFW-q7HU_normal.jpg</v>
      </c>
      <c r="G599" s="95"/>
      <c r="H599" s="71"/>
      <c r="I599" s="72"/>
      <c r="J599" s="96"/>
      <c r="K599" s="71" t="s">
        <v>3956</v>
      </c>
      <c r="L599" s="97"/>
      <c r="M599" s="76"/>
      <c r="N599" s="76"/>
      <c r="O599" s="77"/>
      <c r="P599" s="78"/>
      <c r="Q599" s="78"/>
      <c r="R599" s="92"/>
      <c r="S599" s="92"/>
      <c r="T599" s="92"/>
      <c r="U599" s="92"/>
      <c r="V599" s="52"/>
      <c r="W599" s="52"/>
      <c r="X599" s="52"/>
      <c r="Y599" s="52"/>
      <c r="Z599" s="51"/>
      <c r="AA599" s="73"/>
      <c r="AB599" s="73"/>
      <c r="AC599" s="74"/>
      <c r="AD599" s="81" t="s">
        <v>2475</v>
      </c>
      <c r="AE599" s="86" t="s">
        <v>2895</v>
      </c>
      <c r="AF599" s="81">
        <v>3</v>
      </c>
      <c r="AG599" s="81">
        <v>343</v>
      </c>
      <c r="AH599" s="81">
        <v>580</v>
      </c>
      <c r="AI599" s="81">
        <v>11</v>
      </c>
      <c r="AJ599" s="81"/>
      <c r="AK599" s="81" t="s">
        <v>3304</v>
      </c>
      <c r="AL599" s="81" t="s">
        <v>3514</v>
      </c>
      <c r="AM599" s="81"/>
      <c r="AN599" s="81"/>
      <c r="AO599" s="83">
        <v>43152.621481481481</v>
      </c>
      <c r="AP599" s="84" t="str">
        <f>HYPERLINK("https://pbs.twimg.com/profile_banners/966325368931024898/1609903993")</f>
        <v>https://pbs.twimg.com/profile_banners/966325368931024898/1609903993</v>
      </c>
      <c r="AQ599" s="81" t="b">
        <v>1</v>
      </c>
      <c r="AR599" s="81" t="b">
        <v>0</v>
      </c>
      <c r="AS599" s="81" t="b">
        <v>0</v>
      </c>
      <c r="AT599" s="81"/>
      <c r="AU599" s="81">
        <v>2</v>
      </c>
      <c r="AV599" s="81"/>
      <c r="AW599" s="81" t="b">
        <v>0</v>
      </c>
      <c r="AX599" s="81" t="s">
        <v>3728</v>
      </c>
      <c r="AY599" s="84" t="str">
        <f>HYPERLINK("https://twitter.com/pasarpiwon")</f>
        <v>https://twitter.com/pasarpiwon</v>
      </c>
      <c r="AZ599" s="81" t="s">
        <v>66</v>
      </c>
      <c r="BA599" s="2"/>
      <c r="BB599" s="3"/>
      <c r="BC599" s="3"/>
      <c r="BD599" s="3"/>
      <c r="BE599" s="3"/>
    </row>
    <row r="600" spans="1:57" x14ac:dyDescent="0.35">
      <c r="A600" s="66" t="s">
        <v>416</v>
      </c>
      <c r="B600" s="67"/>
      <c r="C600" s="67"/>
      <c r="D600" s="68"/>
      <c r="E600" s="94"/>
      <c r="F600" s="93" t="str">
        <f>HYPERLINK("https://pbs.twimg.com/profile_images/1420417804528873476/RaiIVA-r_normal.jpg")</f>
        <v>https://pbs.twimg.com/profile_images/1420417804528873476/RaiIVA-r_normal.jpg</v>
      </c>
      <c r="G600" s="95"/>
      <c r="H600" s="71"/>
      <c r="I600" s="72"/>
      <c r="J600" s="96"/>
      <c r="K600" s="71" t="s">
        <v>3957</v>
      </c>
      <c r="L600" s="97"/>
      <c r="M600" s="76"/>
      <c r="N600" s="76"/>
      <c r="O600" s="77"/>
      <c r="P600" s="78"/>
      <c r="Q600" s="78"/>
      <c r="R600" s="92"/>
      <c r="S600" s="92"/>
      <c r="T600" s="92"/>
      <c r="U600" s="92"/>
      <c r="V600" s="52"/>
      <c r="W600" s="52"/>
      <c r="X600" s="52"/>
      <c r="Y600" s="52"/>
      <c r="Z600" s="51"/>
      <c r="AA600" s="73"/>
      <c r="AB600" s="73"/>
      <c r="AC600" s="74"/>
      <c r="AD600" s="81" t="s">
        <v>2476</v>
      </c>
      <c r="AE600" s="86" t="s">
        <v>2896</v>
      </c>
      <c r="AF600" s="81">
        <v>333</v>
      </c>
      <c r="AG600" s="81">
        <v>1721</v>
      </c>
      <c r="AH600" s="81">
        <v>13993</v>
      </c>
      <c r="AI600" s="81">
        <v>31459</v>
      </c>
      <c r="AJ600" s="81"/>
      <c r="AK600" s="81" t="s">
        <v>3305</v>
      </c>
      <c r="AL600" s="81" t="s">
        <v>2402</v>
      </c>
      <c r="AM600" s="84" t="str">
        <f>HYPERLINK("https://t.co/GoDnoGiwqT")</f>
        <v>https://t.co/GoDnoGiwqT</v>
      </c>
      <c r="AN600" s="81"/>
      <c r="AO600" s="83">
        <v>44074.491539351853</v>
      </c>
      <c r="AP600" s="84" t="str">
        <f>HYPERLINK("https://pbs.twimg.com/profile_banners/1300399843727167490/1626705460")</f>
        <v>https://pbs.twimg.com/profile_banners/1300399843727167490/1626705460</v>
      </c>
      <c r="AQ600" s="81" t="b">
        <v>1</v>
      </c>
      <c r="AR600" s="81" t="b">
        <v>0</v>
      </c>
      <c r="AS600" s="81" t="b">
        <v>1</v>
      </c>
      <c r="AT600" s="81"/>
      <c r="AU600" s="81">
        <v>15</v>
      </c>
      <c r="AV600" s="81"/>
      <c r="AW600" s="81" t="b">
        <v>0</v>
      </c>
      <c r="AX600" s="81" t="s">
        <v>3728</v>
      </c>
      <c r="AY600" s="84" t="str">
        <f>HYPERLINK("https://twitter.com/jeromechanhee")</f>
        <v>https://twitter.com/jeromechanhee</v>
      </c>
      <c r="AZ600" s="81" t="s">
        <v>66</v>
      </c>
      <c r="BA600" s="2"/>
      <c r="BB600" s="3"/>
      <c r="BC600" s="3"/>
      <c r="BD600" s="3"/>
      <c r="BE600" s="3"/>
    </row>
    <row r="601" spans="1:57" x14ac:dyDescent="0.35">
      <c r="A601" s="66" t="s">
        <v>4419</v>
      </c>
      <c r="B601" s="67"/>
      <c r="C601" s="67"/>
      <c r="D601" s="68"/>
      <c r="E601" s="94"/>
      <c r="F601" s="93" t="str">
        <f>HYPERLINK("https://pbs.twimg.com/profile_images/1340698261737377793/7Xr3_kBA_normal.jpg")</f>
        <v>https://pbs.twimg.com/profile_images/1340698261737377793/7Xr3_kBA_normal.jpg</v>
      </c>
      <c r="G601" s="95"/>
      <c r="H601" s="71"/>
      <c r="I601" s="72"/>
      <c r="J601" s="96"/>
      <c r="K601" s="71" t="s">
        <v>11759</v>
      </c>
      <c r="L601" s="97"/>
      <c r="M601" s="76"/>
      <c r="N601" s="76"/>
      <c r="O601" s="77"/>
      <c r="P601" s="78"/>
      <c r="Q601" s="78"/>
      <c r="R601" s="92"/>
      <c r="S601" s="92"/>
      <c r="T601" s="92"/>
      <c r="U601" s="92"/>
      <c r="V601" s="52"/>
      <c r="W601" s="52"/>
      <c r="X601" s="52"/>
      <c r="Y601" s="52"/>
      <c r="Z601" s="51"/>
      <c r="AA601" s="73"/>
      <c r="AB601" s="73"/>
      <c r="AC601" s="74"/>
      <c r="AD601" s="81" t="s">
        <v>8385</v>
      </c>
      <c r="AE601" s="86" t="s">
        <v>9401</v>
      </c>
      <c r="AF601" s="81">
        <v>827</v>
      </c>
      <c r="AG601" s="81">
        <v>695</v>
      </c>
      <c r="AH601" s="81">
        <v>13547</v>
      </c>
      <c r="AI601" s="81">
        <v>45731</v>
      </c>
      <c r="AJ601" s="81"/>
      <c r="AK601" s="81" t="s">
        <v>10362</v>
      </c>
      <c r="AL601" s="81" t="s">
        <v>11133</v>
      </c>
      <c r="AM601" s="81"/>
      <c r="AN601" s="81"/>
      <c r="AO601" s="83">
        <v>40442.166712962964</v>
      </c>
      <c r="AP601" s="84" t="str">
        <f>HYPERLINK("https://pbs.twimg.com/profile_banners/193168399/1561644614")</f>
        <v>https://pbs.twimg.com/profile_banners/193168399/1561644614</v>
      </c>
      <c r="AQ601" s="81" t="b">
        <v>0</v>
      </c>
      <c r="AR601" s="81" t="b">
        <v>0</v>
      </c>
      <c r="AS601" s="81" t="b">
        <v>1</v>
      </c>
      <c r="AT601" s="81"/>
      <c r="AU601" s="81">
        <v>0</v>
      </c>
      <c r="AV601" s="84" t="str">
        <f>HYPERLINK("https://abs.twimg.com/images/themes/theme1/bg.png")</f>
        <v>https://abs.twimg.com/images/themes/theme1/bg.png</v>
      </c>
      <c r="AW601" s="81" t="b">
        <v>0</v>
      </c>
      <c r="AX601" s="81" t="s">
        <v>3728</v>
      </c>
      <c r="AY601" s="84" t="str">
        <f>HYPERLINK("https://twitter.com/adadriano")</f>
        <v>https://twitter.com/adadriano</v>
      </c>
      <c r="AZ601" s="81" t="s">
        <v>66</v>
      </c>
      <c r="BA601" s="2"/>
      <c r="BB601" s="3"/>
      <c r="BC601" s="3"/>
      <c r="BD601" s="3"/>
      <c r="BE601" s="3"/>
    </row>
    <row r="602" spans="1:57" x14ac:dyDescent="0.35">
      <c r="A602" s="66" t="s">
        <v>5079</v>
      </c>
      <c r="B602" s="67"/>
      <c r="C602" s="67"/>
      <c r="D602" s="68"/>
      <c r="E602" s="94"/>
      <c r="F602" s="93" t="str">
        <f>HYPERLINK("https://pbs.twimg.com/profile_images/1017842231934406657/oQNdYxny_normal.jpg")</f>
        <v>https://pbs.twimg.com/profile_images/1017842231934406657/oQNdYxny_normal.jpg</v>
      </c>
      <c r="G602" s="95"/>
      <c r="H602" s="71"/>
      <c r="I602" s="72"/>
      <c r="J602" s="96"/>
      <c r="K602" s="71" t="s">
        <v>11760</v>
      </c>
      <c r="L602" s="97"/>
      <c r="M602" s="76"/>
      <c r="N602" s="76"/>
      <c r="O602" s="77"/>
      <c r="P602" s="78"/>
      <c r="Q602" s="78"/>
      <c r="R602" s="92"/>
      <c r="S602" s="92"/>
      <c r="T602" s="92"/>
      <c r="U602" s="92"/>
      <c r="V602" s="52"/>
      <c r="W602" s="52"/>
      <c r="X602" s="52"/>
      <c r="Y602" s="52"/>
      <c r="Z602" s="51"/>
      <c r="AA602" s="73"/>
      <c r="AB602" s="73"/>
      <c r="AC602" s="74"/>
      <c r="AD602" s="81" t="s">
        <v>8386</v>
      </c>
      <c r="AE602" s="86" t="s">
        <v>7856</v>
      </c>
      <c r="AF602" s="81">
        <v>271</v>
      </c>
      <c r="AG602" s="81">
        <v>94</v>
      </c>
      <c r="AH602" s="81">
        <v>1608</v>
      </c>
      <c r="AI602" s="81">
        <v>1292</v>
      </c>
      <c r="AJ602" s="81"/>
      <c r="AK602" s="81" t="s">
        <v>10363</v>
      </c>
      <c r="AL602" s="81" t="s">
        <v>8001</v>
      </c>
      <c r="AM602" s="84" t="str">
        <f>HYPERLINK("https://t.co/l2PizgBSLl")</f>
        <v>https://t.co/l2PizgBSLl</v>
      </c>
      <c r="AN602" s="81"/>
      <c r="AO602" s="83">
        <v>43294.77716435185</v>
      </c>
      <c r="AP602" s="84" t="str">
        <f>HYPERLINK("https://pbs.twimg.com/profile_banners/1017840862653493248/1625923868")</f>
        <v>https://pbs.twimg.com/profile_banners/1017840862653493248/1625923868</v>
      </c>
      <c r="AQ602" s="81" t="b">
        <v>1</v>
      </c>
      <c r="AR602" s="81" t="b">
        <v>0</v>
      </c>
      <c r="AS602" s="81" t="b">
        <v>1</v>
      </c>
      <c r="AT602" s="81"/>
      <c r="AU602" s="81">
        <v>1</v>
      </c>
      <c r="AV602" s="81"/>
      <c r="AW602" s="81" t="b">
        <v>0</v>
      </c>
      <c r="AX602" s="81" t="s">
        <v>3728</v>
      </c>
      <c r="AY602" s="84" t="str">
        <f>HYPERLINK("https://twitter.com/franetcisco")</f>
        <v>https://twitter.com/franetcisco</v>
      </c>
      <c r="AZ602" s="81" t="s">
        <v>65</v>
      </c>
      <c r="BA602" s="2"/>
      <c r="BB602" s="3"/>
      <c r="BC602" s="3"/>
      <c r="BD602" s="3"/>
      <c r="BE602" s="3"/>
    </row>
    <row r="603" spans="1:57" x14ac:dyDescent="0.35">
      <c r="A603" s="66" t="s">
        <v>4420</v>
      </c>
      <c r="B603" s="67"/>
      <c r="C603" s="67"/>
      <c r="D603" s="68"/>
      <c r="E603" s="94"/>
      <c r="F603" s="93" t="str">
        <f>HYPERLINK("https://pbs.twimg.com/profile_images/1224395503225462784/0SAuRZ8o_normal.jpg")</f>
        <v>https://pbs.twimg.com/profile_images/1224395503225462784/0SAuRZ8o_normal.jpg</v>
      </c>
      <c r="G603" s="95"/>
      <c r="H603" s="71"/>
      <c r="I603" s="72"/>
      <c r="J603" s="96"/>
      <c r="K603" s="71" t="s">
        <v>11761</v>
      </c>
      <c r="L603" s="97"/>
      <c r="M603" s="76"/>
      <c r="N603" s="76"/>
      <c r="O603" s="77"/>
      <c r="P603" s="78"/>
      <c r="Q603" s="78"/>
      <c r="R603" s="92"/>
      <c r="S603" s="92"/>
      <c r="T603" s="92"/>
      <c r="U603" s="92"/>
      <c r="V603" s="52"/>
      <c r="W603" s="52"/>
      <c r="X603" s="52"/>
      <c r="Y603" s="52"/>
      <c r="Z603" s="51"/>
      <c r="AA603" s="73"/>
      <c r="AB603" s="73"/>
      <c r="AC603" s="74"/>
      <c r="AD603" s="81" t="s">
        <v>8387</v>
      </c>
      <c r="AE603" s="86" t="s">
        <v>9402</v>
      </c>
      <c r="AF603" s="81">
        <v>46</v>
      </c>
      <c r="AG603" s="81">
        <v>261</v>
      </c>
      <c r="AH603" s="81">
        <v>1350</v>
      </c>
      <c r="AI603" s="81">
        <v>11</v>
      </c>
      <c r="AJ603" s="81"/>
      <c r="AK603" s="81"/>
      <c r="AL603" s="81" t="s">
        <v>11134</v>
      </c>
      <c r="AM603" s="84" t="str">
        <f>HYPERLINK("https://t.co/r7nYcAFWBx")</f>
        <v>https://t.co/r7nYcAFWBx</v>
      </c>
      <c r="AN603" s="81"/>
      <c r="AO603" s="83">
        <v>41844.585590277777</v>
      </c>
      <c r="AP603" s="84" t="str">
        <f>HYPERLINK("https://pbs.twimg.com/profile_banners/2677148557/1579603214")</f>
        <v>https://pbs.twimg.com/profile_banners/2677148557/1579603214</v>
      </c>
      <c r="AQ603" s="81" t="b">
        <v>0</v>
      </c>
      <c r="AR603" s="81" t="b">
        <v>0</v>
      </c>
      <c r="AS603" s="81" t="b">
        <v>1</v>
      </c>
      <c r="AT603" s="81"/>
      <c r="AU603" s="81">
        <v>6</v>
      </c>
      <c r="AV603" s="84" t="str">
        <f>HYPERLINK("https://abs.twimg.com/images/themes/theme1/bg.png")</f>
        <v>https://abs.twimg.com/images/themes/theme1/bg.png</v>
      </c>
      <c r="AW603" s="81" t="b">
        <v>0</v>
      </c>
      <c r="AX603" s="81" t="s">
        <v>3728</v>
      </c>
      <c r="AY603" s="84" t="str">
        <f>HYPERLINK("https://twitter.com/iscte_execed")</f>
        <v>https://twitter.com/iscte_execed</v>
      </c>
      <c r="AZ603" s="81" t="s">
        <v>66</v>
      </c>
      <c r="BA603" s="2"/>
      <c r="BB603" s="3"/>
      <c r="BC603" s="3"/>
      <c r="BD603" s="3"/>
      <c r="BE603" s="3"/>
    </row>
    <row r="604" spans="1:57" x14ac:dyDescent="0.35">
      <c r="A604" s="66" t="s">
        <v>4421</v>
      </c>
      <c r="B604" s="67"/>
      <c r="C604" s="67"/>
      <c r="D604" s="68"/>
      <c r="E604" s="94"/>
      <c r="F604" s="93" t="str">
        <f>HYPERLINK("https://pbs.twimg.com/profile_images/1406808582931333125/hNXdo9Du_normal.jpg")</f>
        <v>https://pbs.twimg.com/profile_images/1406808582931333125/hNXdo9Du_normal.jpg</v>
      </c>
      <c r="G604" s="95"/>
      <c r="H604" s="71"/>
      <c r="I604" s="72"/>
      <c r="J604" s="96"/>
      <c r="K604" s="71" t="s">
        <v>11762</v>
      </c>
      <c r="L604" s="97"/>
      <c r="M604" s="76"/>
      <c r="N604" s="76"/>
      <c r="O604" s="77"/>
      <c r="P604" s="78"/>
      <c r="Q604" s="78"/>
      <c r="R604" s="92"/>
      <c r="S604" s="92"/>
      <c r="T604" s="92"/>
      <c r="U604" s="92"/>
      <c r="V604" s="52"/>
      <c r="W604" s="52"/>
      <c r="X604" s="52"/>
      <c r="Y604" s="52"/>
      <c r="Z604" s="51"/>
      <c r="AA604" s="73"/>
      <c r="AB604" s="73"/>
      <c r="AC604" s="74"/>
      <c r="AD604" s="81" t="s">
        <v>8388</v>
      </c>
      <c r="AE604" s="86" t="s">
        <v>9403</v>
      </c>
      <c r="AF604" s="81">
        <v>0</v>
      </c>
      <c r="AG604" s="81">
        <v>364</v>
      </c>
      <c r="AH604" s="81">
        <v>147362</v>
      </c>
      <c r="AI604" s="81">
        <v>62971</v>
      </c>
      <c r="AJ604" s="81"/>
      <c r="AK604" s="81"/>
      <c r="AL604" s="81"/>
      <c r="AM604" s="81"/>
      <c r="AN604" s="81"/>
      <c r="AO604" s="83">
        <v>44361.7</v>
      </c>
      <c r="AP604" s="84" t="str">
        <f>HYPERLINK("https://pbs.twimg.com/profile_banners/1404480457106939904/1624268034")</f>
        <v>https://pbs.twimg.com/profile_banners/1404480457106939904/1624268034</v>
      </c>
      <c r="AQ604" s="81" t="b">
        <v>1</v>
      </c>
      <c r="AR604" s="81" t="b">
        <v>0</v>
      </c>
      <c r="AS604" s="81" t="b">
        <v>0</v>
      </c>
      <c r="AT604" s="81"/>
      <c r="AU604" s="81">
        <v>0</v>
      </c>
      <c r="AV604" s="81"/>
      <c r="AW604" s="81" t="b">
        <v>0</v>
      </c>
      <c r="AX604" s="81" t="s">
        <v>3728</v>
      </c>
      <c r="AY604" s="84" t="str">
        <f>HYPERLINK("https://twitter.com/internacionalzp")</f>
        <v>https://twitter.com/internacionalzp</v>
      </c>
      <c r="AZ604" s="81" t="s">
        <v>66</v>
      </c>
      <c r="BA604" s="2"/>
      <c r="BB604" s="3"/>
      <c r="BC604" s="3"/>
      <c r="BD604" s="3"/>
      <c r="BE604" s="3"/>
    </row>
    <row r="605" spans="1:57" x14ac:dyDescent="0.35">
      <c r="A605" s="66" t="s">
        <v>417</v>
      </c>
      <c r="B605" s="67"/>
      <c r="C605" s="67"/>
      <c r="D605" s="68"/>
      <c r="E605" s="94"/>
      <c r="F605" s="93" t="str">
        <f>HYPERLINK("https://pbs.twimg.com/profile_images/1297464217235144705/dQbs0cA9_normal.jpg")</f>
        <v>https://pbs.twimg.com/profile_images/1297464217235144705/dQbs0cA9_normal.jpg</v>
      </c>
      <c r="G605" s="95"/>
      <c r="H605" s="71"/>
      <c r="I605" s="72"/>
      <c r="J605" s="96"/>
      <c r="K605" s="71" t="s">
        <v>3958</v>
      </c>
      <c r="L605" s="97"/>
      <c r="M605" s="76"/>
      <c r="N605" s="76"/>
      <c r="O605" s="77"/>
      <c r="P605" s="78"/>
      <c r="Q605" s="78"/>
      <c r="R605" s="92"/>
      <c r="S605" s="92"/>
      <c r="T605" s="92"/>
      <c r="U605" s="92"/>
      <c r="V605" s="52"/>
      <c r="W605" s="52"/>
      <c r="X605" s="52"/>
      <c r="Y605" s="52"/>
      <c r="Z605" s="51"/>
      <c r="AA605" s="73"/>
      <c r="AB605" s="73"/>
      <c r="AC605" s="74"/>
      <c r="AD605" s="81" t="s">
        <v>2477</v>
      </c>
      <c r="AE605" s="86" t="s">
        <v>2897</v>
      </c>
      <c r="AF605" s="81">
        <v>691</v>
      </c>
      <c r="AG605" s="81">
        <v>310</v>
      </c>
      <c r="AH605" s="81">
        <v>7261</v>
      </c>
      <c r="AI605" s="81">
        <v>3157</v>
      </c>
      <c r="AJ605" s="81"/>
      <c r="AK605" s="81" t="s">
        <v>3306</v>
      </c>
      <c r="AL605" s="81" t="s">
        <v>2203</v>
      </c>
      <c r="AM605" s="84" t="str">
        <f>HYPERLINK("https://t.co/yp3HdxzjAf")</f>
        <v>https://t.co/yp3HdxzjAf</v>
      </c>
      <c r="AN605" s="81"/>
      <c r="AO605" s="83">
        <v>40212.345266203702</v>
      </c>
      <c r="AP605" s="84" t="str">
        <f>HYPERLINK("https://pbs.twimg.com/profile_banners/110940117/1427443668")</f>
        <v>https://pbs.twimg.com/profile_banners/110940117/1427443668</v>
      </c>
      <c r="AQ605" s="81" t="b">
        <v>0</v>
      </c>
      <c r="AR605" s="81" t="b">
        <v>0</v>
      </c>
      <c r="AS605" s="81" t="b">
        <v>1</v>
      </c>
      <c r="AT605" s="81"/>
      <c r="AU605" s="81">
        <v>0</v>
      </c>
      <c r="AV605" s="84" t="str">
        <f>HYPERLINK("https://abs.twimg.com/images/themes/theme1/bg.png")</f>
        <v>https://abs.twimg.com/images/themes/theme1/bg.png</v>
      </c>
      <c r="AW605" s="81" t="b">
        <v>0</v>
      </c>
      <c r="AX605" s="81" t="s">
        <v>3728</v>
      </c>
      <c r="AY605" s="84" t="str">
        <f>HYPERLINK("https://twitter.com/kusumastianto")</f>
        <v>https://twitter.com/kusumastianto</v>
      </c>
      <c r="AZ605" s="81" t="s">
        <v>66</v>
      </c>
      <c r="BA605" s="2"/>
      <c r="BB605" s="3"/>
      <c r="BC605" s="3"/>
      <c r="BD605" s="3"/>
      <c r="BE605" s="3"/>
    </row>
    <row r="606" spans="1:57" x14ac:dyDescent="0.35">
      <c r="A606" s="66" t="s">
        <v>418</v>
      </c>
      <c r="B606" s="67"/>
      <c r="C606" s="67"/>
      <c r="D606" s="68"/>
      <c r="E606" s="94"/>
      <c r="F606" s="93" t="str">
        <f>HYPERLINK("https://abs.twimg.com/sticky/default_profile_images/default_profile_normal.png")</f>
        <v>https://abs.twimg.com/sticky/default_profile_images/default_profile_normal.png</v>
      </c>
      <c r="G606" s="95"/>
      <c r="H606" s="71"/>
      <c r="I606" s="72"/>
      <c r="J606" s="96"/>
      <c r="K606" s="71" t="s">
        <v>3959</v>
      </c>
      <c r="L606" s="97"/>
      <c r="M606" s="76"/>
      <c r="N606" s="76"/>
      <c r="O606" s="77"/>
      <c r="P606" s="78"/>
      <c r="Q606" s="78"/>
      <c r="R606" s="92"/>
      <c r="S606" s="92"/>
      <c r="T606" s="92"/>
      <c r="U606" s="92"/>
      <c r="V606" s="52"/>
      <c r="W606" s="52"/>
      <c r="X606" s="52"/>
      <c r="Y606" s="52"/>
      <c r="Z606" s="51"/>
      <c r="AA606" s="73"/>
      <c r="AB606" s="73"/>
      <c r="AC606" s="74"/>
      <c r="AD606" s="81" t="s">
        <v>2478</v>
      </c>
      <c r="AE606" s="86" t="s">
        <v>2898</v>
      </c>
      <c r="AF606" s="81">
        <v>244</v>
      </c>
      <c r="AG606" s="81">
        <v>3</v>
      </c>
      <c r="AH606" s="81">
        <v>923</v>
      </c>
      <c r="AI606" s="81">
        <v>227</v>
      </c>
      <c r="AJ606" s="81"/>
      <c r="AK606" s="81" t="s">
        <v>3307</v>
      </c>
      <c r="AL606" s="81"/>
      <c r="AM606" s="81"/>
      <c r="AN606" s="81"/>
      <c r="AO606" s="83">
        <v>43994.840185185189</v>
      </c>
      <c r="AP606" s="81"/>
      <c r="AQ606" s="81" t="b">
        <v>1</v>
      </c>
      <c r="AR606" s="81" t="b">
        <v>1</v>
      </c>
      <c r="AS606" s="81" t="b">
        <v>0</v>
      </c>
      <c r="AT606" s="81"/>
      <c r="AU606" s="81">
        <v>0</v>
      </c>
      <c r="AV606" s="81"/>
      <c r="AW606" s="81" t="b">
        <v>0</v>
      </c>
      <c r="AX606" s="81" t="s">
        <v>3728</v>
      </c>
      <c r="AY606" s="84" t="str">
        <f>HYPERLINK("https://twitter.com/bluebir56633512")</f>
        <v>https://twitter.com/bluebir56633512</v>
      </c>
      <c r="AZ606" s="81" t="s">
        <v>66</v>
      </c>
      <c r="BA606" s="2"/>
      <c r="BB606" s="3"/>
      <c r="BC606" s="3"/>
      <c r="BD606" s="3"/>
      <c r="BE606" s="3"/>
    </row>
    <row r="607" spans="1:57" x14ac:dyDescent="0.35">
      <c r="A607" s="66" t="s">
        <v>4422</v>
      </c>
      <c r="B607" s="67"/>
      <c r="C607" s="67"/>
      <c r="D607" s="68"/>
      <c r="E607" s="94"/>
      <c r="F607" s="93" t="str">
        <f>HYPERLINK("https://pbs.twimg.com/profile_images/1120709007759560704/skfX14PC_normal.jpg")</f>
        <v>https://pbs.twimg.com/profile_images/1120709007759560704/skfX14PC_normal.jpg</v>
      </c>
      <c r="G607" s="95"/>
      <c r="H607" s="71"/>
      <c r="I607" s="72"/>
      <c r="J607" s="96"/>
      <c r="K607" s="71" t="s">
        <v>11763</v>
      </c>
      <c r="L607" s="97"/>
      <c r="M607" s="76"/>
      <c r="N607" s="76"/>
      <c r="O607" s="77"/>
      <c r="P607" s="78"/>
      <c r="Q607" s="78"/>
      <c r="R607" s="92"/>
      <c r="S607" s="92"/>
      <c r="T607" s="92"/>
      <c r="U607" s="92"/>
      <c r="V607" s="52"/>
      <c r="W607" s="52"/>
      <c r="X607" s="52"/>
      <c r="Y607" s="52"/>
      <c r="Z607" s="51"/>
      <c r="AA607" s="73"/>
      <c r="AB607" s="73"/>
      <c r="AC607" s="74"/>
      <c r="AD607" s="81" t="s">
        <v>8389</v>
      </c>
      <c r="AE607" s="86" t="s">
        <v>9404</v>
      </c>
      <c r="AF607" s="81">
        <v>472</v>
      </c>
      <c r="AG607" s="81">
        <v>125</v>
      </c>
      <c r="AH607" s="81">
        <v>2358</v>
      </c>
      <c r="AI607" s="81">
        <v>13919</v>
      </c>
      <c r="AJ607" s="81"/>
      <c r="AK607" s="81"/>
      <c r="AL607" s="81"/>
      <c r="AM607" s="81"/>
      <c r="AN607" s="81"/>
      <c r="AO607" s="83">
        <v>40457.684189814812</v>
      </c>
      <c r="AP607" s="81"/>
      <c r="AQ607" s="81" t="b">
        <v>1</v>
      </c>
      <c r="AR607" s="81" t="b">
        <v>0</v>
      </c>
      <c r="AS607" s="81" t="b">
        <v>0</v>
      </c>
      <c r="AT607" s="81"/>
      <c r="AU607" s="81">
        <v>1</v>
      </c>
      <c r="AV607" s="84" t="str">
        <f>HYPERLINK("https://abs.twimg.com/images/themes/theme1/bg.png")</f>
        <v>https://abs.twimg.com/images/themes/theme1/bg.png</v>
      </c>
      <c r="AW607" s="81" t="b">
        <v>0</v>
      </c>
      <c r="AX607" s="81" t="s">
        <v>3728</v>
      </c>
      <c r="AY607" s="84" t="str">
        <f>HYPERLINK("https://twitter.com/henriquefavp")</f>
        <v>https://twitter.com/henriquefavp</v>
      </c>
      <c r="AZ607" s="81" t="s">
        <v>66</v>
      </c>
      <c r="BA607" s="2"/>
      <c r="BB607" s="3"/>
      <c r="BC607" s="3"/>
      <c r="BD607" s="3"/>
      <c r="BE607" s="3"/>
    </row>
    <row r="608" spans="1:57" x14ac:dyDescent="0.35">
      <c r="A608" s="66" t="s">
        <v>5080</v>
      </c>
      <c r="B608" s="67"/>
      <c r="C608" s="67"/>
      <c r="D608" s="68"/>
      <c r="E608" s="94"/>
      <c r="F608" s="93" t="str">
        <f>HYPERLINK("https://pbs.twimg.com/profile_images/1422711480886116353/MveIyA8o_normal.jpg")</f>
        <v>https://pbs.twimg.com/profile_images/1422711480886116353/MveIyA8o_normal.jpg</v>
      </c>
      <c r="G608" s="95"/>
      <c r="H608" s="71"/>
      <c r="I608" s="72"/>
      <c r="J608" s="96"/>
      <c r="K608" s="71" t="s">
        <v>11764</v>
      </c>
      <c r="L608" s="97"/>
      <c r="M608" s="76"/>
      <c r="N608" s="76"/>
      <c r="O608" s="77"/>
      <c r="P608" s="78"/>
      <c r="Q608" s="78"/>
      <c r="R608" s="92"/>
      <c r="S608" s="92"/>
      <c r="T608" s="92"/>
      <c r="U608" s="92"/>
      <c r="V608" s="52"/>
      <c r="W608" s="52"/>
      <c r="X608" s="52"/>
      <c r="Y608" s="52"/>
      <c r="Z608" s="51"/>
      <c r="AA608" s="73"/>
      <c r="AB608" s="73"/>
      <c r="AC608" s="74"/>
      <c r="AD608" s="81" t="s">
        <v>8390</v>
      </c>
      <c r="AE608" s="86" t="s">
        <v>9405</v>
      </c>
      <c r="AF608" s="81">
        <v>812</v>
      </c>
      <c r="AG608" s="81">
        <v>2717</v>
      </c>
      <c r="AH608" s="81">
        <v>4230</v>
      </c>
      <c r="AI608" s="81">
        <v>34284</v>
      </c>
      <c r="AJ608" s="81"/>
      <c r="AK608" s="81" t="s">
        <v>10364</v>
      </c>
      <c r="AL608" s="81" t="s">
        <v>10975</v>
      </c>
      <c r="AM608" s="81"/>
      <c r="AN608" s="81"/>
      <c r="AO608" s="83">
        <v>43189.97179398148</v>
      </c>
      <c r="AP608" s="84" t="str">
        <f>HYPERLINK("https://pbs.twimg.com/profile_banners/979860672354881537/1628216863")</f>
        <v>https://pbs.twimg.com/profile_banners/979860672354881537/1628216863</v>
      </c>
      <c r="AQ608" s="81" t="b">
        <v>1</v>
      </c>
      <c r="AR608" s="81" t="b">
        <v>0</v>
      </c>
      <c r="AS608" s="81" t="b">
        <v>0</v>
      </c>
      <c r="AT608" s="81"/>
      <c r="AU608" s="81">
        <v>31</v>
      </c>
      <c r="AV608" s="81"/>
      <c r="AW608" s="81" t="b">
        <v>0</v>
      </c>
      <c r="AX608" s="81" t="s">
        <v>3728</v>
      </c>
      <c r="AY608" s="84" t="str">
        <f>HYPERLINK("https://twitter.com/fernandoaferro")</f>
        <v>https://twitter.com/fernandoaferro</v>
      </c>
      <c r="AZ608" s="81" t="s">
        <v>65</v>
      </c>
      <c r="BA608" s="2"/>
      <c r="BB608" s="3"/>
      <c r="BC608" s="3"/>
      <c r="BD608" s="3"/>
      <c r="BE608" s="3"/>
    </row>
    <row r="609" spans="1:57" x14ac:dyDescent="0.35">
      <c r="A609" s="66" t="s">
        <v>4423</v>
      </c>
      <c r="B609" s="67"/>
      <c r="C609" s="67"/>
      <c r="D609" s="68"/>
      <c r="E609" s="94"/>
      <c r="F609" s="93" t="str">
        <f>HYPERLINK("https://pbs.twimg.com/profile_images/1195461941763989504/i_gc6L21_normal.jpg")</f>
        <v>https://pbs.twimg.com/profile_images/1195461941763989504/i_gc6L21_normal.jpg</v>
      </c>
      <c r="G609" s="95"/>
      <c r="H609" s="71"/>
      <c r="I609" s="72"/>
      <c r="J609" s="96"/>
      <c r="K609" s="71" t="s">
        <v>11765</v>
      </c>
      <c r="L609" s="97"/>
      <c r="M609" s="76"/>
      <c r="N609" s="76"/>
      <c r="O609" s="77"/>
      <c r="P609" s="78"/>
      <c r="Q609" s="78"/>
      <c r="R609" s="92"/>
      <c r="S609" s="92"/>
      <c r="T609" s="92"/>
      <c r="U609" s="92"/>
      <c r="V609" s="52"/>
      <c r="W609" s="52"/>
      <c r="X609" s="52"/>
      <c r="Y609" s="52"/>
      <c r="Z609" s="51"/>
      <c r="AA609" s="73"/>
      <c r="AB609" s="73"/>
      <c r="AC609" s="74"/>
      <c r="AD609" s="81" t="s">
        <v>8391</v>
      </c>
      <c r="AE609" s="86" t="s">
        <v>9406</v>
      </c>
      <c r="AF609" s="81">
        <v>1776</v>
      </c>
      <c r="AG609" s="81">
        <v>924</v>
      </c>
      <c r="AH609" s="81">
        <v>135205</v>
      </c>
      <c r="AI609" s="81">
        <v>39577</v>
      </c>
      <c r="AJ609" s="81"/>
      <c r="AK609" s="81" t="s">
        <v>10365</v>
      </c>
      <c r="AL609" s="81"/>
      <c r="AM609" s="81"/>
      <c r="AN609" s="81"/>
      <c r="AO609" s="83">
        <v>40015.770787037036</v>
      </c>
      <c r="AP609" s="84" t="str">
        <f>HYPERLINK("https://pbs.twimg.com/profile_banners/58875595/1573653090")</f>
        <v>https://pbs.twimg.com/profile_banners/58875595/1573653090</v>
      </c>
      <c r="AQ609" s="81" t="b">
        <v>1</v>
      </c>
      <c r="AR609" s="81" t="b">
        <v>0</v>
      </c>
      <c r="AS609" s="81" t="b">
        <v>1</v>
      </c>
      <c r="AT609" s="81"/>
      <c r="AU609" s="81">
        <v>12</v>
      </c>
      <c r="AV609" s="84" t="str">
        <f>HYPERLINK("https://abs.twimg.com/images/themes/theme1/bg.png")</f>
        <v>https://abs.twimg.com/images/themes/theme1/bg.png</v>
      </c>
      <c r="AW609" s="81" t="b">
        <v>0</v>
      </c>
      <c r="AX609" s="81" t="s">
        <v>3728</v>
      </c>
      <c r="AY609" s="84" t="str">
        <f>HYPERLINK("https://twitter.com/ivansb2009")</f>
        <v>https://twitter.com/ivansb2009</v>
      </c>
      <c r="AZ609" s="81" t="s">
        <v>66</v>
      </c>
      <c r="BA609" s="2"/>
      <c r="BB609" s="3"/>
      <c r="BC609" s="3"/>
      <c r="BD609" s="3"/>
      <c r="BE609" s="3"/>
    </row>
    <row r="610" spans="1:57" x14ac:dyDescent="0.35">
      <c r="A610" s="66" t="s">
        <v>5081</v>
      </c>
      <c r="B610" s="67"/>
      <c r="C610" s="67"/>
      <c r="D610" s="68"/>
      <c r="E610" s="94"/>
      <c r="F610" s="93" t="str">
        <f>HYPERLINK("https://pbs.twimg.com/profile_images/1439651565607006213/0HXKR4EX_normal.jpg")</f>
        <v>https://pbs.twimg.com/profile_images/1439651565607006213/0HXKR4EX_normal.jpg</v>
      </c>
      <c r="G610" s="95"/>
      <c r="H610" s="71"/>
      <c r="I610" s="72"/>
      <c r="J610" s="96"/>
      <c r="K610" s="71" t="s">
        <v>11766</v>
      </c>
      <c r="L610" s="97"/>
      <c r="M610" s="76"/>
      <c r="N610" s="76"/>
      <c r="O610" s="77"/>
      <c r="P610" s="78"/>
      <c r="Q610" s="78"/>
      <c r="R610" s="92"/>
      <c r="S610" s="92"/>
      <c r="T610" s="92"/>
      <c r="U610" s="92"/>
      <c r="V610" s="52"/>
      <c r="W610" s="52"/>
      <c r="X610" s="52"/>
      <c r="Y610" s="52"/>
      <c r="Z610" s="51"/>
      <c r="AA610" s="73"/>
      <c r="AB610" s="73"/>
      <c r="AC610" s="74"/>
      <c r="AD610" s="81" t="s">
        <v>8392</v>
      </c>
      <c r="AE610" s="86" t="s">
        <v>7857</v>
      </c>
      <c r="AF610" s="81">
        <v>947</v>
      </c>
      <c r="AG610" s="81">
        <v>907</v>
      </c>
      <c r="AH610" s="81">
        <v>30021</v>
      </c>
      <c r="AI610" s="81">
        <v>66260</v>
      </c>
      <c r="AJ610" s="81"/>
      <c r="AK610" s="81" t="s">
        <v>10366</v>
      </c>
      <c r="AL610" s="81" t="s">
        <v>11135</v>
      </c>
      <c r="AM610" s="81"/>
      <c r="AN610" s="81"/>
      <c r="AO610" s="83">
        <v>40423.840486111112</v>
      </c>
      <c r="AP610" s="84" t="str">
        <f>HYPERLINK("https://pbs.twimg.com/profile_banners/186188353/1630099221")</f>
        <v>https://pbs.twimg.com/profile_banners/186188353/1630099221</v>
      </c>
      <c r="AQ610" s="81" t="b">
        <v>0</v>
      </c>
      <c r="AR610" s="81" t="b">
        <v>0</v>
      </c>
      <c r="AS610" s="81" t="b">
        <v>1</v>
      </c>
      <c r="AT610" s="81"/>
      <c r="AU610" s="81">
        <v>1</v>
      </c>
      <c r="AV610" s="84" t="str">
        <f>HYPERLINK("https://abs.twimg.com/images/themes/theme9/bg.gif")</f>
        <v>https://abs.twimg.com/images/themes/theme9/bg.gif</v>
      </c>
      <c r="AW610" s="81" t="b">
        <v>0</v>
      </c>
      <c r="AX610" s="81" t="s">
        <v>3728</v>
      </c>
      <c r="AY610" s="84" t="str">
        <f>HYPERLINK("https://twitter.com/gabjooao")</f>
        <v>https://twitter.com/gabjooao</v>
      </c>
      <c r="AZ610" s="81" t="s">
        <v>65</v>
      </c>
      <c r="BA610" s="2"/>
      <c r="BB610" s="3"/>
      <c r="BC610" s="3"/>
      <c r="BD610" s="3"/>
      <c r="BE610" s="3"/>
    </row>
    <row r="611" spans="1:57" x14ac:dyDescent="0.35">
      <c r="A611" s="66" t="s">
        <v>419</v>
      </c>
      <c r="B611" s="67"/>
      <c r="C611" s="67"/>
      <c r="D611" s="68"/>
      <c r="E611" s="94"/>
      <c r="F611" s="93" t="str">
        <f>HYPERLINK("https://pbs.twimg.com/profile_images/1421106476467200005/Fk1SD4BB_normal.jpg")</f>
        <v>https://pbs.twimg.com/profile_images/1421106476467200005/Fk1SD4BB_normal.jpg</v>
      </c>
      <c r="G611" s="95"/>
      <c r="H611" s="71"/>
      <c r="I611" s="72"/>
      <c r="J611" s="96"/>
      <c r="K611" s="71" t="s">
        <v>3960</v>
      </c>
      <c r="L611" s="97"/>
      <c r="M611" s="76"/>
      <c r="N611" s="76"/>
      <c r="O611" s="77"/>
      <c r="P611" s="78"/>
      <c r="Q611" s="78"/>
      <c r="R611" s="92"/>
      <c r="S611" s="92"/>
      <c r="T611" s="92"/>
      <c r="U611" s="92"/>
      <c r="V611" s="52"/>
      <c r="W611" s="52"/>
      <c r="X611" s="52"/>
      <c r="Y611" s="52"/>
      <c r="Z611" s="51"/>
      <c r="AA611" s="73"/>
      <c r="AB611" s="73"/>
      <c r="AC611" s="74"/>
      <c r="AD611" s="81" t="s">
        <v>2479</v>
      </c>
      <c r="AE611" s="86" t="s">
        <v>2899</v>
      </c>
      <c r="AF611" s="81">
        <v>486</v>
      </c>
      <c r="AG611" s="81">
        <v>545</v>
      </c>
      <c r="AH611" s="81">
        <v>10265</v>
      </c>
      <c r="AI611" s="81">
        <v>44904</v>
      </c>
      <c r="AJ611" s="81"/>
      <c r="AK611" s="81" t="s">
        <v>3308</v>
      </c>
      <c r="AL611" s="81" t="s">
        <v>3638</v>
      </c>
      <c r="AM611" s="81"/>
      <c r="AN611" s="81"/>
      <c r="AO611" s="83">
        <v>42571.375787037039</v>
      </c>
      <c r="AP611" s="84" t="str">
        <f>HYPERLINK("https://pbs.twimg.com/profile_banners/755688983061864448/1627653198")</f>
        <v>https://pbs.twimg.com/profile_banners/755688983061864448/1627653198</v>
      </c>
      <c r="AQ611" s="81" t="b">
        <v>1</v>
      </c>
      <c r="AR611" s="81" t="b">
        <v>0</v>
      </c>
      <c r="AS611" s="81" t="b">
        <v>0</v>
      </c>
      <c r="AT611" s="81"/>
      <c r="AU611" s="81">
        <v>4</v>
      </c>
      <c r="AV611" s="81"/>
      <c r="AW611" s="81" t="b">
        <v>0</v>
      </c>
      <c r="AX611" s="81" t="s">
        <v>3728</v>
      </c>
      <c r="AY611" s="84" t="str">
        <f>HYPERLINK("https://twitter.com/egghannie")</f>
        <v>https://twitter.com/egghannie</v>
      </c>
      <c r="AZ611" s="81" t="s">
        <v>66</v>
      </c>
      <c r="BA611" s="2"/>
      <c r="BB611" s="3"/>
      <c r="BC611" s="3"/>
      <c r="BD611" s="3"/>
      <c r="BE611" s="3"/>
    </row>
    <row r="612" spans="1:57" x14ac:dyDescent="0.35">
      <c r="A612" s="66" t="s">
        <v>420</v>
      </c>
      <c r="B612" s="67"/>
      <c r="C612" s="67"/>
      <c r="D612" s="68"/>
      <c r="E612" s="94"/>
      <c r="F612" s="93" t="str">
        <f>HYPERLINK("https://pbs.twimg.com/profile_images/1131478927409438722/pkzlS130_normal.jpg")</f>
        <v>https://pbs.twimg.com/profile_images/1131478927409438722/pkzlS130_normal.jpg</v>
      </c>
      <c r="G612" s="95"/>
      <c r="H612" s="71"/>
      <c r="I612" s="72"/>
      <c r="J612" s="96"/>
      <c r="K612" s="71" t="s">
        <v>3731</v>
      </c>
      <c r="L612" s="97"/>
      <c r="M612" s="76"/>
      <c r="N612" s="76"/>
      <c r="O612" s="77"/>
      <c r="P612" s="78"/>
      <c r="Q612" s="78"/>
      <c r="R612" s="92"/>
      <c r="S612" s="92"/>
      <c r="T612" s="92"/>
      <c r="U612" s="92"/>
      <c r="V612" s="52"/>
      <c r="W612" s="52"/>
      <c r="X612" s="52"/>
      <c r="Y612" s="52"/>
      <c r="Z612" s="51"/>
      <c r="AA612" s="73"/>
      <c r="AB612" s="73"/>
      <c r="AC612" s="74"/>
      <c r="AD612" s="81" t="s">
        <v>2238</v>
      </c>
      <c r="AE612" s="86" t="s">
        <v>2682</v>
      </c>
      <c r="AF612" s="81">
        <v>3066</v>
      </c>
      <c r="AG612" s="81">
        <v>4503</v>
      </c>
      <c r="AH612" s="81">
        <v>66091</v>
      </c>
      <c r="AI612" s="81">
        <v>46523</v>
      </c>
      <c r="AJ612" s="81"/>
      <c r="AK612" s="81" t="s">
        <v>3080</v>
      </c>
      <c r="AL612" s="81" t="s">
        <v>2202</v>
      </c>
      <c r="AM612" s="81"/>
      <c r="AN612" s="81"/>
      <c r="AO612" s="83">
        <v>40015.212337962963</v>
      </c>
      <c r="AP612" s="84" t="str">
        <f>HYPERLINK("https://pbs.twimg.com/profile_banners/58711038/1358099518")</f>
        <v>https://pbs.twimg.com/profile_banners/58711038/1358099518</v>
      </c>
      <c r="AQ612" s="81" t="b">
        <v>0</v>
      </c>
      <c r="AR612" s="81" t="b">
        <v>0</v>
      </c>
      <c r="AS612" s="81" t="b">
        <v>1</v>
      </c>
      <c r="AT612" s="81"/>
      <c r="AU612" s="81">
        <v>6</v>
      </c>
      <c r="AV612" s="84" t="str">
        <f>HYPERLINK("https://abs.twimg.com/images/themes/theme9/bg.gif")</f>
        <v>https://abs.twimg.com/images/themes/theme9/bg.gif</v>
      </c>
      <c r="AW612" s="81" t="b">
        <v>0</v>
      </c>
      <c r="AX612" s="81" t="s">
        <v>3728</v>
      </c>
      <c r="AY612" s="84" t="str">
        <f>HYPERLINK("https://twitter.com/shafigh")</f>
        <v>https://twitter.com/shafigh</v>
      </c>
      <c r="AZ612" s="81" t="s">
        <v>66</v>
      </c>
      <c r="BA612" s="2"/>
      <c r="BB612" s="3"/>
      <c r="BC612" s="3"/>
      <c r="BD612" s="3"/>
      <c r="BE612" s="3"/>
    </row>
    <row r="613" spans="1:57" x14ac:dyDescent="0.35">
      <c r="A613" s="66" t="s">
        <v>421</v>
      </c>
      <c r="B613" s="67"/>
      <c r="C613" s="67"/>
      <c r="D613" s="68"/>
      <c r="E613" s="94"/>
      <c r="F613" s="93" t="str">
        <f>HYPERLINK("https://pbs.twimg.com/profile_images/876720006435753985/_XZzThFP_normal.jpg")</f>
        <v>https://pbs.twimg.com/profile_images/876720006435753985/_XZzThFP_normal.jpg</v>
      </c>
      <c r="G613" s="95"/>
      <c r="H613" s="71"/>
      <c r="I613" s="72"/>
      <c r="J613" s="96"/>
      <c r="K613" s="71" t="s">
        <v>3961</v>
      </c>
      <c r="L613" s="97"/>
      <c r="M613" s="76"/>
      <c r="N613" s="76"/>
      <c r="O613" s="77"/>
      <c r="P613" s="78"/>
      <c r="Q613" s="78"/>
      <c r="R613" s="92"/>
      <c r="S613" s="92"/>
      <c r="T613" s="92"/>
      <c r="U613" s="92"/>
      <c r="V613" s="52"/>
      <c r="W613" s="52"/>
      <c r="X613" s="52"/>
      <c r="Y613" s="52"/>
      <c r="Z613" s="51"/>
      <c r="AA613" s="73"/>
      <c r="AB613" s="73"/>
      <c r="AC613" s="74"/>
      <c r="AD613" s="81" t="s">
        <v>2480</v>
      </c>
      <c r="AE613" s="86" t="s">
        <v>2900</v>
      </c>
      <c r="AF613" s="81">
        <v>46</v>
      </c>
      <c r="AG613" s="81">
        <v>1460</v>
      </c>
      <c r="AH613" s="81">
        <v>16735</v>
      </c>
      <c r="AI613" s="81">
        <v>15025</v>
      </c>
      <c r="AJ613" s="81"/>
      <c r="AK613" s="81"/>
      <c r="AL613" s="81" t="s">
        <v>2202</v>
      </c>
      <c r="AM613" s="81"/>
      <c r="AN613" s="81"/>
      <c r="AO613" s="83">
        <v>41731.446342592593</v>
      </c>
      <c r="AP613" s="84" t="str">
        <f>HYPERLINK("https://pbs.twimg.com/profile_banners/2423608663/1497861380")</f>
        <v>https://pbs.twimg.com/profile_banners/2423608663/1497861380</v>
      </c>
      <c r="AQ613" s="81" t="b">
        <v>0</v>
      </c>
      <c r="AR613" s="81" t="b">
        <v>0</v>
      </c>
      <c r="AS613" s="81" t="b">
        <v>0</v>
      </c>
      <c r="AT613" s="81"/>
      <c r="AU613" s="81">
        <v>2</v>
      </c>
      <c r="AV613" s="84" t="str">
        <f>HYPERLINK("https://abs.twimg.com/images/themes/theme1/bg.png")</f>
        <v>https://abs.twimg.com/images/themes/theme1/bg.png</v>
      </c>
      <c r="AW613" s="81" t="b">
        <v>0</v>
      </c>
      <c r="AX613" s="81" t="s">
        <v>3728</v>
      </c>
      <c r="AY613" s="84" t="str">
        <f>HYPERLINK("https://twitter.com/spartanwisata")</f>
        <v>https://twitter.com/spartanwisata</v>
      </c>
      <c r="AZ613" s="81" t="s">
        <v>66</v>
      </c>
      <c r="BA613" s="2"/>
      <c r="BB613" s="3"/>
      <c r="BC613" s="3"/>
      <c r="BD613" s="3"/>
      <c r="BE613" s="3"/>
    </row>
    <row r="614" spans="1:57" x14ac:dyDescent="0.35">
      <c r="A614" s="66" t="s">
        <v>4424</v>
      </c>
      <c r="B614" s="67"/>
      <c r="C614" s="67"/>
      <c r="D614" s="68"/>
      <c r="E614" s="94"/>
      <c r="F614" s="93" t="str">
        <f>HYPERLINK("https://pbs.twimg.com/profile_images/1400859404887629824/Rj9-mQ62_normal.jpg")</f>
        <v>https://pbs.twimg.com/profile_images/1400859404887629824/Rj9-mQ62_normal.jpg</v>
      </c>
      <c r="G614" s="95"/>
      <c r="H614" s="71"/>
      <c r="I614" s="72"/>
      <c r="J614" s="96"/>
      <c r="K614" s="71" t="s">
        <v>11767</v>
      </c>
      <c r="L614" s="97"/>
      <c r="M614" s="76"/>
      <c r="N614" s="76"/>
      <c r="O614" s="77"/>
      <c r="P614" s="78"/>
      <c r="Q614" s="78"/>
      <c r="R614" s="92"/>
      <c r="S614" s="92"/>
      <c r="T614" s="92"/>
      <c r="U614" s="92"/>
      <c r="V614" s="52"/>
      <c r="W614" s="52"/>
      <c r="X614" s="52"/>
      <c r="Y614" s="52"/>
      <c r="Z614" s="51"/>
      <c r="AA614" s="73"/>
      <c r="AB614" s="73"/>
      <c r="AC614" s="74"/>
      <c r="AD614" s="81" t="s">
        <v>8393</v>
      </c>
      <c r="AE614" s="86" t="s">
        <v>7858</v>
      </c>
      <c r="AF614" s="81">
        <v>642</v>
      </c>
      <c r="AG614" s="81">
        <v>3691</v>
      </c>
      <c r="AH614" s="81">
        <v>58558</v>
      </c>
      <c r="AI614" s="81">
        <v>53220</v>
      </c>
      <c r="AJ614" s="81"/>
      <c r="AK614" s="81" t="s">
        <v>10367</v>
      </c>
      <c r="AL614" s="81"/>
      <c r="AM614" s="84" t="str">
        <f>HYPERLINK("https://t.co/HLfBWktigi")</f>
        <v>https://t.co/HLfBWktigi</v>
      </c>
      <c r="AN614" s="81"/>
      <c r="AO614" s="83">
        <v>40020.746481481481</v>
      </c>
      <c r="AP614" s="84" t="str">
        <f>HYPERLINK("https://pbs.twimg.com/profile_banners/60356221/1628808586")</f>
        <v>https://pbs.twimg.com/profile_banners/60356221/1628808586</v>
      </c>
      <c r="AQ614" s="81" t="b">
        <v>0</v>
      </c>
      <c r="AR614" s="81" t="b">
        <v>0</v>
      </c>
      <c r="AS614" s="81" t="b">
        <v>1</v>
      </c>
      <c r="AT614" s="81"/>
      <c r="AU614" s="81">
        <v>53</v>
      </c>
      <c r="AV614" s="84" t="str">
        <f>HYPERLINK("https://abs.twimg.com/images/themes/theme15/bg.png")</f>
        <v>https://abs.twimg.com/images/themes/theme15/bg.png</v>
      </c>
      <c r="AW614" s="81" t="b">
        <v>0</v>
      </c>
      <c r="AX614" s="81" t="s">
        <v>3728</v>
      </c>
      <c r="AY614" s="84" t="str">
        <f>HYPERLINK("https://twitter.com/caioaugstor")</f>
        <v>https://twitter.com/caioaugstor</v>
      </c>
      <c r="AZ614" s="81" t="s">
        <v>66</v>
      </c>
      <c r="BA614" s="2"/>
      <c r="BB614" s="3"/>
      <c r="BC614" s="3"/>
      <c r="BD614" s="3"/>
      <c r="BE614" s="3"/>
    </row>
    <row r="615" spans="1:57" x14ac:dyDescent="0.35">
      <c r="A615" s="66" t="s">
        <v>4425</v>
      </c>
      <c r="B615" s="67"/>
      <c r="C615" s="67"/>
      <c r="D615" s="68"/>
      <c r="E615" s="94"/>
      <c r="F615" s="93" t="str">
        <f>HYPERLINK("https://pbs.twimg.com/profile_images/1423599712935063553/tWU4DkIb_normal.jpg")</f>
        <v>https://pbs.twimg.com/profile_images/1423599712935063553/tWU4DkIb_normal.jpg</v>
      </c>
      <c r="G615" s="95"/>
      <c r="H615" s="71"/>
      <c r="I615" s="72"/>
      <c r="J615" s="96"/>
      <c r="K615" s="71" t="s">
        <v>11768</v>
      </c>
      <c r="L615" s="97"/>
      <c r="M615" s="76"/>
      <c r="N615" s="76"/>
      <c r="O615" s="77"/>
      <c r="P615" s="78"/>
      <c r="Q615" s="78"/>
      <c r="R615" s="92"/>
      <c r="S615" s="92"/>
      <c r="T615" s="92"/>
      <c r="U615" s="92"/>
      <c r="V615" s="52"/>
      <c r="W615" s="52"/>
      <c r="X615" s="52"/>
      <c r="Y615" s="52"/>
      <c r="Z615" s="51"/>
      <c r="AA615" s="73"/>
      <c r="AB615" s="73"/>
      <c r="AC615" s="74"/>
      <c r="AD615" s="81" t="s">
        <v>8394</v>
      </c>
      <c r="AE615" s="86" t="s">
        <v>9407</v>
      </c>
      <c r="AF615" s="81">
        <v>29</v>
      </c>
      <c r="AG615" s="81">
        <v>2375</v>
      </c>
      <c r="AH615" s="81">
        <v>671</v>
      </c>
      <c r="AI615" s="81">
        <v>185</v>
      </c>
      <c r="AJ615" s="81"/>
      <c r="AK615" s="81" t="s">
        <v>8394</v>
      </c>
      <c r="AL615" s="81" t="s">
        <v>10998</v>
      </c>
      <c r="AM615" s="84" t="str">
        <f>HYPERLINK("https://t.co/GqcvulYI3C")</f>
        <v>https://t.co/GqcvulYI3C</v>
      </c>
      <c r="AN615" s="81"/>
      <c r="AO615" s="83">
        <v>44294.536863425928</v>
      </c>
      <c r="AP615" s="84" t="str">
        <f>HYPERLINK("https://pbs.twimg.com/profile_banners/1380141606838407169/1618507584")</f>
        <v>https://pbs.twimg.com/profile_banners/1380141606838407169/1618507584</v>
      </c>
      <c r="AQ615" s="81" t="b">
        <v>1</v>
      </c>
      <c r="AR615" s="81" t="b">
        <v>0</v>
      </c>
      <c r="AS615" s="81" t="b">
        <v>0</v>
      </c>
      <c r="AT615" s="81"/>
      <c r="AU615" s="81">
        <v>33</v>
      </c>
      <c r="AV615" s="81"/>
      <c r="AW615" s="81" t="b">
        <v>0</v>
      </c>
      <c r="AX615" s="81" t="s">
        <v>3728</v>
      </c>
      <c r="AY615" s="84" t="str">
        <f>HYPERLINK("https://twitter.com/novosemanario")</f>
        <v>https://twitter.com/novosemanario</v>
      </c>
      <c r="AZ615" s="81" t="s">
        <v>66</v>
      </c>
      <c r="BA615" s="2"/>
      <c r="BB615" s="3"/>
      <c r="BC615" s="3"/>
      <c r="BD615" s="3"/>
      <c r="BE615" s="3"/>
    </row>
    <row r="616" spans="1:57" x14ac:dyDescent="0.35">
      <c r="A616" s="66" t="s">
        <v>422</v>
      </c>
      <c r="B616" s="67"/>
      <c r="C616" s="67"/>
      <c r="D616" s="68"/>
      <c r="E616" s="94"/>
      <c r="F616" s="93" t="str">
        <f>HYPERLINK("https://pbs.twimg.com/profile_images/1440574171356880896/Vkd2KQbq_normal.jpg")</f>
        <v>https://pbs.twimg.com/profile_images/1440574171356880896/Vkd2KQbq_normal.jpg</v>
      </c>
      <c r="G616" s="95"/>
      <c r="H616" s="71"/>
      <c r="I616" s="72"/>
      <c r="J616" s="96"/>
      <c r="K616" s="71" t="s">
        <v>3962</v>
      </c>
      <c r="L616" s="97"/>
      <c r="M616" s="76"/>
      <c r="N616" s="76"/>
      <c r="O616" s="77"/>
      <c r="P616" s="78"/>
      <c r="Q616" s="78"/>
      <c r="R616" s="92"/>
      <c r="S616" s="92"/>
      <c r="T616" s="92"/>
      <c r="U616" s="92"/>
      <c r="V616" s="52"/>
      <c r="W616" s="52"/>
      <c r="X616" s="52"/>
      <c r="Y616" s="52"/>
      <c r="Z616" s="51"/>
      <c r="AA616" s="73"/>
      <c r="AB616" s="73"/>
      <c r="AC616" s="74"/>
      <c r="AD616" s="81" t="s">
        <v>2295</v>
      </c>
      <c r="AE616" s="86" t="s">
        <v>2901</v>
      </c>
      <c r="AF616" s="81">
        <v>39</v>
      </c>
      <c r="AG616" s="81">
        <v>8</v>
      </c>
      <c r="AH616" s="81">
        <v>52</v>
      </c>
      <c r="AI616" s="81">
        <v>44</v>
      </c>
      <c r="AJ616" s="81"/>
      <c r="AK616" s="81" t="s">
        <v>3309</v>
      </c>
      <c r="AL616" s="81" t="s">
        <v>3518</v>
      </c>
      <c r="AM616" s="81"/>
      <c r="AN616" s="81"/>
      <c r="AO616" s="83">
        <v>44389.287534722222</v>
      </c>
      <c r="AP616" s="84" t="str">
        <f>HYPERLINK("https://pbs.twimg.com/profile_banners/1414478114600624131/1632294622")</f>
        <v>https://pbs.twimg.com/profile_banners/1414478114600624131/1632294622</v>
      </c>
      <c r="AQ616" s="81" t="b">
        <v>1</v>
      </c>
      <c r="AR616" s="81" t="b">
        <v>0</v>
      </c>
      <c r="AS616" s="81" t="b">
        <v>0</v>
      </c>
      <c r="AT616" s="81"/>
      <c r="AU616" s="81">
        <v>0</v>
      </c>
      <c r="AV616" s="81"/>
      <c r="AW616" s="81" t="b">
        <v>0</v>
      </c>
      <c r="AX616" s="81" t="s">
        <v>3728</v>
      </c>
      <c r="AY616" s="84" t="str">
        <f>HYPERLINK("https://twitter.com/sohyunjae")</f>
        <v>https://twitter.com/sohyunjae</v>
      </c>
      <c r="AZ616" s="81" t="s">
        <v>66</v>
      </c>
      <c r="BA616" s="2"/>
      <c r="BB616" s="3"/>
      <c r="BC616" s="3"/>
      <c r="BD616" s="3"/>
      <c r="BE616" s="3"/>
    </row>
    <row r="617" spans="1:57" x14ac:dyDescent="0.35">
      <c r="A617" s="66" t="s">
        <v>646</v>
      </c>
      <c r="B617" s="67"/>
      <c r="C617" s="67"/>
      <c r="D617" s="68"/>
      <c r="E617" s="94"/>
      <c r="F617" s="93" t="str">
        <f>HYPERLINK("https://pbs.twimg.com/profile_images/1388888436950532097/ZLlYmXPX_normal.jpg")</f>
        <v>https://pbs.twimg.com/profile_images/1388888436950532097/ZLlYmXPX_normal.jpg</v>
      </c>
      <c r="G617" s="95"/>
      <c r="H617" s="71"/>
      <c r="I617" s="72"/>
      <c r="J617" s="96"/>
      <c r="K617" s="71" t="s">
        <v>3963</v>
      </c>
      <c r="L617" s="97"/>
      <c r="M617" s="76"/>
      <c r="N617" s="76"/>
      <c r="O617" s="77"/>
      <c r="P617" s="78"/>
      <c r="Q617" s="78"/>
      <c r="R617" s="92"/>
      <c r="S617" s="92"/>
      <c r="T617" s="92"/>
      <c r="U617" s="92"/>
      <c r="V617" s="52"/>
      <c r="W617" s="52"/>
      <c r="X617" s="52"/>
      <c r="Y617" s="52"/>
      <c r="Z617" s="51"/>
      <c r="AA617" s="73"/>
      <c r="AB617" s="73"/>
      <c r="AC617" s="74"/>
      <c r="AD617" s="81" t="s">
        <v>2481</v>
      </c>
      <c r="AE617" s="86" t="s">
        <v>2902</v>
      </c>
      <c r="AF617" s="81">
        <v>3</v>
      </c>
      <c r="AG617" s="81">
        <v>8963</v>
      </c>
      <c r="AH617" s="81">
        <v>20259</v>
      </c>
      <c r="AI617" s="81">
        <v>261</v>
      </c>
      <c r="AJ617" s="81"/>
      <c r="AK617" s="81" t="s">
        <v>3310</v>
      </c>
      <c r="AL617" s="81" t="s">
        <v>3514</v>
      </c>
      <c r="AM617" s="84" t="str">
        <f>HYPERLINK("https://t.co/qtGsk5MzdA")</f>
        <v>https://t.co/qtGsk5MzdA</v>
      </c>
      <c r="AN617" s="81"/>
      <c r="AO617" s="83">
        <v>43041.441458333335</v>
      </c>
      <c r="AP617" s="84" t="str">
        <f>HYPERLINK("https://pbs.twimg.com/profile_banners/926035077946998784/1624378396")</f>
        <v>https://pbs.twimg.com/profile_banners/926035077946998784/1624378396</v>
      </c>
      <c r="AQ617" s="81" t="b">
        <v>1</v>
      </c>
      <c r="AR617" s="81" t="b">
        <v>0</v>
      </c>
      <c r="AS617" s="81" t="b">
        <v>0</v>
      </c>
      <c r="AT617" s="81"/>
      <c r="AU617" s="81">
        <v>24</v>
      </c>
      <c r="AV617" s="81"/>
      <c r="AW617" s="81" t="b">
        <v>0</v>
      </c>
      <c r="AX617" s="81" t="s">
        <v>3728</v>
      </c>
      <c r="AY617" s="84" t="str">
        <f>HYPERLINK("https://twitter.com/btstrading_my")</f>
        <v>https://twitter.com/btstrading_my</v>
      </c>
      <c r="AZ617" s="81" t="s">
        <v>65</v>
      </c>
      <c r="BA617" s="2"/>
      <c r="BB617" s="3"/>
      <c r="BC617" s="3"/>
      <c r="BD617" s="3"/>
      <c r="BE617" s="3"/>
    </row>
    <row r="618" spans="1:57" x14ac:dyDescent="0.35">
      <c r="A618" s="66" t="s">
        <v>647</v>
      </c>
      <c r="B618" s="67"/>
      <c r="C618" s="67"/>
      <c r="D618" s="68"/>
      <c r="E618" s="94"/>
      <c r="F618" s="93" t="str">
        <f>HYPERLINK("https://pbs.twimg.com/profile_images/1351179329775030279/Gru-z13J_normal.jpg")</f>
        <v>https://pbs.twimg.com/profile_images/1351179329775030279/Gru-z13J_normal.jpg</v>
      </c>
      <c r="G618" s="95"/>
      <c r="H618" s="71"/>
      <c r="I618" s="72"/>
      <c r="J618" s="96"/>
      <c r="K618" s="71" t="s">
        <v>3964</v>
      </c>
      <c r="L618" s="97"/>
      <c r="M618" s="76"/>
      <c r="N618" s="76"/>
      <c r="O618" s="77"/>
      <c r="P618" s="78"/>
      <c r="Q618" s="78"/>
      <c r="R618" s="92"/>
      <c r="S618" s="92"/>
      <c r="T618" s="92"/>
      <c r="U618" s="92"/>
      <c r="V618" s="52"/>
      <c r="W618" s="52"/>
      <c r="X618" s="52"/>
      <c r="Y618" s="52"/>
      <c r="Z618" s="51"/>
      <c r="AA618" s="73"/>
      <c r="AB618" s="73"/>
      <c r="AC618" s="74"/>
      <c r="AD618" s="81" t="s">
        <v>2482</v>
      </c>
      <c r="AE618" s="86" t="s">
        <v>2903</v>
      </c>
      <c r="AF618" s="81">
        <v>0</v>
      </c>
      <c r="AG618" s="81">
        <v>1408</v>
      </c>
      <c r="AH618" s="81">
        <v>10190</v>
      </c>
      <c r="AI618" s="81">
        <v>0</v>
      </c>
      <c r="AJ618" s="81"/>
      <c r="AK618" s="81" t="s">
        <v>3311</v>
      </c>
      <c r="AL618" s="81" t="s">
        <v>3514</v>
      </c>
      <c r="AM618" s="81"/>
      <c r="AN618" s="81"/>
      <c r="AO618" s="83">
        <v>44089.514745370368</v>
      </c>
      <c r="AP618" s="84" t="str">
        <f>HYPERLINK("https://pbs.twimg.com/profile_banners/1305844067733962754/1619841538")</f>
        <v>https://pbs.twimg.com/profile_banners/1305844067733962754/1619841538</v>
      </c>
      <c r="AQ618" s="81" t="b">
        <v>1</v>
      </c>
      <c r="AR618" s="81" t="b">
        <v>0</v>
      </c>
      <c r="AS618" s="81" t="b">
        <v>0</v>
      </c>
      <c r="AT618" s="81"/>
      <c r="AU618" s="81">
        <v>1</v>
      </c>
      <c r="AV618" s="81"/>
      <c r="AW618" s="81" t="b">
        <v>0</v>
      </c>
      <c r="AX618" s="81" t="s">
        <v>3728</v>
      </c>
      <c r="AY618" s="84" t="str">
        <f>HYPERLINK("https://twitter.com/kpopsellingmy_")</f>
        <v>https://twitter.com/kpopsellingmy_</v>
      </c>
      <c r="AZ618" s="81" t="s">
        <v>65</v>
      </c>
      <c r="BA618" s="2"/>
      <c r="BB618" s="3"/>
      <c r="BC618" s="3"/>
      <c r="BD618" s="3"/>
      <c r="BE618" s="3"/>
    </row>
    <row r="619" spans="1:57" x14ac:dyDescent="0.35">
      <c r="A619" s="66" t="s">
        <v>648</v>
      </c>
      <c r="B619" s="67"/>
      <c r="C619" s="67"/>
      <c r="D619" s="68"/>
      <c r="E619" s="94"/>
      <c r="F619" s="93" t="str">
        <f>HYPERLINK("https://pbs.twimg.com/profile_images/1054229450408120321/4qZ4Gizm_normal.jpg")</f>
        <v>https://pbs.twimg.com/profile_images/1054229450408120321/4qZ4Gizm_normal.jpg</v>
      </c>
      <c r="G619" s="95"/>
      <c r="H619" s="71"/>
      <c r="I619" s="72"/>
      <c r="J619" s="96"/>
      <c r="K619" s="71" t="s">
        <v>11769</v>
      </c>
      <c r="L619" s="97"/>
      <c r="M619" s="76"/>
      <c r="N619" s="76"/>
      <c r="O619" s="77"/>
      <c r="P619" s="78"/>
      <c r="Q619" s="78"/>
      <c r="R619" s="92"/>
      <c r="S619" s="92"/>
      <c r="T619" s="92"/>
      <c r="U619" s="92"/>
      <c r="V619" s="52"/>
      <c r="W619" s="52"/>
      <c r="X619" s="52"/>
      <c r="Y619" s="52"/>
      <c r="Z619" s="51"/>
      <c r="AA619" s="73"/>
      <c r="AB619" s="73"/>
      <c r="AC619" s="74"/>
      <c r="AD619" s="81" t="s">
        <v>2483</v>
      </c>
      <c r="AE619" s="86" t="s">
        <v>2904</v>
      </c>
      <c r="AF619" s="81">
        <v>0</v>
      </c>
      <c r="AG619" s="81">
        <v>1202</v>
      </c>
      <c r="AH619" s="81">
        <v>1817</v>
      </c>
      <c r="AI619" s="81">
        <v>3</v>
      </c>
      <c r="AJ619" s="81"/>
      <c r="AK619" s="81" t="s">
        <v>3312</v>
      </c>
      <c r="AL619" s="81" t="s">
        <v>3505</v>
      </c>
      <c r="AM619" s="81"/>
      <c r="AN619" s="81"/>
      <c r="AO619" s="83">
        <v>43395.186863425923</v>
      </c>
      <c r="AP619" s="81"/>
      <c r="AQ619" s="81" t="b">
        <v>1</v>
      </c>
      <c r="AR619" s="81" t="b">
        <v>0</v>
      </c>
      <c r="AS619" s="81" t="b">
        <v>0</v>
      </c>
      <c r="AT619" s="81"/>
      <c r="AU619" s="81">
        <v>1</v>
      </c>
      <c r="AV619" s="81"/>
      <c r="AW619" s="81" t="b">
        <v>0</v>
      </c>
      <c r="AX619" s="81" t="s">
        <v>3728</v>
      </c>
      <c r="AY619" s="84" t="str">
        <f>HYPERLINK("https://twitter.com/malaysia_trade")</f>
        <v>https://twitter.com/malaysia_trade</v>
      </c>
      <c r="AZ619" s="81" t="s">
        <v>66</v>
      </c>
      <c r="BA619" s="2"/>
      <c r="BB619" s="3"/>
      <c r="BC619" s="3"/>
      <c r="BD619" s="3"/>
      <c r="BE619" s="3"/>
    </row>
    <row r="620" spans="1:57" x14ac:dyDescent="0.35">
      <c r="A620" s="66" t="s">
        <v>649</v>
      </c>
      <c r="B620" s="67"/>
      <c r="C620" s="67"/>
      <c r="D620" s="68"/>
      <c r="E620" s="94"/>
      <c r="F620" s="93" t="str">
        <f>HYPERLINK("https://pbs.twimg.com/profile_images/1353385100021362688/K2wbKzTV_normal.jpg")</f>
        <v>https://pbs.twimg.com/profile_images/1353385100021362688/K2wbKzTV_normal.jpg</v>
      </c>
      <c r="G620" s="95"/>
      <c r="H620" s="71"/>
      <c r="I620" s="72"/>
      <c r="J620" s="96"/>
      <c r="K620" s="71" t="s">
        <v>3965</v>
      </c>
      <c r="L620" s="97"/>
      <c r="M620" s="76"/>
      <c r="N620" s="76"/>
      <c r="O620" s="77"/>
      <c r="P620" s="78"/>
      <c r="Q620" s="78"/>
      <c r="R620" s="92"/>
      <c r="S620" s="92"/>
      <c r="T620" s="92"/>
      <c r="U620" s="92"/>
      <c r="V620" s="52"/>
      <c r="W620" s="52"/>
      <c r="X620" s="52"/>
      <c r="Y620" s="52"/>
      <c r="Z620" s="51"/>
      <c r="AA620" s="73"/>
      <c r="AB620" s="73"/>
      <c r="AC620" s="74"/>
      <c r="AD620" s="81" t="s">
        <v>2484</v>
      </c>
      <c r="AE620" s="86" t="s">
        <v>2905</v>
      </c>
      <c r="AF620" s="81">
        <v>2</v>
      </c>
      <c r="AG620" s="81">
        <v>4510</v>
      </c>
      <c r="AH620" s="81">
        <v>1323</v>
      </c>
      <c r="AI620" s="81">
        <v>0</v>
      </c>
      <c r="AJ620" s="81"/>
      <c r="AK620" s="81" t="s">
        <v>3313</v>
      </c>
      <c r="AL620" s="81">
        <v>60</v>
      </c>
      <c r="AM620" s="84" t="str">
        <f>HYPERLINK("https://t.co/Tl8xL6U7Tc")</f>
        <v>https://t.co/Tl8xL6U7Tc</v>
      </c>
      <c r="AN620" s="81"/>
      <c r="AO620" s="83">
        <v>44220.69635416667</v>
      </c>
      <c r="AP620" s="81"/>
      <c r="AQ620" s="81" t="b">
        <v>1</v>
      </c>
      <c r="AR620" s="81" t="b">
        <v>0</v>
      </c>
      <c r="AS620" s="81" t="b">
        <v>0</v>
      </c>
      <c r="AT620" s="81"/>
      <c r="AU620" s="81">
        <v>9</v>
      </c>
      <c r="AV620" s="81"/>
      <c r="AW620" s="81" t="b">
        <v>0</v>
      </c>
      <c r="AX620" s="81" t="s">
        <v>3728</v>
      </c>
      <c r="AY620" s="84" t="str">
        <f>HYPERLINK("https://twitter.com/pasarbts")</f>
        <v>https://twitter.com/pasarbts</v>
      </c>
      <c r="AZ620" s="81" t="s">
        <v>65</v>
      </c>
      <c r="BA620" s="2"/>
      <c r="BB620" s="3"/>
      <c r="BC620" s="3"/>
      <c r="BD620" s="3"/>
      <c r="BE620" s="3"/>
    </row>
    <row r="621" spans="1:57" x14ac:dyDescent="0.35">
      <c r="A621" s="66" t="s">
        <v>496</v>
      </c>
      <c r="B621" s="67"/>
      <c r="C621" s="67"/>
      <c r="D621" s="68"/>
      <c r="E621" s="94"/>
      <c r="F621" s="93" t="str">
        <f>HYPERLINK("https://pbs.twimg.com/profile_images/1442109259521556484/VfxfvPed_normal.jpg")</f>
        <v>https://pbs.twimg.com/profile_images/1442109259521556484/VfxfvPed_normal.jpg</v>
      </c>
      <c r="G621" s="95"/>
      <c r="H621" s="71"/>
      <c r="I621" s="72"/>
      <c r="J621" s="96"/>
      <c r="K621" s="71" t="s">
        <v>3966</v>
      </c>
      <c r="L621" s="97"/>
      <c r="M621" s="76"/>
      <c r="N621" s="76"/>
      <c r="O621" s="77"/>
      <c r="P621" s="78"/>
      <c r="Q621" s="78"/>
      <c r="R621" s="92"/>
      <c r="S621" s="92"/>
      <c r="T621" s="92"/>
      <c r="U621" s="92"/>
      <c r="V621" s="52"/>
      <c r="W621" s="52"/>
      <c r="X621" s="52"/>
      <c r="Y621" s="52"/>
      <c r="Z621" s="51"/>
      <c r="AA621" s="73"/>
      <c r="AB621" s="73"/>
      <c r="AC621" s="74"/>
      <c r="AD621" s="81" t="s">
        <v>2485</v>
      </c>
      <c r="AE621" s="86" t="s">
        <v>2906</v>
      </c>
      <c r="AF621" s="81">
        <v>477</v>
      </c>
      <c r="AG621" s="81">
        <v>171</v>
      </c>
      <c r="AH621" s="81">
        <v>5877</v>
      </c>
      <c r="AI621" s="81">
        <v>19446</v>
      </c>
      <c r="AJ621" s="81"/>
      <c r="AK621" s="81" t="s">
        <v>3314</v>
      </c>
      <c r="AL621" s="81" t="s">
        <v>3639</v>
      </c>
      <c r="AM621" s="84" t="str">
        <f>HYPERLINK("https://t.co/rND6YWjtBo")</f>
        <v>https://t.co/rND6YWjtBo</v>
      </c>
      <c r="AN621" s="81"/>
      <c r="AO621" s="83">
        <v>43977.433368055557</v>
      </c>
      <c r="AP621" s="84" t="str">
        <f>HYPERLINK("https://pbs.twimg.com/profile_banners/1265227144516362242/1632453106")</f>
        <v>https://pbs.twimg.com/profile_banners/1265227144516362242/1632453106</v>
      </c>
      <c r="AQ621" s="81" t="b">
        <v>1</v>
      </c>
      <c r="AR621" s="81" t="b">
        <v>0</v>
      </c>
      <c r="AS621" s="81" t="b">
        <v>0</v>
      </c>
      <c r="AT621" s="81"/>
      <c r="AU621" s="81">
        <v>0</v>
      </c>
      <c r="AV621" s="81"/>
      <c r="AW621" s="81" t="b">
        <v>0</v>
      </c>
      <c r="AX621" s="81" t="s">
        <v>3728</v>
      </c>
      <c r="AY621" s="84" t="str">
        <f>HYPERLINK("https://twitter.com/vointeuir")</f>
        <v>https://twitter.com/vointeuir</v>
      </c>
      <c r="AZ621" s="81" t="s">
        <v>66</v>
      </c>
      <c r="BA621" s="2"/>
      <c r="BB621" s="3"/>
      <c r="BC621" s="3"/>
      <c r="BD621" s="3"/>
      <c r="BE621" s="3"/>
    </row>
    <row r="622" spans="1:57" x14ac:dyDescent="0.35">
      <c r="A622" s="66" t="s">
        <v>424</v>
      </c>
      <c r="B622" s="67"/>
      <c r="C622" s="67"/>
      <c r="D622" s="68"/>
      <c r="E622" s="94"/>
      <c r="F622" s="93" t="str">
        <f>HYPERLINK("https://pbs.twimg.com/profile_images/1443042698638753796/vdrs6Hk4_normal.jpg")</f>
        <v>https://pbs.twimg.com/profile_images/1443042698638753796/vdrs6Hk4_normal.jpg</v>
      </c>
      <c r="G622" s="95"/>
      <c r="H622" s="71"/>
      <c r="I622" s="72"/>
      <c r="J622" s="96"/>
      <c r="K622" s="71" t="s">
        <v>3967</v>
      </c>
      <c r="L622" s="97"/>
      <c r="M622" s="76"/>
      <c r="N622" s="76"/>
      <c r="O622" s="77"/>
      <c r="P622" s="78"/>
      <c r="Q622" s="78"/>
      <c r="R622" s="92"/>
      <c r="S622" s="92"/>
      <c r="T622" s="92"/>
      <c r="U622" s="92"/>
      <c r="V622" s="52"/>
      <c r="W622" s="52"/>
      <c r="X622" s="52"/>
      <c r="Y622" s="52"/>
      <c r="Z622" s="51"/>
      <c r="AA622" s="73"/>
      <c r="AB622" s="73"/>
      <c r="AC622" s="74"/>
      <c r="AD622" s="81" t="s">
        <v>13477</v>
      </c>
      <c r="AE622" s="86" t="s">
        <v>2907</v>
      </c>
      <c r="AF622" s="81">
        <v>751</v>
      </c>
      <c r="AG622" s="81">
        <v>679</v>
      </c>
      <c r="AH622" s="81">
        <v>48386</v>
      </c>
      <c r="AI622" s="81">
        <v>6384</v>
      </c>
      <c r="AJ622" s="81"/>
      <c r="AK622" s="81" t="s">
        <v>3315</v>
      </c>
      <c r="AL622" s="81" t="s">
        <v>3640</v>
      </c>
      <c r="AM622" s="84" t="str">
        <f>HYPERLINK("https://t.co/FtgmA4qrd5")</f>
        <v>https://t.co/FtgmA4qrd5</v>
      </c>
      <c r="AN622" s="81"/>
      <c r="AO622" s="83">
        <v>44166.351481481484</v>
      </c>
      <c r="AP622" s="84" t="str">
        <f>HYPERLINK("https://pbs.twimg.com/profile_banners/1333688642087186433/1632882993")</f>
        <v>https://pbs.twimg.com/profile_banners/1333688642087186433/1632882993</v>
      </c>
      <c r="AQ622" s="81" t="b">
        <v>1</v>
      </c>
      <c r="AR622" s="81" t="b">
        <v>0</v>
      </c>
      <c r="AS622" s="81" t="b">
        <v>0</v>
      </c>
      <c r="AT622" s="81"/>
      <c r="AU622" s="81">
        <v>9</v>
      </c>
      <c r="AV622" s="81"/>
      <c r="AW622" s="81" t="b">
        <v>0</v>
      </c>
      <c r="AX622" s="81" t="s">
        <v>3728</v>
      </c>
      <c r="AY622" s="84" t="str">
        <f>HYPERLINK("https://twitter.com/vssyie")</f>
        <v>https://twitter.com/vssyie</v>
      </c>
      <c r="AZ622" s="81" t="s">
        <v>66</v>
      </c>
      <c r="BA622" s="2"/>
      <c r="BB622" s="3"/>
      <c r="BC622" s="3"/>
      <c r="BD622" s="3"/>
      <c r="BE622" s="3"/>
    </row>
    <row r="623" spans="1:57" x14ac:dyDescent="0.35">
      <c r="A623" s="66" t="s">
        <v>425</v>
      </c>
      <c r="B623" s="67"/>
      <c r="C623" s="67"/>
      <c r="D623" s="68"/>
      <c r="E623" s="94"/>
      <c r="F623" s="93" t="str">
        <f>HYPERLINK("https://pbs.twimg.com/profile_images/1440129091319959555/nMP8x2Z3_normal.jpg")</f>
        <v>https://pbs.twimg.com/profile_images/1440129091319959555/nMP8x2Z3_normal.jpg</v>
      </c>
      <c r="G623" s="95"/>
      <c r="H623" s="71"/>
      <c r="I623" s="72"/>
      <c r="J623" s="96"/>
      <c r="K623" s="71" t="s">
        <v>3968</v>
      </c>
      <c r="L623" s="97"/>
      <c r="M623" s="76"/>
      <c r="N623" s="76"/>
      <c r="O623" s="77"/>
      <c r="P623" s="78"/>
      <c r="Q623" s="78"/>
      <c r="R623" s="92"/>
      <c r="S623" s="92"/>
      <c r="T623" s="92"/>
      <c r="U623" s="92"/>
      <c r="V623" s="52"/>
      <c r="W623" s="52"/>
      <c r="X623" s="52"/>
      <c r="Y623" s="52"/>
      <c r="Z623" s="51"/>
      <c r="AA623" s="73"/>
      <c r="AB623" s="73"/>
      <c r="AC623" s="74"/>
      <c r="AD623" s="81" t="s">
        <v>2486</v>
      </c>
      <c r="AE623" s="86" t="s">
        <v>2908</v>
      </c>
      <c r="AF623" s="81">
        <v>615</v>
      </c>
      <c r="AG623" s="81">
        <v>626</v>
      </c>
      <c r="AH623" s="81">
        <v>4200</v>
      </c>
      <c r="AI623" s="81">
        <v>2864</v>
      </c>
      <c r="AJ623" s="81"/>
      <c r="AK623" s="81" t="s">
        <v>3316</v>
      </c>
      <c r="AL623" s="81" t="s">
        <v>3641</v>
      </c>
      <c r="AM623" s="81"/>
      <c r="AN623" s="81"/>
      <c r="AO623" s="83">
        <v>44335.707442129627</v>
      </c>
      <c r="AP623" s="84" t="str">
        <f>HYPERLINK("https://pbs.twimg.com/profile_banners/1395061312518987776/1632504115")</f>
        <v>https://pbs.twimg.com/profile_banners/1395061312518987776/1632504115</v>
      </c>
      <c r="AQ623" s="81" t="b">
        <v>1</v>
      </c>
      <c r="AR623" s="81" t="b">
        <v>0</v>
      </c>
      <c r="AS623" s="81" t="b">
        <v>0</v>
      </c>
      <c r="AT623" s="81"/>
      <c r="AU623" s="81">
        <v>0</v>
      </c>
      <c r="AV623" s="81"/>
      <c r="AW623" s="81" t="b">
        <v>0</v>
      </c>
      <c r="AX623" s="81" t="s">
        <v>3728</v>
      </c>
      <c r="AY623" s="84" t="str">
        <f>HYPERLINK("https://twitter.com/taestrowbeary")</f>
        <v>https://twitter.com/taestrowbeary</v>
      </c>
      <c r="AZ623" s="81" t="s">
        <v>66</v>
      </c>
      <c r="BA623" s="2"/>
      <c r="BB623" s="3"/>
      <c r="BC623" s="3"/>
      <c r="BD623" s="3"/>
      <c r="BE623" s="3"/>
    </row>
    <row r="624" spans="1:57" x14ac:dyDescent="0.35">
      <c r="A624" s="66" t="s">
        <v>426</v>
      </c>
      <c r="B624" s="67"/>
      <c r="C624" s="67"/>
      <c r="D624" s="68"/>
      <c r="E624" s="94"/>
      <c r="F624" s="93" t="str">
        <f>HYPERLINK("https://pbs.twimg.com/profile_images/1443192602531012609/BvB5udUE_normal.jpg")</f>
        <v>https://pbs.twimg.com/profile_images/1443192602531012609/BvB5udUE_normal.jpg</v>
      </c>
      <c r="G624" s="95"/>
      <c r="H624" s="71"/>
      <c r="I624" s="72"/>
      <c r="J624" s="96"/>
      <c r="K624" s="71" t="s">
        <v>3969</v>
      </c>
      <c r="L624" s="97"/>
      <c r="M624" s="76"/>
      <c r="N624" s="76"/>
      <c r="O624" s="77"/>
      <c r="P624" s="78"/>
      <c r="Q624" s="78"/>
      <c r="R624" s="92"/>
      <c r="S624" s="92"/>
      <c r="T624" s="92"/>
      <c r="U624" s="92"/>
      <c r="V624" s="52"/>
      <c r="W624" s="52"/>
      <c r="X624" s="52"/>
      <c r="Y624" s="52"/>
      <c r="Z624" s="51"/>
      <c r="AA624" s="73"/>
      <c r="AB624" s="73"/>
      <c r="AC624" s="74"/>
      <c r="AD624" s="81" t="s">
        <v>2487</v>
      </c>
      <c r="AE624" s="86" t="s">
        <v>2909</v>
      </c>
      <c r="AF624" s="81">
        <v>798</v>
      </c>
      <c r="AG624" s="81">
        <v>777</v>
      </c>
      <c r="AH624" s="81">
        <v>4575</v>
      </c>
      <c r="AI624" s="81">
        <v>8191</v>
      </c>
      <c r="AJ624" s="81"/>
      <c r="AK624" s="81" t="s">
        <v>3317</v>
      </c>
      <c r="AL624" s="81">
        <v>60</v>
      </c>
      <c r="AM624" s="81"/>
      <c r="AN624" s="81"/>
      <c r="AO624" s="83">
        <v>43945.636516203704</v>
      </c>
      <c r="AP624" s="84" t="str">
        <f>HYPERLINK("https://pbs.twimg.com/profile_banners/1253704232999415808/1632763008")</f>
        <v>https://pbs.twimg.com/profile_banners/1253704232999415808/1632763008</v>
      </c>
      <c r="AQ624" s="81" t="b">
        <v>1</v>
      </c>
      <c r="AR624" s="81" t="b">
        <v>0</v>
      </c>
      <c r="AS624" s="81" t="b">
        <v>0</v>
      </c>
      <c r="AT624" s="81"/>
      <c r="AU624" s="81">
        <v>2</v>
      </c>
      <c r="AV624" s="81"/>
      <c r="AW624" s="81" t="b">
        <v>0</v>
      </c>
      <c r="AX624" s="81" t="s">
        <v>3728</v>
      </c>
      <c r="AY624" s="84" t="str">
        <f>HYPERLINK("https://twitter.com/lvlyytaetae")</f>
        <v>https://twitter.com/lvlyytaetae</v>
      </c>
      <c r="AZ624" s="81" t="s">
        <v>66</v>
      </c>
      <c r="BA624" s="2"/>
      <c r="BB624" s="3"/>
      <c r="BC624" s="3"/>
      <c r="BD624" s="3"/>
      <c r="BE624" s="3"/>
    </row>
    <row r="625" spans="1:57" x14ac:dyDescent="0.35">
      <c r="A625" s="66" t="s">
        <v>427</v>
      </c>
      <c r="B625" s="67"/>
      <c r="C625" s="67"/>
      <c r="D625" s="68"/>
      <c r="E625" s="94"/>
      <c r="F625" s="93" t="str">
        <f>HYPERLINK("https://pbs.twimg.com/profile_images/1442189269670371331/FOPaCQVb_normal.jpg")</f>
        <v>https://pbs.twimg.com/profile_images/1442189269670371331/FOPaCQVb_normal.jpg</v>
      </c>
      <c r="G625" s="95"/>
      <c r="H625" s="71"/>
      <c r="I625" s="72"/>
      <c r="J625" s="96"/>
      <c r="K625" s="71" t="s">
        <v>3970</v>
      </c>
      <c r="L625" s="97"/>
      <c r="M625" s="76"/>
      <c r="N625" s="76"/>
      <c r="O625" s="77"/>
      <c r="P625" s="78"/>
      <c r="Q625" s="78"/>
      <c r="R625" s="92"/>
      <c r="S625" s="92"/>
      <c r="T625" s="92"/>
      <c r="U625" s="92"/>
      <c r="V625" s="52"/>
      <c r="W625" s="52"/>
      <c r="X625" s="52"/>
      <c r="Y625" s="52"/>
      <c r="Z625" s="51"/>
      <c r="AA625" s="73"/>
      <c r="AB625" s="73"/>
      <c r="AC625" s="74"/>
      <c r="AD625" s="81" t="s">
        <v>2488</v>
      </c>
      <c r="AE625" s="86" t="s">
        <v>2910</v>
      </c>
      <c r="AF625" s="81">
        <v>546</v>
      </c>
      <c r="AG625" s="81">
        <v>550</v>
      </c>
      <c r="AH625" s="81">
        <v>5477</v>
      </c>
      <c r="AI625" s="81">
        <v>5372</v>
      </c>
      <c r="AJ625" s="81"/>
      <c r="AK625" s="81" t="s">
        <v>3318</v>
      </c>
      <c r="AL625" s="81" t="s">
        <v>3642</v>
      </c>
      <c r="AM625" s="81"/>
      <c r="AN625" s="81"/>
      <c r="AO625" s="83">
        <v>44349.366435185184</v>
      </c>
      <c r="AP625" s="84" t="str">
        <f>HYPERLINK("https://pbs.twimg.com/profile_banners/1400011086259130368/1631890331")</f>
        <v>https://pbs.twimg.com/profile_banners/1400011086259130368/1631890331</v>
      </c>
      <c r="AQ625" s="81" t="b">
        <v>1</v>
      </c>
      <c r="AR625" s="81" t="b">
        <v>0</v>
      </c>
      <c r="AS625" s="81" t="b">
        <v>0</v>
      </c>
      <c r="AT625" s="81"/>
      <c r="AU625" s="81">
        <v>2</v>
      </c>
      <c r="AV625" s="81"/>
      <c r="AW625" s="81" t="b">
        <v>0</v>
      </c>
      <c r="AX625" s="81" t="s">
        <v>3728</v>
      </c>
      <c r="AY625" s="84" t="str">
        <f>HYPERLINK("https://twitter.com/kittywonieee")</f>
        <v>https://twitter.com/kittywonieee</v>
      </c>
      <c r="AZ625" s="81" t="s">
        <v>66</v>
      </c>
      <c r="BA625" s="2"/>
      <c r="BB625" s="3"/>
      <c r="BC625" s="3"/>
      <c r="BD625" s="3"/>
      <c r="BE625" s="3"/>
    </row>
    <row r="626" spans="1:57" x14ac:dyDescent="0.35">
      <c r="A626" s="66" t="s">
        <v>4426</v>
      </c>
      <c r="B626" s="67"/>
      <c r="C626" s="67"/>
      <c r="D626" s="68"/>
      <c r="E626" s="94"/>
      <c r="F626" s="93" t="str">
        <f>HYPERLINK("https://pbs.twimg.com/profile_images/1007421610276638721/fotlRiCd_normal.jpg")</f>
        <v>https://pbs.twimg.com/profile_images/1007421610276638721/fotlRiCd_normal.jpg</v>
      </c>
      <c r="G626" s="95"/>
      <c r="H626" s="71"/>
      <c r="I626" s="72"/>
      <c r="J626" s="96"/>
      <c r="K626" s="71" t="s">
        <v>11770</v>
      </c>
      <c r="L626" s="97"/>
      <c r="M626" s="76"/>
      <c r="N626" s="76"/>
      <c r="O626" s="77"/>
      <c r="P626" s="78"/>
      <c r="Q626" s="78"/>
      <c r="R626" s="92"/>
      <c r="S626" s="92"/>
      <c r="T626" s="92"/>
      <c r="U626" s="92"/>
      <c r="V626" s="52"/>
      <c r="W626" s="52"/>
      <c r="X626" s="52"/>
      <c r="Y626" s="52"/>
      <c r="Z626" s="51"/>
      <c r="AA626" s="73"/>
      <c r="AB626" s="73"/>
      <c r="AC626" s="74"/>
      <c r="AD626" s="81" t="s">
        <v>8395</v>
      </c>
      <c r="AE626" s="86" t="s">
        <v>9408</v>
      </c>
      <c r="AF626" s="81">
        <v>1162</v>
      </c>
      <c r="AG626" s="81">
        <v>355401</v>
      </c>
      <c r="AH626" s="81">
        <v>525004</v>
      </c>
      <c r="AI626" s="81">
        <v>158</v>
      </c>
      <c r="AJ626" s="81"/>
      <c r="AK626" s="81" t="s">
        <v>10368</v>
      </c>
      <c r="AL626" s="81" t="s">
        <v>10990</v>
      </c>
      <c r="AM626" s="84" t="str">
        <f>HYPERLINK("https://t.co/grxB55NBBF")</f>
        <v>https://t.co/grxB55NBBF</v>
      </c>
      <c r="AN626" s="81"/>
      <c r="AO626" s="83">
        <v>39841.728831018518</v>
      </c>
      <c r="AP626" s="84" t="str">
        <f>HYPERLINK("https://pbs.twimg.com/profile_banners/19663485/1580316757")</f>
        <v>https://pbs.twimg.com/profile_banners/19663485/1580316757</v>
      </c>
      <c r="AQ626" s="81" t="b">
        <v>0</v>
      </c>
      <c r="AR626" s="81" t="b">
        <v>0</v>
      </c>
      <c r="AS626" s="81" t="b">
        <v>1</v>
      </c>
      <c r="AT626" s="81"/>
      <c r="AU626" s="81">
        <v>1425</v>
      </c>
      <c r="AV626" s="84" t="str">
        <f>HYPERLINK("https://abs.twimg.com/images/themes/theme1/bg.png")</f>
        <v>https://abs.twimg.com/images/themes/theme1/bg.png</v>
      </c>
      <c r="AW626" s="81" t="b">
        <v>1</v>
      </c>
      <c r="AX626" s="81" t="s">
        <v>3728</v>
      </c>
      <c r="AY626" s="84" t="str">
        <f>HYPERLINK("https://twitter.com/record_portugal")</f>
        <v>https://twitter.com/record_portugal</v>
      </c>
      <c r="AZ626" s="81" t="s">
        <v>66</v>
      </c>
      <c r="BA626" s="2"/>
      <c r="BB626" s="3"/>
      <c r="BC626" s="3"/>
      <c r="BD626" s="3"/>
      <c r="BE626" s="3"/>
    </row>
    <row r="627" spans="1:57" x14ac:dyDescent="0.35">
      <c r="A627" s="66" t="s">
        <v>428</v>
      </c>
      <c r="B627" s="67"/>
      <c r="C627" s="67"/>
      <c r="D627" s="68"/>
      <c r="E627" s="94"/>
      <c r="F627" s="93" t="str">
        <f>HYPERLINK("https://pbs.twimg.com/profile_images/1434839545275568130/gsBeOv4k_normal.jpg")</f>
        <v>https://pbs.twimg.com/profile_images/1434839545275568130/gsBeOv4k_normal.jpg</v>
      </c>
      <c r="G627" s="95"/>
      <c r="H627" s="71"/>
      <c r="I627" s="72"/>
      <c r="J627" s="96"/>
      <c r="K627" s="71" t="s">
        <v>3971</v>
      </c>
      <c r="L627" s="97"/>
      <c r="M627" s="76"/>
      <c r="N627" s="76"/>
      <c r="O627" s="77"/>
      <c r="P627" s="78"/>
      <c r="Q627" s="78"/>
      <c r="R627" s="92"/>
      <c r="S627" s="92"/>
      <c r="T627" s="92"/>
      <c r="U627" s="92"/>
      <c r="V627" s="52"/>
      <c r="W627" s="52"/>
      <c r="X627" s="52"/>
      <c r="Y627" s="52"/>
      <c r="Z627" s="51"/>
      <c r="AA627" s="73"/>
      <c r="AB627" s="73"/>
      <c r="AC627" s="74"/>
      <c r="AD627" s="81" t="s">
        <v>2489</v>
      </c>
      <c r="AE627" s="86" t="s">
        <v>2911</v>
      </c>
      <c r="AF627" s="81">
        <v>77</v>
      </c>
      <c r="AG627" s="81">
        <v>63</v>
      </c>
      <c r="AH627" s="81">
        <v>87</v>
      </c>
      <c r="AI627" s="81">
        <v>50</v>
      </c>
      <c r="AJ627" s="81"/>
      <c r="AK627" s="81"/>
      <c r="AL627" s="81"/>
      <c r="AM627" s="81"/>
      <c r="AN627" s="81"/>
      <c r="AO627" s="83">
        <v>44250.531793981485</v>
      </c>
      <c r="AP627" s="84" t="str">
        <f>HYPERLINK("https://pbs.twimg.com/profile_banners/1364194708646371331/1632586132")</f>
        <v>https://pbs.twimg.com/profile_banners/1364194708646371331/1632586132</v>
      </c>
      <c r="AQ627" s="81" t="b">
        <v>1</v>
      </c>
      <c r="AR627" s="81" t="b">
        <v>0</v>
      </c>
      <c r="AS627" s="81" t="b">
        <v>0</v>
      </c>
      <c r="AT627" s="81"/>
      <c r="AU627" s="81">
        <v>0</v>
      </c>
      <c r="AV627" s="81"/>
      <c r="AW627" s="81" t="b">
        <v>0</v>
      </c>
      <c r="AX627" s="81" t="s">
        <v>3728</v>
      </c>
      <c r="AY627" s="84" t="str">
        <f>HYPERLINK("https://twitter.com/jeonginfoxyny")</f>
        <v>https://twitter.com/jeonginfoxyny</v>
      </c>
      <c r="AZ627" s="81" t="s">
        <v>66</v>
      </c>
      <c r="BA627" s="2"/>
      <c r="BB627" s="3"/>
      <c r="BC627" s="3"/>
      <c r="BD627" s="3"/>
      <c r="BE627" s="3"/>
    </row>
    <row r="628" spans="1:57" x14ac:dyDescent="0.35">
      <c r="A628" s="66" t="s">
        <v>4428</v>
      </c>
      <c r="B628" s="67"/>
      <c r="C628" s="67"/>
      <c r="D628" s="68"/>
      <c r="E628" s="94"/>
      <c r="F628" s="93" t="str">
        <f>HYPERLINK("https://pbs.twimg.com/profile_images/1409551400166596608/IAc4VGtf_normal.jpg")</f>
        <v>https://pbs.twimg.com/profile_images/1409551400166596608/IAc4VGtf_normal.jpg</v>
      </c>
      <c r="G628" s="95"/>
      <c r="H628" s="71"/>
      <c r="I628" s="72"/>
      <c r="J628" s="96"/>
      <c r="K628" s="71" t="s">
        <v>11771</v>
      </c>
      <c r="L628" s="97"/>
      <c r="M628" s="76"/>
      <c r="N628" s="76"/>
      <c r="O628" s="77"/>
      <c r="P628" s="78"/>
      <c r="Q628" s="78"/>
      <c r="R628" s="92"/>
      <c r="S628" s="92"/>
      <c r="T628" s="92"/>
      <c r="U628" s="92"/>
      <c r="V628" s="52"/>
      <c r="W628" s="52"/>
      <c r="X628" s="52"/>
      <c r="Y628" s="52"/>
      <c r="Z628" s="51"/>
      <c r="AA628" s="73"/>
      <c r="AB628" s="73"/>
      <c r="AC628" s="74"/>
      <c r="AD628" s="81" t="s">
        <v>8396</v>
      </c>
      <c r="AE628" s="86" t="s">
        <v>9409</v>
      </c>
      <c r="AF628" s="81">
        <v>1</v>
      </c>
      <c r="AG628" s="81">
        <v>433</v>
      </c>
      <c r="AH628" s="81">
        <v>752</v>
      </c>
      <c r="AI628" s="81">
        <v>301</v>
      </c>
      <c r="AJ628" s="81"/>
      <c r="AK628" s="81" t="s">
        <v>10369</v>
      </c>
      <c r="AL628" s="81"/>
      <c r="AM628" s="81"/>
      <c r="AN628" s="81"/>
      <c r="AO628" s="83">
        <v>43925.463807870372</v>
      </c>
      <c r="AP628" s="84" t="str">
        <f>HYPERLINK("https://pbs.twimg.com/profile_banners/1246394020076503041/1624898478")</f>
        <v>https://pbs.twimg.com/profile_banners/1246394020076503041/1624898478</v>
      </c>
      <c r="AQ628" s="81" t="b">
        <v>1</v>
      </c>
      <c r="AR628" s="81" t="b">
        <v>0</v>
      </c>
      <c r="AS628" s="81" t="b">
        <v>0</v>
      </c>
      <c r="AT628" s="81"/>
      <c r="AU628" s="81">
        <v>0</v>
      </c>
      <c r="AV628" s="81"/>
      <c r="AW628" s="81" t="b">
        <v>0</v>
      </c>
      <c r="AX628" s="81" t="s">
        <v>3728</v>
      </c>
      <c r="AY628" s="84" t="str">
        <f>HYPERLINK("https://twitter.com/pasaratiny")</f>
        <v>https://twitter.com/pasaratiny</v>
      </c>
      <c r="AZ628" s="81" t="s">
        <v>66</v>
      </c>
      <c r="BA628" s="2"/>
      <c r="BB628" s="3"/>
      <c r="BC628" s="3"/>
      <c r="BD628" s="3"/>
      <c r="BE628" s="3"/>
    </row>
    <row r="629" spans="1:57" x14ac:dyDescent="0.35">
      <c r="A629" s="66" t="s">
        <v>429</v>
      </c>
      <c r="B629" s="67"/>
      <c r="C629" s="67"/>
      <c r="D629" s="68"/>
      <c r="E629" s="94"/>
      <c r="F629" s="93" t="str">
        <f>HYPERLINK("https://pbs.twimg.com/profile_images/1436728417743892482/0q6dCzqq_normal.jpg")</f>
        <v>https://pbs.twimg.com/profile_images/1436728417743892482/0q6dCzqq_normal.jpg</v>
      </c>
      <c r="G629" s="95"/>
      <c r="H629" s="71"/>
      <c r="I629" s="72"/>
      <c r="J629" s="96"/>
      <c r="K629" s="71" t="s">
        <v>3972</v>
      </c>
      <c r="L629" s="97"/>
      <c r="M629" s="76"/>
      <c r="N629" s="76"/>
      <c r="O629" s="77"/>
      <c r="P629" s="78"/>
      <c r="Q629" s="78"/>
      <c r="R629" s="92"/>
      <c r="S629" s="92"/>
      <c r="T629" s="92"/>
      <c r="U629" s="92"/>
      <c r="V629" s="52"/>
      <c r="W629" s="52"/>
      <c r="X629" s="52"/>
      <c r="Y629" s="52"/>
      <c r="Z629" s="51"/>
      <c r="AA629" s="73"/>
      <c r="AB629" s="73"/>
      <c r="AC629" s="74"/>
      <c r="AD629" s="81" t="s">
        <v>2490</v>
      </c>
      <c r="AE629" s="86" t="s">
        <v>2912</v>
      </c>
      <c r="AF629" s="81">
        <v>632</v>
      </c>
      <c r="AG629" s="81">
        <v>760</v>
      </c>
      <c r="AH629" s="81">
        <v>7081</v>
      </c>
      <c r="AI629" s="81">
        <v>9489</v>
      </c>
      <c r="AJ629" s="81"/>
      <c r="AK629" s="81" t="s">
        <v>3319</v>
      </c>
      <c r="AL629" s="81" t="s">
        <v>3287</v>
      </c>
      <c r="AM629" s="81"/>
      <c r="AN629" s="81"/>
      <c r="AO629" s="83">
        <v>42018.606712962966</v>
      </c>
      <c r="AP629" s="84" t="str">
        <f>HYPERLINK("https://pbs.twimg.com/profile_banners/2982897925/1627587297")</f>
        <v>https://pbs.twimg.com/profile_banners/2982897925/1627587297</v>
      </c>
      <c r="AQ629" s="81" t="b">
        <v>0</v>
      </c>
      <c r="AR629" s="81" t="b">
        <v>0</v>
      </c>
      <c r="AS629" s="81" t="b">
        <v>0</v>
      </c>
      <c r="AT629" s="81"/>
      <c r="AU629" s="81">
        <v>8</v>
      </c>
      <c r="AV629" s="84" t="str">
        <f>HYPERLINK("https://abs.twimg.com/images/themes/theme1/bg.png")</f>
        <v>https://abs.twimg.com/images/themes/theme1/bg.png</v>
      </c>
      <c r="AW629" s="81" t="b">
        <v>0</v>
      </c>
      <c r="AX629" s="81" t="s">
        <v>3728</v>
      </c>
      <c r="AY629" s="84" t="str">
        <f>HYPERLINK("https://twitter.com/aesthetichees")</f>
        <v>https://twitter.com/aesthetichees</v>
      </c>
      <c r="AZ629" s="81" t="s">
        <v>66</v>
      </c>
      <c r="BA629" s="2"/>
      <c r="BB629" s="3"/>
      <c r="BC629" s="3"/>
      <c r="BD629" s="3"/>
      <c r="BE629" s="3"/>
    </row>
    <row r="630" spans="1:57" x14ac:dyDescent="0.35">
      <c r="A630" s="66" t="s">
        <v>430</v>
      </c>
      <c r="B630" s="67"/>
      <c r="C630" s="67"/>
      <c r="D630" s="68"/>
      <c r="E630" s="94"/>
      <c r="F630" s="93" t="str">
        <f>HYPERLINK("https://pbs.twimg.com/profile_images/1438855985397846016/a7b6BILA_normal.jpg")</f>
        <v>https://pbs.twimg.com/profile_images/1438855985397846016/a7b6BILA_normal.jpg</v>
      </c>
      <c r="G630" s="95"/>
      <c r="H630" s="71"/>
      <c r="I630" s="72"/>
      <c r="J630" s="96"/>
      <c r="K630" s="71" t="s">
        <v>3973</v>
      </c>
      <c r="L630" s="97"/>
      <c r="M630" s="76"/>
      <c r="N630" s="76"/>
      <c r="O630" s="77"/>
      <c r="P630" s="78"/>
      <c r="Q630" s="78"/>
      <c r="R630" s="92"/>
      <c r="S630" s="92"/>
      <c r="T630" s="92"/>
      <c r="U630" s="92"/>
      <c r="V630" s="52"/>
      <c r="W630" s="52"/>
      <c r="X630" s="52"/>
      <c r="Y630" s="52"/>
      <c r="Z630" s="51"/>
      <c r="AA630" s="73"/>
      <c r="AB630" s="73"/>
      <c r="AC630" s="74"/>
      <c r="AD630" s="81" t="s">
        <v>2491</v>
      </c>
      <c r="AE630" s="86" t="s">
        <v>2913</v>
      </c>
      <c r="AF630" s="81">
        <v>652</v>
      </c>
      <c r="AG630" s="81">
        <v>488</v>
      </c>
      <c r="AH630" s="81">
        <v>7092</v>
      </c>
      <c r="AI630" s="81">
        <v>9285</v>
      </c>
      <c r="AJ630" s="81"/>
      <c r="AK630" s="81" t="s">
        <v>3320</v>
      </c>
      <c r="AL630" s="81"/>
      <c r="AM630" s="84" t="str">
        <f>HYPERLINK("https://t.co/qbItNxxaKD")</f>
        <v>https://t.co/qbItNxxaKD</v>
      </c>
      <c r="AN630" s="81"/>
      <c r="AO630" s="83">
        <v>43385.176759259259</v>
      </c>
      <c r="AP630" s="84" t="str">
        <f>HYPERLINK("https://pbs.twimg.com/profile_banners/1050600582627487746/1631884286")</f>
        <v>https://pbs.twimg.com/profile_banners/1050600582627487746/1631884286</v>
      </c>
      <c r="AQ630" s="81" t="b">
        <v>1</v>
      </c>
      <c r="AR630" s="81" t="b">
        <v>0</v>
      </c>
      <c r="AS630" s="81" t="b">
        <v>0</v>
      </c>
      <c r="AT630" s="81"/>
      <c r="AU630" s="81">
        <v>6</v>
      </c>
      <c r="AV630" s="81"/>
      <c r="AW630" s="81" t="b">
        <v>0</v>
      </c>
      <c r="AX630" s="81" t="s">
        <v>3728</v>
      </c>
      <c r="AY630" s="84" t="str">
        <f>HYPERLINK("https://twitter.com/jkzty")</f>
        <v>https://twitter.com/jkzty</v>
      </c>
      <c r="AZ630" s="81" t="s">
        <v>66</v>
      </c>
      <c r="BA630" s="2"/>
      <c r="BB630" s="3"/>
      <c r="BC630" s="3"/>
      <c r="BD630" s="3"/>
      <c r="BE630" s="3"/>
    </row>
    <row r="631" spans="1:57" x14ac:dyDescent="0.35">
      <c r="A631" s="66" t="s">
        <v>4429</v>
      </c>
      <c r="B631" s="67"/>
      <c r="C631" s="67"/>
      <c r="D631" s="68"/>
      <c r="E631" s="94"/>
      <c r="F631" s="93" t="str">
        <f>HYPERLINK("https://pbs.twimg.com/profile_images/1435445534039412748/BJr2Basj_normal.jpg")</f>
        <v>https://pbs.twimg.com/profile_images/1435445534039412748/BJr2Basj_normal.jpg</v>
      </c>
      <c r="G631" s="95"/>
      <c r="H631" s="71"/>
      <c r="I631" s="72"/>
      <c r="J631" s="96"/>
      <c r="K631" s="71" t="s">
        <v>11772</v>
      </c>
      <c r="L631" s="97"/>
      <c r="M631" s="76"/>
      <c r="N631" s="76"/>
      <c r="O631" s="77"/>
      <c r="P631" s="78"/>
      <c r="Q631" s="78"/>
      <c r="R631" s="92"/>
      <c r="S631" s="92"/>
      <c r="T631" s="92"/>
      <c r="U631" s="92"/>
      <c r="V631" s="52"/>
      <c r="W631" s="52"/>
      <c r="X631" s="52"/>
      <c r="Y631" s="52"/>
      <c r="Z631" s="51"/>
      <c r="AA631" s="73"/>
      <c r="AB631" s="73"/>
      <c r="AC631" s="74"/>
      <c r="AD631" s="81" t="s">
        <v>8397</v>
      </c>
      <c r="AE631" s="86" t="s">
        <v>9410</v>
      </c>
      <c r="AF631" s="81">
        <v>1584</v>
      </c>
      <c r="AG631" s="81">
        <v>1482</v>
      </c>
      <c r="AH631" s="81">
        <v>11455</v>
      </c>
      <c r="AI631" s="81">
        <v>6788</v>
      </c>
      <c r="AJ631" s="81"/>
      <c r="AK631" s="81" t="s">
        <v>10370</v>
      </c>
      <c r="AL631" s="81"/>
      <c r="AM631" s="81"/>
      <c r="AN631" s="81"/>
      <c r="AO631" s="83">
        <v>43655.684849537036</v>
      </c>
      <c r="AP631" s="84" t="str">
        <f>HYPERLINK("https://pbs.twimg.com/profile_banners/1148629429620547584/1630698953")</f>
        <v>https://pbs.twimg.com/profile_banners/1148629429620547584/1630698953</v>
      </c>
      <c r="AQ631" s="81" t="b">
        <v>1</v>
      </c>
      <c r="AR631" s="81" t="b">
        <v>0</v>
      </c>
      <c r="AS631" s="81" t="b">
        <v>0</v>
      </c>
      <c r="AT631" s="81"/>
      <c r="AU631" s="81">
        <v>0</v>
      </c>
      <c r="AV631" s="81"/>
      <c r="AW631" s="81" t="b">
        <v>0</v>
      </c>
      <c r="AX631" s="81" t="s">
        <v>3728</v>
      </c>
      <c r="AY631" s="84" t="str">
        <f>HYPERLINK("https://twitter.com/cintiapb2")</f>
        <v>https://twitter.com/cintiapb2</v>
      </c>
      <c r="AZ631" s="81" t="s">
        <v>66</v>
      </c>
      <c r="BA631" s="2"/>
      <c r="BB631" s="3"/>
      <c r="BC631" s="3"/>
      <c r="BD631" s="3"/>
      <c r="BE631" s="3"/>
    </row>
    <row r="632" spans="1:57" x14ac:dyDescent="0.35">
      <c r="A632" s="66" t="s">
        <v>5082</v>
      </c>
      <c r="B632" s="67"/>
      <c r="C632" s="67"/>
      <c r="D632" s="68"/>
      <c r="E632" s="94"/>
      <c r="F632" s="93" t="str">
        <f>HYPERLINK("https://pbs.twimg.com/profile_images/1375481189184778240/8Psz-dVn_normal.jpg")</f>
        <v>https://pbs.twimg.com/profile_images/1375481189184778240/8Psz-dVn_normal.jpg</v>
      </c>
      <c r="G632" s="95"/>
      <c r="H632" s="71"/>
      <c r="I632" s="72"/>
      <c r="J632" s="96"/>
      <c r="K632" s="71" t="s">
        <v>11773</v>
      </c>
      <c r="L632" s="97"/>
      <c r="M632" s="76"/>
      <c r="N632" s="76"/>
      <c r="O632" s="77"/>
      <c r="P632" s="78"/>
      <c r="Q632" s="78"/>
      <c r="R632" s="92"/>
      <c r="S632" s="92"/>
      <c r="T632" s="92"/>
      <c r="U632" s="92"/>
      <c r="V632" s="52"/>
      <c r="W632" s="52"/>
      <c r="X632" s="52"/>
      <c r="Y632" s="52"/>
      <c r="Z632" s="51"/>
      <c r="AA632" s="73"/>
      <c r="AB632" s="73"/>
      <c r="AC632" s="74"/>
      <c r="AD632" s="81" t="s">
        <v>8398</v>
      </c>
      <c r="AE632" s="86" t="s">
        <v>7859</v>
      </c>
      <c r="AF632" s="81">
        <v>1261</v>
      </c>
      <c r="AG632" s="81">
        <v>499505</v>
      </c>
      <c r="AH632" s="81">
        <v>31594</v>
      </c>
      <c r="AI632" s="81">
        <v>7655</v>
      </c>
      <c r="AJ632" s="81"/>
      <c r="AK632" s="81" t="s">
        <v>13934</v>
      </c>
      <c r="AL632" s="81" t="s">
        <v>10973</v>
      </c>
      <c r="AM632" s="84" t="str">
        <f>HYPERLINK("https://t.co/FxD2UHJn0e")</f>
        <v>https://t.co/FxD2UHJn0e</v>
      </c>
      <c r="AN632" s="81"/>
      <c r="AO632" s="83">
        <v>39943.900914351849</v>
      </c>
      <c r="AP632" s="84" t="str">
        <f>HYPERLINK("https://pbs.twimg.com/profile_banners/39116717/1625516435")</f>
        <v>https://pbs.twimg.com/profile_banners/39116717/1625516435</v>
      </c>
      <c r="AQ632" s="81" t="b">
        <v>0</v>
      </c>
      <c r="AR632" s="81" t="b">
        <v>0</v>
      </c>
      <c r="AS632" s="81" t="b">
        <v>1</v>
      </c>
      <c r="AT632" s="81"/>
      <c r="AU632" s="81">
        <v>1171</v>
      </c>
      <c r="AV632" s="84" t="str">
        <f>HYPERLINK("https://abs.twimg.com/images/themes/theme1/bg.png")</f>
        <v>https://abs.twimg.com/images/themes/theme1/bg.png</v>
      </c>
      <c r="AW632" s="81" t="b">
        <v>1</v>
      </c>
      <c r="AX632" s="81" t="s">
        <v>3728</v>
      </c>
      <c r="AY632" s="84" t="str">
        <f>HYPERLINK("https://twitter.com/jandira_feghali")</f>
        <v>https://twitter.com/jandira_feghali</v>
      </c>
      <c r="AZ632" s="81" t="s">
        <v>65</v>
      </c>
      <c r="BA632" s="2"/>
      <c r="BB632" s="3"/>
      <c r="BC632" s="3"/>
      <c r="BD632" s="3"/>
      <c r="BE632" s="3"/>
    </row>
    <row r="633" spans="1:57" x14ac:dyDescent="0.35">
      <c r="A633" s="66" t="s">
        <v>4430</v>
      </c>
      <c r="B633" s="67"/>
      <c r="C633" s="67"/>
      <c r="D633" s="68"/>
      <c r="E633" s="94"/>
      <c r="F633" s="93" t="str">
        <f>HYPERLINK("https://pbs.twimg.com/profile_images/1436190031430004736/au6BQ_Gd_normal.jpg")</f>
        <v>https://pbs.twimg.com/profile_images/1436190031430004736/au6BQ_Gd_normal.jpg</v>
      </c>
      <c r="G633" s="95"/>
      <c r="H633" s="71"/>
      <c r="I633" s="72"/>
      <c r="J633" s="96"/>
      <c r="K633" s="71" t="s">
        <v>11774</v>
      </c>
      <c r="L633" s="97"/>
      <c r="M633" s="76"/>
      <c r="N633" s="76"/>
      <c r="O633" s="77"/>
      <c r="P633" s="78"/>
      <c r="Q633" s="78"/>
      <c r="R633" s="92"/>
      <c r="S633" s="92"/>
      <c r="T633" s="92"/>
      <c r="U633" s="92"/>
      <c r="V633" s="52"/>
      <c r="W633" s="52"/>
      <c r="X633" s="52"/>
      <c r="Y633" s="52"/>
      <c r="Z633" s="51"/>
      <c r="AA633" s="73"/>
      <c r="AB633" s="73"/>
      <c r="AC633" s="74"/>
      <c r="AD633" s="81" t="s">
        <v>8399</v>
      </c>
      <c r="AE633" s="86" t="s">
        <v>9411</v>
      </c>
      <c r="AF633" s="81">
        <v>1163</v>
      </c>
      <c r="AG633" s="81">
        <v>630</v>
      </c>
      <c r="AH633" s="81">
        <v>11885</v>
      </c>
      <c r="AI633" s="81">
        <v>18283</v>
      </c>
      <c r="AJ633" s="81"/>
      <c r="AK633" s="81" t="s">
        <v>10371</v>
      </c>
      <c r="AL633" s="81"/>
      <c r="AM633" s="81"/>
      <c r="AN633" s="81"/>
      <c r="AO633" s="83">
        <v>44170.84574074074</v>
      </c>
      <c r="AP633" s="84" t="str">
        <f>HYPERLINK("https://pbs.twimg.com/profile_banners/1335317415421472768/1631249360")</f>
        <v>https://pbs.twimg.com/profile_banners/1335317415421472768/1631249360</v>
      </c>
      <c r="AQ633" s="81" t="b">
        <v>1</v>
      </c>
      <c r="AR633" s="81" t="b">
        <v>0</v>
      </c>
      <c r="AS633" s="81" t="b">
        <v>0</v>
      </c>
      <c r="AT633" s="81"/>
      <c r="AU633" s="81">
        <v>0</v>
      </c>
      <c r="AV633" s="81"/>
      <c r="AW633" s="81" t="b">
        <v>0</v>
      </c>
      <c r="AX633" s="81" t="s">
        <v>3728</v>
      </c>
      <c r="AY633" s="84" t="str">
        <f>HYPERLINK("https://twitter.com/cruzdefesa")</f>
        <v>https://twitter.com/cruzdefesa</v>
      </c>
      <c r="AZ633" s="81" t="s">
        <v>66</v>
      </c>
      <c r="BA633" s="2"/>
      <c r="BB633" s="3"/>
      <c r="BC633" s="3"/>
      <c r="BD633" s="3"/>
      <c r="BE633" s="3"/>
    </row>
    <row r="634" spans="1:57" x14ac:dyDescent="0.35">
      <c r="A634" s="66" t="s">
        <v>4431</v>
      </c>
      <c r="B634" s="67"/>
      <c r="C634" s="67"/>
      <c r="D634" s="68"/>
      <c r="E634" s="94"/>
      <c r="F634" s="93" t="str">
        <f>HYPERLINK("https://pbs.twimg.com/profile_images/1440361964153176068/wBelwxTV_normal.jpg")</f>
        <v>https://pbs.twimg.com/profile_images/1440361964153176068/wBelwxTV_normal.jpg</v>
      </c>
      <c r="G634" s="95"/>
      <c r="H634" s="71"/>
      <c r="I634" s="72"/>
      <c r="J634" s="96"/>
      <c r="K634" s="71" t="s">
        <v>11775</v>
      </c>
      <c r="L634" s="97"/>
      <c r="M634" s="76"/>
      <c r="N634" s="76"/>
      <c r="O634" s="77"/>
      <c r="P634" s="78"/>
      <c r="Q634" s="78"/>
      <c r="R634" s="92"/>
      <c r="S634" s="92"/>
      <c r="T634" s="92"/>
      <c r="U634" s="92"/>
      <c r="V634" s="52"/>
      <c r="W634" s="52"/>
      <c r="X634" s="52"/>
      <c r="Y634" s="52"/>
      <c r="Z634" s="51"/>
      <c r="AA634" s="73"/>
      <c r="AB634" s="73"/>
      <c r="AC634" s="74"/>
      <c r="AD634" s="81" t="s">
        <v>8400</v>
      </c>
      <c r="AE634" s="86" t="s">
        <v>9412</v>
      </c>
      <c r="AF634" s="81">
        <v>3739</v>
      </c>
      <c r="AG634" s="81">
        <v>3098</v>
      </c>
      <c r="AH634" s="81">
        <v>11089</v>
      </c>
      <c r="AI634" s="81">
        <v>17002</v>
      </c>
      <c r="AJ634" s="81"/>
      <c r="AK634" s="81" t="s">
        <v>10372</v>
      </c>
      <c r="AL634" s="81" t="s">
        <v>11136</v>
      </c>
      <c r="AM634" s="81"/>
      <c r="AN634" s="81"/>
      <c r="AO634" s="83">
        <v>42017.027615740742</v>
      </c>
      <c r="AP634" s="84" t="str">
        <f>HYPERLINK("https://pbs.twimg.com/profile_banners/2975639092/1601568410")</f>
        <v>https://pbs.twimg.com/profile_banners/2975639092/1601568410</v>
      </c>
      <c r="AQ634" s="81" t="b">
        <v>1</v>
      </c>
      <c r="AR634" s="81" t="b">
        <v>0</v>
      </c>
      <c r="AS634" s="81" t="b">
        <v>1</v>
      </c>
      <c r="AT634" s="81"/>
      <c r="AU634" s="81">
        <v>3</v>
      </c>
      <c r="AV634" s="84" t="str">
        <f>HYPERLINK("https://abs.twimg.com/images/themes/theme1/bg.png")</f>
        <v>https://abs.twimg.com/images/themes/theme1/bg.png</v>
      </c>
      <c r="AW634" s="81" t="b">
        <v>0</v>
      </c>
      <c r="AX634" s="81" t="s">
        <v>3728</v>
      </c>
      <c r="AY634" s="84" t="str">
        <f>HYPERLINK("https://twitter.com/ciganosazul7")</f>
        <v>https://twitter.com/ciganosazul7</v>
      </c>
      <c r="AZ634" s="81" t="s">
        <v>66</v>
      </c>
      <c r="BA634" s="2"/>
      <c r="BB634" s="3"/>
      <c r="BC634" s="3"/>
      <c r="BD634" s="3"/>
      <c r="BE634" s="3"/>
    </row>
    <row r="635" spans="1:57" x14ac:dyDescent="0.35">
      <c r="A635" s="66" t="s">
        <v>4432</v>
      </c>
      <c r="B635" s="67"/>
      <c r="C635" s="67"/>
      <c r="D635" s="68"/>
      <c r="E635" s="94"/>
      <c r="F635" s="93" t="str">
        <f>HYPERLINK("https://pbs.twimg.com/profile_images/1202359479972585472/p_wTp6o7_normal.jpg")</f>
        <v>https://pbs.twimg.com/profile_images/1202359479972585472/p_wTp6o7_normal.jpg</v>
      </c>
      <c r="G635" s="95"/>
      <c r="H635" s="71"/>
      <c r="I635" s="72"/>
      <c r="J635" s="96"/>
      <c r="K635" s="71" t="s">
        <v>11776</v>
      </c>
      <c r="L635" s="97"/>
      <c r="M635" s="76"/>
      <c r="N635" s="76"/>
      <c r="O635" s="77"/>
      <c r="P635" s="78"/>
      <c r="Q635" s="78"/>
      <c r="R635" s="92"/>
      <c r="S635" s="92"/>
      <c r="T635" s="92"/>
      <c r="U635" s="92"/>
      <c r="V635" s="52"/>
      <c r="W635" s="52"/>
      <c r="X635" s="52"/>
      <c r="Y635" s="52"/>
      <c r="Z635" s="51"/>
      <c r="AA635" s="73"/>
      <c r="AB635" s="73"/>
      <c r="AC635" s="74"/>
      <c r="AD635" s="81" t="s">
        <v>8401</v>
      </c>
      <c r="AE635" s="86" t="s">
        <v>9413</v>
      </c>
      <c r="AF635" s="81">
        <v>1198</v>
      </c>
      <c r="AG635" s="81">
        <v>821</v>
      </c>
      <c r="AH635" s="81">
        <v>41562</v>
      </c>
      <c r="AI635" s="81">
        <v>99330</v>
      </c>
      <c r="AJ635" s="81"/>
      <c r="AK635" s="81" t="s">
        <v>10373</v>
      </c>
      <c r="AL635" s="81" t="s">
        <v>10989</v>
      </c>
      <c r="AM635" s="81"/>
      <c r="AN635" s="81"/>
      <c r="AO635" s="83">
        <v>43283.853252314817</v>
      </c>
      <c r="AP635" s="84" t="str">
        <f>HYPERLINK("https://pbs.twimg.com/profile_banners/1013882169775808516/1554145763")</f>
        <v>https://pbs.twimg.com/profile_banners/1013882169775808516/1554145763</v>
      </c>
      <c r="AQ635" s="81" t="b">
        <v>1</v>
      </c>
      <c r="AR635" s="81" t="b">
        <v>0</v>
      </c>
      <c r="AS635" s="81" t="b">
        <v>0</v>
      </c>
      <c r="AT635" s="81"/>
      <c r="AU635" s="81">
        <v>0</v>
      </c>
      <c r="AV635" s="81"/>
      <c r="AW635" s="81" t="b">
        <v>0</v>
      </c>
      <c r="AX635" s="81" t="s">
        <v>3728</v>
      </c>
      <c r="AY635" s="84" t="str">
        <f>HYPERLINK("https://twitter.com/nailizarbxov")</f>
        <v>https://twitter.com/nailizarbxov</v>
      </c>
      <c r="AZ635" s="81" t="s">
        <v>66</v>
      </c>
      <c r="BA635" s="2"/>
      <c r="BB635" s="3"/>
      <c r="BC635" s="3"/>
      <c r="BD635" s="3"/>
      <c r="BE635" s="3"/>
    </row>
    <row r="636" spans="1:57" x14ac:dyDescent="0.35">
      <c r="A636" s="66" t="s">
        <v>431</v>
      </c>
      <c r="B636" s="67"/>
      <c r="C636" s="67"/>
      <c r="D636" s="68"/>
      <c r="E636" s="94"/>
      <c r="F636" s="93" t="str">
        <f>HYPERLINK("https://pbs.twimg.com/profile_images/1443159844345638915/w76aUsU9_normal.jpg")</f>
        <v>https://pbs.twimg.com/profile_images/1443159844345638915/w76aUsU9_normal.jpg</v>
      </c>
      <c r="G636" s="95"/>
      <c r="H636" s="71"/>
      <c r="I636" s="72"/>
      <c r="J636" s="96"/>
      <c r="K636" s="71" t="s">
        <v>3974</v>
      </c>
      <c r="L636" s="97"/>
      <c r="M636" s="76"/>
      <c r="N636" s="76"/>
      <c r="O636" s="77"/>
      <c r="P636" s="78"/>
      <c r="Q636" s="78"/>
      <c r="R636" s="92"/>
      <c r="S636" s="92"/>
      <c r="T636" s="92"/>
      <c r="U636" s="92"/>
      <c r="V636" s="52"/>
      <c r="W636" s="52"/>
      <c r="X636" s="52"/>
      <c r="Y636" s="52"/>
      <c r="Z636" s="51"/>
      <c r="AA636" s="73"/>
      <c r="AB636" s="73"/>
      <c r="AC636" s="74"/>
      <c r="AD636" s="81" t="s">
        <v>2492</v>
      </c>
      <c r="AE636" s="86" t="s">
        <v>2914</v>
      </c>
      <c r="AF636" s="81">
        <v>300</v>
      </c>
      <c r="AG636" s="81">
        <v>353</v>
      </c>
      <c r="AH636" s="81">
        <v>27075</v>
      </c>
      <c r="AI636" s="81">
        <v>45886</v>
      </c>
      <c r="AJ636" s="81"/>
      <c r="AK636" s="81" t="s">
        <v>3321</v>
      </c>
      <c r="AL636" s="81" t="s">
        <v>3514</v>
      </c>
      <c r="AM636" s="81"/>
      <c r="AN636" s="81"/>
      <c r="AO636" s="83">
        <v>43567.278275462966</v>
      </c>
      <c r="AP636" s="84" t="str">
        <f>HYPERLINK("https://pbs.twimg.com/profile_banners/1116591962822336512/1632911094")</f>
        <v>https://pbs.twimg.com/profile_banners/1116591962822336512/1632911094</v>
      </c>
      <c r="AQ636" s="81" t="b">
        <v>1</v>
      </c>
      <c r="AR636" s="81" t="b">
        <v>0</v>
      </c>
      <c r="AS636" s="81" t="b">
        <v>1</v>
      </c>
      <c r="AT636" s="81"/>
      <c r="AU636" s="81">
        <v>0</v>
      </c>
      <c r="AV636" s="81"/>
      <c r="AW636" s="81" t="b">
        <v>0</v>
      </c>
      <c r="AX636" s="81" t="s">
        <v>3728</v>
      </c>
      <c r="AY636" s="84" t="str">
        <f>HYPERLINK("https://twitter.com/seaguling")</f>
        <v>https://twitter.com/seaguling</v>
      </c>
      <c r="AZ636" s="81" t="s">
        <v>66</v>
      </c>
      <c r="BA636" s="2"/>
      <c r="BB636" s="3"/>
      <c r="BC636" s="3"/>
      <c r="BD636" s="3"/>
      <c r="BE636" s="3"/>
    </row>
    <row r="637" spans="1:57" x14ac:dyDescent="0.35">
      <c r="A637" s="66" t="s">
        <v>432</v>
      </c>
      <c r="B637" s="67"/>
      <c r="C637" s="67"/>
      <c r="D637" s="68"/>
      <c r="E637" s="94"/>
      <c r="F637" s="93" t="str">
        <f>HYPERLINK("https://pbs.twimg.com/profile_images/1443264104941035522/BHhI20xF_normal.jpg")</f>
        <v>https://pbs.twimg.com/profile_images/1443264104941035522/BHhI20xF_normal.jpg</v>
      </c>
      <c r="G637" s="95"/>
      <c r="H637" s="71"/>
      <c r="I637" s="72"/>
      <c r="J637" s="96"/>
      <c r="K637" s="71" t="s">
        <v>3975</v>
      </c>
      <c r="L637" s="97"/>
      <c r="M637" s="76"/>
      <c r="N637" s="76"/>
      <c r="O637" s="77"/>
      <c r="P637" s="78"/>
      <c r="Q637" s="78"/>
      <c r="R637" s="92"/>
      <c r="S637" s="92"/>
      <c r="T637" s="92"/>
      <c r="U637" s="92"/>
      <c r="V637" s="52"/>
      <c r="W637" s="52"/>
      <c r="X637" s="52"/>
      <c r="Y637" s="52"/>
      <c r="Z637" s="51"/>
      <c r="AA637" s="73"/>
      <c r="AB637" s="73"/>
      <c r="AC637" s="74"/>
      <c r="AD637" s="81" t="s">
        <v>2493</v>
      </c>
      <c r="AE637" s="86" t="s">
        <v>2915</v>
      </c>
      <c r="AF637" s="81">
        <v>928</v>
      </c>
      <c r="AG637" s="81">
        <v>1513</v>
      </c>
      <c r="AH637" s="81">
        <v>18759</v>
      </c>
      <c r="AI637" s="81">
        <v>117386</v>
      </c>
      <c r="AJ637" s="81"/>
      <c r="AK637" s="81" t="s">
        <v>3322</v>
      </c>
      <c r="AL637" s="81" t="s">
        <v>3643</v>
      </c>
      <c r="AM637" s="84" t="str">
        <f>HYPERLINK("https://t.co/etFS1Omp37")</f>
        <v>https://t.co/etFS1Omp37</v>
      </c>
      <c r="AN637" s="81"/>
      <c r="AO637" s="83">
        <v>43798.241354166668</v>
      </c>
      <c r="AP637" s="84" t="str">
        <f>HYPERLINK("https://pbs.twimg.com/profile_banners/1200290123641835521/1632935952")</f>
        <v>https://pbs.twimg.com/profile_banners/1200290123641835521/1632935952</v>
      </c>
      <c r="AQ637" s="81" t="b">
        <v>1</v>
      </c>
      <c r="AR637" s="81" t="b">
        <v>0</v>
      </c>
      <c r="AS637" s="81" t="b">
        <v>1</v>
      </c>
      <c r="AT637" s="81"/>
      <c r="AU637" s="81">
        <v>11</v>
      </c>
      <c r="AV637" s="81"/>
      <c r="AW637" s="81" t="b">
        <v>0</v>
      </c>
      <c r="AX637" s="81" t="s">
        <v>3728</v>
      </c>
      <c r="AY637" s="84" t="str">
        <f>HYPERLINK("https://twitter.com/tinyyyjungwon")</f>
        <v>https://twitter.com/tinyyyjungwon</v>
      </c>
      <c r="AZ637" s="81" t="s">
        <v>66</v>
      </c>
      <c r="BA637" s="2"/>
      <c r="BB637" s="3"/>
      <c r="BC637" s="3"/>
      <c r="BD637" s="3"/>
      <c r="BE637" s="3"/>
    </row>
    <row r="638" spans="1:57" x14ac:dyDescent="0.35">
      <c r="A638" s="66" t="s">
        <v>4433</v>
      </c>
      <c r="B638" s="67"/>
      <c r="C638" s="67"/>
      <c r="D638" s="68"/>
      <c r="E638" s="94"/>
      <c r="F638" s="93" t="str">
        <f>HYPERLINK("https://pbs.twimg.com/profile_images/1425259279796383746/Nf8XV1Sa_normal.jpg")</f>
        <v>https://pbs.twimg.com/profile_images/1425259279796383746/Nf8XV1Sa_normal.jpg</v>
      </c>
      <c r="G638" s="95"/>
      <c r="H638" s="71"/>
      <c r="I638" s="72"/>
      <c r="J638" s="96"/>
      <c r="K638" s="71" t="s">
        <v>11777</v>
      </c>
      <c r="L638" s="97"/>
      <c r="M638" s="76"/>
      <c r="N638" s="76"/>
      <c r="O638" s="77"/>
      <c r="P638" s="78"/>
      <c r="Q638" s="78"/>
      <c r="R638" s="92"/>
      <c r="S638" s="92"/>
      <c r="T638" s="92"/>
      <c r="U638" s="92"/>
      <c r="V638" s="52"/>
      <c r="W638" s="52"/>
      <c r="X638" s="52"/>
      <c r="Y638" s="52"/>
      <c r="Z638" s="51"/>
      <c r="AA638" s="73"/>
      <c r="AB638" s="73"/>
      <c r="AC638" s="74"/>
      <c r="AD638" s="81" t="s">
        <v>8402</v>
      </c>
      <c r="AE638" s="86" t="s">
        <v>9414</v>
      </c>
      <c r="AF638" s="81">
        <v>634</v>
      </c>
      <c r="AG638" s="81">
        <v>2826</v>
      </c>
      <c r="AH638" s="81">
        <v>287</v>
      </c>
      <c r="AI638" s="81">
        <v>161</v>
      </c>
      <c r="AJ638" s="81"/>
      <c r="AK638" s="81" t="s">
        <v>10374</v>
      </c>
      <c r="AL638" s="81"/>
      <c r="AM638" s="81"/>
      <c r="AN638" s="81"/>
      <c r="AO638" s="83">
        <v>43490.439375000002</v>
      </c>
      <c r="AP638" s="84" t="str">
        <f>HYPERLINK("https://pbs.twimg.com/profile_banners/1088746477566992386/1628643268")</f>
        <v>https://pbs.twimg.com/profile_banners/1088746477566992386/1628643268</v>
      </c>
      <c r="AQ638" s="81" t="b">
        <v>1</v>
      </c>
      <c r="AR638" s="81" t="b">
        <v>0</v>
      </c>
      <c r="AS638" s="81" t="b">
        <v>0</v>
      </c>
      <c r="AT638" s="81"/>
      <c r="AU638" s="81">
        <v>9</v>
      </c>
      <c r="AV638" s="81"/>
      <c r="AW638" s="81" t="b">
        <v>0</v>
      </c>
      <c r="AX638" s="81" t="s">
        <v>3728</v>
      </c>
      <c r="AY638" s="84" t="str">
        <f>HYPERLINK("https://twitter.com/gigolosanto")</f>
        <v>https://twitter.com/gigolosanto</v>
      </c>
      <c r="AZ638" s="81" t="s">
        <v>66</v>
      </c>
      <c r="BA638" s="2"/>
      <c r="BB638" s="3"/>
      <c r="BC638" s="3"/>
      <c r="BD638" s="3"/>
      <c r="BE638" s="3"/>
    </row>
    <row r="639" spans="1:57" x14ac:dyDescent="0.35">
      <c r="A639" s="66" t="s">
        <v>5083</v>
      </c>
      <c r="B639" s="67"/>
      <c r="C639" s="67"/>
      <c r="D639" s="68"/>
      <c r="E639" s="94"/>
      <c r="F639" s="93" t="str">
        <f>HYPERLINK("https://pbs.twimg.com/profile_images/1425587151312506882/w_Rhslj9_normal.png")</f>
        <v>https://pbs.twimg.com/profile_images/1425587151312506882/w_Rhslj9_normal.png</v>
      </c>
      <c r="G639" s="95"/>
      <c r="H639" s="71"/>
      <c r="I639" s="72"/>
      <c r="J639" s="96"/>
      <c r="K639" s="71" t="s">
        <v>11778</v>
      </c>
      <c r="L639" s="97"/>
      <c r="M639" s="76"/>
      <c r="N639" s="76"/>
      <c r="O639" s="77"/>
      <c r="P639" s="78"/>
      <c r="Q639" s="78"/>
      <c r="R639" s="92"/>
      <c r="S639" s="92"/>
      <c r="T639" s="92"/>
      <c r="U639" s="92"/>
      <c r="V639" s="52"/>
      <c r="W639" s="52"/>
      <c r="X639" s="52"/>
      <c r="Y639" s="52"/>
      <c r="Z639" s="51"/>
      <c r="AA639" s="73"/>
      <c r="AB639" s="73"/>
      <c r="AC639" s="74"/>
      <c r="AD639" s="81" t="s">
        <v>8403</v>
      </c>
      <c r="AE639" s="86" t="s">
        <v>9415</v>
      </c>
      <c r="AF639" s="81">
        <v>72574</v>
      </c>
      <c r="AG639" s="81">
        <v>651076</v>
      </c>
      <c r="AH639" s="81">
        <v>1177848</v>
      </c>
      <c r="AI639" s="81">
        <v>3133</v>
      </c>
      <c r="AJ639" s="81"/>
      <c r="AK639" s="81" t="s">
        <v>10375</v>
      </c>
      <c r="AL639" s="81"/>
      <c r="AM639" s="84" t="str">
        <f>HYPERLINK("https://t.co/VIYvx9elUW")</f>
        <v>https://t.co/VIYvx9elUW</v>
      </c>
      <c r="AN639" s="81"/>
      <c r="AO639" s="83">
        <v>39961.957349537035</v>
      </c>
      <c r="AP639" s="84" t="str">
        <f>HYPERLINK("https://pbs.twimg.com/profile_banners/43218789/1631635830")</f>
        <v>https://pbs.twimg.com/profile_banners/43218789/1631635830</v>
      </c>
      <c r="AQ639" s="81" t="b">
        <v>0</v>
      </c>
      <c r="AR639" s="81" t="b">
        <v>0</v>
      </c>
      <c r="AS639" s="81" t="b">
        <v>1</v>
      </c>
      <c r="AT639" s="81"/>
      <c r="AU639" s="81">
        <v>1959</v>
      </c>
      <c r="AV639" s="84" t="str">
        <f>HYPERLINK("https://abs.twimg.com/images/themes/theme1/bg.png")</f>
        <v>https://abs.twimg.com/images/themes/theme1/bg.png</v>
      </c>
      <c r="AW639" s="81" t="b">
        <v>1</v>
      </c>
      <c r="AX639" s="81" t="s">
        <v>3728</v>
      </c>
      <c r="AY639" s="84" t="str">
        <f>HYPERLINK("https://twitter.com/vivobr")</f>
        <v>https://twitter.com/vivobr</v>
      </c>
      <c r="AZ639" s="81" t="s">
        <v>65</v>
      </c>
      <c r="BA639" s="2"/>
      <c r="BB639" s="3"/>
      <c r="BC639" s="3"/>
      <c r="BD639" s="3"/>
      <c r="BE639" s="3"/>
    </row>
    <row r="640" spans="1:57" x14ac:dyDescent="0.35">
      <c r="A640" s="66" t="s">
        <v>5084</v>
      </c>
      <c r="B640" s="67"/>
      <c r="C640" s="67"/>
      <c r="D640" s="68"/>
      <c r="E640" s="94"/>
      <c r="F640" s="93" t="str">
        <f>HYPERLINK("https://pbs.twimg.com/profile_images/1333837083329355776/Hlvv9cQW_normal.jpg")</f>
        <v>https://pbs.twimg.com/profile_images/1333837083329355776/Hlvv9cQW_normal.jpg</v>
      </c>
      <c r="G640" s="95"/>
      <c r="H640" s="71"/>
      <c r="I640" s="72"/>
      <c r="J640" s="96"/>
      <c r="K640" s="71" t="s">
        <v>11779</v>
      </c>
      <c r="L640" s="97"/>
      <c r="M640" s="76"/>
      <c r="N640" s="76"/>
      <c r="O640" s="77"/>
      <c r="P640" s="78"/>
      <c r="Q640" s="78"/>
      <c r="R640" s="92"/>
      <c r="S640" s="92"/>
      <c r="T640" s="92"/>
      <c r="U640" s="92"/>
      <c r="V640" s="52"/>
      <c r="W640" s="52"/>
      <c r="X640" s="52"/>
      <c r="Y640" s="52"/>
      <c r="Z640" s="51"/>
      <c r="AA640" s="73"/>
      <c r="AB640" s="73"/>
      <c r="AC640" s="74"/>
      <c r="AD640" s="81" t="s">
        <v>8404</v>
      </c>
      <c r="AE640" s="86" t="s">
        <v>9416</v>
      </c>
      <c r="AF640" s="81">
        <v>228</v>
      </c>
      <c r="AG640" s="81">
        <v>515376</v>
      </c>
      <c r="AH640" s="81">
        <v>9699</v>
      </c>
      <c r="AI640" s="81">
        <v>2521</v>
      </c>
      <c r="AJ640" s="81"/>
      <c r="AK640" s="81" t="s">
        <v>10376</v>
      </c>
      <c r="AL640" s="81" t="s">
        <v>7998</v>
      </c>
      <c r="AM640" s="84" t="str">
        <f>HYPERLINK("https://t.co/GVMKKCkNk0")</f>
        <v>https://t.co/GVMKKCkNk0</v>
      </c>
      <c r="AN640" s="81"/>
      <c r="AO640" s="83">
        <v>40807.898275462961</v>
      </c>
      <c r="AP640" s="84" t="str">
        <f>HYPERLINK("https://pbs.twimg.com/profile_banners/377627357/1617662385")</f>
        <v>https://pbs.twimg.com/profile_banners/377627357/1617662385</v>
      </c>
      <c r="AQ640" s="81" t="b">
        <v>0</v>
      </c>
      <c r="AR640" s="81" t="b">
        <v>0</v>
      </c>
      <c r="AS640" s="81" t="b">
        <v>0</v>
      </c>
      <c r="AT640" s="81"/>
      <c r="AU640" s="81">
        <v>334</v>
      </c>
      <c r="AV640" s="84" t="str">
        <f>HYPERLINK("https://abs.twimg.com/images/themes/theme14/bg.gif")</f>
        <v>https://abs.twimg.com/images/themes/theme14/bg.gif</v>
      </c>
      <c r="AW640" s="81" t="b">
        <v>1</v>
      </c>
      <c r="AX640" s="81" t="s">
        <v>3728</v>
      </c>
      <c r="AY640" s="84" t="str">
        <f>HYPERLINK("https://twitter.com/youtubebrasil")</f>
        <v>https://twitter.com/youtubebrasil</v>
      </c>
      <c r="AZ640" s="81" t="s">
        <v>65</v>
      </c>
      <c r="BA640" s="2"/>
      <c r="BB640" s="3"/>
      <c r="BC640" s="3"/>
      <c r="BD640" s="3"/>
      <c r="BE640" s="3"/>
    </row>
    <row r="641" spans="1:57" x14ac:dyDescent="0.35">
      <c r="A641" s="66" t="s">
        <v>4434</v>
      </c>
      <c r="B641" s="67"/>
      <c r="C641" s="67"/>
      <c r="D641" s="68"/>
      <c r="E641" s="94"/>
      <c r="F641" s="93" t="str">
        <f>HYPERLINK("https://pbs.twimg.com/profile_images/1296625713035042818/-zDEH8Kn_normal.jpg")</f>
        <v>https://pbs.twimg.com/profile_images/1296625713035042818/-zDEH8Kn_normal.jpg</v>
      </c>
      <c r="G641" s="95"/>
      <c r="H641" s="71"/>
      <c r="I641" s="72"/>
      <c r="J641" s="96"/>
      <c r="K641" s="71" t="s">
        <v>11780</v>
      </c>
      <c r="L641" s="97"/>
      <c r="M641" s="76"/>
      <c r="N641" s="76"/>
      <c r="O641" s="77"/>
      <c r="P641" s="78"/>
      <c r="Q641" s="78"/>
      <c r="R641" s="92"/>
      <c r="S641" s="92"/>
      <c r="T641" s="92"/>
      <c r="U641" s="92"/>
      <c r="V641" s="52"/>
      <c r="W641" s="52"/>
      <c r="X641" s="52"/>
      <c r="Y641" s="52"/>
      <c r="Z641" s="51"/>
      <c r="AA641" s="73"/>
      <c r="AB641" s="73"/>
      <c r="AC641" s="74"/>
      <c r="AD641" s="81" t="s">
        <v>8405</v>
      </c>
      <c r="AE641" s="86" t="s">
        <v>9417</v>
      </c>
      <c r="AF641" s="81">
        <v>983</v>
      </c>
      <c r="AG641" s="81">
        <v>1065</v>
      </c>
      <c r="AH641" s="81">
        <v>10041</v>
      </c>
      <c r="AI641" s="81">
        <v>11958</v>
      </c>
      <c r="AJ641" s="81"/>
      <c r="AK641" s="81" t="s">
        <v>10377</v>
      </c>
      <c r="AL641" s="81" t="s">
        <v>11116</v>
      </c>
      <c r="AM641" s="81"/>
      <c r="AN641" s="81"/>
      <c r="AO641" s="83">
        <v>41982.090173611112</v>
      </c>
      <c r="AP641" s="84" t="str">
        <f>HYPERLINK("https://pbs.twimg.com/profile_banners/2912051164/1536647724")</f>
        <v>https://pbs.twimg.com/profile_banners/2912051164/1536647724</v>
      </c>
      <c r="AQ641" s="81" t="b">
        <v>1</v>
      </c>
      <c r="AR641" s="81" t="b">
        <v>0</v>
      </c>
      <c r="AS641" s="81" t="b">
        <v>1</v>
      </c>
      <c r="AT641" s="81"/>
      <c r="AU641" s="81">
        <v>2</v>
      </c>
      <c r="AV641" s="84" t="str">
        <f>HYPERLINK("https://abs.twimg.com/images/themes/theme1/bg.png")</f>
        <v>https://abs.twimg.com/images/themes/theme1/bg.png</v>
      </c>
      <c r="AW641" s="81" t="b">
        <v>0</v>
      </c>
      <c r="AX641" s="81" t="s">
        <v>3728</v>
      </c>
      <c r="AY641" s="84" t="str">
        <f>HYPERLINK("https://twitter.com/samgq7")</f>
        <v>https://twitter.com/samgq7</v>
      </c>
      <c r="AZ641" s="81" t="s">
        <v>66</v>
      </c>
      <c r="BA641" s="2"/>
      <c r="BB641" s="3"/>
      <c r="BC641" s="3"/>
      <c r="BD641" s="3"/>
      <c r="BE641" s="3"/>
    </row>
    <row r="642" spans="1:57" x14ac:dyDescent="0.35">
      <c r="A642" s="66" t="s">
        <v>4797</v>
      </c>
      <c r="B642" s="67"/>
      <c r="C642" s="67"/>
      <c r="D642" s="68"/>
      <c r="E642" s="94"/>
      <c r="F642" s="93" t="str">
        <f>HYPERLINK("https://pbs.twimg.com/profile_images/759021393270931456/WYXH4uJU_normal.jpg")</f>
        <v>https://pbs.twimg.com/profile_images/759021393270931456/WYXH4uJU_normal.jpg</v>
      </c>
      <c r="G642" s="95"/>
      <c r="H642" s="71"/>
      <c r="I642" s="72"/>
      <c r="J642" s="96"/>
      <c r="K642" s="71" t="s">
        <v>11781</v>
      </c>
      <c r="L642" s="97"/>
      <c r="M642" s="76"/>
      <c r="N642" s="76"/>
      <c r="O642" s="77"/>
      <c r="P642" s="78"/>
      <c r="Q642" s="78"/>
      <c r="R642" s="92"/>
      <c r="S642" s="92"/>
      <c r="T642" s="92"/>
      <c r="U642" s="92"/>
      <c r="V642" s="52"/>
      <c r="W642" s="52"/>
      <c r="X642" s="52"/>
      <c r="Y642" s="52"/>
      <c r="Z642" s="51"/>
      <c r="AA642" s="73"/>
      <c r="AB642" s="73"/>
      <c r="AC642" s="74"/>
      <c r="AD642" s="81" t="s">
        <v>8406</v>
      </c>
      <c r="AE642" s="86" t="s">
        <v>9418</v>
      </c>
      <c r="AF642" s="81">
        <v>0</v>
      </c>
      <c r="AG642" s="81">
        <v>903471</v>
      </c>
      <c r="AH642" s="81">
        <v>17654</v>
      </c>
      <c r="AI642" s="81">
        <v>197</v>
      </c>
      <c r="AJ642" s="81"/>
      <c r="AK642" s="81" t="s">
        <v>10378</v>
      </c>
      <c r="AL642" s="81" t="s">
        <v>10985</v>
      </c>
      <c r="AM642" s="84" t="str">
        <f>HYPERLINK("https://t.co/GM7SpAcW5m")</f>
        <v>https://t.co/GM7SpAcW5m</v>
      </c>
      <c r="AN642" s="81"/>
      <c r="AO642" s="83">
        <v>42580.516921296294</v>
      </c>
      <c r="AP642" s="84" t="str">
        <f>HYPERLINK("https://pbs.twimg.com/profile_banners/759001618884939776/1554744072")</f>
        <v>https://pbs.twimg.com/profile_banners/759001618884939776/1554744072</v>
      </c>
      <c r="AQ642" s="81" t="b">
        <v>0</v>
      </c>
      <c r="AR642" s="81" t="b">
        <v>0</v>
      </c>
      <c r="AS642" s="81" t="b">
        <v>0</v>
      </c>
      <c r="AT642" s="81"/>
      <c r="AU642" s="81">
        <v>946</v>
      </c>
      <c r="AV642" s="84" t="str">
        <f>HYPERLINK("https://abs.twimg.com/images/themes/theme1/bg.png")</f>
        <v>https://abs.twimg.com/images/themes/theme1/bg.png</v>
      </c>
      <c r="AW642" s="81" t="b">
        <v>1</v>
      </c>
      <c r="AX642" s="81" t="s">
        <v>3728</v>
      </c>
      <c r="AY642" s="84" t="str">
        <f>HYPERLINK("https://twitter.com/janainadobrasil")</f>
        <v>https://twitter.com/janainadobrasil</v>
      </c>
      <c r="AZ642" s="81" t="s">
        <v>66</v>
      </c>
      <c r="BA642" s="2"/>
      <c r="BB642" s="3"/>
      <c r="BC642" s="3"/>
      <c r="BD642" s="3"/>
      <c r="BE642" s="3"/>
    </row>
    <row r="643" spans="1:57" x14ac:dyDescent="0.35">
      <c r="A643" s="66" t="s">
        <v>4435</v>
      </c>
      <c r="B643" s="67"/>
      <c r="C643" s="67"/>
      <c r="D643" s="68"/>
      <c r="E643" s="94"/>
      <c r="F643" s="93" t="str">
        <f>HYPERLINK("https://abs.twimg.com/sticky/default_profile_images/default_profile_normal.png")</f>
        <v>https://abs.twimg.com/sticky/default_profile_images/default_profile_normal.png</v>
      </c>
      <c r="G643" s="95"/>
      <c r="H643" s="71"/>
      <c r="I643" s="72"/>
      <c r="J643" s="96"/>
      <c r="K643" s="71" t="s">
        <v>11782</v>
      </c>
      <c r="L643" s="97"/>
      <c r="M643" s="76"/>
      <c r="N643" s="76"/>
      <c r="O643" s="77"/>
      <c r="P643" s="78"/>
      <c r="Q643" s="78"/>
      <c r="R643" s="92"/>
      <c r="S643" s="92"/>
      <c r="T643" s="92"/>
      <c r="U643" s="92"/>
      <c r="V643" s="52"/>
      <c r="W643" s="52"/>
      <c r="X643" s="52"/>
      <c r="Y643" s="52"/>
      <c r="Z643" s="51"/>
      <c r="AA643" s="73"/>
      <c r="AB643" s="73"/>
      <c r="AC643" s="74"/>
      <c r="AD643" s="81" t="s">
        <v>8407</v>
      </c>
      <c r="AE643" s="86" t="s">
        <v>9419</v>
      </c>
      <c r="AF643" s="81">
        <v>712</v>
      </c>
      <c r="AG643" s="81">
        <v>158</v>
      </c>
      <c r="AH643" s="81">
        <v>23773</v>
      </c>
      <c r="AI643" s="81">
        <v>61375</v>
      </c>
      <c r="AJ643" s="81"/>
      <c r="AK643" s="81"/>
      <c r="AL643" s="81"/>
      <c r="AM643" s="81"/>
      <c r="AN643" s="81"/>
      <c r="AO643" s="83">
        <v>43953.906238425923</v>
      </c>
      <c r="AP643" s="81"/>
      <c r="AQ643" s="81" t="b">
        <v>1</v>
      </c>
      <c r="AR643" s="81" t="b">
        <v>1</v>
      </c>
      <c r="AS643" s="81" t="b">
        <v>1</v>
      </c>
      <c r="AT643" s="81"/>
      <c r="AU643" s="81">
        <v>0</v>
      </c>
      <c r="AV643" s="81"/>
      <c r="AW643" s="81" t="b">
        <v>0</v>
      </c>
      <c r="AX643" s="81" t="s">
        <v>3728</v>
      </c>
      <c r="AY643" s="84" t="str">
        <f>HYPERLINK("https://twitter.com/humbert69914038")</f>
        <v>https://twitter.com/humbert69914038</v>
      </c>
      <c r="AZ643" s="81" t="s">
        <v>66</v>
      </c>
      <c r="BA643" s="2"/>
      <c r="BB643" s="3"/>
      <c r="BC643" s="3"/>
      <c r="BD643" s="3"/>
      <c r="BE643" s="3"/>
    </row>
    <row r="644" spans="1:57" x14ac:dyDescent="0.35">
      <c r="A644" s="66" t="s">
        <v>4436</v>
      </c>
      <c r="B644" s="67"/>
      <c r="C644" s="67"/>
      <c r="D644" s="68"/>
      <c r="E644" s="94"/>
      <c r="F644" s="93" t="str">
        <f>HYPERLINK("https://pbs.twimg.com/profile_images/1429386317683642373/NKL2DM16_normal.jpg")</f>
        <v>https://pbs.twimg.com/profile_images/1429386317683642373/NKL2DM16_normal.jpg</v>
      </c>
      <c r="G644" s="95"/>
      <c r="H644" s="71"/>
      <c r="I644" s="72"/>
      <c r="J644" s="96"/>
      <c r="K644" s="71" t="s">
        <v>11783</v>
      </c>
      <c r="L644" s="97"/>
      <c r="M644" s="76"/>
      <c r="N644" s="76"/>
      <c r="O644" s="77"/>
      <c r="P644" s="78"/>
      <c r="Q644" s="78"/>
      <c r="R644" s="92"/>
      <c r="S644" s="92"/>
      <c r="T644" s="92"/>
      <c r="U644" s="92"/>
      <c r="V644" s="52"/>
      <c r="W644" s="52"/>
      <c r="X644" s="52"/>
      <c r="Y644" s="52"/>
      <c r="Z644" s="51"/>
      <c r="AA644" s="73"/>
      <c r="AB644" s="73"/>
      <c r="AC644" s="74"/>
      <c r="AD644" s="81" t="s">
        <v>8408</v>
      </c>
      <c r="AE644" s="86" t="s">
        <v>9420</v>
      </c>
      <c r="AF644" s="81">
        <v>733</v>
      </c>
      <c r="AG644" s="81">
        <v>312</v>
      </c>
      <c r="AH644" s="81">
        <v>11600</v>
      </c>
      <c r="AI644" s="81">
        <v>22196</v>
      </c>
      <c r="AJ644" s="81"/>
      <c r="AK644" s="81"/>
      <c r="AL644" s="81"/>
      <c r="AM644" s="81"/>
      <c r="AN644" s="81"/>
      <c r="AO644" s="83">
        <v>43988.086134259262</v>
      </c>
      <c r="AP644" s="81"/>
      <c r="AQ644" s="81" t="b">
        <v>1</v>
      </c>
      <c r="AR644" s="81" t="b">
        <v>0</v>
      </c>
      <c r="AS644" s="81" t="b">
        <v>0</v>
      </c>
      <c r="AT644" s="81"/>
      <c r="AU644" s="81">
        <v>0</v>
      </c>
      <c r="AV644" s="81"/>
      <c r="AW644" s="81" t="b">
        <v>0</v>
      </c>
      <c r="AX644" s="81" t="s">
        <v>3728</v>
      </c>
      <c r="AY644" s="84" t="str">
        <f>HYPERLINK("https://twitter.com/alinealamonica")</f>
        <v>https://twitter.com/alinealamonica</v>
      </c>
      <c r="AZ644" s="81" t="s">
        <v>66</v>
      </c>
      <c r="BA644" s="2"/>
      <c r="BB644" s="3"/>
      <c r="BC644" s="3"/>
      <c r="BD644" s="3"/>
      <c r="BE644" s="3"/>
    </row>
    <row r="645" spans="1:57" x14ac:dyDescent="0.35">
      <c r="A645" s="66" t="s">
        <v>4437</v>
      </c>
      <c r="B645" s="67"/>
      <c r="C645" s="67"/>
      <c r="D645" s="68"/>
      <c r="E645" s="94"/>
      <c r="F645" s="93" t="str">
        <f>HYPERLINK("https://pbs.twimg.com/profile_images/1375469493372256262/fOZ9sGKY_normal.jpg")</f>
        <v>https://pbs.twimg.com/profile_images/1375469493372256262/fOZ9sGKY_normal.jpg</v>
      </c>
      <c r="G645" s="95"/>
      <c r="H645" s="71"/>
      <c r="I645" s="72"/>
      <c r="J645" s="96"/>
      <c r="K645" s="71" t="s">
        <v>11784</v>
      </c>
      <c r="L645" s="97"/>
      <c r="M645" s="76"/>
      <c r="N645" s="76"/>
      <c r="O645" s="77"/>
      <c r="P645" s="78"/>
      <c r="Q645" s="78"/>
      <c r="R645" s="92"/>
      <c r="S645" s="92"/>
      <c r="T645" s="92"/>
      <c r="U645" s="92"/>
      <c r="V645" s="52"/>
      <c r="W645" s="52"/>
      <c r="X645" s="52"/>
      <c r="Y645" s="52"/>
      <c r="Z645" s="51"/>
      <c r="AA645" s="73"/>
      <c r="AB645" s="73"/>
      <c r="AC645" s="74"/>
      <c r="AD645" s="81" t="s">
        <v>8409</v>
      </c>
      <c r="AE645" s="86" t="s">
        <v>9421</v>
      </c>
      <c r="AF645" s="81">
        <v>3551</v>
      </c>
      <c r="AG645" s="81">
        <v>3393</v>
      </c>
      <c r="AH645" s="81">
        <v>140047</v>
      </c>
      <c r="AI645" s="81">
        <v>3320</v>
      </c>
      <c r="AJ645" s="81"/>
      <c r="AK645" s="81" t="s">
        <v>10379</v>
      </c>
      <c r="AL645" s="81" t="s">
        <v>11137</v>
      </c>
      <c r="AM645" s="84" t="str">
        <f>HYPERLINK("https://t.co/pMylgKmoJe")</f>
        <v>https://t.co/pMylgKmoJe</v>
      </c>
      <c r="AN645" s="81"/>
      <c r="AO645" s="83">
        <v>40055.022615740738</v>
      </c>
      <c r="AP645" s="84" t="str">
        <f>HYPERLINK("https://pbs.twimg.com/profile_banners/70003769/1541450317")</f>
        <v>https://pbs.twimg.com/profile_banners/70003769/1541450317</v>
      </c>
      <c r="AQ645" s="81" t="b">
        <v>0</v>
      </c>
      <c r="AR645" s="81" t="b">
        <v>0</v>
      </c>
      <c r="AS645" s="81" t="b">
        <v>1</v>
      </c>
      <c r="AT645" s="81"/>
      <c r="AU645" s="81">
        <v>3</v>
      </c>
      <c r="AV645" s="84" t="str">
        <f>HYPERLINK("https://abs.twimg.com/images/themes/theme9/bg.gif")</f>
        <v>https://abs.twimg.com/images/themes/theme9/bg.gif</v>
      </c>
      <c r="AW645" s="81" t="b">
        <v>0</v>
      </c>
      <c r="AX645" s="81" t="s">
        <v>3728</v>
      </c>
      <c r="AY645" s="84" t="str">
        <f>HYPERLINK("https://twitter.com/marcoocramalan")</f>
        <v>https://twitter.com/marcoocramalan</v>
      </c>
      <c r="AZ645" s="81" t="s">
        <v>66</v>
      </c>
      <c r="BA645" s="2"/>
      <c r="BB645" s="3"/>
      <c r="BC645" s="3"/>
      <c r="BD645" s="3"/>
      <c r="BE645" s="3"/>
    </row>
    <row r="646" spans="1:57" x14ac:dyDescent="0.35">
      <c r="A646" s="66" t="s">
        <v>5085</v>
      </c>
      <c r="B646" s="67"/>
      <c r="C646" s="67"/>
      <c r="D646" s="68"/>
      <c r="E646" s="94"/>
      <c r="F646" s="93" t="str">
        <f>HYPERLINK("https://pbs.twimg.com/profile_images/1405565284723920896/R4zHo8na_normal.jpg")</f>
        <v>https://pbs.twimg.com/profile_images/1405565284723920896/R4zHo8na_normal.jpg</v>
      </c>
      <c r="G646" s="95"/>
      <c r="H646" s="71"/>
      <c r="I646" s="72"/>
      <c r="J646" s="96"/>
      <c r="K646" s="71" t="s">
        <v>11785</v>
      </c>
      <c r="L646" s="97"/>
      <c r="M646" s="76"/>
      <c r="N646" s="76"/>
      <c r="O646" s="77"/>
      <c r="P646" s="78"/>
      <c r="Q646" s="78"/>
      <c r="R646" s="92"/>
      <c r="S646" s="92"/>
      <c r="T646" s="92"/>
      <c r="U646" s="92"/>
      <c r="V646" s="52"/>
      <c r="W646" s="52"/>
      <c r="X646" s="52"/>
      <c r="Y646" s="52"/>
      <c r="Z646" s="51"/>
      <c r="AA646" s="73"/>
      <c r="AB646" s="73"/>
      <c r="AC646" s="74"/>
      <c r="AD646" s="81" t="s">
        <v>8410</v>
      </c>
      <c r="AE646" s="86" t="s">
        <v>7904</v>
      </c>
      <c r="AF646" s="81">
        <v>2071</v>
      </c>
      <c r="AG646" s="81">
        <v>605569</v>
      </c>
      <c r="AH646" s="81">
        <v>15114</v>
      </c>
      <c r="AI646" s="81">
        <v>5082</v>
      </c>
      <c r="AJ646" s="81"/>
      <c r="AK646" s="81" t="s">
        <v>10380</v>
      </c>
      <c r="AL646" s="81" t="s">
        <v>10970</v>
      </c>
      <c r="AM646" s="84" t="str">
        <f>HYPERLINK("https://t.co/8jGXfx0IFG")</f>
        <v>https://t.co/8jGXfx0IFG</v>
      </c>
      <c r="AN646" s="81"/>
      <c r="AO646" s="83">
        <v>39982.39025462963</v>
      </c>
      <c r="AP646" s="84" t="str">
        <f>HYPERLINK("https://pbs.twimg.com/profile_banners/48298703/1627385626")</f>
        <v>https://pbs.twimg.com/profile_banners/48298703/1627385626</v>
      </c>
      <c r="AQ646" s="81" t="b">
        <v>0</v>
      </c>
      <c r="AR646" s="81" t="b">
        <v>0</v>
      </c>
      <c r="AS646" s="81" t="b">
        <v>1</v>
      </c>
      <c r="AT646" s="81"/>
      <c r="AU646" s="81">
        <v>1659</v>
      </c>
      <c r="AV646" s="84" t="str">
        <f>HYPERLINK("https://abs.twimg.com/images/themes/theme16/bg.gif")</f>
        <v>https://abs.twimg.com/images/themes/theme16/bg.gif</v>
      </c>
      <c r="AW646" s="81" t="b">
        <v>1</v>
      </c>
      <c r="AX646" s="81" t="s">
        <v>3728</v>
      </c>
      <c r="AY646" s="84" t="str">
        <f>HYPERLINK("https://twitter.com/eduardopaes")</f>
        <v>https://twitter.com/eduardopaes</v>
      </c>
      <c r="AZ646" s="81" t="s">
        <v>65</v>
      </c>
      <c r="BA646" s="2"/>
      <c r="BB646" s="3"/>
      <c r="BC646" s="3"/>
      <c r="BD646" s="3"/>
      <c r="BE646" s="3"/>
    </row>
    <row r="647" spans="1:57" x14ac:dyDescent="0.35">
      <c r="A647" s="66" t="s">
        <v>4438</v>
      </c>
      <c r="B647" s="67"/>
      <c r="C647" s="67"/>
      <c r="D647" s="68"/>
      <c r="E647" s="94"/>
      <c r="F647" s="93" t="str">
        <f>HYPERLINK("https://pbs.twimg.com/profile_images/1352955286227705857/2ZuYExOv_normal.jpg")</f>
        <v>https://pbs.twimg.com/profile_images/1352955286227705857/2ZuYExOv_normal.jpg</v>
      </c>
      <c r="G647" s="95"/>
      <c r="H647" s="71"/>
      <c r="I647" s="72"/>
      <c r="J647" s="96"/>
      <c r="K647" s="71" t="s">
        <v>11786</v>
      </c>
      <c r="L647" s="97"/>
      <c r="M647" s="76"/>
      <c r="N647" s="76"/>
      <c r="O647" s="77"/>
      <c r="P647" s="78"/>
      <c r="Q647" s="78"/>
      <c r="R647" s="92"/>
      <c r="S647" s="92"/>
      <c r="T647" s="92"/>
      <c r="U647" s="92"/>
      <c r="V647" s="52"/>
      <c r="W647" s="52"/>
      <c r="X647" s="52"/>
      <c r="Y647" s="52"/>
      <c r="Z647" s="51"/>
      <c r="AA647" s="73"/>
      <c r="AB647" s="73"/>
      <c r="AC647" s="74"/>
      <c r="AD647" s="81" t="s">
        <v>8411</v>
      </c>
      <c r="AE647" s="86" t="s">
        <v>9422</v>
      </c>
      <c r="AF647" s="81">
        <v>529</v>
      </c>
      <c r="AG647" s="81">
        <v>323</v>
      </c>
      <c r="AH647" s="81">
        <v>14022</v>
      </c>
      <c r="AI647" s="81">
        <v>67053</v>
      </c>
      <c r="AJ647" s="81"/>
      <c r="AK647" s="81" t="s">
        <v>10381</v>
      </c>
      <c r="AL647" s="81" t="s">
        <v>11138</v>
      </c>
      <c r="AM647" s="81"/>
      <c r="AN647" s="81"/>
      <c r="AO647" s="83">
        <v>39958.860208333332</v>
      </c>
      <c r="AP647" s="84" t="str">
        <f>HYPERLINK("https://pbs.twimg.com/profile_banners/42482159/1560209953")</f>
        <v>https://pbs.twimg.com/profile_banners/42482159/1560209953</v>
      </c>
      <c r="AQ647" s="81" t="b">
        <v>0</v>
      </c>
      <c r="AR647" s="81" t="b">
        <v>0</v>
      </c>
      <c r="AS647" s="81" t="b">
        <v>0</v>
      </c>
      <c r="AT647" s="81"/>
      <c r="AU647" s="81">
        <v>1</v>
      </c>
      <c r="AV647" s="84" t="str">
        <f>HYPERLINK("https://abs.twimg.com/images/themes/theme1/bg.png")</f>
        <v>https://abs.twimg.com/images/themes/theme1/bg.png</v>
      </c>
      <c r="AW647" s="81" t="b">
        <v>0</v>
      </c>
      <c r="AX647" s="81" t="s">
        <v>3728</v>
      </c>
      <c r="AY647" s="84" t="str">
        <f>HYPERLINK("https://twitter.com/noahwardrobe")</f>
        <v>https://twitter.com/noahwardrobe</v>
      </c>
      <c r="AZ647" s="81" t="s">
        <v>66</v>
      </c>
      <c r="BA647" s="2"/>
      <c r="BB647" s="3"/>
      <c r="BC647" s="3"/>
      <c r="BD647" s="3"/>
      <c r="BE647" s="3"/>
    </row>
    <row r="648" spans="1:57" x14ac:dyDescent="0.35">
      <c r="A648" s="66" t="s">
        <v>4439</v>
      </c>
      <c r="B648" s="67"/>
      <c r="C648" s="67"/>
      <c r="D648" s="68"/>
      <c r="E648" s="94"/>
      <c r="F648" s="93" t="str">
        <f>HYPERLINK("https://pbs.twimg.com/profile_images/1085515187619332096/333aGB5z_normal.jpg")</f>
        <v>https://pbs.twimg.com/profile_images/1085515187619332096/333aGB5z_normal.jpg</v>
      </c>
      <c r="G648" s="95"/>
      <c r="H648" s="71"/>
      <c r="I648" s="72"/>
      <c r="J648" s="96"/>
      <c r="K648" s="71" t="s">
        <v>11787</v>
      </c>
      <c r="L648" s="97"/>
      <c r="M648" s="76"/>
      <c r="N648" s="76"/>
      <c r="O648" s="77"/>
      <c r="P648" s="78"/>
      <c r="Q648" s="78"/>
      <c r="R648" s="92"/>
      <c r="S648" s="92"/>
      <c r="T648" s="92"/>
      <c r="U648" s="92"/>
      <c r="V648" s="52"/>
      <c r="W648" s="52"/>
      <c r="X648" s="52"/>
      <c r="Y648" s="52"/>
      <c r="Z648" s="51"/>
      <c r="AA648" s="73"/>
      <c r="AB648" s="73"/>
      <c r="AC648" s="74"/>
      <c r="AD648" s="81" t="s">
        <v>8412</v>
      </c>
      <c r="AE648" s="86" t="s">
        <v>9423</v>
      </c>
      <c r="AF648" s="81">
        <v>1914</v>
      </c>
      <c r="AG648" s="81">
        <v>1380</v>
      </c>
      <c r="AH648" s="81">
        <v>13807</v>
      </c>
      <c r="AI648" s="81">
        <v>119864</v>
      </c>
      <c r="AJ648" s="81"/>
      <c r="AK648" s="81" t="s">
        <v>10382</v>
      </c>
      <c r="AL648" s="81" t="s">
        <v>11139</v>
      </c>
      <c r="AM648" s="81"/>
      <c r="AN648" s="81"/>
      <c r="AO648" s="83">
        <v>43221.705972222226</v>
      </c>
      <c r="AP648" s="84" t="str">
        <f>HYPERLINK("https://pbs.twimg.com/profile_banners/991360751561560066/1573643144")</f>
        <v>https://pbs.twimg.com/profile_banners/991360751561560066/1573643144</v>
      </c>
      <c r="AQ648" s="81" t="b">
        <v>1</v>
      </c>
      <c r="AR648" s="81" t="b">
        <v>0</v>
      </c>
      <c r="AS648" s="81" t="b">
        <v>0</v>
      </c>
      <c r="AT648" s="81"/>
      <c r="AU648" s="81">
        <v>0</v>
      </c>
      <c r="AV648" s="81"/>
      <c r="AW648" s="81" t="b">
        <v>0</v>
      </c>
      <c r="AX648" s="81" t="s">
        <v>3728</v>
      </c>
      <c r="AY648" s="84" t="str">
        <f>HYPERLINK("https://twitter.com/franciscodecama")</f>
        <v>https://twitter.com/franciscodecama</v>
      </c>
      <c r="AZ648" s="81" t="s">
        <v>66</v>
      </c>
      <c r="BA648" s="2"/>
      <c r="BB648" s="3"/>
      <c r="BC648" s="3"/>
      <c r="BD648" s="3"/>
      <c r="BE648" s="3"/>
    </row>
    <row r="649" spans="1:57" x14ac:dyDescent="0.35">
      <c r="A649" s="66" t="s">
        <v>4440</v>
      </c>
      <c r="B649" s="67"/>
      <c r="C649" s="67"/>
      <c r="D649" s="68"/>
      <c r="E649" s="94"/>
      <c r="F649" s="93" t="str">
        <f>HYPERLINK("https://pbs.twimg.com/profile_images/1248383359983603713/MjYPkT4X_normal.jpg")</f>
        <v>https://pbs.twimg.com/profile_images/1248383359983603713/MjYPkT4X_normal.jpg</v>
      </c>
      <c r="G649" s="95"/>
      <c r="H649" s="71"/>
      <c r="I649" s="72"/>
      <c r="J649" s="96"/>
      <c r="K649" s="71" t="s">
        <v>11788</v>
      </c>
      <c r="L649" s="97"/>
      <c r="M649" s="76"/>
      <c r="N649" s="76"/>
      <c r="O649" s="77"/>
      <c r="P649" s="78"/>
      <c r="Q649" s="78"/>
      <c r="R649" s="92"/>
      <c r="S649" s="92"/>
      <c r="T649" s="92"/>
      <c r="U649" s="92"/>
      <c r="V649" s="52"/>
      <c r="W649" s="52"/>
      <c r="X649" s="52"/>
      <c r="Y649" s="52"/>
      <c r="Z649" s="51"/>
      <c r="AA649" s="73"/>
      <c r="AB649" s="73"/>
      <c r="AC649" s="74"/>
      <c r="AD649" s="81" t="s">
        <v>8413</v>
      </c>
      <c r="AE649" s="86" t="s">
        <v>9424</v>
      </c>
      <c r="AF649" s="81">
        <v>14360</v>
      </c>
      <c r="AG649" s="81">
        <v>13016</v>
      </c>
      <c r="AH649" s="81">
        <v>15138</v>
      </c>
      <c r="AI649" s="81">
        <v>94599</v>
      </c>
      <c r="AJ649" s="81"/>
      <c r="AK649" s="81" t="s">
        <v>10383</v>
      </c>
      <c r="AL649" s="81" t="s">
        <v>7998</v>
      </c>
      <c r="AM649" s="81"/>
      <c r="AN649" s="81"/>
      <c r="AO649" s="83">
        <v>43340.577233796299</v>
      </c>
      <c r="AP649" s="84" t="str">
        <f>HYPERLINK("https://pbs.twimg.com/profile_banners/1034438254047703042/1536663890")</f>
        <v>https://pbs.twimg.com/profile_banners/1034438254047703042/1536663890</v>
      </c>
      <c r="AQ649" s="81" t="b">
        <v>1</v>
      </c>
      <c r="AR649" s="81" t="b">
        <v>0</v>
      </c>
      <c r="AS649" s="81" t="b">
        <v>0</v>
      </c>
      <c r="AT649" s="81"/>
      <c r="AU649" s="81">
        <v>2</v>
      </c>
      <c r="AV649" s="81"/>
      <c r="AW649" s="81" t="b">
        <v>0</v>
      </c>
      <c r="AX649" s="81" t="s">
        <v>3728</v>
      </c>
      <c r="AY649" s="84" t="str">
        <f>HYPERLINK("https://twitter.com/ponderadoo")</f>
        <v>https://twitter.com/ponderadoo</v>
      </c>
      <c r="AZ649" s="81" t="s">
        <v>66</v>
      </c>
      <c r="BA649" s="2"/>
      <c r="BB649" s="3"/>
      <c r="BC649" s="3"/>
      <c r="BD649" s="3"/>
      <c r="BE649" s="3"/>
    </row>
    <row r="650" spans="1:57" x14ac:dyDescent="0.35">
      <c r="A650" s="66" t="s">
        <v>4441</v>
      </c>
      <c r="B650" s="67"/>
      <c r="C650" s="67"/>
      <c r="D650" s="68"/>
      <c r="E650" s="94"/>
      <c r="F650" s="93" t="str">
        <f>HYPERLINK("https://pbs.twimg.com/profile_images/1423783907439284225/qdy28g6R_normal.jpg")</f>
        <v>https://pbs.twimg.com/profile_images/1423783907439284225/qdy28g6R_normal.jpg</v>
      </c>
      <c r="G650" s="95"/>
      <c r="H650" s="71"/>
      <c r="I650" s="72"/>
      <c r="J650" s="96"/>
      <c r="K650" s="71" t="s">
        <v>11789</v>
      </c>
      <c r="L650" s="97"/>
      <c r="M650" s="76"/>
      <c r="N650" s="76"/>
      <c r="O650" s="77"/>
      <c r="P650" s="78"/>
      <c r="Q650" s="78"/>
      <c r="R650" s="92"/>
      <c r="S650" s="92"/>
      <c r="T650" s="92"/>
      <c r="U650" s="92"/>
      <c r="V650" s="52"/>
      <c r="W650" s="52"/>
      <c r="X650" s="52"/>
      <c r="Y650" s="52"/>
      <c r="Z650" s="51"/>
      <c r="AA650" s="73"/>
      <c r="AB650" s="73"/>
      <c r="AC650" s="74"/>
      <c r="AD650" s="81" t="s">
        <v>8414</v>
      </c>
      <c r="AE650" s="86" t="s">
        <v>9425</v>
      </c>
      <c r="AF650" s="81">
        <v>1437</v>
      </c>
      <c r="AG650" s="81">
        <v>854</v>
      </c>
      <c r="AH650" s="81">
        <v>4809</v>
      </c>
      <c r="AI650" s="81">
        <v>3681</v>
      </c>
      <c r="AJ650" s="81"/>
      <c r="AK650" s="81"/>
      <c r="AL650" s="81"/>
      <c r="AM650" s="81"/>
      <c r="AN650" s="81"/>
      <c r="AO650" s="83">
        <v>44414.966053240743</v>
      </c>
      <c r="AP650" s="81"/>
      <c r="AQ650" s="81" t="b">
        <v>1</v>
      </c>
      <c r="AR650" s="81" t="b">
        <v>0</v>
      </c>
      <c r="AS650" s="81" t="b">
        <v>1</v>
      </c>
      <c r="AT650" s="81"/>
      <c r="AU650" s="81">
        <v>1</v>
      </c>
      <c r="AV650" s="81"/>
      <c r="AW650" s="81" t="b">
        <v>0</v>
      </c>
      <c r="AX650" s="81" t="s">
        <v>3728</v>
      </c>
      <c r="AY650" s="84" t="str">
        <f>HYPERLINK("https://twitter.com/soninha28906779")</f>
        <v>https://twitter.com/soninha28906779</v>
      </c>
      <c r="AZ650" s="81" t="s">
        <v>66</v>
      </c>
      <c r="BA650" s="2"/>
      <c r="BB650" s="3"/>
      <c r="BC650" s="3"/>
      <c r="BD650" s="3"/>
      <c r="BE650" s="3"/>
    </row>
    <row r="651" spans="1:57" x14ac:dyDescent="0.35">
      <c r="A651" s="66" t="s">
        <v>4442</v>
      </c>
      <c r="B651" s="67"/>
      <c r="C651" s="67"/>
      <c r="D651" s="68"/>
      <c r="E651" s="94"/>
      <c r="F651" s="93" t="str">
        <f>HYPERLINK("https://pbs.twimg.com/profile_images/1161049746489978880/gve66IVD_normal.jpg")</f>
        <v>https://pbs.twimg.com/profile_images/1161049746489978880/gve66IVD_normal.jpg</v>
      </c>
      <c r="G651" s="95"/>
      <c r="H651" s="71"/>
      <c r="I651" s="72"/>
      <c r="J651" s="96"/>
      <c r="K651" s="71" t="s">
        <v>11790</v>
      </c>
      <c r="L651" s="97"/>
      <c r="M651" s="76"/>
      <c r="N651" s="76"/>
      <c r="O651" s="77"/>
      <c r="P651" s="78"/>
      <c r="Q651" s="78"/>
      <c r="R651" s="92"/>
      <c r="S651" s="92"/>
      <c r="T651" s="92"/>
      <c r="U651" s="92"/>
      <c r="V651" s="52"/>
      <c r="W651" s="52"/>
      <c r="X651" s="52"/>
      <c r="Y651" s="52"/>
      <c r="Z651" s="51"/>
      <c r="AA651" s="73"/>
      <c r="AB651" s="73"/>
      <c r="AC651" s="74"/>
      <c r="AD651" s="81" t="s">
        <v>8415</v>
      </c>
      <c r="AE651" s="86" t="s">
        <v>9426</v>
      </c>
      <c r="AF651" s="81">
        <v>1147</v>
      </c>
      <c r="AG651" s="81">
        <v>1141</v>
      </c>
      <c r="AH651" s="81">
        <v>99724</v>
      </c>
      <c r="AI651" s="81">
        <v>86478</v>
      </c>
      <c r="AJ651" s="81"/>
      <c r="AK651" s="81" t="s">
        <v>10384</v>
      </c>
      <c r="AL651" s="81" t="s">
        <v>10985</v>
      </c>
      <c r="AM651" s="81"/>
      <c r="AN651" s="81"/>
      <c r="AO651" s="83">
        <v>41942.804803240739</v>
      </c>
      <c r="AP651" s="84" t="str">
        <f>HYPERLINK("https://pbs.twimg.com/profile_banners/2851955518/1565700760")</f>
        <v>https://pbs.twimg.com/profile_banners/2851955518/1565700760</v>
      </c>
      <c r="AQ651" s="81" t="b">
        <v>0</v>
      </c>
      <c r="AR651" s="81" t="b">
        <v>0</v>
      </c>
      <c r="AS651" s="81" t="b">
        <v>0</v>
      </c>
      <c r="AT651" s="81"/>
      <c r="AU651" s="81">
        <v>1</v>
      </c>
      <c r="AV651" s="84" t="str">
        <f>HYPERLINK("https://abs.twimg.com/images/themes/theme1/bg.png")</f>
        <v>https://abs.twimg.com/images/themes/theme1/bg.png</v>
      </c>
      <c r="AW651" s="81" t="b">
        <v>0</v>
      </c>
      <c r="AX651" s="81" t="s">
        <v>3728</v>
      </c>
      <c r="AY651" s="84" t="str">
        <f>HYPERLINK("https://twitter.com/r0d3s")</f>
        <v>https://twitter.com/r0d3s</v>
      </c>
      <c r="AZ651" s="81" t="s">
        <v>66</v>
      </c>
      <c r="BA651" s="2"/>
      <c r="BB651" s="3"/>
      <c r="BC651" s="3"/>
      <c r="BD651" s="3"/>
      <c r="BE651" s="3"/>
    </row>
    <row r="652" spans="1:57" x14ac:dyDescent="0.35">
      <c r="A652" s="66" t="s">
        <v>4443</v>
      </c>
      <c r="B652" s="67"/>
      <c r="C652" s="67"/>
      <c r="D652" s="68"/>
      <c r="E652" s="94"/>
      <c r="F652" s="93" t="str">
        <f>HYPERLINK("https://pbs.twimg.com/profile_images/1224074798806028299/5z0lDj2k_normal.jpg")</f>
        <v>https://pbs.twimg.com/profile_images/1224074798806028299/5z0lDj2k_normal.jpg</v>
      </c>
      <c r="G652" s="95"/>
      <c r="H652" s="71"/>
      <c r="I652" s="72"/>
      <c r="J652" s="96"/>
      <c r="K652" s="71" t="s">
        <v>11791</v>
      </c>
      <c r="L652" s="97"/>
      <c r="M652" s="76"/>
      <c r="N652" s="76"/>
      <c r="O652" s="77"/>
      <c r="P652" s="78"/>
      <c r="Q652" s="78"/>
      <c r="R652" s="92"/>
      <c r="S652" s="92"/>
      <c r="T652" s="92"/>
      <c r="U652" s="92"/>
      <c r="V652" s="52"/>
      <c r="W652" s="52"/>
      <c r="X652" s="52"/>
      <c r="Y652" s="52"/>
      <c r="Z652" s="51"/>
      <c r="AA652" s="73"/>
      <c r="AB652" s="73"/>
      <c r="AC652" s="74"/>
      <c r="AD652" s="81" t="s">
        <v>8416</v>
      </c>
      <c r="AE652" s="86" t="s">
        <v>9427</v>
      </c>
      <c r="AF652" s="81">
        <v>592</v>
      </c>
      <c r="AG652" s="81">
        <v>260</v>
      </c>
      <c r="AH652" s="81">
        <v>14435</v>
      </c>
      <c r="AI652" s="81">
        <v>28781</v>
      </c>
      <c r="AJ652" s="81"/>
      <c r="AK652" s="81" t="s">
        <v>10385</v>
      </c>
      <c r="AL652" s="81" t="s">
        <v>8001</v>
      </c>
      <c r="AM652" s="81"/>
      <c r="AN652" s="81"/>
      <c r="AO652" s="83">
        <v>41478.692893518521</v>
      </c>
      <c r="AP652" s="84" t="str">
        <f>HYPERLINK("https://pbs.twimg.com/profile_banners/1615665403/1580676990")</f>
        <v>https://pbs.twimg.com/profile_banners/1615665403/1580676990</v>
      </c>
      <c r="AQ652" s="81" t="b">
        <v>1</v>
      </c>
      <c r="AR652" s="81" t="b">
        <v>0</v>
      </c>
      <c r="AS652" s="81" t="b">
        <v>1</v>
      </c>
      <c r="AT652" s="81"/>
      <c r="AU652" s="81">
        <v>1</v>
      </c>
      <c r="AV652" s="84" t="str">
        <f>HYPERLINK("https://abs.twimg.com/images/themes/theme1/bg.png")</f>
        <v>https://abs.twimg.com/images/themes/theme1/bg.png</v>
      </c>
      <c r="AW652" s="81" t="b">
        <v>0</v>
      </c>
      <c r="AX652" s="81" t="s">
        <v>3728</v>
      </c>
      <c r="AY652" s="84" t="str">
        <f>HYPERLINK("https://twitter.com/mia170963")</f>
        <v>https://twitter.com/mia170963</v>
      </c>
      <c r="AZ652" s="81" t="s">
        <v>66</v>
      </c>
      <c r="BA652" s="2"/>
      <c r="BB652" s="3"/>
      <c r="BC652" s="3"/>
      <c r="BD652" s="3"/>
      <c r="BE652" s="3"/>
    </row>
    <row r="653" spans="1:57" x14ac:dyDescent="0.35">
      <c r="A653" s="66" t="s">
        <v>4444</v>
      </c>
      <c r="B653" s="67"/>
      <c r="C653" s="67"/>
      <c r="D653" s="68"/>
      <c r="E653" s="94"/>
      <c r="F653" s="93" t="str">
        <f>HYPERLINK("https://pbs.twimg.com/profile_images/1264316166111137795/laOqBCoF_normal.jpg")</f>
        <v>https://pbs.twimg.com/profile_images/1264316166111137795/laOqBCoF_normal.jpg</v>
      </c>
      <c r="G653" s="95"/>
      <c r="H653" s="71"/>
      <c r="I653" s="72"/>
      <c r="J653" s="96"/>
      <c r="K653" s="71" t="s">
        <v>11792</v>
      </c>
      <c r="L653" s="97"/>
      <c r="M653" s="76"/>
      <c r="N653" s="76"/>
      <c r="O653" s="77"/>
      <c r="P653" s="78"/>
      <c r="Q653" s="78"/>
      <c r="R653" s="92"/>
      <c r="S653" s="92"/>
      <c r="T653" s="92"/>
      <c r="U653" s="92"/>
      <c r="V653" s="52"/>
      <c r="W653" s="52"/>
      <c r="X653" s="52"/>
      <c r="Y653" s="52"/>
      <c r="Z653" s="51"/>
      <c r="AA653" s="73"/>
      <c r="AB653" s="73"/>
      <c r="AC653" s="74"/>
      <c r="AD653" s="81" t="s">
        <v>8417</v>
      </c>
      <c r="AE653" s="86" t="s">
        <v>9428</v>
      </c>
      <c r="AF653" s="81">
        <v>784</v>
      </c>
      <c r="AG653" s="81">
        <v>910</v>
      </c>
      <c r="AH653" s="81">
        <v>60589</v>
      </c>
      <c r="AI653" s="81">
        <v>69014</v>
      </c>
      <c r="AJ653" s="81"/>
      <c r="AK653" s="81" t="s">
        <v>10386</v>
      </c>
      <c r="AL653" s="81" t="s">
        <v>10975</v>
      </c>
      <c r="AM653" s="81"/>
      <c r="AN653" s="81"/>
      <c r="AO653" s="83">
        <v>43417.786435185182</v>
      </c>
      <c r="AP653" s="84" t="str">
        <f>HYPERLINK("https://pbs.twimg.com/profile_banners/1062417933526355968/1542136323")</f>
        <v>https://pbs.twimg.com/profile_banners/1062417933526355968/1542136323</v>
      </c>
      <c r="AQ653" s="81" t="b">
        <v>1</v>
      </c>
      <c r="AR653" s="81" t="b">
        <v>0</v>
      </c>
      <c r="AS653" s="81" t="b">
        <v>0</v>
      </c>
      <c r="AT653" s="81"/>
      <c r="AU653" s="81">
        <v>0</v>
      </c>
      <c r="AV653" s="81"/>
      <c r="AW653" s="81" t="b">
        <v>0</v>
      </c>
      <c r="AX653" s="81" t="s">
        <v>3728</v>
      </c>
      <c r="AY653" s="84" t="str">
        <f>HYPERLINK("https://twitter.com/paulikita2")</f>
        <v>https://twitter.com/paulikita2</v>
      </c>
      <c r="AZ653" s="81" t="s">
        <v>66</v>
      </c>
      <c r="BA653" s="2"/>
      <c r="BB653" s="3"/>
      <c r="BC653" s="3"/>
      <c r="BD653" s="3"/>
      <c r="BE653" s="3"/>
    </row>
    <row r="654" spans="1:57" x14ac:dyDescent="0.35">
      <c r="A654" s="66" t="s">
        <v>4445</v>
      </c>
      <c r="B654" s="67"/>
      <c r="C654" s="67"/>
      <c r="D654" s="68"/>
      <c r="E654" s="94"/>
      <c r="F654" s="93" t="str">
        <f>HYPERLINK("https://pbs.twimg.com/profile_images/1348278632280690689/8MCdg2BE_normal.jpg")</f>
        <v>https://pbs.twimg.com/profile_images/1348278632280690689/8MCdg2BE_normal.jpg</v>
      </c>
      <c r="G654" s="95"/>
      <c r="H654" s="71"/>
      <c r="I654" s="72"/>
      <c r="J654" s="96"/>
      <c r="K654" s="71" t="s">
        <v>11793</v>
      </c>
      <c r="L654" s="97"/>
      <c r="M654" s="76"/>
      <c r="N654" s="76"/>
      <c r="O654" s="77"/>
      <c r="P654" s="78"/>
      <c r="Q654" s="78"/>
      <c r="R654" s="92"/>
      <c r="S654" s="92"/>
      <c r="T654" s="92"/>
      <c r="U654" s="92"/>
      <c r="V654" s="52"/>
      <c r="W654" s="52"/>
      <c r="X654" s="52"/>
      <c r="Y654" s="52"/>
      <c r="Z654" s="51"/>
      <c r="AA654" s="73"/>
      <c r="AB654" s="73"/>
      <c r="AC654" s="74"/>
      <c r="AD654" s="81" t="s">
        <v>8418</v>
      </c>
      <c r="AE654" s="86" t="s">
        <v>9429</v>
      </c>
      <c r="AF654" s="81">
        <v>1757</v>
      </c>
      <c r="AG654" s="81">
        <v>792</v>
      </c>
      <c r="AH654" s="81">
        <v>23658</v>
      </c>
      <c r="AI654" s="81">
        <v>26693</v>
      </c>
      <c r="AJ654" s="81"/>
      <c r="AK654" s="81"/>
      <c r="AL654" s="81"/>
      <c r="AM654" s="81"/>
      <c r="AN654" s="81"/>
      <c r="AO654" s="83">
        <v>43346.745092592595</v>
      </c>
      <c r="AP654" s="84" t="str">
        <f>HYPERLINK("https://pbs.twimg.com/profile_banners/1036673410087231488/1539561543")</f>
        <v>https://pbs.twimg.com/profile_banners/1036673410087231488/1539561543</v>
      </c>
      <c r="AQ654" s="81" t="b">
        <v>1</v>
      </c>
      <c r="AR654" s="81" t="b">
        <v>0</v>
      </c>
      <c r="AS654" s="81" t="b">
        <v>0</v>
      </c>
      <c r="AT654" s="81"/>
      <c r="AU654" s="81">
        <v>0</v>
      </c>
      <c r="AV654" s="81"/>
      <c r="AW654" s="81" t="b">
        <v>0</v>
      </c>
      <c r="AX654" s="81" t="s">
        <v>3728</v>
      </c>
      <c r="AY654" s="84" t="str">
        <f>HYPERLINK("https://twitter.com/sandrotca")</f>
        <v>https://twitter.com/sandrotca</v>
      </c>
      <c r="AZ654" s="81" t="s">
        <v>66</v>
      </c>
      <c r="BA654" s="2"/>
      <c r="BB654" s="3"/>
      <c r="BC654" s="3"/>
      <c r="BD654" s="3"/>
      <c r="BE654" s="3"/>
    </row>
    <row r="655" spans="1:57" x14ac:dyDescent="0.35">
      <c r="A655" s="66" t="s">
        <v>4446</v>
      </c>
      <c r="B655" s="67"/>
      <c r="C655" s="67"/>
      <c r="D655" s="68"/>
      <c r="E655" s="94"/>
      <c r="F655" s="93" t="str">
        <f>HYPERLINK("https://pbs.twimg.com/profile_images/1347744401972408320/gV7rkCEl_normal.jpg")</f>
        <v>https://pbs.twimg.com/profile_images/1347744401972408320/gV7rkCEl_normal.jpg</v>
      </c>
      <c r="G655" s="95"/>
      <c r="H655" s="71"/>
      <c r="I655" s="72"/>
      <c r="J655" s="96"/>
      <c r="K655" s="71" t="s">
        <v>11794</v>
      </c>
      <c r="L655" s="97"/>
      <c r="M655" s="76"/>
      <c r="N655" s="76"/>
      <c r="O655" s="77"/>
      <c r="P655" s="78"/>
      <c r="Q655" s="78"/>
      <c r="R655" s="92"/>
      <c r="S655" s="92"/>
      <c r="T655" s="92"/>
      <c r="U655" s="92"/>
      <c r="V655" s="52"/>
      <c r="W655" s="52"/>
      <c r="X655" s="52"/>
      <c r="Y655" s="52"/>
      <c r="Z655" s="51"/>
      <c r="AA655" s="73"/>
      <c r="AB655" s="73"/>
      <c r="AC655" s="74"/>
      <c r="AD655" s="81" t="s">
        <v>8419</v>
      </c>
      <c r="AE655" s="86" t="s">
        <v>9430</v>
      </c>
      <c r="AF655" s="81">
        <v>575</v>
      </c>
      <c r="AG655" s="81">
        <v>377</v>
      </c>
      <c r="AH655" s="81">
        <v>51901</v>
      </c>
      <c r="AI655" s="81">
        <v>63851</v>
      </c>
      <c r="AJ655" s="81"/>
      <c r="AK655" s="81" t="s">
        <v>10387</v>
      </c>
      <c r="AL655" s="81" t="s">
        <v>7999</v>
      </c>
      <c r="AM655" s="81"/>
      <c r="AN655" s="81"/>
      <c r="AO655" s="83">
        <v>42897.796273148146</v>
      </c>
      <c r="AP655" s="84" t="str">
        <f>HYPERLINK("https://pbs.twimg.com/profile_banners/873979805976350720/1577313400")</f>
        <v>https://pbs.twimg.com/profile_banners/873979805976350720/1577313400</v>
      </c>
      <c r="AQ655" s="81" t="b">
        <v>1</v>
      </c>
      <c r="AR655" s="81" t="b">
        <v>0</v>
      </c>
      <c r="AS655" s="81" t="b">
        <v>0</v>
      </c>
      <c r="AT655" s="81"/>
      <c r="AU655" s="81">
        <v>0</v>
      </c>
      <c r="AV655" s="81"/>
      <c r="AW655" s="81" t="b">
        <v>0</v>
      </c>
      <c r="AX655" s="81" t="s">
        <v>3728</v>
      </c>
      <c r="AY655" s="84" t="str">
        <f>HYPERLINK("https://twitter.com/epmoraes2")</f>
        <v>https://twitter.com/epmoraes2</v>
      </c>
      <c r="AZ655" s="81" t="s">
        <v>66</v>
      </c>
      <c r="BA655" s="2"/>
      <c r="BB655" s="3"/>
      <c r="BC655" s="3"/>
      <c r="BD655" s="3"/>
      <c r="BE655" s="3"/>
    </row>
    <row r="656" spans="1:57" x14ac:dyDescent="0.35">
      <c r="A656" s="66" t="s">
        <v>4447</v>
      </c>
      <c r="B656" s="67"/>
      <c r="C656" s="67"/>
      <c r="D656" s="68"/>
      <c r="E656" s="94"/>
      <c r="F656" s="93" t="str">
        <f>HYPERLINK("https://pbs.twimg.com/profile_images/409581033/TCasso_normal.jpg")</f>
        <v>https://pbs.twimg.com/profile_images/409581033/TCasso_normal.jpg</v>
      </c>
      <c r="G656" s="95"/>
      <c r="H656" s="71"/>
      <c r="I656" s="72"/>
      <c r="J656" s="96"/>
      <c r="K656" s="71" t="s">
        <v>11795</v>
      </c>
      <c r="L656" s="97"/>
      <c r="M656" s="76"/>
      <c r="N656" s="76"/>
      <c r="O656" s="77"/>
      <c r="P656" s="78"/>
      <c r="Q656" s="78"/>
      <c r="R656" s="92"/>
      <c r="S656" s="92"/>
      <c r="T656" s="92"/>
      <c r="U656" s="92"/>
      <c r="V656" s="52"/>
      <c r="W656" s="52"/>
      <c r="X656" s="52"/>
      <c r="Y656" s="52"/>
      <c r="Z656" s="51"/>
      <c r="AA656" s="73"/>
      <c r="AB656" s="73"/>
      <c r="AC656" s="74"/>
      <c r="AD656" s="81" t="s">
        <v>8420</v>
      </c>
      <c r="AE656" s="86" t="s">
        <v>9431</v>
      </c>
      <c r="AF656" s="81">
        <v>88</v>
      </c>
      <c r="AG656" s="81">
        <v>228</v>
      </c>
      <c r="AH656" s="81">
        <v>45217</v>
      </c>
      <c r="AI656" s="81">
        <v>98971</v>
      </c>
      <c r="AJ656" s="81"/>
      <c r="AK656" s="81"/>
      <c r="AL656" s="81" t="s">
        <v>10992</v>
      </c>
      <c r="AM656" s="81"/>
      <c r="AN656" s="81"/>
      <c r="AO656" s="83">
        <v>39827.493506944447</v>
      </c>
      <c r="AP656" s="81"/>
      <c r="AQ656" s="81" t="b">
        <v>0</v>
      </c>
      <c r="AR656" s="81" t="b">
        <v>0</v>
      </c>
      <c r="AS656" s="81" t="b">
        <v>1</v>
      </c>
      <c r="AT656" s="81"/>
      <c r="AU656" s="81">
        <v>0</v>
      </c>
      <c r="AV656" s="84" t="str">
        <f>HYPERLINK("https://abs.twimg.com/images/themes/theme4/bg.gif")</f>
        <v>https://abs.twimg.com/images/themes/theme4/bg.gif</v>
      </c>
      <c r="AW656" s="81" t="b">
        <v>0</v>
      </c>
      <c r="AX656" s="81" t="s">
        <v>3728</v>
      </c>
      <c r="AY656" s="84" t="str">
        <f>HYPERLINK("https://twitter.com/tito_macedo")</f>
        <v>https://twitter.com/tito_macedo</v>
      </c>
      <c r="AZ656" s="81" t="s">
        <v>66</v>
      </c>
      <c r="BA656" s="2"/>
      <c r="BB656" s="3"/>
      <c r="BC656" s="3"/>
      <c r="BD656" s="3"/>
      <c r="BE656" s="3"/>
    </row>
    <row r="657" spans="1:57" x14ac:dyDescent="0.35">
      <c r="A657" s="66" t="s">
        <v>4448</v>
      </c>
      <c r="B657" s="67"/>
      <c r="C657" s="67"/>
      <c r="D657" s="68"/>
      <c r="E657" s="94"/>
      <c r="F657" s="93" t="str">
        <f>HYPERLINK("https://pbs.twimg.com/profile_images/1430677396336820229/fC6B5yb0_normal.jpg")</f>
        <v>https://pbs.twimg.com/profile_images/1430677396336820229/fC6B5yb0_normal.jpg</v>
      </c>
      <c r="G657" s="95"/>
      <c r="H657" s="71"/>
      <c r="I657" s="72"/>
      <c r="J657" s="96"/>
      <c r="K657" s="71" t="s">
        <v>11796</v>
      </c>
      <c r="L657" s="97"/>
      <c r="M657" s="76"/>
      <c r="N657" s="76"/>
      <c r="O657" s="77"/>
      <c r="P657" s="78"/>
      <c r="Q657" s="78"/>
      <c r="R657" s="92"/>
      <c r="S657" s="92"/>
      <c r="T657" s="92"/>
      <c r="U657" s="92"/>
      <c r="V657" s="52"/>
      <c r="W657" s="52"/>
      <c r="X657" s="52"/>
      <c r="Y657" s="52"/>
      <c r="Z657" s="51"/>
      <c r="AA657" s="73"/>
      <c r="AB657" s="73"/>
      <c r="AC657" s="74"/>
      <c r="AD657" s="81" t="s">
        <v>8421</v>
      </c>
      <c r="AE657" s="86" t="s">
        <v>9432</v>
      </c>
      <c r="AF657" s="81">
        <v>1658</v>
      </c>
      <c r="AG657" s="81">
        <v>841</v>
      </c>
      <c r="AH657" s="81">
        <v>3404</v>
      </c>
      <c r="AI657" s="81">
        <v>4283</v>
      </c>
      <c r="AJ657" s="81"/>
      <c r="AK657" s="81" t="s">
        <v>10388</v>
      </c>
      <c r="AL657" s="81"/>
      <c r="AM657" s="81"/>
      <c r="AN657" s="81"/>
      <c r="AO657" s="83">
        <v>44433.899409722224</v>
      </c>
      <c r="AP657" s="84" t="str">
        <f>HYPERLINK("https://pbs.twimg.com/profile_banners/1430644805370011651/1630476426")</f>
        <v>https://pbs.twimg.com/profile_banners/1430644805370011651/1630476426</v>
      </c>
      <c r="AQ657" s="81" t="b">
        <v>1</v>
      </c>
      <c r="AR657" s="81" t="b">
        <v>0</v>
      </c>
      <c r="AS657" s="81" t="b">
        <v>1</v>
      </c>
      <c r="AT657" s="81"/>
      <c r="AU657" s="81">
        <v>0</v>
      </c>
      <c r="AV657" s="81"/>
      <c r="AW657" s="81" t="b">
        <v>0</v>
      </c>
      <c r="AX657" s="81" t="s">
        <v>3728</v>
      </c>
      <c r="AY657" s="84" t="str">
        <f>HYPERLINK("https://twitter.com/freedombrazil21")</f>
        <v>https://twitter.com/freedombrazil21</v>
      </c>
      <c r="AZ657" s="81" t="s">
        <v>66</v>
      </c>
      <c r="BA657" s="2"/>
      <c r="BB657" s="3"/>
      <c r="BC657" s="3"/>
      <c r="BD657" s="3"/>
      <c r="BE657" s="3"/>
    </row>
    <row r="658" spans="1:57" x14ac:dyDescent="0.35">
      <c r="A658" s="66" t="s">
        <v>4449</v>
      </c>
      <c r="B658" s="67"/>
      <c r="C658" s="67"/>
      <c r="D658" s="68"/>
      <c r="E658" s="94"/>
      <c r="F658" s="93" t="str">
        <f>HYPERLINK("https://pbs.twimg.com/profile_images/1435638131626233857/XXGddZHd_normal.jpg")</f>
        <v>https://pbs.twimg.com/profile_images/1435638131626233857/XXGddZHd_normal.jpg</v>
      </c>
      <c r="G658" s="95"/>
      <c r="H658" s="71"/>
      <c r="I658" s="72"/>
      <c r="J658" s="96"/>
      <c r="K658" s="71" t="s">
        <v>11797</v>
      </c>
      <c r="L658" s="97"/>
      <c r="M658" s="76"/>
      <c r="N658" s="76"/>
      <c r="O658" s="77"/>
      <c r="P658" s="78"/>
      <c r="Q658" s="78"/>
      <c r="R658" s="92"/>
      <c r="S658" s="92"/>
      <c r="T658" s="92"/>
      <c r="U658" s="92"/>
      <c r="V658" s="52"/>
      <c r="W658" s="52"/>
      <c r="X658" s="52"/>
      <c r="Y658" s="52"/>
      <c r="Z658" s="51"/>
      <c r="AA658" s="73"/>
      <c r="AB658" s="73"/>
      <c r="AC658" s="74"/>
      <c r="AD658" s="81" t="s">
        <v>8422</v>
      </c>
      <c r="AE658" s="86" t="s">
        <v>9433</v>
      </c>
      <c r="AF658" s="81">
        <v>3887</v>
      </c>
      <c r="AG658" s="81">
        <v>3812</v>
      </c>
      <c r="AH658" s="81">
        <v>29967</v>
      </c>
      <c r="AI658" s="81">
        <v>107933</v>
      </c>
      <c r="AJ658" s="81"/>
      <c r="AK658" s="81" t="s">
        <v>10389</v>
      </c>
      <c r="AL658" s="81" t="s">
        <v>10975</v>
      </c>
      <c r="AM658" s="81"/>
      <c r="AN658" s="81"/>
      <c r="AO658" s="83">
        <v>43463.05201388889</v>
      </c>
      <c r="AP658" s="84" t="str">
        <f>HYPERLINK("https://pbs.twimg.com/profile_banners/1078821626278563840/1589417406")</f>
        <v>https://pbs.twimg.com/profile_banners/1078821626278563840/1589417406</v>
      </c>
      <c r="AQ658" s="81" t="b">
        <v>1</v>
      </c>
      <c r="AR658" s="81" t="b">
        <v>0</v>
      </c>
      <c r="AS658" s="81" t="b">
        <v>0</v>
      </c>
      <c r="AT658" s="81"/>
      <c r="AU658" s="81">
        <v>0</v>
      </c>
      <c r="AV658" s="81"/>
      <c r="AW658" s="81" t="b">
        <v>0</v>
      </c>
      <c r="AX658" s="81" t="s">
        <v>3728</v>
      </c>
      <c r="AY658" s="84" t="str">
        <f>HYPERLINK("https://twitter.com/anaherr68016722")</f>
        <v>https://twitter.com/anaherr68016722</v>
      </c>
      <c r="AZ658" s="81" t="s">
        <v>66</v>
      </c>
      <c r="BA658" s="2"/>
      <c r="BB658" s="3"/>
      <c r="BC658" s="3"/>
      <c r="BD658" s="3"/>
      <c r="BE658" s="3"/>
    </row>
    <row r="659" spans="1:57" x14ac:dyDescent="0.35">
      <c r="A659" s="66" t="s">
        <v>433</v>
      </c>
      <c r="B659" s="67"/>
      <c r="C659" s="67"/>
      <c r="D659" s="68"/>
      <c r="E659" s="94"/>
      <c r="F659" s="93" t="str">
        <f>HYPERLINK("https://pbs.twimg.com/profile_images/1437938863700209664/fSjNibnc_normal.jpg")</f>
        <v>https://pbs.twimg.com/profile_images/1437938863700209664/fSjNibnc_normal.jpg</v>
      </c>
      <c r="G659" s="95"/>
      <c r="H659" s="71"/>
      <c r="I659" s="72"/>
      <c r="J659" s="96"/>
      <c r="K659" s="71" t="s">
        <v>3976</v>
      </c>
      <c r="L659" s="97"/>
      <c r="M659" s="76"/>
      <c r="N659" s="76"/>
      <c r="O659" s="77"/>
      <c r="P659" s="78"/>
      <c r="Q659" s="78"/>
      <c r="R659" s="92"/>
      <c r="S659" s="92"/>
      <c r="T659" s="92"/>
      <c r="U659" s="92"/>
      <c r="V659" s="52"/>
      <c r="W659" s="52"/>
      <c r="X659" s="52"/>
      <c r="Y659" s="52"/>
      <c r="Z659" s="51"/>
      <c r="AA659" s="73"/>
      <c r="AB659" s="73"/>
      <c r="AC659" s="74"/>
      <c r="AD659" s="81" t="s">
        <v>2494</v>
      </c>
      <c r="AE659" s="86" t="s">
        <v>2916</v>
      </c>
      <c r="AF659" s="81">
        <v>33</v>
      </c>
      <c r="AG659" s="81">
        <v>94</v>
      </c>
      <c r="AH659" s="81">
        <v>10675</v>
      </c>
      <c r="AI659" s="81">
        <v>63162</v>
      </c>
      <c r="AJ659" s="81"/>
      <c r="AK659" s="81" t="s">
        <v>3323</v>
      </c>
      <c r="AL659" s="81" t="s">
        <v>3530</v>
      </c>
      <c r="AM659" s="81"/>
      <c r="AN659" s="81"/>
      <c r="AO659" s="83">
        <v>43207.875798611109</v>
      </c>
      <c r="AP659" s="84" t="str">
        <f>HYPERLINK("https://pbs.twimg.com/profile_banners/986348865203798016/1598892014")</f>
        <v>https://pbs.twimg.com/profile_banners/986348865203798016/1598892014</v>
      </c>
      <c r="AQ659" s="81" t="b">
        <v>1</v>
      </c>
      <c r="AR659" s="81" t="b">
        <v>0</v>
      </c>
      <c r="AS659" s="81" t="b">
        <v>0</v>
      </c>
      <c r="AT659" s="81"/>
      <c r="AU659" s="81">
        <v>0</v>
      </c>
      <c r="AV659" s="81"/>
      <c r="AW659" s="81" t="b">
        <v>0</v>
      </c>
      <c r="AX659" s="81" t="s">
        <v>3728</v>
      </c>
      <c r="AY659" s="84" t="str">
        <f>HYPERLINK("https://twitter.com/purpleejinnie")</f>
        <v>https://twitter.com/purpleejinnie</v>
      </c>
      <c r="AZ659" s="81" t="s">
        <v>66</v>
      </c>
      <c r="BA659" s="2"/>
      <c r="BB659" s="3"/>
      <c r="BC659" s="3"/>
      <c r="BD659" s="3"/>
      <c r="BE659" s="3"/>
    </row>
    <row r="660" spans="1:57" x14ac:dyDescent="0.35">
      <c r="A660" s="66" t="s">
        <v>4450</v>
      </c>
      <c r="B660" s="67"/>
      <c r="C660" s="67"/>
      <c r="D660" s="68"/>
      <c r="E660" s="94"/>
      <c r="F660" s="93" t="str">
        <f>HYPERLINK("https://pbs.twimg.com/profile_images/1095132148644880384/uqjjCYFS_normal.jpg")</f>
        <v>https://pbs.twimg.com/profile_images/1095132148644880384/uqjjCYFS_normal.jpg</v>
      </c>
      <c r="G660" s="95"/>
      <c r="H660" s="71"/>
      <c r="I660" s="72"/>
      <c r="J660" s="96"/>
      <c r="K660" s="71" t="s">
        <v>11798</v>
      </c>
      <c r="L660" s="97"/>
      <c r="M660" s="76"/>
      <c r="N660" s="76"/>
      <c r="O660" s="77"/>
      <c r="P660" s="78"/>
      <c r="Q660" s="78"/>
      <c r="R660" s="92"/>
      <c r="S660" s="92"/>
      <c r="T660" s="92"/>
      <c r="U660" s="92"/>
      <c r="V660" s="52"/>
      <c r="W660" s="52"/>
      <c r="X660" s="52"/>
      <c r="Y660" s="52"/>
      <c r="Z660" s="51"/>
      <c r="AA660" s="73"/>
      <c r="AB660" s="73"/>
      <c r="AC660" s="74"/>
      <c r="AD660" s="81" t="s">
        <v>8423</v>
      </c>
      <c r="AE660" s="86" t="s">
        <v>9434</v>
      </c>
      <c r="AF660" s="81">
        <v>1426</v>
      </c>
      <c r="AG660" s="81">
        <v>3770</v>
      </c>
      <c r="AH660" s="81">
        <v>18807</v>
      </c>
      <c r="AI660" s="81">
        <v>7476</v>
      </c>
      <c r="AJ660" s="81"/>
      <c r="AK660" s="81" t="s">
        <v>10390</v>
      </c>
      <c r="AL660" s="81" t="s">
        <v>10990</v>
      </c>
      <c r="AM660" s="84" t="str">
        <f>HYPERLINK("http://t.co/dVnrc5ZuIS")</f>
        <v>http://t.co/dVnrc5ZuIS</v>
      </c>
      <c r="AN660" s="81"/>
      <c r="AO660" s="83">
        <v>39858.104155092595</v>
      </c>
      <c r="AP660" s="84" t="str">
        <f>HYPERLINK("https://pbs.twimg.com/profile_banners/20826460/1617866129")</f>
        <v>https://pbs.twimg.com/profile_banners/20826460/1617866129</v>
      </c>
      <c r="AQ660" s="81" t="b">
        <v>0</v>
      </c>
      <c r="AR660" s="81" t="b">
        <v>0</v>
      </c>
      <c r="AS660" s="81" t="b">
        <v>0</v>
      </c>
      <c r="AT660" s="81"/>
      <c r="AU660" s="81">
        <v>44</v>
      </c>
      <c r="AV660" s="84" t="str">
        <f>HYPERLINK("https://abs.twimg.com/images/themes/theme4/bg.gif")</f>
        <v>https://abs.twimg.com/images/themes/theme4/bg.gif</v>
      </c>
      <c r="AW660" s="81" t="b">
        <v>0</v>
      </c>
      <c r="AX660" s="81" t="s">
        <v>3728</v>
      </c>
      <c r="AY660" s="84" t="str">
        <f>HYPERLINK("https://twitter.com/mariatalves")</f>
        <v>https://twitter.com/mariatalves</v>
      </c>
      <c r="AZ660" s="81" t="s">
        <v>66</v>
      </c>
      <c r="BA660" s="2"/>
      <c r="BB660" s="3"/>
      <c r="BC660" s="3"/>
      <c r="BD660" s="3"/>
      <c r="BE660" s="3"/>
    </row>
    <row r="661" spans="1:57" x14ac:dyDescent="0.35">
      <c r="A661" s="66" t="s">
        <v>4513</v>
      </c>
      <c r="B661" s="67"/>
      <c r="C661" s="67"/>
      <c r="D661" s="68"/>
      <c r="E661" s="94"/>
      <c r="F661" s="93" t="str">
        <f>HYPERLINK("https://pbs.twimg.com/profile_images/1440276179517276165/Zvglj8dz_normal.jpg")</f>
        <v>https://pbs.twimg.com/profile_images/1440276179517276165/Zvglj8dz_normal.jpg</v>
      </c>
      <c r="G661" s="95"/>
      <c r="H661" s="71"/>
      <c r="I661" s="72"/>
      <c r="J661" s="96"/>
      <c r="K661" s="71" t="s">
        <v>11799</v>
      </c>
      <c r="L661" s="97"/>
      <c r="M661" s="76"/>
      <c r="N661" s="76"/>
      <c r="O661" s="77"/>
      <c r="P661" s="78"/>
      <c r="Q661" s="78"/>
      <c r="R661" s="92"/>
      <c r="S661" s="92"/>
      <c r="T661" s="92"/>
      <c r="U661" s="92"/>
      <c r="V661" s="52"/>
      <c r="W661" s="52"/>
      <c r="X661" s="52"/>
      <c r="Y661" s="52"/>
      <c r="Z661" s="51"/>
      <c r="AA661" s="73"/>
      <c r="AB661" s="73"/>
      <c r="AC661" s="74"/>
      <c r="AD661" s="81" t="s">
        <v>8424</v>
      </c>
      <c r="AE661" s="86" t="s">
        <v>9435</v>
      </c>
      <c r="AF661" s="81">
        <v>201</v>
      </c>
      <c r="AG661" s="81">
        <v>216212</v>
      </c>
      <c r="AH661" s="81">
        <v>150095</v>
      </c>
      <c r="AI661" s="81">
        <v>331</v>
      </c>
      <c r="AJ661" s="81"/>
      <c r="AK661" s="81" t="s">
        <v>10391</v>
      </c>
      <c r="AL661" s="81" t="s">
        <v>10990</v>
      </c>
      <c r="AM661" s="84" t="str">
        <f>HYPERLINK("https://t.co/DvFfgNXCFL")</f>
        <v>https://t.co/DvFfgNXCFL</v>
      </c>
      <c r="AN661" s="81"/>
      <c r="AO661" s="83">
        <v>39882.520972222221</v>
      </c>
      <c r="AP661" s="84" t="str">
        <f>HYPERLINK("https://pbs.twimg.com/profile_banners/23585685/1632470117")</f>
        <v>https://pbs.twimg.com/profile_banners/23585685/1632470117</v>
      </c>
      <c r="AQ661" s="81" t="b">
        <v>0</v>
      </c>
      <c r="AR661" s="81" t="b">
        <v>0</v>
      </c>
      <c r="AS661" s="81" t="b">
        <v>0</v>
      </c>
      <c r="AT661" s="81"/>
      <c r="AU661" s="81">
        <v>1180</v>
      </c>
      <c r="AV661" s="84" t="str">
        <f>HYPERLINK("https://abs.twimg.com/images/themes/theme15/bg.png")</f>
        <v>https://abs.twimg.com/images/themes/theme15/bg.png</v>
      </c>
      <c r="AW661" s="81" t="b">
        <v>1</v>
      </c>
      <c r="AX661" s="81" t="s">
        <v>3728</v>
      </c>
      <c r="AY661" s="84" t="str">
        <f>HYPERLINK("https://twitter.com/ojeconomico")</f>
        <v>https://twitter.com/ojeconomico</v>
      </c>
      <c r="AZ661" s="81" t="s">
        <v>66</v>
      </c>
      <c r="BA661" s="2"/>
      <c r="BB661" s="3"/>
      <c r="BC661" s="3"/>
      <c r="BD661" s="3"/>
      <c r="BE661" s="3"/>
    </row>
    <row r="662" spans="1:57" x14ac:dyDescent="0.35">
      <c r="A662" s="66" t="s">
        <v>4451</v>
      </c>
      <c r="B662" s="67"/>
      <c r="C662" s="67"/>
      <c r="D662" s="68"/>
      <c r="E662" s="94"/>
      <c r="F662" s="93" t="str">
        <f>HYPERLINK("https://pbs.twimg.com/profile_images/1305844672900759552/-wmAbMZO_normal.jpg")</f>
        <v>https://pbs.twimg.com/profile_images/1305844672900759552/-wmAbMZO_normal.jpg</v>
      </c>
      <c r="G662" s="95"/>
      <c r="H662" s="71"/>
      <c r="I662" s="72"/>
      <c r="J662" s="96"/>
      <c r="K662" s="71" t="s">
        <v>11800</v>
      </c>
      <c r="L662" s="97"/>
      <c r="M662" s="76"/>
      <c r="N662" s="76"/>
      <c r="O662" s="77"/>
      <c r="P662" s="78"/>
      <c r="Q662" s="78"/>
      <c r="R662" s="92"/>
      <c r="S662" s="92"/>
      <c r="T662" s="92"/>
      <c r="U662" s="92"/>
      <c r="V662" s="52"/>
      <c r="W662" s="52"/>
      <c r="X662" s="52"/>
      <c r="Y662" s="52"/>
      <c r="Z662" s="51"/>
      <c r="AA662" s="73"/>
      <c r="AB662" s="73"/>
      <c r="AC662" s="74"/>
      <c r="AD662" s="81" t="s">
        <v>8425</v>
      </c>
      <c r="AE662" s="86" t="s">
        <v>9436</v>
      </c>
      <c r="AF662" s="81">
        <v>779</v>
      </c>
      <c r="AG662" s="81">
        <v>138</v>
      </c>
      <c r="AH662" s="81">
        <v>13089</v>
      </c>
      <c r="AI662" s="81">
        <v>23686</v>
      </c>
      <c r="AJ662" s="81"/>
      <c r="AK662" s="81"/>
      <c r="AL662" s="81"/>
      <c r="AM662" s="81"/>
      <c r="AN662" s="81"/>
      <c r="AO662" s="83">
        <v>44013.062835648147</v>
      </c>
      <c r="AP662" s="84" t="str">
        <f>HYPERLINK("https://pbs.twimg.com/profile_banners/1278138802394091521/1593922552")</f>
        <v>https://pbs.twimg.com/profile_banners/1278138802394091521/1593922552</v>
      </c>
      <c r="AQ662" s="81" t="b">
        <v>1</v>
      </c>
      <c r="AR662" s="81" t="b">
        <v>0</v>
      </c>
      <c r="AS662" s="81" t="b">
        <v>0</v>
      </c>
      <c r="AT662" s="81"/>
      <c r="AU662" s="81">
        <v>0</v>
      </c>
      <c r="AV662" s="81"/>
      <c r="AW662" s="81" t="b">
        <v>0</v>
      </c>
      <c r="AX662" s="81" t="s">
        <v>3728</v>
      </c>
      <c r="AY662" s="84" t="str">
        <f>HYPERLINK("https://twitter.com/cruzfermes")</f>
        <v>https://twitter.com/cruzfermes</v>
      </c>
      <c r="AZ662" s="81" t="s">
        <v>66</v>
      </c>
      <c r="BA662" s="2"/>
      <c r="BB662" s="3"/>
      <c r="BC662" s="3"/>
      <c r="BD662" s="3"/>
      <c r="BE662" s="3"/>
    </row>
    <row r="663" spans="1:57" x14ac:dyDescent="0.35">
      <c r="A663" s="66" t="s">
        <v>4452</v>
      </c>
      <c r="B663" s="67"/>
      <c r="C663" s="67"/>
      <c r="D663" s="68"/>
      <c r="E663" s="94"/>
      <c r="F663" s="93" t="str">
        <f>HYPERLINK("https://pbs.twimg.com/profile_images/1363770848369405955/QLfIlhgb_normal.jpg")</f>
        <v>https://pbs.twimg.com/profile_images/1363770848369405955/QLfIlhgb_normal.jpg</v>
      </c>
      <c r="G663" s="95"/>
      <c r="H663" s="71"/>
      <c r="I663" s="72"/>
      <c r="J663" s="96"/>
      <c r="K663" s="71" t="s">
        <v>11801</v>
      </c>
      <c r="L663" s="97"/>
      <c r="M663" s="76"/>
      <c r="N663" s="76"/>
      <c r="O663" s="77"/>
      <c r="P663" s="78"/>
      <c r="Q663" s="78"/>
      <c r="R663" s="92"/>
      <c r="S663" s="92"/>
      <c r="T663" s="92"/>
      <c r="U663" s="92"/>
      <c r="V663" s="52"/>
      <c r="W663" s="52"/>
      <c r="X663" s="52"/>
      <c r="Y663" s="52"/>
      <c r="Z663" s="51"/>
      <c r="AA663" s="73"/>
      <c r="AB663" s="73"/>
      <c r="AC663" s="74"/>
      <c r="AD663" s="81" t="s">
        <v>4452</v>
      </c>
      <c r="AE663" s="86" t="s">
        <v>9437</v>
      </c>
      <c r="AF663" s="81">
        <v>2194</v>
      </c>
      <c r="AG663" s="81">
        <v>911</v>
      </c>
      <c r="AH663" s="81">
        <v>58294</v>
      </c>
      <c r="AI663" s="81">
        <v>77550</v>
      </c>
      <c r="AJ663" s="81"/>
      <c r="AK663" s="81" t="s">
        <v>10392</v>
      </c>
      <c r="AL663" s="81" t="s">
        <v>10975</v>
      </c>
      <c r="AM663" s="81"/>
      <c r="AN663" s="81"/>
      <c r="AO663" s="83">
        <v>40236.960682870369</v>
      </c>
      <c r="AP663" s="84" t="str">
        <f>HYPERLINK("https://pbs.twimg.com/profile_banners/118205942/1617539917")</f>
        <v>https://pbs.twimg.com/profile_banners/118205942/1617539917</v>
      </c>
      <c r="AQ663" s="81" t="b">
        <v>1</v>
      </c>
      <c r="AR663" s="81" t="b">
        <v>0</v>
      </c>
      <c r="AS663" s="81" t="b">
        <v>1</v>
      </c>
      <c r="AT663" s="81"/>
      <c r="AU663" s="81">
        <v>4</v>
      </c>
      <c r="AV663" s="84" t="str">
        <f>HYPERLINK("https://abs.twimg.com/images/themes/theme1/bg.png")</f>
        <v>https://abs.twimg.com/images/themes/theme1/bg.png</v>
      </c>
      <c r="AW663" s="81" t="b">
        <v>0</v>
      </c>
      <c r="AX663" s="81" t="s">
        <v>3728</v>
      </c>
      <c r="AY663" s="84" t="str">
        <f>HYPERLINK("https://twitter.com/smwarley")</f>
        <v>https://twitter.com/smwarley</v>
      </c>
      <c r="AZ663" s="81" t="s">
        <v>66</v>
      </c>
      <c r="BA663" s="2"/>
      <c r="BB663" s="3"/>
      <c r="BC663" s="3"/>
      <c r="BD663" s="3"/>
      <c r="BE663" s="3"/>
    </row>
    <row r="664" spans="1:57" x14ac:dyDescent="0.35">
      <c r="A664" s="66" t="s">
        <v>4453</v>
      </c>
      <c r="B664" s="67"/>
      <c r="C664" s="67"/>
      <c r="D664" s="68"/>
      <c r="E664" s="94"/>
      <c r="F664" s="93" t="str">
        <f>HYPERLINK("https://pbs.twimg.com/profile_images/1429801217778233354/8LIXWlzp_normal.jpg")</f>
        <v>https://pbs.twimg.com/profile_images/1429801217778233354/8LIXWlzp_normal.jpg</v>
      </c>
      <c r="G664" s="95"/>
      <c r="H664" s="71"/>
      <c r="I664" s="72"/>
      <c r="J664" s="96"/>
      <c r="K664" s="71" t="s">
        <v>11802</v>
      </c>
      <c r="L664" s="97"/>
      <c r="M664" s="76"/>
      <c r="N664" s="76"/>
      <c r="O664" s="77"/>
      <c r="P664" s="78"/>
      <c r="Q664" s="78"/>
      <c r="R664" s="92"/>
      <c r="S664" s="92"/>
      <c r="T664" s="92"/>
      <c r="U664" s="92"/>
      <c r="V664" s="52"/>
      <c r="W664" s="52"/>
      <c r="X664" s="52"/>
      <c r="Y664" s="52"/>
      <c r="Z664" s="51"/>
      <c r="AA664" s="73"/>
      <c r="AB664" s="73"/>
      <c r="AC664" s="74"/>
      <c r="AD664" s="81" t="s">
        <v>8426</v>
      </c>
      <c r="AE664" s="86" t="s">
        <v>9438</v>
      </c>
      <c r="AF664" s="81">
        <v>845</v>
      </c>
      <c r="AG664" s="81">
        <v>373</v>
      </c>
      <c r="AH664" s="81">
        <v>27722</v>
      </c>
      <c r="AI664" s="81">
        <v>76857</v>
      </c>
      <c r="AJ664" s="81"/>
      <c r="AK664" s="81" t="s">
        <v>10393</v>
      </c>
      <c r="AL664" s="81" t="s">
        <v>11140</v>
      </c>
      <c r="AM664" s="84" t="str">
        <f>HYPERLINK("https://t.co/Arbvhs9HYy")</f>
        <v>https://t.co/Arbvhs9HYy</v>
      </c>
      <c r="AN664" s="81"/>
      <c r="AO664" s="83">
        <v>40154.547025462962</v>
      </c>
      <c r="AP664" s="84" t="str">
        <f>HYPERLINK("https://pbs.twimg.com/profile_banners/95197063/1402413480")</f>
        <v>https://pbs.twimg.com/profile_banners/95197063/1402413480</v>
      </c>
      <c r="AQ664" s="81" t="b">
        <v>0</v>
      </c>
      <c r="AR664" s="81" t="b">
        <v>0</v>
      </c>
      <c r="AS664" s="81" t="b">
        <v>1</v>
      </c>
      <c r="AT664" s="81"/>
      <c r="AU664" s="81">
        <v>5</v>
      </c>
      <c r="AV664" s="84" t="str">
        <f>HYPERLINK("https://abs.twimg.com/images/themes/theme8/bg.gif")</f>
        <v>https://abs.twimg.com/images/themes/theme8/bg.gif</v>
      </c>
      <c r="AW664" s="81" t="b">
        <v>0</v>
      </c>
      <c r="AX664" s="81" t="s">
        <v>3728</v>
      </c>
      <c r="AY664" s="84" t="str">
        <f>HYPERLINK("https://twitter.com/jaguajb")</f>
        <v>https://twitter.com/jaguajb</v>
      </c>
      <c r="AZ664" s="81" t="s">
        <v>66</v>
      </c>
      <c r="BA664" s="2"/>
      <c r="BB664" s="3"/>
      <c r="BC664" s="3"/>
      <c r="BD664" s="3"/>
      <c r="BE664" s="3"/>
    </row>
    <row r="665" spans="1:57" x14ac:dyDescent="0.35">
      <c r="A665" s="66" t="s">
        <v>4454</v>
      </c>
      <c r="B665" s="67"/>
      <c r="C665" s="67"/>
      <c r="D665" s="68"/>
      <c r="E665" s="94"/>
      <c r="F665" s="93" t="str">
        <f>HYPERLINK("https://pbs.twimg.com/profile_images/1421934472816173064/5Y5IAYeH_normal.jpg")</f>
        <v>https://pbs.twimg.com/profile_images/1421934472816173064/5Y5IAYeH_normal.jpg</v>
      </c>
      <c r="G665" s="95"/>
      <c r="H665" s="71"/>
      <c r="I665" s="72"/>
      <c r="J665" s="96"/>
      <c r="K665" s="71" t="s">
        <v>11803</v>
      </c>
      <c r="L665" s="97"/>
      <c r="M665" s="76"/>
      <c r="N665" s="76"/>
      <c r="O665" s="77"/>
      <c r="P665" s="78"/>
      <c r="Q665" s="78"/>
      <c r="R665" s="92"/>
      <c r="S665" s="92"/>
      <c r="T665" s="92"/>
      <c r="U665" s="92"/>
      <c r="V665" s="52"/>
      <c r="W665" s="52"/>
      <c r="X665" s="52"/>
      <c r="Y665" s="52"/>
      <c r="Z665" s="51"/>
      <c r="AA665" s="73"/>
      <c r="AB665" s="73"/>
      <c r="AC665" s="74"/>
      <c r="AD665" s="81" t="s">
        <v>8427</v>
      </c>
      <c r="AE665" s="86" t="s">
        <v>9439</v>
      </c>
      <c r="AF665" s="81">
        <v>1182</v>
      </c>
      <c r="AG665" s="81">
        <v>1009</v>
      </c>
      <c r="AH665" s="81">
        <v>62875</v>
      </c>
      <c r="AI665" s="81">
        <v>55417</v>
      </c>
      <c r="AJ665" s="81"/>
      <c r="AK665" s="81" t="s">
        <v>10394</v>
      </c>
      <c r="AL665" s="81" t="s">
        <v>10973</v>
      </c>
      <c r="AM665" s="81"/>
      <c r="AN665" s="81"/>
      <c r="AO665" s="83">
        <v>41872.075092592589</v>
      </c>
      <c r="AP665" s="84" t="str">
        <f>HYPERLINK("https://pbs.twimg.com/profile_banners/2751004142/1509924134")</f>
        <v>https://pbs.twimg.com/profile_banners/2751004142/1509924134</v>
      </c>
      <c r="AQ665" s="81" t="b">
        <v>0</v>
      </c>
      <c r="AR665" s="81" t="b">
        <v>0</v>
      </c>
      <c r="AS665" s="81" t="b">
        <v>1</v>
      </c>
      <c r="AT665" s="81"/>
      <c r="AU665" s="81">
        <v>7</v>
      </c>
      <c r="AV665" s="84" t="str">
        <f>HYPERLINK("https://abs.twimg.com/images/themes/theme1/bg.png")</f>
        <v>https://abs.twimg.com/images/themes/theme1/bg.png</v>
      </c>
      <c r="AW665" s="81" t="b">
        <v>0</v>
      </c>
      <c r="AX665" s="81" t="s">
        <v>3728</v>
      </c>
      <c r="AY665" s="84" t="str">
        <f>HYPERLINK("https://twitter.com/discurso2014")</f>
        <v>https://twitter.com/discurso2014</v>
      </c>
      <c r="AZ665" s="81" t="s">
        <v>66</v>
      </c>
      <c r="BA665" s="2"/>
      <c r="BB665" s="3"/>
      <c r="BC665" s="3"/>
      <c r="BD665" s="3"/>
      <c r="BE665" s="3"/>
    </row>
    <row r="666" spans="1:57" x14ac:dyDescent="0.35">
      <c r="A666" s="66" t="s">
        <v>4455</v>
      </c>
      <c r="B666" s="67"/>
      <c r="C666" s="67"/>
      <c r="D666" s="68"/>
      <c r="E666" s="94"/>
      <c r="F666" s="93" t="str">
        <f>HYPERLINK("https://pbs.twimg.com/profile_images/2181282974/1335869891210_normal.jpg")</f>
        <v>https://pbs.twimg.com/profile_images/2181282974/1335869891210_normal.jpg</v>
      </c>
      <c r="G666" s="95"/>
      <c r="H666" s="71"/>
      <c r="I666" s="72"/>
      <c r="J666" s="96"/>
      <c r="K666" s="71" t="s">
        <v>11804</v>
      </c>
      <c r="L666" s="97"/>
      <c r="M666" s="76"/>
      <c r="N666" s="76"/>
      <c r="O666" s="77"/>
      <c r="P666" s="78"/>
      <c r="Q666" s="78"/>
      <c r="R666" s="92"/>
      <c r="S666" s="92"/>
      <c r="T666" s="92"/>
      <c r="U666" s="92"/>
      <c r="V666" s="52"/>
      <c r="W666" s="52"/>
      <c r="X666" s="52"/>
      <c r="Y666" s="52"/>
      <c r="Z666" s="51"/>
      <c r="AA666" s="73"/>
      <c r="AB666" s="73"/>
      <c r="AC666" s="74"/>
      <c r="AD666" s="81" t="s">
        <v>8428</v>
      </c>
      <c r="AE666" s="86" t="s">
        <v>9440</v>
      </c>
      <c r="AF666" s="81">
        <v>622</v>
      </c>
      <c r="AG666" s="81">
        <v>138</v>
      </c>
      <c r="AH666" s="81">
        <v>4735</v>
      </c>
      <c r="AI666" s="81">
        <v>8517</v>
      </c>
      <c r="AJ666" s="81"/>
      <c r="AK666" s="81" t="s">
        <v>10395</v>
      </c>
      <c r="AL666" s="81"/>
      <c r="AM666" s="81"/>
      <c r="AN666" s="81"/>
      <c r="AO666" s="83">
        <v>40016.565208333333</v>
      </c>
      <c r="AP666" s="84" t="str">
        <f>HYPERLINK("https://pbs.twimg.com/profile_banners/59125953/1536703962")</f>
        <v>https://pbs.twimg.com/profile_banners/59125953/1536703962</v>
      </c>
      <c r="AQ666" s="81" t="b">
        <v>1</v>
      </c>
      <c r="AR666" s="81" t="b">
        <v>0</v>
      </c>
      <c r="AS666" s="81" t="b">
        <v>1</v>
      </c>
      <c r="AT666" s="81"/>
      <c r="AU666" s="81">
        <v>1</v>
      </c>
      <c r="AV666" s="84" t="str">
        <f>HYPERLINK("https://abs.twimg.com/images/themes/theme1/bg.png")</f>
        <v>https://abs.twimg.com/images/themes/theme1/bg.png</v>
      </c>
      <c r="AW666" s="81" t="b">
        <v>0</v>
      </c>
      <c r="AX666" s="81" t="s">
        <v>3728</v>
      </c>
      <c r="AY666" s="84" t="str">
        <f>HYPERLINK("https://twitter.com/marcelao_veiga")</f>
        <v>https://twitter.com/marcelao_veiga</v>
      </c>
      <c r="AZ666" s="81" t="s">
        <v>66</v>
      </c>
      <c r="BA666" s="2"/>
      <c r="BB666" s="3"/>
      <c r="BC666" s="3"/>
      <c r="BD666" s="3"/>
      <c r="BE666" s="3"/>
    </row>
    <row r="667" spans="1:57" x14ac:dyDescent="0.35">
      <c r="A667" s="66" t="s">
        <v>4456</v>
      </c>
      <c r="B667" s="67"/>
      <c r="C667" s="67"/>
      <c r="D667" s="68"/>
      <c r="E667" s="94"/>
      <c r="F667" s="93" t="str">
        <f>HYPERLINK("https://pbs.twimg.com/profile_images/1416847438938320903/PNQ7Aj-q_normal.jpg")</f>
        <v>https://pbs.twimg.com/profile_images/1416847438938320903/PNQ7Aj-q_normal.jpg</v>
      </c>
      <c r="G667" s="95"/>
      <c r="H667" s="71"/>
      <c r="I667" s="72"/>
      <c r="J667" s="96"/>
      <c r="K667" s="71" t="s">
        <v>11805</v>
      </c>
      <c r="L667" s="97"/>
      <c r="M667" s="76"/>
      <c r="N667" s="76"/>
      <c r="O667" s="77"/>
      <c r="P667" s="78"/>
      <c r="Q667" s="78"/>
      <c r="R667" s="92"/>
      <c r="S667" s="92"/>
      <c r="T667" s="92"/>
      <c r="U667" s="92"/>
      <c r="V667" s="52"/>
      <c r="W667" s="52"/>
      <c r="X667" s="52"/>
      <c r="Y667" s="52"/>
      <c r="Z667" s="51"/>
      <c r="AA667" s="73"/>
      <c r="AB667" s="73"/>
      <c r="AC667" s="74"/>
      <c r="AD667" s="81" t="s">
        <v>8429</v>
      </c>
      <c r="AE667" s="86" t="s">
        <v>9441</v>
      </c>
      <c r="AF667" s="81">
        <v>722</v>
      </c>
      <c r="AG667" s="81">
        <v>1526</v>
      </c>
      <c r="AH667" s="81">
        <v>333590</v>
      </c>
      <c r="AI667" s="81">
        <v>358901</v>
      </c>
      <c r="AJ667" s="81"/>
      <c r="AK667" s="81"/>
      <c r="AL667" s="81" t="s">
        <v>10994</v>
      </c>
      <c r="AM667" s="81"/>
      <c r="AN667" s="81"/>
      <c r="AO667" s="83">
        <v>43046.93414351852</v>
      </c>
      <c r="AP667" s="84" t="str">
        <f>HYPERLINK("https://pbs.twimg.com/profile_banners/928025563293462528/1626047667")</f>
        <v>https://pbs.twimg.com/profile_banners/928025563293462528/1626047667</v>
      </c>
      <c r="AQ667" s="81" t="b">
        <v>1</v>
      </c>
      <c r="AR667" s="81" t="b">
        <v>0</v>
      </c>
      <c r="AS667" s="81" t="b">
        <v>0</v>
      </c>
      <c r="AT667" s="81"/>
      <c r="AU667" s="81">
        <v>1</v>
      </c>
      <c r="AV667" s="81"/>
      <c r="AW667" s="81" t="b">
        <v>0</v>
      </c>
      <c r="AX667" s="81" t="s">
        <v>3728</v>
      </c>
      <c r="AY667" s="84" t="str">
        <f>HYPERLINK("https://twitter.com/sammirsouza")</f>
        <v>https://twitter.com/sammirsouza</v>
      </c>
      <c r="AZ667" s="81" t="s">
        <v>66</v>
      </c>
      <c r="BA667" s="2"/>
      <c r="BB667" s="3"/>
      <c r="BC667" s="3"/>
      <c r="BD667" s="3"/>
      <c r="BE667" s="3"/>
    </row>
    <row r="668" spans="1:57" x14ac:dyDescent="0.35">
      <c r="A668" s="66" t="s">
        <v>4457</v>
      </c>
      <c r="B668" s="67"/>
      <c r="C668" s="67"/>
      <c r="D668" s="68"/>
      <c r="E668" s="94"/>
      <c r="F668" s="93" t="str">
        <f>HYPERLINK("https://pbs.twimg.com/profile_images/1423459200752136192/yNQwBb9__normal.jpg")</f>
        <v>https://pbs.twimg.com/profile_images/1423459200752136192/yNQwBb9__normal.jpg</v>
      </c>
      <c r="G668" s="95"/>
      <c r="H668" s="71"/>
      <c r="I668" s="72"/>
      <c r="J668" s="96"/>
      <c r="K668" s="71" t="s">
        <v>11806</v>
      </c>
      <c r="L668" s="97"/>
      <c r="M668" s="76"/>
      <c r="N668" s="76"/>
      <c r="O668" s="77"/>
      <c r="P668" s="78"/>
      <c r="Q668" s="78"/>
      <c r="R668" s="92"/>
      <c r="S668" s="92"/>
      <c r="T668" s="92"/>
      <c r="U668" s="92"/>
      <c r="V668" s="52"/>
      <c r="W668" s="52"/>
      <c r="X668" s="52"/>
      <c r="Y668" s="52"/>
      <c r="Z668" s="51"/>
      <c r="AA668" s="73"/>
      <c r="AB668" s="73"/>
      <c r="AC668" s="74"/>
      <c r="AD668" s="81" t="s">
        <v>8430</v>
      </c>
      <c r="AE668" s="86" t="s">
        <v>9442</v>
      </c>
      <c r="AF668" s="81">
        <v>1275</v>
      </c>
      <c r="AG668" s="81">
        <v>1093</v>
      </c>
      <c r="AH668" s="81">
        <v>67721</v>
      </c>
      <c r="AI668" s="81">
        <v>80450</v>
      </c>
      <c r="AJ668" s="81"/>
      <c r="AK668" s="81"/>
      <c r="AL668" s="81" t="s">
        <v>10975</v>
      </c>
      <c r="AM668" s="81"/>
      <c r="AN668" s="81"/>
      <c r="AO668" s="83">
        <v>40735.615486111114</v>
      </c>
      <c r="AP668" s="84" t="str">
        <f>HYPERLINK("https://pbs.twimg.com/profile_banners/333432783/1593891535")</f>
        <v>https://pbs.twimg.com/profile_banners/333432783/1593891535</v>
      </c>
      <c r="AQ668" s="81" t="b">
        <v>1</v>
      </c>
      <c r="AR668" s="81" t="b">
        <v>0</v>
      </c>
      <c r="AS668" s="81" t="b">
        <v>0</v>
      </c>
      <c r="AT668" s="81"/>
      <c r="AU668" s="81">
        <v>1</v>
      </c>
      <c r="AV668" s="84" t="str">
        <f>HYPERLINK("https://abs.twimg.com/images/themes/theme1/bg.png")</f>
        <v>https://abs.twimg.com/images/themes/theme1/bg.png</v>
      </c>
      <c r="AW668" s="81" t="b">
        <v>0</v>
      </c>
      <c r="AX668" s="81" t="s">
        <v>3728</v>
      </c>
      <c r="AY668" s="84" t="str">
        <f>HYPERLINK("https://twitter.com/mfecha")</f>
        <v>https://twitter.com/mfecha</v>
      </c>
      <c r="AZ668" s="81" t="s">
        <v>66</v>
      </c>
      <c r="BA668" s="2"/>
      <c r="BB668" s="3"/>
      <c r="BC668" s="3"/>
      <c r="BD668" s="3"/>
      <c r="BE668" s="3"/>
    </row>
    <row r="669" spans="1:57" x14ac:dyDescent="0.35">
      <c r="A669" s="66" t="s">
        <v>4458</v>
      </c>
      <c r="B669" s="67"/>
      <c r="C669" s="67"/>
      <c r="D669" s="68"/>
      <c r="E669" s="94"/>
      <c r="F669" s="93" t="str">
        <f>HYPERLINK("https://pbs.twimg.com/profile_images/1337211285272989698/bZ9Zq8nu_normal.jpg")</f>
        <v>https://pbs.twimg.com/profile_images/1337211285272989698/bZ9Zq8nu_normal.jpg</v>
      </c>
      <c r="G669" s="95"/>
      <c r="H669" s="71"/>
      <c r="I669" s="72"/>
      <c r="J669" s="96"/>
      <c r="K669" s="71" t="s">
        <v>11807</v>
      </c>
      <c r="L669" s="97"/>
      <c r="M669" s="76"/>
      <c r="N669" s="76"/>
      <c r="O669" s="77"/>
      <c r="P669" s="78"/>
      <c r="Q669" s="78"/>
      <c r="R669" s="92"/>
      <c r="S669" s="92"/>
      <c r="T669" s="92"/>
      <c r="U669" s="92"/>
      <c r="V669" s="52"/>
      <c r="W669" s="52"/>
      <c r="X669" s="52"/>
      <c r="Y669" s="52"/>
      <c r="Z669" s="51"/>
      <c r="AA669" s="73"/>
      <c r="AB669" s="73"/>
      <c r="AC669" s="74"/>
      <c r="AD669" s="81" t="s">
        <v>8431</v>
      </c>
      <c r="AE669" s="86" t="s">
        <v>9443</v>
      </c>
      <c r="AF669" s="81">
        <v>162</v>
      </c>
      <c r="AG669" s="81">
        <v>475</v>
      </c>
      <c r="AH669" s="81">
        <v>1215</v>
      </c>
      <c r="AI669" s="81">
        <v>1225</v>
      </c>
      <c r="AJ669" s="81"/>
      <c r="AK669" s="81" t="s">
        <v>10396</v>
      </c>
      <c r="AL669" s="81" t="s">
        <v>10975</v>
      </c>
      <c r="AM669" s="81"/>
      <c r="AN669" s="81"/>
      <c r="AO669" s="83">
        <v>40150.386331018519</v>
      </c>
      <c r="AP669" s="84" t="str">
        <f>HYPERLINK("https://pbs.twimg.com/profile_banners/94291981/1607650944")</f>
        <v>https://pbs.twimg.com/profile_banners/94291981/1607650944</v>
      </c>
      <c r="AQ669" s="81" t="b">
        <v>0</v>
      </c>
      <c r="AR669" s="81" t="b">
        <v>0</v>
      </c>
      <c r="AS669" s="81" t="b">
        <v>0</v>
      </c>
      <c r="AT669" s="81"/>
      <c r="AU669" s="81">
        <v>1</v>
      </c>
      <c r="AV669" s="84" t="str">
        <f>HYPERLINK("https://abs.twimg.com/images/themes/theme1/bg.png")</f>
        <v>https://abs.twimg.com/images/themes/theme1/bg.png</v>
      </c>
      <c r="AW669" s="81" t="b">
        <v>0</v>
      </c>
      <c r="AX669" s="81" t="s">
        <v>3728</v>
      </c>
      <c r="AY669" s="84" t="str">
        <f>HYPERLINK("https://twitter.com/renabreu20")</f>
        <v>https://twitter.com/renabreu20</v>
      </c>
      <c r="AZ669" s="81" t="s">
        <v>66</v>
      </c>
      <c r="BA669" s="2"/>
      <c r="BB669" s="3"/>
      <c r="BC669" s="3"/>
      <c r="BD669" s="3"/>
      <c r="BE669" s="3"/>
    </row>
    <row r="670" spans="1:57" x14ac:dyDescent="0.35">
      <c r="A670" s="66" t="s">
        <v>434</v>
      </c>
      <c r="B670" s="67"/>
      <c r="C670" s="67"/>
      <c r="D670" s="68"/>
      <c r="E670" s="94"/>
      <c r="F670" s="93" t="str">
        <f>HYPERLINK("https://pbs.twimg.com/profile_images/1428041610223255559/DIdD_ySb_normal.jpg")</f>
        <v>https://pbs.twimg.com/profile_images/1428041610223255559/DIdD_ySb_normal.jpg</v>
      </c>
      <c r="G670" s="95"/>
      <c r="H670" s="71"/>
      <c r="I670" s="72"/>
      <c r="J670" s="96"/>
      <c r="K670" s="71" t="s">
        <v>3977</v>
      </c>
      <c r="L670" s="97"/>
      <c r="M670" s="76"/>
      <c r="N670" s="76"/>
      <c r="O670" s="77"/>
      <c r="P670" s="78"/>
      <c r="Q670" s="78"/>
      <c r="R670" s="92"/>
      <c r="S670" s="92"/>
      <c r="T670" s="92"/>
      <c r="U670" s="92"/>
      <c r="V670" s="52"/>
      <c r="W670" s="52"/>
      <c r="X670" s="52"/>
      <c r="Y670" s="52"/>
      <c r="Z670" s="51"/>
      <c r="AA670" s="73"/>
      <c r="AB670" s="73"/>
      <c r="AC670" s="74"/>
      <c r="AD670" s="81" t="s">
        <v>2495</v>
      </c>
      <c r="AE670" s="86" t="s">
        <v>2917</v>
      </c>
      <c r="AF670" s="81">
        <v>891</v>
      </c>
      <c r="AG670" s="81">
        <v>962</v>
      </c>
      <c r="AH670" s="81">
        <v>38390</v>
      </c>
      <c r="AI670" s="81">
        <v>37892</v>
      </c>
      <c r="AJ670" s="81"/>
      <c r="AK670" s="81" t="s">
        <v>3324</v>
      </c>
      <c r="AL670" s="81" t="s">
        <v>3509</v>
      </c>
      <c r="AM670" s="81"/>
      <c r="AN670" s="81"/>
      <c r="AO670" s="83">
        <v>43716.510706018518</v>
      </c>
      <c r="AP670" s="84" t="str">
        <f>HYPERLINK("https://pbs.twimg.com/profile_banners/1170668533941850112/1627029905")</f>
        <v>https://pbs.twimg.com/profile_banners/1170668533941850112/1627029905</v>
      </c>
      <c r="AQ670" s="81" t="b">
        <v>1</v>
      </c>
      <c r="AR670" s="81" t="b">
        <v>0</v>
      </c>
      <c r="AS670" s="81" t="b">
        <v>0</v>
      </c>
      <c r="AT670" s="81"/>
      <c r="AU670" s="81">
        <v>3</v>
      </c>
      <c r="AV670" s="81"/>
      <c r="AW670" s="81" t="b">
        <v>0</v>
      </c>
      <c r="AX670" s="81" t="s">
        <v>3728</v>
      </c>
      <c r="AY670" s="84" t="str">
        <f>HYPERLINK("https://twitter.com/taehusna")</f>
        <v>https://twitter.com/taehusna</v>
      </c>
      <c r="AZ670" s="81" t="s">
        <v>66</v>
      </c>
      <c r="BA670" s="2"/>
      <c r="BB670" s="3"/>
      <c r="BC670" s="3"/>
      <c r="BD670" s="3"/>
      <c r="BE670" s="3"/>
    </row>
    <row r="671" spans="1:57" x14ac:dyDescent="0.35">
      <c r="A671" s="66" t="s">
        <v>631</v>
      </c>
      <c r="B671" s="67"/>
      <c r="C671" s="67"/>
      <c r="D671" s="68"/>
      <c r="E671" s="94"/>
      <c r="F671" s="93" t="str">
        <f>HYPERLINK("https://pbs.twimg.com/profile_images/1224526226682810370/U8ElEdk3_normal.jpg")</f>
        <v>https://pbs.twimg.com/profile_images/1224526226682810370/U8ElEdk3_normal.jpg</v>
      </c>
      <c r="G671" s="95"/>
      <c r="H671" s="71"/>
      <c r="I671" s="72"/>
      <c r="J671" s="96"/>
      <c r="K671" s="71" t="s">
        <v>11808</v>
      </c>
      <c r="L671" s="97"/>
      <c r="M671" s="76"/>
      <c r="N671" s="76"/>
      <c r="O671" s="77"/>
      <c r="P671" s="78"/>
      <c r="Q671" s="78"/>
      <c r="R671" s="92"/>
      <c r="S671" s="92"/>
      <c r="T671" s="92"/>
      <c r="U671" s="92"/>
      <c r="V671" s="52"/>
      <c r="W671" s="52"/>
      <c r="X671" s="52"/>
      <c r="Y671" s="52"/>
      <c r="Z671" s="51"/>
      <c r="AA671" s="73"/>
      <c r="AB671" s="73"/>
      <c r="AC671" s="74"/>
      <c r="AD671" s="81" t="s">
        <v>2345</v>
      </c>
      <c r="AE671" s="86" t="s">
        <v>2107</v>
      </c>
      <c r="AF671" s="81">
        <v>9077</v>
      </c>
      <c r="AG671" s="81">
        <v>15988</v>
      </c>
      <c r="AH671" s="81">
        <v>52330</v>
      </c>
      <c r="AI671" s="81">
        <v>6676</v>
      </c>
      <c r="AJ671" s="81"/>
      <c r="AK671" s="81"/>
      <c r="AL671" s="81" t="s">
        <v>3574</v>
      </c>
      <c r="AM671" s="81"/>
      <c r="AN671" s="81"/>
      <c r="AO671" s="83">
        <v>43753.375659722224</v>
      </c>
      <c r="AP671" s="84" t="str">
        <f>HYPERLINK("https://pbs.twimg.com/profile_banners/1184031349100777475/1580785303")</f>
        <v>https://pbs.twimg.com/profile_banners/1184031349100777475/1580785303</v>
      </c>
      <c r="AQ671" s="81" t="b">
        <v>1</v>
      </c>
      <c r="AR671" s="81" t="b">
        <v>0</v>
      </c>
      <c r="AS671" s="81" t="b">
        <v>0</v>
      </c>
      <c r="AT671" s="81"/>
      <c r="AU671" s="81">
        <v>57</v>
      </c>
      <c r="AV671" s="81"/>
      <c r="AW671" s="81" t="b">
        <v>0</v>
      </c>
      <c r="AX671" s="81" t="s">
        <v>3728</v>
      </c>
      <c r="AY671" s="84" t="str">
        <f>HYPERLINK("https://twitter.com/karawangfess")</f>
        <v>https://twitter.com/karawangfess</v>
      </c>
      <c r="AZ671" s="81" t="s">
        <v>66</v>
      </c>
      <c r="BA671" s="2"/>
      <c r="BB671" s="3"/>
      <c r="BC671" s="3"/>
      <c r="BD671" s="3"/>
      <c r="BE671" s="3"/>
    </row>
    <row r="672" spans="1:57" x14ac:dyDescent="0.35">
      <c r="A672" s="66" t="s">
        <v>4459</v>
      </c>
      <c r="B672" s="67"/>
      <c r="C672" s="67"/>
      <c r="D672" s="68"/>
      <c r="E672" s="94"/>
      <c r="F672" s="93" t="str">
        <f>HYPERLINK("https://pbs.twimg.com/profile_images/1315112442167517184/T4AzOAPX_normal.jpg")</f>
        <v>https://pbs.twimg.com/profile_images/1315112442167517184/T4AzOAPX_normal.jpg</v>
      </c>
      <c r="G672" s="95"/>
      <c r="H672" s="71"/>
      <c r="I672" s="72"/>
      <c r="J672" s="96"/>
      <c r="K672" s="71" t="s">
        <v>11809</v>
      </c>
      <c r="L672" s="97"/>
      <c r="M672" s="76"/>
      <c r="N672" s="76"/>
      <c r="O672" s="77"/>
      <c r="P672" s="78"/>
      <c r="Q672" s="78"/>
      <c r="R672" s="92"/>
      <c r="S672" s="92"/>
      <c r="T672" s="92"/>
      <c r="U672" s="92"/>
      <c r="V672" s="52"/>
      <c r="W672" s="52"/>
      <c r="X672" s="52"/>
      <c r="Y672" s="52"/>
      <c r="Z672" s="51"/>
      <c r="AA672" s="73"/>
      <c r="AB672" s="73"/>
      <c r="AC672" s="74"/>
      <c r="AD672" s="81" t="s">
        <v>8432</v>
      </c>
      <c r="AE672" s="86" t="s">
        <v>9444</v>
      </c>
      <c r="AF672" s="81">
        <v>568</v>
      </c>
      <c r="AG672" s="81">
        <v>522</v>
      </c>
      <c r="AH672" s="81">
        <v>124594</v>
      </c>
      <c r="AI672" s="81">
        <v>199453</v>
      </c>
      <c r="AJ672" s="81"/>
      <c r="AK672" s="81"/>
      <c r="AL672" s="81"/>
      <c r="AM672" s="81"/>
      <c r="AN672" s="81"/>
      <c r="AO672" s="83">
        <v>43560.898159722223</v>
      </c>
      <c r="AP672" s="81"/>
      <c r="AQ672" s="81" t="b">
        <v>1</v>
      </c>
      <c r="AR672" s="81" t="b">
        <v>0</v>
      </c>
      <c r="AS672" s="81" t="b">
        <v>0</v>
      </c>
      <c r="AT672" s="81"/>
      <c r="AU672" s="81">
        <v>0</v>
      </c>
      <c r="AV672" s="81"/>
      <c r="AW672" s="81" t="b">
        <v>0</v>
      </c>
      <c r="AX672" s="81" t="s">
        <v>3728</v>
      </c>
      <c r="AY672" s="84" t="str">
        <f>HYPERLINK("https://twitter.com/angela40638513")</f>
        <v>https://twitter.com/angela40638513</v>
      </c>
      <c r="AZ672" s="81" t="s">
        <v>66</v>
      </c>
      <c r="BA672" s="2"/>
      <c r="BB672" s="3"/>
      <c r="BC672" s="3"/>
      <c r="BD672" s="3"/>
      <c r="BE672" s="3"/>
    </row>
    <row r="673" spans="1:57" x14ac:dyDescent="0.35">
      <c r="A673" s="66" t="s">
        <v>4461</v>
      </c>
      <c r="B673" s="67"/>
      <c r="C673" s="67"/>
      <c r="D673" s="68"/>
      <c r="E673" s="94"/>
      <c r="F673" s="93" t="str">
        <f>HYPERLINK("https://pbs.twimg.com/profile_images/1427868869872418817/5TUmB8Oe_normal.jpg")</f>
        <v>https://pbs.twimg.com/profile_images/1427868869872418817/5TUmB8Oe_normal.jpg</v>
      </c>
      <c r="G673" s="95"/>
      <c r="H673" s="71"/>
      <c r="I673" s="72"/>
      <c r="J673" s="96"/>
      <c r="K673" s="71" t="s">
        <v>11810</v>
      </c>
      <c r="L673" s="97"/>
      <c r="M673" s="76"/>
      <c r="N673" s="76"/>
      <c r="O673" s="77"/>
      <c r="P673" s="78"/>
      <c r="Q673" s="78"/>
      <c r="R673" s="92"/>
      <c r="S673" s="92"/>
      <c r="T673" s="92"/>
      <c r="U673" s="92"/>
      <c r="V673" s="52"/>
      <c r="W673" s="52"/>
      <c r="X673" s="52"/>
      <c r="Y673" s="52"/>
      <c r="Z673" s="51"/>
      <c r="AA673" s="73"/>
      <c r="AB673" s="73"/>
      <c r="AC673" s="74"/>
      <c r="AD673" s="81" t="s">
        <v>8434</v>
      </c>
      <c r="AE673" s="86" t="s">
        <v>9446</v>
      </c>
      <c r="AF673" s="81">
        <v>1</v>
      </c>
      <c r="AG673" s="81">
        <v>0</v>
      </c>
      <c r="AH673" s="81">
        <v>265</v>
      </c>
      <c r="AI673" s="81">
        <v>264</v>
      </c>
      <c r="AJ673" s="81"/>
      <c r="AK673" s="81" t="s">
        <v>10397</v>
      </c>
      <c r="AL673" s="81"/>
      <c r="AM673" s="81"/>
      <c r="AN673" s="81"/>
      <c r="AO673" s="83">
        <v>44426.23809027778</v>
      </c>
      <c r="AP673" s="81"/>
      <c r="AQ673" s="81" t="b">
        <v>1</v>
      </c>
      <c r="AR673" s="81" t="b">
        <v>0</v>
      </c>
      <c r="AS673" s="81" t="b">
        <v>0</v>
      </c>
      <c r="AT673" s="81"/>
      <c r="AU673" s="81">
        <v>0</v>
      </c>
      <c r="AV673" s="81"/>
      <c r="AW673" s="81" t="b">
        <v>0</v>
      </c>
      <c r="AX673" s="81" t="s">
        <v>3728</v>
      </c>
      <c r="AY673" s="84" t="str">
        <f>HYPERLINK("https://twitter.com/stepanusedo")</f>
        <v>https://twitter.com/stepanusedo</v>
      </c>
      <c r="AZ673" s="81" t="s">
        <v>66</v>
      </c>
      <c r="BA673" s="2"/>
      <c r="BB673" s="3"/>
      <c r="BC673" s="3"/>
      <c r="BD673" s="3"/>
      <c r="BE673" s="3"/>
    </row>
    <row r="674" spans="1:57" x14ac:dyDescent="0.35">
      <c r="A674" s="66" t="s">
        <v>4460</v>
      </c>
      <c r="B674" s="67"/>
      <c r="C674" s="67"/>
      <c r="D674" s="68"/>
      <c r="E674" s="94"/>
      <c r="F674" s="93" t="str">
        <f>HYPERLINK("https://pbs.twimg.com/profile_images/1427864167420088323/1basM0B3_normal.jpg")</f>
        <v>https://pbs.twimg.com/profile_images/1427864167420088323/1basM0B3_normal.jpg</v>
      </c>
      <c r="G674" s="95"/>
      <c r="H674" s="71"/>
      <c r="I674" s="72"/>
      <c r="J674" s="96"/>
      <c r="K674" s="71" t="s">
        <v>14273</v>
      </c>
      <c r="L674" s="97"/>
      <c r="M674" s="76"/>
      <c r="N674" s="76"/>
      <c r="O674" s="77"/>
      <c r="P674" s="78"/>
      <c r="Q674" s="78"/>
      <c r="R674" s="92"/>
      <c r="S674" s="92"/>
      <c r="T674" s="92"/>
      <c r="U674" s="92"/>
      <c r="V674" s="52"/>
      <c r="W674" s="52"/>
      <c r="X674" s="52"/>
      <c r="Y674" s="52"/>
      <c r="Z674" s="51"/>
      <c r="AA674" s="73"/>
      <c r="AB674" s="73"/>
      <c r="AC674" s="74"/>
      <c r="AD674" s="81" t="s">
        <v>8433</v>
      </c>
      <c r="AE674" s="86" t="s">
        <v>9445</v>
      </c>
      <c r="AF674" s="81">
        <v>6</v>
      </c>
      <c r="AG674" s="81">
        <v>17</v>
      </c>
      <c r="AH674" s="81">
        <v>358</v>
      </c>
      <c r="AI674" s="81">
        <v>16</v>
      </c>
      <c r="AJ674" s="81"/>
      <c r="AK674" s="81"/>
      <c r="AL674" s="81" t="s">
        <v>11141</v>
      </c>
      <c r="AM674" s="81"/>
      <c r="AN674" s="81"/>
      <c r="AO674" s="83">
        <v>44426.225034722222</v>
      </c>
      <c r="AP674" s="84" t="str">
        <f>HYPERLINK("https://pbs.twimg.com/profile_banners/1427863792235413507/1629271367")</f>
        <v>https://pbs.twimg.com/profile_banners/1427863792235413507/1629271367</v>
      </c>
      <c r="AQ674" s="81" t="b">
        <v>1</v>
      </c>
      <c r="AR674" s="81" t="b">
        <v>0</v>
      </c>
      <c r="AS674" s="81" t="b">
        <v>0</v>
      </c>
      <c r="AT674" s="81"/>
      <c r="AU674" s="81">
        <v>0</v>
      </c>
      <c r="AV674" s="81"/>
      <c r="AW674" s="81" t="b">
        <v>0</v>
      </c>
      <c r="AX674" s="81" t="s">
        <v>3728</v>
      </c>
      <c r="AY674" s="84" t="str">
        <f>HYPERLINK("https://twitter.com/ditpamobvit_btn")</f>
        <v>https://twitter.com/ditpamobvit_btn</v>
      </c>
      <c r="AZ674" s="81" t="s">
        <v>66</v>
      </c>
      <c r="BA674" s="2"/>
      <c r="BB674" s="3"/>
      <c r="BC674" s="3"/>
      <c r="BD674" s="3"/>
      <c r="BE674" s="3"/>
    </row>
    <row r="675" spans="1:57" x14ac:dyDescent="0.35">
      <c r="A675" s="66" t="s">
        <v>4462</v>
      </c>
      <c r="B675" s="67"/>
      <c r="C675" s="67"/>
      <c r="D675" s="68"/>
      <c r="E675" s="94"/>
      <c r="F675" s="93" t="str">
        <f>HYPERLINK("https://pbs.twimg.com/profile_images/1302381295918555139/9_tIyRz__normal.jpg")</f>
        <v>https://pbs.twimg.com/profile_images/1302381295918555139/9_tIyRz__normal.jpg</v>
      </c>
      <c r="G675" s="95"/>
      <c r="H675" s="71"/>
      <c r="I675" s="72"/>
      <c r="J675" s="96"/>
      <c r="K675" s="71" t="s">
        <v>11811</v>
      </c>
      <c r="L675" s="97"/>
      <c r="M675" s="76"/>
      <c r="N675" s="76"/>
      <c r="O675" s="77"/>
      <c r="P675" s="78"/>
      <c r="Q675" s="78"/>
      <c r="R675" s="92"/>
      <c r="S675" s="92"/>
      <c r="T675" s="92"/>
      <c r="U675" s="92"/>
      <c r="V675" s="52"/>
      <c r="W675" s="52"/>
      <c r="X675" s="52"/>
      <c r="Y675" s="52"/>
      <c r="Z675" s="51"/>
      <c r="AA675" s="73"/>
      <c r="AB675" s="73"/>
      <c r="AC675" s="74"/>
      <c r="AD675" s="81" t="s">
        <v>8435</v>
      </c>
      <c r="AE675" s="86" t="s">
        <v>9447</v>
      </c>
      <c r="AF675" s="81">
        <v>1007</v>
      </c>
      <c r="AG675" s="81">
        <v>511</v>
      </c>
      <c r="AH675" s="81">
        <v>65289</v>
      </c>
      <c r="AI675" s="81">
        <v>92991</v>
      </c>
      <c r="AJ675" s="81"/>
      <c r="AK675" s="81"/>
      <c r="AL675" s="81"/>
      <c r="AM675" s="81"/>
      <c r="AN675" s="81"/>
      <c r="AO675" s="83">
        <v>44079.957245370373</v>
      </c>
      <c r="AP675" s="81"/>
      <c r="AQ675" s="81" t="b">
        <v>1</v>
      </c>
      <c r="AR675" s="81" t="b">
        <v>0</v>
      </c>
      <c r="AS675" s="81" t="b">
        <v>1</v>
      </c>
      <c r="AT675" s="81"/>
      <c r="AU675" s="81">
        <v>0</v>
      </c>
      <c r="AV675" s="81"/>
      <c r="AW675" s="81" t="b">
        <v>0</v>
      </c>
      <c r="AX675" s="81" t="s">
        <v>3728</v>
      </c>
      <c r="AY675" s="84" t="str">
        <f>HYPERLINK("https://twitter.com/joscost00443299")</f>
        <v>https://twitter.com/joscost00443299</v>
      </c>
      <c r="AZ675" s="81" t="s">
        <v>66</v>
      </c>
      <c r="BA675" s="2"/>
      <c r="BB675" s="3"/>
      <c r="BC675" s="3"/>
      <c r="BD675" s="3"/>
      <c r="BE675" s="3"/>
    </row>
    <row r="676" spans="1:57" x14ac:dyDescent="0.35">
      <c r="A676" s="66" t="s">
        <v>4463</v>
      </c>
      <c r="B676" s="67"/>
      <c r="C676" s="67"/>
      <c r="D676" s="68"/>
      <c r="E676" s="94"/>
      <c r="F676" s="93" t="str">
        <f>HYPERLINK("https://pbs.twimg.com/profile_images/1348234814021840897/Ep8ndhDS_normal.jpg")</f>
        <v>https://pbs.twimg.com/profile_images/1348234814021840897/Ep8ndhDS_normal.jpg</v>
      </c>
      <c r="G676" s="95"/>
      <c r="H676" s="71"/>
      <c r="I676" s="72"/>
      <c r="J676" s="96"/>
      <c r="K676" s="71" t="s">
        <v>11812</v>
      </c>
      <c r="L676" s="97"/>
      <c r="M676" s="76"/>
      <c r="N676" s="76"/>
      <c r="O676" s="77"/>
      <c r="P676" s="78"/>
      <c r="Q676" s="78"/>
      <c r="R676" s="92"/>
      <c r="S676" s="92"/>
      <c r="T676" s="92"/>
      <c r="U676" s="92"/>
      <c r="V676" s="52"/>
      <c r="W676" s="52"/>
      <c r="X676" s="52"/>
      <c r="Y676" s="52"/>
      <c r="Z676" s="51"/>
      <c r="AA676" s="73"/>
      <c r="AB676" s="73"/>
      <c r="AC676" s="74"/>
      <c r="AD676" s="81" t="s">
        <v>8436</v>
      </c>
      <c r="AE676" s="86" t="s">
        <v>9448</v>
      </c>
      <c r="AF676" s="81">
        <v>9379</v>
      </c>
      <c r="AG676" s="81">
        <v>9065</v>
      </c>
      <c r="AH676" s="81">
        <v>78443</v>
      </c>
      <c r="AI676" s="81">
        <v>234413</v>
      </c>
      <c r="AJ676" s="81"/>
      <c r="AK676" s="81" t="s">
        <v>10398</v>
      </c>
      <c r="AL676" s="81" t="s">
        <v>10969</v>
      </c>
      <c r="AM676" s="81"/>
      <c r="AN676" s="81"/>
      <c r="AO676" s="83">
        <v>40257.76358796296</v>
      </c>
      <c r="AP676" s="84" t="str">
        <f>HYPERLINK("https://pbs.twimg.com/profile_banners/124828487/1579741667")</f>
        <v>https://pbs.twimg.com/profile_banners/124828487/1579741667</v>
      </c>
      <c r="AQ676" s="81" t="b">
        <v>0</v>
      </c>
      <c r="AR676" s="81" t="b">
        <v>0</v>
      </c>
      <c r="AS676" s="81" t="b">
        <v>0</v>
      </c>
      <c r="AT676" s="81"/>
      <c r="AU676" s="81">
        <v>1</v>
      </c>
      <c r="AV676" s="84" t="str">
        <f>HYPERLINK("https://abs.twimg.com/images/themes/theme15/bg.png")</f>
        <v>https://abs.twimg.com/images/themes/theme15/bg.png</v>
      </c>
      <c r="AW676" s="81" t="b">
        <v>0</v>
      </c>
      <c r="AX676" s="81" t="s">
        <v>3728</v>
      </c>
      <c r="AY676" s="84" t="str">
        <f>HYPERLINK("https://twitter.com/elenara_lobato")</f>
        <v>https://twitter.com/elenara_lobato</v>
      </c>
      <c r="AZ676" s="81" t="s">
        <v>66</v>
      </c>
      <c r="BA676" s="2"/>
      <c r="BB676" s="3"/>
      <c r="BC676" s="3"/>
      <c r="BD676" s="3"/>
      <c r="BE676" s="3"/>
    </row>
    <row r="677" spans="1:57" x14ac:dyDescent="0.35">
      <c r="A677" s="66" t="s">
        <v>436</v>
      </c>
      <c r="B677" s="67"/>
      <c r="C677" s="67"/>
      <c r="D677" s="68"/>
      <c r="E677" s="94"/>
      <c r="F677" s="93" t="str">
        <f>HYPERLINK("https://pbs.twimg.com/profile_images/1418026026379091972/zBLfCDhc_normal.jpg")</f>
        <v>https://pbs.twimg.com/profile_images/1418026026379091972/zBLfCDhc_normal.jpg</v>
      </c>
      <c r="G677" s="95"/>
      <c r="H677" s="71"/>
      <c r="I677" s="72"/>
      <c r="J677" s="96"/>
      <c r="K677" s="71" t="s">
        <v>3978</v>
      </c>
      <c r="L677" s="97"/>
      <c r="M677" s="76"/>
      <c r="N677" s="76"/>
      <c r="O677" s="77"/>
      <c r="P677" s="78"/>
      <c r="Q677" s="78"/>
      <c r="R677" s="92"/>
      <c r="S677" s="92"/>
      <c r="T677" s="92"/>
      <c r="U677" s="92"/>
      <c r="V677" s="52"/>
      <c r="W677" s="52"/>
      <c r="X677" s="52"/>
      <c r="Y677" s="52"/>
      <c r="Z677" s="51"/>
      <c r="AA677" s="73"/>
      <c r="AB677" s="73"/>
      <c r="AC677" s="74"/>
      <c r="AD677" s="81" t="s">
        <v>2497</v>
      </c>
      <c r="AE677" s="86" t="s">
        <v>2919</v>
      </c>
      <c r="AF677" s="81">
        <v>1411</v>
      </c>
      <c r="AG677" s="81">
        <v>1637</v>
      </c>
      <c r="AH677" s="81">
        <v>25983</v>
      </c>
      <c r="AI677" s="81">
        <v>57075</v>
      </c>
      <c r="AJ677" s="81"/>
      <c r="AK677" s="81" t="s">
        <v>3326</v>
      </c>
      <c r="AL677" s="81" t="s">
        <v>3646</v>
      </c>
      <c r="AM677" s="84" t="str">
        <f>HYPERLINK("https://t.co/ITyPUfOsog")</f>
        <v>https://t.co/ITyPUfOsog</v>
      </c>
      <c r="AN677" s="81"/>
      <c r="AO677" s="83">
        <v>43378.323368055557</v>
      </c>
      <c r="AP677" s="84" t="str">
        <f>HYPERLINK("https://pbs.twimg.com/profile_banners/1048116994644398080/1627960452")</f>
        <v>https://pbs.twimg.com/profile_banners/1048116994644398080/1627960452</v>
      </c>
      <c r="AQ677" s="81" t="b">
        <v>1</v>
      </c>
      <c r="AR677" s="81" t="b">
        <v>0</v>
      </c>
      <c r="AS677" s="81" t="b">
        <v>0</v>
      </c>
      <c r="AT677" s="81"/>
      <c r="AU677" s="81">
        <v>8</v>
      </c>
      <c r="AV677" s="81"/>
      <c r="AW677" s="81" t="b">
        <v>0</v>
      </c>
      <c r="AX677" s="81" t="s">
        <v>3728</v>
      </c>
      <c r="AY677" s="84" t="str">
        <f>HYPERLINK("https://twitter.com/jnoslatte")</f>
        <v>https://twitter.com/jnoslatte</v>
      </c>
      <c r="AZ677" s="81" t="s">
        <v>66</v>
      </c>
      <c r="BA677" s="2"/>
      <c r="BB677" s="3"/>
      <c r="BC677" s="3"/>
      <c r="BD677" s="3"/>
      <c r="BE677" s="3"/>
    </row>
    <row r="678" spans="1:57" x14ac:dyDescent="0.35">
      <c r="A678" s="66" t="s">
        <v>4464</v>
      </c>
      <c r="B678" s="67"/>
      <c r="C678" s="67"/>
      <c r="D678" s="68"/>
      <c r="E678" s="94"/>
      <c r="F678" s="93" t="str">
        <f>HYPERLINK("https://pbs.twimg.com/profile_images/1440622315797057541/IhwlZiso_normal.jpg")</f>
        <v>https://pbs.twimg.com/profile_images/1440622315797057541/IhwlZiso_normal.jpg</v>
      </c>
      <c r="G678" s="95"/>
      <c r="H678" s="71"/>
      <c r="I678" s="72"/>
      <c r="J678" s="96"/>
      <c r="K678" s="71" t="s">
        <v>11813</v>
      </c>
      <c r="L678" s="97"/>
      <c r="M678" s="76"/>
      <c r="N678" s="76"/>
      <c r="O678" s="77"/>
      <c r="P678" s="78"/>
      <c r="Q678" s="78"/>
      <c r="R678" s="92"/>
      <c r="S678" s="92"/>
      <c r="T678" s="92"/>
      <c r="U678" s="92"/>
      <c r="V678" s="52"/>
      <c r="W678" s="52"/>
      <c r="X678" s="52"/>
      <c r="Y678" s="52"/>
      <c r="Z678" s="51"/>
      <c r="AA678" s="73"/>
      <c r="AB678" s="73"/>
      <c r="AC678" s="74"/>
      <c r="AD678" s="81" t="s">
        <v>8437</v>
      </c>
      <c r="AE678" s="86" t="s">
        <v>9449</v>
      </c>
      <c r="AF678" s="81">
        <v>739</v>
      </c>
      <c r="AG678" s="81">
        <v>218</v>
      </c>
      <c r="AH678" s="81">
        <v>5521</v>
      </c>
      <c r="AI678" s="81">
        <v>16805</v>
      </c>
      <c r="AJ678" s="81"/>
      <c r="AK678" s="81" t="s">
        <v>10399</v>
      </c>
      <c r="AL678" s="81" t="s">
        <v>10975</v>
      </c>
      <c r="AM678" s="81"/>
      <c r="AN678" s="81"/>
      <c r="AO678" s="83">
        <v>39924.438206018516</v>
      </c>
      <c r="AP678" s="84" t="str">
        <f>HYPERLINK("https://pbs.twimg.com/profile_banners/33867955/1594664155")</f>
        <v>https://pbs.twimg.com/profile_banners/33867955/1594664155</v>
      </c>
      <c r="AQ678" s="81" t="b">
        <v>0</v>
      </c>
      <c r="AR678" s="81" t="b">
        <v>0</v>
      </c>
      <c r="AS678" s="81" t="b">
        <v>0</v>
      </c>
      <c r="AT678" s="81"/>
      <c r="AU678" s="81">
        <v>0</v>
      </c>
      <c r="AV678" s="84" t="str">
        <f>HYPERLINK("https://abs.twimg.com/images/themes/theme2/bg.gif")</f>
        <v>https://abs.twimg.com/images/themes/theme2/bg.gif</v>
      </c>
      <c r="AW678" s="81" t="b">
        <v>0</v>
      </c>
      <c r="AX678" s="81" t="s">
        <v>3728</v>
      </c>
      <c r="AY678" s="84" t="str">
        <f>HYPERLINK("https://twitter.com/bes8")</f>
        <v>https://twitter.com/bes8</v>
      </c>
      <c r="AZ678" s="81" t="s">
        <v>66</v>
      </c>
      <c r="BA678" s="2"/>
      <c r="BB678" s="3"/>
      <c r="BC678" s="3"/>
      <c r="BD678" s="3"/>
      <c r="BE678" s="3"/>
    </row>
    <row r="679" spans="1:57" x14ac:dyDescent="0.35">
      <c r="A679" s="66" t="s">
        <v>437</v>
      </c>
      <c r="B679" s="67"/>
      <c r="C679" s="67"/>
      <c r="D679" s="68"/>
      <c r="E679" s="94"/>
      <c r="F679" s="93" t="str">
        <f>HYPERLINK("https://pbs.twimg.com/profile_images/1428501378159157251/5N0eQaQ6_normal.jpg")</f>
        <v>https://pbs.twimg.com/profile_images/1428501378159157251/5N0eQaQ6_normal.jpg</v>
      </c>
      <c r="G679" s="95"/>
      <c r="H679" s="71"/>
      <c r="I679" s="72"/>
      <c r="J679" s="96"/>
      <c r="K679" s="71" t="s">
        <v>3979</v>
      </c>
      <c r="L679" s="97"/>
      <c r="M679" s="76"/>
      <c r="N679" s="76"/>
      <c r="O679" s="77"/>
      <c r="P679" s="78"/>
      <c r="Q679" s="78"/>
      <c r="R679" s="92"/>
      <c r="S679" s="92"/>
      <c r="T679" s="92"/>
      <c r="U679" s="92"/>
      <c r="V679" s="52"/>
      <c r="W679" s="52"/>
      <c r="X679" s="52"/>
      <c r="Y679" s="52"/>
      <c r="Z679" s="51"/>
      <c r="AA679" s="73"/>
      <c r="AB679" s="73"/>
      <c r="AC679" s="74"/>
      <c r="AD679" s="81" t="s">
        <v>2498</v>
      </c>
      <c r="AE679" s="86" t="s">
        <v>2920</v>
      </c>
      <c r="AF679" s="81">
        <v>2456</v>
      </c>
      <c r="AG679" s="81">
        <v>1325</v>
      </c>
      <c r="AH679" s="81">
        <v>9527</v>
      </c>
      <c r="AI679" s="81">
        <v>16297</v>
      </c>
      <c r="AJ679" s="81"/>
      <c r="AK679" s="81" t="s">
        <v>3327</v>
      </c>
      <c r="AL679" s="81" t="s">
        <v>3508</v>
      </c>
      <c r="AM679" s="81"/>
      <c r="AN679" s="81"/>
      <c r="AO679" s="83">
        <v>42744.407465277778</v>
      </c>
      <c r="AP679" s="84" t="str">
        <f>HYPERLINK("https://pbs.twimg.com/profile_banners/818393564774207488/1629416084")</f>
        <v>https://pbs.twimg.com/profile_banners/818393564774207488/1629416084</v>
      </c>
      <c r="AQ679" s="81" t="b">
        <v>0</v>
      </c>
      <c r="AR679" s="81" t="b">
        <v>0</v>
      </c>
      <c r="AS679" s="81" t="b">
        <v>0</v>
      </c>
      <c r="AT679" s="81"/>
      <c r="AU679" s="81">
        <v>0</v>
      </c>
      <c r="AV679" s="84" t="str">
        <f>HYPERLINK("https://abs.twimg.com/images/themes/theme1/bg.png")</f>
        <v>https://abs.twimg.com/images/themes/theme1/bg.png</v>
      </c>
      <c r="AW679" s="81" t="b">
        <v>0</v>
      </c>
      <c r="AX679" s="81" t="s">
        <v>3728</v>
      </c>
      <c r="AY679" s="84" t="str">
        <f>HYPERLINK("https://twitter.com/bunnykie")</f>
        <v>https://twitter.com/bunnykie</v>
      </c>
      <c r="AZ679" s="81" t="s">
        <v>66</v>
      </c>
      <c r="BA679" s="2"/>
      <c r="BB679" s="3"/>
      <c r="BC679" s="3"/>
      <c r="BD679" s="3"/>
      <c r="BE679" s="3"/>
    </row>
    <row r="680" spans="1:57" x14ac:dyDescent="0.35">
      <c r="A680" s="66" t="s">
        <v>4465</v>
      </c>
      <c r="B680" s="67"/>
      <c r="C680" s="67"/>
      <c r="D680" s="68"/>
      <c r="E680" s="94"/>
      <c r="F680" s="93" t="str">
        <f>HYPERLINK("https://pbs.twimg.com/profile_images/1253821916856692737/vzk0UpDU_normal.jpg")</f>
        <v>https://pbs.twimg.com/profile_images/1253821916856692737/vzk0UpDU_normal.jpg</v>
      </c>
      <c r="G680" s="95"/>
      <c r="H680" s="71"/>
      <c r="I680" s="72"/>
      <c r="J680" s="96"/>
      <c r="K680" s="71" t="s">
        <v>11814</v>
      </c>
      <c r="L680" s="97"/>
      <c r="M680" s="76"/>
      <c r="N680" s="76"/>
      <c r="O680" s="77"/>
      <c r="P680" s="78"/>
      <c r="Q680" s="78"/>
      <c r="R680" s="92"/>
      <c r="S680" s="92"/>
      <c r="T680" s="92"/>
      <c r="U680" s="92"/>
      <c r="V680" s="52"/>
      <c r="W680" s="52"/>
      <c r="X680" s="52"/>
      <c r="Y680" s="52"/>
      <c r="Z680" s="51"/>
      <c r="AA680" s="73"/>
      <c r="AB680" s="73"/>
      <c r="AC680" s="74"/>
      <c r="AD680" s="81" t="s">
        <v>8438</v>
      </c>
      <c r="AE680" s="86" t="s">
        <v>9450</v>
      </c>
      <c r="AF680" s="81">
        <v>1267</v>
      </c>
      <c r="AG680" s="81">
        <v>290</v>
      </c>
      <c r="AH680" s="81">
        <v>29148</v>
      </c>
      <c r="AI680" s="81">
        <v>46533</v>
      </c>
      <c r="AJ680" s="81"/>
      <c r="AK680" s="81" t="s">
        <v>10400</v>
      </c>
      <c r="AL680" s="81" t="s">
        <v>10970</v>
      </c>
      <c r="AM680" s="81"/>
      <c r="AN680" s="81"/>
      <c r="AO680" s="83">
        <v>42896.105034722219</v>
      </c>
      <c r="AP680" s="81"/>
      <c r="AQ680" s="81" t="b">
        <v>1</v>
      </c>
      <c r="AR680" s="81" t="b">
        <v>0</v>
      </c>
      <c r="AS680" s="81" t="b">
        <v>1</v>
      </c>
      <c r="AT680" s="81"/>
      <c r="AU680" s="81">
        <v>0</v>
      </c>
      <c r="AV680" s="81"/>
      <c r="AW680" s="81" t="b">
        <v>0</v>
      </c>
      <c r="AX680" s="81" t="s">
        <v>3728</v>
      </c>
      <c r="AY680" s="84" t="str">
        <f>HYPERLINK("https://twitter.com/reginargaa")</f>
        <v>https://twitter.com/reginargaa</v>
      </c>
      <c r="AZ680" s="81" t="s">
        <v>66</v>
      </c>
      <c r="BA680" s="2"/>
      <c r="BB680" s="3"/>
      <c r="BC680" s="3"/>
      <c r="BD680" s="3"/>
      <c r="BE680" s="3"/>
    </row>
    <row r="681" spans="1:57" x14ac:dyDescent="0.35">
      <c r="A681" s="66" t="s">
        <v>4466</v>
      </c>
      <c r="B681" s="67"/>
      <c r="C681" s="67"/>
      <c r="D681" s="68"/>
      <c r="E681" s="94"/>
      <c r="F681" s="93" t="str">
        <f>HYPERLINK("https://pbs.twimg.com/profile_images/1440268993793646598/EG74rHIY_normal.png")</f>
        <v>https://pbs.twimg.com/profile_images/1440268993793646598/EG74rHIY_normal.png</v>
      </c>
      <c r="G681" s="95"/>
      <c r="H681" s="71"/>
      <c r="I681" s="72"/>
      <c r="J681" s="96"/>
      <c r="K681" s="71" t="s">
        <v>11815</v>
      </c>
      <c r="L681" s="97"/>
      <c r="M681" s="76"/>
      <c r="N681" s="76"/>
      <c r="O681" s="77"/>
      <c r="P681" s="78"/>
      <c r="Q681" s="78"/>
      <c r="R681" s="92"/>
      <c r="S681" s="92"/>
      <c r="T681" s="92"/>
      <c r="U681" s="92"/>
      <c r="V681" s="52"/>
      <c r="W681" s="52"/>
      <c r="X681" s="52"/>
      <c r="Y681" s="52"/>
      <c r="Z681" s="51"/>
      <c r="AA681" s="73"/>
      <c r="AB681" s="73"/>
      <c r="AC681" s="74"/>
      <c r="AD681" s="81" t="s">
        <v>8439</v>
      </c>
      <c r="AE681" s="86" t="s">
        <v>9451</v>
      </c>
      <c r="AF681" s="81">
        <v>560</v>
      </c>
      <c r="AG681" s="81">
        <v>543</v>
      </c>
      <c r="AH681" s="81">
        <v>23788</v>
      </c>
      <c r="AI681" s="81">
        <v>103420</v>
      </c>
      <c r="AJ681" s="81"/>
      <c r="AK681" s="81" t="s">
        <v>10401</v>
      </c>
      <c r="AL681" s="81" t="s">
        <v>11142</v>
      </c>
      <c r="AM681" s="84" t="str">
        <f>HYPERLINK("https://t.co/M9O5y2GuYc")</f>
        <v>https://t.co/M9O5y2GuYc</v>
      </c>
      <c r="AN681" s="81"/>
      <c r="AO681" s="83">
        <v>44086.45380787037</v>
      </c>
      <c r="AP681" s="84" t="str">
        <f>HYPERLINK("https://pbs.twimg.com/profile_banners/1304734791716147202/1629125105")</f>
        <v>https://pbs.twimg.com/profile_banners/1304734791716147202/1629125105</v>
      </c>
      <c r="AQ681" s="81" t="b">
        <v>1</v>
      </c>
      <c r="AR681" s="81" t="b">
        <v>0</v>
      </c>
      <c r="AS681" s="81" t="b">
        <v>0</v>
      </c>
      <c r="AT681" s="81"/>
      <c r="AU681" s="81">
        <v>4</v>
      </c>
      <c r="AV681" s="81"/>
      <c r="AW681" s="81" t="b">
        <v>0</v>
      </c>
      <c r="AX681" s="81" t="s">
        <v>3728</v>
      </c>
      <c r="AY681" s="84" t="str">
        <f>HYPERLINK("https://twitter.com/prettydongjuu")</f>
        <v>https://twitter.com/prettydongjuu</v>
      </c>
      <c r="AZ681" s="81" t="s">
        <v>66</v>
      </c>
      <c r="BA681" s="2"/>
      <c r="BB681" s="3"/>
      <c r="BC681" s="3"/>
      <c r="BD681" s="3"/>
      <c r="BE681" s="3"/>
    </row>
    <row r="682" spans="1:57" x14ac:dyDescent="0.35">
      <c r="A682" s="66" t="s">
        <v>4467</v>
      </c>
      <c r="B682" s="67"/>
      <c r="C682" s="67"/>
      <c r="D682" s="68"/>
      <c r="E682" s="94"/>
      <c r="F682" s="93" t="str">
        <f>HYPERLINK("https://pbs.twimg.com/profile_images/1434282967736668167/_B5uhjbt_normal.jpg")</f>
        <v>https://pbs.twimg.com/profile_images/1434282967736668167/_B5uhjbt_normal.jpg</v>
      </c>
      <c r="G682" s="95"/>
      <c r="H682" s="71"/>
      <c r="I682" s="72"/>
      <c r="J682" s="96"/>
      <c r="K682" s="71" t="s">
        <v>11816</v>
      </c>
      <c r="L682" s="97"/>
      <c r="M682" s="76"/>
      <c r="N682" s="76"/>
      <c r="O682" s="77"/>
      <c r="P682" s="78"/>
      <c r="Q682" s="78"/>
      <c r="R682" s="92"/>
      <c r="S682" s="92"/>
      <c r="T682" s="92"/>
      <c r="U682" s="92"/>
      <c r="V682" s="52"/>
      <c r="W682" s="52"/>
      <c r="X682" s="52"/>
      <c r="Y682" s="52"/>
      <c r="Z682" s="51"/>
      <c r="AA682" s="73"/>
      <c r="AB682" s="73"/>
      <c r="AC682" s="74"/>
      <c r="AD682" s="81" t="s">
        <v>8440</v>
      </c>
      <c r="AE682" s="86" t="s">
        <v>9452</v>
      </c>
      <c r="AF682" s="81">
        <v>630</v>
      </c>
      <c r="AG682" s="81">
        <v>162</v>
      </c>
      <c r="AH682" s="81">
        <v>13050</v>
      </c>
      <c r="AI682" s="81">
        <v>11520</v>
      </c>
      <c r="AJ682" s="81"/>
      <c r="AK682" s="81" t="s">
        <v>10402</v>
      </c>
      <c r="AL682" s="81"/>
      <c r="AM682" s="81"/>
      <c r="AN682" s="81"/>
      <c r="AO682" s="83">
        <v>44357.056076388886</v>
      </c>
      <c r="AP682" s="81"/>
      <c r="AQ682" s="81" t="b">
        <v>1</v>
      </c>
      <c r="AR682" s="81" t="b">
        <v>0</v>
      </c>
      <c r="AS682" s="81" t="b">
        <v>0</v>
      </c>
      <c r="AT682" s="81"/>
      <c r="AU682" s="81">
        <v>0</v>
      </c>
      <c r="AV682" s="81"/>
      <c r="AW682" s="81" t="b">
        <v>0</v>
      </c>
      <c r="AX682" s="81" t="s">
        <v>3728</v>
      </c>
      <c r="AY682" s="84" t="str">
        <f>HYPERLINK("https://twitter.com/pantanal741")</f>
        <v>https://twitter.com/pantanal741</v>
      </c>
      <c r="AZ682" s="81" t="s">
        <v>66</v>
      </c>
      <c r="BA682" s="2"/>
      <c r="BB682" s="3"/>
      <c r="BC682" s="3"/>
      <c r="BD682" s="3"/>
      <c r="BE682" s="3"/>
    </row>
    <row r="683" spans="1:57" x14ac:dyDescent="0.35">
      <c r="A683" s="66" t="s">
        <v>438</v>
      </c>
      <c r="B683" s="67"/>
      <c r="C683" s="67"/>
      <c r="D683" s="68"/>
      <c r="E683" s="94"/>
      <c r="F683" s="93" t="str">
        <f>HYPERLINK("https://pbs.twimg.com/profile_images/1443230658449477632/79CPEDKz_normal.jpg")</f>
        <v>https://pbs.twimg.com/profile_images/1443230658449477632/79CPEDKz_normal.jpg</v>
      </c>
      <c r="G683" s="95"/>
      <c r="H683" s="71"/>
      <c r="I683" s="72"/>
      <c r="J683" s="96"/>
      <c r="K683" s="71" t="s">
        <v>3980</v>
      </c>
      <c r="L683" s="97"/>
      <c r="M683" s="76"/>
      <c r="N683" s="76"/>
      <c r="O683" s="77"/>
      <c r="P683" s="78"/>
      <c r="Q683" s="78"/>
      <c r="R683" s="92"/>
      <c r="S683" s="92"/>
      <c r="T683" s="92"/>
      <c r="U683" s="92"/>
      <c r="V683" s="52"/>
      <c r="W683" s="52"/>
      <c r="X683" s="52"/>
      <c r="Y683" s="52"/>
      <c r="Z683" s="51"/>
      <c r="AA683" s="73"/>
      <c r="AB683" s="73"/>
      <c r="AC683" s="74"/>
      <c r="AD683" s="81" t="s">
        <v>2499</v>
      </c>
      <c r="AE683" s="86" t="s">
        <v>2921</v>
      </c>
      <c r="AF683" s="81">
        <v>261</v>
      </c>
      <c r="AG683" s="81">
        <v>646</v>
      </c>
      <c r="AH683" s="81">
        <v>36118</v>
      </c>
      <c r="AI683" s="81">
        <v>7494</v>
      </c>
      <c r="AJ683" s="81"/>
      <c r="AK683" s="81" t="s">
        <v>3328</v>
      </c>
      <c r="AL683" s="81"/>
      <c r="AM683" s="84" t="str">
        <f>HYPERLINK("https://t.co/FUtDkNUMuS")</f>
        <v>https://t.co/FUtDkNUMuS</v>
      </c>
      <c r="AN683" s="81"/>
      <c r="AO683" s="83">
        <v>42664.213946759257</v>
      </c>
      <c r="AP683" s="84" t="str">
        <f>HYPERLINK("https://pbs.twimg.com/profile_banners/789332407518232580/1632217284")</f>
        <v>https://pbs.twimg.com/profile_banners/789332407518232580/1632217284</v>
      </c>
      <c r="AQ683" s="81" t="b">
        <v>1</v>
      </c>
      <c r="AR683" s="81" t="b">
        <v>0</v>
      </c>
      <c r="AS683" s="81" t="b">
        <v>1</v>
      </c>
      <c r="AT683" s="81"/>
      <c r="AU683" s="81">
        <v>0</v>
      </c>
      <c r="AV683" s="81"/>
      <c r="AW683" s="81" t="b">
        <v>0</v>
      </c>
      <c r="AX683" s="81" t="s">
        <v>3728</v>
      </c>
      <c r="AY683" s="84" t="str">
        <f>HYPERLINK("https://twitter.com/dinotaete")</f>
        <v>https://twitter.com/dinotaete</v>
      </c>
      <c r="AZ683" s="81" t="s">
        <v>66</v>
      </c>
      <c r="BA683" s="2"/>
      <c r="BB683" s="3"/>
      <c r="BC683" s="3"/>
      <c r="BD683" s="3"/>
      <c r="BE683" s="3"/>
    </row>
    <row r="684" spans="1:57" x14ac:dyDescent="0.35">
      <c r="A684" s="66" t="s">
        <v>439</v>
      </c>
      <c r="B684" s="67"/>
      <c r="C684" s="67"/>
      <c r="D684" s="68"/>
      <c r="E684" s="94"/>
      <c r="F684" s="93" t="str">
        <f>HYPERLINK("https://pbs.twimg.com/profile_images/1442119099358740486/YwxUpdaf_normal.jpg")</f>
        <v>https://pbs.twimg.com/profile_images/1442119099358740486/YwxUpdaf_normal.jpg</v>
      </c>
      <c r="G684" s="95"/>
      <c r="H684" s="71"/>
      <c r="I684" s="72"/>
      <c r="J684" s="96"/>
      <c r="K684" s="71" t="s">
        <v>3981</v>
      </c>
      <c r="L684" s="97"/>
      <c r="M684" s="76"/>
      <c r="N684" s="76"/>
      <c r="O684" s="77"/>
      <c r="P684" s="78"/>
      <c r="Q684" s="78"/>
      <c r="R684" s="92"/>
      <c r="S684" s="92"/>
      <c r="T684" s="92"/>
      <c r="U684" s="92"/>
      <c r="V684" s="52"/>
      <c r="W684" s="52"/>
      <c r="X684" s="52"/>
      <c r="Y684" s="52"/>
      <c r="Z684" s="51"/>
      <c r="AA684" s="73"/>
      <c r="AB684" s="73"/>
      <c r="AC684" s="74"/>
      <c r="AD684" s="81" t="s">
        <v>2500</v>
      </c>
      <c r="AE684" s="86" t="s">
        <v>2922</v>
      </c>
      <c r="AF684" s="81">
        <v>762</v>
      </c>
      <c r="AG684" s="81">
        <v>836</v>
      </c>
      <c r="AH684" s="81">
        <v>44950</v>
      </c>
      <c r="AI684" s="81">
        <v>40076</v>
      </c>
      <c r="AJ684" s="81"/>
      <c r="AK684" s="81" t="s">
        <v>3329</v>
      </c>
      <c r="AL684" s="81" t="s">
        <v>3647</v>
      </c>
      <c r="AM684" s="84" t="str">
        <f>HYPERLINK("https://t.co/NCQHoAZ3NE")</f>
        <v>https://t.co/NCQHoAZ3NE</v>
      </c>
      <c r="AN684" s="81"/>
      <c r="AO684" s="83">
        <v>43949.265416666669</v>
      </c>
      <c r="AP684" s="84" t="str">
        <f>HYPERLINK("https://pbs.twimg.com/profile_banners/1255019353382125569/1632660338")</f>
        <v>https://pbs.twimg.com/profile_banners/1255019353382125569/1632660338</v>
      </c>
      <c r="AQ684" s="81" t="b">
        <v>1</v>
      </c>
      <c r="AR684" s="81" t="b">
        <v>0</v>
      </c>
      <c r="AS684" s="81" t="b">
        <v>0</v>
      </c>
      <c r="AT684" s="81"/>
      <c r="AU684" s="81">
        <v>15</v>
      </c>
      <c r="AV684" s="81"/>
      <c r="AW684" s="81" t="b">
        <v>0</v>
      </c>
      <c r="AX684" s="81" t="s">
        <v>3728</v>
      </c>
      <c r="AY684" s="84" t="str">
        <f>HYPERLINK("https://twitter.com/vantaesfm")</f>
        <v>https://twitter.com/vantaesfm</v>
      </c>
      <c r="AZ684" s="81" t="s">
        <v>66</v>
      </c>
      <c r="BA684" s="2"/>
      <c r="BB684" s="3"/>
      <c r="BC684" s="3"/>
      <c r="BD684" s="3"/>
      <c r="BE684" s="3"/>
    </row>
    <row r="685" spans="1:57" x14ac:dyDescent="0.35">
      <c r="A685" s="66" t="s">
        <v>4468</v>
      </c>
      <c r="B685" s="67"/>
      <c r="C685" s="67"/>
      <c r="D685" s="68"/>
      <c r="E685" s="94"/>
      <c r="F685" s="93" t="str">
        <f>HYPERLINK("https://pbs.twimg.com/profile_images/1434706175908581377/xT3SNsgk_normal.jpg")</f>
        <v>https://pbs.twimg.com/profile_images/1434706175908581377/xT3SNsgk_normal.jpg</v>
      </c>
      <c r="G685" s="95"/>
      <c r="H685" s="71"/>
      <c r="I685" s="72"/>
      <c r="J685" s="96"/>
      <c r="K685" s="71" t="s">
        <v>11817</v>
      </c>
      <c r="L685" s="97"/>
      <c r="M685" s="76"/>
      <c r="N685" s="76"/>
      <c r="O685" s="77"/>
      <c r="P685" s="78"/>
      <c r="Q685" s="78"/>
      <c r="R685" s="92"/>
      <c r="S685" s="92"/>
      <c r="T685" s="92"/>
      <c r="U685" s="92"/>
      <c r="V685" s="52"/>
      <c r="W685" s="52"/>
      <c r="X685" s="52"/>
      <c r="Y685" s="52"/>
      <c r="Z685" s="51"/>
      <c r="AA685" s="73"/>
      <c r="AB685" s="73"/>
      <c r="AC685" s="74"/>
      <c r="AD685" s="81" t="s">
        <v>8442</v>
      </c>
      <c r="AE685" s="86" t="s">
        <v>9453</v>
      </c>
      <c r="AF685" s="81">
        <v>453</v>
      </c>
      <c r="AG685" s="81">
        <v>108</v>
      </c>
      <c r="AH685" s="81">
        <v>2119</v>
      </c>
      <c r="AI685" s="81">
        <v>19898</v>
      </c>
      <c r="AJ685" s="81"/>
      <c r="AK685" s="81" t="s">
        <v>10403</v>
      </c>
      <c r="AL685" s="81" t="s">
        <v>10970</v>
      </c>
      <c r="AM685" s="81"/>
      <c r="AN685" s="81"/>
      <c r="AO685" s="83">
        <v>43656.772199074076</v>
      </c>
      <c r="AP685" s="84" t="str">
        <f>HYPERLINK("https://pbs.twimg.com/profile_banners/1149023471755833344/1630401856")</f>
        <v>https://pbs.twimg.com/profile_banners/1149023471755833344/1630401856</v>
      </c>
      <c r="AQ685" s="81" t="b">
        <v>1</v>
      </c>
      <c r="AR685" s="81" t="b">
        <v>0</v>
      </c>
      <c r="AS685" s="81" t="b">
        <v>1</v>
      </c>
      <c r="AT685" s="81"/>
      <c r="AU685" s="81">
        <v>0</v>
      </c>
      <c r="AV685" s="81"/>
      <c r="AW685" s="81" t="b">
        <v>0</v>
      </c>
      <c r="AX685" s="81" t="s">
        <v>3728</v>
      </c>
      <c r="AY685" s="84" t="str">
        <f>HYPERLINK("https://twitter.com/biar_amanda")</f>
        <v>https://twitter.com/biar_amanda</v>
      </c>
      <c r="AZ685" s="81" t="s">
        <v>66</v>
      </c>
      <c r="BA685" s="2"/>
      <c r="BB685" s="3"/>
      <c r="BC685" s="3"/>
      <c r="BD685" s="3"/>
      <c r="BE685" s="3"/>
    </row>
    <row r="686" spans="1:57" x14ac:dyDescent="0.35">
      <c r="A686" s="66" t="s">
        <v>441</v>
      </c>
      <c r="B686" s="67"/>
      <c r="C686" s="67"/>
      <c r="D686" s="68"/>
      <c r="E686" s="94"/>
      <c r="F686" s="93" t="str">
        <f>HYPERLINK("https://pbs.twimg.com/profile_images/1440242262101803019/CucQtg-J_normal.jpg")</f>
        <v>https://pbs.twimg.com/profile_images/1440242262101803019/CucQtg-J_normal.jpg</v>
      </c>
      <c r="G686" s="95"/>
      <c r="H686" s="71"/>
      <c r="I686" s="72"/>
      <c r="J686" s="96"/>
      <c r="K686" s="71" t="s">
        <v>3982</v>
      </c>
      <c r="L686" s="97"/>
      <c r="M686" s="76"/>
      <c r="N686" s="76"/>
      <c r="O686" s="77"/>
      <c r="P686" s="78"/>
      <c r="Q686" s="78"/>
      <c r="R686" s="92"/>
      <c r="S686" s="92"/>
      <c r="T686" s="92"/>
      <c r="U686" s="92"/>
      <c r="V686" s="52"/>
      <c r="W686" s="52"/>
      <c r="X686" s="52"/>
      <c r="Y686" s="52"/>
      <c r="Z686" s="51"/>
      <c r="AA686" s="73"/>
      <c r="AB686" s="73"/>
      <c r="AC686" s="74"/>
      <c r="AD686" s="81" t="s">
        <v>2501</v>
      </c>
      <c r="AE686" s="86" t="s">
        <v>2924</v>
      </c>
      <c r="AF686" s="81">
        <v>291</v>
      </c>
      <c r="AG686" s="81">
        <v>353</v>
      </c>
      <c r="AH686" s="81">
        <v>16036</v>
      </c>
      <c r="AI686" s="81">
        <v>4052</v>
      </c>
      <c r="AJ686" s="81"/>
      <c r="AK686" s="81" t="s">
        <v>3331</v>
      </c>
      <c r="AL686" s="81"/>
      <c r="AM686" s="81"/>
      <c r="AN686" s="81"/>
      <c r="AO686" s="83">
        <v>43896.543356481481</v>
      </c>
      <c r="AP686" s="84" t="str">
        <f>HYPERLINK("https://pbs.twimg.com/profile_banners/1235913449781133313/1620308244")</f>
        <v>https://pbs.twimg.com/profile_banners/1235913449781133313/1620308244</v>
      </c>
      <c r="AQ686" s="81" t="b">
        <v>1</v>
      </c>
      <c r="AR686" s="81" t="b">
        <v>0</v>
      </c>
      <c r="AS686" s="81" t="b">
        <v>1</v>
      </c>
      <c r="AT686" s="81"/>
      <c r="AU686" s="81">
        <v>0</v>
      </c>
      <c r="AV686" s="81"/>
      <c r="AW686" s="81" t="b">
        <v>0</v>
      </c>
      <c r="AX686" s="81" t="s">
        <v>3728</v>
      </c>
      <c r="AY686" s="84" t="str">
        <f>HYPERLINK("https://twitter.com/lunarwolfj")</f>
        <v>https://twitter.com/lunarwolfj</v>
      </c>
      <c r="AZ686" s="81" t="s">
        <v>66</v>
      </c>
      <c r="BA686" s="2"/>
      <c r="BB686" s="3"/>
      <c r="BC686" s="3"/>
      <c r="BD686" s="3"/>
      <c r="BE686" s="3"/>
    </row>
    <row r="687" spans="1:57" x14ac:dyDescent="0.35">
      <c r="A687" s="66" t="s">
        <v>442</v>
      </c>
      <c r="B687" s="67"/>
      <c r="C687" s="67"/>
      <c r="D687" s="68"/>
      <c r="E687" s="94"/>
      <c r="F687" s="93" t="str">
        <f>HYPERLINK("https://pbs.twimg.com/profile_images/1442162661530091520/Z8lyG_SE_normal.jpg")</f>
        <v>https://pbs.twimg.com/profile_images/1442162661530091520/Z8lyG_SE_normal.jpg</v>
      </c>
      <c r="G687" s="95"/>
      <c r="H687" s="71"/>
      <c r="I687" s="72"/>
      <c r="J687" s="96"/>
      <c r="K687" s="71" t="s">
        <v>3983</v>
      </c>
      <c r="L687" s="97"/>
      <c r="M687" s="76"/>
      <c r="N687" s="76"/>
      <c r="O687" s="77"/>
      <c r="P687" s="78"/>
      <c r="Q687" s="78"/>
      <c r="R687" s="92"/>
      <c r="S687" s="92"/>
      <c r="T687" s="92"/>
      <c r="U687" s="92"/>
      <c r="V687" s="52"/>
      <c r="W687" s="52"/>
      <c r="X687" s="52"/>
      <c r="Y687" s="52"/>
      <c r="Z687" s="51"/>
      <c r="AA687" s="73"/>
      <c r="AB687" s="73"/>
      <c r="AC687" s="74"/>
      <c r="AD687" s="81" t="s">
        <v>2502</v>
      </c>
      <c r="AE687" s="86" t="s">
        <v>2925</v>
      </c>
      <c r="AF687" s="81">
        <v>737</v>
      </c>
      <c r="AG687" s="81">
        <v>145</v>
      </c>
      <c r="AH687" s="81">
        <v>2626</v>
      </c>
      <c r="AI687" s="81">
        <v>2982</v>
      </c>
      <c r="AJ687" s="81"/>
      <c r="AK687" s="81" t="s">
        <v>3332</v>
      </c>
      <c r="AL687" s="81" t="s">
        <v>3648</v>
      </c>
      <c r="AM687" s="84" t="str">
        <f>HYPERLINK("https://t.co/GVDS5RGuMX")</f>
        <v>https://t.co/GVDS5RGuMX</v>
      </c>
      <c r="AN687" s="81"/>
      <c r="AO687" s="83">
        <v>40375.529652777775</v>
      </c>
      <c r="AP687" s="84" t="str">
        <f>HYPERLINK("https://pbs.twimg.com/profile_banners/167377627/1632673380")</f>
        <v>https://pbs.twimg.com/profile_banners/167377627/1632673380</v>
      </c>
      <c r="AQ687" s="81" t="b">
        <v>0</v>
      </c>
      <c r="AR687" s="81" t="b">
        <v>0</v>
      </c>
      <c r="AS687" s="81" t="b">
        <v>1</v>
      </c>
      <c r="AT687" s="81"/>
      <c r="AU687" s="81">
        <v>0</v>
      </c>
      <c r="AV687" s="84" t="str">
        <f>HYPERLINK("https://abs.twimg.com/images/themes/theme14/bg.gif")</f>
        <v>https://abs.twimg.com/images/themes/theme14/bg.gif</v>
      </c>
      <c r="AW687" s="81" t="b">
        <v>0</v>
      </c>
      <c r="AX687" s="81" t="s">
        <v>3728</v>
      </c>
      <c r="AY687" s="84" t="str">
        <f>HYPERLINK("https://twitter.com/alyessamariani")</f>
        <v>https://twitter.com/alyessamariani</v>
      </c>
      <c r="AZ687" s="81" t="s">
        <v>66</v>
      </c>
      <c r="BA687" s="2"/>
      <c r="BB687" s="3"/>
      <c r="BC687" s="3"/>
      <c r="BD687" s="3"/>
      <c r="BE687" s="3"/>
    </row>
    <row r="688" spans="1:57" x14ac:dyDescent="0.35">
      <c r="A688" s="66" t="s">
        <v>650</v>
      </c>
      <c r="B688" s="67"/>
      <c r="C688" s="67"/>
      <c r="D688" s="68"/>
      <c r="E688" s="94"/>
      <c r="F688" s="93" t="str">
        <f>HYPERLINK("https://pbs.twimg.com/profile_images/1405910358645084163/LJ0Nwvyq_normal.jpg")</f>
        <v>https://pbs.twimg.com/profile_images/1405910358645084163/LJ0Nwvyq_normal.jpg</v>
      </c>
      <c r="G688" s="95"/>
      <c r="H688" s="71"/>
      <c r="I688" s="72"/>
      <c r="J688" s="96"/>
      <c r="K688" s="71" t="s">
        <v>3984</v>
      </c>
      <c r="L688" s="97"/>
      <c r="M688" s="76"/>
      <c r="N688" s="76"/>
      <c r="O688" s="77"/>
      <c r="P688" s="78"/>
      <c r="Q688" s="78"/>
      <c r="R688" s="92"/>
      <c r="S688" s="92"/>
      <c r="T688" s="92"/>
      <c r="U688" s="92"/>
      <c r="V688" s="52"/>
      <c r="W688" s="52"/>
      <c r="X688" s="52"/>
      <c r="Y688" s="52"/>
      <c r="Z688" s="51"/>
      <c r="AA688" s="73"/>
      <c r="AB688" s="73"/>
      <c r="AC688" s="74"/>
      <c r="AD688" s="81" t="s">
        <v>2503</v>
      </c>
      <c r="AE688" s="86" t="s">
        <v>2926</v>
      </c>
      <c r="AF688" s="81">
        <v>0</v>
      </c>
      <c r="AG688" s="81">
        <v>3737</v>
      </c>
      <c r="AH688" s="81">
        <v>387</v>
      </c>
      <c r="AI688" s="81">
        <v>1</v>
      </c>
      <c r="AJ688" s="81"/>
      <c r="AK688" s="81" t="s">
        <v>2503</v>
      </c>
      <c r="AL688" s="81"/>
      <c r="AM688" s="81"/>
      <c r="AN688" s="81"/>
      <c r="AO688" s="83">
        <v>43522.448634259257</v>
      </c>
      <c r="AP688" s="84" t="str">
        <f>HYPERLINK("https://pbs.twimg.com/profile_banners/1100346243824312321/1624030126")</f>
        <v>https://pbs.twimg.com/profile_banners/1100346243824312321/1624030126</v>
      </c>
      <c r="AQ688" s="81" t="b">
        <v>1</v>
      </c>
      <c r="AR688" s="81" t="b">
        <v>0</v>
      </c>
      <c r="AS688" s="81" t="b">
        <v>0</v>
      </c>
      <c r="AT688" s="81"/>
      <c r="AU688" s="81">
        <v>3</v>
      </c>
      <c r="AV688" s="81"/>
      <c r="AW688" s="81" t="b">
        <v>0</v>
      </c>
      <c r="AX688" s="81" t="s">
        <v>3728</v>
      </c>
      <c r="AY688" s="84" t="str">
        <f>HYPERLINK("https://twitter.com/istananegara_")</f>
        <v>https://twitter.com/istananegara_</v>
      </c>
      <c r="AZ688" s="81" t="s">
        <v>65</v>
      </c>
      <c r="BA688" s="2"/>
      <c r="BB688" s="3"/>
      <c r="BC688" s="3"/>
      <c r="BD688" s="3"/>
      <c r="BE688" s="3"/>
    </row>
    <row r="689" spans="1:57" x14ac:dyDescent="0.35">
      <c r="A689" s="66" t="s">
        <v>651</v>
      </c>
      <c r="B689" s="67"/>
      <c r="C689" s="67"/>
      <c r="D689" s="68"/>
      <c r="E689" s="94"/>
      <c r="F689" s="93" t="str">
        <f>HYPERLINK("https://pbs.twimg.com/profile_images/3446027346/ed954875c589ec63b93b9c5f8bdca336_normal.png")</f>
        <v>https://pbs.twimg.com/profile_images/3446027346/ed954875c589ec63b93b9c5f8bdca336_normal.png</v>
      </c>
      <c r="G689" s="95"/>
      <c r="H689" s="71"/>
      <c r="I689" s="72"/>
      <c r="J689" s="96"/>
      <c r="K689" s="71" t="s">
        <v>3985</v>
      </c>
      <c r="L689" s="97"/>
      <c r="M689" s="76"/>
      <c r="N689" s="76"/>
      <c r="O689" s="77"/>
      <c r="P689" s="78"/>
      <c r="Q689" s="78"/>
      <c r="R689" s="92"/>
      <c r="S689" s="92"/>
      <c r="T689" s="92"/>
      <c r="U689" s="92"/>
      <c r="V689" s="52"/>
      <c r="W689" s="52"/>
      <c r="X689" s="52"/>
      <c r="Y689" s="52"/>
      <c r="Z689" s="51"/>
      <c r="AA689" s="73"/>
      <c r="AB689" s="73"/>
      <c r="AC689" s="74"/>
      <c r="AD689" s="81" t="s">
        <v>2504</v>
      </c>
      <c r="AE689" s="86" t="s">
        <v>2927</v>
      </c>
      <c r="AF689" s="81">
        <v>97</v>
      </c>
      <c r="AG689" s="81">
        <v>50667</v>
      </c>
      <c r="AH689" s="81">
        <v>3155</v>
      </c>
      <c r="AI689" s="81">
        <v>1682</v>
      </c>
      <c r="AJ689" s="81"/>
      <c r="AK689" s="81"/>
      <c r="AL689" s="81" t="s">
        <v>3514</v>
      </c>
      <c r="AM689" s="84" t="str">
        <f>HYPERLINK("https://t.co/oPNeYYeN0y")</f>
        <v>https://t.co/oPNeYYeN0y</v>
      </c>
      <c r="AN689" s="81"/>
      <c r="AO689" s="83">
        <v>41362.281666666669</v>
      </c>
      <c r="AP689" s="84" t="str">
        <f>HYPERLINK("https://pbs.twimg.com/profile_banners/1312853240/1550800675")</f>
        <v>https://pbs.twimg.com/profile_banners/1312853240/1550800675</v>
      </c>
      <c r="AQ689" s="81" t="b">
        <v>0</v>
      </c>
      <c r="AR689" s="81" t="b">
        <v>0</v>
      </c>
      <c r="AS689" s="81" t="b">
        <v>1</v>
      </c>
      <c r="AT689" s="81"/>
      <c r="AU689" s="81">
        <v>66</v>
      </c>
      <c r="AV689" s="84" t="str">
        <f>HYPERLINK("https://abs.twimg.com/images/themes/theme9/bg.gif")</f>
        <v>https://abs.twimg.com/images/themes/theme9/bg.gif</v>
      </c>
      <c r="AW689" s="81" t="b">
        <v>0</v>
      </c>
      <c r="AX689" s="81" t="s">
        <v>3728</v>
      </c>
      <c r="AY689" s="84" t="str">
        <f>HYPERLINK("https://twitter.com/tenteradarat")</f>
        <v>https://twitter.com/tenteradarat</v>
      </c>
      <c r="AZ689" s="81" t="s">
        <v>65</v>
      </c>
      <c r="BA689" s="2"/>
      <c r="BB689" s="3"/>
      <c r="BC689" s="3"/>
      <c r="BD689" s="3"/>
      <c r="BE689" s="3"/>
    </row>
    <row r="690" spans="1:57" x14ac:dyDescent="0.35">
      <c r="A690" s="66" t="s">
        <v>652</v>
      </c>
      <c r="B690" s="67"/>
      <c r="C690" s="67"/>
      <c r="D690" s="68"/>
      <c r="E690" s="94"/>
      <c r="F690" s="93" t="str">
        <f>HYPERLINK("https://pbs.twimg.com/profile_images/824952464159887361/vG8QQ-Fe_normal.jpg")</f>
        <v>https://pbs.twimg.com/profile_images/824952464159887361/vG8QQ-Fe_normal.jpg</v>
      </c>
      <c r="G690" s="95"/>
      <c r="H690" s="71"/>
      <c r="I690" s="72"/>
      <c r="J690" s="96"/>
      <c r="K690" s="71" t="s">
        <v>3986</v>
      </c>
      <c r="L690" s="97"/>
      <c r="M690" s="76"/>
      <c r="N690" s="76"/>
      <c r="O690" s="77"/>
      <c r="P690" s="78"/>
      <c r="Q690" s="78"/>
      <c r="R690" s="92"/>
      <c r="S690" s="92"/>
      <c r="T690" s="92"/>
      <c r="U690" s="92"/>
      <c r="V690" s="52"/>
      <c r="W690" s="52"/>
      <c r="X690" s="52"/>
      <c r="Y690" s="52"/>
      <c r="Z690" s="51"/>
      <c r="AA690" s="73"/>
      <c r="AB690" s="73"/>
      <c r="AC690" s="74"/>
      <c r="AD690" s="81" t="s">
        <v>2505</v>
      </c>
      <c r="AE690" s="86" t="s">
        <v>2928</v>
      </c>
      <c r="AF690" s="81">
        <v>114</v>
      </c>
      <c r="AG690" s="81">
        <v>118248</v>
      </c>
      <c r="AH690" s="81">
        <v>30273</v>
      </c>
      <c r="AI690" s="81">
        <v>1422</v>
      </c>
      <c r="AJ690" s="81"/>
      <c r="AK690" s="81" t="s">
        <v>3333</v>
      </c>
      <c r="AL690" s="81"/>
      <c r="AM690" s="84" t="str">
        <f>HYPERLINK("https://t.co/Gv0sBONe6y")</f>
        <v>https://t.co/Gv0sBONe6y</v>
      </c>
      <c r="AN690" s="81"/>
      <c r="AO690" s="83">
        <v>40497.665162037039</v>
      </c>
      <c r="AP690" s="84" t="str">
        <f>HYPERLINK("https://pbs.twimg.com/profile_banners/216023937/1632275699")</f>
        <v>https://pbs.twimg.com/profile_banners/216023937/1632275699</v>
      </c>
      <c r="AQ690" s="81" t="b">
        <v>0</v>
      </c>
      <c r="AR690" s="81" t="b">
        <v>0</v>
      </c>
      <c r="AS690" s="81" t="b">
        <v>1</v>
      </c>
      <c r="AT690" s="81"/>
      <c r="AU690" s="81">
        <v>239</v>
      </c>
      <c r="AV690" s="84" t="str">
        <f>HYPERLINK("https://abs.twimg.com/images/themes/theme12/bg.gif")</f>
        <v>https://abs.twimg.com/images/themes/theme12/bg.gif</v>
      </c>
      <c r="AW690" s="81" t="b">
        <v>1</v>
      </c>
      <c r="AX690" s="81" t="s">
        <v>3728</v>
      </c>
      <c r="AY690" s="84" t="str">
        <f>HYPERLINK("https://twitter.com/mindefmalaysia")</f>
        <v>https://twitter.com/mindefmalaysia</v>
      </c>
      <c r="AZ690" s="81" t="s">
        <v>65</v>
      </c>
      <c r="BA690" s="2"/>
      <c r="BB690" s="3"/>
      <c r="BC690" s="3"/>
      <c r="BD690" s="3"/>
      <c r="BE690" s="3"/>
    </row>
    <row r="691" spans="1:57" x14ac:dyDescent="0.35">
      <c r="A691" s="66" t="s">
        <v>653</v>
      </c>
      <c r="B691" s="67"/>
      <c r="C691" s="67"/>
      <c r="D691" s="68"/>
      <c r="E691" s="94"/>
      <c r="F691" s="93" t="str">
        <f>HYPERLINK("https://pbs.twimg.com/profile_images/1250276272648814592/0wbHKhM9_normal.jpg")</f>
        <v>https://pbs.twimg.com/profile_images/1250276272648814592/0wbHKhM9_normal.jpg</v>
      </c>
      <c r="G691" s="95"/>
      <c r="H691" s="71"/>
      <c r="I691" s="72"/>
      <c r="J691" s="96"/>
      <c r="K691" s="71" t="s">
        <v>3987</v>
      </c>
      <c r="L691" s="97"/>
      <c r="M691" s="76"/>
      <c r="N691" s="76"/>
      <c r="O691" s="77"/>
      <c r="P691" s="78"/>
      <c r="Q691" s="78"/>
      <c r="R691" s="92"/>
      <c r="S691" s="92"/>
      <c r="T691" s="92"/>
      <c r="U691" s="92"/>
      <c r="V691" s="52"/>
      <c r="W691" s="52"/>
      <c r="X691" s="52"/>
      <c r="Y691" s="52"/>
      <c r="Z691" s="51"/>
      <c r="AA691" s="73"/>
      <c r="AB691" s="73"/>
      <c r="AC691" s="74"/>
      <c r="AD691" s="81" t="s">
        <v>2506</v>
      </c>
      <c r="AE691" s="86" t="s">
        <v>2929</v>
      </c>
      <c r="AF691" s="81">
        <v>380</v>
      </c>
      <c r="AG691" s="81">
        <v>64450</v>
      </c>
      <c r="AH691" s="81">
        <v>24828</v>
      </c>
      <c r="AI691" s="81">
        <v>3702</v>
      </c>
      <c r="AJ691" s="81"/>
      <c r="AK691" s="81" t="s">
        <v>3334</v>
      </c>
      <c r="AL691" s="81" t="s">
        <v>3649</v>
      </c>
      <c r="AM691" s="84" t="str">
        <f>HYPERLINK("https://t.co/iaMUFd1NHD")</f>
        <v>https://t.co/iaMUFd1NHD</v>
      </c>
      <c r="AN691" s="81"/>
      <c r="AO691" s="83">
        <v>41039.146944444445</v>
      </c>
      <c r="AP691" s="84" t="str">
        <f>HYPERLINK("https://pbs.twimg.com/profile_banners/575898376/1625571378")</f>
        <v>https://pbs.twimg.com/profile_banners/575898376/1625571378</v>
      </c>
      <c r="AQ691" s="81" t="b">
        <v>0</v>
      </c>
      <c r="AR691" s="81" t="b">
        <v>0</v>
      </c>
      <c r="AS691" s="81" t="b">
        <v>1</v>
      </c>
      <c r="AT691" s="81"/>
      <c r="AU691" s="81">
        <v>173</v>
      </c>
      <c r="AV691" s="84" t="str">
        <f>HYPERLINK("https://abs.twimg.com/images/themes/theme1/bg.png")</f>
        <v>https://abs.twimg.com/images/themes/theme1/bg.png</v>
      </c>
      <c r="AW691" s="81" t="b">
        <v>0</v>
      </c>
      <c r="AX691" s="81" t="s">
        <v>3728</v>
      </c>
      <c r="AY691" s="84" t="str">
        <f>HYPERLINK("https://twitter.com/tldm_rasmi")</f>
        <v>https://twitter.com/tldm_rasmi</v>
      </c>
      <c r="AZ691" s="81" t="s">
        <v>65</v>
      </c>
      <c r="BA691" s="2"/>
      <c r="BB691" s="3"/>
      <c r="BC691" s="3"/>
      <c r="BD691" s="3"/>
      <c r="BE691" s="3"/>
    </row>
    <row r="692" spans="1:57" x14ac:dyDescent="0.35">
      <c r="A692" s="66" t="s">
        <v>654</v>
      </c>
      <c r="B692" s="67"/>
      <c r="C692" s="67"/>
      <c r="D692" s="68"/>
      <c r="E692" s="94"/>
      <c r="F692" s="93" t="str">
        <f>HYPERLINK("https://pbs.twimg.com/profile_images/704899463786184705/O6djyh0i_normal.jpg")</f>
        <v>https://pbs.twimg.com/profile_images/704899463786184705/O6djyh0i_normal.jpg</v>
      </c>
      <c r="G692" s="95"/>
      <c r="H692" s="71"/>
      <c r="I692" s="72"/>
      <c r="J692" s="96"/>
      <c r="K692" s="71" t="s">
        <v>3988</v>
      </c>
      <c r="L692" s="97"/>
      <c r="M692" s="76"/>
      <c r="N692" s="76"/>
      <c r="O692" s="77"/>
      <c r="P692" s="78"/>
      <c r="Q692" s="78"/>
      <c r="R692" s="92"/>
      <c r="S692" s="92"/>
      <c r="T692" s="92"/>
      <c r="U692" s="92"/>
      <c r="V692" s="52"/>
      <c r="W692" s="52"/>
      <c r="X692" s="52"/>
      <c r="Y692" s="52"/>
      <c r="Z692" s="51"/>
      <c r="AA692" s="73"/>
      <c r="AB692" s="73"/>
      <c r="AC692" s="74"/>
      <c r="AD692" s="81" t="s">
        <v>2507</v>
      </c>
      <c r="AE692" s="86" t="s">
        <v>2930</v>
      </c>
      <c r="AF692" s="81">
        <v>291</v>
      </c>
      <c r="AG692" s="81">
        <v>49589</v>
      </c>
      <c r="AH692" s="81">
        <v>13460</v>
      </c>
      <c r="AI692" s="81">
        <v>5209</v>
      </c>
      <c r="AJ692" s="81"/>
      <c r="AK692" s="81" t="s">
        <v>3335</v>
      </c>
      <c r="AL692" s="81" t="s">
        <v>3514</v>
      </c>
      <c r="AM692" s="84" t="str">
        <f>HYPERLINK("https://t.co/B3CV7CfWYb")</f>
        <v>https://t.co/B3CV7CfWYb</v>
      </c>
      <c r="AN692" s="81"/>
      <c r="AO692" s="83">
        <v>41736.241875</v>
      </c>
      <c r="AP692" s="84" t="str">
        <f>HYPERLINK("https://pbs.twimg.com/profile_banners/2431539198/1622084797")</f>
        <v>https://pbs.twimg.com/profile_banners/2431539198/1622084797</v>
      </c>
      <c r="AQ692" s="81" t="b">
        <v>1</v>
      </c>
      <c r="AR692" s="81" t="b">
        <v>0</v>
      </c>
      <c r="AS692" s="81" t="b">
        <v>1</v>
      </c>
      <c r="AT692" s="81"/>
      <c r="AU692" s="81">
        <v>75</v>
      </c>
      <c r="AV692" s="84" t="str">
        <f>HYPERLINK("https://abs.twimg.com/images/themes/theme1/bg.png")</f>
        <v>https://abs.twimg.com/images/themes/theme1/bg.png</v>
      </c>
      <c r="AW692" s="81" t="b">
        <v>0</v>
      </c>
      <c r="AX692" s="81" t="s">
        <v>3728</v>
      </c>
      <c r="AY692" s="84" t="str">
        <f>HYPERLINK("https://twitter.com/tudm_rasmi")</f>
        <v>https://twitter.com/tudm_rasmi</v>
      </c>
      <c r="AZ692" s="81" t="s">
        <v>65</v>
      </c>
      <c r="BA692" s="2"/>
      <c r="BB692" s="3"/>
      <c r="BC692" s="3"/>
      <c r="BD692" s="3"/>
      <c r="BE692" s="3"/>
    </row>
    <row r="693" spans="1:57" x14ac:dyDescent="0.35">
      <c r="A693" s="66" t="s">
        <v>655</v>
      </c>
      <c r="B693" s="67"/>
      <c r="C693" s="67"/>
      <c r="D693" s="68"/>
      <c r="E693" s="94"/>
      <c r="F693" s="93" t="str">
        <f>HYPERLINK("https://pbs.twimg.com/profile_images/1439944839643090950/ihhmqmit_normal.jpg")</f>
        <v>https://pbs.twimg.com/profile_images/1439944839643090950/ihhmqmit_normal.jpg</v>
      </c>
      <c r="G693" s="95"/>
      <c r="H693" s="71"/>
      <c r="I693" s="72"/>
      <c r="J693" s="96"/>
      <c r="K693" s="71" t="s">
        <v>3989</v>
      </c>
      <c r="L693" s="97"/>
      <c r="M693" s="76"/>
      <c r="N693" s="76"/>
      <c r="O693" s="77"/>
      <c r="P693" s="78"/>
      <c r="Q693" s="78"/>
      <c r="R693" s="92"/>
      <c r="S693" s="92"/>
      <c r="T693" s="92"/>
      <c r="U693" s="92"/>
      <c r="V693" s="52"/>
      <c r="W693" s="52"/>
      <c r="X693" s="52"/>
      <c r="Y693" s="52"/>
      <c r="Z693" s="51"/>
      <c r="AA693" s="73"/>
      <c r="AB693" s="73"/>
      <c r="AC693" s="74"/>
      <c r="AD693" s="81" t="s">
        <v>2508</v>
      </c>
      <c r="AE693" s="86" t="s">
        <v>2931</v>
      </c>
      <c r="AF693" s="81">
        <v>193</v>
      </c>
      <c r="AG693" s="81">
        <v>47185</v>
      </c>
      <c r="AH693" s="81">
        <v>3015</v>
      </c>
      <c r="AI693" s="81">
        <v>669</v>
      </c>
      <c r="AJ693" s="81"/>
      <c r="AK693" s="81" t="s">
        <v>3336</v>
      </c>
      <c r="AL693" s="81" t="s">
        <v>3507</v>
      </c>
      <c r="AM693" s="84" t="str">
        <f>HYPERLINK("https://t.co/XKvq4eJb1W")</f>
        <v>https://t.co/XKvq4eJb1W</v>
      </c>
      <c r="AN693" s="81"/>
      <c r="AO693" s="83">
        <v>41690.499479166669</v>
      </c>
      <c r="AP693" s="84" t="str">
        <f>HYPERLINK("https://pbs.twimg.com/profile_banners/2353140067/1631074548")</f>
        <v>https://pbs.twimg.com/profile_banners/2353140067/1631074548</v>
      </c>
      <c r="AQ693" s="81" t="b">
        <v>1</v>
      </c>
      <c r="AR693" s="81" t="b">
        <v>0</v>
      </c>
      <c r="AS693" s="81" t="b">
        <v>1</v>
      </c>
      <c r="AT693" s="81"/>
      <c r="AU693" s="81">
        <v>38</v>
      </c>
      <c r="AV693" s="84" t="str">
        <f>HYPERLINK("https://abs.twimg.com/images/themes/theme1/bg.png")</f>
        <v>https://abs.twimg.com/images/themes/theme1/bg.png</v>
      </c>
      <c r="AW693" s="81" t="b">
        <v>0</v>
      </c>
      <c r="AX693" s="81" t="s">
        <v>3728</v>
      </c>
      <c r="AY693" s="84" t="str">
        <f>HYPERLINK("https://twitter.com/markasatm")</f>
        <v>https://twitter.com/markasatm</v>
      </c>
      <c r="AZ693" s="81" t="s">
        <v>65</v>
      </c>
      <c r="BA693" s="2"/>
      <c r="BB693" s="3"/>
      <c r="BC693" s="3"/>
      <c r="BD693" s="3"/>
      <c r="BE693" s="3"/>
    </row>
    <row r="694" spans="1:57" x14ac:dyDescent="0.35">
      <c r="A694" s="66" t="s">
        <v>4469</v>
      </c>
      <c r="B694" s="67"/>
      <c r="C694" s="67"/>
      <c r="D694" s="68"/>
      <c r="E694" s="94"/>
      <c r="F694" s="93" t="str">
        <f>HYPERLINK("https://pbs.twimg.com/profile_images/1432870052995473414/bNqfPuCJ_normal.jpg")</f>
        <v>https://pbs.twimg.com/profile_images/1432870052995473414/bNqfPuCJ_normal.jpg</v>
      </c>
      <c r="G694" s="95"/>
      <c r="H694" s="71"/>
      <c r="I694" s="72"/>
      <c r="J694" s="96"/>
      <c r="K694" s="71" t="s">
        <v>11818</v>
      </c>
      <c r="L694" s="97"/>
      <c r="M694" s="76"/>
      <c r="N694" s="76"/>
      <c r="O694" s="77"/>
      <c r="P694" s="78"/>
      <c r="Q694" s="78"/>
      <c r="R694" s="92"/>
      <c r="S694" s="92"/>
      <c r="T694" s="92"/>
      <c r="U694" s="92"/>
      <c r="V694" s="52"/>
      <c r="W694" s="52"/>
      <c r="X694" s="52"/>
      <c r="Y694" s="52"/>
      <c r="Z694" s="51"/>
      <c r="AA694" s="73"/>
      <c r="AB694" s="73"/>
      <c r="AC694" s="74"/>
      <c r="AD694" s="81" t="s">
        <v>8443</v>
      </c>
      <c r="AE694" s="86" t="s">
        <v>9454</v>
      </c>
      <c r="AF694" s="81">
        <v>309</v>
      </c>
      <c r="AG694" s="81">
        <v>307</v>
      </c>
      <c r="AH694" s="81">
        <v>6770</v>
      </c>
      <c r="AI694" s="81">
        <v>25960</v>
      </c>
      <c r="AJ694" s="81"/>
      <c r="AK694" s="81" t="s">
        <v>10404</v>
      </c>
      <c r="AL694" s="81"/>
      <c r="AM694" s="84" t="str">
        <f>HYPERLINK("https://t.co/7s4BjkIRzM")</f>
        <v>https://t.co/7s4BjkIRzM</v>
      </c>
      <c r="AN694" s="81"/>
      <c r="AO694" s="83">
        <v>43939.987638888888</v>
      </c>
      <c r="AP694" s="84" t="str">
        <f>HYPERLINK("https://pbs.twimg.com/profile_banners/1251657282162757637/1589048616")</f>
        <v>https://pbs.twimg.com/profile_banners/1251657282162757637/1589048616</v>
      </c>
      <c r="AQ694" s="81" t="b">
        <v>1</v>
      </c>
      <c r="AR694" s="81" t="b">
        <v>0</v>
      </c>
      <c r="AS694" s="81" t="b">
        <v>1</v>
      </c>
      <c r="AT694" s="81"/>
      <c r="AU694" s="81">
        <v>0</v>
      </c>
      <c r="AV694" s="81"/>
      <c r="AW694" s="81" t="b">
        <v>0</v>
      </c>
      <c r="AX694" s="81" t="s">
        <v>3728</v>
      </c>
      <c r="AY694" s="84" t="str">
        <f>HYPERLINK("https://twitter.com/luisamrgarcia")</f>
        <v>https://twitter.com/luisamrgarcia</v>
      </c>
      <c r="AZ694" s="81" t="s">
        <v>66</v>
      </c>
      <c r="BA694" s="2"/>
      <c r="BB694" s="3"/>
      <c r="BC694" s="3"/>
      <c r="BD694" s="3"/>
      <c r="BE694" s="3"/>
    </row>
    <row r="695" spans="1:57" x14ac:dyDescent="0.35">
      <c r="A695" s="66" t="s">
        <v>5086</v>
      </c>
      <c r="B695" s="67"/>
      <c r="C695" s="67"/>
      <c r="D695" s="68"/>
      <c r="E695" s="94"/>
      <c r="F695" s="93" t="str">
        <f>HYPERLINK("https://pbs.twimg.com/profile_images/1442151887730462724/dVrlX2kB_normal.jpg")</f>
        <v>https://pbs.twimg.com/profile_images/1442151887730462724/dVrlX2kB_normal.jpg</v>
      </c>
      <c r="G695" s="95"/>
      <c r="H695" s="71"/>
      <c r="I695" s="72"/>
      <c r="J695" s="96"/>
      <c r="K695" s="71" t="s">
        <v>11819</v>
      </c>
      <c r="L695" s="97"/>
      <c r="M695" s="76"/>
      <c r="N695" s="76"/>
      <c r="O695" s="77"/>
      <c r="P695" s="78"/>
      <c r="Q695" s="78"/>
      <c r="R695" s="92"/>
      <c r="S695" s="92"/>
      <c r="T695" s="92"/>
      <c r="U695" s="92"/>
      <c r="V695" s="52"/>
      <c r="W695" s="52"/>
      <c r="X695" s="52"/>
      <c r="Y695" s="52"/>
      <c r="Z695" s="51"/>
      <c r="AA695" s="73"/>
      <c r="AB695" s="73"/>
      <c r="AC695" s="74"/>
      <c r="AD695" s="81" t="s">
        <v>8444</v>
      </c>
      <c r="AE695" s="86" t="s">
        <v>7860</v>
      </c>
      <c r="AF695" s="81">
        <v>1416</v>
      </c>
      <c r="AG695" s="81">
        <v>3581</v>
      </c>
      <c r="AH695" s="81">
        <v>10382</v>
      </c>
      <c r="AI695" s="81">
        <v>15328</v>
      </c>
      <c r="AJ695" s="81"/>
      <c r="AK695" s="81" t="s">
        <v>10405</v>
      </c>
      <c r="AL695" s="81" t="s">
        <v>11143</v>
      </c>
      <c r="AM695" s="84" t="str">
        <f>HYPERLINK("https://t.co/3EtiKAD2AD")</f>
        <v>https://t.co/3EtiKAD2AD</v>
      </c>
      <c r="AN695" s="81"/>
      <c r="AO695" s="83">
        <v>43738.591631944444</v>
      </c>
      <c r="AP695" s="84" t="str">
        <f>HYPERLINK("https://pbs.twimg.com/profile_banners/1178673799505551362/1632541301")</f>
        <v>https://pbs.twimg.com/profile_banners/1178673799505551362/1632541301</v>
      </c>
      <c r="AQ695" s="81" t="b">
        <v>1</v>
      </c>
      <c r="AR695" s="81" t="b">
        <v>0</v>
      </c>
      <c r="AS695" s="81" t="b">
        <v>1</v>
      </c>
      <c r="AT695" s="81"/>
      <c r="AU695" s="81">
        <v>5</v>
      </c>
      <c r="AV695" s="81"/>
      <c r="AW695" s="81" t="b">
        <v>0</v>
      </c>
      <c r="AX695" s="81" t="s">
        <v>3728</v>
      </c>
      <c r="AY695" s="84" t="str">
        <f>HYPERLINK("https://twitter.com/jeflisboa1")</f>
        <v>https://twitter.com/jeflisboa1</v>
      </c>
      <c r="AZ695" s="81" t="s">
        <v>65</v>
      </c>
      <c r="BA695" s="2"/>
      <c r="BB695" s="3"/>
      <c r="BC695" s="3"/>
      <c r="BD695" s="3"/>
      <c r="BE695" s="3"/>
    </row>
    <row r="696" spans="1:57" x14ac:dyDescent="0.35">
      <c r="A696" s="66" t="s">
        <v>533</v>
      </c>
      <c r="B696" s="67"/>
      <c r="C696" s="67"/>
      <c r="D696" s="68"/>
      <c r="E696" s="94"/>
      <c r="F696" s="93" t="str">
        <f>HYPERLINK("https://pbs.twimg.com/profile_images/1429390876141182976/A7VJh4dT_normal.jpg")</f>
        <v>https://pbs.twimg.com/profile_images/1429390876141182976/A7VJh4dT_normal.jpg</v>
      </c>
      <c r="G696" s="95"/>
      <c r="H696" s="71"/>
      <c r="I696" s="72"/>
      <c r="J696" s="96"/>
      <c r="K696" s="71" t="s">
        <v>4104</v>
      </c>
      <c r="L696" s="97"/>
      <c r="M696" s="76"/>
      <c r="N696" s="76"/>
      <c r="O696" s="77"/>
      <c r="P696" s="78"/>
      <c r="Q696" s="78"/>
      <c r="R696" s="92"/>
      <c r="S696" s="92"/>
      <c r="T696" s="92"/>
      <c r="U696" s="92"/>
      <c r="V696" s="52"/>
      <c r="W696" s="52"/>
      <c r="X696" s="52"/>
      <c r="Y696" s="52"/>
      <c r="Z696" s="51"/>
      <c r="AA696" s="73"/>
      <c r="AB696" s="73"/>
      <c r="AC696" s="74"/>
      <c r="AD696" s="81" t="s">
        <v>2616</v>
      </c>
      <c r="AE696" s="86" t="s">
        <v>2157</v>
      </c>
      <c r="AF696" s="81">
        <v>2</v>
      </c>
      <c r="AG696" s="81">
        <v>357</v>
      </c>
      <c r="AH696" s="81">
        <v>982</v>
      </c>
      <c r="AI696" s="81">
        <v>4</v>
      </c>
      <c r="AJ696" s="81"/>
      <c r="AK696" s="81" t="s">
        <v>3443</v>
      </c>
      <c r="AL696" s="81" t="s">
        <v>3503</v>
      </c>
      <c r="AM696" s="84" t="str">
        <f>HYPERLINK("https://t.co/iDrNPakVZx")</f>
        <v>https://t.co/iDrNPakVZx</v>
      </c>
      <c r="AN696" s="81"/>
      <c r="AO696" s="83">
        <v>44363.469675925924</v>
      </c>
      <c r="AP696" s="84" t="str">
        <f>HYPERLINK("https://pbs.twimg.com/profile_banners/1405122014076047360/1625416111")</f>
        <v>https://pbs.twimg.com/profile_banners/1405122014076047360/1625416111</v>
      </c>
      <c r="AQ696" s="81" t="b">
        <v>1</v>
      </c>
      <c r="AR696" s="81" t="b">
        <v>0</v>
      </c>
      <c r="AS696" s="81" t="b">
        <v>0</v>
      </c>
      <c r="AT696" s="81"/>
      <c r="AU696" s="81">
        <v>0</v>
      </c>
      <c r="AV696" s="81"/>
      <c r="AW696" s="81" t="b">
        <v>0</v>
      </c>
      <c r="AX696" s="81" t="s">
        <v>3728</v>
      </c>
      <c r="AY696" s="84" t="str">
        <f>HYPERLINK("https://twitter.com/samsatdigital")</f>
        <v>https://twitter.com/samsatdigital</v>
      </c>
      <c r="AZ696" s="81" t="s">
        <v>66</v>
      </c>
      <c r="BA696" s="2"/>
      <c r="BB696" s="3"/>
      <c r="BC696" s="3"/>
      <c r="BD696" s="3"/>
      <c r="BE696" s="3"/>
    </row>
    <row r="697" spans="1:57" x14ac:dyDescent="0.35">
      <c r="A697" s="66" t="s">
        <v>443</v>
      </c>
      <c r="B697" s="67"/>
      <c r="C697" s="67"/>
      <c r="D697" s="68"/>
      <c r="E697" s="94"/>
      <c r="F697" s="93" t="str">
        <f>HYPERLINK("https://pbs.twimg.com/profile_images/1438512563944259592/C7b1Mqrq_normal.jpg")</f>
        <v>https://pbs.twimg.com/profile_images/1438512563944259592/C7b1Mqrq_normal.jpg</v>
      </c>
      <c r="G697" s="95"/>
      <c r="H697" s="71"/>
      <c r="I697" s="72"/>
      <c r="J697" s="96"/>
      <c r="K697" s="71" t="s">
        <v>3990</v>
      </c>
      <c r="L697" s="97"/>
      <c r="M697" s="76"/>
      <c r="N697" s="76"/>
      <c r="O697" s="77"/>
      <c r="P697" s="78"/>
      <c r="Q697" s="78"/>
      <c r="R697" s="92"/>
      <c r="S697" s="92"/>
      <c r="T697" s="92"/>
      <c r="U697" s="92"/>
      <c r="V697" s="52"/>
      <c r="W697" s="52"/>
      <c r="X697" s="52"/>
      <c r="Y697" s="52"/>
      <c r="Z697" s="51"/>
      <c r="AA697" s="73"/>
      <c r="AB697" s="73"/>
      <c r="AC697" s="74"/>
      <c r="AD697" s="81" t="s">
        <v>2509</v>
      </c>
      <c r="AE697" s="86" t="s">
        <v>2932</v>
      </c>
      <c r="AF697" s="81">
        <v>577</v>
      </c>
      <c r="AG697" s="81">
        <v>142</v>
      </c>
      <c r="AH697" s="81">
        <v>6376</v>
      </c>
      <c r="AI697" s="81">
        <v>4897</v>
      </c>
      <c r="AJ697" s="81"/>
      <c r="AK697" s="81" t="s">
        <v>3337</v>
      </c>
      <c r="AL697" s="81"/>
      <c r="AM697" s="81"/>
      <c r="AN697" s="81"/>
      <c r="AO697" s="83">
        <v>43494.555636574078</v>
      </c>
      <c r="AP697" s="84" t="str">
        <f>HYPERLINK("https://pbs.twimg.com/profile_banners/1090238157918920705/1631814422")</f>
        <v>https://pbs.twimg.com/profile_banners/1090238157918920705/1631814422</v>
      </c>
      <c r="AQ697" s="81" t="b">
        <v>1</v>
      </c>
      <c r="AR697" s="81" t="b">
        <v>0</v>
      </c>
      <c r="AS697" s="81" t="b">
        <v>0</v>
      </c>
      <c r="AT697" s="81"/>
      <c r="AU697" s="81">
        <v>0</v>
      </c>
      <c r="AV697" s="81"/>
      <c r="AW697" s="81" t="b">
        <v>0</v>
      </c>
      <c r="AX697" s="81" t="s">
        <v>3728</v>
      </c>
      <c r="AY697" s="84" t="str">
        <f>HYPERLINK("https://twitter.com/wintervecember_")</f>
        <v>https://twitter.com/wintervecember_</v>
      </c>
      <c r="AZ697" s="81" t="s">
        <v>66</v>
      </c>
      <c r="BA697" s="2"/>
      <c r="BB697" s="3"/>
      <c r="BC697" s="3"/>
      <c r="BD697" s="3"/>
      <c r="BE697" s="3"/>
    </row>
    <row r="698" spans="1:57" x14ac:dyDescent="0.35">
      <c r="A698" s="66" t="s">
        <v>444</v>
      </c>
      <c r="B698" s="67"/>
      <c r="C698" s="67"/>
      <c r="D698" s="68"/>
      <c r="E698" s="94"/>
      <c r="F698" s="93" t="str">
        <f>HYPERLINK("https://pbs.twimg.com/profile_images/1442727583582277634/LLdINnde_normal.jpg")</f>
        <v>https://pbs.twimg.com/profile_images/1442727583582277634/LLdINnde_normal.jpg</v>
      </c>
      <c r="G698" s="95"/>
      <c r="H698" s="71"/>
      <c r="I698" s="72"/>
      <c r="J698" s="96"/>
      <c r="K698" s="71" t="s">
        <v>3991</v>
      </c>
      <c r="L698" s="97"/>
      <c r="M698" s="76"/>
      <c r="N698" s="76"/>
      <c r="O698" s="77"/>
      <c r="P698" s="78"/>
      <c r="Q698" s="78"/>
      <c r="R698" s="92"/>
      <c r="S698" s="92"/>
      <c r="T698" s="92"/>
      <c r="U698" s="92"/>
      <c r="V698" s="52"/>
      <c r="W698" s="52"/>
      <c r="X698" s="52"/>
      <c r="Y698" s="52"/>
      <c r="Z698" s="51"/>
      <c r="AA698" s="73"/>
      <c r="AB698" s="73"/>
      <c r="AC698" s="74"/>
      <c r="AD698" s="81" t="s">
        <v>8445</v>
      </c>
      <c r="AE698" s="86" t="s">
        <v>2933</v>
      </c>
      <c r="AF698" s="81">
        <v>2383</v>
      </c>
      <c r="AG698" s="81">
        <v>2023</v>
      </c>
      <c r="AH698" s="81">
        <v>34793</v>
      </c>
      <c r="AI698" s="81">
        <v>77067</v>
      </c>
      <c r="AJ698" s="81"/>
      <c r="AK698" s="81" t="s">
        <v>3338</v>
      </c>
      <c r="AL698" s="81" t="s">
        <v>3650</v>
      </c>
      <c r="AM698" s="81"/>
      <c r="AN698" s="81"/>
      <c r="AO698" s="83">
        <v>43556.632071759261</v>
      </c>
      <c r="AP698" s="84" t="str">
        <f>HYPERLINK("https://pbs.twimg.com/profile_banners/1112733905923170310/1632808034")</f>
        <v>https://pbs.twimg.com/profile_banners/1112733905923170310/1632808034</v>
      </c>
      <c r="AQ698" s="81" t="b">
        <v>1</v>
      </c>
      <c r="AR698" s="81" t="b">
        <v>0</v>
      </c>
      <c r="AS698" s="81" t="b">
        <v>1</v>
      </c>
      <c r="AT698" s="81"/>
      <c r="AU698" s="81">
        <v>47</v>
      </c>
      <c r="AV698" s="81"/>
      <c r="AW698" s="81" t="b">
        <v>0</v>
      </c>
      <c r="AX698" s="81" t="s">
        <v>3728</v>
      </c>
      <c r="AY698" s="84" t="str">
        <f>HYPERLINK("https://twitter.com/flowtaekoo")</f>
        <v>https://twitter.com/flowtaekoo</v>
      </c>
      <c r="AZ698" s="81" t="s">
        <v>66</v>
      </c>
      <c r="BA698" s="2"/>
      <c r="BB698" s="3"/>
      <c r="BC698" s="3"/>
      <c r="BD698" s="3"/>
      <c r="BE698" s="3"/>
    </row>
    <row r="699" spans="1:57" x14ac:dyDescent="0.35">
      <c r="A699" s="66" t="s">
        <v>4470</v>
      </c>
      <c r="B699" s="67"/>
      <c r="C699" s="67"/>
      <c r="D699" s="68"/>
      <c r="E699" s="94"/>
      <c r="F699" s="93" t="str">
        <f>HYPERLINK("https://pbs.twimg.com/profile_images/1404617593584074753/4y5k8DZi_normal.jpg")</f>
        <v>https://pbs.twimg.com/profile_images/1404617593584074753/4y5k8DZi_normal.jpg</v>
      </c>
      <c r="G699" s="95"/>
      <c r="H699" s="71"/>
      <c r="I699" s="72"/>
      <c r="J699" s="96"/>
      <c r="K699" s="71" t="s">
        <v>11820</v>
      </c>
      <c r="L699" s="97"/>
      <c r="M699" s="76"/>
      <c r="N699" s="76"/>
      <c r="O699" s="77"/>
      <c r="P699" s="78"/>
      <c r="Q699" s="78"/>
      <c r="R699" s="92"/>
      <c r="S699" s="92"/>
      <c r="T699" s="92"/>
      <c r="U699" s="92"/>
      <c r="V699" s="52"/>
      <c r="W699" s="52"/>
      <c r="X699" s="52"/>
      <c r="Y699" s="52"/>
      <c r="Z699" s="51"/>
      <c r="AA699" s="73"/>
      <c r="AB699" s="73"/>
      <c r="AC699" s="74"/>
      <c r="AD699" s="81" t="s">
        <v>8446</v>
      </c>
      <c r="AE699" s="86" t="s">
        <v>9455</v>
      </c>
      <c r="AF699" s="81">
        <v>509</v>
      </c>
      <c r="AG699" s="81">
        <v>535</v>
      </c>
      <c r="AH699" s="81">
        <v>11092</v>
      </c>
      <c r="AI699" s="81">
        <v>7515</v>
      </c>
      <c r="AJ699" s="81"/>
      <c r="AK699" s="81">
        <v>19</v>
      </c>
      <c r="AL699" s="81"/>
      <c r="AM699" s="81"/>
      <c r="AN699" s="81"/>
      <c r="AO699" s="83">
        <v>42842.778831018521</v>
      </c>
      <c r="AP699" s="84" t="str">
        <f>HYPERLINK("https://pbs.twimg.com/profile_banners/854042154611728387/1632267097")</f>
        <v>https://pbs.twimg.com/profile_banners/854042154611728387/1632267097</v>
      </c>
      <c r="AQ699" s="81" t="b">
        <v>1</v>
      </c>
      <c r="AR699" s="81" t="b">
        <v>0</v>
      </c>
      <c r="AS699" s="81" t="b">
        <v>1</v>
      </c>
      <c r="AT699" s="81"/>
      <c r="AU699" s="81">
        <v>0</v>
      </c>
      <c r="AV699" s="81"/>
      <c r="AW699" s="81" t="b">
        <v>0</v>
      </c>
      <c r="AX699" s="81" t="s">
        <v>3728</v>
      </c>
      <c r="AY699" s="84" t="str">
        <f>HYPERLINK("https://twitter.com/netinho_muller")</f>
        <v>https://twitter.com/netinho_muller</v>
      </c>
      <c r="AZ699" s="81" t="s">
        <v>66</v>
      </c>
      <c r="BA699" s="2"/>
      <c r="BB699" s="3"/>
      <c r="BC699" s="3"/>
      <c r="BD699" s="3"/>
      <c r="BE699" s="3"/>
    </row>
    <row r="700" spans="1:57" x14ac:dyDescent="0.35">
      <c r="A700" s="66" t="s">
        <v>4471</v>
      </c>
      <c r="B700" s="67"/>
      <c r="C700" s="67"/>
      <c r="D700" s="68"/>
      <c r="E700" s="94"/>
      <c r="F700" s="93" t="str">
        <f>HYPERLINK("https://pbs.twimg.com/profile_images/1259904344830418950/JpEx05vp_normal.jpg")</f>
        <v>https://pbs.twimg.com/profile_images/1259904344830418950/JpEx05vp_normal.jpg</v>
      </c>
      <c r="G700" s="95"/>
      <c r="H700" s="71"/>
      <c r="I700" s="72"/>
      <c r="J700" s="96"/>
      <c r="K700" s="71" t="s">
        <v>11821</v>
      </c>
      <c r="L700" s="97"/>
      <c r="M700" s="76"/>
      <c r="N700" s="76"/>
      <c r="O700" s="77"/>
      <c r="P700" s="78"/>
      <c r="Q700" s="78"/>
      <c r="R700" s="92"/>
      <c r="S700" s="92"/>
      <c r="T700" s="92"/>
      <c r="U700" s="92"/>
      <c r="V700" s="52"/>
      <c r="W700" s="52"/>
      <c r="X700" s="52"/>
      <c r="Y700" s="52"/>
      <c r="Z700" s="51"/>
      <c r="AA700" s="73"/>
      <c r="AB700" s="73"/>
      <c r="AC700" s="74"/>
      <c r="AD700" s="81" t="s">
        <v>8447</v>
      </c>
      <c r="AE700" s="86" t="s">
        <v>9456</v>
      </c>
      <c r="AF700" s="81">
        <v>20</v>
      </c>
      <c r="AG700" s="81">
        <v>23</v>
      </c>
      <c r="AH700" s="81">
        <v>933</v>
      </c>
      <c r="AI700" s="81">
        <v>140</v>
      </c>
      <c r="AJ700" s="81"/>
      <c r="AK700" s="81" t="s">
        <v>10406</v>
      </c>
      <c r="AL700" s="81" t="s">
        <v>11144</v>
      </c>
      <c r="AM700" s="81"/>
      <c r="AN700" s="81"/>
      <c r="AO700" s="83">
        <v>43797.302881944444</v>
      </c>
      <c r="AP700" s="84" t="str">
        <f>HYPERLINK("https://pbs.twimg.com/profile_banners/1199950016141504513/1589219699")</f>
        <v>https://pbs.twimg.com/profile_banners/1199950016141504513/1589219699</v>
      </c>
      <c r="AQ700" s="81" t="b">
        <v>1</v>
      </c>
      <c r="AR700" s="81" t="b">
        <v>0</v>
      </c>
      <c r="AS700" s="81" t="b">
        <v>0</v>
      </c>
      <c r="AT700" s="81"/>
      <c r="AU700" s="81">
        <v>0</v>
      </c>
      <c r="AV700" s="81"/>
      <c r="AW700" s="81" t="b">
        <v>0</v>
      </c>
      <c r="AX700" s="81" t="s">
        <v>3728</v>
      </c>
      <c r="AY700" s="84" t="str">
        <f>HYPERLINK("https://twitter.com/lipe_r_s")</f>
        <v>https://twitter.com/lipe_r_s</v>
      </c>
      <c r="AZ700" s="81" t="s">
        <v>66</v>
      </c>
      <c r="BA700" s="2"/>
      <c r="BB700" s="3"/>
      <c r="BC700" s="3"/>
      <c r="BD700" s="3"/>
      <c r="BE700" s="3"/>
    </row>
    <row r="701" spans="1:57" x14ac:dyDescent="0.35">
      <c r="A701" s="66" t="s">
        <v>5087</v>
      </c>
      <c r="B701" s="67"/>
      <c r="C701" s="67"/>
      <c r="D701" s="68"/>
      <c r="E701" s="94"/>
      <c r="F701" s="93" t="str">
        <f>HYPERLINK("https://pbs.twimg.com/profile_images/1430577659256451077/A82M-mQs_normal.jpg")</f>
        <v>https://pbs.twimg.com/profile_images/1430577659256451077/A82M-mQs_normal.jpg</v>
      </c>
      <c r="G701" s="95"/>
      <c r="H701" s="71"/>
      <c r="I701" s="72"/>
      <c r="J701" s="96"/>
      <c r="K701" s="71" t="s">
        <v>11822</v>
      </c>
      <c r="L701" s="97"/>
      <c r="M701" s="76"/>
      <c r="N701" s="76"/>
      <c r="O701" s="77"/>
      <c r="P701" s="78"/>
      <c r="Q701" s="78"/>
      <c r="R701" s="92"/>
      <c r="S701" s="92"/>
      <c r="T701" s="92"/>
      <c r="U701" s="92"/>
      <c r="V701" s="52"/>
      <c r="W701" s="52"/>
      <c r="X701" s="52"/>
      <c r="Y701" s="52"/>
      <c r="Z701" s="51"/>
      <c r="AA701" s="73"/>
      <c r="AB701" s="73"/>
      <c r="AC701" s="74"/>
      <c r="AD701" s="81" t="s">
        <v>8448</v>
      </c>
      <c r="AE701" s="86" t="s">
        <v>9457</v>
      </c>
      <c r="AF701" s="81">
        <v>47</v>
      </c>
      <c r="AG701" s="81">
        <v>40170</v>
      </c>
      <c r="AH701" s="81">
        <v>1744</v>
      </c>
      <c r="AI701" s="81">
        <v>377</v>
      </c>
      <c r="AJ701" s="81"/>
      <c r="AK701" s="81" t="s">
        <v>10407</v>
      </c>
      <c r="AL701" s="81" t="s">
        <v>11145</v>
      </c>
      <c r="AM701" s="84" t="str">
        <f>HYPERLINK("https://t.co/NeaK7ZlVTR")</f>
        <v>https://t.co/NeaK7ZlVTR</v>
      </c>
      <c r="AN701" s="81"/>
      <c r="AO701" s="83">
        <v>43721.859942129631</v>
      </c>
      <c r="AP701" s="84" t="str">
        <f>HYPERLINK("https://pbs.twimg.com/profile_banners/1172610448451166208/1629911270")</f>
        <v>https://pbs.twimg.com/profile_banners/1172610448451166208/1629911270</v>
      </c>
      <c r="AQ701" s="81" t="b">
        <v>1</v>
      </c>
      <c r="AR701" s="81" t="b">
        <v>0</v>
      </c>
      <c r="AS701" s="81" t="b">
        <v>0</v>
      </c>
      <c r="AT701" s="81"/>
      <c r="AU701" s="81">
        <v>48</v>
      </c>
      <c r="AV701" s="81"/>
      <c r="AW701" s="81" t="b">
        <v>1</v>
      </c>
      <c r="AX701" s="81" t="s">
        <v>3728</v>
      </c>
      <c r="AY701" s="84" t="str">
        <f>HYPERLINK("https://twitter.com/runeterrabrasil")</f>
        <v>https://twitter.com/runeterrabrasil</v>
      </c>
      <c r="AZ701" s="81" t="s">
        <v>65</v>
      </c>
      <c r="BA701" s="2"/>
      <c r="BB701" s="3"/>
      <c r="BC701" s="3"/>
      <c r="BD701" s="3"/>
      <c r="BE701" s="3"/>
    </row>
    <row r="702" spans="1:57" x14ac:dyDescent="0.35">
      <c r="A702" s="66" t="s">
        <v>5088</v>
      </c>
      <c r="B702" s="67"/>
      <c r="C702" s="67"/>
      <c r="D702" s="68"/>
      <c r="E702" s="94"/>
      <c r="F702" s="93" t="str">
        <f>HYPERLINK("https://pbs.twimg.com/profile_images/1440864661918949376/68AFW3ZP_normal.jpg")</f>
        <v>https://pbs.twimg.com/profile_images/1440864661918949376/68AFW3ZP_normal.jpg</v>
      </c>
      <c r="G702" s="95"/>
      <c r="H702" s="71"/>
      <c r="I702" s="72"/>
      <c r="J702" s="96"/>
      <c r="K702" s="71" t="s">
        <v>11823</v>
      </c>
      <c r="L702" s="97"/>
      <c r="M702" s="76"/>
      <c r="N702" s="76"/>
      <c r="O702" s="77"/>
      <c r="P702" s="78"/>
      <c r="Q702" s="78"/>
      <c r="R702" s="92"/>
      <c r="S702" s="92"/>
      <c r="T702" s="92"/>
      <c r="U702" s="92"/>
      <c r="V702" s="52"/>
      <c r="W702" s="52"/>
      <c r="X702" s="52"/>
      <c r="Y702" s="52"/>
      <c r="Z702" s="51"/>
      <c r="AA702" s="73"/>
      <c r="AB702" s="73"/>
      <c r="AC702" s="74"/>
      <c r="AD702" s="81" t="s">
        <v>8449</v>
      </c>
      <c r="AE702" s="86" t="s">
        <v>7861</v>
      </c>
      <c r="AF702" s="81">
        <v>201</v>
      </c>
      <c r="AG702" s="81">
        <v>34</v>
      </c>
      <c r="AH702" s="81">
        <v>19911</v>
      </c>
      <c r="AI702" s="81">
        <v>89363</v>
      </c>
      <c r="AJ702" s="81"/>
      <c r="AK702" s="81" t="s">
        <v>10408</v>
      </c>
      <c r="AL702" s="81" t="s">
        <v>11146</v>
      </c>
      <c r="AM702" s="84" t="str">
        <f>HYPERLINK("https://t.co/CvNnLsLhyt")</f>
        <v>https://t.co/CvNnLsLhyt</v>
      </c>
      <c r="AN702" s="81"/>
      <c r="AO702" s="83">
        <v>43371.520243055558</v>
      </c>
      <c r="AP702" s="84" t="str">
        <f>HYPERLINK("https://pbs.twimg.com/profile_banners/1045651626638397440/1617552371")</f>
        <v>https://pbs.twimg.com/profile_banners/1045651626638397440/1617552371</v>
      </c>
      <c r="AQ702" s="81" t="b">
        <v>1</v>
      </c>
      <c r="AR702" s="81" t="b">
        <v>0</v>
      </c>
      <c r="AS702" s="81" t="b">
        <v>1</v>
      </c>
      <c r="AT702" s="81"/>
      <c r="AU702" s="81">
        <v>1</v>
      </c>
      <c r="AV702" s="81"/>
      <c r="AW702" s="81" t="b">
        <v>0</v>
      </c>
      <c r="AX702" s="81" t="s">
        <v>3728</v>
      </c>
      <c r="AY702" s="84" t="str">
        <f>HYPERLINK("https://twitter.com/4777boy")</f>
        <v>https://twitter.com/4777boy</v>
      </c>
      <c r="AZ702" s="81" t="s">
        <v>65</v>
      </c>
      <c r="BA702" s="2"/>
      <c r="BB702" s="3"/>
      <c r="BC702" s="3"/>
      <c r="BD702" s="3"/>
      <c r="BE702" s="3"/>
    </row>
    <row r="703" spans="1:57" x14ac:dyDescent="0.35">
      <c r="A703" s="66" t="s">
        <v>4472</v>
      </c>
      <c r="B703" s="67"/>
      <c r="C703" s="67"/>
      <c r="D703" s="68"/>
      <c r="E703" s="94"/>
      <c r="F703" s="93" t="str">
        <f>HYPERLINK("https://pbs.twimg.com/profile_images/1285289765798125570/byEf-jr3_normal.jpg")</f>
        <v>https://pbs.twimg.com/profile_images/1285289765798125570/byEf-jr3_normal.jpg</v>
      </c>
      <c r="G703" s="95"/>
      <c r="H703" s="71"/>
      <c r="I703" s="72"/>
      <c r="J703" s="96"/>
      <c r="K703" s="71" t="s">
        <v>11824</v>
      </c>
      <c r="L703" s="97"/>
      <c r="M703" s="76"/>
      <c r="N703" s="76"/>
      <c r="O703" s="77"/>
      <c r="P703" s="78"/>
      <c r="Q703" s="78"/>
      <c r="R703" s="92"/>
      <c r="S703" s="92"/>
      <c r="T703" s="92"/>
      <c r="U703" s="92"/>
      <c r="V703" s="52"/>
      <c r="W703" s="52"/>
      <c r="X703" s="52"/>
      <c r="Y703" s="52"/>
      <c r="Z703" s="51"/>
      <c r="AA703" s="73"/>
      <c r="AB703" s="73"/>
      <c r="AC703" s="74"/>
      <c r="AD703" s="81" t="s">
        <v>8450</v>
      </c>
      <c r="AE703" s="86" t="s">
        <v>9458</v>
      </c>
      <c r="AF703" s="81">
        <v>732</v>
      </c>
      <c r="AG703" s="81">
        <v>205</v>
      </c>
      <c r="AH703" s="81">
        <v>1333</v>
      </c>
      <c r="AI703" s="81">
        <v>1931</v>
      </c>
      <c r="AJ703" s="81"/>
      <c r="AK703" s="81" t="s">
        <v>10409</v>
      </c>
      <c r="AL703" s="81" t="s">
        <v>2242</v>
      </c>
      <c r="AM703" s="81"/>
      <c r="AN703" s="81"/>
      <c r="AO703" s="83">
        <v>42076.74355324074</v>
      </c>
      <c r="AP703" s="84" t="str">
        <f>HYPERLINK("https://pbs.twimg.com/profile_banners/3077577842/1546738683")</f>
        <v>https://pbs.twimg.com/profile_banners/3077577842/1546738683</v>
      </c>
      <c r="AQ703" s="81" t="b">
        <v>1</v>
      </c>
      <c r="AR703" s="81" t="b">
        <v>0</v>
      </c>
      <c r="AS703" s="81" t="b">
        <v>0</v>
      </c>
      <c r="AT703" s="81"/>
      <c r="AU703" s="81">
        <v>0</v>
      </c>
      <c r="AV703" s="84" t="str">
        <f>HYPERLINK("https://abs.twimg.com/images/themes/theme1/bg.png")</f>
        <v>https://abs.twimg.com/images/themes/theme1/bg.png</v>
      </c>
      <c r="AW703" s="81" t="b">
        <v>0</v>
      </c>
      <c r="AX703" s="81" t="s">
        <v>3728</v>
      </c>
      <c r="AY703" s="84" t="str">
        <f>HYPERLINK("https://twitter.com/jccbrandao29")</f>
        <v>https://twitter.com/jccbrandao29</v>
      </c>
      <c r="AZ703" s="81" t="s">
        <v>66</v>
      </c>
      <c r="BA703" s="2"/>
      <c r="BB703" s="3"/>
      <c r="BC703" s="3"/>
      <c r="BD703" s="3"/>
      <c r="BE703" s="3"/>
    </row>
    <row r="704" spans="1:57" x14ac:dyDescent="0.35">
      <c r="A704" s="66" t="s">
        <v>4473</v>
      </c>
      <c r="B704" s="67"/>
      <c r="C704" s="67"/>
      <c r="D704" s="68"/>
      <c r="E704" s="94"/>
      <c r="F704" s="93" t="str">
        <f>HYPERLINK("https://pbs.twimg.com/profile_images/1431787982445596676/GhNx01Ec_normal.jpg")</f>
        <v>https://pbs.twimg.com/profile_images/1431787982445596676/GhNx01Ec_normal.jpg</v>
      </c>
      <c r="G704" s="95"/>
      <c r="H704" s="71"/>
      <c r="I704" s="72"/>
      <c r="J704" s="96"/>
      <c r="K704" s="71" t="s">
        <v>11825</v>
      </c>
      <c r="L704" s="97"/>
      <c r="M704" s="76"/>
      <c r="N704" s="76"/>
      <c r="O704" s="77"/>
      <c r="P704" s="78"/>
      <c r="Q704" s="78"/>
      <c r="R704" s="92"/>
      <c r="S704" s="92"/>
      <c r="T704" s="92"/>
      <c r="U704" s="92"/>
      <c r="V704" s="52"/>
      <c r="W704" s="52"/>
      <c r="X704" s="52"/>
      <c r="Y704" s="52"/>
      <c r="Z704" s="51"/>
      <c r="AA704" s="73"/>
      <c r="AB704" s="73"/>
      <c r="AC704" s="74"/>
      <c r="AD704" s="81" t="s">
        <v>8451</v>
      </c>
      <c r="AE704" s="86" t="s">
        <v>9459</v>
      </c>
      <c r="AF704" s="81">
        <v>906</v>
      </c>
      <c r="AG704" s="81">
        <v>194</v>
      </c>
      <c r="AH704" s="81">
        <v>16153</v>
      </c>
      <c r="AI704" s="81">
        <v>15710</v>
      </c>
      <c r="AJ704" s="81"/>
      <c r="AK704" s="81" t="s">
        <v>10410</v>
      </c>
      <c r="AL704" s="81" t="s">
        <v>11147</v>
      </c>
      <c r="AM704" s="81"/>
      <c r="AN704" s="81"/>
      <c r="AO704" s="83">
        <v>43841.911574074074</v>
      </c>
      <c r="AP704" s="84" t="str">
        <f>HYPERLINK("https://pbs.twimg.com/profile_banners/1216115695118888965/1631559725")</f>
        <v>https://pbs.twimg.com/profile_banners/1216115695118888965/1631559725</v>
      </c>
      <c r="AQ704" s="81" t="b">
        <v>1</v>
      </c>
      <c r="AR704" s="81" t="b">
        <v>0</v>
      </c>
      <c r="AS704" s="81" t="b">
        <v>0</v>
      </c>
      <c r="AT704" s="81"/>
      <c r="AU704" s="81">
        <v>0</v>
      </c>
      <c r="AV704" s="81"/>
      <c r="AW704" s="81" t="b">
        <v>0</v>
      </c>
      <c r="AX704" s="81" t="s">
        <v>3728</v>
      </c>
      <c r="AY704" s="84" t="str">
        <f>HYPERLINK("https://twitter.com/gabrielfergomes")</f>
        <v>https://twitter.com/gabrielfergomes</v>
      </c>
      <c r="AZ704" s="81" t="s">
        <v>66</v>
      </c>
      <c r="BA704" s="2"/>
      <c r="BB704" s="3"/>
      <c r="BC704" s="3"/>
      <c r="BD704" s="3"/>
      <c r="BE704" s="3"/>
    </row>
    <row r="705" spans="1:57" x14ac:dyDescent="0.35">
      <c r="A705" s="66" t="s">
        <v>445</v>
      </c>
      <c r="B705" s="67"/>
      <c r="C705" s="67"/>
      <c r="D705" s="68"/>
      <c r="E705" s="94"/>
      <c r="F705" s="93" t="str">
        <f>HYPERLINK("https://pbs.twimg.com/profile_images/1440597323290005508/YvjPI6jC_normal.jpg")</f>
        <v>https://pbs.twimg.com/profile_images/1440597323290005508/YvjPI6jC_normal.jpg</v>
      </c>
      <c r="G705" s="95"/>
      <c r="H705" s="71"/>
      <c r="I705" s="72"/>
      <c r="J705" s="96"/>
      <c r="K705" s="71" t="s">
        <v>3992</v>
      </c>
      <c r="L705" s="97"/>
      <c r="M705" s="76"/>
      <c r="N705" s="76"/>
      <c r="O705" s="77"/>
      <c r="P705" s="78"/>
      <c r="Q705" s="78"/>
      <c r="R705" s="92"/>
      <c r="S705" s="92"/>
      <c r="T705" s="92"/>
      <c r="U705" s="92"/>
      <c r="V705" s="52"/>
      <c r="W705" s="52"/>
      <c r="X705" s="52"/>
      <c r="Y705" s="52"/>
      <c r="Z705" s="51"/>
      <c r="AA705" s="73"/>
      <c r="AB705" s="73"/>
      <c r="AC705" s="74"/>
      <c r="AD705" s="81" t="s">
        <v>2510</v>
      </c>
      <c r="AE705" s="86" t="s">
        <v>2934</v>
      </c>
      <c r="AF705" s="81">
        <v>656</v>
      </c>
      <c r="AG705" s="81">
        <v>308</v>
      </c>
      <c r="AH705" s="81">
        <v>15304</v>
      </c>
      <c r="AI705" s="81">
        <v>22309</v>
      </c>
      <c r="AJ705" s="81"/>
      <c r="AK705" s="81"/>
      <c r="AL705" s="81" t="s">
        <v>3509</v>
      </c>
      <c r="AM705" s="81"/>
      <c r="AN705" s="81"/>
      <c r="AO705" s="83">
        <v>44147.038541666669</v>
      </c>
      <c r="AP705" s="84" t="str">
        <f>HYPERLINK("https://pbs.twimg.com/profile_banners/1326689976013234179/1629266849")</f>
        <v>https://pbs.twimg.com/profile_banners/1326689976013234179/1629266849</v>
      </c>
      <c r="AQ705" s="81" t="b">
        <v>1</v>
      </c>
      <c r="AR705" s="81" t="b">
        <v>0</v>
      </c>
      <c r="AS705" s="81" t="b">
        <v>0</v>
      </c>
      <c r="AT705" s="81"/>
      <c r="AU705" s="81">
        <v>1</v>
      </c>
      <c r="AV705" s="81"/>
      <c r="AW705" s="81" t="b">
        <v>0</v>
      </c>
      <c r="AX705" s="81" t="s">
        <v>3728</v>
      </c>
      <c r="AY705" s="84" t="str">
        <f>HYPERLINK("https://twitter.com/lauvkia")</f>
        <v>https://twitter.com/lauvkia</v>
      </c>
      <c r="AZ705" s="81" t="s">
        <v>66</v>
      </c>
      <c r="BA705" s="2"/>
      <c r="BB705" s="3"/>
      <c r="BC705" s="3"/>
      <c r="BD705" s="3"/>
      <c r="BE705" s="3"/>
    </row>
    <row r="706" spans="1:57" x14ac:dyDescent="0.35">
      <c r="A706" s="66" t="s">
        <v>446</v>
      </c>
      <c r="B706" s="67"/>
      <c r="C706" s="67"/>
      <c r="D706" s="68"/>
      <c r="E706" s="94"/>
      <c r="F706" s="93" t="str">
        <f>HYPERLINK("https://pbs.twimg.com/profile_images/1440244607577571331/3INHdfAa_normal.jpg")</f>
        <v>https://pbs.twimg.com/profile_images/1440244607577571331/3INHdfAa_normal.jpg</v>
      </c>
      <c r="G706" s="95"/>
      <c r="H706" s="71"/>
      <c r="I706" s="72"/>
      <c r="J706" s="96"/>
      <c r="K706" s="71" t="s">
        <v>3993</v>
      </c>
      <c r="L706" s="97"/>
      <c r="M706" s="76"/>
      <c r="N706" s="76"/>
      <c r="O706" s="77"/>
      <c r="P706" s="78"/>
      <c r="Q706" s="78"/>
      <c r="R706" s="92"/>
      <c r="S706" s="92"/>
      <c r="T706" s="92"/>
      <c r="U706" s="92"/>
      <c r="V706" s="52"/>
      <c r="W706" s="52"/>
      <c r="X706" s="52"/>
      <c r="Y706" s="52"/>
      <c r="Z706" s="51"/>
      <c r="AA706" s="73"/>
      <c r="AB706" s="73"/>
      <c r="AC706" s="74"/>
      <c r="AD706" s="81" t="s">
        <v>2511</v>
      </c>
      <c r="AE706" s="86" t="s">
        <v>2935</v>
      </c>
      <c r="AF706" s="81">
        <v>294</v>
      </c>
      <c r="AG706" s="81">
        <v>291</v>
      </c>
      <c r="AH706" s="81">
        <v>13711</v>
      </c>
      <c r="AI706" s="81">
        <v>28940</v>
      </c>
      <c r="AJ706" s="81"/>
      <c r="AK706" s="81" t="s">
        <v>3339</v>
      </c>
      <c r="AL706" s="81" t="s">
        <v>3514</v>
      </c>
      <c r="AM706" s="81"/>
      <c r="AN706" s="81"/>
      <c r="AO706" s="83">
        <v>42391.399618055555</v>
      </c>
      <c r="AP706" s="84" t="str">
        <f>HYPERLINK("https://pbs.twimg.com/profile_banners/4834650669/1630746131")</f>
        <v>https://pbs.twimg.com/profile_banners/4834650669/1630746131</v>
      </c>
      <c r="AQ706" s="81" t="b">
        <v>1</v>
      </c>
      <c r="AR706" s="81" t="b">
        <v>0</v>
      </c>
      <c r="AS706" s="81" t="b">
        <v>1</v>
      </c>
      <c r="AT706" s="81"/>
      <c r="AU706" s="81">
        <v>1</v>
      </c>
      <c r="AV706" s="81"/>
      <c r="AW706" s="81" t="b">
        <v>0</v>
      </c>
      <c r="AX706" s="81" t="s">
        <v>3728</v>
      </c>
      <c r="AY706" s="84" t="str">
        <f>HYPERLINK("https://twitter.com/syazzyjinbts")</f>
        <v>https://twitter.com/syazzyjinbts</v>
      </c>
      <c r="AZ706" s="81" t="s">
        <v>66</v>
      </c>
      <c r="BA706" s="2"/>
      <c r="BB706" s="3"/>
      <c r="BC706" s="3"/>
      <c r="BD706" s="3"/>
      <c r="BE706" s="3"/>
    </row>
    <row r="707" spans="1:57" x14ac:dyDescent="0.35">
      <c r="A707" s="66" t="s">
        <v>656</v>
      </c>
      <c r="B707" s="67"/>
      <c r="C707" s="67"/>
      <c r="D707" s="68"/>
      <c r="E707" s="94"/>
      <c r="F707" s="93" t="str">
        <f>HYPERLINK("https://pbs.twimg.com/profile_images/1439190659106164741/h7NCyRGg_normal.jpg")</f>
        <v>https://pbs.twimg.com/profile_images/1439190659106164741/h7NCyRGg_normal.jpg</v>
      </c>
      <c r="G707" s="95"/>
      <c r="H707" s="71"/>
      <c r="I707" s="72"/>
      <c r="J707" s="96"/>
      <c r="K707" s="71" t="s">
        <v>3994</v>
      </c>
      <c r="L707" s="97"/>
      <c r="M707" s="76"/>
      <c r="N707" s="76"/>
      <c r="O707" s="77"/>
      <c r="P707" s="78"/>
      <c r="Q707" s="78"/>
      <c r="R707" s="92"/>
      <c r="S707" s="92"/>
      <c r="T707" s="92"/>
      <c r="U707" s="92"/>
      <c r="V707" s="52"/>
      <c r="W707" s="52"/>
      <c r="X707" s="52"/>
      <c r="Y707" s="52"/>
      <c r="Z707" s="51"/>
      <c r="AA707" s="73"/>
      <c r="AB707" s="73"/>
      <c r="AC707" s="74"/>
      <c r="AD707" s="81" t="s">
        <v>2512</v>
      </c>
      <c r="AE707" s="86" t="s">
        <v>2122</v>
      </c>
      <c r="AF707" s="81">
        <v>1003</v>
      </c>
      <c r="AG707" s="81">
        <v>386</v>
      </c>
      <c r="AH707" s="81">
        <v>55183</v>
      </c>
      <c r="AI707" s="81">
        <v>158866</v>
      </c>
      <c r="AJ707" s="81"/>
      <c r="AK707" s="81" t="s">
        <v>3340</v>
      </c>
      <c r="AL707" s="81" t="s">
        <v>3651</v>
      </c>
      <c r="AM707" s="84" t="str">
        <f>HYPERLINK("https://t.co/Nwyru2kZFV")</f>
        <v>https://t.co/Nwyru2kZFV</v>
      </c>
      <c r="AN707" s="81"/>
      <c r="AO707" s="83">
        <v>43510.212407407409</v>
      </c>
      <c r="AP707" s="84" t="str">
        <f>HYPERLINK("https://pbs.twimg.com/profile_banners/1095911980936790016/1631506207")</f>
        <v>https://pbs.twimg.com/profile_banners/1095911980936790016/1631506207</v>
      </c>
      <c r="AQ707" s="81" t="b">
        <v>1</v>
      </c>
      <c r="AR707" s="81" t="b">
        <v>0</v>
      </c>
      <c r="AS707" s="81" t="b">
        <v>1</v>
      </c>
      <c r="AT707" s="81"/>
      <c r="AU707" s="81">
        <v>2</v>
      </c>
      <c r="AV707" s="81"/>
      <c r="AW707" s="81" t="b">
        <v>0</v>
      </c>
      <c r="AX707" s="81" t="s">
        <v>3728</v>
      </c>
      <c r="AY707" s="84" t="str">
        <f>HYPERLINK("https://twitter.com/doeeyeskook")</f>
        <v>https://twitter.com/doeeyeskook</v>
      </c>
      <c r="AZ707" s="81" t="s">
        <v>65</v>
      </c>
      <c r="BA707" s="2"/>
      <c r="BB707" s="3"/>
      <c r="BC707" s="3"/>
      <c r="BD707" s="3"/>
      <c r="BE707" s="3"/>
    </row>
    <row r="708" spans="1:57" x14ac:dyDescent="0.35">
      <c r="A708" s="66" t="s">
        <v>447</v>
      </c>
      <c r="B708" s="67"/>
      <c r="C708" s="67"/>
      <c r="D708" s="68"/>
      <c r="E708" s="94"/>
      <c r="F708" s="93" t="str">
        <f>HYPERLINK("https://pbs.twimg.com/profile_images/1438559535870799874/5fyDM1sc_normal.jpg")</f>
        <v>https://pbs.twimg.com/profile_images/1438559535870799874/5fyDM1sc_normal.jpg</v>
      </c>
      <c r="G708" s="95"/>
      <c r="H708" s="71"/>
      <c r="I708" s="72"/>
      <c r="J708" s="96"/>
      <c r="K708" s="71" t="s">
        <v>3995</v>
      </c>
      <c r="L708" s="97"/>
      <c r="M708" s="76"/>
      <c r="N708" s="76"/>
      <c r="O708" s="77"/>
      <c r="P708" s="78"/>
      <c r="Q708" s="78"/>
      <c r="R708" s="92"/>
      <c r="S708" s="92"/>
      <c r="T708" s="92"/>
      <c r="U708" s="92"/>
      <c r="V708" s="52"/>
      <c r="W708" s="52"/>
      <c r="X708" s="52"/>
      <c r="Y708" s="52"/>
      <c r="Z708" s="51"/>
      <c r="AA708" s="73"/>
      <c r="AB708" s="73"/>
      <c r="AC708" s="74"/>
      <c r="AD708" s="81" t="s">
        <v>2513</v>
      </c>
      <c r="AE708" s="86" t="s">
        <v>2936</v>
      </c>
      <c r="AF708" s="81">
        <v>1055</v>
      </c>
      <c r="AG708" s="81">
        <v>186</v>
      </c>
      <c r="AH708" s="81">
        <v>17365</v>
      </c>
      <c r="AI708" s="81">
        <v>28957</v>
      </c>
      <c r="AJ708" s="81"/>
      <c r="AK708" s="81" t="s">
        <v>3341</v>
      </c>
      <c r="AL708" s="81" t="s">
        <v>3509</v>
      </c>
      <c r="AM708" s="84" t="str">
        <f>HYPERLINK("https://t.co/8wgd6eWiJ5")</f>
        <v>https://t.co/8wgd6eWiJ5</v>
      </c>
      <c r="AN708" s="81"/>
      <c r="AO708" s="83">
        <v>43987.204583333332</v>
      </c>
      <c r="AP708" s="84" t="str">
        <f>HYPERLINK("https://pbs.twimg.com/profile_banners/1268768058572591105/1631316953")</f>
        <v>https://pbs.twimg.com/profile_banners/1268768058572591105/1631316953</v>
      </c>
      <c r="AQ708" s="81" t="b">
        <v>1</v>
      </c>
      <c r="AR708" s="81" t="b">
        <v>0</v>
      </c>
      <c r="AS708" s="81" t="b">
        <v>0</v>
      </c>
      <c r="AT708" s="81"/>
      <c r="AU708" s="81">
        <v>0</v>
      </c>
      <c r="AV708" s="81"/>
      <c r="AW708" s="81" t="b">
        <v>0</v>
      </c>
      <c r="AX708" s="81" t="s">
        <v>3728</v>
      </c>
      <c r="AY708" s="84" t="str">
        <f>HYPERLINK("https://twitter.com/blkhairtannies")</f>
        <v>https://twitter.com/blkhairtannies</v>
      </c>
      <c r="AZ708" s="81" t="s">
        <v>66</v>
      </c>
      <c r="BA708" s="2"/>
      <c r="BB708" s="3"/>
      <c r="BC708" s="3"/>
      <c r="BD708" s="3"/>
      <c r="BE708" s="3"/>
    </row>
    <row r="709" spans="1:57" x14ac:dyDescent="0.35">
      <c r="A709" s="66" t="s">
        <v>448</v>
      </c>
      <c r="B709" s="67"/>
      <c r="C709" s="67"/>
      <c r="D709" s="68"/>
      <c r="E709" s="94"/>
      <c r="F709" s="93" t="str">
        <f>HYPERLINK("https://pbs.twimg.com/profile_images/1442376378393845761/s9TxVrBO_normal.jpg")</f>
        <v>https://pbs.twimg.com/profile_images/1442376378393845761/s9TxVrBO_normal.jpg</v>
      </c>
      <c r="G709" s="95"/>
      <c r="H709" s="71"/>
      <c r="I709" s="72"/>
      <c r="J709" s="96"/>
      <c r="K709" s="71" t="s">
        <v>3996</v>
      </c>
      <c r="L709" s="97"/>
      <c r="M709" s="76"/>
      <c r="N709" s="76"/>
      <c r="O709" s="77"/>
      <c r="P709" s="78"/>
      <c r="Q709" s="78"/>
      <c r="R709" s="92"/>
      <c r="S709" s="92"/>
      <c r="T709" s="92"/>
      <c r="U709" s="92"/>
      <c r="V709" s="52"/>
      <c r="W709" s="52"/>
      <c r="X709" s="52"/>
      <c r="Y709" s="52"/>
      <c r="Z709" s="51"/>
      <c r="AA709" s="73"/>
      <c r="AB709" s="73"/>
      <c r="AC709" s="74"/>
      <c r="AD709" s="81" t="s">
        <v>2514</v>
      </c>
      <c r="AE709" s="86" t="s">
        <v>2937</v>
      </c>
      <c r="AF709" s="81">
        <v>1208</v>
      </c>
      <c r="AG709" s="81">
        <v>805</v>
      </c>
      <c r="AH709" s="81">
        <v>11060</v>
      </c>
      <c r="AI709" s="81">
        <v>23650</v>
      </c>
      <c r="AJ709" s="81"/>
      <c r="AK709" s="81" t="s">
        <v>3342</v>
      </c>
      <c r="AL709" s="81" t="s">
        <v>3652</v>
      </c>
      <c r="AM709" s="81"/>
      <c r="AN709" s="81"/>
      <c r="AO709" s="83">
        <v>43168.113935185182</v>
      </c>
      <c r="AP709" s="84" t="str">
        <f>HYPERLINK("https://pbs.twimg.com/profile_banners/971939648166506497/1632186844")</f>
        <v>https://pbs.twimg.com/profile_banners/971939648166506497/1632186844</v>
      </c>
      <c r="AQ709" s="81" t="b">
        <v>1</v>
      </c>
      <c r="AR709" s="81" t="b">
        <v>0</v>
      </c>
      <c r="AS709" s="81" t="b">
        <v>1</v>
      </c>
      <c r="AT709" s="81"/>
      <c r="AU709" s="81">
        <v>7</v>
      </c>
      <c r="AV709" s="81"/>
      <c r="AW709" s="81" t="b">
        <v>0</v>
      </c>
      <c r="AX709" s="81" t="s">
        <v>3728</v>
      </c>
      <c r="AY709" s="84" t="str">
        <f>HYPERLINK("https://twitter.com/jeonbunnyqis")</f>
        <v>https://twitter.com/jeonbunnyqis</v>
      </c>
      <c r="AZ709" s="81" t="s">
        <v>66</v>
      </c>
      <c r="BA709" s="2"/>
      <c r="BB709" s="3"/>
      <c r="BC709" s="3"/>
      <c r="BD709" s="3"/>
      <c r="BE709" s="3"/>
    </row>
    <row r="710" spans="1:57" x14ac:dyDescent="0.35">
      <c r="A710" s="66" t="s">
        <v>449</v>
      </c>
      <c r="B710" s="67"/>
      <c r="C710" s="67"/>
      <c r="D710" s="68"/>
      <c r="E710" s="94"/>
      <c r="F710" s="93" t="str">
        <f>HYPERLINK("https://pbs.twimg.com/profile_images/1433612503850754049/08DnTwCa_normal.jpg")</f>
        <v>https://pbs.twimg.com/profile_images/1433612503850754049/08DnTwCa_normal.jpg</v>
      </c>
      <c r="G710" s="95"/>
      <c r="H710" s="71"/>
      <c r="I710" s="72"/>
      <c r="J710" s="96"/>
      <c r="K710" s="71" t="s">
        <v>3997</v>
      </c>
      <c r="L710" s="97"/>
      <c r="M710" s="76"/>
      <c r="N710" s="76"/>
      <c r="O710" s="77"/>
      <c r="P710" s="78"/>
      <c r="Q710" s="78"/>
      <c r="R710" s="92"/>
      <c r="S710" s="92"/>
      <c r="T710" s="92"/>
      <c r="U710" s="92"/>
      <c r="V710" s="52"/>
      <c r="W710" s="52"/>
      <c r="X710" s="52"/>
      <c r="Y710" s="52"/>
      <c r="Z710" s="51"/>
      <c r="AA710" s="73"/>
      <c r="AB710" s="73"/>
      <c r="AC710" s="74"/>
      <c r="AD710" s="81" t="s">
        <v>2515</v>
      </c>
      <c r="AE710" s="86" t="s">
        <v>2938</v>
      </c>
      <c r="AF710" s="81">
        <v>1113</v>
      </c>
      <c r="AG710" s="81">
        <v>1216</v>
      </c>
      <c r="AH710" s="81">
        <v>37706</v>
      </c>
      <c r="AI710" s="81">
        <v>135562</v>
      </c>
      <c r="AJ710" s="81"/>
      <c r="AK710" s="81" t="s">
        <v>3343</v>
      </c>
      <c r="AL710" s="81" t="s">
        <v>3601</v>
      </c>
      <c r="AM710" s="84" t="str">
        <f>HYPERLINK("https://t.co/skzsITHfy1")</f>
        <v>https://t.co/skzsITHfy1</v>
      </c>
      <c r="AN710" s="81"/>
      <c r="AO710" s="83">
        <v>41074.536354166667</v>
      </c>
      <c r="AP710" s="84" t="str">
        <f>HYPERLINK("https://pbs.twimg.com/profile_banners/608197563/1630634864")</f>
        <v>https://pbs.twimg.com/profile_banners/608197563/1630634864</v>
      </c>
      <c r="AQ710" s="81" t="b">
        <v>0</v>
      </c>
      <c r="AR710" s="81" t="b">
        <v>0</v>
      </c>
      <c r="AS710" s="81" t="b">
        <v>1</v>
      </c>
      <c r="AT710" s="81"/>
      <c r="AU710" s="81">
        <v>13</v>
      </c>
      <c r="AV710" s="84" t="str">
        <f>HYPERLINK("https://abs.twimg.com/images/themes/theme5/bg.gif")</f>
        <v>https://abs.twimg.com/images/themes/theme5/bg.gif</v>
      </c>
      <c r="AW710" s="81" t="b">
        <v>0</v>
      </c>
      <c r="AX710" s="81" t="s">
        <v>3728</v>
      </c>
      <c r="AY710" s="84" t="str">
        <f>HYPERLINK("https://twitter.com/busannfairies")</f>
        <v>https://twitter.com/busannfairies</v>
      </c>
      <c r="AZ710" s="81" t="s">
        <v>66</v>
      </c>
      <c r="BA710" s="2"/>
      <c r="BB710" s="3"/>
      <c r="BC710" s="3"/>
      <c r="BD710" s="3"/>
      <c r="BE710" s="3"/>
    </row>
    <row r="711" spans="1:57" x14ac:dyDescent="0.35">
      <c r="A711" s="66" t="s">
        <v>450</v>
      </c>
      <c r="B711" s="67"/>
      <c r="C711" s="67"/>
      <c r="D711" s="68"/>
      <c r="E711" s="94"/>
      <c r="F711" s="93" t="str">
        <f>HYPERLINK("https://pbs.twimg.com/profile_images/1441413720916123653/2yuW-xCb_normal.jpg")</f>
        <v>https://pbs.twimg.com/profile_images/1441413720916123653/2yuW-xCb_normal.jpg</v>
      </c>
      <c r="G711" s="95"/>
      <c r="H711" s="71"/>
      <c r="I711" s="72"/>
      <c r="J711" s="96"/>
      <c r="K711" s="71" t="s">
        <v>3998</v>
      </c>
      <c r="L711" s="97"/>
      <c r="M711" s="76"/>
      <c r="N711" s="76"/>
      <c r="O711" s="77"/>
      <c r="P711" s="78"/>
      <c r="Q711" s="78"/>
      <c r="R711" s="92"/>
      <c r="S711" s="92"/>
      <c r="T711" s="92"/>
      <c r="U711" s="92"/>
      <c r="V711" s="52"/>
      <c r="W711" s="52"/>
      <c r="X711" s="52"/>
      <c r="Y711" s="52"/>
      <c r="Z711" s="51"/>
      <c r="AA711" s="73"/>
      <c r="AB711" s="73"/>
      <c r="AC711" s="74"/>
      <c r="AD711" s="81" t="s">
        <v>13478</v>
      </c>
      <c r="AE711" s="86" t="s">
        <v>2939</v>
      </c>
      <c r="AF711" s="81">
        <v>549</v>
      </c>
      <c r="AG711" s="81">
        <v>567</v>
      </c>
      <c r="AH711" s="81">
        <v>20390</v>
      </c>
      <c r="AI711" s="81">
        <v>282</v>
      </c>
      <c r="AJ711" s="81"/>
      <c r="AK711" s="81" t="s">
        <v>3344</v>
      </c>
      <c r="AL711" s="81" t="s">
        <v>3653</v>
      </c>
      <c r="AM711" s="81"/>
      <c r="AN711" s="81"/>
      <c r="AO711" s="83">
        <v>44252.515474537038</v>
      </c>
      <c r="AP711" s="84" t="str">
        <f>HYPERLINK("https://pbs.twimg.com/profile_banners/1364913583117664258/1632494785")</f>
        <v>https://pbs.twimg.com/profile_banners/1364913583117664258/1632494785</v>
      </c>
      <c r="AQ711" s="81" t="b">
        <v>1</v>
      </c>
      <c r="AR711" s="81" t="b">
        <v>0</v>
      </c>
      <c r="AS711" s="81" t="b">
        <v>0</v>
      </c>
      <c r="AT711" s="81"/>
      <c r="AU711" s="81">
        <v>7</v>
      </c>
      <c r="AV711" s="81"/>
      <c r="AW711" s="81" t="b">
        <v>0</v>
      </c>
      <c r="AX711" s="81" t="s">
        <v>3728</v>
      </c>
      <c r="AY711" s="84" t="str">
        <f>HYPERLINK("https://twitter.com/ho6ism")</f>
        <v>https://twitter.com/ho6ism</v>
      </c>
      <c r="AZ711" s="81" t="s">
        <v>66</v>
      </c>
      <c r="BA711" s="2"/>
      <c r="BB711" s="3"/>
      <c r="BC711" s="3"/>
      <c r="BD711" s="3"/>
      <c r="BE711" s="3"/>
    </row>
    <row r="712" spans="1:57" x14ac:dyDescent="0.35">
      <c r="A712" s="66" t="s">
        <v>451</v>
      </c>
      <c r="B712" s="67"/>
      <c r="C712" s="67"/>
      <c r="D712" s="68"/>
      <c r="E712" s="94"/>
      <c r="F712" s="93" t="str">
        <f>HYPERLINK("https://pbs.twimg.com/profile_images/1436423756293939200/gV9h1YMC_normal.jpg")</f>
        <v>https://pbs.twimg.com/profile_images/1436423756293939200/gV9h1YMC_normal.jpg</v>
      </c>
      <c r="G712" s="95"/>
      <c r="H712" s="71"/>
      <c r="I712" s="72"/>
      <c r="J712" s="96"/>
      <c r="K712" s="71" t="s">
        <v>3999</v>
      </c>
      <c r="L712" s="97"/>
      <c r="M712" s="76"/>
      <c r="N712" s="76"/>
      <c r="O712" s="77"/>
      <c r="P712" s="78"/>
      <c r="Q712" s="78"/>
      <c r="R712" s="92"/>
      <c r="S712" s="92"/>
      <c r="T712" s="92"/>
      <c r="U712" s="92"/>
      <c r="V712" s="52"/>
      <c r="W712" s="52"/>
      <c r="X712" s="52"/>
      <c r="Y712" s="52"/>
      <c r="Z712" s="51"/>
      <c r="AA712" s="73"/>
      <c r="AB712" s="73"/>
      <c r="AC712" s="74"/>
      <c r="AD712" s="81" t="s">
        <v>2516</v>
      </c>
      <c r="AE712" s="86" t="s">
        <v>2940</v>
      </c>
      <c r="AF712" s="81">
        <v>317</v>
      </c>
      <c r="AG712" s="81">
        <v>70</v>
      </c>
      <c r="AH712" s="81">
        <v>9180</v>
      </c>
      <c r="AI712" s="81">
        <v>36649</v>
      </c>
      <c r="AJ712" s="81"/>
      <c r="AK712" s="81" t="s">
        <v>3345</v>
      </c>
      <c r="AL712" s="81"/>
      <c r="AM712" s="81"/>
      <c r="AN712" s="81"/>
      <c r="AO712" s="83">
        <v>43618.616527777776</v>
      </c>
      <c r="AP712" s="84" t="str">
        <f>HYPERLINK("https://pbs.twimg.com/profile_banners/1135196321462177792/1631303373")</f>
        <v>https://pbs.twimg.com/profile_banners/1135196321462177792/1631303373</v>
      </c>
      <c r="AQ712" s="81" t="b">
        <v>1</v>
      </c>
      <c r="AR712" s="81" t="b">
        <v>0</v>
      </c>
      <c r="AS712" s="81" t="b">
        <v>1</v>
      </c>
      <c r="AT712" s="81"/>
      <c r="AU712" s="81">
        <v>2</v>
      </c>
      <c r="AV712" s="81"/>
      <c r="AW712" s="81" t="b">
        <v>0</v>
      </c>
      <c r="AX712" s="81" t="s">
        <v>3728</v>
      </c>
      <c r="AY712" s="84" t="str">
        <f>HYPERLINK("https://twitter.com/arnabjungkook")</f>
        <v>https://twitter.com/arnabjungkook</v>
      </c>
      <c r="AZ712" s="81" t="s">
        <v>66</v>
      </c>
      <c r="BA712" s="2"/>
      <c r="BB712" s="3"/>
      <c r="BC712" s="3"/>
      <c r="BD712" s="3"/>
      <c r="BE712" s="3"/>
    </row>
    <row r="713" spans="1:57" x14ac:dyDescent="0.35">
      <c r="A713" s="66" t="s">
        <v>452</v>
      </c>
      <c r="B713" s="67"/>
      <c r="C713" s="67"/>
      <c r="D713" s="68"/>
      <c r="E713" s="94"/>
      <c r="F713" s="93" t="str">
        <f>HYPERLINK("https://pbs.twimg.com/profile_images/1443238415470772226/aST9zLvG_normal.jpg")</f>
        <v>https://pbs.twimg.com/profile_images/1443238415470772226/aST9zLvG_normal.jpg</v>
      </c>
      <c r="G713" s="95"/>
      <c r="H713" s="71"/>
      <c r="I713" s="72"/>
      <c r="J713" s="96"/>
      <c r="K713" s="71" t="s">
        <v>4000</v>
      </c>
      <c r="L713" s="97"/>
      <c r="M713" s="76"/>
      <c r="N713" s="76"/>
      <c r="O713" s="77"/>
      <c r="P713" s="78"/>
      <c r="Q713" s="78"/>
      <c r="R713" s="92"/>
      <c r="S713" s="92"/>
      <c r="T713" s="92"/>
      <c r="U713" s="92"/>
      <c r="V713" s="52"/>
      <c r="W713" s="52"/>
      <c r="X713" s="52"/>
      <c r="Y713" s="52"/>
      <c r="Z713" s="51"/>
      <c r="AA713" s="73"/>
      <c r="AB713" s="73"/>
      <c r="AC713" s="74"/>
      <c r="AD713" s="81" t="s">
        <v>13479</v>
      </c>
      <c r="AE713" s="86" t="s">
        <v>2941</v>
      </c>
      <c r="AF713" s="81">
        <v>1286</v>
      </c>
      <c r="AG713" s="81">
        <v>2377</v>
      </c>
      <c r="AH713" s="81">
        <v>61332</v>
      </c>
      <c r="AI713" s="81">
        <v>130066</v>
      </c>
      <c r="AJ713" s="81"/>
      <c r="AK713" s="81" t="s">
        <v>13935</v>
      </c>
      <c r="AL713" s="81" t="s">
        <v>14161</v>
      </c>
      <c r="AM713" s="84" t="str">
        <f>HYPERLINK("https://t.co/BQSIf0sykh")</f>
        <v>https://t.co/BQSIf0sykh</v>
      </c>
      <c r="AN713" s="81"/>
      <c r="AO713" s="83">
        <v>41559.292557870373</v>
      </c>
      <c r="AP713" s="84" t="str">
        <f>HYPERLINK("https://pbs.twimg.com/profile_banners/1956006787/1632929826")</f>
        <v>https://pbs.twimg.com/profile_banners/1956006787/1632929826</v>
      </c>
      <c r="AQ713" s="81" t="b">
        <v>0</v>
      </c>
      <c r="AR713" s="81" t="b">
        <v>0</v>
      </c>
      <c r="AS713" s="81" t="b">
        <v>1</v>
      </c>
      <c r="AT713" s="81"/>
      <c r="AU713" s="81">
        <v>19</v>
      </c>
      <c r="AV713" s="84" t="str">
        <f>HYPERLINK("https://abs.twimg.com/images/themes/theme17/bg.gif")</f>
        <v>https://abs.twimg.com/images/themes/theme17/bg.gif</v>
      </c>
      <c r="AW713" s="81" t="b">
        <v>0</v>
      </c>
      <c r="AX713" s="81" t="s">
        <v>3728</v>
      </c>
      <c r="AY713" s="84" t="str">
        <f>HYPERLINK("https://twitter.com/mydearjiminie")</f>
        <v>https://twitter.com/mydearjiminie</v>
      </c>
      <c r="AZ713" s="81" t="s">
        <v>66</v>
      </c>
      <c r="BA713" s="2"/>
      <c r="BB713" s="3"/>
      <c r="BC713" s="3"/>
      <c r="BD713" s="3"/>
      <c r="BE713" s="3"/>
    </row>
    <row r="714" spans="1:57" x14ac:dyDescent="0.35">
      <c r="A714" s="66" t="s">
        <v>453</v>
      </c>
      <c r="B714" s="67"/>
      <c r="C714" s="67"/>
      <c r="D714" s="68"/>
      <c r="E714" s="94"/>
      <c r="F714" s="93" t="str">
        <f>HYPERLINK("https://pbs.twimg.com/profile_images/1438465858561396743/-C3I1kkp_normal.jpg")</f>
        <v>https://pbs.twimg.com/profile_images/1438465858561396743/-C3I1kkp_normal.jpg</v>
      </c>
      <c r="G714" s="95"/>
      <c r="H714" s="71"/>
      <c r="I714" s="72"/>
      <c r="J714" s="96"/>
      <c r="K714" s="71" t="s">
        <v>4001</v>
      </c>
      <c r="L714" s="97"/>
      <c r="M714" s="76"/>
      <c r="N714" s="76"/>
      <c r="O714" s="77"/>
      <c r="P714" s="78"/>
      <c r="Q714" s="78"/>
      <c r="R714" s="92"/>
      <c r="S714" s="92"/>
      <c r="T714" s="92"/>
      <c r="U714" s="92"/>
      <c r="V714" s="52"/>
      <c r="W714" s="52"/>
      <c r="X714" s="52"/>
      <c r="Y714" s="52"/>
      <c r="Z714" s="51"/>
      <c r="AA714" s="73"/>
      <c r="AB714" s="73"/>
      <c r="AC714" s="74"/>
      <c r="AD714" s="81" t="s">
        <v>2517</v>
      </c>
      <c r="AE714" s="86" t="s">
        <v>2942</v>
      </c>
      <c r="AF714" s="81">
        <v>514</v>
      </c>
      <c r="AG714" s="81">
        <v>471</v>
      </c>
      <c r="AH714" s="81">
        <v>6534</v>
      </c>
      <c r="AI714" s="81">
        <v>13843</v>
      </c>
      <c r="AJ714" s="81"/>
      <c r="AK714" s="81" t="s">
        <v>3346</v>
      </c>
      <c r="AL714" s="81" t="s">
        <v>3514</v>
      </c>
      <c r="AM714" s="81"/>
      <c r="AN714" s="81"/>
      <c r="AO714" s="83">
        <v>43709.614166666666</v>
      </c>
      <c r="AP714" s="84" t="str">
        <f>HYPERLINK("https://pbs.twimg.com/profile_banners/1168172697609596928/1631620283")</f>
        <v>https://pbs.twimg.com/profile_banners/1168172697609596928/1631620283</v>
      </c>
      <c r="AQ714" s="81" t="b">
        <v>1</v>
      </c>
      <c r="AR714" s="81" t="b">
        <v>0</v>
      </c>
      <c r="AS714" s="81" t="b">
        <v>0</v>
      </c>
      <c r="AT714" s="81"/>
      <c r="AU714" s="81">
        <v>1</v>
      </c>
      <c r="AV714" s="81"/>
      <c r="AW714" s="81" t="b">
        <v>0</v>
      </c>
      <c r="AX714" s="81" t="s">
        <v>3728</v>
      </c>
      <c r="AY714" s="84" t="str">
        <f>HYPERLINK("https://twitter.com/jks_ladyice")</f>
        <v>https://twitter.com/jks_ladyice</v>
      </c>
      <c r="AZ714" s="81" t="s">
        <v>66</v>
      </c>
      <c r="BA714" s="2"/>
      <c r="BB714" s="3"/>
      <c r="BC714" s="3"/>
      <c r="BD714" s="3"/>
      <c r="BE714" s="3"/>
    </row>
    <row r="715" spans="1:57" x14ac:dyDescent="0.35">
      <c r="A715" s="66" t="s">
        <v>454</v>
      </c>
      <c r="B715" s="67"/>
      <c r="C715" s="67"/>
      <c r="D715" s="68"/>
      <c r="E715" s="94"/>
      <c r="F715" s="93" t="str">
        <f>HYPERLINK("https://pbs.twimg.com/profile_images/1442800897466069000/rjTYNK1k_normal.jpg")</f>
        <v>https://pbs.twimg.com/profile_images/1442800897466069000/rjTYNK1k_normal.jpg</v>
      </c>
      <c r="G715" s="95"/>
      <c r="H715" s="71"/>
      <c r="I715" s="72"/>
      <c r="J715" s="96"/>
      <c r="K715" s="71" t="s">
        <v>4002</v>
      </c>
      <c r="L715" s="97"/>
      <c r="M715" s="76"/>
      <c r="N715" s="76"/>
      <c r="O715" s="77"/>
      <c r="P715" s="78"/>
      <c r="Q715" s="78"/>
      <c r="R715" s="92"/>
      <c r="S715" s="92"/>
      <c r="T715" s="92"/>
      <c r="U715" s="92"/>
      <c r="V715" s="52"/>
      <c r="W715" s="52"/>
      <c r="X715" s="52"/>
      <c r="Y715" s="52"/>
      <c r="Z715" s="51"/>
      <c r="AA715" s="73"/>
      <c r="AB715" s="73"/>
      <c r="AC715" s="74"/>
      <c r="AD715" s="81" t="s">
        <v>2518</v>
      </c>
      <c r="AE715" s="86" t="s">
        <v>2943</v>
      </c>
      <c r="AF715" s="81">
        <v>320</v>
      </c>
      <c r="AG715" s="81">
        <v>324</v>
      </c>
      <c r="AH715" s="81">
        <v>4519</v>
      </c>
      <c r="AI715" s="81">
        <v>3790</v>
      </c>
      <c r="AJ715" s="81"/>
      <c r="AK715" s="81" t="s">
        <v>3347</v>
      </c>
      <c r="AL715" s="81" t="s">
        <v>3654</v>
      </c>
      <c r="AM715" s="81"/>
      <c r="AN715" s="81"/>
      <c r="AO715" s="83">
        <v>44024.632604166669</v>
      </c>
      <c r="AP715" s="84" t="str">
        <f>HYPERLINK("https://pbs.twimg.com/profile_banners/1282331305519112192/1632825612")</f>
        <v>https://pbs.twimg.com/profile_banners/1282331305519112192/1632825612</v>
      </c>
      <c r="AQ715" s="81" t="b">
        <v>1</v>
      </c>
      <c r="AR715" s="81" t="b">
        <v>0</v>
      </c>
      <c r="AS715" s="81" t="b">
        <v>0</v>
      </c>
      <c r="AT715" s="81"/>
      <c r="AU715" s="81">
        <v>10</v>
      </c>
      <c r="AV715" s="81"/>
      <c r="AW715" s="81" t="b">
        <v>0</v>
      </c>
      <c r="AX715" s="81" t="s">
        <v>3728</v>
      </c>
      <c r="AY715" s="84" t="str">
        <f>HYPERLINK("https://twitter.com/lilhannies")</f>
        <v>https://twitter.com/lilhannies</v>
      </c>
      <c r="AZ715" s="81" t="s">
        <v>66</v>
      </c>
      <c r="BA715" s="2"/>
      <c r="BB715" s="3"/>
      <c r="BC715" s="3"/>
      <c r="BD715" s="3"/>
      <c r="BE715" s="3"/>
    </row>
    <row r="716" spans="1:57" x14ac:dyDescent="0.35">
      <c r="A716" s="66" t="s">
        <v>455</v>
      </c>
      <c r="B716" s="67"/>
      <c r="C716" s="67"/>
      <c r="D716" s="68"/>
      <c r="E716" s="94"/>
      <c r="F716" s="93" t="str">
        <f>HYPERLINK("https://pbs.twimg.com/profile_images/1437448127171100679/uJGDFFuw_normal.jpg")</f>
        <v>https://pbs.twimg.com/profile_images/1437448127171100679/uJGDFFuw_normal.jpg</v>
      </c>
      <c r="G716" s="95"/>
      <c r="H716" s="71"/>
      <c r="I716" s="72"/>
      <c r="J716" s="96"/>
      <c r="K716" s="71" t="s">
        <v>4003</v>
      </c>
      <c r="L716" s="97"/>
      <c r="M716" s="76"/>
      <c r="N716" s="76"/>
      <c r="O716" s="77"/>
      <c r="P716" s="78"/>
      <c r="Q716" s="78"/>
      <c r="R716" s="92"/>
      <c r="S716" s="92"/>
      <c r="T716" s="92"/>
      <c r="U716" s="92"/>
      <c r="V716" s="52"/>
      <c r="W716" s="52"/>
      <c r="X716" s="52"/>
      <c r="Y716" s="52"/>
      <c r="Z716" s="51"/>
      <c r="AA716" s="73"/>
      <c r="AB716" s="73"/>
      <c r="AC716" s="74"/>
      <c r="AD716" s="81" t="s">
        <v>2519</v>
      </c>
      <c r="AE716" s="86" t="s">
        <v>2944</v>
      </c>
      <c r="AF716" s="81">
        <v>1704</v>
      </c>
      <c r="AG716" s="81">
        <v>1739</v>
      </c>
      <c r="AH716" s="81">
        <v>32576</v>
      </c>
      <c r="AI716" s="81">
        <v>106878</v>
      </c>
      <c r="AJ716" s="81"/>
      <c r="AK716" s="81" t="s">
        <v>3348</v>
      </c>
      <c r="AL716" s="81" t="s">
        <v>3655</v>
      </c>
      <c r="AM716" s="84" t="str">
        <f>HYPERLINK("https://t.co/JYqpUNoDLG")</f>
        <v>https://t.co/JYqpUNoDLG</v>
      </c>
      <c r="AN716" s="81"/>
      <c r="AO716" s="83">
        <v>43464.522800925923</v>
      </c>
      <c r="AP716" s="84" t="str">
        <f>HYPERLINK("https://pbs.twimg.com/profile_banners/1079354624824332288/1632801908")</f>
        <v>https://pbs.twimg.com/profile_banners/1079354624824332288/1632801908</v>
      </c>
      <c r="AQ716" s="81" t="b">
        <v>1</v>
      </c>
      <c r="AR716" s="81" t="b">
        <v>0</v>
      </c>
      <c r="AS716" s="81" t="b">
        <v>0</v>
      </c>
      <c r="AT716" s="81"/>
      <c r="AU716" s="81">
        <v>25</v>
      </c>
      <c r="AV716" s="81"/>
      <c r="AW716" s="81" t="b">
        <v>0</v>
      </c>
      <c r="AX716" s="81" t="s">
        <v>3728</v>
      </c>
      <c r="AY716" s="84" t="str">
        <f>HYPERLINK("https://twitter.com/cheriekoo_")</f>
        <v>https://twitter.com/cheriekoo_</v>
      </c>
      <c r="AZ716" s="81" t="s">
        <v>66</v>
      </c>
      <c r="BA716" s="2"/>
      <c r="BB716" s="3"/>
      <c r="BC716" s="3"/>
      <c r="BD716" s="3"/>
      <c r="BE716" s="3"/>
    </row>
    <row r="717" spans="1:57" x14ac:dyDescent="0.35">
      <c r="A717" s="66" t="s">
        <v>456</v>
      </c>
      <c r="B717" s="67"/>
      <c r="C717" s="67"/>
      <c r="D717" s="68"/>
      <c r="E717" s="94"/>
      <c r="F717" s="93" t="str">
        <f>HYPERLINK("https://pbs.twimg.com/profile_images/1442181322621947904/qIiOSZoZ_normal.jpg")</f>
        <v>https://pbs.twimg.com/profile_images/1442181322621947904/qIiOSZoZ_normal.jpg</v>
      </c>
      <c r="G717" s="95"/>
      <c r="H717" s="71"/>
      <c r="I717" s="72"/>
      <c r="J717" s="96"/>
      <c r="K717" s="71" t="s">
        <v>4004</v>
      </c>
      <c r="L717" s="97"/>
      <c r="M717" s="76"/>
      <c r="N717" s="76"/>
      <c r="O717" s="77"/>
      <c r="P717" s="78"/>
      <c r="Q717" s="78"/>
      <c r="R717" s="92"/>
      <c r="S717" s="92"/>
      <c r="T717" s="92"/>
      <c r="U717" s="92"/>
      <c r="V717" s="52"/>
      <c r="W717" s="52"/>
      <c r="X717" s="52"/>
      <c r="Y717" s="52"/>
      <c r="Z717" s="51"/>
      <c r="AA717" s="73"/>
      <c r="AB717" s="73"/>
      <c r="AC717" s="74"/>
      <c r="AD717" s="81" t="s">
        <v>2520</v>
      </c>
      <c r="AE717" s="86" t="s">
        <v>2945</v>
      </c>
      <c r="AF717" s="81">
        <v>444</v>
      </c>
      <c r="AG717" s="81">
        <v>598</v>
      </c>
      <c r="AH717" s="81">
        <v>74703</v>
      </c>
      <c r="AI717" s="81">
        <v>15642</v>
      </c>
      <c r="AJ717" s="81"/>
      <c r="AK717" s="81" t="s">
        <v>3349</v>
      </c>
      <c r="AL717" s="81"/>
      <c r="AM717" s="81"/>
      <c r="AN717" s="81"/>
      <c r="AO717" s="83">
        <v>40813.373715277776</v>
      </c>
      <c r="AP717" s="84" t="str">
        <f>HYPERLINK("https://pbs.twimg.com/profile_banners/380822929/1625381669")</f>
        <v>https://pbs.twimg.com/profile_banners/380822929/1625381669</v>
      </c>
      <c r="AQ717" s="81" t="b">
        <v>0</v>
      </c>
      <c r="AR717" s="81" t="b">
        <v>0</v>
      </c>
      <c r="AS717" s="81" t="b">
        <v>1</v>
      </c>
      <c r="AT717" s="81"/>
      <c r="AU717" s="81">
        <v>3</v>
      </c>
      <c r="AV717" s="84" t="str">
        <f>HYPERLINK("https://abs.twimg.com/images/themes/theme1/bg.png")</f>
        <v>https://abs.twimg.com/images/themes/theme1/bg.png</v>
      </c>
      <c r="AW717" s="81" t="b">
        <v>0</v>
      </c>
      <c r="AX717" s="81" t="s">
        <v>3728</v>
      </c>
      <c r="AY717" s="84" t="str">
        <f>HYPERLINK("https://twitter.com/thenexteleanor")</f>
        <v>https://twitter.com/thenexteleanor</v>
      </c>
      <c r="AZ717" s="81" t="s">
        <v>66</v>
      </c>
      <c r="BA717" s="2"/>
      <c r="BB717" s="3"/>
      <c r="BC717" s="3"/>
      <c r="BD717" s="3"/>
      <c r="BE717" s="3"/>
    </row>
    <row r="718" spans="1:57" x14ac:dyDescent="0.35">
      <c r="A718" s="66" t="s">
        <v>457</v>
      </c>
      <c r="B718" s="67"/>
      <c r="C718" s="67"/>
      <c r="D718" s="68"/>
      <c r="E718" s="94"/>
      <c r="F718" s="93" t="str">
        <f>HYPERLINK("https://pbs.twimg.com/profile_images/1443193362912198656/cjpi07wp_normal.jpg")</f>
        <v>https://pbs.twimg.com/profile_images/1443193362912198656/cjpi07wp_normal.jpg</v>
      </c>
      <c r="G718" s="95"/>
      <c r="H718" s="71"/>
      <c r="I718" s="72"/>
      <c r="J718" s="96"/>
      <c r="K718" s="71" t="s">
        <v>4005</v>
      </c>
      <c r="L718" s="97"/>
      <c r="M718" s="76"/>
      <c r="N718" s="76"/>
      <c r="O718" s="77"/>
      <c r="P718" s="78"/>
      <c r="Q718" s="78"/>
      <c r="R718" s="92"/>
      <c r="S718" s="92"/>
      <c r="T718" s="92"/>
      <c r="U718" s="92"/>
      <c r="V718" s="52"/>
      <c r="W718" s="52"/>
      <c r="X718" s="52"/>
      <c r="Y718" s="52"/>
      <c r="Z718" s="51"/>
      <c r="AA718" s="73"/>
      <c r="AB718" s="73"/>
      <c r="AC718" s="74"/>
      <c r="AD718" s="81" t="s">
        <v>2521</v>
      </c>
      <c r="AE718" s="86" t="s">
        <v>2946</v>
      </c>
      <c r="AF718" s="81">
        <v>539</v>
      </c>
      <c r="AG718" s="81">
        <v>397</v>
      </c>
      <c r="AH718" s="81">
        <v>13790</v>
      </c>
      <c r="AI718" s="81">
        <v>43208</v>
      </c>
      <c r="AJ718" s="81"/>
      <c r="AK718" s="81" t="s">
        <v>13936</v>
      </c>
      <c r="AL718" s="81" t="s">
        <v>3656</v>
      </c>
      <c r="AM718" s="81"/>
      <c r="AN718" s="81"/>
      <c r="AO718" s="83">
        <v>43501.180439814816</v>
      </c>
      <c r="AP718" s="84" t="str">
        <f>HYPERLINK("https://pbs.twimg.com/profile_banners/1092638905885573120/1632919086")</f>
        <v>https://pbs.twimg.com/profile_banners/1092638905885573120/1632919086</v>
      </c>
      <c r="AQ718" s="81" t="b">
        <v>1</v>
      </c>
      <c r="AR718" s="81" t="b">
        <v>0</v>
      </c>
      <c r="AS718" s="81" t="b">
        <v>1</v>
      </c>
      <c r="AT718" s="81"/>
      <c r="AU718" s="81">
        <v>5</v>
      </c>
      <c r="AV718" s="81"/>
      <c r="AW718" s="81" t="b">
        <v>0</v>
      </c>
      <c r="AX718" s="81" t="s">
        <v>3728</v>
      </c>
      <c r="AY718" s="84" t="str">
        <f>HYPERLINK("https://twitter.com/clwdygguk")</f>
        <v>https://twitter.com/clwdygguk</v>
      </c>
      <c r="AZ718" s="81" t="s">
        <v>66</v>
      </c>
      <c r="BA718" s="2"/>
      <c r="BB718" s="3"/>
      <c r="BC718" s="3"/>
      <c r="BD718" s="3"/>
      <c r="BE718" s="3"/>
    </row>
    <row r="719" spans="1:57" x14ac:dyDescent="0.35">
      <c r="A719" s="66" t="s">
        <v>458</v>
      </c>
      <c r="B719" s="67"/>
      <c r="C719" s="67"/>
      <c r="D719" s="68"/>
      <c r="E719" s="94"/>
      <c r="F719" s="93" t="str">
        <f>HYPERLINK("https://pbs.twimg.com/profile_images/1423142938981199883/Bad33EOa_normal.jpg")</f>
        <v>https://pbs.twimg.com/profile_images/1423142938981199883/Bad33EOa_normal.jpg</v>
      </c>
      <c r="G719" s="95"/>
      <c r="H719" s="71"/>
      <c r="I719" s="72"/>
      <c r="J719" s="96"/>
      <c r="K719" s="71" t="s">
        <v>4006</v>
      </c>
      <c r="L719" s="97"/>
      <c r="M719" s="76"/>
      <c r="N719" s="76"/>
      <c r="O719" s="77"/>
      <c r="P719" s="78"/>
      <c r="Q719" s="78"/>
      <c r="R719" s="92"/>
      <c r="S719" s="92"/>
      <c r="T719" s="92"/>
      <c r="U719" s="92"/>
      <c r="V719" s="52"/>
      <c r="W719" s="52"/>
      <c r="X719" s="52"/>
      <c r="Y719" s="52"/>
      <c r="Z719" s="51"/>
      <c r="AA719" s="73"/>
      <c r="AB719" s="73"/>
      <c r="AC719" s="74"/>
      <c r="AD719" s="81" t="s">
        <v>2522</v>
      </c>
      <c r="AE719" s="86" t="s">
        <v>2947</v>
      </c>
      <c r="AF719" s="81">
        <v>77</v>
      </c>
      <c r="AG719" s="81">
        <v>71</v>
      </c>
      <c r="AH719" s="81">
        <v>38774</v>
      </c>
      <c r="AI719" s="81">
        <v>32485</v>
      </c>
      <c r="AJ719" s="81"/>
      <c r="AK719" s="81" t="s">
        <v>3350</v>
      </c>
      <c r="AL719" s="81" t="s">
        <v>3657</v>
      </c>
      <c r="AM719" s="81"/>
      <c r="AN719" s="81"/>
      <c r="AO719" s="83">
        <v>40274.30810185185</v>
      </c>
      <c r="AP719" s="84" t="str">
        <f>HYPERLINK("https://pbs.twimg.com/profile_banners/130080979/1609476483")</f>
        <v>https://pbs.twimg.com/profile_banners/130080979/1609476483</v>
      </c>
      <c r="AQ719" s="81" t="b">
        <v>0</v>
      </c>
      <c r="AR719" s="81" t="b">
        <v>0</v>
      </c>
      <c r="AS719" s="81" t="b">
        <v>1</v>
      </c>
      <c r="AT719" s="81"/>
      <c r="AU719" s="81">
        <v>4</v>
      </c>
      <c r="AV719" s="84" t="str">
        <f>HYPERLINK("https://abs.twimg.com/images/themes/theme9/bg.gif")</f>
        <v>https://abs.twimg.com/images/themes/theme9/bg.gif</v>
      </c>
      <c r="AW719" s="81" t="b">
        <v>0</v>
      </c>
      <c r="AX719" s="81" t="s">
        <v>3728</v>
      </c>
      <c r="AY719" s="84" t="str">
        <f>HYPERLINK("https://twitter.com/yuuusshi")</f>
        <v>https://twitter.com/yuuusshi</v>
      </c>
      <c r="AZ719" s="81" t="s">
        <v>66</v>
      </c>
      <c r="BA719" s="2"/>
      <c r="BB719" s="3"/>
      <c r="BC719" s="3"/>
      <c r="BD719" s="3"/>
      <c r="BE719" s="3"/>
    </row>
    <row r="720" spans="1:57" x14ac:dyDescent="0.35">
      <c r="A720" s="66" t="s">
        <v>459</v>
      </c>
      <c r="B720" s="67"/>
      <c r="C720" s="67"/>
      <c r="D720" s="68"/>
      <c r="E720" s="94"/>
      <c r="F720" s="93" t="str">
        <f>HYPERLINK("https://pbs.twimg.com/profile_images/1441205424783454216/A-nW24rO_normal.jpg")</f>
        <v>https://pbs.twimg.com/profile_images/1441205424783454216/A-nW24rO_normal.jpg</v>
      </c>
      <c r="G720" s="95"/>
      <c r="H720" s="71"/>
      <c r="I720" s="72"/>
      <c r="J720" s="96"/>
      <c r="K720" s="71" t="s">
        <v>4007</v>
      </c>
      <c r="L720" s="97"/>
      <c r="M720" s="76"/>
      <c r="N720" s="76"/>
      <c r="O720" s="77"/>
      <c r="P720" s="78"/>
      <c r="Q720" s="78"/>
      <c r="R720" s="92"/>
      <c r="S720" s="92"/>
      <c r="T720" s="92"/>
      <c r="U720" s="92"/>
      <c r="V720" s="52"/>
      <c r="W720" s="52"/>
      <c r="X720" s="52"/>
      <c r="Y720" s="52"/>
      <c r="Z720" s="51"/>
      <c r="AA720" s="73"/>
      <c r="AB720" s="73"/>
      <c r="AC720" s="74"/>
      <c r="AD720" s="81" t="s">
        <v>2523</v>
      </c>
      <c r="AE720" s="86" t="s">
        <v>2948</v>
      </c>
      <c r="AF720" s="81">
        <v>902</v>
      </c>
      <c r="AG720" s="81">
        <v>793</v>
      </c>
      <c r="AH720" s="81">
        <v>16554</v>
      </c>
      <c r="AI720" s="81">
        <v>25707</v>
      </c>
      <c r="AJ720" s="81"/>
      <c r="AK720" s="81" t="s">
        <v>3351</v>
      </c>
      <c r="AL720" s="81" t="s">
        <v>3658</v>
      </c>
      <c r="AM720" s="84" t="str">
        <f>HYPERLINK("https://t.co/POcB65NNdi")</f>
        <v>https://t.co/POcB65NNdi</v>
      </c>
      <c r="AN720" s="81"/>
      <c r="AO720" s="83">
        <v>44375.773877314816</v>
      </c>
      <c r="AP720" s="84" t="str">
        <f>HYPERLINK("https://pbs.twimg.com/profile_banners/1409580911578914817/1632445142")</f>
        <v>https://pbs.twimg.com/profile_banners/1409580911578914817/1632445142</v>
      </c>
      <c r="AQ720" s="81" t="b">
        <v>1</v>
      </c>
      <c r="AR720" s="81" t="b">
        <v>0</v>
      </c>
      <c r="AS720" s="81" t="b">
        <v>0</v>
      </c>
      <c r="AT720" s="81"/>
      <c r="AU720" s="81">
        <v>4</v>
      </c>
      <c r="AV720" s="81"/>
      <c r="AW720" s="81" t="b">
        <v>0</v>
      </c>
      <c r="AX720" s="81" t="s">
        <v>3728</v>
      </c>
      <c r="AY720" s="84" t="str">
        <f>HYPERLINK("https://twitter.com/dinaacooky")</f>
        <v>https://twitter.com/dinaacooky</v>
      </c>
      <c r="AZ720" s="81" t="s">
        <v>66</v>
      </c>
      <c r="BA720" s="2"/>
      <c r="BB720" s="3"/>
      <c r="BC720" s="3"/>
      <c r="BD720" s="3"/>
      <c r="BE720" s="3"/>
    </row>
    <row r="721" spans="1:57" x14ac:dyDescent="0.35">
      <c r="A721" s="66" t="s">
        <v>460</v>
      </c>
      <c r="B721" s="67"/>
      <c r="C721" s="67"/>
      <c r="D721" s="68"/>
      <c r="E721" s="94"/>
      <c r="F721" s="93" t="str">
        <f>HYPERLINK("https://pbs.twimg.com/profile_images/1442797521797935104/cq3Z8wrU_normal.jpg")</f>
        <v>https://pbs.twimg.com/profile_images/1442797521797935104/cq3Z8wrU_normal.jpg</v>
      </c>
      <c r="G721" s="95"/>
      <c r="H721" s="71"/>
      <c r="I721" s="72"/>
      <c r="J721" s="96"/>
      <c r="K721" s="71" t="s">
        <v>4008</v>
      </c>
      <c r="L721" s="97"/>
      <c r="M721" s="76"/>
      <c r="N721" s="76"/>
      <c r="O721" s="77"/>
      <c r="P721" s="78"/>
      <c r="Q721" s="78"/>
      <c r="R721" s="92"/>
      <c r="S721" s="92"/>
      <c r="T721" s="92"/>
      <c r="U721" s="92"/>
      <c r="V721" s="52"/>
      <c r="W721" s="52"/>
      <c r="X721" s="52"/>
      <c r="Y721" s="52"/>
      <c r="Z721" s="51"/>
      <c r="AA721" s="73"/>
      <c r="AB721" s="73"/>
      <c r="AC721" s="74"/>
      <c r="AD721" s="81" t="s">
        <v>2524</v>
      </c>
      <c r="AE721" s="86" t="s">
        <v>2949</v>
      </c>
      <c r="AF721" s="81">
        <v>1047</v>
      </c>
      <c r="AG721" s="81">
        <v>540</v>
      </c>
      <c r="AH721" s="81">
        <v>14996</v>
      </c>
      <c r="AI721" s="81">
        <v>37541</v>
      </c>
      <c r="AJ721" s="81"/>
      <c r="AK721" s="81" t="s">
        <v>3352</v>
      </c>
      <c r="AL721" s="81" t="s">
        <v>3659</v>
      </c>
      <c r="AM721" s="81"/>
      <c r="AN721" s="81"/>
      <c r="AO721" s="83">
        <v>43935.610752314817</v>
      </c>
      <c r="AP721" s="84" t="str">
        <f>HYPERLINK("https://pbs.twimg.com/profile_banners/1250070942287626244/1632760781")</f>
        <v>https://pbs.twimg.com/profile_banners/1250070942287626244/1632760781</v>
      </c>
      <c r="AQ721" s="81" t="b">
        <v>1</v>
      </c>
      <c r="AR721" s="81" t="b">
        <v>0</v>
      </c>
      <c r="AS721" s="81" t="b">
        <v>1</v>
      </c>
      <c r="AT721" s="81"/>
      <c r="AU721" s="81">
        <v>4</v>
      </c>
      <c r="AV721" s="81"/>
      <c r="AW721" s="81" t="b">
        <v>0</v>
      </c>
      <c r="AX721" s="81" t="s">
        <v>3728</v>
      </c>
      <c r="AY721" s="84" t="str">
        <f>HYPERLINK("https://twitter.com/piwpiwjoon")</f>
        <v>https://twitter.com/piwpiwjoon</v>
      </c>
      <c r="AZ721" s="81" t="s">
        <v>66</v>
      </c>
      <c r="BA721" s="2"/>
      <c r="BB721" s="3"/>
      <c r="BC721" s="3"/>
      <c r="BD721" s="3"/>
      <c r="BE721" s="3"/>
    </row>
    <row r="722" spans="1:57" x14ac:dyDescent="0.35">
      <c r="A722" s="66" t="s">
        <v>462</v>
      </c>
      <c r="B722" s="67"/>
      <c r="C722" s="67"/>
      <c r="D722" s="68"/>
      <c r="E722" s="94"/>
      <c r="F722" s="93" t="str">
        <f>HYPERLINK("https://pbs.twimg.com/profile_images/1441309576733679619/8pVu0xYy_normal.jpg")</f>
        <v>https://pbs.twimg.com/profile_images/1441309576733679619/8pVu0xYy_normal.jpg</v>
      </c>
      <c r="G722" s="95"/>
      <c r="H722" s="71"/>
      <c r="I722" s="72"/>
      <c r="J722" s="96"/>
      <c r="K722" s="71" t="s">
        <v>4009</v>
      </c>
      <c r="L722" s="97"/>
      <c r="M722" s="76"/>
      <c r="N722" s="76"/>
      <c r="O722" s="77"/>
      <c r="P722" s="78"/>
      <c r="Q722" s="78"/>
      <c r="R722" s="92"/>
      <c r="S722" s="92"/>
      <c r="T722" s="92"/>
      <c r="U722" s="92"/>
      <c r="V722" s="52"/>
      <c r="W722" s="52"/>
      <c r="X722" s="52"/>
      <c r="Y722" s="52"/>
      <c r="Z722" s="51"/>
      <c r="AA722" s="73"/>
      <c r="AB722" s="73"/>
      <c r="AC722" s="74"/>
      <c r="AD722" s="81" t="s">
        <v>2525</v>
      </c>
      <c r="AE722" s="86" t="s">
        <v>2950</v>
      </c>
      <c r="AF722" s="81">
        <v>1148</v>
      </c>
      <c r="AG722" s="81">
        <v>1612</v>
      </c>
      <c r="AH722" s="81">
        <v>36947</v>
      </c>
      <c r="AI722" s="81">
        <v>38618</v>
      </c>
      <c r="AJ722" s="81"/>
      <c r="AK722" s="81"/>
      <c r="AL722" s="81" t="s">
        <v>3601</v>
      </c>
      <c r="AM722" s="81"/>
      <c r="AN722" s="81"/>
      <c r="AO722" s="83">
        <v>43997.520092592589</v>
      </c>
      <c r="AP722" s="84" t="str">
        <f>HYPERLINK("https://pbs.twimg.com/profile_banners/1272506240552206337/1632469974")</f>
        <v>https://pbs.twimg.com/profile_banners/1272506240552206337/1632469974</v>
      </c>
      <c r="AQ722" s="81" t="b">
        <v>1</v>
      </c>
      <c r="AR722" s="81" t="b">
        <v>0</v>
      </c>
      <c r="AS722" s="81" t="b">
        <v>1</v>
      </c>
      <c r="AT722" s="81"/>
      <c r="AU722" s="81">
        <v>17</v>
      </c>
      <c r="AV722" s="81"/>
      <c r="AW722" s="81" t="b">
        <v>0</v>
      </c>
      <c r="AX722" s="81" t="s">
        <v>3728</v>
      </c>
      <c r="AY722" s="84" t="str">
        <f>HYPERLINK("https://twitter.com/ffairykoo")</f>
        <v>https://twitter.com/ffairykoo</v>
      </c>
      <c r="AZ722" s="81" t="s">
        <v>66</v>
      </c>
      <c r="BA722" s="2"/>
      <c r="BB722" s="3"/>
      <c r="BC722" s="3"/>
      <c r="BD722" s="3"/>
      <c r="BE722" s="3"/>
    </row>
    <row r="723" spans="1:57" x14ac:dyDescent="0.35">
      <c r="A723" s="66" t="s">
        <v>463</v>
      </c>
      <c r="B723" s="67"/>
      <c r="C723" s="67"/>
      <c r="D723" s="68"/>
      <c r="E723" s="94"/>
      <c r="F723" s="93" t="str">
        <f>HYPERLINK("https://pbs.twimg.com/profile_images/1440624346758729731/0_GpYvXU_normal.jpg")</f>
        <v>https://pbs.twimg.com/profile_images/1440624346758729731/0_GpYvXU_normal.jpg</v>
      </c>
      <c r="G723" s="95"/>
      <c r="H723" s="71"/>
      <c r="I723" s="72"/>
      <c r="J723" s="96"/>
      <c r="K723" s="71" t="s">
        <v>4010</v>
      </c>
      <c r="L723" s="97"/>
      <c r="M723" s="76"/>
      <c r="N723" s="76"/>
      <c r="O723" s="77"/>
      <c r="P723" s="78"/>
      <c r="Q723" s="78"/>
      <c r="R723" s="92"/>
      <c r="S723" s="92"/>
      <c r="T723" s="92"/>
      <c r="U723" s="92"/>
      <c r="V723" s="52"/>
      <c r="W723" s="52"/>
      <c r="X723" s="52"/>
      <c r="Y723" s="52"/>
      <c r="Z723" s="51"/>
      <c r="AA723" s="73"/>
      <c r="AB723" s="73"/>
      <c r="AC723" s="74"/>
      <c r="AD723" s="81" t="s">
        <v>2526</v>
      </c>
      <c r="AE723" s="86" t="s">
        <v>2951</v>
      </c>
      <c r="AF723" s="81">
        <v>179</v>
      </c>
      <c r="AG723" s="81">
        <v>82</v>
      </c>
      <c r="AH723" s="81">
        <v>2345</v>
      </c>
      <c r="AI723" s="81">
        <v>5214</v>
      </c>
      <c r="AJ723" s="81"/>
      <c r="AK723" s="81" t="s">
        <v>3353</v>
      </c>
      <c r="AL723" s="81"/>
      <c r="AM723" s="81"/>
      <c r="AN723" s="81"/>
      <c r="AO723" s="83">
        <v>43925.632256944446</v>
      </c>
      <c r="AP723" s="84" t="str">
        <f>HYPERLINK("https://pbs.twimg.com/profile_banners/1246455066287935488/1632577879")</f>
        <v>https://pbs.twimg.com/profile_banners/1246455066287935488/1632577879</v>
      </c>
      <c r="AQ723" s="81" t="b">
        <v>1</v>
      </c>
      <c r="AR723" s="81" t="b">
        <v>0</v>
      </c>
      <c r="AS723" s="81" t="b">
        <v>0</v>
      </c>
      <c r="AT723" s="81"/>
      <c r="AU723" s="81">
        <v>0</v>
      </c>
      <c r="AV723" s="81"/>
      <c r="AW723" s="81" t="b">
        <v>0</v>
      </c>
      <c r="AX723" s="81" t="s">
        <v>3728</v>
      </c>
      <c r="AY723" s="84" t="str">
        <f>HYPERLINK("https://twitter.com/bangtansbaby13")</f>
        <v>https://twitter.com/bangtansbaby13</v>
      </c>
      <c r="AZ723" s="81" t="s">
        <v>66</v>
      </c>
      <c r="BA723" s="2"/>
      <c r="BB723" s="3"/>
      <c r="BC723" s="3"/>
      <c r="BD723" s="3"/>
      <c r="BE723" s="3"/>
    </row>
    <row r="724" spans="1:57" x14ac:dyDescent="0.35">
      <c r="A724" s="66" t="s">
        <v>464</v>
      </c>
      <c r="B724" s="67"/>
      <c r="C724" s="67"/>
      <c r="D724" s="68"/>
      <c r="E724" s="94"/>
      <c r="F724" s="93" t="str">
        <f>HYPERLINK("https://pbs.twimg.com/profile_images/1442563289678974981/kFdIsY7p_normal.jpg")</f>
        <v>https://pbs.twimg.com/profile_images/1442563289678974981/kFdIsY7p_normal.jpg</v>
      </c>
      <c r="G724" s="95"/>
      <c r="H724" s="71"/>
      <c r="I724" s="72"/>
      <c r="J724" s="96"/>
      <c r="K724" s="71" t="s">
        <v>4011</v>
      </c>
      <c r="L724" s="97"/>
      <c r="M724" s="76"/>
      <c r="N724" s="76"/>
      <c r="O724" s="77"/>
      <c r="P724" s="78"/>
      <c r="Q724" s="78"/>
      <c r="R724" s="92"/>
      <c r="S724" s="92"/>
      <c r="T724" s="92"/>
      <c r="U724" s="92"/>
      <c r="V724" s="52"/>
      <c r="W724" s="52"/>
      <c r="X724" s="52"/>
      <c r="Y724" s="52"/>
      <c r="Z724" s="51"/>
      <c r="AA724" s="73"/>
      <c r="AB724" s="73"/>
      <c r="AC724" s="74"/>
      <c r="AD724" s="81" t="s">
        <v>2527</v>
      </c>
      <c r="AE724" s="86" t="s">
        <v>2952</v>
      </c>
      <c r="AF724" s="81">
        <v>564</v>
      </c>
      <c r="AG724" s="81">
        <v>514</v>
      </c>
      <c r="AH724" s="81">
        <v>2812</v>
      </c>
      <c r="AI724" s="81">
        <v>11662</v>
      </c>
      <c r="AJ724" s="81"/>
      <c r="AK724" s="81" t="s">
        <v>3354</v>
      </c>
      <c r="AL724" s="81" t="s">
        <v>3287</v>
      </c>
      <c r="AM724" s="81"/>
      <c r="AN724" s="81"/>
      <c r="AO724" s="83">
        <v>44195.619421296295</v>
      </c>
      <c r="AP724" s="84" t="str">
        <f>HYPERLINK("https://pbs.twimg.com/profile_banners/1344295125267087367/1632718476")</f>
        <v>https://pbs.twimg.com/profile_banners/1344295125267087367/1632718476</v>
      </c>
      <c r="AQ724" s="81" t="b">
        <v>1</v>
      </c>
      <c r="AR724" s="81" t="b">
        <v>0</v>
      </c>
      <c r="AS724" s="81" t="b">
        <v>0</v>
      </c>
      <c r="AT724" s="81"/>
      <c r="AU724" s="81">
        <v>1</v>
      </c>
      <c r="AV724" s="81"/>
      <c r="AW724" s="81" t="b">
        <v>0</v>
      </c>
      <c r="AX724" s="81" t="s">
        <v>3728</v>
      </c>
      <c r="AY724" s="84" t="str">
        <f>HYPERLINK("https://twitter.com/bangpdwife")</f>
        <v>https://twitter.com/bangpdwife</v>
      </c>
      <c r="AZ724" s="81" t="s">
        <v>66</v>
      </c>
      <c r="BA724" s="2"/>
      <c r="BB724" s="3"/>
      <c r="BC724" s="3"/>
      <c r="BD724" s="3"/>
      <c r="BE724" s="3"/>
    </row>
    <row r="725" spans="1:57" x14ac:dyDescent="0.35">
      <c r="A725" s="66" t="s">
        <v>465</v>
      </c>
      <c r="B725" s="67"/>
      <c r="C725" s="67"/>
      <c r="D725" s="68"/>
      <c r="E725" s="94"/>
      <c r="F725" s="93" t="str">
        <f>HYPERLINK("https://pbs.twimg.com/profile_images/1442101569512624129/oYhKBHuz_normal.jpg")</f>
        <v>https://pbs.twimg.com/profile_images/1442101569512624129/oYhKBHuz_normal.jpg</v>
      </c>
      <c r="G725" s="95"/>
      <c r="H725" s="71"/>
      <c r="I725" s="72"/>
      <c r="J725" s="96"/>
      <c r="K725" s="71" t="s">
        <v>4012</v>
      </c>
      <c r="L725" s="97"/>
      <c r="M725" s="76"/>
      <c r="N725" s="76"/>
      <c r="O725" s="77"/>
      <c r="P725" s="78"/>
      <c r="Q725" s="78"/>
      <c r="R725" s="92"/>
      <c r="S725" s="92"/>
      <c r="T725" s="92"/>
      <c r="U725" s="92"/>
      <c r="V725" s="52"/>
      <c r="W725" s="52"/>
      <c r="X725" s="52"/>
      <c r="Y725" s="52"/>
      <c r="Z725" s="51"/>
      <c r="AA725" s="73"/>
      <c r="AB725" s="73"/>
      <c r="AC725" s="74"/>
      <c r="AD725" s="81" t="s">
        <v>2528</v>
      </c>
      <c r="AE725" s="86" t="s">
        <v>2953</v>
      </c>
      <c r="AF725" s="81">
        <v>1690</v>
      </c>
      <c r="AG725" s="81">
        <v>1175</v>
      </c>
      <c r="AH725" s="81">
        <v>19096</v>
      </c>
      <c r="AI725" s="81">
        <v>52470</v>
      </c>
      <c r="AJ725" s="81"/>
      <c r="AK725" s="81" t="s">
        <v>3355</v>
      </c>
      <c r="AL725" s="81" t="s">
        <v>3660</v>
      </c>
      <c r="AM725" s="84" t="str">
        <f>HYPERLINK("https://t.co/11N4CLLYPR")</f>
        <v>https://t.co/11N4CLLYPR</v>
      </c>
      <c r="AN725" s="81"/>
      <c r="AO725" s="83">
        <v>43400.786238425928</v>
      </c>
      <c r="AP725" s="84" t="str">
        <f>HYPERLINK("https://pbs.twimg.com/profile_banners/1056257265609535488/1632498599")</f>
        <v>https://pbs.twimg.com/profile_banners/1056257265609535488/1632498599</v>
      </c>
      <c r="AQ725" s="81" t="b">
        <v>1</v>
      </c>
      <c r="AR725" s="81" t="b">
        <v>0</v>
      </c>
      <c r="AS725" s="81" t="b">
        <v>0</v>
      </c>
      <c r="AT725" s="81"/>
      <c r="AU725" s="81">
        <v>16</v>
      </c>
      <c r="AV725" s="81"/>
      <c r="AW725" s="81" t="b">
        <v>0</v>
      </c>
      <c r="AX725" s="81" t="s">
        <v>3728</v>
      </c>
      <c r="AY725" s="84" t="str">
        <f>HYPERLINK("https://twitter.com/pjmnjjkk")</f>
        <v>https://twitter.com/pjmnjjkk</v>
      </c>
      <c r="AZ725" s="81" t="s">
        <v>66</v>
      </c>
      <c r="BA725" s="2"/>
      <c r="BB725" s="3"/>
      <c r="BC725" s="3"/>
      <c r="BD725" s="3"/>
      <c r="BE725" s="3"/>
    </row>
    <row r="726" spans="1:57" x14ac:dyDescent="0.35">
      <c r="A726" s="66" t="s">
        <v>466</v>
      </c>
      <c r="B726" s="67"/>
      <c r="C726" s="67"/>
      <c r="D726" s="68"/>
      <c r="E726" s="94"/>
      <c r="F726" s="93" t="str">
        <f>HYPERLINK("https://pbs.twimg.com/profile_images/1437260595397480449/EzYD5Pfz_normal.jpg")</f>
        <v>https://pbs.twimg.com/profile_images/1437260595397480449/EzYD5Pfz_normal.jpg</v>
      </c>
      <c r="G726" s="95"/>
      <c r="H726" s="71"/>
      <c r="I726" s="72"/>
      <c r="J726" s="96"/>
      <c r="K726" s="71" t="s">
        <v>4013</v>
      </c>
      <c r="L726" s="97"/>
      <c r="M726" s="76"/>
      <c r="N726" s="76"/>
      <c r="O726" s="77"/>
      <c r="P726" s="78"/>
      <c r="Q726" s="78"/>
      <c r="R726" s="92"/>
      <c r="S726" s="92"/>
      <c r="T726" s="92"/>
      <c r="U726" s="92"/>
      <c r="V726" s="52"/>
      <c r="W726" s="52"/>
      <c r="X726" s="52"/>
      <c r="Y726" s="52"/>
      <c r="Z726" s="51"/>
      <c r="AA726" s="73"/>
      <c r="AB726" s="73"/>
      <c r="AC726" s="74"/>
      <c r="AD726" s="81" t="s">
        <v>2529</v>
      </c>
      <c r="AE726" s="86" t="s">
        <v>2954</v>
      </c>
      <c r="AF726" s="81">
        <v>971</v>
      </c>
      <c r="AG726" s="81">
        <v>868</v>
      </c>
      <c r="AH726" s="81">
        <v>7012</v>
      </c>
      <c r="AI726" s="81">
        <v>18425</v>
      </c>
      <c r="AJ726" s="81"/>
      <c r="AK726" s="81" t="s">
        <v>3356</v>
      </c>
      <c r="AL726" s="81" t="s">
        <v>3509</v>
      </c>
      <c r="AM726" s="81"/>
      <c r="AN726" s="81"/>
      <c r="AO726" s="83">
        <v>43965.393993055557</v>
      </c>
      <c r="AP726" s="84" t="str">
        <f>HYPERLINK("https://pbs.twimg.com/profile_banners/1260864137912975360/1631504602")</f>
        <v>https://pbs.twimg.com/profile_banners/1260864137912975360/1631504602</v>
      </c>
      <c r="AQ726" s="81" t="b">
        <v>1</v>
      </c>
      <c r="AR726" s="81" t="b">
        <v>0</v>
      </c>
      <c r="AS726" s="81" t="b">
        <v>0</v>
      </c>
      <c r="AT726" s="81"/>
      <c r="AU726" s="81">
        <v>6</v>
      </c>
      <c r="AV726" s="81"/>
      <c r="AW726" s="81" t="b">
        <v>0</v>
      </c>
      <c r="AX726" s="81" t="s">
        <v>3728</v>
      </c>
      <c r="AY726" s="84" t="str">
        <f>HYPERLINK("https://twitter.com/jiminiekiyowoo")</f>
        <v>https://twitter.com/jiminiekiyowoo</v>
      </c>
      <c r="AZ726" s="81" t="s">
        <v>66</v>
      </c>
      <c r="BA726" s="2"/>
      <c r="BB726" s="3"/>
      <c r="BC726" s="3"/>
      <c r="BD726" s="3"/>
      <c r="BE726" s="3"/>
    </row>
    <row r="727" spans="1:57" x14ac:dyDescent="0.35">
      <c r="A727" s="66" t="s">
        <v>4474</v>
      </c>
      <c r="B727" s="67"/>
      <c r="C727" s="67"/>
      <c r="D727" s="68"/>
      <c r="E727" s="94"/>
      <c r="F727" s="93" t="str">
        <f>HYPERLINK("https://pbs.twimg.com/profile_images/1435087881152905218/AtmGMxSf_normal.jpg")</f>
        <v>https://pbs.twimg.com/profile_images/1435087881152905218/AtmGMxSf_normal.jpg</v>
      </c>
      <c r="G727" s="95"/>
      <c r="H727" s="71"/>
      <c r="I727" s="72"/>
      <c r="J727" s="96"/>
      <c r="K727" s="71" t="s">
        <v>11826</v>
      </c>
      <c r="L727" s="97"/>
      <c r="M727" s="76"/>
      <c r="N727" s="76"/>
      <c r="O727" s="77"/>
      <c r="P727" s="78"/>
      <c r="Q727" s="78"/>
      <c r="R727" s="92"/>
      <c r="S727" s="92"/>
      <c r="T727" s="92"/>
      <c r="U727" s="92"/>
      <c r="V727" s="52"/>
      <c r="W727" s="52"/>
      <c r="X727" s="52"/>
      <c r="Y727" s="52"/>
      <c r="Z727" s="51"/>
      <c r="AA727" s="73"/>
      <c r="AB727" s="73"/>
      <c r="AC727" s="74"/>
      <c r="AD727" s="81" t="s">
        <v>8452</v>
      </c>
      <c r="AE727" s="86" t="s">
        <v>9460</v>
      </c>
      <c r="AF727" s="81">
        <v>280</v>
      </c>
      <c r="AG727" s="81">
        <v>67</v>
      </c>
      <c r="AH727" s="81">
        <v>4097</v>
      </c>
      <c r="AI727" s="81">
        <v>5737</v>
      </c>
      <c r="AJ727" s="81"/>
      <c r="AK727" s="81"/>
      <c r="AL727" s="81" t="s">
        <v>11139</v>
      </c>
      <c r="AM727" s="81"/>
      <c r="AN727" s="81"/>
      <c r="AO727" s="83">
        <v>40504.032175925924</v>
      </c>
      <c r="AP727" s="84" t="str">
        <f>HYPERLINK("https://pbs.twimg.com/profile_banners/218315118/1536197182")</f>
        <v>https://pbs.twimg.com/profile_banners/218315118/1536197182</v>
      </c>
      <c r="AQ727" s="81" t="b">
        <v>0</v>
      </c>
      <c r="AR727" s="81" t="b">
        <v>0</v>
      </c>
      <c r="AS727" s="81" t="b">
        <v>1</v>
      </c>
      <c r="AT727" s="81"/>
      <c r="AU727" s="81">
        <v>0</v>
      </c>
      <c r="AV727" s="84" t="str">
        <f>HYPERLINK("https://abs.twimg.com/images/themes/theme5/bg.gif")</f>
        <v>https://abs.twimg.com/images/themes/theme5/bg.gif</v>
      </c>
      <c r="AW727" s="81" t="b">
        <v>0</v>
      </c>
      <c r="AX727" s="81" t="s">
        <v>3728</v>
      </c>
      <c r="AY727" s="84" t="str">
        <f>HYPERLINK("https://twitter.com/antoniocsfilho")</f>
        <v>https://twitter.com/antoniocsfilho</v>
      </c>
      <c r="AZ727" s="81" t="s">
        <v>66</v>
      </c>
      <c r="BA727" s="2"/>
      <c r="BB727" s="3"/>
      <c r="BC727" s="3"/>
      <c r="BD727" s="3"/>
      <c r="BE727" s="3"/>
    </row>
    <row r="728" spans="1:57" x14ac:dyDescent="0.35">
      <c r="A728" s="66" t="s">
        <v>4475</v>
      </c>
      <c r="B728" s="67"/>
      <c r="C728" s="67"/>
      <c r="D728" s="68"/>
      <c r="E728" s="94"/>
      <c r="F728" s="93" t="str">
        <f>HYPERLINK("https://pbs.twimg.com/profile_images/886149320843591682/gL4X_fR1_normal.jpg")</f>
        <v>https://pbs.twimg.com/profile_images/886149320843591682/gL4X_fR1_normal.jpg</v>
      </c>
      <c r="G728" s="95"/>
      <c r="H728" s="71"/>
      <c r="I728" s="72"/>
      <c r="J728" s="96"/>
      <c r="K728" s="71" t="s">
        <v>11827</v>
      </c>
      <c r="L728" s="97"/>
      <c r="M728" s="76"/>
      <c r="N728" s="76"/>
      <c r="O728" s="77"/>
      <c r="P728" s="78"/>
      <c r="Q728" s="78"/>
      <c r="R728" s="92"/>
      <c r="S728" s="92"/>
      <c r="T728" s="92"/>
      <c r="U728" s="92"/>
      <c r="V728" s="52"/>
      <c r="W728" s="52"/>
      <c r="X728" s="52"/>
      <c r="Y728" s="52"/>
      <c r="Z728" s="51"/>
      <c r="AA728" s="73"/>
      <c r="AB728" s="73"/>
      <c r="AC728" s="74"/>
      <c r="AD728" s="81" t="s">
        <v>8453</v>
      </c>
      <c r="AE728" s="86" t="s">
        <v>9461</v>
      </c>
      <c r="AF728" s="81">
        <v>224</v>
      </c>
      <c r="AG728" s="81">
        <v>10144</v>
      </c>
      <c r="AH728" s="81">
        <v>12167</v>
      </c>
      <c r="AI728" s="81">
        <v>3328</v>
      </c>
      <c r="AJ728" s="81"/>
      <c r="AK728" s="81" t="s">
        <v>10411</v>
      </c>
      <c r="AL728" s="81" t="s">
        <v>11148</v>
      </c>
      <c r="AM728" s="81"/>
      <c r="AN728" s="81"/>
      <c r="AO728" s="83">
        <v>42142.577673611115</v>
      </c>
      <c r="AP728" s="81"/>
      <c r="AQ728" s="81" t="b">
        <v>1</v>
      </c>
      <c r="AR728" s="81" t="b">
        <v>0</v>
      </c>
      <c r="AS728" s="81" t="b">
        <v>0</v>
      </c>
      <c r="AT728" s="81"/>
      <c r="AU728" s="81">
        <v>100</v>
      </c>
      <c r="AV728" s="84" t="str">
        <f>HYPERLINK("https://abs.twimg.com/images/themes/theme1/bg.png")</f>
        <v>https://abs.twimg.com/images/themes/theme1/bg.png</v>
      </c>
      <c r="AW728" s="81" t="b">
        <v>0</v>
      </c>
      <c r="AX728" s="81" t="s">
        <v>3728</v>
      </c>
      <c r="AY728" s="84" t="str">
        <f>HYPERLINK("https://twitter.com/doctimcook")</f>
        <v>https://twitter.com/doctimcook</v>
      </c>
      <c r="AZ728" s="81" t="s">
        <v>66</v>
      </c>
      <c r="BA728" s="2"/>
      <c r="BB728" s="3"/>
      <c r="BC728" s="3"/>
      <c r="BD728" s="3"/>
      <c r="BE728" s="3"/>
    </row>
    <row r="729" spans="1:57" x14ac:dyDescent="0.35">
      <c r="A729" s="66" t="s">
        <v>5089</v>
      </c>
      <c r="B729" s="67"/>
      <c r="C729" s="67"/>
      <c r="D729" s="68"/>
      <c r="E729" s="94"/>
      <c r="F729" s="93" t="str">
        <f>HYPERLINK("https://pbs.twimg.com/profile_images/1265148743667511302/1H5ChZBl_normal.jpg")</f>
        <v>https://pbs.twimg.com/profile_images/1265148743667511302/1H5ChZBl_normal.jpg</v>
      </c>
      <c r="G729" s="95"/>
      <c r="H729" s="71"/>
      <c r="I729" s="72"/>
      <c r="J729" s="96"/>
      <c r="K729" s="71" t="s">
        <v>11828</v>
      </c>
      <c r="L729" s="97"/>
      <c r="M729" s="76"/>
      <c r="N729" s="76"/>
      <c r="O729" s="77"/>
      <c r="P729" s="78"/>
      <c r="Q729" s="78"/>
      <c r="R729" s="92"/>
      <c r="S729" s="92"/>
      <c r="T729" s="92"/>
      <c r="U729" s="92"/>
      <c r="V729" s="52"/>
      <c r="W729" s="52"/>
      <c r="X729" s="52"/>
      <c r="Y729" s="52"/>
      <c r="Z729" s="51"/>
      <c r="AA729" s="73"/>
      <c r="AB729" s="73"/>
      <c r="AC729" s="74"/>
      <c r="AD729" s="81" t="s">
        <v>8454</v>
      </c>
      <c r="AE729" s="86" t="s">
        <v>7863</v>
      </c>
      <c r="AF729" s="81">
        <v>650</v>
      </c>
      <c r="AG729" s="81">
        <v>1249</v>
      </c>
      <c r="AH729" s="81">
        <v>14482</v>
      </c>
      <c r="AI729" s="81">
        <v>12866</v>
      </c>
      <c r="AJ729" s="81"/>
      <c r="AK729" s="81" t="s">
        <v>10412</v>
      </c>
      <c r="AL729" s="81" t="s">
        <v>11149</v>
      </c>
      <c r="AM729" s="84" t="str">
        <f>HYPERLINK("https://t.co/CHBj9KTRPS")</f>
        <v>https://t.co/CHBj9KTRPS</v>
      </c>
      <c r="AN729" s="81"/>
      <c r="AO729" s="83">
        <v>40867.367569444446</v>
      </c>
      <c r="AP729" s="84" t="str">
        <f>HYPERLINK("https://pbs.twimg.com/profile_banners/416908307/1594946628")</f>
        <v>https://pbs.twimg.com/profile_banners/416908307/1594946628</v>
      </c>
      <c r="AQ729" s="81" t="b">
        <v>1</v>
      </c>
      <c r="AR729" s="81" t="b">
        <v>0</v>
      </c>
      <c r="AS729" s="81" t="b">
        <v>0</v>
      </c>
      <c r="AT729" s="81"/>
      <c r="AU729" s="81">
        <v>17</v>
      </c>
      <c r="AV729" s="84" t="str">
        <f>HYPERLINK("https://abs.twimg.com/images/themes/theme1/bg.png")</f>
        <v>https://abs.twimg.com/images/themes/theme1/bg.png</v>
      </c>
      <c r="AW729" s="81" t="b">
        <v>0</v>
      </c>
      <c r="AX729" s="81" t="s">
        <v>3728</v>
      </c>
      <c r="AY729" s="84" t="str">
        <f>HYPERLINK("https://twitter.com/lotusgav")</f>
        <v>https://twitter.com/lotusgav</v>
      </c>
      <c r="AZ729" s="81" t="s">
        <v>65</v>
      </c>
      <c r="BA729" s="2"/>
      <c r="BB729" s="3"/>
      <c r="BC729" s="3"/>
      <c r="BD729" s="3"/>
      <c r="BE729" s="3"/>
    </row>
    <row r="730" spans="1:57" x14ac:dyDescent="0.35">
      <c r="A730" s="66" t="s">
        <v>467</v>
      </c>
      <c r="B730" s="67"/>
      <c r="C730" s="67"/>
      <c r="D730" s="68"/>
      <c r="E730" s="94"/>
      <c r="F730" s="93" t="str">
        <f>HYPERLINK("https://pbs.twimg.com/profile_images/1443039488498814977/m1qV-NNA_normal.jpg")</f>
        <v>https://pbs.twimg.com/profile_images/1443039488498814977/m1qV-NNA_normal.jpg</v>
      </c>
      <c r="G730" s="95"/>
      <c r="H730" s="71"/>
      <c r="I730" s="72"/>
      <c r="J730" s="96"/>
      <c r="K730" s="71" t="s">
        <v>4014</v>
      </c>
      <c r="L730" s="97"/>
      <c r="M730" s="76"/>
      <c r="N730" s="76"/>
      <c r="O730" s="77"/>
      <c r="P730" s="78"/>
      <c r="Q730" s="78"/>
      <c r="R730" s="92"/>
      <c r="S730" s="92"/>
      <c r="T730" s="92"/>
      <c r="U730" s="92"/>
      <c r="V730" s="52"/>
      <c r="W730" s="52"/>
      <c r="X730" s="52"/>
      <c r="Y730" s="52"/>
      <c r="Z730" s="51"/>
      <c r="AA730" s="73"/>
      <c r="AB730" s="73"/>
      <c r="AC730" s="74"/>
      <c r="AD730" s="81" t="s">
        <v>13480</v>
      </c>
      <c r="AE730" s="86" t="s">
        <v>2955</v>
      </c>
      <c r="AF730" s="81">
        <v>1696</v>
      </c>
      <c r="AG730" s="81">
        <v>1731</v>
      </c>
      <c r="AH730" s="81">
        <v>38773</v>
      </c>
      <c r="AI730" s="81">
        <v>23784</v>
      </c>
      <c r="AJ730" s="81"/>
      <c r="AK730" s="81" t="s">
        <v>3357</v>
      </c>
      <c r="AL730" s="81" t="s">
        <v>3661</v>
      </c>
      <c r="AM730" s="84" t="str">
        <f>HYPERLINK("https://t.co/kbz7vivPfW")</f>
        <v>https://t.co/kbz7vivPfW</v>
      </c>
      <c r="AN730" s="81"/>
      <c r="AO730" s="83">
        <v>43554.725763888891</v>
      </c>
      <c r="AP730" s="84" t="str">
        <f>HYPERLINK("https://pbs.twimg.com/profile_banners/1112043081178578944/1632882398")</f>
        <v>https://pbs.twimg.com/profile_banners/1112043081178578944/1632882398</v>
      </c>
      <c r="AQ730" s="81" t="b">
        <v>1</v>
      </c>
      <c r="AR730" s="81" t="b">
        <v>0</v>
      </c>
      <c r="AS730" s="81" t="b">
        <v>0</v>
      </c>
      <c r="AT730" s="81"/>
      <c r="AU730" s="81">
        <v>14</v>
      </c>
      <c r="AV730" s="81"/>
      <c r="AW730" s="81" t="b">
        <v>0</v>
      </c>
      <c r="AX730" s="81" t="s">
        <v>3728</v>
      </c>
      <c r="AY730" s="84" t="str">
        <f>HYPERLINK("https://twitter.com/yyoongs93")</f>
        <v>https://twitter.com/yyoongs93</v>
      </c>
      <c r="AZ730" s="81" t="s">
        <v>66</v>
      </c>
      <c r="BA730" s="2"/>
      <c r="BB730" s="3"/>
      <c r="BC730" s="3"/>
      <c r="BD730" s="3"/>
      <c r="BE730" s="3"/>
    </row>
    <row r="731" spans="1:57" x14ac:dyDescent="0.35">
      <c r="A731" s="66" t="s">
        <v>4476</v>
      </c>
      <c r="B731" s="67"/>
      <c r="C731" s="67"/>
      <c r="D731" s="68"/>
      <c r="E731" s="94"/>
      <c r="F731" s="93" t="str">
        <f>HYPERLINK("https://pbs.twimg.com/profile_images/1435992062923575297/EKeuUL_p_normal.jpg")</f>
        <v>https://pbs.twimg.com/profile_images/1435992062923575297/EKeuUL_p_normal.jpg</v>
      </c>
      <c r="G731" s="95"/>
      <c r="H731" s="71"/>
      <c r="I731" s="72"/>
      <c r="J731" s="96"/>
      <c r="K731" s="71" t="s">
        <v>11829</v>
      </c>
      <c r="L731" s="97"/>
      <c r="M731" s="76"/>
      <c r="N731" s="76"/>
      <c r="O731" s="77"/>
      <c r="P731" s="78"/>
      <c r="Q731" s="78"/>
      <c r="R731" s="92"/>
      <c r="S731" s="92"/>
      <c r="T731" s="92"/>
      <c r="U731" s="92"/>
      <c r="V731" s="52"/>
      <c r="W731" s="52"/>
      <c r="X731" s="52"/>
      <c r="Y731" s="52"/>
      <c r="Z731" s="51"/>
      <c r="AA731" s="73"/>
      <c r="AB731" s="73"/>
      <c r="AC731" s="74"/>
      <c r="AD731" s="81" t="s">
        <v>8455</v>
      </c>
      <c r="AE731" s="86" t="s">
        <v>9462</v>
      </c>
      <c r="AF731" s="81">
        <v>436</v>
      </c>
      <c r="AG731" s="81">
        <v>175</v>
      </c>
      <c r="AH731" s="81">
        <v>863</v>
      </c>
      <c r="AI731" s="81">
        <v>331</v>
      </c>
      <c r="AJ731" s="81"/>
      <c r="AK731" s="81" t="s">
        <v>10413</v>
      </c>
      <c r="AL731" s="81" t="s">
        <v>11150</v>
      </c>
      <c r="AM731" s="81"/>
      <c r="AN731" s="81"/>
      <c r="AO731" s="83">
        <v>44393.297858796293</v>
      </c>
      <c r="AP731" s="84" t="str">
        <f>HYPERLINK("https://pbs.twimg.com/profile_banners/1415931405507440643/1629504707")</f>
        <v>https://pbs.twimg.com/profile_banners/1415931405507440643/1629504707</v>
      </c>
      <c r="AQ731" s="81" t="b">
        <v>1</v>
      </c>
      <c r="AR731" s="81" t="b">
        <v>0</v>
      </c>
      <c r="AS731" s="81" t="b">
        <v>0</v>
      </c>
      <c r="AT731" s="81"/>
      <c r="AU731" s="81">
        <v>0</v>
      </c>
      <c r="AV731" s="81"/>
      <c r="AW731" s="81" t="b">
        <v>0</v>
      </c>
      <c r="AX731" s="81" t="s">
        <v>3728</v>
      </c>
      <c r="AY731" s="84" t="str">
        <f>HYPERLINK("https://twitter.com/pt_viiannaa")</f>
        <v>https://twitter.com/pt_viiannaa</v>
      </c>
      <c r="AZ731" s="81" t="s">
        <v>66</v>
      </c>
      <c r="BA731" s="2"/>
      <c r="BB731" s="3"/>
      <c r="BC731" s="3"/>
      <c r="BD731" s="3"/>
      <c r="BE731" s="3"/>
    </row>
    <row r="732" spans="1:57" x14ac:dyDescent="0.35">
      <c r="A732" s="66" t="s">
        <v>468</v>
      </c>
      <c r="B732" s="67"/>
      <c r="C732" s="67"/>
      <c r="D732" s="68"/>
      <c r="E732" s="94"/>
      <c r="F732" s="93" t="str">
        <f>HYPERLINK("https://pbs.twimg.com/profile_images/1440603783386439687/z__QMPZ1_normal.jpg")</f>
        <v>https://pbs.twimg.com/profile_images/1440603783386439687/z__QMPZ1_normal.jpg</v>
      </c>
      <c r="G732" s="95"/>
      <c r="H732" s="71"/>
      <c r="I732" s="72"/>
      <c r="J732" s="96"/>
      <c r="K732" s="71" t="s">
        <v>4015</v>
      </c>
      <c r="L732" s="97"/>
      <c r="M732" s="76"/>
      <c r="N732" s="76"/>
      <c r="O732" s="77"/>
      <c r="P732" s="78"/>
      <c r="Q732" s="78"/>
      <c r="R732" s="92"/>
      <c r="S732" s="92"/>
      <c r="T732" s="92"/>
      <c r="U732" s="92"/>
      <c r="V732" s="52"/>
      <c r="W732" s="52"/>
      <c r="X732" s="52"/>
      <c r="Y732" s="52"/>
      <c r="Z732" s="51"/>
      <c r="AA732" s="73"/>
      <c r="AB732" s="73"/>
      <c r="AC732" s="74"/>
      <c r="AD732" s="81" t="s">
        <v>2530</v>
      </c>
      <c r="AE732" s="86" t="s">
        <v>2956</v>
      </c>
      <c r="AF732" s="81">
        <v>1002</v>
      </c>
      <c r="AG732" s="81">
        <v>507</v>
      </c>
      <c r="AH732" s="81">
        <v>12356</v>
      </c>
      <c r="AI732" s="81">
        <v>15751</v>
      </c>
      <c r="AJ732" s="81"/>
      <c r="AK732" s="81" t="s">
        <v>3358</v>
      </c>
      <c r="AL732" s="81"/>
      <c r="AM732" s="81"/>
      <c r="AN732" s="81"/>
      <c r="AO732" s="83">
        <v>42975.201574074075</v>
      </c>
      <c r="AP732" s="84" t="str">
        <f>HYPERLINK("https://pbs.twimg.com/profile_banners/902030548058521600/1632187290")</f>
        <v>https://pbs.twimg.com/profile_banners/902030548058521600/1632187290</v>
      </c>
      <c r="AQ732" s="81" t="b">
        <v>1</v>
      </c>
      <c r="AR732" s="81" t="b">
        <v>0</v>
      </c>
      <c r="AS732" s="81" t="b">
        <v>1</v>
      </c>
      <c r="AT732" s="81"/>
      <c r="AU732" s="81">
        <v>0</v>
      </c>
      <c r="AV732" s="81"/>
      <c r="AW732" s="81" t="b">
        <v>0</v>
      </c>
      <c r="AX732" s="81" t="s">
        <v>3728</v>
      </c>
      <c r="AY732" s="84" t="str">
        <f>HYPERLINK("https://twitter.com/lyayae_")</f>
        <v>https://twitter.com/lyayae_</v>
      </c>
      <c r="AZ732" s="81" t="s">
        <v>66</v>
      </c>
      <c r="BA732" s="2"/>
      <c r="BB732" s="3"/>
      <c r="BC732" s="3"/>
      <c r="BD732" s="3"/>
      <c r="BE732" s="3"/>
    </row>
    <row r="733" spans="1:57" x14ac:dyDescent="0.35">
      <c r="A733" s="66" t="s">
        <v>469</v>
      </c>
      <c r="B733" s="67"/>
      <c r="C733" s="67"/>
      <c r="D733" s="68"/>
      <c r="E733" s="94"/>
      <c r="F733" s="93" t="str">
        <f>HYPERLINK("https://pbs.twimg.com/profile_images/1406091383543193607/T-Ts9soq_normal.jpg")</f>
        <v>https://pbs.twimg.com/profile_images/1406091383543193607/T-Ts9soq_normal.jpg</v>
      </c>
      <c r="G733" s="95"/>
      <c r="H733" s="71"/>
      <c r="I733" s="72"/>
      <c r="J733" s="96"/>
      <c r="K733" s="71" t="s">
        <v>4016</v>
      </c>
      <c r="L733" s="97"/>
      <c r="M733" s="76"/>
      <c r="N733" s="76"/>
      <c r="O733" s="77"/>
      <c r="P733" s="78"/>
      <c r="Q733" s="78"/>
      <c r="R733" s="92"/>
      <c r="S733" s="92"/>
      <c r="T733" s="92"/>
      <c r="U733" s="92"/>
      <c r="V733" s="52"/>
      <c r="W733" s="52"/>
      <c r="X733" s="52"/>
      <c r="Y733" s="52"/>
      <c r="Z733" s="51"/>
      <c r="AA733" s="73"/>
      <c r="AB733" s="73"/>
      <c r="AC733" s="74"/>
      <c r="AD733" s="81" t="s">
        <v>2531</v>
      </c>
      <c r="AE733" s="86" t="s">
        <v>2957</v>
      </c>
      <c r="AF733" s="81">
        <v>460</v>
      </c>
      <c r="AG733" s="81">
        <v>1279</v>
      </c>
      <c r="AH733" s="81">
        <v>26272</v>
      </c>
      <c r="AI733" s="81">
        <v>4297</v>
      </c>
      <c r="AJ733" s="81"/>
      <c r="AK733" s="81" t="s">
        <v>3359</v>
      </c>
      <c r="AL733" s="81"/>
      <c r="AM733" s="84" t="str">
        <f>HYPERLINK("https://t.co/pqzf0NDkV1")</f>
        <v>https://t.co/pqzf0NDkV1</v>
      </c>
      <c r="AN733" s="81"/>
      <c r="AO733" s="83">
        <v>41201.944861111115</v>
      </c>
      <c r="AP733" s="84" t="str">
        <f>HYPERLINK("https://pbs.twimg.com/profile_banners/891979194/1595948537")</f>
        <v>https://pbs.twimg.com/profile_banners/891979194/1595948537</v>
      </c>
      <c r="AQ733" s="81" t="b">
        <v>0</v>
      </c>
      <c r="AR733" s="81" t="b">
        <v>0</v>
      </c>
      <c r="AS733" s="81" t="b">
        <v>1</v>
      </c>
      <c r="AT733" s="81"/>
      <c r="AU733" s="81">
        <v>0</v>
      </c>
      <c r="AV733" s="84" t="str">
        <f>HYPERLINK("https://abs.twimg.com/images/themes/theme10/bg.gif")</f>
        <v>https://abs.twimg.com/images/themes/theme10/bg.gif</v>
      </c>
      <c r="AW733" s="81" t="b">
        <v>0</v>
      </c>
      <c r="AX733" s="81" t="s">
        <v>3728</v>
      </c>
      <c r="AY733" s="84" t="str">
        <f>HYPERLINK("https://twitter.com/sitirdeenaa")</f>
        <v>https://twitter.com/sitirdeenaa</v>
      </c>
      <c r="AZ733" s="81" t="s">
        <v>66</v>
      </c>
      <c r="BA733" s="2"/>
      <c r="BB733" s="3"/>
      <c r="BC733" s="3"/>
      <c r="BD733" s="3"/>
      <c r="BE733" s="3"/>
    </row>
    <row r="734" spans="1:57" x14ac:dyDescent="0.35">
      <c r="A734" s="66" t="s">
        <v>657</v>
      </c>
      <c r="B734" s="67"/>
      <c r="C734" s="67"/>
      <c r="D734" s="68"/>
      <c r="E734" s="94"/>
      <c r="F734" s="93" t="str">
        <f>HYPERLINK("https://pbs.twimg.com/profile_images/1383499654889758721/sj9375kE_normal.jpg")</f>
        <v>https://pbs.twimg.com/profile_images/1383499654889758721/sj9375kE_normal.jpg</v>
      </c>
      <c r="G734" s="95"/>
      <c r="H734" s="71"/>
      <c r="I734" s="72"/>
      <c r="J734" s="96"/>
      <c r="K734" s="71" t="s">
        <v>4017</v>
      </c>
      <c r="L734" s="97"/>
      <c r="M734" s="76"/>
      <c r="N734" s="76"/>
      <c r="O734" s="77"/>
      <c r="P734" s="78"/>
      <c r="Q734" s="78"/>
      <c r="R734" s="92"/>
      <c r="S734" s="92"/>
      <c r="T734" s="92"/>
      <c r="U734" s="92"/>
      <c r="V734" s="52"/>
      <c r="W734" s="52"/>
      <c r="X734" s="52"/>
      <c r="Y734" s="52"/>
      <c r="Z734" s="51"/>
      <c r="AA734" s="73"/>
      <c r="AB734" s="73"/>
      <c r="AC734" s="74"/>
      <c r="AD734" s="81" t="s">
        <v>2532</v>
      </c>
      <c r="AE734" s="86" t="s">
        <v>2124</v>
      </c>
      <c r="AF734" s="81">
        <v>70</v>
      </c>
      <c r="AG734" s="81">
        <v>74</v>
      </c>
      <c r="AH734" s="81">
        <v>4050</v>
      </c>
      <c r="AI734" s="81">
        <v>3160</v>
      </c>
      <c r="AJ734" s="81"/>
      <c r="AK734" s="81" t="s">
        <v>3360</v>
      </c>
      <c r="AL734" s="81" t="s">
        <v>3662</v>
      </c>
      <c r="AM734" s="84" t="str">
        <f>HYPERLINK("https://t.co/oKZZgnboBw")</f>
        <v>https://t.co/oKZZgnboBw</v>
      </c>
      <c r="AN734" s="81"/>
      <c r="AO734" s="83">
        <v>43708.389745370368</v>
      </c>
      <c r="AP734" s="84" t="str">
        <f>HYPERLINK("https://pbs.twimg.com/profile_banners/1167729011184680961/1632407761")</f>
        <v>https://pbs.twimg.com/profile_banners/1167729011184680961/1632407761</v>
      </c>
      <c r="AQ734" s="81" t="b">
        <v>1</v>
      </c>
      <c r="AR734" s="81" t="b">
        <v>0</v>
      </c>
      <c r="AS734" s="81" t="b">
        <v>0</v>
      </c>
      <c r="AT734" s="81"/>
      <c r="AU734" s="81">
        <v>0</v>
      </c>
      <c r="AV734" s="81"/>
      <c r="AW734" s="81" t="b">
        <v>0</v>
      </c>
      <c r="AX734" s="81" t="s">
        <v>3728</v>
      </c>
      <c r="AY734" s="84" t="str">
        <f>HYPERLINK("https://twitter.com/rashiqahhhh")</f>
        <v>https://twitter.com/rashiqahhhh</v>
      </c>
      <c r="AZ734" s="81" t="s">
        <v>65</v>
      </c>
      <c r="BA734" s="2"/>
      <c r="BB734" s="3"/>
      <c r="BC734" s="3"/>
      <c r="BD734" s="3"/>
      <c r="BE734" s="3"/>
    </row>
    <row r="735" spans="1:57" x14ac:dyDescent="0.35">
      <c r="A735" s="66" t="s">
        <v>470</v>
      </c>
      <c r="B735" s="67"/>
      <c r="C735" s="67"/>
      <c r="D735" s="68"/>
      <c r="E735" s="94"/>
      <c r="F735" s="93" t="str">
        <f>HYPERLINK("https://pbs.twimg.com/profile_images/1433094533198200835/ejGKk1WS_normal.jpg")</f>
        <v>https://pbs.twimg.com/profile_images/1433094533198200835/ejGKk1WS_normal.jpg</v>
      </c>
      <c r="G735" s="95"/>
      <c r="H735" s="71"/>
      <c r="I735" s="72"/>
      <c r="J735" s="96"/>
      <c r="K735" s="71" t="s">
        <v>4018</v>
      </c>
      <c r="L735" s="97"/>
      <c r="M735" s="76"/>
      <c r="N735" s="76"/>
      <c r="O735" s="77"/>
      <c r="P735" s="78"/>
      <c r="Q735" s="78"/>
      <c r="R735" s="92"/>
      <c r="S735" s="92"/>
      <c r="T735" s="92"/>
      <c r="U735" s="92"/>
      <c r="V735" s="52"/>
      <c r="W735" s="52"/>
      <c r="X735" s="52"/>
      <c r="Y735" s="52"/>
      <c r="Z735" s="51"/>
      <c r="AA735" s="73"/>
      <c r="AB735" s="73"/>
      <c r="AC735" s="74"/>
      <c r="AD735" s="81" t="s">
        <v>2533</v>
      </c>
      <c r="AE735" s="86" t="s">
        <v>2958</v>
      </c>
      <c r="AF735" s="81">
        <v>940</v>
      </c>
      <c r="AG735" s="81">
        <v>806</v>
      </c>
      <c r="AH735" s="81">
        <v>2508</v>
      </c>
      <c r="AI735" s="81">
        <v>1817</v>
      </c>
      <c r="AJ735" s="81"/>
      <c r="AK735" s="81" t="s">
        <v>3361</v>
      </c>
      <c r="AL735" s="81" t="s">
        <v>3663</v>
      </c>
      <c r="AM735" s="81"/>
      <c r="AN735" s="81"/>
      <c r="AO735" s="83">
        <v>44440.657488425924</v>
      </c>
      <c r="AP735" s="84" t="str">
        <f>HYPERLINK("https://pbs.twimg.com/profile_banners/1433093897207517184/1632240629")</f>
        <v>https://pbs.twimg.com/profile_banners/1433093897207517184/1632240629</v>
      </c>
      <c r="AQ735" s="81" t="b">
        <v>1</v>
      </c>
      <c r="AR735" s="81" t="b">
        <v>0</v>
      </c>
      <c r="AS735" s="81" t="b">
        <v>0</v>
      </c>
      <c r="AT735" s="81"/>
      <c r="AU735" s="81">
        <v>5</v>
      </c>
      <c r="AV735" s="81"/>
      <c r="AW735" s="81" t="b">
        <v>0</v>
      </c>
      <c r="AX735" s="81" t="s">
        <v>3728</v>
      </c>
      <c r="AY735" s="84" t="str">
        <f>HYPERLINK("https://twitter.com/jaemdoongiessss")</f>
        <v>https://twitter.com/jaemdoongiessss</v>
      </c>
      <c r="AZ735" s="81" t="s">
        <v>66</v>
      </c>
      <c r="BA735" s="2"/>
      <c r="BB735" s="3"/>
      <c r="BC735" s="3"/>
      <c r="BD735" s="3"/>
      <c r="BE735" s="3"/>
    </row>
    <row r="736" spans="1:57" x14ac:dyDescent="0.35">
      <c r="A736" s="66" t="s">
        <v>658</v>
      </c>
      <c r="B736" s="67"/>
      <c r="C736" s="67"/>
      <c r="D736" s="68"/>
      <c r="E736" s="94"/>
      <c r="F736" s="93" t="str">
        <f>HYPERLINK("https://pbs.twimg.com/profile_images/1440847425481048065/DVAq5x7z_normal.jpg")</f>
        <v>https://pbs.twimg.com/profile_images/1440847425481048065/DVAq5x7z_normal.jpg</v>
      </c>
      <c r="G736" s="95"/>
      <c r="H736" s="71"/>
      <c r="I736" s="72"/>
      <c r="J736" s="96"/>
      <c r="K736" s="71" t="s">
        <v>4019</v>
      </c>
      <c r="L736" s="97"/>
      <c r="M736" s="76"/>
      <c r="N736" s="76"/>
      <c r="O736" s="77"/>
      <c r="P736" s="78"/>
      <c r="Q736" s="78"/>
      <c r="R736" s="92"/>
      <c r="S736" s="92"/>
      <c r="T736" s="92"/>
      <c r="U736" s="92"/>
      <c r="V736" s="52"/>
      <c r="W736" s="52"/>
      <c r="X736" s="52"/>
      <c r="Y736" s="52"/>
      <c r="Z736" s="51"/>
      <c r="AA736" s="73"/>
      <c r="AB736" s="73"/>
      <c r="AC736" s="74"/>
      <c r="AD736" s="81" t="s">
        <v>2534</v>
      </c>
      <c r="AE736" s="86" t="s">
        <v>2125</v>
      </c>
      <c r="AF736" s="81">
        <v>781</v>
      </c>
      <c r="AG736" s="81">
        <v>885</v>
      </c>
      <c r="AH736" s="81">
        <v>8168</v>
      </c>
      <c r="AI736" s="81">
        <v>11728</v>
      </c>
      <c r="AJ736" s="81"/>
      <c r="AK736" s="81" t="s">
        <v>3362</v>
      </c>
      <c r="AL736" s="81" t="s">
        <v>3664</v>
      </c>
      <c r="AM736" s="81"/>
      <c r="AN736" s="81"/>
      <c r="AO736" s="83">
        <v>44018.114189814813</v>
      </c>
      <c r="AP736" s="84" t="str">
        <f>HYPERLINK("https://pbs.twimg.com/profile_banners/1279969387370303489/1628013651")</f>
        <v>https://pbs.twimg.com/profile_banners/1279969387370303489/1628013651</v>
      </c>
      <c r="AQ736" s="81" t="b">
        <v>1</v>
      </c>
      <c r="AR736" s="81" t="b">
        <v>0</v>
      </c>
      <c r="AS736" s="81" t="b">
        <v>0</v>
      </c>
      <c r="AT736" s="81"/>
      <c r="AU736" s="81">
        <v>2</v>
      </c>
      <c r="AV736" s="81"/>
      <c r="AW736" s="81" t="b">
        <v>0</v>
      </c>
      <c r="AX736" s="81" t="s">
        <v>3728</v>
      </c>
      <c r="AY736" s="84" t="str">
        <f>HYPERLINK("https://twitter.com/sksksinjun")</f>
        <v>https://twitter.com/sksksinjun</v>
      </c>
      <c r="AZ736" s="81" t="s">
        <v>65</v>
      </c>
      <c r="BA736" s="2"/>
      <c r="BB736" s="3"/>
      <c r="BC736" s="3"/>
      <c r="BD736" s="3"/>
      <c r="BE736" s="3"/>
    </row>
    <row r="737" spans="1:57" x14ac:dyDescent="0.35">
      <c r="A737" s="66" t="s">
        <v>4477</v>
      </c>
      <c r="B737" s="67"/>
      <c r="C737" s="67"/>
      <c r="D737" s="68"/>
      <c r="E737" s="94"/>
      <c r="F737" s="93" t="str">
        <f>HYPERLINK("https://pbs.twimg.com/profile_images/1156661676512616448/qpi0jgnq_normal.jpg")</f>
        <v>https://pbs.twimg.com/profile_images/1156661676512616448/qpi0jgnq_normal.jpg</v>
      </c>
      <c r="G737" s="95"/>
      <c r="H737" s="71"/>
      <c r="I737" s="72"/>
      <c r="J737" s="96"/>
      <c r="K737" s="71" t="s">
        <v>11830</v>
      </c>
      <c r="L737" s="97"/>
      <c r="M737" s="76"/>
      <c r="N737" s="76"/>
      <c r="O737" s="77"/>
      <c r="P737" s="78"/>
      <c r="Q737" s="78"/>
      <c r="R737" s="92"/>
      <c r="S737" s="92"/>
      <c r="T737" s="92"/>
      <c r="U737" s="92"/>
      <c r="V737" s="52"/>
      <c r="W737" s="52"/>
      <c r="X737" s="52"/>
      <c r="Y737" s="52"/>
      <c r="Z737" s="51"/>
      <c r="AA737" s="73"/>
      <c r="AB737" s="73"/>
      <c r="AC737" s="74"/>
      <c r="AD737" s="81" t="s">
        <v>8456</v>
      </c>
      <c r="AE737" s="86" t="s">
        <v>9463</v>
      </c>
      <c r="AF737" s="81">
        <v>588</v>
      </c>
      <c r="AG737" s="81">
        <v>303</v>
      </c>
      <c r="AH737" s="81">
        <v>563</v>
      </c>
      <c r="AI737" s="81">
        <v>833</v>
      </c>
      <c r="AJ737" s="81"/>
      <c r="AK737" s="81" t="s">
        <v>10414</v>
      </c>
      <c r="AL737" s="81" t="s">
        <v>10985</v>
      </c>
      <c r="AM737" s="84" t="str">
        <f>HYPERLINK("https://t.co/sDBk9522wC")</f>
        <v>https://t.co/sDBk9522wC</v>
      </c>
      <c r="AN737" s="81"/>
      <c r="AO737" s="83">
        <v>43595.743854166663</v>
      </c>
      <c r="AP737" s="84" t="str">
        <f>HYPERLINK("https://pbs.twimg.com/profile_banners/1126907540305010688/1561415310")</f>
        <v>https://pbs.twimg.com/profile_banners/1126907540305010688/1561415310</v>
      </c>
      <c r="AQ737" s="81" t="b">
        <v>1</v>
      </c>
      <c r="AR737" s="81" t="b">
        <v>0</v>
      </c>
      <c r="AS737" s="81" t="b">
        <v>0</v>
      </c>
      <c r="AT737" s="81"/>
      <c r="AU737" s="81">
        <v>0</v>
      </c>
      <c r="AV737" s="81"/>
      <c r="AW737" s="81" t="b">
        <v>0</v>
      </c>
      <c r="AX737" s="81" t="s">
        <v>3728</v>
      </c>
      <c r="AY737" s="84" t="str">
        <f>HYPERLINK("https://twitter.com/jhowmitchel")</f>
        <v>https://twitter.com/jhowmitchel</v>
      </c>
      <c r="AZ737" s="81" t="s">
        <v>66</v>
      </c>
      <c r="BA737" s="2"/>
      <c r="BB737" s="3"/>
      <c r="BC737" s="3"/>
      <c r="BD737" s="3"/>
      <c r="BE737" s="3"/>
    </row>
    <row r="738" spans="1:57" x14ac:dyDescent="0.35">
      <c r="A738" s="66" t="s">
        <v>5090</v>
      </c>
      <c r="B738" s="67"/>
      <c r="C738" s="67"/>
      <c r="D738" s="68"/>
      <c r="E738" s="94"/>
      <c r="F738" s="93" t="str">
        <f>HYPERLINK("https://pbs.twimg.com/profile_images/1441679825345806340/x9GDSE17_normal.jpg")</f>
        <v>https://pbs.twimg.com/profile_images/1441679825345806340/x9GDSE17_normal.jpg</v>
      </c>
      <c r="G738" s="95"/>
      <c r="H738" s="71"/>
      <c r="I738" s="72"/>
      <c r="J738" s="96"/>
      <c r="K738" s="71" t="s">
        <v>11831</v>
      </c>
      <c r="L738" s="97"/>
      <c r="M738" s="76"/>
      <c r="N738" s="76"/>
      <c r="O738" s="77"/>
      <c r="P738" s="78"/>
      <c r="Q738" s="78"/>
      <c r="R738" s="92"/>
      <c r="S738" s="92"/>
      <c r="T738" s="92"/>
      <c r="U738" s="92"/>
      <c r="V738" s="52"/>
      <c r="W738" s="52"/>
      <c r="X738" s="52"/>
      <c r="Y738" s="52"/>
      <c r="Z738" s="51"/>
      <c r="AA738" s="73"/>
      <c r="AB738" s="73"/>
      <c r="AC738" s="74"/>
      <c r="AD738" s="81" t="s">
        <v>8457</v>
      </c>
      <c r="AE738" s="86" t="s">
        <v>7864</v>
      </c>
      <c r="AF738" s="81">
        <v>1156</v>
      </c>
      <c r="AG738" s="81">
        <v>2278</v>
      </c>
      <c r="AH738" s="81">
        <v>61817</v>
      </c>
      <c r="AI738" s="81">
        <v>138434</v>
      </c>
      <c r="AJ738" s="81"/>
      <c r="AK738" s="81" t="s">
        <v>10415</v>
      </c>
      <c r="AL738" s="81" t="s">
        <v>11151</v>
      </c>
      <c r="AM738" s="81"/>
      <c r="AN738" s="81"/>
      <c r="AO738" s="83">
        <v>43609.005810185183</v>
      </c>
      <c r="AP738" s="84" t="str">
        <f>HYPERLINK("https://pbs.twimg.com/profile_banners/1131713513141997568/1631991990")</f>
        <v>https://pbs.twimg.com/profile_banners/1131713513141997568/1631991990</v>
      </c>
      <c r="AQ738" s="81" t="b">
        <v>1</v>
      </c>
      <c r="AR738" s="81" t="b">
        <v>0</v>
      </c>
      <c r="AS738" s="81" t="b">
        <v>0</v>
      </c>
      <c r="AT738" s="81"/>
      <c r="AU738" s="81">
        <v>1</v>
      </c>
      <c r="AV738" s="81"/>
      <c r="AW738" s="81" t="b">
        <v>0</v>
      </c>
      <c r="AX738" s="81" t="s">
        <v>3728</v>
      </c>
      <c r="AY738" s="84" t="str">
        <f>HYPERLINK("https://twitter.com/annacomentts")</f>
        <v>https://twitter.com/annacomentts</v>
      </c>
      <c r="AZ738" s="81" t="s">
        <v>65</v>
      </c>
      <c r="BA738" s="2"/>
      <c r="BB738" s="3"/>
      <c r="BC738" s="3"/>
      <c r="BD738" s="3"/>
      <c r="BE738" s="3"/>
    </row>
    <row r="739" spans="1:57" x14ac:dyDescent="0.35">
      <c r="A739" s="66" t="s">
        <v>471</v>
      </c>
      <c r="B739" s="67"/>
      <c r="C739" s="67"/>
      <c r="D739" s="68"/>
      <c r="E739" s="94"/>
      <c r="F739" s="93" t="str">
        <f>HYPERLINK("https://pbs.twimg.com/profile_images/1437673253443551235/x6so6S-2_normal.jpg")</f>
        <v>https://pbs.twimg.com/profile_images/1437673253443551235/x6so6S-2_normal.jpg</v>
      </c>
      <c r="G739" s="95"/>
      <c r="H739" s="71"/>
      <c r="I739" s="72"/>
      <c r="J739" s="96"/>
      <c r="K739" s="71" t="s">
        <v>4020</v>
      </c>
      <c r="L739" s="97"/>
      <c r="M739" s="76"/>
      <c r="N739" s="76"/>
      <c r="O739" s="77"/>
      <c r="P739" s="78"/>
      <c r="Q739" s="78"/>
      <c r="R739" s="92"/>
      <c r="S739" s="92"/>
      <c r="T739" s="92"/>
      <c r="U739" s="92"/>
      <c r="V739" s="52"/>
      <c r="W739" s="52"/>
      <c r="X739" s="52"/>
      <c r="Y739" s="52"/>
      <c r="Z739" s="51"/>
      <c r="AA739" s="73"/>
      <c r="AB739" s="73"/>
      <c r="AC739" s="74"/>
      <c r="AD739" s="81" t="s">
        <v>8458</v>
      </c>
      <c r="AE739" s="86" t="s">
        <v>2959</v>
      </c>
      <c r="AF739" s="81">
        <v>2693</v>
      </c>
      <c r="AG739" s="81">
        <v>2753</v>
      </c>
      <c r="AH739" s="81">
        <v>35328</v>
      </c>
      <c r="AI739" s="81">
        <v>51837</v>
      </c>
      <c r="AJ739" s="81"/>
      <c r="AK739" s="81" t="s">
        <v>3363</v>
      </c>
      <c r="AL739" s="81" t="s">
        <v>3601</v>
      </c>
      <c r="AM739" s="84" t="str">
        <f>HYPERLINK("https://t.co/tr5uzDAzHb")</f>
        <v>https://t.co/tr5uzDAzHb</v>
      </c>
      <c r="AN739" s="81"/>
      <c r="AO739" s="83">
        <v>43945.763912037037</v>
      </c>
      <c r="AP739" s="84" t="str">
        <f>HYPERLINK("https://pbs.twimg.com/profile_banners/1253750523859070976/1631602988")</f>
        <v>https://pbs.twimg.com/profile_banners/1253750523859070976/1631602988</v>
      </c>
      <c r="AQ739" s="81" t="b">
        <v>1</v>
      </c>
      <c r="AR739" s="81" t="b">
        <v>0</v>
      </c>
      <c r="AS739" s="81" t="b">
        <v>0</v>
      </c>
      <c r="AT739" s="81"/>
      <c r="AU739" s="81">
        <v>36</v>
      </c>
      <c r="AV739" s="81"/>
      <c r="AW739" s="81" t="b">
        <v>0</v>
      </c>
      <c r="AX739" s="81" t="s">
        <v>3728</v>
      </c>
      <c r="AY739" s="84" t="str">
        <f>HYPERLINK("https://twitter.com/ktaehmybae")</f>
        <v>https://twitter.com/ktaehmybae</v>
      </c>
      <c r="AZ739" s="81" t="s">
        <v>66</v>
      </c>
      <c r="BA739" s="2"/>
      <c r="BB739" s="3"/>
      <c r="BC739" s="3"/>
      <c r="BD739" s="3"/>
      <c r="BE739" s="3"/>
    </row>
    <row r="740" spans="1:57" x14ac:dyDescent="0.35">
      <c r="A740" s="66" t="s">
        <v>472</v>
      </c>
      <c r="B740" s="67"/>
      <c r="C740" s="67"/>
      <c r="D740" s="68"/>
      <c r="E740" s="94"/>
      <c r="F740" s="93" t="str">
        <f>HYPERLINK("https://pbs.twimg.com/profile_images/1441374962904809480/OfaYkYQD_normal.jpg")</f>
        <v>https://pbs.twimg.com/profile_images/1441374962904809480/OfaYkYQD_normal.jpg</v>
      </c>
      <c r="G740" s="95"/>
      <c r="H740" s="71"/>
      <c r="I740" s="72"/>
      <c r="J740" s="96"/>
      <c r="K740" s="71" t="s">
        <v>4021</v>
      </c>
      <c r="L740" s="97"/>
      <c r="M740" s="76"/>
      <c r="N740" s="76"/>
      <c r="O740" s="77"/>
      <c r="P740" s="78"/>
      <c r="Q740" s="78"/>
      <c r="R740" s="92"/>
      <c r="S740" s="92"/>
      <c r="T740" s="92"/>
      <c r="U740" s="92"/>
      <c r="V740" s="52"/>
      <c r="W740" s="52"/>
      <c r="X740" s="52"/>
      <c r="Y740" s="52"/>
      <c r="Z740" s="51"/>
      <c r="AA740" s="73"/>
      <c r="AB740" s="73"/>
      <c r="AC740" s="74"/>
      <c r="AD740" s="81" t="s">
        <v>2535</v>
      </c>
      <c r="AE740" s="86" t="s">
        <v>2960</v>
      </c>
      <c r="AF740" s="81">
        <v>548</v>
      </c>
      <c r="AG740" s="81">
        <v>512</v>
      </c>
      <c r="AH740" s="81">
        <v>22738</v>
      </c>
      <c r="AI740" s="81">
        <v>49144</v>
      </c>
      <c r="AJ740" s="81"/>
      <c r="AK740" s="81" t="s">
        <v>3364</v>
      </c>
      <c r="AL740" s="81"/>
      <c r="AM740" s="81"/>
      <c r="AN740" s="81"/>
      <c r="AO740" s="83">
        <v>43737.170532407406</v>
      </c>
      <c r="AP740" s="84" t="str">
        <f>HYPERLINK("https://pbs.twimg.com/profile_banners/1178158772620914688/1632485544")</f>
        <v>https://pbs.twimg.com/profile_banners/1178158772620914688/1632485544</v>
      </c>
      <c r="AQ740" s="81" t="b">
        <v>1</v>
      </c>
      <c r="AR740" s="81" t="b">
        <v>0</v>
      </c>
      <c r="AS740" s="81" t="b">
        <v>0</v>
      </c>
      <c r="AT740" s="81"/>
      <c r="AU740" s="81">
        <v>8</v>
      </c>
      <c r="AV740" s="81"/>
      <c r="AW740" s="81" t="b">
        <v>0</v>
      </c>
      <c r="AX740" s="81" t="s">
        <v>3728</v>
      </c>
      <c r="AY740" s="84" t="str">
        <f>HYPERLINK("https://twitter.com/skylova2")</f>
        <v>https://twitter.com/skylova2</v>
      </c>
      <c r="AZ740" s="81" t="s">
        <v>66</v>
      </c>
      <c r="BA740" s="2"/>
      <c r="BB740" s="3"/>
      <c r="BC740" s="3"/>
      <c r="BD740" s="3"/>
      <c r="BE740" s="3"/>
    </row>
    <row r="741" spans="1:57" x14ac:dyDescent="0.35">
      <c r="A741" s="66" t="s">
        <v>4478</v>
      </c>
      <c r="B741" s="67"/>
      <c r="C741" s="67"/>
      <c r="D741" s="68"/>
      <c r="E741" s="94"/>
      <c r="F741" s="93" t="str">
        <f>HYPERLINK("https://pbs.twimg.com/profile_images/1067731317062860802/91Qpa1WQ_normal.jpg")</f>
        <v>https://pbs.twimg.com/profile_images/1067731317062860802/91Qpa1WQ_normal.jpg</v>
      </c>
      <c r="G741" s="95"/>
      <c r="H741" s="71"/>
      <c r="I741" s="72"/>
      <c r="J741" s="96"/>
      <c r="K741" s="71" t="s">
        <v>11832</v>
      </c>
      <c r="L741" s="97"/>
      <c r="M741" s="76"/>
      <c r="N741" s="76"/>
      <c r="O741" s="77"/>
      <c r="P741" s="78"/>
      <c r="Q741" s="78"/>
      <c r="R741" s="92"/>
      <c r="S741" s="92"/>
      <c r="T741" s="92"/>
      <c r="U741" s="92"/>
      <c r="V741" s="52"/>
      <c r="W741" s="52"/>
      <c r="X741" s="52"/>
      <c r="Y741" s="52"/>
      <c r="Z741" s="51"/>
      <c r="AA741" s="73"/>
      <c r="AB741" s="73"/>
      <c r="AC741" s="74"/>
      <c r="AD741" s="81" t="s">
        <v>8459</v>
      </c>
      <c r="AE741" s="86" t="s">
        <v>9464</v>
      </c>
      <c r="AF741" s="81">
        <v>184</v>
      </c>
      <c r="AG741" s="81">
        <v>73</v>
      </c>
      <c r="AH741" s="81">
        <v>20253</v>
      </c>
      <c r="AI741" s="81">
        <v>3900</v>
      </c>
      <c r="AJ741" s="81"/>
      <c r="AK741" s="81" t="s">
        <v>10416</v>
      </c>
      <c r="AL741" s="81" t="s">
        <v>10975</v>
      </c>
      <c r="AM741" s="81"/>
      <c r="AN741" s="81"/>
      <c r="AO741" s="83">
        <v>43319.120381944442</v>
      </c>
      <c r="AP741" s="81"/>
      <c r="AQ741" s="81" t="b">
        <v>1</v>
      </c>
      <c r="AR741" s="81" t="b">
        <v>0</v>
      </c>
      <c r="AS741" s="81" t="b">
        <v>0</v>
      </c>
      <c r="AT741" s="81"/>
      <c r="AU741" s="81">
        <v>3</v>
      </c>
      <c r="AV741" s="81"/>
      <c r="AW741" s="81" t="b">
        <v>0</v>
      </c>
      <c r="AX741" s="81" t="s">
        <v>3728</v>
      </c>
      <c r="AY741" s="84" t="str">
        <f>HYPERLINK("https://twitter.com/ricoricar1")</f>
        <v>https://twitter.com/ricoricar1</v>
      </c>
      <c r="AZ741" s="81" t="s">
        <v>66</v>
      </c>
      <c r="BA741" s="2"/>
      <c r="BB741" s="3"/>
      <c r="BC741" s="3"/>
      <c r="BD741" s="3"/>
      <c r="BE741" s="3"/>
    </row>
    <row r="742" spans="1:57" x14ac:dyDescent="0.35">
      <c r="A742" s="66" t="s">
        <v>473</v>
      </c>
      <c r="B742" s="67"/>
      <c r="C742" s="67"/>
      <c r="D742" s="68"/>
      <c r="E742" s="94"/>
      <c r="F742" s="93" t="str">
        <f>HYPERLINK("https://pbs.twimg.com/profile_images/1430885201220018180/VpAfCrSh_normal.jpg")</f>
        <v>https://pbs.twimg.com/profile_images/1430885201220018180/VpAfCrSh_normal.jpg</v>
      </c>
      <c r="G742" s="95"/>
      <c r="H742" s="71"/>
      <c r="I742" s="72"/>
      <c r="J742" s="96"/>
      <c r="K742" s="71" t="s">
        <v>4022</v>
      </c>
      <c r="L742" s="97"/>
      <c r="M742" s="76"/>
      <c r="N742" s="76"/>
      <c r="O742" s="77"/>
      <c r="P742" s="78"/>
      <c r="Q742" s="78"/>
      <c r="R742" s="92"/>
      <c r="S742" s="92"/>
      <c r="T742" s="92"/>
      <c r="U742" s="92"/>
      <c r="V742" s="52"/>
      <c r="W742" s="52"/>
      <c r="X742" s="52"/>
      <c r="Y742" s="52"/>
      <c r="Z742" s="51"/>
      <c r="AA742" s="73"/>
      <c r="AB742" s="73"/>
      <c r="AC742" s="74"/>
      <c r="AD742" s="81" t="s">
        <v>2536</v>
      </c>
      <c r="AE742" s="86" t="s">
        <v>2961</v>
      </c>
      <c r="AF742" s="81">
        <v>180</v>
      </c>
      <c r="AG742" s="81">
        <v>136</v>
      </c>
      <c r="AH742" s="81">
        <v>7395</v>
      </c>
      <c r="AI742" s="81">
        <v>3939</v>
      </c>
      <c r="AJ742" s="81"/>
      <c r="AK742" s="81"/>
      <c r="AL742" s="81" t="s">
        <v>3665</v>
      </c>
      <c r="AM742" s="84" t="str">
        <f>HYPERLINK("https://t.co/UG1MiiCWte")</f>
        <v>https://t.co/UG1MiiCWte</v>
      </c>
      <c r="AN742" s="81"/>
      <c r="AO742" s="83">
        <v>43616.762685185182</v>
      </c>
      <c r="AP742" s="84" t="str">
        <f>HYPERLINK("https://pbs.twimg.com/profile_banners/1134524509334134785/1629545742")</f>
        <v>https://pbs.twimg.com/profile_banners/1134524509334134785/1629545742</v>
      </c>
      <c r="AQ742" s="81" t="b">
        <v>1</v>
      </c>
      <c r="AR742" s="81" t="b">
        <v>0</v>
      </c>
      <c r="AS742" s="81" t="b">
        <v>1</v>
      </c>
      <c r="AT742" s="81"/>
      <c r="AU742" s="81">
        <v>0</v>
      </c>
      <c r="AV742" s="81"/>
      <c r="AW742" s="81" t="b">
        <v>0</v>
      </c>
      <c r="AX742" s="81" t="s">
        <v>3728</v>
      </c>
      <c r="AY742" s="84" t="str">
        <f>HYPERLINK("https://twitter.com/wanshaidin1")</f>
        <v>https://twitter.com/wanshaidin1</v>
      </c>
      <c r="AZ742" s="81" t="s">
        <v>66</v>
      </c>
      <c r="BA742" s="2"/>
      <c r="BB742" s="3"/>
      <c r="BC742" s="3"/>
      <c r="BD742" s="3"/>
      <c r="BE742" s="3"/>
    </row>
    <row r="743" spans="1:57" x14ac:dyDescent="0.35">
      <c r="A743" s="66" t="s">
        <v>474</v>
      </c>
      <c r="B743" s="67"/>
      <c r="C743" s="67"/>
      <c r="D743" s="68"/>
      <c r="E743" s="94"/>
      <c r="F743" s="93" t="str">
        <f>HYPERLINK("https://pbs.twimg.com/profile_images/1437666722522169348/k4ofX7Rk_normal.jpg")</f>
        <v>https://pbs.twimg.com/profile_images/1437666722522169348/k4ofX7Rk_normal.jpg</v>
      </c>
      <c r="G743" s="95"/>
      <c r="H743" s="71"/>
      <c r="I743" s="72"/>
      <c r="J743" s="96"/>
      <c r="K743" s="71" t="s">
        <v>4023</v>
      </c>
      <c r="L743" s="97"/>
      <c r="M743" s="76"/>
      <c r="N743" s="76"/>
      <c r="O743" s="77"/>
      <c r="P743" s="78"/>
      <c r="Q743" s="78"/>
      <c r="R743" s="92"/>
      <c r="S743" s="92"/>
      <c r="T743" s="92"/>
      <c r="U743" s="92"/>
      <c r="V743" s="52"/>
      <c r="W743" s="52"/>
      <c r="X743" s="52"/>
      <c r="Y743" s="52"/>
      <c r="Z743" s="51"/>
      <c r="AA743" s="73"/>
      <c r="AB743" s="73"/>
      <c r="AC743" s="74"/>
      <c r="AD743" s="81" t="s">
        <v>2537</v>
      </c>
      <c r="AE743" s="86" t="s">
        <v>2962</v>
      </c>
      <c r="AF743" s="81">
        <v>96</v>
      </c>
      <c r="AG743" s="81">
        <v>43</v>
      </c>
      <c r="AH743" s="81">
        <v>382</v>
      </c>
      <c r="AI743" s="81">
        <v>17936</v>
      </c>
      <c r="AJ743" s="81"/>
      <c r="AK743" s="81" t="s">
        <v>3365</v>
      </c>
      <c r="AL743" s="81"/>
      <c r="AM743" s="81"/>
      <c r="AN743" s="81"/>
      <c r="AO743" s="83">
        <v>43857.395057870373</v>
      </c>
      <c r="AP743" s="84" t="str">
        <f>HYPERLINK("https://pbs.twimg.com/profile_banners/1221726638246727682/1631601431")</f>
        <v>https://pbs.twimg.com/profile_banners/1221726638246727682/1631601431</v>
      </c>
      <c r="AQ743" s="81" t="b">
        <v>1</v>
      </c>
      <c r="AR743" s="81" t="b">
        <v>0</v>
      </c>
      <c r="AS743" s="81" t="b">
        <v>0</v>
      </c>
      <c r="AT743" s="81"/>
      <c r="AU743" s="81">
        <v>0</v>
      </c>
      <c r="AV743" s="81"/>
      <c r="AW743" s="81" t="b">
        <v>0</v>
      </c>
      <c r="AX743" s="81" t="s">
        <v>3728</v>
      </c>
      <c r="AY743" s="84" t="str">
        <f>HYPERLINK("https://twitter.com/imnicekeepgoing")</f>
        <v>https://twitter.com/imnicekeepgoing</v>
      </c>
      <c r="AZ743" s="81" t="s">
        <v>66</v>
      </c>
      <c r="BA743" s="2"/>
      <c r="BB743" s="3"/>
      <c r="BC743" s="3"/>
      <c r="BD743" s="3"/>
      <c r="BE743" s="3"/>
    </row>
    <row r="744" spans="1:57" x14ac:dyDescent="0.35">
      <c r="A744" s="66" t="s">
        <v>4479</v>
      </c>
      <c r="B744" s="67"/>
      <c r="C744" s="67"/>
      <c r="D744" s="68"/>
      <c r="E744" s="94"/>
      <c r="F744" s="93" t="str">
        <f>HYPERLINK("https://pbs.twimg.com/profile_images/1438290435265421319/3S1zFgc4_normal.jpg")</f>
        <v>https://pbs.twimg.com/profile_images/1438290435265421319/3S1zFgc4_normal.jpg</v>
      </c>
      <c r="G744" s="95"/>
      <c r="H744" s="71"/>
      <c r="I744" s="72"/>
      <c r="J744" s="96"/>
      <c r="K744" s="71" t="s">
        <v>11833</v>
      </c>
      <c r="L744" s="97"/>
      <c r="M744" s="76"/>
      <c r="N744" s="76"/>
      <c r="O744" s="77"/>
      <c r="P744" s="78"/>
      <c r="Q744" s="78"/>
      <c r="R744" s="92"/>
      <c r="S744" s="92"/>
      <c r="T744" s="92"/>
      <c r="U744" s="92"/>
      <c r="V744" s="52"/>
      <c r="W744" s="52"/>
      <c r="X744" s="52"/>
      <c r="Y744" s="52"/>
      <c r="Z744" s="51"/>
      <c r="AA744" s="73"/>
      <c r="AB744" s="73"/>
      <c r="AC744" s="74"/>
      <c r="AD744" s="81" t="s">
        <v>8460</v>
      </c>
      <c r="AE744" s="86" t="s">
        <v>9465</v>
      </c>
      <c r="AF744" s="81">
        <v>4981</v>
      </c>
      <c r="AG744" s="81">
        <v>3071</v>
      </c>
      <c r="AH744" s="81">
        <v>19487</v>
      </c>
      <c r="AI744" s="81">
        <v>16789</v>
      </c>
      <c r="AJ744" s="81"/>
      <c r="AK744" s="81" t="s">
        <v>10417</v>
      </c>
      <c r="AL744" s="81"/>
      <c r="AM744" s="81"/>
      <c r="AN744" s="81"/>
      <c r="AO744" s="83">
        <v>43883.273530092592</v>
      </c>
      <c r="AP744" s="84" t="str">
        <f>HYPERLINK("https://pbs.twimg.com/profile_banners/1231104722947526657/1609889434")</f>
        <v>https://pbs.twimg.com/profile_banners/1231104722947526657/1609889434</v>
      </c>
      <c r="AQ744" s="81" t="b">
        <v>1</v>
      </c>
      <c r="AR744" s="81" t="b">
        <v>0</v>
      </c>
      <c r="AS744" s="81" t="b">
        <v>0</v>
      </c>
      <c r="AT744" s="81"/>
      <c r="AU744" s="81">
        <v>3</v>
      </c>
      <c r="AV744" s="81"/>
      <c r="AW744" s="81" t="b">
        <v>0</v>
      </c>
      <c r="AX744" s="81" t="s">
        <v>3728</v>
      </c>
      <c r="AY744" s="84" t="str">
        <f>HYPERLINK("https://twitter.com/ingamiro")</f>
        <v>https://twitter.com/ingamiro</v>
      </c>
      <c r="AZ744" s="81" t="s">
        <v>66</v>
      </c>
      <c r="BA744" s="2"/>
      <c r="BB744" s="3"/>
      <c r="BC744" s="3"/>
      <c r="BD744" s="3"/>
      <c r="BE744" s="3"/>
    </row>
    <row r="745" spans="1:57" x14ac:dyDescent="0.35">
      <c r="A745" s="66" t="s">
        <v>4567</v>
      </c>
      <c r="B745" s="67"/>
      <c r="C745" s="67"/>
      <c r="D745" s="68"/>
      <c r="E745" s="94"/>
      <c r="F745" s="93" t="str">
        <f>HYPERLINK("https://pbs.twimg.com/profile_images/1435792605359525890/YCGHzX2z_normal.jpg")</f>
        <v>https://pbs.twimg.com/profile_images/1435792605359525890/YCGHzX2z_normal.jpg</v>
      </c>
      <c r="G745" s="95"/>
      <c r="H745" s="71"/>
      <c r="I745" s="72"/>
      <c r="J745" s="96"/>
      <c r="K745" s="71" t="s">
        <v>11834</v>
      </c>
      <c r="L745" s="97"/>
      <c r="M745" s="76"/>
      <c r="N745" s="76"/>
      <c r="O745" s="77"/>
      <c r="P745" s="78"/>
      <c r="Q745" s="78"/>
      <c r="R745" s="92"/>
      <c r="S745" s="92"/>
      <c r="T745" s="92"/>
      <c r="U745" s="92"/>
      <c r="V745" s="52"/>
      <c r="W745" s="52"/>
      <c r="X745" s="52"/>
      <c r="Y745" s="52"/>
      <c r="Z745" s="51"/>
      <c r="AA745" s="73"/>
      <c r="AB745" s="73"/>
      <c r="AC745" s="74"/>
      <c r="AD745" s="81" t="s">
        <v>8461</v>
      </c>
      <c r="AE745" s="86" t="s">
        <v>9466</v>
      </c>
      <c r="AF745" s="81">
        <v>4045</v>
      </c>
      <c r="AG745" s="81">
        <v>3600</v>
      </c>
      <c r="AH745" s="81">
        <v>29556</v>
      </c>
      <c r="AI745" s="81">
        <v>45565</v>
      </c>
      <c r="AJ745" s="81"/>
      <c r="AK745" s="81" t="s">
        <v>10418</v>
      </c>
      <c r="AL745" s="81" t="s">
        <v>11152</v>
      </c>
      <c r="AM745" s="81"/>
      <c r="AN745" s="81"/>
      <c r="AO745" s="83">
        <v>39924.900358796294</v>
      </c>
      <c r="AP745" s="84" t="str">
        <f>HYPERLINK("https://pbs.twimg.com/profile_banners/34051680/1623715911")</f>
        <v>https://pbs.twimg.com/profile_banners/34051680/1623715911</v>
      </c>
      <c r="AQ745" s="81" t="b">
        <v>0</v>
      </c>
      <c r="AR745" s="81" t="b">
        <v>0</v>
      </c>
      <c r="AS745" s="81" t="b">
        <v>1</v>
      </c>
      <c r="AT745" s="81"/>
      <c r="AU745" s="81">
        <v>6</v>
      </c>
      <c r="AV745" s="84" t="str">
        <f>HYPERLINK("https://abs.twimg.com/images/themes/theme10/bg.gif")</f>
        <v>https://abs.twimg.com/images/themes/theme10/bg.gif</v>
      </c>
      <c r="AW745" s="81" t="b">
        <v>0</v>
      </c>
      <c r="AX745" s="81" t="s">
        <v>3728</v>
      </c>
      <c r="AY745" s="84" t="str">
        <f>HYPERLINK("https://twitter.com/monicaaraujorj")</f>
        <v>https://twitter.com/monicaaraujorj</v>
      </c>
      <c r="AZ745" s="81" t="s">
        <v>66</v>
      </c>
      <c r="BA745" s="2"/>
      <c r="BB745" s="3"/>
      <c r="BC745" s="3"/>
      <c r="BD745" s="3"/>
      <c r="BE745" s="3"/>
    </row>
    <row r="746" spans="1:57" x14ac:dyDescent="0.35">
      <c r="A746" s="66" t="s">
        <v>5091</v>
      </c>
      <c r="B746" s="67"/>
      <c r="C746" s="67"/>
      <c r="D746" s="68"/>
      <c r="E746" s="94"/>
      <c r="F746" s="93" t="str">
        <f>HYPERLINK("https://pbs.twimg.com/profile_images/1333835733824573444/F4jiyG75_normal.jpg")</f>
        <v>https://pbs.twimg.com/profile_images/1333835733824573444/F4jiyG75_normal.jpg</v>
      </c>
      <c r="G746" s="95"/>
      <c r="H746" s="71"/>
      <c r="I746" s="72"/>
      <c r="J746" s="96"/>
      <c r="K746" s="71" t="s">
        <v>11835</v>
      </c>
      <c r="L746" s="97"/>
      <c r="M746" s="76"/>
      <c r="N746" s="76"/>
      <c r="O746" s="77"/>
      <c r="P746" s="78"/>
      <c r="Q746" s="78"/>
      <c r="R746" s="92"/>
      <c r="S746" s="92"/>
      <c r="T746" s="92"/>
      <c r="U746" s="92"/>
      <c r="V746" s="52"/>
      <c r="W746" s="52"/>
      <c r="X746" s="52"/>
      <c r="Y746" s="52"/>
      <c r="Z746" s="51"/>
      <c r="AA746" s="73"/>
      <c r="AB746" s="73"/>
      <c r="AC746" s="74"/>
      <c r="AD746" s="81" t="s">
        <v>8462</v>
      </c>
      <c r="AE746" s="86" t="s">
        <v>7884</v>
      </c>
      <c r="AF746" s="81">
        <v>3084</v>
      </c>
      <c r="AG746" s="81">
        <v>146235</v>
      </c>
      <c r="AH746" s="81">
        <v>53149</v>
      </c>
      <c r="AI746" s="81">
        <v>80182</v>
      </c>
      <c r="AJ746" s="81"/>
      <c r="AK746" s="81" t="s">
        <v>10419</v>
      </c>
      <c r="AL746" s="81" t="s">
        <v>11153</v>
      </c>
      <c r="AM746" s="84" t="str">
        <f>HYPERLINK("https://t.co/We6cI2pJfg")</f>
        <v>https://t.co/We6cI2pJfg</v>
      </c>
      <c r="AN746" s="81"/>
      <c r="AO746" s="83">
        <v>40393.867407407408</v>
      </c>
      <c r="AP746" s="84" t="str">
        <f>HYPERLINK("https://pbs.twimg.com/profile_banners/174396298/1623181471")</f>
        <v>https://pbs.twimg.com/profile_banners/174396298/1623181471</v>
      </c>
      <c r="AQ746" s="81" t="b">
        <v>0</v>
      </c>
      <c r="AR746" s="81" t="b">
        <v>0</v>
      </c>
      <c r="AS746" s="81" t="b">
        <v>1</v>
      </c>
      <c r="AT746" s="81"/>
      <c r="AU746" s="81">
        <v>422</v>
      </c>
      <c r="AV746" s="84" t="str">
        <f>HYPERLINK("https://abs.twimg.com/images/themes/theme1/bg.png")</f>
        <v>https://abs.twimg.com/images/themes/theme1/bg.png</v>
      </c>
      <c r="AW746" s="81" t="b">
        <v>0</v>
      </c>
      <c r="AX746" s="81" t="s">
        <v>3728</v>
      </c>
      <c r="AY746" s="84" t="str">
        <f>HYPERLINK("https://twitter.com/hilde_angel")</f>
        <v>https://twitter.com/hilde_angel</v>
      </c>
      <c r="AZ746" s="81" t="s">
        <v>65</v>
      </c>
      <c r="BA746" s="2"/>
      <c r="BB746" s="3"/>
      <c r="BC746" s="3"/>
      <c r="BD746" s="3"/>
      <c r="BE746" s="3"/>
    </row>
    <row r="747" spans="1:57" x14ac:dyDescent="0.35">
      <c r="A747" s="66" t="s">
        <v>475</v>
      </c>
      <c r="B747" s="67"/>
      <c r="C747" s="67"/>
      <c r="D747" s="68"/>
      <c r="E747" s="94"/>
      <c r="F747" s="93" t="str">
        <f>HYPERLINK("https://pbs.twimg.com/profile_images/1381215166876946437/8k3OnihW_normal.jpg")</f>
        <v>https://pbs.twimg.com/profile_images/1381215166876946437/8k3OnihW_normal.jpg</v>
      </c>
      <c r="G747" s="95"/>
      <c r="H747" s="71"/>
      <c r="I747" s="72"/>
      <c r="J747" s="96"/>
      <c r="K747" s="71" t="s">
        <v>4024</v>
      </c>
      <c r="L747" s="97"/>
      <c r="M747" s="76"/>
      <c r="N747" s="76"/>
      <c r="O747" s="77"/>
      <c r="P747" s="78"/>
      <c r="Q747" s="78"/>
      <c r="R747" s="92"/>
      <c r="S747" s="92"/>
      <c r="T747" s="92"/>
      <c r="U747" s="92"/>
      <c r="V747" s="52"/>
      <c r="W747" s="52"/>
      <c r="X747" s="52"/>
      <c r="Y747" s="52"/>
      <c r="Z747" s="51"/>
      <c r="AA747" s="73"/>
      <c r="AB747" s="73"/>
      <c r="AC747" s="74"/>
      <c r="AD747" s="81" t="s">
        <v>2538</v>
      </c>
      <c r="AE747" s="86" t="s">
        <v>2963</v>
      </c>
      <c r="AF747" s="81">
        <v>284</v>
      </c>
      <c r="AG747" s="81">
        <v>437</v>
      </c>
      <c r="AH747" s="81">
        <v>38058</v>
      </c>
      <c r="AI747" s="81">
        <v>14280</v>
      </c>
      <c r="AJ747" s="81"/>
      <c r="AK747" s="81" t="s">
        <v>3366</v>
      </c>
      <c r="AL747" s="81"/>
      <c r="AM747" s="81"/>
      <c r="AN747" s="81"/>
      <c r="AO747" s="83">
        <v>41584.255324074074</v>
      </c>
      <c r="AP747" s="84" t="str">
        <f>HYPERLINK("https://pbs.twimg.com/profile_banners/2177471370/1615039438")</f>
        <v>https://pbs.twimg.com/profile_banners/2177471370/1615039438</v>
      </c>
      <c r="AQ747" s="81" t="b">
        <v>1</v>
      </c>
      <c r="AR747" s="81" t="b">
        <v>0</v>
      </c>
      <c r="AS747" s="81" t="b">
        <v>1</v>
      </c>
      <c r="AT747" s="81"/>
      <c r="AU747" s="81">
        <v>2</v>
      </c>
      <c r="AV747" s="84" t="str">
        <f>HYPERLINK("https://abs.twimg.com/images/themes/theme1/bg.png")</f>
        <v>https://abs.twimg.com/images/themes/theme1/bg.png</v>
      </c>
      <c r="AW747" s="81" t="b">
        <v>0</v>
      </c>
      <c r="AX747" s="81" t="s">
        <v>3728</v>
      </c>
      <c r="AY747" s="84" t="str">
        <f>HYPERLINK("https://twitter.com/qilahshafie69")</f>
        <v>https://twitter.com/qilahshafie69</v>
      </c>
      <c r="AZ747" s="81" t="s">
        <v>66</v>
      </c>
      <c r="BA747" s="2"/>
      <c r="BB747" s="3"/>
      <c r="BC747" s="3"/>
      <c r="BD747" s="3"/>
      <c r="BE747" s="3"/>
    </row>
    <row r="748" spans="1:57" x14ac:dyDescent="0.35">
      <c r="A748" s="66" t="s">
        <v>476</v>
      </c>
      <c r="B748" s="67"/>
      <c r="C748" s="67"/>
      <c r="D748" s="68"/>
      <c r="E748" s="94"/>
      <c r="F748" s="93" t="str">
        <f>HYPERLINK("https://pbs.twimg.com/profile_images/1443188871622103048/cuQOABFR_normal.jpg")</f>
        <v>https://pbs.twimg.com/profile_images/1443188871622103048/cuQOABFR_normal.jpg</v>
      </c>
      <c r="G748" s="95"/>
      <c r="H748" s="71"/>
      <c r="I748" s="72"/>
      <c r="J748" s="96"/>
      <c r="K748" s="71" t="s">
        <v>4025</v>
      </c>
      <c r="L748" s="97"/>
      <c r="M748" s="76"/>
      <c r="N748" s="76"/>
      <c r="O748" s="77"/>
      <c r="P748" s="78"/>
      <c r="Q748" s="78"/>
      <c r="R748" s="92"/>
      <c r="S748" s="92"/>
      <c r="T748" s="92"/>
      <c r="U748" s="92"/>
      <c r="V748" s="52"/>
      <c r="W748" s="52"/>
      <c r="X748" s="52"/>
      <c r="Y748" s="52"/>
      <c r="Z748" s="51"/>
      <c r="AA748" s="73"/>
      <c r="AB748" s="73"/>
      <c r="AC748" s="74"/>
      <c r="AD748" s="81" t="s">
        <v>2539</v>
      </c>
      <c r="AE748" s="86" t="s">
        <v>2964</v>
      </c>
      <c r="AF748" s="81">
        <v>1618</v>
      </c>
      <c r="AG748" s="81">
        <v>1530</v>
      </c>
      <c r="AH748" s="81">
        <v>61332</v>
      </c>
      <c r="AI748" s="81">
        <v>174841</v>
      </c>
      <c r="AJ748" s="81"/>
      <c r="AK748" s="81" t="s">
        <v>3367</v>
      </c>
      <c r="AL748" s="81" t="s">
        <v>3666</v>
      </c>
      <c r="AM748" s="84" t="str">
        <f>HYPERLINK("https://t.co/EmMwn1MQUt")</f>
        <v>https://t.co/EmMwn1MQUt</v>
      </c>
      <c r="AN748" s="81"/>
      <c r="AO748" s="83">
        <v>43366.689467592594</v>
      </c>
      <c r="AP748" s="84" t="str">
        <f>HYPERLINK("https://pbs.twimg.com/profile_banners/1043901011008532480/1632760388")</f>
        <v>https://pbs.twimg.com/profile_banners/1043901011008532480/1632760388</v>
      </c>
      <c r="AQ748" s="81" t="b">
        <v>1</v>
      </c>
      <c r="AR748" s="81" t="b">
        <v>0</v>
      </c>
      <c r="AS748" s="81" t="b">
        <v>1</v>
      </c>
      <c r="AT748" s="81"/>
      <c r="AU748" s="81">
        <v>26</v>
      </c>
      <c r="AV748" s="81"/>
      <c r="AW748" s="81" t="b">
        <v>0</v>
      </c>
      <c r="AX748" s="81" t="s">
        <v>3728</v>
      </c>
      <c r="AY748" s="84" t="str">
        <f>HYPERLINK("https://twitter.com/shrfhbgtn")</f>
        <v>https://twitter.com/shrfhbgtn</v>
      </c>
      <c r="AZ748" s="81" t="s">
        <v>66</v>
      </c>
      <c r="BA748" s="2"/>
      <c r="BB748" s="3"/>
      <c r="BC748" s="3"/>
      <c r="BD748" s="3"/>
      <c r="BE748" s="3"/>
    </row>
    <row r="749" spans="1:57" x14ac:dyDescent="0.35">
      <c r="A749" s="66" t="s">
        <v>4480</v>
      </c>
      <c r="B749" s="67"/>
      <c r="C749" s="67"/>
      <c r="D749" s="68"/>
      <c r="E749" s="94"/>
      <c r="F749" s="93" t="str">
        <f>HYPERLINK("https://pbs.twimg.com/profile_images/1441805712980516868/cj8G7dhR_normal.jpg")</f>
        <v>https://pbs.twimg.com/profile_images/1441805712980516868/cj8G7dhR_normal.jpg</v>
      </c>
      <c r="G749" s="95"/>
      <c r="H749" s="71"/>
      <c r="I749" s="72"/>
      <c r="J749" s="96"/>
      <c r="K749" s="71" t="s">
        <v>11836</v>
      </c>
      <c r="L749" s="97"/>
      <c r="M749" s="76"/>
      <c r="N749" s="76"/>
      <c r="O749" s="77"/>
      <c r="P749" s="78"/>
      <c r="Q749" s="78"/>
      <c r="R749" s="92"/>
      <c r="S749" s="92"/>
      <c r="T749" s="92"/>
      <c r="U749" s="92"/>
      <c r="V749" s="52"/>
      <c r="W749" s="52"/>
      <c r="X749" s="52"/>
      <c r="Y749" s="52"/>
      <c r="Z749" s="51"/>
      <c r="AA749" s="73"/>
      <c r="AB749" s="73"/>
      <c r="AC749" s="74"/>
      <c r="AD749" s="81" t="s">
        <v>8463</v>
      </c>
      <c r="AE749" s="86" t="s">
        <v>9467</v>
      </c>
      <c r="AF749" s="81">
        <v>19</v>
      </c>
      <c r="AG749" s="81">
        <v>7</v>
      </c>
      <c r="AH749" s="81">
        <v>108</v>
      </c>
      <c r="AI749" s="81">
        <v>72</v>
      </c>
      <c r="AJ749" s="81"/>
      <c r="AK749" s="81" t="s">
        <v>10420</v>
      </c>
      <c r="AL749" s="81" t="s">
        <v>3673</v>
      </c>
      <c r="AM749" s="84" t="str">
        <f>HYPERLINK("https://t.co/k0YWiztzsX")</f>
        <v>https://t.co/k0YWiztzsX</v>
      </c>
      <c r="AN749" s="81"/>
      <c r="AO749" s="83">
        <v>44361.546261574076</v>
      </c>
      <c r="AP749" s="84" t="str">
        <f>HYPERLINK("https://pbs.twimg.com/profile_banners/1404424947330543620/1623724902")</f>
        <v>https://pbs.twimg.com/profile_banners/1404424947330543620/1623724902</v>
      </c>
      <c r="AQ749" s="81" t="b">
        <v>1</v>
      </c>
      <c r="AR749" s="81" t="b">
        <v>0</v>
      </c>
      <c r="AS749" s="81" t="b">
        <v>0</v>
      </c>
      <c r="AT749" s="81"/>
      <c r="AU749" s="81">
        <v>0</v>
      </c>
      <c r="AV749" s="81"/>
      <c r="AW749" s="81" t="b">
        <v>0</v>
      </c>
      <c r="AX749" s="81" t="s">
        <v>3728</v>
      </c>
      <c r="AY749" s="84" t="str">
        <f>HYPERLINK("https://twitter.com/timbul_suryanto")</f>
        <v>https://twitter.com/timbul_suryanto</v>
      </c>
      <c r="AZ749" s="81" t="s">
        <v>66</v>
      </c>
      <c r="BA749" s="2"/>
      <c r="BB749" s="3"/>
      <c r="BC749" s="3"/>
      <c r="BD749" s="3"/>
      <c r="BE749" s="3"/>
    </row>
    <row r="750" spans="1:57" x14ac:dyDescent="0.35">
      <c r="A750" s="66" t="s">
        <v>4481</v>
      </c>
      <c r="B750" s="67"/>
      <c r="C750" s="67"/>
      <c r="D750" s="68"/>
      <c r="E750" s="94"/>
      <c r="F750" s="93" t="str">
        <f>HYPERLINK("https://pbs.twimg.com/profile_images/1364886447631851521/YptQcZOr_normal.jpg")</f>
        <v>https://pbs.twimg.com/profile_images/1364886447631851521/YptQcZOr_normal.jpg</v>
      </c>
      <c r="G750" s="95"/>
      <c r="H750" s="71"/>
      <c r="I750" s="72"/>
      <c r="J750" s="96"/>
      <c r="K750" s="71" t="s">
        <v>11837</v>
      </c>
      <c r="L750" s="97"/>
      <c r="M750" s="76"/>
      <c r="N750" s="76"/>
      <c r="O750" s="77"/>
      <c r="P750" s="78"/>
      <c r="Q750" s="78"/>
      <c r="R750" s="92"/>
      <c r="S750" s="92"/>
      <c r="T750" s="92"/>
      <c r="U750" s="92"/>
      <c r="V750" s="52"/>
      <c r="W750" s="52"/>
      <c r="X750" s="52"/>
      <c r="Y750" s="52"/>
      <c r="Z750" s="51"/>
      <c r="AA750" s="73"/>
      <c r="AB750" s="73"/>
      <c r="AC750" s="74"/>
      <c r="AD750" s="81" t="s">
        <v>8464</v>
      </c>
      <c r="AE750" s="86" t="s">
        <v>9468</v>
      </c>
      <c r="AF750" s="81">
        <v>850</v>
      </c>
      <c r="AG750" s="81">
        <v>852</v>
      </c>
      <c r="AH750" s="81">
        <v>58846</v>
      </c>
      <c r="AI750" s="81">
        <v>130044</v>
      </c>
      <c r="AJ750" s="81"/>
      <c r="AK750" s="81" t="s">
        <v>10421</v>
      </c>
      <c r="AL750" s="81"/>
      <c r="AM750" s="81"/>
      <c r="AN750" s="81"/>
      <c r="AO750" s="83">
        <v>44252.438576388886</v>
      </c>
      <c r="AP750" s="81"/>
      <c r="AQ750" s="81" t="b">
        <v>1</v>
      </c>
      <c r="AR750" s="81" t="b">
        <v>0</v>
      </c>
      <c r="AS750" s="81" t="b">
        <v>1</v>
      </c>
      <c r="AT750" s="81"/>
      <c r="AU750" s="81">
        <v>0</v>
      </c>
      <c r="AV750" s="81"/>
      <c r="AW750" s="81" t="b">
        <v>0</v>
      </c>
      <c r="AX750" s="81" t="s">
        <v>3728</v>
      </c>
      <c r="AY750" s="84" t="str">
        <f>HYPERLINK("https://twitter.com/margarethgoes4")</f>
        <v>https://twitter.com/margarethgoes4</v>
      </c>
      <c r="AZ750" s="81" t="s">
        <v>66</v>
      </c>
      <c r="BA750" s="2"/>
      <c r="BB750" s="3"/>
      <c r="BC750" s="3"/>
      <c r="BD750" s="3"/>
      <c r="BE750" s="3"/>
    </row>
    <row r="751" spans="1:57" x14ac:dyDescent="0.35">
      <c r="A751" s="66" t="s">
        <v>4483</v>
      </c>
      <c r="B751" s="67"/>
      <c r="C751" s="67"/>
      <c r="D751" s="68"/>
      <c r="E751" s="94"/>
      <c r="F751" s="93" t="str">
        <f>HYPERLINK("https://pbs.twimg.com/profile_images/1406413825814020100/uO8ZhU7o_normal.jpg")</f>
        <v>https://pbs.twimg.com/profile_images/1406413825814020100/uO8ZhU7o_normal.jpg</v>
      </c>
      <c r="G751" s="95"/>
      <c r="H751" s="71"/>
      <c r="I751" s="72"/>
      <c r="J751" s="96"/>
      <c r="K751" s="71" t="s">
        <v>11838</v>
      </c>
      <c r="L751" s="97"/>
      <c r="M751" s="76"/>
      <c r="N751" s="76"/>
      <c r="O751" s="77"/>
      <c r="P751" s="78"/>
      <c r="Q751" s="78"/>
      <c r="R751" s="92"/>
      <c r="S751" s="92"/>
      <c r="T751" s="92"/>
      <c r="U751" s="92"/>
      <c r="V751" s="52"/>
      <c r="W751" s="52"/>
      <c r="X751" s="52"/>
      <c r="Y751" s="52"/>
      <c r="Z751" s="51"/>
      <c r="AA751" s="73"/>
      <c r="AB751" s="73"/>
      <c r="AC751" s="74"/>
      <c r="AD751" s="81" t="s">
        <v>8465</v>
      </c>
      <c r="AE751" s="86" t="s">
        <v>9469</v>
      </c>
      <c r="AF751" s="81">
        <v>512</v>
      </c>
      <c r="AG751" s="81">
        <v>309</v>
      </c>
      <c r="AH751" s="81">
        <v>10922</v>
      </c>
      <c r="AI751" s="81">
        <v>41655</v>
      </c>
      <c r="AJ751" s="81"/>
      <c r="AK751" s="81" t="s">
        <v>10422</v>
      </c>
      <c r="AL751" s="81" t="s">
        <v>10970</v>
      </c>
      <c r="AM751" s="81"/>
      <c r="AN751" s="81"/>
      <c r="AO751" s="83">
        <v>43501.783622685187</v>
      </c>
      <c r="AP751" s="84" t="str">
        <f>HYPERLINK("https://pbs.twimg.com/profile_banners/1092857491325632512/1624150366")</f>
        <v>https://pbs.twimg.com/profile_banners/1092857491325632512/1624150366</v>
      </c>
      <c r="AQ751" s="81" t="b">
        <v>1</v>
      </c>
      <c r="AR751" s="81" t="b">
        <v>0</v>
      </c>
      <c r="AS751" s="81" t="b">
        <v>0</v>
      </c>
      <c r="AT751" s="81"/>
      <c r="AU751" s="81">
        <v>0</v>
      </c>
      <c r="AV751" s="81"/>
      <c r="AW751" s="81" t="b">
        <v>0</v>
      </c>
      <c r="AX751" s="81" t="s">
        <v>3728</v>
      </c>
      <c r="AY751" s="84" t="str">
        <f>HYPERLINK("https://twitter.com/tuliohe95287973")</f>
        <v>https://twitter.com/tuliohe95287973</v>
      </c>
      <c r="AZ751" s="81" t="s">
        <v>66</v>
      </c>
      <c r="BA751" s="2"/>
      <c r="BB751" s="3"/>
      <c r="BC751" s="3"/>
      <c r="BD751" s="3"/>
      <c r="BE751" s="3"/>
    </row>
    <row r="752" spans="1:57" x14ac:dyDescent="0.35">
      <c r="A752" s="66" t="s">
        <v>4484</v>
      </c>
      <c r="B752" s="67"/>
      <c r="C752" s="67"/>
      <c r="D752" s="68"/>
      <c r="E752" s="94"/>
      <c r="F752" s="93" t="str">
        <f>HYPERLINK("https://pbs.twimg.com/profile_images/667096460073267200/0dtlFJ-r_normal.png")</f>
        <v>https://pbs.twimg.com/profile_images/667096460073267200/0dtlFJ-r_normal.png</v>
      </c>
      <c r="G752" s="95"/>
      <c r="H752" s="71"/>
      <c r="I752" s="72"/>
      <c r="J752" s="96"/>
      <c r="K752" s="71" t="s">
        <v>11839</v>
      </c>
      <c r="L752" s="97"/>
      <c r="M752" s="76"/>
      <c r="N752" s="76"/>
      <c r="O752" s="77"/>
      <c r="P752" s="78"/>
      <c r="Q752" s="78"/>
      <c r="R752" s="92"/>
      <c r="S752" s="92"/>
      <c r="T752" s="92"/>
      <c r="U752" s="92"/>
      <c r="V752" s="52"/>
      <c r="W752" s="52"/>
      <c r="X752" s="52"/>
      <c r="Y752" s="52"/>
      <c r="Z752" s="51"/>
      <c r="AA752" s="73"/>
      <c r="AB752" s="73"/>
      <c r="AC752" s="74"/>
      <c r="AD752" s="81" t="s">
        <v>8466</v>
      </c>
      <c r="AE752" s="86" t="s">
        <v>9470</v>
      </c>
      <c r="AF752" s="81">
        <v>4</v>
      </c>
      <c r="AG752" s="81">
        <v>12</v>
      </c>
      <c r="AH752" s="81">
        <v>7637</v>
      </c>
      <c r="AI752" s="81">
        <v>0</v>
      </c>
      <c r="AJ752" s="81"/>
      <c r="AK752" s="81"/>
      <c r="AL752" s="81"/>
      <c r="AM752" s="81"/>
      <c r="AN752" s="81"/>
      <c r="AO752" s="83">
        <v>42326.903587962966</v>
      </c>
      <c r="AP752" s="81"/>
      <c r="AQ752" s="81" t="b">
        <v>1</v>
      </c>
      <c r="AR752" s="81" t="b">
        <v>0</v>
      </c>
      <c r="AS752" s="81" t="b">
        <v>0</v>
      </c>
      <c r="AT752" s="81"/>
      <c r="AU752" s="81">
        <v>2</v>
      </c>
      <c r="AV752" s="84" t="str">
        <f>HYPERLINK("https://abs.twimg.com/images/themes/theme1/bg.png")</f>
        <v>https://abs.twimg.com/images/themes/theme1/bg.png</v>
      </c>
      <c r="AW752" s="81" t="b">
        <v>0</v>
      </c>
      <c r="AX752" s="81" t="s">
        <v>3728</v>
      </c>
      <c r="AY752" s="84" t="str">
        <f>HYPERLINK("https://twitter.com/gepesmi")</f>
        <v>https://twitter.com/gepesmi</v>
      </c>
      <c r="AZ752" s="81" t="s">
        <v>66</v>
      </c>
      <c r="BA752" s="2"/>
      <c r="BB752" s="3"/>
      <c r="BC752" s="3"/>
      <c r="BD752" s="3"/>
      <c r="BE752" s="3"/>
    </row>
    <row r="753" spans="1:57" x14ac:dyDescent="0.35">
      <c r="A753" s="66" t="s">
        <v>4485</v>
      </c>
      <c r="B753" s="67"/>
      <c r="C753" s="67"/>
      <c r="D753" s="68"/>
      <c r="E753" s="94"/>
      <c r="F753" s="93" t="str">
        <f>HYPERLINK("https://pbs.twimg.com/profile_images/1441432691333902337/6WWx4P8m_normal.jpg")</f>
        <v>https://pbs.twimg.com/profile_images/1441432691333902337/6WWx4P8m_normal.jpg</v>
      </c>
      <c r="G753" s="95"/>
      <c r="H753" s="71"/>
      <c r="I753" s="72"/>
      <c r="J753" s="96"/>
      <c r="K753" s="71" t="s">
        <v>11840</v>
      </c>
      <c r="L753" s="97"/>
      <c r="M753" s="76"/>
      <c r="N753" s="76"/>
      <c r="O753" s="77"/>
      <c r="P753" s="78"/>
      <c r="Q753" s="78"/>
      <c r="R753" s="92"/>
      <c r="S753" s="92"/>
      <c r="T753" s="92"/>
      <c r="U753" s="92"/>
      <c r="V753" s="52"/>
      <c r="W753" s="52"/>
      <c r="X753" s="52"/>
      <c r="Y753" s="52"/>
      <c r="Z753" s="51"/>
      <c r="AA753" s="73"/>
      <c r="AB753" s="73"/>
      <c r="AC753" s="74"/>
      <c r="AD753" s="81" t="s">
        <v>8467</v>
      </c>
      <c r="AE753" s="86" t="s">
        <v>9471</v>
      </c>
      <c r="AF753" s="81">
        <v>1210</v>
      </c>
      <c r="AG753" s="81">
        <v>1221</v>
      </c>
      <c r="AH753" s="81">
        <v>1769</v>
      </c>
      <c r="AI753" s="81">
        <v>6332</v>
      </c>
      <c r="AJ753" s="81"/>
      <c r="AK753" s="81" t="s">
        <v>10423</v>
      </c>
      <c r="AL753" s="81"/>
      <c r="AM753" s="81"/>
      <c r="AN753" s="81"/>
      <c r="AO753" s="83">
        <v>44332.611226851855</v>
      </c>
      <c r="AP753" s="84" t="str">
        <f>HYPERLINK("https://pbs.twimg.com/profile_banners/1393939299998044161/1630761729")</f>
        <v>https://pbs.twimg.com/profile_banners/1393939299998044161/1630761729</v>
      </c>
      <c r="AQ753" s="81" t="b">
        <v>1</v>
      </c>
      <c r="AR753" s="81" t="b">
        <v>0</v>
      </c>
      <c r="AS753" s="81" t="b">
        <v>0</v>
      </c>
      <c r="AT753" s="81"/>
      <c r="AU753" s="81">
        <v>0</v>
      </c>
      <c r="AV753" s="81"/>
      <c r="AW753" s="81" t="b">
        <v>0</v>
      </c>
      <c r="AX753" s="81" t="s">
        <v>3728</v>
      </c>
      <c r="AY753" s="84" t="str">
        <f>HYPERLINK("https://twitter.com/alexsonaro17")</f>
        <v>https://twitter.com/alexsonaro17</v>
      </c>
      <c r="AZ753" s="81" t="s">
        <v>66</v>
      </c>
      <c r="BA753" s="2"/>
      <c r="BB753" s="3"/>
      <c r="BC753" s="3"/>
      <c r="BD753" s="3"/>
      <c r="BE753" s="3"/>
    </row>
    <row r="754" spans="1:57" x14ac:dyDescent="0.35">
      <c r="A754" s="66" t="s">
        <v>4486</v>
      </c>
      <c r="B754" s="67"/>
      <c r="C754" s="67"/>
      <c r="D754" s="68"/>
      <c r="E754" s="94"/>
      <c r="F754" s="93" t="str">
        <f>HYPERLINK("https://pbs.twimg.com/profile_images/1434053415433293826/DIO3rmIJ_normal.jpg")</f>
        <v>https://pbs.twimg.com/profile_images/1434053415433293826/DIO3rmIJ_normal.jpg</v>
      </c>
      <c r="G754" s="95"/>
      <c r="H754" s="71"/>
      <c r="I754" s="72"/>
      <c r="J754" s="96"/>
      <c r="K754" s="71" t="s">
        <v>11841</v>
      </c>
      <c r="L754" s="97"/>
      <c r="M754" s="76"/>
      <c r="N754" s="76"/>
      <c r="O754" s="77"/>
      <c r="P754" s="78"/>
      <c r="Q754" s="78"/>
      <c r="R754" s="92"/>
      <c r="S754" s="92"/>
      <c r="T754" s="92"/>
      <c r="U754" s="92"/>
      <c r="V754" s="52"/>
      <c r="W754" s="52"/>
      <c r="X754" s="52"/>
      <c r="Y754" s="52"/>
      <c r="Z754" s="51"/>
      <c r="AA754" s="73"/>
      <c r="AB754" s="73"/>
      <c r="AC754" s="74"/>
      <c r="AD754" s="81" t="s">
        <v>8468</v>
      </c>
      <c r="AE754" s="86" t="s">
        <v>9472</v>
      </c>
      <c r="AF754" s="81">
        <v>3398</v>
      </c>
      <c r="AG754" s="81">
        <v>278629</v>
      </c>
      <c r="AH754" s="81">
        <v>95482</v>
      </c>
      <c r="AI754" s="81">
        <v>2527</v>
      </c>
      <c r="AJ754" s="81"/>
      <c r="AK754" s="81" t="s">
        <v>10424</v>
      </c>
      <c r="AL754" s="81" t="s">
        <v>10990</v>
      </c>
      <c r="AM754" s="84" t="str">
        <f>HYPERLINK("https://t.co/Ehr8GI63Kt")</f>
        <v>https://t.co/Ehr8GI63Kt</v>
      </c>
      <c r="AN754" s="81"/>
      <c r="AO754" s="83">
        <v>39588.218171296299</v>
      </c>
      <c r="AP754" s="84" t="str">
        <f>HYPERLINK("https://pbs.twimg.com/profile_banners/14842285/1630739954")</f>
        <v>https://pbs.twimg.com/profile_banners/14842285/1630739954</v>
      </c>
      <c r="AQ754" s="81" t="b">
        <v>0</v>
      </c>
      <c r="AR754" s="81" t="b">
        <v>0</v>
      </c>
      <c r="AS754" s="81" t="b">
        <v>1</v>
      </c>
      <c r="AT754" s="81"/>
      <c r="AU754" s="81">
        <v>541</v>
      </c>
      <c r="AV754" s="84" t="str">
        <f>HYPERLINK("https://abs.twimg.com/images/themes/theme5/bg.gif")</f>
        <v>https://abs.twimg.com/images/themes/theme5/bg.gif</v>
      </c>
      <c r="AW754" s="81" t="b">
        <v>1</v>
      </c>
      <c r="AX754" s="81" t="s">
        <v>3728</v>
      </c>
      <c r="AY754" s="84" t="str">
        <f>HYPERLINK("https://twitter.com/sapo")</f>
        <v>https://twitter.com/sapo</v>
      </c>
      <c r="AZ754" s="81" t="s">
        <v>66</v>
      </c>
      <c r="BA754" s="2"/>
      <c r="BB754" s="3"/>
      <c r="BC754" s="3"/>
      <c r="BD754" s="3"/>
      <c r="BE754" s="3"/>
    </row>
    <row r="755" spans="1:57" x14ac:dyDescent="0.35">
      <c r="A755" s="66" t="s">
        <v>477</v>
      </c>
      <c r="B755" s="67"/>
      <c r="C755" s="67"/>
      <c r="D755" s="68"/>
      <c r="E755" s="94"/>
      <c r="F755" s="93" t="str">
        <f>HYPERLINK("https://pbs.twimg.com/profile_images/1081064343578394624/XDncZ7yI_normal.jpg")</f>
        <v>https://pbs.twimg.com/profile_images/1081064343578394624/XDncZ7yI_normal.jpg</v>
      </c>
      <c r="G755" s="95"/>
      <c r="H755" s="71"/>
      <c r="I755" s="72"/>
      <c r="J755" s="96"/>
      <c r="K755" s="71" t="s">
        <v>4027</v>
      </c>
      <c r="L755" s="97"/>
      <c r="M755" s="76"/>
      <c r="N755" s="76"/>
      <c r="O755" s="77"/>
      <c r="P755" s="78"/>
      <c r="Q755" s="78"/>
      <c r="R755" s="92"/>
      <c r="S755" s="92"/>
      <c r="T755" s="92"/>
      <c r="U755" s="92"/>
      <c r="V755" s="52"/>
      <c r="W755" s="52"/>
      <c r="X755" s="52"/>
      <c r="Y755" s="52"/>
      <c r="Z755" s="51"/>
      <c r="AA755" s="73"/>
      <c r="AB755" s="73"/>
      <c r="AC755" s="74"/>
      <c r="AD755" s="81" t="s">
        <v>2541</v>
      </c>
      <c r="AE755" s="86" t="s">
        <v>2965</v>
      </c>
      <c r="AF755" s="81">
        <v>37</v>
      </c>
      <c r="AG755" s="81">
        <v>0</v>
      </c>
      <c r="AH755" s="81">
        <v>69</v>
      </c>
      <c r="AI755" s="81">
        <v>31</v>
      </c>
      <c r="AJ755" s="81"/>
      <c r="AK755" s="81"/>
      <c r="AL755" s="81"/>
      <c r="AM755" s="81"/>
      <c r="AN755" s="81"/>
      <c r="AO755" s="83">
        <v>43406.985081018516</v>
      </c>
      <c r="AP755" s="81"/>
      <c r="AQ755" s="81" t="b">
        <v>1</v>
      </c>
      <c r="AR755" s="81" t="b">
        <v>0</v>
      </c>
      <c r="AS755" s="81" t="b">
        <v>0</v>
      </c>
      <c r="AT755" s="81"/>
      <c r="AU755" s="81">
        <v>0</v>
      </c>
      <c r="AV755" s="81"/>
      <c r="AW755" s="81" t="b">
        <v>0</v>
      </c>
      <c r="AX755" s="81" t="s">
        <v>3728</v>
      </c>
      <c r="AY755" s="84" t="str">
        <f>HYPERLINK("https://twitter.com/faeezah01774194")</f>
        <v>https://twitter.com/faeezah01774194</v>
      </c>
      <c r="AZ755" s="81" t="s">
        <v>66</v>
      </c>
      <c r="BA755" s="2"/>
      <c r="BB755" s="3"/>
      <c r="BC755" s="3"/>
      <c r="BD755" s="3"/>
      <c r="BE755" s="3"/>
    </row>
    <row r="756" spans="1:57" x14ac:dyDescent="0.35">
      <c r="A756" s="66" t="s">
        <v>660</v>
      </c>
      <c r="B756" s="67"/>
      <c r="C756" s="67"/>
      <c r="D756" s="68"/>
      <c r="E756" s="94"/>
      <c r="F756" s="93" t="str">
        <f>HYPERLINK("https://pbs.twimg.com/profile_images/1441747733941932038/YwkmdbRF_normal.jpg")</f>
        <v>https://pbs.twimg.com/profile_images/1441747733941932038/YwkmdbRF_normal.jpg</v>
      </c>
      <c r="G756" s="95"/>
      <c r="H756" s="71"/>
      <c r="I756" s="72"/>
      <c r="J756" s="96"/>
      <c r="K756" s="71" t="s">
        <v>4028</v>
      </c>
      <c r="L756" s="97"/>
      <c r="M756" s="76"/>
      <c r="N756" s="76"/>
      <c r="O756" s="77"/>
      <c r="P756" s="78"/>
      <c r="Q756" s="78"/>
      <c r="R756" s="92"/>
      <c r="S756" s="92"/>
      <c r="T756" s="92"/>
      <c r="U756" s="92"/>
      <c r="V756" s="52"/>
      <c r="W756" s="52"/>
      <c r="X756" s="52"/>
      <c r="Y756" s="52"/>
      <c r="Z756" s="51"/>
      <c r="AA756" s="73"/>
      <c r="AB756" s="73"/>
      <c r="AC756" s="74"/>
      <c r="AD756" s="81" t="s">
        <v>2332</v>
      </c>
      <c r="AE756" s="86" t="s">
        <v>2966</v>
      </c>
      <c r="AF756" s="81">
        <v>147</v>
      </c>
      <c r="AG756" s="81">
        <v>252</v>
      </c>
      <c r="AH756" s="81">
        <v>6671</v>
      </c>
      <c r="AI756" s="81">
        <v>10118</v>
      </c>
      <c r="AJ756" s="81"/>
      <c r="AK756" s="81" t="s">
        <v>3369</v>
      </c>
      <c r="AL756" s="81"/>
      <c r="AM756" s="84" t="str">
        <f>HYPERLINK("https://t.co/0t2Vjyqbx4")</f>
        <v>https://t.co/0t2Vjyqbx4</v>
      </c>
      <c r="AN756" s="81"/>
      <c r="AO756" s="83">
        <v>42705.347662037035</v>
      </c>
      <c r="AP756" s="84" t="str">
        <f>HYPERLINK("https://pbs.twimg.com/profile_banners/804238763257798656/1626781137")</f>
        <v>https://pbs.twimg.com/profile_banners/804238763257798656/1626781137</v>
      </c>
      <c r="AQ756" s="81" t="b">
        <v>1</v>
      </c>
      <c r="AR756" s="81" t="b">
        <v>0</v>
      </c>
      <c r="AS756" s="81" t="b">
        <v>1</v>
      </c>
      <c r="AT756" s="81"/>
      <c r="AU756" s="81">
        <v>0</v>
      </c>
      <c r="AV756" s="81"/>
      <c r="AW756" s="81" t="b">
        <v>0</v>
      </c>
      <c r="AX756" s="81" t="s">
        <v>3728</v>
      </c>
      <c r="AY756" s="84" t="str">
        <f>HYPERLINK("https://twitter.com/maisarahhhh____")</f>
        <v>https://twitter.com/maisarahhhh____</v>
      </c>
      <c r="AZ756" s="81" t="s">
        <v>65</v>
      </c>
      <c r="BA756" s="2"/>
      <c r="BB756" s="3"/>
      <c r="BC756" s="3"/>
      <c r="BD756" s="3"/>
      <c r="BE756" s="3"/>
    </row>
    <row r="757" spans="1:57" x14ac:dyDescent="0.35">
      <c r="A757" s="66" t="s">
        <v>661</v>
      </c>
      <c r="B757" s="67"/>
      <c r="C757" s="67"/>
      <c r="D757" s="68"/>
      <c r="E757" s="94"/>
      <c r="F757" s="93" t="str">
        <f>HYPERLINK("https://pbs.twimg.com/profile_images/1429736909249519618/rwie4eBI_normal.jpg")</f>
        <v>https://pbs.twimg.com/profile_images/1429736909249519618/rwie4eBI_normal.jpg</v>
      </c>
      <c r="G757" s="95"/>
      <c r="H757" s="71"/>
      <c r="I757" s="72"/>
      <c r="J757" s="96"/>
      <c r="K757" s="71" t="s">
        <v>4029</v>
      </c>
      <c r="L757" s="97"/>
      <c r="M757" s="76"/>
      <c r="N757" s="76"/>
      <c r="O757" s="77"/>
      <c r="P757" s="78"/>
      <c r="Q757" s="78"/>
      <c r="R757" s="92"/>
      <c r="S757" s="92"/>
      <c r="T757" s="92"/>
      <c r="U757" s="92"/>
      <c r="V757" s="52"/>
      <c r="W757" s="52"/>
      <c r="X757" s="52"/>
      <c r="Y757" s="52"/>
      <c r="Z757" s="51"/>
      <c r="AA757" s="73"/>
      <c r="AB757" s="73"/>
      <c r="AC757" s="74"/>
      <c r="AD757" s="81" t="s">
        <v>2542</v>
      </c>
      <c r="AE757" s="86" t="s">
        <v>2127</v>
      </c>
      <c r="AF757" s="81">
        <v>180</v>
      </c>
      <c r="AG757" s="81">
        <v>462</v>
      </c>
      <c r="AH757" s="81">
        <v>5887</v>
      </c>
      <c r="AI757" s="81">
        <v>5995</v>
      </c>
      <c r="AJ757" s="81"/>
      <c r="AK757" s="81" t="s">
        <v>3370</v>
      </c>
      <c r="AL757" s="81"/>
      <c r="AM757" s="81"/>
      <c r="AN757" s="81"/>
      <c r="AO757" s="83">
        <v>42891.233067129629</v>
      </c>
      <c r="AP757" s="84" t="str">
        <f>HYPERLINK("https://pbs.twimg.com/profile_banners/871601382192578561/1632398999")</f>
        <v>https://pbs.twimg.com/profile_banners/871601382192578561/1632398999</v>
      </c>
      <c r="AQ757" s="81" t="b">
        <v>1</v>
      </c>
      <c r="AR757" s="81" t="b">
        <v>0</v>
      </c>
      <c r="AS757" s="81" t="b">
        <v>1</v>
      </c>
      <c r="AT757" s="81"/>
      <c r="AU757" s="81">
        <v>0</v>
      </c>
      <c r="AV757" s="81"/>
      <c r="AW757" s="81" t="b">
        <v>0</v>
      </c>
      <c r="AX757" s="81" t="s">
        <v>3728</v>
      </c>
      <c r="AY757" s="84" t="str">
        <f>HYPERLINK("https://twitter.com/effaalyaa")</f>
        <v>https://twitter.com/effaalyaa</v>
      </c>
      <c r="AZ757" s="81" t="s">
        <v>65</v>
      </c>
      <c r="BA757" s="2"/>
      <c r="BB757" s="3"/>
      <c r="BC757" s="3"/>
      <c r="BD757" s="3"/>
      <c r="BE757" s="3"/>
    </row>
    <row r="758" spans="1:57" x14ac:dyDescent="0.35">
      <c r="A758" s="66" t="s">
        <v>4487</v>
      </c>
      <c r="B758" s="67"/>
      <c r="C758" s="67"/>
      <c r="D758" s="68"/>
      <c r="E758" s="94"/>
      <c r="F758" s="93" t="str">
        <f>HYPERLINK("https://pbs.twimg.com/profile_images/704823191949217793/tG0dfS97_normal.jpg")</f>
        <v>https://pbs.twimg.com/profile_images/704823191949217793/tG0dfS97_normal.jpg</v>
      </c>
      <c r="G758" s="95"/>
      <c r="H758" s="71"/>
      <c r="I758" s="72"/>
      <c r="J758" s="96"/>
      <c r="K758" s="71" t="s">
        <v>11842</v>
      </c>
      <c r="L758" s="97"/>
      <c r="M758" s="76"/>
      <c r="N758" s="76"/>
      <c r="O758" s="77"/>
      <c r="P758" s="78"/>
      <c r="Q758" s="78"/>
      <c r="R758" s="92"/>
      <c r="S758" s="92"/>
      <c r="T758" s="92"/>
      <c r="U758" s="92"/>
      <c r="V758" s="52"/>
      <c r="W758" s="52"/>
      <c r="X758" s="52"/>
      <c r="Y758" s="52"/>
      <c r="Z758" s="51"/>
      <c r="AA758" s="73"/>
      <c r="AB758" s="73"/>
      <c r="AC758" s="74"/>
      <c r="AD758" s="81" t="s">
        <v>8469</v>
      </c>
      <c r="AE758" s="86" t="s">
        <v>9473</v>
      </c>
      <c r="AF758" s="81">
        <v>812</v>
      </c>
      <c r="AG758" s="81">
        <v>1096</v>
      </c>
      <c r="AH758" s="81">
        <v>15049</v>
      </c>
      <c r="AI758" s="81">
        <v>0</v>
      </c>
      <c r="AJ758" s="81"/>
      <c r="AK758" s="81"/>
      <c r="AL758" s="81"/>
      <c r="AM758" s="81"/>
      <c r="AN758" s="81"/>
      <c r="AO758" s="83">
        <v>42431.011435185188</v>
      </c>
      <c r="AP758" s="84" t="str">
        <f>HYPERLINK("https://pbs.twimg.com/profile_banners/704822645473337344/1456877899")</f>
        <v>https://pbs.twimg.com/profile_banners/704822645473337344/1456877899</v>
      </c>
      <c r="AQ758" s="81" t="b">
        <v>1</v>
      </c>
      <c r="AR758" s="81" t="b">
        <v>0</v>
      </c>
      <c r="AS758" s="81" t="b">
        <v>0</v>
      </c>
      <c r="AT758" s="81"/>
      <c r="AU758" s="81">
        <v>1</v>
      </c>
      <c r="AV758" s="81"/>
      <c r="AW758" s="81" t="b">
        <v>0</v>
      </c>
      <c r="AX758" s="81" t="s">
        <v>3728</v>
      </c>
      <c r="AY758" s="84" t="str">
        <f>HYPERLINK("https://twitter.com/obilonbeta")</f>
        <v>https://twitter.com/obilonbeta</v>
      </c>
      <c r="AZ758" s="81" t="s">
        <v>66</v>
      </c>
      <c r="BA758" s="2"/>
      <c r="BB758" s="3"/>
      <c r="BC758" s="3"/>
      <c r="BD758" s="3"/>
      <c r="BE758" s="3"/>
    </row>
    <row r="759" spans="1:57" x14ac:dyDescent="0.35">
      <c r="A759" s="66" t="s">
        <v>4488</v>
      </c>
      <c r="B759" s="67"/>
      <c r="C759" s="67"/>
      <c r="D759" s="68"/>
      <c r="E759" s="94"/>
      <c r="F759" s="93" t="str">
        <f>HYPERLINK("https://pbs.twimg.com/profile_images/1432345857278492679/ITgFnT-x_normal.jpg")</f>
        <v>https://pbs.twimg.com/profile_images/1432345857278492679/ITgFnT-x_normal.jpg</v>
      </c>
      <c r="G759" s="95"/>
      <c r="H759" s="71"/>
      <c r="I759" s="72"/>
      <c r="J759" s="96"/>
      <c r="K759" s="71" t="s">
        <v>11843</v>
      </c>
      <c r="L759" s="97"/>
      <c r="M759" s="76"/>
      <c r="N759" s="76"/>
      <c r="O759" s="77"/>
      <c r="P759" s="78"/>
      <c r="Q759" s="78"/>
      <c r="R759" s="92"/>
      <c r="S759" s="92"/>
      <c r="T759" s="92"/>
      <c r="U759" s="92"/>
      <c r="V759" s="52"/>
      <c r="W759" s="52"/>
      <c r="X759" s="52"/>
      <c r="Y759" s="52"/>
      <c r="Z759" s="51"/>
      <c r="AA759" s="73"/>
      <c r="AB759" s="73"/>
      <c r="AC759" s="74"/>
      <c r="AD759" s="81" t="s">
        <v>8470</v>
      </c>
      <c r="AE759" s="86" t="s">
        <v>9474</v>
      </c>
      <c r="AF759" s="81">
        <v>579</v>
      </c>
      <c r="AG759" s="81">
        <v>1820</v>
      </c>
      <c r="AH759" s="81">
        <v>16795</v>
      </c>
      <c r="AI759" s="81">
        <v>96326</v>
      </c>
      <c r="AJ759" s="81"/>
      <c r="AK759" s="81" t="s">
        <v>10425</v>
      </c>
      <c r="AL759" s="81" t="s">
        <v>11154</v>
      </c>
      <c r="AM759" s="84" t="str">
        <f>HYPERLINK("https://t.co/vgY00vbNB1")</f>
        <v>https://t.co/vgY00vbNB1</v>
      </c>
      <c r="AN759" s="81"/>
      <c r="AO759" s="83">
        <v>44059.635277777779</v>
      </c>
      <c r="AP759" s="84" t="str">
        <f>HYPERLINK("https://pbs.twimg.com/profile_banners/1295016108404113417/1630332839")</f>
        <v>https://pbs.twimg.com/profile_banners/1295016108404113417/1630332839</v>
      </c>
      <c r="AQ759" s="81" t="b">
        <v>1</v>
      </c>
      <c r="AR759" s="81" t="b">
        <v>0</v>
      </c>
      <c r="AS759" s="81" t="b">
        <v>1</v>
      </c>
      <c r="AT759" s="81"/>
      <c r="AU759" s="81">
        <v>2</v>
      </c>
      <c r="AV759" s="81"/>
      <c r="AW759" s="81" t="b">
        <v>0</v>
      </c>
      <c r="AX759" s="81" t="s">
        <v>3728</v>
      </c>
      <c r="AY759" s="84" t="str">
        <f>HYPERLINK("https://twitter.com/opeugusmao")</f>
        <v>https://twitter.com/opeugusmao</v>
      </c>
      <c r="AZ759" s="81" t="s">
        <v>66</v>
      </c>
      <c r="BA759" s="2"/>
      <c r="BB759" s="3"/>
      <c r="BC759" s="3"/>
      <c r="BD759" s="3"/>
      <c r="BE759" s="3"/>
    </row>
    <row r="760" spans="1:57" x14ac:dyDescent="0.35">
      <c r="A760" s="66" t="s">
        <v>5092</v>
      </c>
      <c r="B760" s="67"/>
      <c r="C760" s="67"/>
      <c r="D760" s="68"/>
      <c r="E760" s="94"/>
      <c r="F760" s="93" t="str">
        <f>HYPERLINK("https://pbs.twimg.com/profile_images/1359858611854454784/D52n6sGb_normal.jpg")</f>
        <v>https://pbs.twimg.com/profile_images/1359858611854454784/D52n6sGb_normal.jpg</v>
      </c>
      <c r="G760" s="95"/>
      <c r="H760" s="71"/>
      <c r="I760" s="72"/>
      <c r="J760" s="96"/>
      <c r="K760" s="71" t="s">
        <v>11844</v>
      </c>
      <c r="L760" s="97"/>
      <c r="M760" s="76"/>
      <c r="N760" s="76"/>
      <c r="O760" s="77"/>
      <c r="P760" s="78"/>
      <c r="Q760" s="78"/>
      <c r="R760" s="92"/>
      <c r="S760" s="92"/>
      <c r="T760" s="92"/>
      <c r="U760" s="92"/>
      <c r="V760" s="52"/>
      <c r="W760" s="52"/>
      <c r="X760" s="52"/>
      <c r="Y760" s="52"/>
      <c r="Z760" s="51"/>
      <c r="AA760" s="73"/>
      <c r="AB760" s="73"/>
      <c r="AC760" s="74"/>
      <c r="AD760" s="81" t="s">
        <v>8471</v>
      </c>
      <c r="AE760" s="86" t="s">
        <v>9475</v>
      </c>
      <c r="AF760" s="81">
        <v>423</v>
      </c>
      <c r="AG760" s="81">
        <v>9242</v>
      </c>
      <c r="AH760" s="81">
        <v>65884</v>
      </c>
      <c r="AI760" s="81">
        <v>51333</v>
      </c>
      <c r="AJ760" s="81"/>
      <c r="AK760" s="81" t="s">
        <v>10426</v>
      </c>
      <c r="AL760" s="81" t="s">
        <v>10975</v>
      </c>
      <c r="AM760" s="84" t="str">
        <f>HYPERLINK("https://t.co/QPOhMM7gPa")</f>
        <v>https://t.co/QPOhMM7gPa</v>
      </c>
      <c r="AN760" s="81"/>
      <c r="AO760" s="83">
        <v>40010.766944444447</v>
      </c>
      <c r="AP760" s="84" t="str">
        <f>HYPERLINK("https://pbs.twimg.com/profile_banners/57405072/1616606537")</f>
        <v>https://pbs.twimg.com/profile_banners/57405072/1616606537</v>
      </c>
      <c r="AQ760" s="81" t="b">
        <v>0</v>
      </c>
      <c r="AR760" s="81" t="b">
        <v>0</v>
      </c>
      <c r="AS760" s="81" t="b">
        <v>1</v>
      </c>
      <c r="AT760" s="81"/>
      <c r="AU760" s="81">
        <v>36</v>
      </c>
      <c r="AV760" s="84" t="str">
        <f>HYPERLINK("https://abs.twimg.com/images/themes/theme1/bg.png")</f>
        <v>https://abs.twimg.com/images/themes/theme1/bg.png</v>
      </c>
      <c r="AW760" s="81" t="b">
        <v>0</v>
      </c>
      <c r="AX760" s="81" t="s">
        <v>3728</v>
      </c>
      <c r="AY760" s="84" t="str">
        <f>HYPERLINK("https://twitter.com/marianacabralc")</f>
        <v>https://twitter.com/marianacabralc</v>
      </c>
      <c r="AZ760" s="81" t="s">
        <v>65</v>
      </c>
      <c r="BA760" s="2"/>
      <c r="BB760" s="3"/>
      <c r="BC760" s="3"/>
      <c r="BD760" s="3"/>
      <c r="BE760" s="3"/>
    </row>
    <row r="761" spans="1:57" x14ac:dyDescent="0.35">
      <c r="A761" s="66" t="s">
        <v>5093</v>
      </c>
      <c r="B761" s="67"/>
      <c r="C761" s="67"/>
      <c r="D761" s="68"/>
      <c r="E761" s="94"/>
      <c r="F761" s="93" t="str">
        <f>HYPERLINK("https://pbs.twimg.com/profile_images/1328253578297872385/3A6_KuLx_normal.jpg")</f>
        <v>https://pbs.twimg.com/profile_images/1328253578297872385/3A6_KuLx_normal.jpg</v>
      </c>
      <c r="G761" s="95"/>
      <c r="H761" s="71"/>
      <c r="I761" s="72"/>
      <c r="J761" s="96"/>
      <c r="K761" s="71" t="s">
        <v>11845</v>
      </c>
      <c r="L761" s="97"/>
      <c r="M761" s="76"/>
      <c r="N761" s="76"/>
      <c r="O761" s="77"/>
      <c r="P761" s="78"/>
      <c r="Q761" s="78"/>
      <c r="R761" s="92"/>
      <c r="S761" s="92"/>
      <c r="T761" s="92"/>
      <c r="U761" s="92"/>
      <c r="V761" s="52"/>
      <c r="W761" s="52"/>
      <c r="X761" s="52"/>
      <c r="Y761" s="52"/>
      <c r="Z761" s="51"/>
      <c r="AA761" s="73"/>
      <c r="AB761" s="73"/>
      <c r="AC761" s="74"/>
      <c r="AD761" s="81" t="s">
        <v>8472</v>
      </c>
      <c r="AE761" s="86" t="s">
        <v>7865</v>
      </c>
      <c r="AF761" s="81">
        <v>1737</v>
      </c>
      <c r="AG761" s="81">
        <v>1318</v>
      </c>
      <c r="AH761" s="81">
        <v>62500</v>
      </c>
      <c r="AI761" s="81">
        <v>256342</v>
      </c>
      <c r="AJ761" s="81"/>
      <c r="AK761" s="81" t="s">
        <v>10427</v>
      </c>
      <c r="AL761" s="81" t="s">
        <v>10981</v>
      </c>
      <c r="AM761" s="81"/>
      <c r="AN761" s="81"/>
      <c r="AO761" s="83">
        <v>40022.941886574074</v>
      </c>
      <c r="AP761" s="84" t="str">
        <f>HYPERLINK("https://pbs.twimg.com/profile_banners/61040194/1540987174")</f>
        <v>https://pbs.twimg.com/profile_banners/61040194/1540987174</v>
      </c>
      <c r="AQ761" s="81" t="b">
        <v>1</v>
      </c>
      <c r="AR761" s="81" t="b">
        <v>0</v>
      </c>
      <c r="AS761" s="81" t="b">
        <v>0</v>
      </c>
      <c r="AT761" s="81"/>
      <c r="AU761" s="81">
        <v>7</v>
      </c>
      <c r="AV761" s="84" t="str">
        <f>HYPERLINK("https://abs.twimg.com/images/themes/theme1/bg.png")</f>
        <v>https://abs.twimg.com/images/themes/theme1/bg.png</v>
      </c>
      <c r="AW761" s="81" t="b">
        <v>0</v>
      </c>
      <c r="AX761" s="81" t="s">
        <v>3728</v>
      </c>
      <c r="AY761" s="84" t="str">
        <f>HYPERLINK("https://twitter.com/seneguini")</f>
        <v>https://twitter.com/seneguini</v>
      </c>
      <c r="AZ761" s="81" t="s">
        <v>65</v>
      </c>
      <c r="BA761" s="2"/>
      <c r="BB761" s="3"/>
      <c r="BC761" s="3"/>
      <c r="BD761" s="3"/>
      <c r="BE761" s="3"/>
    </row>
    <row r="762" spans="1:57" x14ac:dyDescent="0.35">
      <c r="A762" s="66" t="s">
        <v>4489</v>
      </c>
      <c r="B762" s="67"/>
      <c r="C762" s="67"/>
      <c r="D762" s="68"/>
      <c r="E762" s="94"/>
      <c r="F762" s="93" t="str">
        <f>HYPERLINK("https://pbs.twimg.com/profile_images/1373724320191688709/h_W9klYP_normal.jpg")</f>
        <v>https://pbs.twimg.com/profile_images/1373724320191688709/h_W9klYP_normal.jpg</v>
      </c>
      <c r="G762" s="95"/>
      <c r="H762" s="71"/>
      <c r="I762" s="72"/>
      <c r="J762" s="96"/>
      <c r="K762" s="71" t="s">
        <v>11846</v>
      </c>
      <c r="L762" s="97"/>
      <c r="M762" s="76"/>
      <c r="N762" s="76"/>
      <c r="O762" s="77"/>
      <c r="P762" s="78"/>
      <c r="Q762" s="78"/>
      <c r="R762" s="92"/>
      <c r="S762" s="92"/>
      <c r="T762" s="92"/>
      <c r="U762" s="92"/>
      <c r="V762" s="52"/>
      <c r="W762" s="52"/>
      <c r="X762" s="52"/>
      <c r="Y762" s="52"/>
      <c r="Z762" s="51"/>
      <c r="AA762" s="73"/>
      <c r="AB762" s="73"/>
      <c r="AC762" s="74"/>
      <c r="AD762" s="81" t="s">
        <v>8473</v>
      </c>
      <c r="AE762" s="86" t="s">
        <v>7866</v>
      </c>
      <c r="AF762" s="81">
        <v>30</v>
      </c>
      <c r="AG762" s="81">
        <v>25</v>
      </c>
      <c r="AH762" s="81">
        <v>3884</v>
      </c>
      <c r="AI762" s="81">
        <v>94</v>
      </c>
      <c r="AJ762" s="81"/>
      <c r="AK762" s="81" t="s">
        <v>10428</v>
      </c>
      <c r="AL762" s="81"/>
      <c r="AM762" s="81"/>
      <c r="AN762" s="81"/>
      <c r="AO762" s="83">
        <v>44276.827280092592</v>
      </c>
      <c r="AP762" s="84" t="str">
        <f>HYPERLINK("https://pbs.twimg.com/profile_banners/1373723879168950276/1630181290")</f>
        <v>https://pbs.twimg.com/profile_banners/1373723879168950276/1630181290</v>
      </c>
      <c r="AQ762" s="81" t="b">
        <v>1</v>
      </c>
      <c r="AR762" s="81" t="b">
        <v>0</v>
      </c>
      <c r="AS762" s="81" t="b">
        <v>0</v>
      </c>
      <c r="AT762" s="81"/>
      <c r="AU762" s="81">
        <v>0</v>
      </c>
      <c r="AV762" s="81"/>
      <c r="AW762" s="81" t="b">
        <v>0</v>
      </c>
      <c r="AX762" s="81" t="s">
        <v>3728</v>
      </c>
      <c r="AY762" s="84" t="str">
        <f>HYPERLINK("https://twitter.com/weayl")</f>
        <v>https://twitter.com/weayl</v>
      </c>
      <c r="AZ762" s="81" t="s">
        <v>66</v>
      </c>
      <c r="BA762" s="2"/>
      <c r="BB762" s="3"/>
      <c r="BC762" s="3"/>
      <c r="BD762" s="3"/>
      <c r="BE762" s="3"/>
    </row>
    <row r="763" spans="1:57" x14ac:dyDescent="0.35">
      <c r="A763" s="66" t="s">
        <v>4490</v>
      </c>
      <c r="B763" s="67"/>
      <c r="C763" s="67"/>
      <c r="D763" s="68"/>
      <c r="E763" s="94"/>
      <c r="F763" s="93" t="str">
        <f>HYPERLINK("https://pbs.twimg.com/profile_images/1370417212440375298/uIwSrC9V_normal.jpg")</f>
        <v>https://pbs.twimg.com/profile_images/1370417212440375298/uIwSrC9V_normal.jpg</v>
      </c>
      <c r="G763" s="95"/>
      <c r="H763" s="71"/>
      <c r="I763" s="72"/>
      <c r="J763" s="96"/>
      <c r="K763" s="71" t="s">
        <v>11847</v>
      </c>
      <c r="L763" s="97"/>
      <c r="M763" s="76"/>
      <c r="N763" s="76"/>
      <c r="O763" s="77"/>
      <c r="P763" s="78"/>
      <c r="Q763" s="78"/>
      <c r="R763" s="92"/>
      <c r="S763" s="92"/>
      <c r="T763" s="92"/>
      <c r="U763" s="92"/>
      <c r="V763" s="52"/>
      <c r="W763" s="52"/>
      <c r="X763" s="52"/>
      <c r="Y763" s="52"/>
      <c r="Z763" s="51"/>
      <c r="AA763" s="73"/>
      <c r="AB763" s="73"/>
      <c r="AC763" s="74"/>
      <c r="AD763" s="81" t="s">
        <v>8474</v>
      </c>
      <c r="AE763" s="86" t="s">
        <v>9476</v>
      </c>
      <c r="AF763" s="81">
        <v>1773</v>
      </c>
      <c r="AG763" s="81">
        <v>1521</v>
      </c>
      <c r="AH763" s="81">
        <v>242130</v>
      </c>
      <c r="AI763" s="81">
        <v>287069</v>
      </c>
      <c r="AJ763" s="81"/>
      <c r="AK763" s="81" t="s">
        <v>10429</v>
      </c>
      <c r="AL763" s="81"/>
      <c r="AM763" s="81"/>
      <c r="AN763" s="81"/>
      <c r="AO763" s="83">
        <v>43777.94195601852</v>
      </c>
      <c r="AP763" s="84" t="str">
        <f>HYPERLINK("https://pbs.twimg.com/profile_banners/1192933854992117767/1611517248")</f>
        <v>https://pbs.twimg.com/profile_banners/1192933854992117767/1611517248</v>
      </c>
      <c r="AQ763" s="81" t="b">
        <v>1</v>
      </c>
      <c r="AR763" s="81" t="b">
        <v>0</v>
      </c>
      <c r="AS763" s="81" t="b">
        <v>0</v>
      </c>
      <c r="AT763" s="81"/>
      <c r="AU763" s="81">
        <v>2</v>
      </c>
      <c r="AV763" s="81"/>
      <c r="AW763" s="81" t="b">
        <v>0</v>
      </c>
      <c r="AX763" s="81" t="s">
        <v>3728</v>
      </c>
      <c r="AY763" s="84" t="str">
        <f>HYPERLINK("https://twitter.com/aspasia_maria")</f>
        <v>https://twitter.com/aspasia_maria</v>
      </c>
      <c r="AZ763" s="81" t="s">
        <v>66</v>
      </c>
      <c r="BA763" s="2"/>
      <c r="BB763" s="3"/>
      <c r="BC763" s="3"/>
      <c r="BD763" s="3"/>
      <c r="BE763" s="3"/>
    </row>
    <row r="764" spans="1:57" x14ac:dyDescent="0.35">
      <c r="A764" s="66" t="s">
        <v>4491</v>
      </c>
      <c r="B764" s="67"/>
      <c r="C764" s="67"/>
      <c r="D764" s="68"/>
      <c r="E764" s="94"/>
      <c r="F764" s="93" t="str">
        <f>HYPERLINK("https://pbs.twimg.com/profile_images/1441624269809586177/oivipmhE_normal.jpg")</f>
        <v>https://pbs.twimg.com/profile_images/1441624269809586177/oivipmhE_normal.jpg</v>
      </c>
      <c r="G764" s="95"/>
      <c r="H764" s="71"/>
      <c r="I764" s="72"/>
      <c r="J764" s="96"/>
      <c r="K764" s="71" t="s">
        <v>11848</v>
      </c>
      <c r="L764" s="97"/>
      <c r="M764" s="76"/>
      <c r="N764" s="76"/>
      <c r="O764" s="77"/>
      <c r="P764" s="78"/>
      <c r="Q764" s="78"/>
      <c r="R764" s="92"/>
      <c r="S764" s="92"/>
      <c r="T764" s="92"/>
      <c r="U764" s="92"/>
      <c r="V764" s="52"/>
      <c r="W764" s="52"/>
      <c r="X764" s="52"/>
      <c r="Y764" s="52"/>
      <c r="Z764" s="51"/>
      <c r="AA764" s="73"/>
      <c r="AB764" s="73"/>
      <c r="AC764" s="74"/>
      <c r="AD764" s="81">
        <v>33</v>
      </c>
      <c r="AE764" s="86" t="s">
        <v>9477</v>
      </c>
      <c r="AF764" s="81">
        <v>25</v>
      </c>
      <c r="AG764" s="81">
        <v>24</v>
      </c>
      <c r="AH764" s="81">
        <v>938</v>
      </c>
      <c r="AI764" s="81">
        <v>14</v>
      </c>
      <c r="AJ764" s="81"/>
      <c r="AK764" s="81" t="s">
        <v>10430</v>
      </c>
      <c r="AL764" s="81" t="s">
        <v>11155</v>
      </c>
      <c r="AM764" s="84" t="str">
        <f>HYPERLINK("https://t.co/WmzGEP8Cqo")</f>
        <v>https://t.co/WmzGEP8Cqo</v>
      </c>
      <c r="AN764" s="81"/>
      <c r="AO764" s="83">
        <v>44269.637615740743</v>
      </c>
      <c r="AP764" s="84" t="str">
        <f>HYPERLINK("https://pbs.twimg.com/profile_banners/1371118433962631174/1630423379")</f>
        <v>https://pbs.twimg.com/profile_banners/1371118433962631174/1630423379</v>
      </c>
      <c r="AQ764" s="81" t="b">
        <v>1</v>
      </c>
      <c r="AR764" s="81" t="b">
        <v>0</v>
      </c>
      <c r="AS764" s="81" t="b">
        <v>0</v>
      </c>
      <c r="AT764" s="81"/>
      <c r="AU764" s="81">
        <v>0</v>
      </c>
      <c r="AV764" s="81"/>
      <c r="AW764" s="81" t="b">
        <v>0</v>
      </c>
      <c r="AX764" s="81" t="s">
        <v>3728</v>
      </c>
      <c r="AY764" s="84" t="str">
        <f>HYPERLINK("https://twitter.com/33poryx")</f>
        <v>https://twitter.com/33poryx</v>
      </c>
      <c r="AZ764" s="81" t="s">
        <v>66</v>
      </c>
      <c r="BA764" s="2"/>
      <c r="BB764" s="3"/>
      <c r="BC764" s="3"/>
      <c r="BD764" s="3"/>
      <c r="BE764" s="3"/>
    </row>
    <row r="765" spans="1:57" x14ac:dyDescent="0.35">
      <c r="A765" s="66" t="s">
        <v>4492</v>
      </c>
      <c r="B765" s="67"/>
      <c r="C765" s="67"/>
      <c r="D765" s="68"/>
      <c r="E765" s="94"/>
      <c r="F765" s="93" t="str">
        <f>HYPERLINK("https://pbs.twimg.com/profile_images/1425177391706558470/iM9qIEsK_normal.jpg")</f>
        <v>https://pbs.twimg.com/profile_images/1425177391706558470/iM9qIEsK_normal.jpg</v>
      </c>
      <c r="G765" s="95"/>
      <c r="H765" s="71"/>
      <c r="I765" s="72"/>
      <c r="J765" s="96"/>
      <c r="K765" s="71" t="s">
        <v>11849</v>
      </c>
      <c r="L765" s="97"/>
      <c r="M765" s="76"/>
      <c r="N765" s="76"/>
      <c r="O765" s="77"/>
      <c r="P765" s="78"/>
      <c r="Q765" s="78"/>
      <c r="R765" s="92"/>
      <c r="S765" s="92"/>
      <c r="T765" s="92"/>
      <c r="U765" s="92"/>
      <c r="V765" s="52"/>
      <c r="W765" s="52"/>
      <c r="X765" s="52"/>
      <c r="Y765" s="52"/>
      <c r="Z765" s="51"/>
      <c r="AA765" s="73"/>
      <c r="AB765" s="73"/>
      <c r="AC765" s="74"/>
      <c r="AD765" s="81" t="s">
        <v>8475</v>
      </c>
      <c r="AE765" s="86" t="s">
        <v>9478</v>
      </c>
      <c r="AF765" s="81">
        <v>225</v>
      </c>
      <c r="AG765" s="81">
        <v>15004</v>
      </c>
      <c r="AH765" s="81">
        <v>3498</v>
      </c>
      <c r="AI765" s="81">
        <v>68</v>
      </c>
      <c r="AJ765" s="81"/>
      <c r="AK765" s="81" t="s">
        <v>10431</v>
      </c>
      <c r="AL765" s="81" t="s">
        <v>10990</v>
      </c>
      <c r="AM765" s="84" t="str">
        <f>HYPERLINK("https://t.co/PKhAXcXPKf")</f>
        <v>https://t.co/PKhAXcXPKf</v>
      </c>
      <c r="AN765" s="81"/>
      <c r="AO765" s="83">
        <v>42452.688449074078</v>
      </c>
      <c r="AP765" s="84" t="str">
        <f>HYPERLINK("https://pbs.twimg.com/profile_banners/712678133086961665/1628623523")</f>
        <v>https://pbs.twimg.com/profile_banners/712678133086961665/1628623523</v>
      </c>
      <c r="AQ765" s="81" t="b">
        <v>1</v>
      </c>
      <c r="AR765" s="81" t="b">
        <v>0</v>
      </c>
      <c r="AS765" s="81" t="b">
        <v>0</v>
      </c>
      <c r="AT765" s="81"/>
      <c r="AU765" s="81">
        <v>183</v>
      </c>
      <c r="AV765" s="81"/>
      <c r="AW765" s="81" t="b">
        <v>1</v>
      </c>
      <c r="AX765" s="81" t="s">
        <v>3728</v>
      </c>
      <c r="AY765" s="84" t="str">
        <f>HYPERLINK("https://twitter.com/nestrangeiro_pt")</f>
        <v>https://twitter.com/nestrangeiro_pt</v>
      </c>
      <c r="AZ765" s="81" t="s">
        <v>66</v>
      </c>
      <c r="BA765" s="2"/>
      <c r="BB765" s="3"/>
      <c r="BC765" s="3"/>
      <c r="BD765" s="3"/>
      <c r="BE765" s="3"/>
    </row>
    <row r="766" spans="1:57" x14ac:dyDescent="0.35">
      <c r="A766" s="66" t="s">
        <v>5094</v>
      </c>
      <c r="B766" s="67"/>
      <c r="C766" s="67"/>
      <c r="D766" s="68"/>
      <c r="E766" s="94"/>
      <c r="F766" s="93" t="str">
        <f>HYPERLINK("https://pbs.twimg.com/profile_images/1338851889916612610/HMDS6bEZ_normal.jpg")</f>
        <v>https://pbs.twimg.com/profile_images/1338851889916612610/HMDS6bEZ_normal.jpg</v>
      </c>
      <c r="G766" s="95"/>
      <c r="H766" s="71"/>
      <c r="I766" s="72"/>
      <c r="J766" s="96"/>
      <c r="K766" s="71" t="s">
        <v>11850</v>
      </c>
      <c r="L766" s="97"/>
      <c r="M766" s="76"/>
      <c r="N766" s="76"/>
      <c r="O766" s="77"/>
      <c r="P766" s="78"/>
      <c r="Q766" s="78"/>
      <c r="R766" s="92"/>
      <c r="S766" s="92"/>
      <c r="T766" s="92"/>
      <c r="U766" s="92"/>
      <c r="V766" s="52"/>
      <c r="W766" s="52"/>
      <c r="X766" s="52"/>
      <c r="Y766" s="52"/>
      <c r="Z766" s="51"/>
      <c r="AA766" s="73"/>
      <c r="AB766" s="73"/>
      <c r="AC766" s="74"/>
      <c r="AD766" s="81" t="s">
        <v>8476</v>
      </c>
      <c r="AE766" s="86" t="s">
        <v>9479</v>
      </c>
      <c r="AF766" s="81">
        <v>1049</v>
      </c>
      <c r="AG766" s="81">
        <v>318359</v>
      </c>
      <c r="AH766" s="81">
        <v>6390</v>
      </c>
      <c r="AI766" s="81">
        <v>3672</v>
      </c>
      <c r="AJ766" s="81"/>
      <c r="AK766" s="81" t="s">
        <v>10432</v>
      </c>
      <c r="AL766" s="81" t="s">
        <v>11156</v>
      </c>
      <c r="AM766" s="84" t="str">
        <f>HYPERLINK("https://t.co/RbCGemSEqB")</f>
        <v>https://t.co/RbCGemSEqB</v>
      </c>
      <c r="AN766" s="81"/>
      <c r="AO766" s="83">
        <v>42065.897453703707</v>
      </c>
      <c r="AP766" s="84" t="str">
        <f>HYPERLINK("https://pbs.twimg.com/profile_banners/3066095291/1619104767")</f>
        <v>https://pbs.twimg.com/profile_banners/3066095291/1619104767</v>
      </c>
      <c r="AQ766" s="81" t="b">
        <v>1</v>
      </c>
      <c r="AR766" s="81" t="b">
        <v>0</v>
      </c>
      <c r="AS766" s="81" t="b">
        <v>1</v>
      </c>
      <c r="AT766" s="81"/>
      <c r="AU766" s="81">
        <v>954</v>
      </c>
      <c r="AV766" s="84" t="str">
        <f>HYPERLINK("https://abs.twimg.com/images/themes/theme1/bg.png")</f>
        <v>https://abs.twimg.com/images/themes/theme1/bg.png</v>
      </c>
      <c r="AW766" s="81" t="b">
        <v>1</v>
      </c>
      <c r="AX766" s="81" t="s">
        <v>3728</v>
      </c>
      <c r="AY766" s="84" t="str">
        <f>HYPERLINK("https://twitter.com/aminajmohammed")</f>
        <v>https://twitter.com/aminajmohammed</v>
      </c>
      <c r="AZ766" s="81" t="s">
        <v>65</v>
      </c>
      <c r="BA766" s="2"/>
      <c r="BB766" s="3"/>
      <c r="BC766" s="3"/>
      <c r="BD766" s="3"/>
      <c r="BE766" s="3"/>
    </row>
    <row r="767" spans="1:57" x14ac:dyDescent="0.35">
      <c r="A767" s="66" t="s">
        <v>5095</v>
      </c>
      <c r="B767" s="67"/>
      <c r="C767" s="67"/>
      <c r="D767" s="68"/>
      <c r="E767" s="94"/>
      <c r="F767" s="93" t="str">
        <f>HYPERLINK("https://pbs.twimg.com/profile_images/1323749922005524485/LjJsuyU4_normal.jpg")</f>
        <v>https://pbs.twimg.com/profile_images/1323749922005524485/LjJsuyU4_normal.jpg</v>
      </c>
      <c r="G767" s="95"/>
      <c r="H767" s="71"/>
      <c r="I767" s="72"/>
      <c r="J767" s="96"/>
      <c r="K767" s="71" t="s">
        <v>11851</v>
      </c>
      <c r="L767" s="97"/>
      <c r="M767" s="76"/>
      <c r="N767" s="76"/>
      <c r="O767" s="77"/>
      <c r="P767" s="78"/>
      <c r="Q767" s="78"/>
      <c r="R767" s="92"/>
      <c r="S767" s="92"/>
      <c r="T767" s="92"/>
      <c r="U767" s="92"/>
      <c r="V767" s="52"/>
      <c r="W767" s="52"/>
      <c r="X767" s="52"/>
      <c r="Y767" s="52"/>
      <c r="Z767" s="51"/>
      <c r="AA767" s="73"/>
      <c r="AB767" s="73"/>
      <c r="AC767" s="74"/>
      <c r="AD767" s="81" t="s">
        <v>8477</v>
      </c>
      <c r="AE767" s="86" t="s">
        <v>9480</v>
      </c>
      <c r="AF767" s="81">
        <v>1193</v>
      </c>
      <c r="AG767" s="81">
        <v>14436571</v>
      </c>
      <c r="AH767" s="81">
        <v>81508</v>
      </c>
      <c r="AI767" s="81">
        <v>1562</v>
      </c>
      <c r="AJ767" s="81"/>
      <c r="AK767" s="81" t="s">
        <v>10433</v>
      </c>
      <c r="AL767" s="81" t="s">
        <v>11156</v>
      </c>
      <c r="AM767" s="84" t="str">
        <f>HYPERLINK("https://t.co/kgJqUNDMpy")</f>
        <v>https://t.co/kgJqUNDMpy</v>
      </c>
      <c r="AN767" s="81"/>
      <c r="AO767" s="83">
        <v>39523.844166666669</v>
      </c>
      <c r="AP767" s="84" t="str">
        <f>HYPERLINK("https://pbs.twimg.com/profile_banners/14159148/1607000252")</f>
        <v>https://pbs.twimg.com/profile_banners/14159148/1607000252</v>
      </c>
      <c r="AQ767" s="81" t="b">
        <v>0</v>
      </c>
      <c r="AR767" s="81" t="b">
        <v>0</v>
      </c>
      <c r="AS767" s="81" t="b">
        <v>1</v>
      </c>
      <c r="AT767" s="81"/>
      <c r="AU767" s="81">
        <v>42200</v>
      </c>
      <c r="AV767" s="84" t="str">
        <f>HYPERLINK("https://abs.twimg.com/images/themes/theme1/bg.png")</f>
        <v>https://abs.twimg.com/images/themes/theme1/bg.png</v>
      </c>
      <c r="AW767" s="81" t="b">
        <v>1</v>
      </c>
      <c r="AX767" s="81" t="s">
        <v>3728</v>
      </c>
      <c r="AY767" s="84" t="str">
        <f>HYPERLINK("https://twitter.com/un")</f>
        <v>https://twitter.com/un</v>
      </c>
      <c r="AZ767" s="81" t="s">
        <v>65</v>
      </c>
      <c r="BA767" s="2"/>
      <c r="BB767" s="3"/>
      <c r="BC767" s="3"/>
      <c r="BD767" s="3"/>
      <c r="BE767" s="3"/>
    </row>
    <row r="768" spans="1:57" x14ac:dyDescent="0.35">
      <c r="A768" s="66" t="s">
        <v>5096</v>
      </c>
      <c r="B768" s="67"/>
      <c r="C768" s="67"/>
      <c r="D768" s="68"/>
      <c r="E768" s="94"/>
      <c r="F768" s="93" t="str">
        <f>HYPERLINK("https://pbs.twimg.com/profile_images/950760268937625601/Du0UtbF4_normal.jpg")</f>
        <v>https://pbs.twimg.com/profile_images/950760268937625601/Du0UtbF4_normal.jpg</v>
      </c>
      <c r="G768" s="95"/>
      <c r="H768" s="71"/>
      <c r="I768" s="72"/>
      <c r="J768" s="96"/>
      <c r="K768" s="71" t="s">
        <v>11852</v>
      </c>
      <c r="L768" s="97"/>
      <c r="M768" s="76"/>
      <c r="N768" s="76"/>
      <c r="O768" s="77"/>
      <c r="P768" s="78"/>
      <c r="Q768" s="78"/>
      <c r="R768" s="92"/>
      <c r="S768" s="92"/>
      <c r="T768" s="92"/>
      <c r="U768" s="92"/>
      <c r="V768" s="52"/>
      <c r="W768" s="52"/>
      <c r="X768" s="52"/>
      <c r="Y768" s="52"/>
      <c r="Z768" s="51"/>
      <c r="AA768" s="73"/>
      <c r="AB768" s="73"/>
      <c r="AC768" s="74"/>
      <c r="AD768" s="81" t="s">
        <v>8478</v>
      </c>
      <c r="AE768" s="86" t="s">
        <v>9481</v>
      </c>
      <c r="AF768" s="81">
        <v>846</v>
      </c>
      <c r="AG768" s="81">
        <v>70348</v>
      </c>
      <c r="AH768" s="81">
        <v>38241</v>
      </c>
      <c r="AI768" s="81">
        <v>2867</v>
      </c>
      <c r="AJ768" s="81"/>
      <c r="AK768" s="81" t="s">
        <v>10434</v>
      </c>
      <c r="AL768" s="81" t="s">
        <v>11157</v>
      </c>
      <c r="AM768" s="84" t="str">
        <f>HYPERLINK("https://t.co/MD3zExBYqm")</f>
        <v>https://t.co/MD3zExBYqm</v>
      </c>
      <c r="AN768" s="81"/>
      <c r="AO768" s="83">
        <v>39981.567465277774</v>
      </c>
      <c r="AP768" s="84" t="str">
        <f>HYPERLINK("https://pbs.twimg.com/profile_banners/47961740/1607018649")</f>
        <v>https://pbs.twimg.com/profile_banners/47961740/1607018649</v>
      </c>
      <c r="AQ768" s="81" t="b">
        <v>0</v>
      </c>
      <c r="AR768" s="81" t="b">
        <v>0</v>
      </c>
      <c r="AS768" s="81" t="b">
        <v>1</v>
      </c>
      <c r="AT768" s="81"/>
      <c r="AU768" s="81">
        <v>641</v>
      </c>
      <c r="AV768" s="84" t="str">
        <f>HYPERLINK("https://abs.twimg.com/images/themes/theme1/bg.png")</f>
        <v>https://abs.twimg.com/images/themes/theme1/bg.png</v>
      </c>
      <c r="AW768" s="81" t="b">
        <v>1</v>
      </c>
      <c r="AX768" s="81" t="s">
        <v>3728</v>
      </c>
      <c r="AY768" s="84" t="str">
        <f>HYPERLINK("https://twitter.com/nacoesunidas")</f>
        <v>https://twitter.com/nacoesunidas</v>
      </c>
      <c r="AZ768" s="81" t="s">
        <v>65</v>
      </c>
      <c r="BA768" s="2"/>
      <c r="BB768" s="3"/>
      <c r="BC768" s="3"/>
      <c r="BD768" s="3"/>
      <c r="BE768" s="3"/>
    </row>
    <row r="769" spans="1:57" x14ac:dyDescent="0.35">
      <c r="A769" s="66" t="s">
        <v>4493</v>
      </c>
      <c r="B769" s="67"/>
      <c r="C769" s="67"/>
      <c r="D769" s="68"/>
      <c r="E769" s="94"/>
      <c r="F769" s="93" t="str">
        <f>HYPERLINK("https://pbs.twimg.com/profile_images/1347944127405633539/xVfydVnQ_normal.jpg")</f>
        <v>https://pbs.twimg.com/profile_images/1347944127405633539/xVfydVnQ_normal.jpg</v>
      </c>
      <c r="G769" s="95"/>
      <c r="H769" s="71"/>
      <c r="I769" s="72"/>
      <c r="J769" s="96"/>
      <c r="K769" s="71" t="s">
        <v>11853</v>
      </c>
      <c r="L769" s="97"/>
      <c r="M769" s="76"/>
      <c r="N769" s="76"/>
      <c r="O769" s="77"/>
      <c r="P769" s="78"/>
      <c r="Q769" s="78"/>
      <c r="R769" s="92"/>
      <c r="S769" s="92"/>
      <c r="T769" s="92"/>
      <c r="U769" s="92"/>
      <c r="V769" s="52"/>
      <c r="W769" s="52"/>
      <c r="X769" s="52"/>
      <c r="Y769" s="52"/>
      <c r="Z769" s="51"/>
      <c r="AA769" s="73"/>
      <c r="AB769" s="73"/>
      <c r="AC769" s="74"/>
      <c r="AD769" s="81" t="s">
        <v>8479</v>
      </c>
      <c r="AE769" s="86" t="s">
        <v>9482</v>
      </c>
      <c r="AF769" s="81">
        <v>587</v>
      </c>
      <c r="AG769" s="81">
        <v>127</v>
      </c>
      <c r="AH769" s="81">
        <v>3503</v>
      </c>
      <c r="AI769" s="81">
        <v>11268</v>
      </c>
      <c r="AJ769" s="81"/>
      <c r="AK769" s="81" t="s">
        <v>10435</v>
      </c>
      <c r="AL769" s="81"/>
      <c r="AM769" s="81"/>
      <c r="AN769" s="81"/>
      <c r="AO769" s="83">
        <v>43653.162245370368</v>
      </c>
      <c r="AP769" s="84" t="str">
        <f>HYPERLINK("https://pbs.twimg.com/profile_banners/1147715268807995398/1630984688")</f>
        <v>https://pbs.twimg.com/profile_banners/1147715268807995398/1630984688</v>
      </c>
      <c r="AQ769" s="81" t="b">
        <v>1</v>
      </c>
      <c r="AR769" s="81" t="b">
        <v>0</v>
      </c>
      <c r="AS769" s="81" t="b">
        <v>0</v>
      </c>
      <c r="AT769" s="81"/>
      <c r="AU769" s="81">
        <v>1</v>
      </c>
      <c r="AV769" s="81"/>
      <c r="AW769" s="81" t="b">
        <v>0</v>
      </c>
      <c r="AX769" s="81" t="s">
        <v>3728</v>
      </c>
      <c r="AY769" s="84" t="str">
        <f>HYPERLINK("https://twitter.com/heliasfs")</f>
        <v>https://twitter.com/heliasfs</v>
      </c>
      <c r="AZ769" s="81" t="s">
        <v>66</v>
      </c>
      <c r="BA769" s="2"/>
      <c r="BB769" s="3"/>
      <c r="BC769" s="3"/>
      <c r="BD769" s="3"/>
      <c r="BE769" s="3"/>
    </row>
    <row r="770" spans="1:57" x14ac:dyDescent="0.35">
      <c r="A770" s="66" t="s">
        <v>5097</v>
      </c>
      <c r="B770" s="67"/>
      <c r="C770" s="67"/>
      <c r="D770" s="68"/>
      <c r="E770" s="94"/>
      <c r="F770" s="93" t="str">
        <f>HYPERLINK("https://pbs.twimg.com/profile_images/1323646759084695552/t1CyM4Qf_normal.jpg")</f>
        <v>https://pbs.twimg.com/profile_images/1323646759084695552/t1CyM4Qf_normal.jpg</v>
      </c>
      <c r="G770" s="95"/>
      <c r="H770" s="71"/>
      <c r="I770" s="72"/>
      <c r="J770" s="96"/>
      <c r="K770" s="71" t="s">
        <v>11854</v>
      </c>
      <c r="L770" s="97"/>
      <c r="M770" s="76"/>
      <c r="N770" s="76"/>
      <c r="O770" s="77"/>
      <c r="P770" s="78"/>
      <c r="Q770" s="78"/>
      <c r="R770" s="92"/>
      <c r="S770" s="92"/>
      <c r="T770" s="92"/>
      <c r="U770" s="92"/>
      <c r="V770" s="52"/>
      <c r="W770" s="52"/>
      <c r="X770" s="52"/>
      <c r="Y770" s="52"/>
      <c r="Z770" s="51"/>
      <c r="AA770" s="73"/>
      <c r="AB770" s="73"/>
      <c r="AC770" s="74"/>
      <c r="AD770" s="81" t="s">
        <v>8480</v>
      </c>
      <c r="AE770" s="86" t="s">
        <v>9483</v>
      </c>
      <c r="AF770" s="81">
        <v>739</v>
      </c>
      <c r="AG770" s="81">
        <v>50091</v>
      </c>
      <c r="AH770" s="81">
        <v>51298</v>
      </c>
      <c r="AI770" s="81">
        <v>46617</v>
      </c>
      <c r="AJ770" s="81"/>
      <c r="AK770" s="81" t="s">
        <v>10436</v>
      </c>
      <c r="AL770" s="81" t="s">
        <v>11114</v>
      </c>
      <c r="AM770" s="84" t="str">
        <f>HYPERLINK("https://t.co/yB1CzSVqvw")</f>
        <v>https://t.co/yB1CzSVqvw</v>
      </c>
      <c r="AN770" s="81"/>
      <c r="AO770" s="83">
        <v>41673.073622685188</v>
      </c>
      <c r="AP770" s="84" t="str">
        <f>HYPERLINK("https://pbs.twimg.com/profile_banners/2324619756/1512147456")</f>
        <v>https://pbs.twimg.com/profile_banners/2324619756/1512147456</v>
      </c>
      <c r="AQ770" s="81" t="b">
        <v>0</v>
      </c>
      <c r="AR770" s="81" t="b">
        <v>0</v>
      </c>
      <c r="AS770" s="81" t="b">
        <v>0</v>
      </c>
      <c r="AT770" s="81"/>
      <c r="AU770" s="81">
        <v>313</v>
      </c>
      <c r="AV770" s="84" t="str">
        <f>HYPERLINK("https://abs.twimg.com/images/themes/theme1/bg.png")</f>
        <v>https://abs.twimg.com/images/themes/theme1/bg.png</v>
      </c>
      <c r="AW770" s="81" t="b">
        <v>1</v>
      </c>
      <c r="AX770" s="81" t="s">
        <v>3728</v>
      </c>
      <c r="AY770" s="84" t="str">
        <f>HYPERLINK("https://twitter.com/felippe_hermes")</f>
        <v>https://twitter.com/felippe_hermes</v>
      </c>
      <c r="AZ770" s="81" t="s">
        <v>65</v>
      </c>
      <c r="BA770" s="2"/>
      <c r="BB770" s="3"/>
      <c r="BC770" s="3"/>
      <c r="BD770" s="3"/>
      <c r="BE770" s="3"/>
    </row>
    <row r="771" spans="1:57" x14ac:dyDescent="0.35">
      <c r="A771" s="66" t="s">
        <v>5098</v>
      </c>
      <c r="B771" s="67"/>
      <c r="C771" s="67"/>
      <c r="D771" s="68"/>
      <c r="E771" s="94"/>
      <c r="F771" s="93" t="str">
        <f>HYPERLINK("https://pbs.twimg.com/profile_images/1403390742207283201/rSfFvQ4h_normal.jpg")</f>
        <v>https://pbs.twimg.com/profile_images/1403390742207283201/rSfFvQ4h_normal.jpg</v>
      </c>
      <c r="G771" s="95"/>
      <c r="H771" s="71"/>
      <c r="I771" s="72"/>
      <c r="J771" s="96"/>
      <c r="K771" s="71" t="s">
        <v>11855</v>
      </c>
      <c r="L771" s="97"/>
      <c r="M771" s="76"/>
      <c r="N771" s="76"/>
      <c r="O771" s="77"/>
      <c r="P771" s="78"/>
      <c r="Q771" s="78"/>
      <c r="R771" s="92"/>
      <c r="S771" s="92"/>
      <c r="T771" s="92"/>
      <c r="U771" s="92"/>
      <c r="V771" s="52"/>
      <c r="W771" s="52"/>
      <c r="X771" s="52"/>
      <c r="Y771" s="52"/>
      <c r="Z771" s="51"/>
      <c r="AA771" s="73"/>
      <c r="AB771" s="73"/>
      <c r="AC771" s="74"/>
      <c r="AD771" s="81" t="s">
        <v>8481</v>
      </c>
      <c r="AE771" s="86" t="s">
        <v>7867</v>
      </c>
      <c r="AF771" s="81">
        <v>2490</v>
      </c>
      <c r="AG771" s="81">
        <v>1136</v>
      </c>
      <c r="AH771" s="81">
        <v>2434</v>
      </c>
      <c r="AI771" s="81">
        <v>6424</v>
      </c>
      <c r="AJ771" s="81"/>
      <c r="AK771" s="81" t="s">
        <v>10437</v>
      </c>
      <c r="AL771" s="81" t="s">
        <v>8001</v>
      </c>
      <c r="AM771" s="81"/>
      <c r="AN771" s="81"/>
      <c r="AO771" s="83">
        <v>44248.690324074072</v>
      </c>
      <c r="AP771" s="84" t="str">
        <f>HYPERLINK("https://pbs.twimg.com/profile_banners/1363527059532902402/1623429402")</f>
        <v>https://pbs.twimg.com/profile_banners/1363527059532902402/1623429402</v>
      </c>
      <c r="AQ771" s="81" t="b">
        <v>1</v>
      </c>
      <c r="AR771" s="81" t="b">
        <v>0</v>
      </c>
      <c r="AS771" s="81" t="b">
        <v>0</v>
      </c>
      <c r="AT771" s="81"/>
      <c r="AU771" s="81">
        <v>22</v>
      </c>
      <c r="AV771" s="81"/>
      <c r="AW771" s="81" t="b">
        <v>0</v>
      </c>
      <c r="AX771" s="81" t="s">
        <v>3728</v>
      </c>
      <c r="AY771" s="84" t="str">
        <f>HYPERLINK("https://twitter.com/alex_bitcoiner")</f>
        <v>https://twitter.com/alex_bitcoiner</v>
      </c>
      <c r="AZ771" s="81" t="s">
        <v>65</v>
      </c>
      <c r="BA771" s="2"/>
      <c r="BB771" s="3"/>
      <c r="BC771" s="3"/>
      <c r="BD771" s="3"/>
      <c r="BE771" s="3"/>
    </row>
    <row r="772" spans="1:57" x14ac:dyDescent="0.35">
      <c r="A772" s="66" t="s">
        <v>4494</v>
      </c>
      <c r="B772" s="67"/>
      <c r="C772" s="67"/>
      <c r="D772" s="68"/>
      <c r="E772" s="94"/>
      <c r="F772" s="93" t="str">
        <f>HYPERLINK("https://pbs.twimg.com/profile_images/1388892402480553985/Qfar2hPB_normal.jpg")</f>
        <v>https://pbs.twimg.com/profile_images/1388892402480553985/Qfar2hPB_normal.jpg</v>
      </c>
      <c r="G772" s="95"/>
      <c r="H772" s="71"/>
      <c r="I772" s="72"/>
      <c r="J772" s="96"/>
      <c r="K772" s="71" t="s">
        <v>11856</v>
      </c>
      <c r="L772" s="97"/>
      <c r="M772" s="76"/>
      <c r="N772" s="76"/>
      <c r="O772" s="77"/>
      <c r="P772" s="78"/>
      <c r="Q772" s="78"/>
      <c r="R772" s="92"/>
      <c r="S772" s="92"/>
      <c r="T772" s="92"/>
      <c r="U772" s="92"/>
      <c r="V772" s="52"/>
      <c r="W772" s="52"/>
      <c r="X772" s="52"/>
      <c r="Y772" s="52"/>
      <c r="Z772" s="51"/>
      <c r="AA772" s="73"/>
      <c r="AB772" s="73"/>
      <c r="AC772" s="74"/>
      <c r="AD772" s="81" t="s">
        <v>8482</v>
      </c>
      <c r="AE772" s="86" t="s">
        <v>9484</v>
      </c>
      <c r="AF772" s="81">
        <v>1180</v>
      </c>
      <c r="AG772" s="81">
        <v>794</v>
      </c>
      <c r="AH772" s="81">
        <v>25182</v>
      </c>
      <c r="AI772" s="81">
        <v>29557</v>
      </c>
      <c r="AJ772" s="81"/>
      <c r="AK772" s="81" t="s">
        <v>10438</v>
      </c>
      <c r="AL772" s="81"/>
      <c r="AM772" s="81"/>
      <c r="AN772" s="81"/>
      <c r="AO772" s="83">
        <v>43949.762407407405</v>
      </c>
      <c r="AP772" s="84" t="str">
        <f>HYPERLINK("https://pbs.twimg.com/profile_banners/1255199526631211009/1588547709")</f>
        <v>https://pbs.twimg.com/profile_banners/1255199526631211009/1588547709</v>
      </c>
      <c r="AQ772" s="81" t="b">
        <v>1</v>
      </c>
      <c r="AR772" s="81" t="b">
        <v>0</v>
      </c>
      <c r="AS772" s="81" t="b">
        <v>1</v>
      </c>
      <c r="AT772" s="81"/>
      <c r="AU772" s="81">
        <v>0</v>
      </c>
      <c r="AV772" s="81"/>
      <c r="AW772" s="81" t="b">
        <v>0</v>
      </c>
      <c r="AX772" s="81" t="s">
        <v>3728</v>
      </c>
      <c r="AY772" s="84" t="str">
        <f>HYPERLINK("https://twitter.com/alexand82848379")</f>
        <v>https://twitter.com/alexand82848379</v>
      </c>
      <c r="AZ772" s="81" t="s">
        <v>66</v>
      </c>
      <c r="BA772" s="2"/>
      <c r="BB772" s="3"/>
      <c r="BC772" s="3"/>
      <c r="BD772" s="3"/>
      <c r="BE772" s="3"/>
    </row>
    <row r="773" spans="1:57" x14ac:dyDescent="0.35">
      <c r="A773" s="66" t="s">
        <v>5099</v>
      </c>
      <c r="B773" s="67"/>
      <c r="C773" s="67"/>
      <c r="D773" s="68"/>
      <c r="E773" s="94"/>
      <c r="F773" s="93" t="str">
        <f>HYPERLINK("https://pbs.twimg.com/profile_images/1049634929951289344/n05SieqR_normal.jpg")</f>
        <v>https://pbs.twimg.com/profile_images/1049634929951289344/n05SieqR_normal.jpg</v>
      </c>
      <c r="G773" s="95"/>
      <c r="H773" s="71"/>
      <c r="I773" s="72"/>
      <c r="J773" s="96"/>
      <c r="K773" s="71" t="s">
        <v>11857</v>
      </c>
      <c r="L773" s="97"/>
      <c r="M773" s="76"/>
      <c r="N773" s="76"/>
      <c r="O773" s="77"/>
      <c r="P773" s="78"/>
      <c r="Q773" s="78"/>
      <c r="R773" s="92"/>
      <c r="S773" s="92"/>
      <c r="T773" s="92"/>
      <c r="U773" s="92"/>
      <c r="V773" s="52"/>
      <c r="W773" s="52"/>
      <c r="X773" s="52"/>
      <c r="Y773" s="52"/>
      <c r="Z773" s="51"/>
      <c r="AA773" s="73"/>
      <c r="AB773" s="73"/>
      <c r="AC773" s="74"/>
      <c r="AD773" s="81" t="s">
        <v>8483</v>
      </c>
      <c r="AE773" s="86" t="s">
        <v>7868</v>
      </c>
      <c r="AF773" s="81">
        <v>3469</v>
      </c>
      <c r="AG773" s="81">
        <v>143634</v>
      </c>
      <c r="AH773" s="81">
        <v>15276</v>
      </c>
      <c r="AI773" s="81">
        <v>5603</v>
      </c>
      <c r="AJ773" s="81"/>
      <c r="AK773" s="81" t="s">
        <v>10439</v>
      </c>
      <c r="AL773" s="81" t="s">
        <v>11158</v>
      </c>
      <c r="AM773" s="84" t="str">
        <f>HYPERLINK("https://t.co/VaioHXJ76Y")</f>
        <v>https://t.co/VaioHXJ76Y</v>
      </c>
      <c r="AN773" s="81"/>
      <c r="AO773" s="83">
        <v>39935.122407407405</v>
      </c>
      <c r="AP773" s="84" t="str">
        <f>HYPERLINK("https://pbs.twimg.com/profile_banners/37122131/1630521018")</f>
        <v>https://pbs.twimg.com/profile_banners/37122131/1630521018</v>
      </c>
      <c r="AQ773" s="81" t="b">
        <v>0</v>
      </c>
      <c r="AR773" s="81" t="b">
        <v>0</v>
      </c>
      <c r="AS773" s="81" t="b">
        <v>1</v>
      </c>
      <c r="AT773" s="81"/>
      <c r="AU773" s="81">
        <v>1162</v>
      </c>
      <c r="AV773" s="84" t="str">
        <f>HYPERLINK("https://abs.twimg.com/images/themes/theme13/bg.gif")</f>
        <v>https://abs.twimg.com/images/themes/theme13/bg.gif</v>
      </c>
      <c r="AW773" s="81" t="b">
        <v>1</v>
      </c>
      <c r="AX773" s="81" t="s">
        <v>3728</v>
      </c>
      <c r="AY773" s="84" t="str">
        <f>HYPERLINK("https://twitter.com/paulopaim")</f>
        <v>https://twitter.com/paulopaim</v>
      </c>
      <c r="AZ773" s="81" t="s">
        <v>65</v>
      </c>
      <c r="BA773" s="2"/>
      <c r="BB773" s="3"/>
      <c r="BC773" s="3"/>
      <c r="BD773" s="3"/>
      <c r="BE773" s="3"/>
    </row>
    <row r="774" spans="1:57" x14ac:dyDescent="0.35">
      <c r="A774" s="66" t="s">
        <v>4496</v>
      </c>
      <c r="B774" s="67"/>
      <c r="C774" s="67"/>
      <c r="D774" s="68"/>
      <c r="E774" s="94"/>
      <c r="F774" s="93" t="str">
        <f>HYPERLINK("https://pbs.twimg.com/profile_images/1411679810464722944/JFsLDnDX_normal.jpg")</f>
        <v>https://pbs.twimg.com/profile_images/1411679810464722944/JFsLDnDX_normal.jpg</v>
      </c>
      <c r="G774" s="95"/>
      <c r="H774" s="71"/>
      <c r="I774" s="72"/>
      <c r="J774" s="96"/>
      <c r="K774" s="71" t="s">
        <v>11858</v>
      </c>
      <c r="L774" s="97"/>
      <c r="M774" s="76"/>
      <c r="N774" s="76"/>
      <c r="O774" s="77"/>
      <c r="P774" s="78"/>
      <c r="Q774" s="78"/>
      <c r="R774" s="92"/>
      <c r="S774" s="92"/>
      <c r="T774" s="92"/>
      <c r="U774" s="92"/>
      <c r="V774" s="52"/>
      <c r="W774" s="52"/>
      <c r="X774" s="52"/>
      <c r="Y774" s="52"/>
      <c r="Z774" s="51"/>
      <c r="AA774" s="73"/>
      <c r="AB774" s="73"/>
      <c r="AC774" s="74"/>
      <c r="AD774" s="81" t="s">
        <v>8484</v>
      </c>
      <c r="AE774" s="86" t="s">
        <v>9485</v>
      </c>
      <c r="AF774" s="81">
        <v>1123</v>
      </c>
      <c r="AG774" s="81">
        <v>600</v>
      </c>
      <c r="AH774" s="81">
        <v>19693</v>
      </c>
      <c r="AI774" s="81">
        <v>25797</v>
      </c>
      <c r="AJ774" s="81"/>
      <c r="AK774" s="81"/>
      <c r="AL774" s="81"/>
      <c r="AM774" s="81"/>
      <c r="AN774" s="81"/>
      <c r="AO774" s="83">
        <v>42308.841354166667</v>
      </c>
      <c r="AP774" s="84" t="str">
        <f>HYPERLINK("https://pbs.twimg.com/profile_banners/4084876925/1588752019")</f>
        <v>https://pbs.twimg.com/profile_banners/4084876925/1588752019</v>
      </c>
      <c r="AQ774" s="81" t="b">
        <v>0</v>
      </c>
      <c r="AR774" s="81" t="b">
        <v>0</v>
      </c>
      <c r="AS774" s="81" t="b">
        <v>0</v>
      </c>
      <c r="AT774" s="81"/>
      <c r="AU774" s="81">
        <v>1</v>
      </c>
      <c r="AV774" s="84" t="str">
        <f>HYPERLINK("https://abs.twimg.com/images/themes/theme19/bg.gif")</f>
        <v>https://abs.twimg.com/images/themes/theme19/bg.gif</v>
      </c>
      <c r="AW774" s="81" t="b">
        <v>0</v>
      </c>
      <c r="AX774" s="81" t="s">
        <v>3728</v>
      </c>
      <c r="AY774" s="84" t="str">
        <f>HYPERLINK("https://twitter.com/ssnaterse")</f>
        <v>https://twitter.com/ssnaterse</v>
      </c>
      <c r="AZ774" s="81" t="s">
        <v>66</v>
      </c>
      <c r="BA774" s="2"/>
      <c r="BB774" s="3"/>
      <c r="BC774" s="3"/>
      <c r="BD774" s="3"/>
      <c r="BE774" s="3"/>
    </row>
    <row r="775" spans="1:57" x14ac:dyDescent="0.35">
      <c r="A775" s="66" t="s">
        <v>12500</v>
      </c>
      <c r="B775" s="67"/>
      <c r="C775" s="67"/>
      <c r="D775" s="68"/>
      <c r="E775" s="94"/>
      <c r="F775" s="93" t="str">
        <f>HYPERLINK("https://pbs.twimg.com/profile_images/1443052045179645953/Zt-N0cRD_normal.jpg")</f>
        <v>https://pbs.twimg.com/profile_images/1443052045179645953/Zt-N0cRD_normal.jpg</v>
      </c>
      <c r="G775" s="95"/>
      <c r="H775" s="71"/>
      <c r="I775" s="72"/>
      <c r="J775" s="96"/>
      <c r="K775" s="71" t="s">
        <v>14274</v>
      </c>
      <c r="L775" s="97"/>
      <c r="M775" s="76"/>
      <c r="N775" s="76"/>
      <c r="O775" s="77"/>
      <c r="P775" s="78"/>
      <c r="Q775" s="78"/>
      <c r="R775" s="92"/>
      <c r="S775" s="92"/>
      <c r="T775" s="92"/>
      <c r="U775" s="92"/>
      <c r="V775" s="52"/>
      <c r="W775" s="52"/>
      <c r="X775" s="52"/>
      <c r="Y775" s="52"/>
      <c r="Z775" s="51"/>
      <c r="AA775" s="73"/>
      <c r="AB775" s="73"/>
      <c r="AC775" s="74"/>
      <c r="AD775" s="81" t="s">
        <v>13481</v>
      </c>
      <c r="AE775" s="86" t="s">
        <v>13724</v>
      </c>
      <c r="AF775" s="81">
        <v>802</v>
      </c>
      <c r="AG775" s="81">
        <v>784</v>
      </c>
      <c r="AH775" s="81">
        <v>7651</v>
      </c>
      <c r="AI775" s="81">
        <v>7958</v>
      </c>
      <c r="AJ775" s="81"/>
      <c r="AK775" s="81" t="s">
        <v>13937</v>
      </c>
      <c r="AL775" s="81" t="s">
        <v>3509</v>
      </c>
      <c r="AM775" s="81"/>
      <c r="AN775" s="81"/>
      <c r="AO775" s="83">
        <v>44445.604016203702</v>
      </c>
      <c r="AP775" s="84" t="str">
        <f>HYPERLINK("https://pbs.twimg.com/profile_banners/1434886471438061573/1632796152")</f>
        <v>https://pbs.twimg.com/profile_banners/1434886471438061573/1632796152</v>
      </c>
      <c r="AQ775" s="81" t="b">
        <v>1</v>
      </c>
      <c r="AR775" s="81" t="b">
        <v>0</v>
      </c>
      <c r="AS775" s="81" t="b">
        <v>0</v>
      </c>
      <c r="AT775" s="81"/>
      <c r="AU775" s="81">
        <v>8</v>
      </c>
      <c r="AV775" s="81"/>
      <c r="AW775" s="81" t="b">
        <v>0</v>
      </c>
      <c r="AX775" s="81" t="s">
        <v>3728</v>
      </c>
      <c r="AY775" s="84" t="str">
        <f>HYPERLINK("https://twitter.com/jjaeluvm")</f>
        <v>https://twitter.com/jjaeluvm</v>
      </c>
      <c r="AZ775" s="81" t="s">
        <v>66</v>
      </c>
      <c r="BA775" s="2"/>
      <c r="BB775" s="3"/>
      <c r="BC775" s="3"/>
      <c r="BD775" s="3"/>
      <c r="BE775" s="3"/>
    </row>
    <row r="776" spans="1:57" x14ac:dyDescent="0.35">
      <c r="A776" s="66" t="s">
        <v>478</v>
      </c>
      <c r="B776" s="67"/>
      <c r="C776" s="67"/>
      <c r="D776" s="68"/>
      <c r="E776" s="94"/>
      <c r="F776" s="93" t="str">
        <f>HYPERLINK("https://pbs.twimg.com/profile_images/1357835565568118784/H0TQxZgR_normal.jpg")</f>
        <v>https://pbs.twimg.com/profile_images/1357835565568118784/H0TQxZgR_normal.jpg</v>
      </c>
      <c r="G776" s="95"/>
      <c r="H776" s="71"/>
      <c r="I776" s="72"/>
      <c r="J776" s="96"/>
      <c r="K776" s="71" t="s">
        <v>4030</v>
      </c>
      <c r="L776" s="97"/>
      <c r="M776" s="76"/>
      <c r="N776" s="76"/>
      <c r="O776" s="77"/>
      <c r="P776" s="78"/>
      <c r="Q776" s="78"/>
      <c r="R776" s="92"/>
      <c r="S776" s="92"/>
      <c r="T776" s="92"/>
      <c r="U776" s="92"/>
      <c r="V776" s="52"/>
      <c r="W776" s="52"/>
      <c r="X776" s="52"/>
      <c r="Y776" s="52"/>
      <c r="Z776" s="51"/>
      <c r="AA776" s="73"/>
      <c r="AB776" s="73"/>
      <c r="AC776" s="74"/>
      <c r="AD776" s="81" t="s">
        <v>2543</v>
      </c>
      <c r="AE776" s="86" t="s">
        <v>2967</v>
      </c>
      <c r="AF776" s="81">
        <v>109</v>
      </c>
      <c r="AG776" s="81">
        <v>74</v>
      </c>
      <c r="AH776" s="81">
        <v>687</v>
      </c>
      <c r="AI776" s="81">
        <v>1476</v>
      </c>
      <c r="AJ776" s="81"/>
      <c r="AK776" s="81" t="s">
        <v>3371</v>
      </c>
      <c r="AL776" s="81" t="s">
        <v>3668</v>
      </c>
      <c r="AM776" s="81"/>
      <c r="AN776" s="81"/>
      <c r="AO776" s="83">
        <v>43854.289953703701</v>
      </c>
      <c r="AP776" s="81"/>
      <c r="AQ776" s="81" t="b">
        <v>1</v>
      </c>
      <c r="AR776" s="81" t="b">
        <v>0</v>
      </c>
      <c r="AS776" s="81" t="b">
        <v>0</v>
      </c>
      <c r="AT776" s="81"/>
      <c r="AU776" s="81">
        <v>0</v>
      </c>
      <c r="AV776" s="81"/>
      <c r="AW776" s="81" t="b">
        <v>0</v>
      </c>
      <c r="AX776" s="81" t="s">
        <v>3728</v>
      </c>
      <c r="AY776" s="84" t="str">
        <f>HYPERLINK("https://twitter.com/p3psodent")</f>
        <v>https://twitter.com/p3psodent</v>
      </c>
      <c r="AZ776" s="81" t="s">
        <v>66</v>
      </c>
      <c r="BA776" s="2"/>
      <c r="BB776" s="3"/>
      <c r="BC776" s="3"/>
      <c r="BD776" s="3"/>
      <c r="BE776" s="3"/>
    </row>
    <row r="777" spans="1:57" x14ac:dyDescent="0.35">
      <c r="A777" s="66" t="s">
        <v>662</v>
      </c>
      <c r="B777" s="67"/>
      <c r="C777" s="67"/>
      <c r="D777" s="68"/>
      <c r="E777" s="94"/>
      <c r="F777" s="93" t="str">
        <f>HYPERLINK("https://pbs.twimg.com/profile_images/1439544380327530502/00hK15rl_normal.jpg")</f>
        <v>https://pbs.twimg.com/profile_images/1439544380327530502/00hK15rl_normal.jpg</v>
      </c>
      <c r="G777" s="95"/>
      <c r="H777" s="71"/>
      <c r="I777" s="72"/>
      <c r="J777" s="96"/>
      <c r="K777" s="71" t="s">
        <v>4031</v>
      </c>
      <c r="L777" s="97"/>
      <c r="M777" s="76"/>
      <c r="N777" s="76"/>
      <c r="O777" s="77"/>
      <c r="P777" s="78"/>
      <c r="Q777" s="78"/>
      <c r="R777" s="92"/>
      <c r="S777" s="92"/>
      <c r="T777" s="92"/>
      <c r="U777" s="92"/>
      <c r="V777" s="52"/>
      <c r="W777" s="52"/>
      <c r="X777" s="52"/>
      <c r="Y777" s="52"/>
      <c r="Z777" s="51"/>
      <c r="AA777" s="73"/>
      <c r="AB777" s="73"/>
      <c r="AC777" s="74"/>
      <c r="AD777" s="81" t="s">
        <v>2544</v>
      </c>
      <c r="AE777" s="86" t="s">
        <v>2128</v>
      </c>
      <c r="AF777" s="81">
        <v>220</v>
      </c>
      <c r="AG777" s="81">
        <v>155</v>
      </c>
      <c r="AH777" s="81">
        <v>1863</v>
      </c>
      <c r="AI777" s="81">
        <v>101</v>
      </c>
      <c r="AJ777" s="81"/>
      <c r="AK777" s="81" t="s">
        <v>3372</v>
      </c>
      <c r="AL777" s="81"/>
      <c r="AM777" s="81"/>
      <c r="AN777" s="81"/>
      <c r="AO777" s="83">
        <v>43965.246006944442</v>
      </c>
      <c r="AP777" s="84" t="str">
        <f>HYPERLINK("https://pbs.twimg.com/profile_banners/1260810522976346112/1589466315")</f>
        <v>https://pbs.twimg.com/profile_banners/1260810522976346112/1589466315</v>
      </c>
      <c r="AQ777" s="81" t="b">
        <v>1</v>
      </c>
      <c r="AR777" s="81" t="b">
        <v>0</v>
      </c>
      <c r="AS777" s="81" t="b">
        <v>0</v>
      </c>
      <c r="AT777" s="81"/>
      <c r="AU777" s="81">
        <v>1</v>
      </c>
      <c r="AV777" s="81"/>
      <c r="AW777" s="81" t="b">
        <v>0</v>
      </c>
      <c r="AX777" s="81" t="s">
        <v>3728</v>
      </c>
      <c r="AY777" s="84" t="str">
        <f>HYPERLINK("https://twitter.com/bukanfahiraa")</f>
        <v>https://twitter.com/bukanfahiraa</v>
      </c>
      <c r="AZ777" s="81" t="s">
        <v>65</v>
      </c>
      <c r="BA777" s="2"/>
      <c r="BB777" s="3"/>
      <c r="BC777" s="3"/>
      <c r="BD777" s="3"/>
      <c r="BE777" s="3"/>
    </row>
    <row r="778" spans="1:57" x14ac:dyDescent="0.35">
      <c r="A778" s="66" t="s">
        <v>4498</v>
      </c>
      <c r="B778" s="67"/>
      <c r="C778" s="67"/>
      <c r="D778" s="68"/>
      <c r="E778" s="94"/>
      <c r="F778" s="93" t="str">
        <f>HYPERLINK("https://pbs.twimg.com/profile_images/1441366124700987398/KJkKQVlP_normal.jpg")</f>
        <v>https://pbs.twimg.com/profile_images/1441366124700987398/KJkKQVlP_normal.jpg</v>
      </c>
      <c r="G778" s="95"/>
      <c r="H778" s="71"/>
      <c r="I778" s="72"/>
      <c r="J778" s="96"/>
      <c r="K778" s="71" t="s">
        <v>11859</v>
      </c>
      <c r="L778" s="97"/>
      <c r="M778" s="76"/>
      <c r="N778" s="76"/>
      <c r="O778" s="77"/>
      <c r="P778" s="78"/>
      <c r="Q778" s="78"/>
      <c r="R778" s="92"/>
      <c r="S778" s="92"/>
      <c r="T778" s="92"/>
      <c r="U778" s="92"/>
      <c r="V778" s="52"/>
      <c r="W778" s="52"/>
      <c r="X778" s="52"/>
      <c r="Y778" s="52"/>
      <c r="Z778" s="51"/>
      <c r="AA778" s="73"/>
      <c r="AB778" s="73"/>
      <c r="AC778" s="74"/>
      <c r="AD778" s="81" t="s">
        <v>8486</v>
      </c>
      <c r="AE778" s="86" t="s">
        <v>9487</v>
      </c>
      <c r="AF778" s="81">
        <v>461</v>
      </c>
      <c r="AG778" s="81">
        <v>436</v>
      </c>
      <c r="AH778" s="81">
        <v>17603</v>
      </c>
      <c r="AI778" s="81">
        <v>19671</v>
      </c>
      <c r="AJ778" s="81"/>
      <c r="AK778" s="81" t="s">
        <v>10441</v>
      </c>
      <c r="AL778" s="81" t="s">
        <v>3514</v>
      </c>
      <c r="AM778" s="81"/>
      <c r="AN778" s="81"/>
      <c r="AO778" s="83">
        <v>41870.426585648151</v>
      </c>
      <c r="AP778" s="84" t="str">
        <f>HYPERLINK("https://pbs.twimg.com/profile_banners/2744518130/1632329231")</f>
        <v>https://pbs.twimg.com/profile_banners/2744518130/1632329231</v>
      </c>
      <c r="AQ778" s="81" t="b">
        <v>0</v>
      </c>
      <c r="AR778" s="81" t="b">
        <v>0</v>
      </c>
      <c r="AS778" s="81" t="b">
        <v>1</v>
      </c>
      <c r="AT778" s="81"/>
      <c r="AU778" s="81">
        <v>2</v>
      </c>
      <c r="AV778" s="84" t="str">
        <f>HYPERLINK("https://abs.twimg.com/images/themes/theme14/bg.gif")</f>
        <v>https://abs.twimg.com/images/themes/theme14/bg.gif</v>
      </c>
      <c r="AW778" s="81" t="b">
        <v>0</v>
      </c>
      <c r="AX778" s="81" t="s">
        <v>3728</v>
      </c>
      <c r="AY778" s="84" t="str">
        <f>HYPERLINK("https://twitter.com/kyueel")</f>
        <v>https://twitter.com/kyueel</v>
      </c>
      <c r="AZ778" s="81" t="s">
        <v>66</v>
      </c>
      <c r="BA778" s="2"/>
      <c r="BB778" s="3"/>
      <c r="BC778" s="3"/>
      <c r="BD778" s="3"/>
      <c r="BE778" s="3"/>
    </row>
    <row r="779" spans="1:57" x14ac:dyDescent="0.35">
      <c r="A779" s="66" t="s">
        <v>663</v>
      </c>
      <c r="B779" s="67"/>
      <c r="C779" s="67"/>
      <c r="D779" s="68"/>
      <c r="E779" s="94"/>
      <c r="F779" s="93" t="str">
        <f>HYPERLINK("https://pbs.twimg.com/profile_images/1334411578809098240/MTrG5JZF_normal.jpg")</f>
        <v>https://pbs.twimg.com/profile_images/1334411578809098240/MTrG5JZF_normal.jpg</v>
      </c>
      <c r="G779" s="95"/>
      <c r="H779" s="71"/>
      <c r="I779" s="72"/>
      <c r="J779" s="96"/>
      <c r="K779" s="71" t="s">
        <v>4035</v>
      </c>
      <c r="L779" s="97"/>
      <c r="M779" s="76"/>
      <c r="N779" s="76"/>
      <c r="O779" s="77"/>
      <c r="P779" s="78"/>
      <c r="Q779" s="78"/>
      <c r="R779" s="92"/>
      <c r="S779" s="92"/>
      <c r="T779" s="92"/>
      <c r="U779" s="92"/>
      <c r="V779" s="52"/>
      <c r="W779" s="52"/>
      <c r="X779" s="52"/>
      <c r="Y779" s="52"/>
      <c r="Z779" s="51"/>
      <c r="AA779" s="73"/>
      <c r="AB779" s="73"/>
      <c r="AC779" s="74"/>
      <c r="AD779" s="81" t="s">
        <v>2547</v>
      </c>
      <c r="AE779" s="86" t="s">
        <v>2971</v>
      </c>
      <c r="AF779" s="81">
        <v>3</v>
      </c>
      <c r="AG779" s="81">
        <v>4347</v>
      </c>
      <c r="AH779" s="81">
        <v>7026</v>
      </c>
      <c r="AI779" s="81">
        <v>2011</v>
      </c>
      <c r="AJ779" s="81"/>
      <c r="AK779" s="81" t="s">
        <v>3376</v>
      </c>
      <c r="AL779" s="81"/>
      <c r="AM779" s="81"/>
      <c r="AN779" s="81"/>
      <c r="AO779" s="83">
        <v>43536.526180555556</v>
      </c>
      <c r="AP779" s="84" t="str">
        <f>HYPERLINK("https://pbs.twimg.com/profile_banners/1105447775968276482/1554233760")</f>
        <v>https://pbs.twimg.com/profile_banners/1105447775968276482/1554233760</v>
      </c>
      <c r="AQ779" s="81" t="b">
        <v>1</v>
      </c>
      <c r="AR779" s="81" t="b">
        <v>0</v>
      </c>
      <c r="AS779" s="81" t="b">
        <v>0</v>
      </c>
      <c r="AT779" s="81"/>
      <c r="AU779" s="81">
        <v>9</v>
      </c>
      <c r="AV779" s="81"/>
      <c r="AW779" s="81" t="b">
        <v>0</v>
      </c>
      <c r="AX779" s="81" t="s">
        <v>3728</v>
      </c>
      <c r="AY779" s="84" t="str">
        <f>HYPERLINK("https://twitter.com/kogiexorealpc")</f>
        <v>https://twitter.com/kogiexorealpc</v>
      </c>
      <c r="AZ779" s="81" t="s">
        <v>65</v>
      </c>
      <c r="BA779" s="2"/>
      <c r="BB779" s="3"/>
      <c r="BC779" s="3"/>
      <c r="BD779" s="3"/>
      <c r="BE779" s="3"/>
    </row>
    <row r="780" spans="1:57" x14ac:dyDescent="0.35">
      <c r="A780" s="66" t="s">
        <v>12670</v>
      </c>
      <c r="B780" s="67"/>
      <c r="C780" s="67"/>
      <c r="D780" s="68"/>
      <c r="E780" s="94"/>
      <c r="F780" s="93" t="str">
        <f>HYPERLINK("https://pbs.twimg.com/profile_images/1300595022773927937/novypYJK_normal.jpg")</f>
        <v>https://pbs.twimg.com/profile_images/1300595022773927937/novypYJK_normal.jpg</v>
      </c>
      <c r="G780" s="95"/>
      <c r="H780" s="71"/>
      <c r="I780" s="72"/>
      <c r="J780" s="96"/>
      <c r="K780" s="71" t="s">
        <v>14275</v>
      </c>
      <c r="L780" s="97"/>
      <c r="M780" s="76"/>
      <c r="N780" s="76"/>
      <c r="O780" s="77"/>
      <c r="P780" s="78"/>
      <c r="Q780" s="78"/>
      <c r="R780" s="92"/>
      <c r="S780" s="92"/>
      <c r="T780" s="92"/>
      <c r="U780" s="92"/>
      <c r="V780" s="52"/>
      <c r="W780" s="52"/>
      <c r="X780" s="52"/>
      <c r="Y780" s="52"/>
      <c r="Z780" s="51"/>
      <c r="AA780" s="73"/>
      <c r="AB780" s="73"/>
      <c r="AC780" s="74"/>
      <c r="AD780" s="81" t="s">
        <v>13482</v>
      </c>
      <c r="AE780" s="86" t="s">
        <v>13725</v>
      </c>
      <c r="AF780" s="81">
        <v>0</v>
      </c>
      <c r="AG780" s="81">
        <v>0</v>
      </c>
      <c r="AH780" s="81">
        <v>19267</v>
      </c>
      <c r="AI780" s="81">
        <v>0</v>
      </c>
      <c r="AJ780" s="81"/>
      <c r="AK780" s="81" t="s">
        <v>13938</v>
      </c>
      <c r="AL780" s="81"/>
      <c r="AM780" s="81"/>
      <c r="AN780" s="81"/>
      <c r="AO780" s="83">
        <v>43852.260613425926</v>
      </c>
      <c r="AP780" s="84" t="str">
        <f>HYPERLINK("https://pbs.twimg.com/profile_banners/1219866074092408832/1596693819")</f>
        <v>https://pbs.twimg.com/profile_banners/1219866074092408832/1596693819</v>
      </c>
      <c r="AQ780" s="81" t="b">
        <v>1</v>
      </c>
      <c r="AR780" s="81" t="b">
        <v>0</v>
      </c>
      <c r="AS780" s="81" t="b">
        <v>0</v>
      </c>
      <c r="AT780" s="81"/>
      <c r="AU780" s="81">
        <v>0</v>
      </c>
      <c r="AV780" s="81"/>
      <c r="AW780" s="81" t="b">
        <v>0</v>
      </c>
      <c r="AX780" s="81" t="s">
        <v>3728</v>
      </c>
      <c r="AY780" s="84" t="str">
        <f>HYPERLINK("https://twitter.com/pasar_exo")</f>
        <v>https://twitter.com/pasar_exo</v>
      </c>
      <c r="AZ780" s="81" t="s">
        <v>65</v>
      </c>
      <c r="BA780" s="2"/>
      <c r="BB780" s="3"/>
      <c r="BC780" s="3"/>
      <c r="BD780" s="3"/>
      <c r="BE780" s="3"/>
    </row>
    <row r="781" spans="1:57" x14ac:dyDescent="0.35">
      <c r="A781" s="66" t="s">
        <v>511</v>
      </c>
      <c r="B781" s="67"/>
      <c r="C781" s="67"/>
      <c r="D781" s="68"/>
      <c r="E781" s="94"/>
      <c r="F781" s="93" t="str">
        <f>HYPERLINK("https://pbs.twimg.com/profile_images/1442131247996686342/3w3YCZ-1_normal.jpg")</f>
        <v>https://pbs.twimg.com/profile_images/1442131247996686342/3w3YCZ-1_normal.jpg</v>
      </c>
      <c r="G781" s="95"/>
      <c r="H781" s="71"/>
      <c r="I781" s="72"/>
      <c r="J781" s="96"/>
      <c r="K781" s="71" t="s">
        <v>4036</v>
      </c>
      <c r="L781" s="97"/>
      <c r="M781" s="76"/>
      <c r="N781" s="76"/>
      <c r="O781" s="77"/>
      <c r="P781" s="78"/>
      <c r="Q781" s="78"/>
      <c r="R781" s="92"/>
      <c r="S781" s="92"/>
      <c r="T781" s="92"/>
      <c r="U781" s="92"/>
      <c r="V781" s="52"/>
      <c r="W781" s="52"/>
      <c r="X781" s="52"/>
      <c r="Y781" s="52"/>
      <c r="Z781" s="51"/>
      <c r="AA781" s="73"/>
      <c r="AB781" s="73"/>
      <c r="AC781" s="74"/>
      <c r="AD781" s="81" t="s">
        <v>2548</v>
      </c>
      <c r="AE781" s="86" t="s">
        <v>2972</v>
      </c>
      <c r="AF781" s="81">
        <v>282</v>
      </c>
      <c r="AG781" s="81">
        <v>274</v>
      </c>
      <c r="AH781" s="81">
        <v>8794</v>
      </c>
      <c r="AI781" s="81">
        <v>30631</v>
      </c>
      <c r="AJ781" s="81"/>
      <c r="AK781" s="81"/>
      <c r="AL781" s="81" t="s">
        <v>3670</v>
      </c>
      <c r="AM781" s="81"/>
      <c r="AN781" s="81"/>
      <c r="AO781" s="83">
        <v>43907.668287037035</v>
      </c>
      <c r="AP781" s="84" t="str">
        <f>HYPERLINK("https://pbs.twimg.com/profile_banners/1239945112370556928/1632741279")</f>
        <v>https://pbs.twimg.com/profile_banners/1239945112370556928/1632741279</v>
      </c>
      <c r="AQ781" s="81" t="b">
        <v>1</v>
      </c>
      <c r="AR781" s="81" t="b">
        <v>0</v>
      </c>
      <c r="AS781" s="81" t="b">
        <v>0</v>
      </c>
      <c r="AT781" s="81"/>
      <c r="AU781" s="81">
        <v>0</v>
      </c>
      <c r="AV781" s="81"/>
      <c r="AW781" s="81" t="b">
        <v>0</v>
      </c>
      <c r="AX781" s="81" t="s">
        <v>3728</v>
      </c>
      <c r="AY781" s="84" t="str">
        <f>HYPERLINK("https://twitter.com/syafiqaaazm")</f>
        <v>https://twitter.com/syafiqaaazm</v>
      </c>
      <c r="AZ781" s="81" t="s">
        <v>66</v>
      </c>
      <c r="BA781" s="2"/>
      <c r="BB781" s="3"/>
      <c r="BC781" s="3"/>
      <c r="BD781" s="3"/>
      <c r="BE781" s="3"/>
    </row>
    <row r="782" spans="1:57" x14ac:dyDescent="0.35">
      <c r="A782" s="66" t="s">
        <v>479</v>
      </c>
      <c r="B782" s="67"/>
      <c r="C782" s="67"/>
      <c r="D782" s="68"/>
      <c r="E782" s="94"/>
      <c r="F782" s="93" t="str">
        <f>HYPERLINK("https://pbs.twimg.com/profile_images/1441027595034771459/0gmsx8Tx_normal.jpg")</f>
        <v>https://pbs.twimg.com/profile_images/1441027595034771459/0gmsx8Tx_normal.jpg</v>
      </c>
      <c r="G782" s="95"/>
      <c r="H782" s="71"/>
      <c r="I782" s="72"/>
      <c r="J782" s="96"/>
      <c r="K782" s="71" t="s">
        <v>4032</v>
      </c>
      <c r="L782" s="97"/>
      <c r="M782" s="76"/>
      <c r="N782" s="76"/>
      <c r="O782" s="77"/>
      <c r="P782" s="78"/>
      <c r="Q782" s="78"/>
      <c r="R782" s="92"/>
      <c r="S782" s="92"/>
      <c r="T782" s="92"/>
      <c r="U782" s="92"/>
      <c r="V782" s="52"/>
      <c r="W782" s="52"/>
      <c r="X782" s="52"/>
      <c r="Y782" s="52"/>
      <c r="Z782" s="51"/>
      <c r="AA782" s="73"/>
      <c r="AB782" s="73"/>
      <c r="AC782" s="74"/>
      <c r="AD782" s="81" t="s">
        <v>2545</v>
      </c>
      <c r="AE782" s="86" t="s">
        <v>2968</v>
      </c>
      <c r="AF782" s="81">
        <v>481</v>
      </c>
      <c r="AG782" s="81">
        <v>471</v>
      </c>
      <c r="AH782" s="81">
        <v>2230</v>
      </c>
      <c r="AI782" s="81">
        <v>12898</v>
      </c>
      <c r="AJ782" s="81"/>
      <c r="AK782" s="81" t="s">
        <v>3373</v>
      </c>
      <c r="AL782" s="81" t="s">
        <v>3508</v>
      </c>
      <c r="AM782" s="81"/>
      <c r="AN782" s="81"/>
      <c r="AO782" s="83">
        <v>44157.540983796294</v>
      </c>
      <c r="AP782" s="84" t="str">
        <f>HYPERLINK("https://pbs.twimg.com/profile_banners/1330495968618422275/1632402726")</f>
        <v>https://pbs.twimg.com/profile_banners/1330495968618422275/1632402726</v>
      </c>
      <c r="AQ782" s="81" t="b">
        <v>1</v>
      </c>
      <c r="AR782" s="81" t="b">
        <v>0</v>
      </c>
      <c r="AS782" s="81" t="b">
        <v>0</v>
      </c>
      <c r="AT782" s="81"/>
      <c r="AU782" s="81">
        <v>0</v>
      </c>
      <c r="AV782" s="81"/>
      <c r="AW782" s="81" t="b">
        <v>0</v>
      </c>
      <c r="AX782" s="81" t="s">
        <v>3728</v>
      </c>
      <c r="AY782" s="84" t="str">
        <f>HYPERLINK("https://twitter.com/artsyyflower")</f>
        <v>https://twitter.com/artsyyflower</v>
      </c>
      <c r="AZ782" s="81" t="s">
        <v>66</v>
      </c>
      <c r="BA782" s="2"/>
      <c r="BB782" s="3"/>
      <c r="BC782" s="3"/>
      <c r="BD782" s="3"/>
      <c r="BE782" s="3"/>
    </row>
    <row r="783" spans="1:57" x14ac:dyDescent="0.35">
      <c r="A783" s="66" t="s">
        <v>4500</v>
      </c>
      <c r="B783" s="67"/>
      <c r="C783" s="67"/>
      <c r="D783" s="68"/>
      <c r="E783" s="94"/>
      <c r="F783" s="93" t="str">
        <f>HYPERLINK("https://pbs.twimg.com/profile_images/987503146242109441/ucTRGAGU_normal.jpg")</f>
        <v>https://pbs.twimg.com/profile_images/987503146242109441/ucTRGAGU_normal.jpg</v>
      </c>
      <c r="G783" s="95"/>
      <c r="H783" s="71"/>
      <c r="I783" s="72"/>
      <c r="J783" s="96"/>
      <c r="K783" s="71" t="s">
        <v>11860</v>
      </c>
      <c r="L783" s="97"/>
      <c r="M783" s="76"/>
      <c r="N783" s="76"/>
      <c r="O783" s="77"/>
      <c r="P783" s="78"/>
      <c r="Q783" s="78"/>
      <c r="R783" s="92"/>
      <c r="S783" s="92"/>
      <c r="T783" s="92"/>
      <c r="U783" s="92"/>
      <c r="V783" s="52"/>
      <c r="W783" s="52"/>
      <c r="X783" s="52"/>
      <c r="Y783" s="52"/>
      <c r="Z783" s="51"/>
      <c r="AA783" s="73"/>
      <c r="AB783" s="73"/>
      <c r="AC783" s="74"/>
      <c r="AD783" s="81" t="s">
        <v>8487</v>
      </c>
      <c r="AE783" s="86" t="s">
        <v>9488</v>
      </c>
      <c r="AF783" s="81">
        <v>23348</v>
      </c>
      <c r="AG783" s="81">
        <v>21257</v>
      </c>
      <c r="AH783" s="81">
        <v>352651</v>
      </c>
      <c r="AI783" s="81">
        <v>248296</v>
      </c>
      <c r="AJ783" s="81"/>
      <c r="AK783" s="81" t="s">
        <v>10442</v>
      </c>
      <c r="AL783" s="81"/>
      <c r="AM783" s="81"/>
      <c r="AN783" s="81"/>
      <c r="AO783" s="83">
        <v>43169.960763888892</v>
      </c>
      <c r="AP783" s="84" t="str">
        <f>HYPERLINK("https://pbs.twimg.com/profile_banners/972608916348645377/1524274495")</f>
        <v>https://pbs.twimg.com/profile_banners/972608916348645377/1524274495</v>
      </c>
      <c r="AQ783" s="81" t="b">
        <v>1</v>
      </c>
      <c r="AR783" s="81" t="b">
        <v>0</v>
      </c>
      <c r="AS783" s="81" t="b">
        <v>0</v>
      </c>
      <c r="AT783" s="81"/>
      <c r="AU783" s="81">
        <v>45</v>
      </c>
      <c r="AV783" s="81"/>
      <c r="AW783" s="81" t="b">
        <v>0</v>
      </c>
      <c r="AX783" s="81" t="s">
        <v>3728</v>
      </c>
      <c r="AY783" s="84" t="str">
        <f>HYPERLINK("https://twitter.com/fabiopf08fabio")</f>
        <v>https://twitter.com/fabiopf08fabio</v>
      </c>
      <c r="AZ783" s="81" t="s">
        <v>66</v>
      </c>
      <c r="BA783" s="2"/>
      <c r="BB783" s="3"/>
      <c r="BC783" s="3"/>
      <c r="BD783" s="3"/>
      <c r="BE783" s="3"/>
    </row>
    <row r="784" spans="1:57" x14ac:dyDescent="0.35">
      <c r="A784" s="66" t="s">
        <v>4502</v>
      </c>
      <c r="B784" s="67"/>
      <c r="C784" s="67"/>
      <c r="D784" s="68"/>
      <c r="E784" s="94"/>
      <c r="F784" s="93" t="str">
        <f>HYPERLINK("https://pbs.twimg.com/profile_images/1421165962800373764/D84bOXcA_normal.jpg")</f>
        <v>https://pbs.twimg.com/profile_images/1421165962800373764/D84bOXcA_normal.jpg</v>
      </c>
      <c r="G784" s="95"/>
      <c r="H784" s="71"/>
      <c r="I784" s="72"/>
      <c r="J784" s="96"/>
      <c r="K784" s="71" t="s">
        <v>11861</v>
      </c>
      <c r="L784" s="97"/>
      <c r="M784" s="76"/>
      <c r="N784" s="76"/>
      <c r="O784" s="77"/>
      <c r="P784" s="78"/>
      <c r="Q784" s="78"/>
      <c r="R784" s="92"/>
      <c r="S784" s="92"/>
      <c r="T784" s="92"/>
      <c r="U784" s="92"/>
      <c r="V784" s="52"/>
      <c r="W784" s="52"/>
      <c r="X784" s="52"/>
      <c r="Y784" s="52"/>
      <c r="Z784" s="51"/>
      <c r="AA784" s="73"/>
      <c r="AB784" s="73"/>
      <c r="AC784" s="74"/>
      <c r="AD784" s="81" t="s">
        <v>8488</v>
      </c>
      <c r="AE784" s="86" t="s">
        <v>9489</v>
      </c>
      <c r="AF784" s="81">
        <v>2</v>
      </c>
      <c r="AG784" s="81">
        <v>308</v>
      </c>
      <c r="AH784" s="81">
        <v>28851</v>
      </c>
      <c r="AI784" s="81">
        <v>25208</v>
      </c>
      <c r="AJ784" s="81"/>
      <c r="AK784" s="81" t="s">
        <v>10443</v>
      </c>
      <c r="AL784" s="81" t="s">
        <v>11159</v>
      </c>
      <c r="AM784" s="84" t="str">
        <f>HYPERLINK("https://t.co/9AzA4CnzBY")</f>
        <v>https://t.co/9AzA4CnzBY</v>
      </c>
      <c r="AN784" s="81"/>
      <c r="AO784" s="83">
        <v>39970.172025462962</v>
      </c>
      <c r="AP784" s="84" t="str">
        <f>HYPERLINK("https://pbs.twimg.com/profile_banners/45068583/1626562783")</f>
        <v>https://pbs.twimg.com/profile_banners/45068583/1626562783</v>
      </c>
      <c r="AQ784" s="81" t="b">
        <v>0</v>
      </c>
      <c r="AR784" s="81" t="b">
        <v>0</v>
      </c>
      <c r="AS784" s="81" t="b">
        <v>1</v>
      </c>
      <c r="AT784" s="81"/>
      <c r="AU784" s="81">
        <v>1</v>
      </c>
      <c r="AV784" s="84" t="str">
        <f>HYPERLINK("https://abs.twimg.com/images/themes/theme1/bg.png")</f>
        <v>https://abs.twimg.com/images/themes/theme1/bg.png</v>
      </c>
      <c r="AW784" s="81" t="b">
        <v>0</v>
      </c>
      <c r="AX784" s="81" t="s">
        <v>3728</v>
      </c>
      <c r="AY784" s="84" t="str">
        <f>HYPERLINK("https://twitter.com/polemmicodvj")</f>
        <v>https://twitter.com/polemmicodvj</v>
      </c>
      <c r="AZ784" s="81" t="s">
        <v>66</v>
      </c>
      <c r="BA784" s="2"/>
      <c r="BB784" s="3"/>
      <c r="BC784" s="3"/>
      <c r="BD784" s="3"/>
      <c r="BE784" s="3"/>
    </row>
    <row r="785" spans="1:57" x14ac:dyDescent="0.35">
      <c r="A785" s="66" t="s">
        <v>480</v>
      </c>
      <c r="B785" s="67"/>
      <c r="C785" s="67"/>
      <c r="D785" s="68"/>
      <c r="E785" s="94"/>
      <c r="F785" s="93" t="str">
        <f>HYPERLINK("https://pbs.twimg.com/profile_images/1439197292112740357/76YdYySv_normal.jpg")</f>
        <v>https://pbs.twimg.com/profile_images/1439197292112740357/76YdYySv_normal.jpg</v>
      </c>
      <c r="G785" s="95"/>
      <c r="H785" s="71"/>
      <c r="I785" s="72"/>
      <c r="J785" s="96"/>
      <c r="K785" s="71" t="s">
        <v>4033</v>
      </c>
      <c r="L785" s="97"/>
      <c r="M785" s="76"/>
      <c r="N785" s="76"/>
      <c r="O785" s="77"/>
      <c r="P785" s="78"/>
      <c r="Q785" s="78"/>
      <c r="R785" s="92"/>
      <c r="S785" s="92"/>
      <c r="T785" s="92"/>
      <c r="U785" s="92"/>
      <c r="V785" s="52"/>
      <c r="W785" s="52"/>
      <c r="X785" s="52"/>
      <c r="Y785" s="52"/>
      <c r="Z785" s="51"/>
      <c r="AA785" s="73"/>
      <c r="AB785" s="73"/>
      <c r="AC785" s="74"/>
      <c r="AD785" s="81" t="s">
        <v>8489</v>
      </c>
      <c r="AE785" s="86" t="s">
        <v>2969</v>
      </c>
      <c r="AF785" s="81">
        <v>1092</v>
      </c>
      <c r="AG785" s="81">
        <v>815</v>
      </c>
      <c r="AH785" s="81">
        <v>23261</v>
      </c>
      <c r="AI785" s="81">
        <v>59944</v>
      </c>
      <c r="AJ785" s="81"/>
      <c r="AK785" s="81" t="s">
        <v>3374</v>
      </c>
      <c r="AL785" s="81" t="s">
        <v>3669</v>
      </c>
      <c r="AM785" s="84" t="str">
        <f>HYPERLINK("https://t.co/aNtKOaD6qc")</f>
        <v>https://t.co/aNtKOaD6qc</v>
      </c>
      <c r="AN785" s="81"/>
      <c r="AO785" s="83">
        <v>43052.495011574072</v>
      </c>
      <c r="AP785" s="84" t="str">
        <f>HYPERLINK("https://pbs.twimg.com/profile_banners/930040753014816770/1632148133")</f>
        <v>https://pbs.twimg.com/profile_banners/930040753014816770/1632148133</v>
      </c>
      <c r="AQ785" s="81" t="b">
        <v>0</v>
      </c>
      <c r="AR785" s="81" t="b">
        <v>0</v>
      </c>
      <c r="AS785" s="81" t="b">
        <v>0</v>
      </c>
      <c r="AT785" s="81"/>
      <c r="AU785" s="81">
        <v>4</v>
      </c>
      <c r="AV785" s="84" t="str">
        <f>HYPERLINK("https://abs.twimg.com/images/themes/theme1/bg.png")</f>
        <v>https://abs.twimg.com/images/themes/theme1/bg.png</v>
      </c>
      <c r="AW785" s="81" t="b">
        <v>0</v>
      </c>
      <c r="AX785" s="81" t="s">
        <v>3728</v>
      </c>
      <c r="AY785" s="84" t="str">
        <f>HYPERLINK("https://twitter.com/flirtswkook")</f>
        <v>https://twitter.com/flirtswkook</v>
      </c>
      <c r="AZ785" s="81" t="s">
        <v>66</v>
      </c>
      <c r="BA785" s="2"/>
      <c r="BB785" s="3"/>
      <c r="BC785" s="3"/>
      <c r="BD785" s="3"/>
      <c r="BE785" s="3"/>
    </row>
    <row r="786" spans="1:57" x14ac:dyDescent="0.35">
      <c r="A786" s="66" t="s">
        <v>4503</v>
      </c>
      <c r="B786" s="67"/>
      <c r="C786" s="67"/>
      <c r="D786" s="68"/>
      <c r="E786" s="94"/>
      <c r="F786" s="93" t="str">
        <f>HYPERLINK("https://pbs.twimg.com/profile_images/889863314842451968/u5J8vrzw_normal.jpg")</f>
        <v>https://pbs.twimg.com/profile_images/889863314842451968/u5J8vrzw_normal.jpg</v>
      </c>
      <c r="G786" s="95"/>
      <c r="H786" s="71"/>
      <c r="I786" s="72"/>
      <c r="J786" s="96"/>
      <c r="K786" s="71" t="s">
        <v>11862</v>
      </c>
      <c r="L786" s="97"/>
      <c r="M786" s="76"/>
      <c r="N786" s="76"/>
      <c r="O786" s="77"/>
      <c r="P786" s="78"/>
      <c r="Q786" s="78"/>
      <c r="R786" s="92"/>
      <c r="S786" s="92"/>
      <c r="T786" s="92"/>
      <c r="U786" s="92"/>
      <c r="V786" s="52"/>
      <c r="W786" s="52"/>
      <c r="X786" s="52"/>
      <c r="Y786" s="52"/>
      <c r="Z786" s="51"/>
      <c r="AA786" s="73"/>
      <c r="AB786" s="73"/>
      <c r="AC786" s="74"/>
      <c r="AD786" s="81" t="s">
        <v>8490</v>
      </c>
      <c r="AE786" s="86" t="s">
        <v>9490</v>
      </c>
      <c r="AF786" s="81">
        <v>726</v>
      </c>
      <c r="AG786" s="81">
        <v>9193</v>
      </c>
      <c r="AH786" s="81">
        <v>19173</v>
      </c>
      <c r="AI786" s="81">
        <v>92</v>
      </c>
      <c r="AJ786" s="81"/>
      <c r="AK786" s="81" t="s">
        <v>10444</v>
      </c>
      <c r="AL786" s="81" t="s">
        <v>11160</v>
      </c>
      <c r="AM786" s="84" t="str">
        <f>HYPERLINK("https://t.co/Wp5dGM45JY")</f>
        <v>https://t.co/Wp5dGM45JY</v>
      </c>
      <c r="AN786" s="81"/>
      <c r="AO786" s="83">
        <v>42941.611087962963</v>
      </c>
      <c r="AP786" s="84" t="str">
        <f>HYPERLINK("https://pbs.twimg.com/profile_banners/889857763077238784/1501054861")</f>
        <v>https://pbs.twimg.com/profile_banners/889857763077238784/1501054861</v>
      </c>
      <c r="AQ786" s="81" t="b">
        <v>0</v>
      </c>
      <c r="AR786" s="81" t="b">
        <v>0</v>
      </c>
      <c r="AS786" s="81" t="b">
        <v>0</v>
      </c>
      <c r="AT786" s="81"/>
      <c r="AU786" s="81">
        <v>16</v>
      </c>
      <c r="AV786" s="84" t="str">
        <f>HYPERLINK("https://abs.twimg.com/images/themes/theme1/bg.png")</f>
        <v>https://abs.twimg.com/images/themes/theme1/bg.png</v>
      </c>
      <c r="AW786" s="81" t="b">
        <v>0</v>
      </c>
      <c r="AX786" s="81" t="s">
        <v>3728</v>
      </c>
      <c r="AY786" s="84" t="str">
        <f>HYPERLINK("https://twitter.com/iebsescola")</f>
        <v>https://twitter.com/iebsescola</v>
      </c>
      <c r="AZ786" s="81" t="s">
        <v>66</v>
      </c>
      <c r="BA786" s="2"/>
      <c r="BB786" s="3"/>
      <c r="BC786" s="3"/>
      <c r="BD786" s="3"/>
      <c r="BE786" s="3"/>
    </row>
    <row r="787" spans="1:57" x14ac:dyDescent="0.35">
      <c r="A787" s="66" t="s">
        <v>4504</v>
      </c>
      <c r="B787" s="67"/>
      <c r="C787" s="67"/>
      <c r="D787" s="68"/>
      <c r="E787" s="94"/>
      <c r="F787" s="93" t="str">
        <f>HYPERLINK("https://pbs.twimg.com/profile_images/1441798127191797760/rXUt7TlZ_normal.jpg")</f>
        <v>https://pbs.twimg.com/profile_images/1441798127191797760/rXUt7TlZ_normal.jpg</v>
      </c>
      <c r="G787" s="95"/>
      <c r="H787" s="71"/>
      <c r="I787" s="72"/>
      <c r="J787" s="96"/>
      <c r="K787" s="71" t="s">
        <v>11863</v>
      </c>
      <c r="L787" s="97"/>
      <c r="M787" s="76"/>
      <c r="N787" s="76"/>
      <c r="O787" s="77"/>
      <c r="P787" s="78"/>
      <c r="Q787" s="78"/>
      <c r="R787" s="92"/>
      <c r="S787" s="92"/>
      <c r="T787" s="92"/>
      <c r="U787" s="92"/>
      <c r="V787" s="52"/>
      <c r="W787" s="52"/>
      <c r="X787" s="52"/>
      <c r="Y787" s="52"/>
      <c r="Z787" s="51"/>
      <c r="AA787" s="73"/>
      <c r="AB787" s="73"/>
      <c r="AC787" s="74"/>
      <c r="AD787" s="81" t="s">
        <v>8491</v>
      </c>
      <c r="AE787" s="86" t="s">
        <v>9491</v>
      </c>
      <c r="AF787" s="81">
        <v>972</v>
      </c>
      <c r="AG787" s="81">
        <v>606</v>
      </c>
      <c r="AH787" s="81">
        <v>21888</v>
      </c>
      <c r="AI787" s="81">
        <v>44717</v>
      </c>
      <c r="AJ787" s="81"/>
      <c r="AK787" s="81" t="s">
        <v>10445</v>
      </c>
      <c r="AL787" s="81"/>
      <c r="AM787" s="81"/>
      <c r="AN787" s="81"/>
      <c r="AO787" s="83">
        <v>43875.05537037037</v>
      </c>
      <c r="AP787" s="81"/>
      <c r="AQ787" s="81" t="b">
        <v>1</v>
      </c>
      <c r="AR787" s="81" t="b">
        <v>0</v>
      </c>
      <c r="AS787" s="81" t="b">
        <v>0</v>
      </c>
      <c r="AT787" s="81"/>
      <c r="AU787" s="81">
        <v>0</v>
      </c>
      <c r="AV787" s="81"/>
      <c r="AW787" s="81" t="b">
        <v>0</v>
      </c>
      <c r="AX787" s="81" t="s">
        <v>3728</v>
      </c>
      <c r="AY787" s="84" t="str">
        <f>HYPERLINK("https://twitter.com/blacklamb19")</f>
        <v>https://twitter.com/blacklamb19</v>
      </c>
      <c r="AZ787" s="81" t="s">
        <v>66</v>
      </c>
      <c r="BA787" s="2"/>
      <c r="BB787" s="3"/>
      <c r="BC787" s="3"/>
      <c r="BD787" s="3"/>
      <c r="BE787" s="3"/>
    </row>
    <row r="788" spans="1:57" x14ac:dyDescent="0.35">
      <c r="A788" s="66" t="s">
        <v>4505</v>
      </c>
      <c r="B788" s="67"/>
      <c r="C788" s="67"/>
      <c r="D788" s="68"/>
      <c r="E788" s="94"/>
      <c r="F788" s="93" t="str">
        <f>HYPERLINK("https://pbs.twimg.com/profile_images/1441197537663152135/HH1ED2hv_normal.jpg")</f>
        <v>https://pbs.twimg.com/profile_images/1441197537663152135/HH1ED2hv_normal.jpg</v>
      </c>
      <c r="G788" s="95"/>
      <c r="H788" s="71"/>
      <c r="I788" s="72"/>
      <c r="J788" s="96"/>
      <c r="K788" s="71" t="s">
        <v>11864</v>
      </c>
      <c r="L788" s="97"/>
      <c r="M788" s="76"/>
      <c r="N788" s="76"/>
      <c r="O788" s="77"/>
      <c r="P788" s="78"/>
      <c r="Q788" s="78"/>
      <c r="R788" s="92"/>
      <c r="S788" s="92"/>
      <c r="T788" s="92"/>
      <c r="U788" s="92"/>
      <c r="V788" s="52"/>
      <c r="W788" s="52"/>
      <c r="X788" s="52"/>
      <c r="Y788" s="52"/>
      <c r="Z788" s="51"/>
      <c r="AA788" s="73"/>
      <c r="AB788" s="73"/>
      <c r="AC788" s="74"/>
      <c r="AD788" s="81" t="s">
        <v>8492</v>
      </c>
      <c r="AE788" s="86" t="s">
        <v>9492</v>
      </c>
      <c r="AF788" s="81">
        <v>887</v>
      </c>
      <c r="AG788" s="81">
        <v>117</v>
      </c>
      <c r="AH788" s="81">
        <v>1957</v>
      </c>
      <c r="AI788" s="81">
        <v>919</v>
      </c>
      <c r="AJ788" s="81"/>
      <c r="AK788" s="81" t="s">
        <v>10446</v>
      </c>
      <c r="AL788" s="81" t="s">
        <v>2202</v>
      </c>
      <c r="AM788" s="84" t="str">
        <f>HYPERLINK("https://t.co/caGQVjyXVu")</f>
        <v>https://t.co/caGQVjyXVu</v>
      </c>
      <c r="AN788" s="81"/>
      <c r="AO788" s="83">
        <v>41989.346655092595</v>
      </c>
      <c r="AP788" s="84" t="str">
        <f>HYPERLINK("https://pbs.twimg.com/profile_banners/2932020415/1616920622")</f>
        <v>https://pbs.twimg.com/profile_banners/2932020415/1616920622</v>
      </c>
      <c r="AQ788" s="81" t="b">
        <v>1</v>
      </c>
      <c r="AR788" s="81" t="b">
        <v>0</v>
      </c>
      <c r="AS788" s="81" t="b">
        <v>1</v>
      </c>
      <c r="AT788" s="81"/>
      <c r="AU788" s="81">
        <v>3</v>
      </c>
      <c r="AV788" s="84" t="str">
        <f>HYPERLINK("https://abs.twimg.com/images/themes/theme1/bg.png")</f>
        <v>https://abs.twimg.com/images/themes/theme1/bg.png</v>
      </c>
      <c r="AW788" s="81" t="b">
        <v>0</v>
      </c>
      <c r="AX788" s="81" t="s">
        <v>3728</v>
      </c>
      <c r="AY788" s="84" t="str">
        <f>HYPERLINK("https://twitter.com/visualtraveller")</f>
        <v>https://twitter.com/visualtraveller</v>
      </c>
      <c r="AZ788" s="81" t="s">
        <v>66</v>
      </c>
      <c r="BA788" s="2"/>
      <c r="BB788" s="3"/>
      <c r="BC788" s="3"/>
      <c r="BD788" s="3"/>
      <c r="BE788" s="3"/>
    </row>
    <row r="789" spans="1:57" x14ac:dyDescent="0.35">
      <c r="A789" s="66" t="s">
        <v>5100</v>
      </c>
      <c r="B789" s="67"/>
      <c r="C789" s="67"/>
      <c r="D789" s="68"/>
      <c r="E789" s="94"/>
      <c r="F789" s="93" t="str">
        <f>HYPERLINK("https://pbs.twimg.com/profile_images/1349608480496263170/q7vmevSt_normal.jpg")</f>
        <v>https://pbs.twimg.com/profile_images/1349608480496263170/q7vmevSt_normal.jpg</v>
      </c>
      <c r="G789" s="95"/>
      <c r="H789" s="71"/>
      <c r="I789" s="72"/>
      <c r="J789" s="96"/>
      <c r="K789" s="71" t="s">
        <v>11865</v>
      </c>
      <c r="L789" s="97"/>
      <c r="M789" s="76"/>
      <c r="N789" s="76"/>
      <c r="O789" s="77"/>
      <c r="P789" s="78"/>
      <c r="Q789" s="78"/>
      <c r="R789" s="92"/>
      <c r="S789" s="92"/>
      <c r="T789" s="92"/>
      <c r="U789" s="92"/>
      <c r="V789" s="52"/>
      <c r="W789" s="52"/>
      <c r="X789" s="52"/>
      <c r="Y789" s="52"/>
      <c r="Z789" s="51"/>
      <c r="AA789" s="73"/>
      <c r="AB789" s="73"/>
      <c r="AC789" s="74"/>
      <c r="AD789" s="81" t="s">
        <v>8493</v>
      </c>
      <c r="AE789" s="86" t="s">
        <v>9493</v>
      </c>
      <c r="AF789" s="81">
        <v>4</v>
      </c>
      <c r="AG789" s="81">
        <v>3</v>
      </c>
      <c r="AH789" s="81">
        <v>0</v>
      </c>
      <c r="AI789" s="81">
        <v>0</v>
      </c>
      <c r="AJ789" s="81"/>
      <c r="AK789" s="81" t="s">
        <v>10447</v>
      </c>
      <c r="AL789" s="81"/>
      <c r="AM789" s="81"/>
      <c r="AN789" s="81"/>
      <c r="AO789" s="83">
        <v>44210.276458333334</v>
      </c>
      <c r="AP789" s="81"/>
      <c r="AQ789" s="81" t="b">
        <v>1</v>
      </c>
      <c r="AR789" s="81" t="b">
        <v>0</v>
      </c>
      <c r="AS789" s="81" t="b">
        <v>0</v>
      </c>
      <c r="AT789" s="81"/>
      <c r="AU789" s="81">
        <v>0</v>
      </c>
      <c r="AV789" s="81"/>
      <c r="AW789" s="81" t="b">
        <v>0</v>
      </c>
      <c r="AX789" s="81" t="s">
        <v>3728</v>
      </c>
      <c r="AY789" s="84" t="str">
        <f>HYPERLINK("https://twitter.com/posblocjkt")</f>
        <v>https://twitter.com/posblocjkt</v>
      </c>
      <c r="AZ789" s="81" t="s">
        <v>65</v>
      </c>
      <c r="BA789" s="2"/>
      <c r="BB789" s="3"/>
      <c r="BC789" s="3"/>
      <c r="BD789" s="3"/>
      <c r="BE789" s="3"/>
    </row>
    <row r="790" spans="1:57" x14ac:dyDescent="0.35">
      <c r="A790" s="66" t="s">
        <v>4506</v>
      </c>
      <c r="B790" s="67"/>
      <c r="C790" s="67"/>
      <c r="D790" s="68"/>
      <c r="E790" s="94"/>
      <c r="F790" s="93" t="str">
        <f>HYPERLINK("https://pbs.twimg.com/profile_images/1124720490587799552/6goq8ZY7_normal.jpg")</f>
        <v>https://pbs.twimg.com/profile_images/1124720490587799552/6goq8ZY7_normal.jpg</v>
      </c>
      <c r="G790" s="95"/>
      <c r="H790" s="71"/>
      <c r="I790" s="72"/>
      <c r="J790" s="96"/>
      <c r="K790" s="71" t="s">
        <v>11866</v>
      </c>
      <c r="L790" s="97"/>
      <c r="M790" s="76"/>
      <c r="N790" s="76"/>
      <c r="O790" s="77"/>
      <c r="P790" s="78"/>
      <c r="Q790" s="78"/>
      <c r="R790" s="92"/>
      <c r="S790" s="92"/>
      <c r="T790" s="92"/>
      <c r="U790" s="92"/>
      <c r="V790" s="52"/>
      <c r="W790" s="52"/>
      <c r="X790" s="52"/>
      <c r="Y790" s="52"/>
      <c r="Z790" s="51"/>
      <c r="AA790" s="73"/>
      <c r="AB790" s="73"/>
      <c r="AC790" s="74"/>
      <c r="AD790" s="81" t="s">
        <v>8494</v>
      </c>
      <c r="AE790" s="86" t="s">
        <v>9494</v>
      </c>
      <c r="AF790" s="81">
        <v>649</v>
      </c>
      <c r="AG790" s="81">
        <v>1184</v>
      </c>
      <c r="AH790" s="81">
        <v>72363</v>
      </c>
      <c r="AI790" s="81">
        <v>31909</v>
      </c>
      <c r="AJ790" s="81"/>
      <c r="AK790" s="81" t="s">
        <v>10448</v>
      </c>
      <c r="AL790" s="81"/>
      <c r="AM790" s="84" t="str">
        <f>HYPERLINK("https://t.co/IJOZQJmTLI")</f>
        <v>https://t.co/IJOZQJmTLI</v>
      </c>
      <c r="AN790" s="81"/>
      <c r="AO790" s="83">
        <v>40224.041250000002</v>
      </c>
      <c r="AP790" s="84" t="str">
        <f>HYPERLINK("https://pbs.twimg.com/profile_banners/114323214/1630464675")</f>
        <v>https://pbs.twimg.com/profile_banners/114323214/1630464675</v>
      </c>
      <c r="AQ790" s="81" t="b">
        <v>0</v>
      </c>
      <c r="AR790" s="81" t="b">
        <v>0</v>
      </c>
      <c r="AS790" s="81" t="b">
        <v>1</v>
      </c>
      <c r="AT790" s="81"/>
      <c r="AU790" s="81">
        <v>6</v>
      </c>
      <c r="AV790" s="84" t="str">
        <f>HYPERLINK("https://abs.twimg.com/images/themes/theme14/bg.gif")</f>
        <v>https://abs.twimg.com/images/themes/theme14/bg.gif</v>
      </c>
      <c r="AW790" s="81" t="b">
        <v>0</v>
      </c>
      <c r="AX790" s="81" t="s">
        <v>3728</v>
      </c>
      <c r="AY790" s="84" t="str">
        <f>HYPERLINK("https://twitter.com/akakarota")</f>
        <v>https://twitter.com/akakarota</v>
      </c>
      <c r="AZ790" s="81" t="s">
        <v>66</v>
      </c>
      <c r="BA790" s="2"/>
      <c r="BB790" s="3"/>
      <c r="BC790" s="3"/>
      <c r="BD790" s="3"/>
      <c r="BE790" s="3"/>
    </row>
    <row r="791" spans="1:57" x14ac:dyDescent="0.35">
      <c r="A791" s="66" t="s">
        <v>5101</v>
      </c>
      <c r="B791" s="67"/>
      <c r="C791" s="67"/>
      <c r="D791" s="68"/>
      <c r="E791" s="94"/>
      <c r="F791" s="93" t="str">
        <f>HYPERLINK("https://pbs.twimg.com/profile_images/1410797557073297409/Da6g0GjV_normal.jpg")</f>
        <v>https://pbs.twimg.com/profile_images/1410797557073297409/Da6g0GjV_normal.jpg</v>
      </c>
      <c r="G791" s="95"/>
      <c r="H791" s="71"/>
      <c r="I791" s="72"/>
      <c r="J791" s="96"/>
      <c r="K791" s="71" t="s">
        <v>11867</v>
      </c>
      <c r="L791" s="97"/>
      <c r="M791" s="76"/>
      <c r="N791" s="76"/>
      <c r="O791" s="77"/>
      <c r="P791" s="78"/>
      <c r="Q791" s="78"/>
      <c r="R791" s="92"/>
      <c r="S791" s="92"/>
      <c r="T791" s="92"/>
      <c r="U791" s="92"/>
      <c r="V791" s="52"/>
      <c r="W791" s="52"/>
      <c r="X791" s="52"/>
      <c r="Y791" s="52"/>
      <c r="Z791" s="51"/>
      <c r="AA791" s="73"/>
      <c r="AB791" s="73"/>
      <c r="AC791" s="74"/>
      <c r="AD791" s="81" t="s">
        <v>8495</v>
      </c>
      <c r="AE791" s="86" t="s">
        <v>7870</v>
      </c>
      <c r="AF791" s="81">
        <v>282</v>
      </c>
      <c r="AG791" s="81">
        <v>189</v>
      </c>
      <c r="AH791" s="81">
        <v>136</v>
      </c>
      <c r="AI791" s="81">
        <v>2562</v>
      </c>
      <c r="AJ791" s="81"/>
      <c r="AK791" s="81" t="s">
        <v>10449</v>
      </c>
      <c r="AL791" s="81"/>
      <c r="AM791" s="81"/>
      <c r="AN791" s="81"/>
      <c r="AO791" s="83">
        <v>44277.831631944442</v>
      </c>
      <c r="AP791" s="84" t="str">
        <f>HYPERLINK("https://pbs.twimg.com/profile_banners/1374087821674360834/1616444652")</f>
        <v>https://pbs.twimg.com/profile_banners/1374087821674360834/1616444652</v>
      </c>
      <c r="AQ791" s="81" t="b">
        <v>1</v>
      </c>
      <c r="AR791" s="81" t="b">
        <v>0</v>
      </c>
      <c r="AS791" s="81" t="b">
        <v>0</v>
      </c>
      <c r="AT791" s="81"/>
      <c r="AU791" s="81">
        <v>0</v>
      </c>
      <c r="AV791" s="81"/>
      <c r="AW791" s="81" t="b">
        <v>0</v>
      </c>
      <c r="AX791" s="81" t="s">
        <v>3728</v>
      </c>
      <c r="AY791" s="84" t="str">
        <f>HYPERLINK("https://twitter.com/danibenevenuto1")</f>
        <v>https://twitter.com/danibenevenuto1</v>
      </c>
      <c r="AZ791" s="81" t="s">
        <v>65</v>
      </c>
      <c r="BA791" s="2"/>
      <c r="BB791" s="3"/>
      <c r="BC791" s="3"/>
      <c r="BD791" s="3"/>
      <c r="BE791" s="3"/>
    </row>
    <row r="792" spans="1:57" x14ac:dyDescent="0.35">
      <c r="A792" s="66" t="s">
        <v>481</v>
      </c>
      <c r="B792" s="67"/>
      <c r="C792" s="67"/>
      <c r="D792" s="68"/>
      <c r="E792" s="94"/>
      <c r="F792" s="93" t="str">
        <f>HYPERLINK("https://pbs.twimg.com/profile_images/1406059743735554051/SzybUTpL_normal.jpg")</f>
        <v>https://pbs.twimg.com/profile_images/1406059743735554051/SzybUTpL_normal.jpg</v>
      </c>
      <c r="G792" s="95"/>
      <c r="H792" s="71"/>
      <c r="I792" s="72"/>
      <c r="J792" s="96"/>
      <c r="K792" s="71" t="s">
        <v>4034</v>
      </c>
      <c r="L792" s="97"/>
      <c r="M792" s="76"/>
      <c r="N792" s="76"/>
      <c r="O792" s="77"/>
      <c r="P792" s="78"/>
      <c r="Q792" s="78"/>
      <c r="R792" s="92"/>
      <c r="S792" s="92"/>
      <c r="T792" s="92"/>
      <c r="U792" s="92"/>
      <c r="V792" s="52"/>
      <c r="W792" s="52"/>
      <c r="X792" s="52"/>
      <c r="Y792" s="52"/>
      <c r="Z792" s="51"/>
      <c r="AA792" s="73"/>
      <c r="AB792" s="73"/>
      <c r="AC792" s="74"/>
      <c r="AD792" s="81" t="s">
        <v>2546</v>
      </c>
      <c r="AE792" s="86" t="s">
        <v>2970</v>
      </c>
      <c r="AF792" s="81">
        <v>260</v>
      </c>
      <c r="AG792" s="81">
        <v>445</v>
      </c>
      <c r="AH792" s="81">
        <v>37522</v>
      </c>
      <c r="AI792" s="81">
        <v>10972</v>
      </c>
      <c r="AJ792" s="81"/>
      <c r="AK792" s="81" t="s">
        <v>3375</v>
      </c>
      <c r="AL792" s="81" t="s">
        <v>3514</v>
      </c>
      <c r="AM792" s="81"/>
      <c r="AN792" s="81"/>
      <c r="AO792" s="83">
        <v>41287.242280092592</v>
      </c>
      <c r="AP792" s="81"/>
      <c r="AQ792" s="81" t="b">
        <v>0</v>
      </c>
      <c r="AR792" s="81" t="b">
        <v>0</v>
      </c>
      <c r="AS792" s="81" t="b">
        <v>1</v>
      </c>
      <c r="AT792" s="81"/>
      <c r="AU792" s="81">
        <v>4</v>
      </c>
      <c r="AV792" s="84" t="str">
        <f>HYPERLINK("https://abs.twimg.com/images/themes/theme9/bg.gif")</f>
        <v>https://abs.twimg.com/images/themes/theme9/bg.gif</v>
      </c>
      <c r="AW792" s="81" t="b">
        <v>0</v>
      </c>
      <c r="AX792" s="81" t="s">
        <v>3728</v>
      </c>
      <c r="AY792" s="84" t="str">
        <f>HYPERLINK("https://twitter.com/hjia__")</f>
        <v>https://twitter.com/hjia__</v>
      </c>
      <c r="AZ792" s="81" t="s">
        <v>66</v>
      </c>
      <c r="BA792" s="2"/>
      <c r="BB792" s="3"/>
      <c r="BC792" s="3"/>
      <c r="BD792" s="3"/>
      <c r="BE792" s="3"/>
    </row>
    <row r="793" spans="1:57" x14ac:dyDescent="0.35">
      <c r="A793" s="66" t="s">
        <v>482</v>
      </c>
      <c r="B793" s="67"/>
      <c r="C793" s="67"/>
      <c r="D793" s="68"/>
      <c r="E793" s="94"/>
      <c r="F793" s="93" t="str">
        <f>HYPERLINK("https://pbs.twimg.com/profile_images/1439502555772375040/ceHsLq4F_normal.jpg")</f>
        <v>https://pbs.twimg.com/profile_images/1439502555772375040/ceHsLq4F_normal.jpg</v>
      </c>
      <c r="G793" s="95"/>
      <c r="H793" s="71"/>
      <c r="I793" s="72"/>
      <c r="J793" s="96"/>
      <c r="K793" s="71" t="s">
        <v>4037</v>
      </c>
      <c r="L793" s="97"/>
      <c r="M793" s="76"/>
      <c r="N793" s="76"/>
      <c r="O793" s="77"/>
      <c r="P793" s="78"/>
      <c r="Q793" s="78"/>
      <c r="R793" s="92"/>
      <c r="S793" s="92"/>
      <c r="T793" s="92"/>
      <c r="U793" s="92"/>
      <c r="V793" s="52"/>
      <c r="W793" s="52"/>
      <c r="X793" s="52"/>
      <c r="Y793" s="52"/>
      <c r="Z793" s="51"/>
      <c r="AA793" s="73"/>
      <c r="AB793" s="73"/>
      <c r="AC793" s="74"/>
      <c r="AD793" s="81" t="s">
        <v>2549</v>
      </c>
      <c r="AE793" s="86" t="s">
        <v>2129</v>
      </c>
      <c r="AF793" s="81">
        <v>389</v>
      </c>
      <c r="AG793" s="81">
        <v>114</v>
      </c>
      <c r="AH793" s="81">
        <v>9028</v>
      </c>
      <c r="AI793" s="81">
        <v>16419</v>
      </c>
      <c r="AJ793" s="81"/>
      <c r="AK793" s="81" t="s">
        <v>3377</v>
      </c>
      <c r="AL793" s="81" t="s">
        <v>3671</v>
      </c>
      <c r="AM793" s="81"/>
      <c r="AN793" s="81"/>
      <c r="AO793" s="83">
        <v>43840.591805555552</v>
      </c>
      <c r="AP793" s="84" t="str">
        <f>HYPERLINK("https://pbs.twimg.com/profile_banners/1215637424916713472/1630579854")</f>
        <v>https://pbs.twimg.com/profile_banners/1215637424916713472/1630579854</v>
      </c>
      <c r="AQ793" s="81" t="b">
        <v>1</v>
      </c>
      <c r="AR793" s="81" t="b">
        <v>0</v>
      </c>
      <c r="AS793" s="81" t="b">
        <v>0</v>
      </c>
      <c r="AT793" s="81"/>
      <c r="AU793" s="81">
        <v>0</v>
      </c>
      <c r="AV793" s="81"/>
      <c r="AW793" s="81" t="b">
        <v>0</v>
      </c>
      <c r="AX793" s="81" t="s">
        <v>3728</v>
      </c>
      <c r="AY793" s="84" t="str">
        <f>HYPERLINK("https://twitter.com/byeommin")</f>
        <v>https://twitter.com/byeommin</v>
      </c>
      <c r="AZ793" s="81" t="s">
        <v>66</v>
      </c>
      <c r="BA793" s="2"/>
      <c r="BB793" s="3"/>
      <c r="BC793" s="3"/>
      <c r="BD793" s="3"/>
      <c r="BE793" s="3"/>
    </row>
    <row r="794" spans="1:57" x14ac:dyDescent="0.35">
      <c r="A794" s="66" t="s">
        <v>4507</v>
      </c>
      <c r="B794" s="67"/>
      <c r="C794" s="67"/>
      <c r="D794" s="68"/>
      <c r="E794" s="94"/>
      <c r="F794" s="93" t="str">
        <f>HYPERLINK("https://pbs.twimg.com/profile_images/1351208585427116033/NB5ZebAk_normal.jpg")</f>
        <v>https://pbs.twimg.com/profile_images/1351208585427116033/NB5ZebAk_normal.jpg</v>
      </c>
      <c r="G794" s="95"/>
      <c r="H794" s="71"/>
      <c r="I794" s="72"/>
      <c r="J794" s="96"/>
      <c r="K794" s="71" t="s">
        <v>11868</v>
      </c>
      <c r="L794" s="97"/>
      <c r="M794" s="76"/>
      <c r="N794" s="76"/>
      <c r="O794" s="77"/>
      <c r="P794" s="78"/>
      <c r="Q794" s="78"/>
      <c r="R794" s="92"/>
      <c r="S794" s="92"/>
      <c r="T794" s="92"/>
      <c r="U794" s="92"/>
      <c r="V794" s="52"/>
      <c r="W794" s="52"/>
      <c r="X794" s="52"/>
      <c r="Y794" s="52"/>
      <c r="Z794" s="51"/>
      <c r="AA794" s="73"/>
      <c r="AB794" s="73"/>
      <c r="AC794" s="74"/>
      <c r="AD794" s="81" t="s">
        <v>8496</v>
      </c>
      <c r="AE794" s="86" t="s">
        <v>9495</v>
      </c>
      <c r="AF794" s="81">
        <v>4881</v>
      </c>
      <c r="AG794" s="81">
        <v>1388</v>
      </c>
      <c r="AH794" s="81">
        <v>1555</v>
      </c>
      <c r="AI794" s="81">
        <v>7989</v>
      </c>
      <c r="AJ794" s="81"/>
      <c r="AK794" s="81" t="s">
        <v>10450</v>
      </c>
      <c r="AL794" s="81" t="s">
        <v>11161</v>
      </c>
      <c r="AM794" s="84" t="str">
        <f>HYPERLINK("https://t.co/TSiKhyMgBU")</f>
        <v>https://t.co/TSiKhyMgBU</v>
      </c>
      <c r="AN794" s="81"/>
      <c r="AO794" s="83">
        <v>44214.696238425924</v>
      </c>
      <c r="AP794" s="81"/>
      <c r="AQ794" s="81" t="b">
        <v>1</v>
      </c>
      <c r="AR794" s="81" t="b">
        <v>0</v>
      </c>
      <c r="AS794" s="81" t="b">
        <v>0</v>
      </c>
      <c r="AT794" s="81"/>
      <c r="AU794" s="81">
        <v>0</v>
      </c>
      <c r="AV794" s="81"/>
      <c r="AW794" s="81" t="b">
        <v>0</v>
      </c>
      <c r="AX794" s="81" t="s">
        <v>3728</v>
      </c>
      <c r="AY794" s="84" t="str">
        <f>HYPERLINK("https://twitter.com/dalilam75947344")</f>
        <v>https://twitter.com/dalilam75947344</v>
      </c>
      <c r="AZ794" s="81" t="s">
        <v>66</v>
      </c>
      <c r="BA794" s="2"/>
      <c r="BB794" s="3"/>
      <c r="BC794" s="3"/>
      <c r="BD794" s="3"/>
      <c r="BE794" s="3"/>
    </row>
    <row r="795" spans="1:57" x14ac:dyDescent="0.35">
      <c r="A795" s="66" t="s">
        <v>5102</v>
      </c>
      <c r="B795" s="67"/>
      <c r="C795" s="67"/>
      <c r="D795" s="68"/>
      <c r="E795" s="94"/>
      <c r="F795" s="93" t="str">
        <f>HYPERLINK("https://pbs.twimg.com/profile_images/718100254306992128/sdOjwWxp_normal.jpg")</f>
        <v>https://pbs.twimg.com/profile_images/718100254306992128/sdOjwWxp_normal.jpg</v>
      </c>
      <c r="G795" s="95"/>
      <c r="H795" s="71"/>
      <c r="I795" s="72"/>
      <c r="J795" s="96"/>
      <c r="K795" s="71" t="s">
        <v>11869</v>
      </c>
      <c r="L795" s="97"/>
      <c r="M795" s="76"/>
      <c r="N795" s="76"/>
      <c r="O795" s="77"/>
      <c r="P795" s="78"/>
      <c r="Q795" s="78"/>
      <c r="R795" s="92"/>
      <c r="S795" s="92"/>
      <c r="T795" s="92"/>
      <c r="U795" s="92"/>
      <c r="V795" s="52"/>
      <c r="W795" s="52"/>
      <c r="X795" s="52"/>
      <c r="Y795" s="52"/>
      <c r="Z795" s="51"/>
      <c r="AA795" s="73"/>
      <c r="AB795" s="73"/>
      <c r="AC795" s="74"/>
      <c r="AD795" s="81" t="s">
        <v>8497</v>
      </c>
      <c r="AE795" s="86" t="s">
        <v>7871</v>
      </c>
      <c r="AF795" s="81">
        <v>1179</v>
      </c>
      <c r="AG795" s="81">
        <v>276552</v>
      </c>
      <c r="AH795" s="81">
        <v>218160</v>
      </c>
      <c r="AI795" s="81">
        <v>1147</v>
      </c>
      <c r="AJ795" s="81"/>
      <c r="AK795" s="81" t="s">
        <v>10451</v>
      </c>
      <c r="AL795" s="81" t="s">
        <v>8001</v>
      </c>
      <c r="AM795" s="84" t="str">
        <f>HYPERLINK("https://t.co/g04eHxTQQX")</f>
        <v>https://t.co/g04eHxTQQX</v>
      </c>
      <c r="AN795" s="81"/>
      <c r="AO795" s="83">
        <v>39962.608402777776</v>
      </c>
      <c r="AP795" s="84" t="str">
        <f>HYPERLINK("https://pbs.twimg.com/profile_banners/43340387/1531483381")</f>
        <v>https://pbs.twimg.com/profile_banners/43340387/1531483381</v>
      </c>
      <c r="AQ795" s="81" t="b">
        <v>0</v>
      </c>
      <c r="AR795" s="81" t="b">
        <v>0</v>
      </c>
      <c r="AS795" s="81" t="b">
        <v>1</v>
      </c>
      <c r="AT795" s="81"/>
      <c r="AU795" s="81">
        <v>1237</v>
      </c>
      <c r="AV795" s="84" t="str">
        <f>HYPERLINK("https://abs.twimg.com/images/themes/theme1/bg.png")</f>
        <v>https://abs.twimg.com/images/themes/theme1/bg.png</v>
      </c>
      <c r="AW795" s="81" t="b">
        <v>1</v>
      </c>
      <c r="AX795" s="81" t="s">
        <v>3728</v>
      </c>
      <c r="AY795" s="84" t="str">
        <f>HYPERLINK("https://twitter.com/dcm_online")</f>
        <v>https://twitter.com/dcm_online</v>
      </c>
      <c r="AZ795" s="81" t="s">
        <v>65</v>
      </c>
      <c r="BA795" s="2"/>
      <c r="BB795" s="3"/>
      <c r="BC795" s="3"/>
      <c r="BD795" s="3"/>
      <c r="BE795" s="3"/>
    </row>
    <row r="796" spans="1:57" x14ac:dyDescent="0.35">
      <c r="A796" s="66" t="s">
        <v>4508</v>
      </c>
      <c r="B796" s="67"/>
      <c r="C796" s="67"/>
      <c r="D796" s="68"/>
      <c r="E796" s="94"/>
      <c r="F796" s="93" t="str">
        <f>HYPERLINK("https://pbs.twimg.com/profile_images/1435038576102739971/lPb8bKVS_normal.jpg")</f>
        <v>https://pbs.twimg.com/profile_images/1435038576102739971/lPb8bKVS_normal.jpg</v>
      </c>
      <c r="G796" s="95"/>
      <c r="H796" s="71"/>
      <c r="I796" s="72"/>
      <c r="J796" s="96"/>
      <c r="K796" s="71" t="s">
        <v>11870</v>
      </c>
      <c r="L796" s="97"/>
      <c r="M796" s="76"/>
      <c r="N796" s="76"/>
      <c r="O796" s="77"/>
      <c r="P796" s="78"/>
      <c r="Q796" s="78"/>
      <c r="R796" s="92"/>
      <c r="S796" s="92"/>
      <c r="T796" s="92"/>
      <c r="U796" s="92"/>
      <c r="V796" s="52"/>
      <c r="W796" s="52"/>
      <c r="X796" s="52"/>
      <c r="Y796" s="52"/>
      <c r="Z796" s="51"/>
      <c r="AA796" s="73"/>
      <c r="AB796" s="73"/>
      <c r="AC796" s="74"/>
      <c r="AD796" s="81" t="s">
        <v>8498</v>
      </c>
      <c r="AE796" s="86" t="s">
        <v>9496</v>
      </c>
      <c r="AF796" s="81">
        <v>687</v>
      </c>
      <c r="AG796" s="81">
        <v>1025</v>
      </c>
      <c r="AH796" s="81">
        <v>14723</v>
      </c>
      <c r="AI796" s="81">
        <v>43787</v>
      </c>
      <c r="AJ796" s="81"/>
      <c r="AK796" s="81" t="s">
        <v>10452</v>
      </c>
      <c r="AL796" s="81"/>
      <c r="AM796" s="81"/>
      <c r="AN796" s="81"/>
      <c r="AO796" s="83">
        <v>43788.706400462965</v>
      </c>
      <c r="AP796" s="84" t="str">
        <f>HYPERLINK("https://pbs.twimg.com/profile_banners/1196834423825731584/1631868526")</f>
        <v>https://pbs.twimg.com/profile_banners/1196834423825731584/1631868526</v>
      </c>
      <c r="AQ796" s="81" t="b">
        <v>1</v>
      </c>
      <c r="AR796" s="81" t="b">
        <v>0</v>
      </c>
      <c r="AS796" s="81" t="b">
        <v>1</v>
      </c>
      <c r="AT796" s="81"/>
      <c r="AU796" s="81">
        <v>3</v>
      </c>
      <c r="AV796" s="81"/>
      <c r="AW796" s="81" t="b">
        <v>0</v>
      </c>
      <c r="AX796" s="81" t="s">
        <v>3728</v>
      </c>
      <c r="AY796" s="84" t="str">
        <f>HYPERLINK("https://twitter.com/marcelo_barret0")</f>
        <v>https://twitter.com/marcelo_barret0</v>
      </c>
      <c r="AZ796" s="81" t="s">
        <v>66</v>
      </c>
      <c r="BA796" s="2"/>
      <c r="BB796" s="3"/>
      <c r="BC796" s="3"/>
      <c r="BD796" s="3"/>
      <c r="BE796" s="3"/>
    </row>
    <row r="797" spans="1:57" x14ac:dyDescent="0.35">
      <c r="A797" s="66" t="s">
        <v>5103</v>
      </c>
      <c r="B797" s="67"/>
      <c r="C797" s="67"/>
      <c r="D797" s="68"/>
      <c r="E797" s="94"/>
      <c r="F797" s="93" t="str">
        <f>HYPERLINK("https://pbs.twimg.com/profile_images/1428762205567213568/8RbxD1f4_normal.jpg")</f>
        <v>https://pbs.twimg.com/profile_images/1428762205567213568/8RbxD1f4_normal.jpg</v>
      </c>
      <c r="G797" s="95"/>
      <c r="H797" s="71"/>
      <c r="I797" s="72"/>
      <c r="J797" s="96"/>
      <c r="K797" s="71" t="s">
        <v>11871</v>
      </c>
      <c r="L797" s="97"/>
      <c r="M797" s="76"/>
      <c r="N797" s="76"/>
      <c r="O797" s="77"/>
      <c r="P797" s="78"/>
      <c r="Q797" s="78"/>
      <c r="R797" s="92"/>
      <c r="S797" s="92"/>
      <c r="T797" s="92"/>
      <c r="U797" s="92"/>
      <c r="V797" s="52"/>
      <c r="W797" s="52"/>
      <c r="X797" s="52"/>
      <c r="Y797" s="52"/>
      <c r="Z797" s="51"/>
      <c r="AA797" s="73"/>
      <c r="AB797" s="73"/>
      <c r="AC797" s="74"/>
      <c r="AD797" s="81" t="s">
        <v>8499</v>
      </c>
      <c r="AE797" s="86" t="s">
        <v>9497</v>
      </c>
      <c r="AF797" s="81">
        <v>3283</v>
      </c>
      <c r="AG797" s="81">
        <v>4593</v>
      </c>
      <c r="AH797" s="81">
        <v>191526</v>
      </c>
      <c r="AI797" s="81">
        <v>97161</v>
      </c>
      <c r="AJ797" s="81"/>
      <c r="AK797" s="81" t="s">
        <v>10453</v>
      </c>
      <c r="AL797" s="81" t="s">
        <v>11162</v>
      </c>
      <c r="AM797" s="84" t="str">
        <f>HYPERLINK("https://t.co/B6fBZLoF5f")</f>
        <v>https://t.co/B6fBZLoF5f</v>
      </c>
      <c r="AN797" s="81"/>
      <c r="AO797" s="83">
        <v>43321.966840277775</v>
      </c>
      <c r="AP797" s="84" t="str">
        <f>HYPERLINK("https://pbs.twimg.com/profile_banners/1027694072880873472/1632433335")</f>
        <v>https://pbs.twimg.com/profile_banners/1027694072880873472/1632433335</v>
      </c>
      <c r="AQ797" s="81" t="b">
        <v>1</v>
      </c>
      <c r="AR797" s="81" t="b">
        <v>0</v>
      </c>
      <c r="AS797" s="81" t="b">
        <v>0</v>
      </c>
      <c r="AT797" s="81"/>
      <c r="AU797" s="81">
        <v>3</v>
      </c>
      <c r="AV797" s="81"/>
      <c r="AW797" s="81" t="b">
        <v>0</v>
      </c>
      <c r="AX797" s="81" t="s">
        <v>3728</v>
      </c>
      <c r="AY797" s="84" t="str">
        <f>HYPERLINK("https://twitter.com/_diogo_delgado_")</f>
        <v>https://twitter.com/_diogo_delgado_</v>
      </c>
      <c r="AZ797" s="81" t="s">
        <v>65</v>
      </c>
      <c r="BA797" s="2"/>
      <c r="BB797" s="3"/>
      <c r="BC797" s="3"/>
      <c r="BD797" s="3"/>
      <c r="BE797" s="3"/>
    </row>
    <row r="798" spans="1:57" x14ac:dyDescent="0.35">
      <c r="A798" s="66" t="s">
        <v>5104</v>
      </c>
      <c r="B798" s="67"/>
      <c r="C798" s="67"/>
      <c r="D798" s="68"/>
      <c r="E798" s="94"/>
      <c r="F798" s="93" t="str">
        <f>HYPERLINK("https://pbs.twimg.com/profile_images/1440744433754931203/bc88gUzM_normal.jpg")</f>
        <v>https://pbs.twimg.com/profile_images/1440744433754931203/bc88gUzM_normal.jpg</v>
      </c>
      <c r="G798" s="95"/>
      <c r="H798" s="71"/>
      <c r="I798" s="72"/>
      <c r="J798" s="96"/>
      <c r="K798" s="71" t="s">
        <v>11872</v>
      </c>
      <c r="L798" s="97"/>
      <c r="M798" s="76"/>
      <c r="N798" s="76"/>
      <c r="O798" s="77"/>
      <c r="P798" s="78"/>
      <c r="Q798" s="78"/>
      <c r="R798" s="92"/>
      <c r="S798" s="92"/>
      <c r="T798" s="92"/>
      <c r="U798" s="92"/>
      <c r="V798" s="52"/>
      <c r="W798" s="52"/>
      <c r="X798" s="52"/>
      <c r="Y798" s="52"/>
      <c r="Z798" s="51"/>
      <c r="AA798" s="73"/>
      <c r="AB798" s="73"/>
      <c r="AC798" s="74"/>
      <c r="AD798" s="81" t="s">
        <v>8500</v>
      </c>
      <c r="AE798" s="86" t="s">
        <v>7872</v>
      </c>
      <c r="AF798" s="81">
        <v>721</v>
      </c>
      <c r="AG798" s="81">
        <v>1200</v>
      </c>
      <c r="AH798" s="81">
        <v>17230</v>
      </c>
      <c r="AI798" s="81">
        <v>9961</v>
      </c>
      <c r="AJ798" s="81"/>
      <c r="AK798" s="81"/>
      <c r="AL798" s="81"/>
      <c r="AM798" s="81"/>
      <c r="AN798" s="81"/>
      <c r="AO798" s="83">
        <v>43862.870127314818</v>
      </c>
      <c r="AP798" s="84" t="str">
        <f>HYPERLINK("https://pbs.twimg.com/profile_banners/1223710797341372416/1632868715")</f>
        <v>https://pbs.twimg.com/profile_banners/1223710797341372416/1632868715</v>
      </c>
      <c r="AQ798" s="81" t="b">
        <v>1</v>
      </c>
      <c r="AR798" s="81" t="b">
        <v>0</v>
      </c>
      <c r="AS798" s="81" t="b">
        <v>0</v>
      </c>
      <c r="AT798" s="81"/>
      <c r="AU798" s="81">
        <v>0</v>
      </c>
      <c r="AV798" s="81"/>
      <c r="AW798" s="81" t="b">
        <v>0</v>
      </c>
      <c r="AX798" s="81" t="s">
        <v>3728</v>
      </c>
      <c r="AY798" s="84" t="str">
        <f>HYPERLINK("https://twitter.com/catarinaparada_")</f>
        <v>https://twitter.com/catarinaparada_</v>
      </c>
      <c r="AZ798" s="81" t="s">
        <v>65</v>
      </c>
      <c r="BA798" s="2"/>
      <c r="BB798" s="3"/>
      <c r="BC798" s="3"/>
      <c r="BD798" s="3"/>
      <c r="BE798" s="3"/>
    </row>
    <row r="799" spans="1:57" x14ac:dyDescent="0.35">
      <c r="A799" s="66" t="s">
        <v>4509</v>
      </c>
      <c r="B799" s="67"/>
      <c r="C799" s="67"/>
      <c r="D799" s="68"/>
      <c r="E799" s="94"/>
      <c r="F799" s="93" t="str">
        <f>HYPERLINK("https://pbs.twimg.com/profile_images/1289300207453208579/FEdwiX9O_normal.jpg")</f>
        <v>https://pbs.twimg.com/profile_images/1289300207453208579/FEdwiX9O_normal.jpg</v>
      </c>
      <c r="G799" s="95"/>
      <c r="H799" s="71"/>
      <c r="I799" s="72"/>
      <c r="J799" s="96"/>
      <c r="K799" s="71" t="s">
        <v>11873</v>
      </c>
      <c r="L799" s="97"/>
      <c r="M799" s="76"/>
      <c r="N799" s="76"/>
      <c r="O799" s="77"/>
      <c r="P799" s="78"/>
      <c r="Q799" s="78"/>
      <c r="R799" s="92"/>
      <c r="S799" s="92"/>
      <c r="T799" s="92"/>
      <c r="U799" s="92"/>
      <c r="V799" s="52"/>
      <c r="W799" s="52"/>
      <c r="X799" s="52"/>
      <c r="Y799" s="52"/>
      <c r="Z799" s="51"/>
      <c r="AA799" s="73"/>
      <c r="AB799" s="73"/>
      <c r="AC799" s="74"/>
      <c r="AD799" s="81" t="s">
        <v>8501</v>
      </c>
      <c r="AE799" s="86" t="s">
        <v>9498</v>
      </c>
      <c r="AF799" s="81">
        <v>985</v>
      </c>
      <c r="AG799" s="81">
        <v>364</v>
      </c>
      <c r="AH799" s="81">
        <v>6445</v>
      </c>
      <c r="AI799" s="81">
        <v>15253</v>
      </c>
      <c r="AJ799" s="81"/>
      <c r="AK799" s="81" t="s">
        <v>10454</v>
      </c>
      <c r="AL799" s="81" t="s">
        <v>10985</v>
      </c>
      <c r="AM799" s="81"/>
      <c r="AN799" s="81"/>
      <c r="AO799" s="83">
        <v>43853.773865740739</v>
      </c>
      <c r="AP799" s="84" t="str">
        <f>HYPERLINK("https://pbs.twimg.com/profile_banners/1220414361254141955/1632151169")</f>
        <v>https://pbs.twimg.com/profile_banners/1220414361254141955/1632151169</v>
      </c>
      <c r="AQ799" s="81" t="b">
        <v>1</v>
      </c>
      <c r="AR799" s="81" t="b">
        <v>0</v>
      </c>
      <c r="AS799" s="81" t="b">
        <v>0</v>
      </c>
      <c r="AT799" s="81"/>
      <c r="AU799" s="81">
        <v>0</v>
      </c>
      <c r="AV799" s="81"/>
      <c r="AW799" s="81" t="b">
        <v>0</v>
      </c>
      <c r="AX799" s="81" t="s">
        <v>3728</v>
      </c>
      <c r="AY799" s="84" t="str">
        <f>HYPERLINK("https://twitter.com/guedes_leonidas")</f>
        <v>https://twitter.com/guedes_leonidas</v>
      </c>
      <c r="AZ799" s="81" t="s">
        <v>66</v>
      </c>
      <c r="BA799" s="2"/>
      <c r="BB799" s="3"/>
      <c r="BC799" s="3"/>
      <c r="BD799" s="3"/>
      <c r="BE799" s="3"/>
    </row>
    <row r="800" spans="1:57" x14ac:dyDescent="0.35">
      <c r="A800" s="66" t="s">
        <v>5105</v>
      </c>
      <c r="B800" s="67"/>
      <c r="C800" s="67"/>
      <c r="D800" s="68"/>
      <c r="E800" s="94"/>
      <c r="F800" s="93" t="str">
        <f>HYPERLINK("https://pbs.twimg.com/profile_images/1555692725/ECantanhede_normal.jpg")</f>
        <v>https://pbs.twimg.com/profile_images/1555692725/ECantanhede_normal.jpg</v>
      </c>
      <c r="G800" s="95"/>
      <c r="H800" s="71"/>
      <c r="I800" s="72"/>
      <c r="J800" s="96"/>
      <c r="K800" s="71" t="s">
        <v>11874</v>
      </c>
      <c r="L800" s="97"/>
      <c r="M800" s="76"/>
      <c r="N800" s="76"/>
      <c r="O800" s="77"/>
      <c r="P800" s="78"/>
      <c r="Q800" s="78"/>
      <c r="R800" s="92"/>
      <c r="S800" s="92"/>
      <c r="T800" s="92"/>
      <c r="U800" s="92"/>
      <c r="V800" s="52"/>
      <c r="W800" s="52"/>
      <c r="X800" s="52"/>
      <c r="Y800" s="52"/>
      <c r="Z800" s="51"/>
      <c r="AA800" s="73"/>
      <c r="AB800" s="73"/>
      <c r="AC800" s="74"/>
      <c r="AD800" s="81" t="s">
        <v>8502</v>
      </c>
      <c r="AE800" s="86" t="s">
        <v>7873</v>
      </c>
      <c r="AF800" s="81">
        <v>651</v>
      </c>
      <c r="AG800" s="81">
        <v>725549</v>
      </c>
      <c r="AH800" s="81">
        <v>5784</v>
      </c>
      <c r="AI800" s="81">
        <v>41096</v>
      </c>
      <c r="AJ800" s="81"/>
      <c r="AK800" s="81" t="s">
        <v>10455</v>
      </c>
      <c r="AL800" s="81" t="s">
        <v>11163</v>
      </c>
      <c r="AM800" s="84" t="str">
        <f>HYPERLINK("https://t.co/kWyYloi1oN")</f>
        <v>https://t.co/kWyYloi1oN</v>
      </c>
      <c r="AN800" s="81"/>
      <c r="AO800" s="83">
        <v>40063.845347222225</v>
      </c>
      <c r="AP800" s="84" t="str">
        <f>HYPERLINK("https://pbs.twimg.com/profile_banners/72371342/1489609610")</f>
        <v>https://pbs.twimg.com/profile_banners/72371342/1489609610</v>
      </c>
      <c r="AQ800" s="81" t="b">
        <v>1</v>
      </c>
      <c r="AR800" s="81" t="b">
        <v>0</v>
      </c>
      <c r="AS800" s="81" t="b">
        <v>1</v>
      </c>
      <c r="AT800" s="81"/>
      <c r="AU800" s="81">
        <v>1252</v>
      </c>
      <c r="AV800" s="84" t="str">
        <f>HYPERLINK("https://abs.twimg.com/images/themes/theme1/bg.png")</f>
        <v>https://abs.twimg.com/images/themes/theme1/bg.png</v>
      </c>
      <c r="AW800" s="81" t="b">
        <v>1</v>
      </c>
      <c r="AX800" s="81" t="s">
        <v>3728</v>
      </c>
      <c r="AY800" s="84" t="str">
        <f>HYPERLINK("https://twitter.com/ecantanhede")</f>
        <v>https://twitter.com/ecantanhede</v>
      </c>
      <c r="AZ800" s="81" t="s">
        <v>65</v>
      </c>
      <c r="BA800" s="2"/>
      <c r="BB800" s="3"/>
      <c r="BC800" s="3"/>
      <c r="BD800" s="3"/>
      <c r="BE800" s="3"/>
    </row>
    <row r="801" spans="1:57" x14ac:dyDescent="0.35">
      <c r="A801" s="66" t="s">
        <v>4510</v>
      </c>
      <c r="B801" s="67"/>
      <c r="C801" s="67"/>
      <c r="D801" s="68"/>
      <c r="E801" s="94"/>
      <c r="F801" s="93" t="str">
        <f>HYPERLINK("https://pbs.twimg.com/profile_images/1278672486184304641/TIYQSwKt_normal.jpg")</f>
        <v>https://pbs.twimg.com/profile_images/1278672486184304641/TIYQSwKt_normal.jpg</v>
      </c>
      <c r="G801" s="95"/>
      <c r="H801" s="71"/>
      <c r="I801" s="72"/>
      <c r="J801" s="96"/>
      <c r="K801" s="71" t="s">
        <v>11875</v>
      </c>
      <c r="L801" s="97"/>
      <c r="M801" s="76"/>
      <c r="N801" s="76"/>
      <c r="O801" s="77"/>
      <c r="P801" s="78"/>
      <c r="Q801" s="78"/>
      <c r="R801" s="92"/>
      <c r="S801" s="92"/>
      <c r="T801" s="92"/>
      <c r="U801" s="92"/>
      <c r="V801" s="52"/>
      <c r="W801" s="52"/>
      <c r="X801" s="52"/>
      <c r="Y801" s="52"/>
      <c r="Z801" s="51"/>
      <c r="AA801" s="73"/>
      <c r="AB801" s="73"/>
      <c r="AC801" s="74"/>
      <c r="AD801" s="81" t="s">
        <v>8503</v>
      </c>
      <c r="AE801" s="86" t="s">
        <v>9499</v>
      </c>
      <c r="AF801" s="81">
        <v>1823</v>
      </c>
      <c r="AG801" s="81">
        <v>1586</v>
      </c>
      <c r="AH801" s="81">
        <v>52622</v>
      </c>
      <c r="AI801" s="81">
        <v>32153</v>
      </c>
      <c r="AJ801" s="81"/>
      <c r="AK801" s="81" t="s">
        <v>10456</v>
      </c>
      <c r="AL801" s="81"/>
      <c r="AM801" s="81"/>
      <c r="AN801" s="81"/>
      <c r="AO801" s="83">
        <v>42416.913807870369</v>
      </c>
      <c r="AP801" s="84" t="str">
        <f>HYPERLINK("https://pbs.twimg.com/profile_banners/4921122813/1555940541")</f>
        <v>https://pbs.twimg.com/profile_banners/4921122813/1555940541</v>
      </c>
      <c r="AQ801" s="81" t="b">
        <v>1</v>
      </c>
      <c r="AR801" s="81" t="b">
        <v>0</v>
      </c>
      <c r="AS801" s="81" t="b">
        <v>0</v>
      </c>
      <c r="AT801" s="81"/>
      <c r="AU801" s="81">
        <v>0</v>
      </c>
      <c r="AV801" s="81"/>
      <c r="AW801" s="81" t="b">
        <v>0</v>
      </c>
      <c r="AX801" s="81" t="s">
        <v>3728</v>
      </c>
      <c r="AY801" s="84" t="str">
        <f>HYPERLINK("https://twitter.com/celsojalves")</f>
        <v>https://twitter.com/celsojalves</v>
      </c>
      <c r="AZ801" s="81" t="s">
        <v>66</v>
      </c>
      <c r="BA801" s="2"/>
      <c r="BB801" s="3"/>
      <c r="BC801" s="3"/>
      <c r="BD801" s="3"/>
      <c r="BE801" s="3"/>
    </row>
    <row r="802" spans="1:57" x14ac:dyDescent="0.35">
      <c r="A802" s="66" t="s">
        <v>4511</v>
      </c>
      <c r="B802" s="67"/>
      <c r="C802" s="67"/>
      <c r="D802" s="68"/>
      <c r="E802" s="94"/>
      <c r="F802" s="93" t="str">
        <f>HYPERLINK("https://pbs.twimg.com/profile_images/1424503354059902978/GMREoEyO_normal.jpg")</f>
        <v>https://pbs.twimg.com/profile_images/1424503354059902978/GMREoEyO_normal.jpg</v>
      </c>
      <c r="G802" s="95"/>
      <c r="H802" s="71"/>
      <c r="I802" s="72"/>
      <c r="J802" s="96"/>
      <c r="K802" s="71" t="s">
        <v>11876</v>
      </c>
      <c r="L802" s="97"/>
      <c r="M802" s="76"/>
      <c r="N802" s="76"/>
      <c r="O802" s="77"/>
      <c r="P802" s="78"/>
      <c r="Q802" s="78"/>
      <c r="R802" s="92"/>
      <c r="S802" s="92"/>
      <c r="T802" s="92"/>
      <c r="U802" s="92"/>
      <c r="V802" s="52"/>
      <c r="W802" s="52"/>
      <c r="X802" s="52"/>
      <c r="Y802" s="52"/>
      <c r="Z802" s="51"/>
      <c r="AA802" s="73"/>
      <c r="AB802" s="73"/>
      <c r="AC802" s="74"/>
      <c r="AD802" s="81" t="s">
        <v>8504</v>
      </c>
      <c r="AE802" s="86" t="s">
        <v>9500</v>
      </c>
      <c r="AF802" s="81">
        <v>72</v>
      </c>
      <c r="AG802" s="81">
        <v>66</v>
      </c>
      <c r="AH802" s="81">
        <v>3201</v>
      </c>
      <c r="AI802" s="81">
        <v>6100</v>
      </c>
      <c r="AJ802" s="81"/>
      <c r="AK802" s="81" t="s">
        <v>10457</v>
      </c>
      <c r="AL802" s="81" t="s">
        <v>11164</v>
      </c>
      <c r="AM802" s="84" t="str">
        <f>HYPERLINK("https://t.co/KUs6jmrYnQ")</f>
        <v>https://t.co/KUs6jmrYnQ</v>
      </c>
      <c r="AN802" s="81"/>
      <c r="AO802" s="83">
        <v>40382.717222222222</v>
      </c>
      <c r="AP802" s="81"/>
      <c r="AQ802" s="81" t="b">
        <v>1</v>
      </c>
      <c r="AR802" s="81" t="b">
        <v>0</v>
      </c>
      <c r="AS802" s="81" t="b">
        <v>0</v>
      </c>
      <c r="AT802" s="81"/>
      <c r="AU802" s="81">
        <v>2</v>
      </c>
      <c r="AV802" s="84" t="str">
        <f>HYPERLINK("https://abs.twimg.com/images/themes/theme1/bg.png")</f>
        <v>https://abs.twimg.com/images/themes/theme1/bg.png</v>
      </c>
      <c r="AW802" s="81" t="b">
        <v>0</v>
      </c>
      <c r="AX802" s="81" t="s">
        <v>3728</v>
      </c>
      <c r="AY802" s="84" t="str">
        <f>HYPERLINK("https://twitter.com/canaldhiegofc")</f>
        <v>https://twitter.com/canaldhiegofc</v>
      </c>
      <c r="AZ802" s="81" t="s">
        <v>66</v>
      </c>
      <c r="BA802" s="2"/>
      <c r="BB802" s="3"/>
      <c r="BC802" s="3"/>
      <c r="BD802" s="3"/>
      <c r="BE802" s="3"/>
    </row>
    <row r="803" spans="1:57" x14ac:dyDescent="0.35">
      <c r="A803" s="66" t="s">
        <v>5106</v>
      </c>
      <c r="B803" s="67"/>
      <c r="C803" s="67"/>
      <c r="D803" s="68"/>
      <c r="E803" s="94"/>
      <c r="F803" s="93" t="str">
        <f>HYPERLINK("https://pbs.twimg.com/profile_images/1377261895955189763/g2JCN0As_normal.jpg")</f>
        <v>https://pbs.twimg.com/profile_images/1377261895955189763/g2JCN0As_normal.jpg</v>
      </c>
      <c r="G803" s="95"/>
      <c r="H803" s="71"/>
      <c r="I803" s="72"/>
      <c r="J803" s="96"/>
      <c r="K803" s="71" t="s">
        <v>11877</v>
      </c>
      <c r="L803" s="97"/>
      <c r="M803" s="76"/>
      <c r="N803" s="76"/>
      <c r="O803" s="77"/>
      <c r="P803" s="78"/>
      <c r="Q803" s="78"/>
      <c r="R803" s="92"/>
      <c r="S803" s="92"/>
      <c r="T803" s="92"/>
      <c r="U803" s="92"/>
      <c r="V803" s="52"/>
      <c r="W803" s="52"/>
      <c r="X803" s="52"/>
      <c r="Y803" s="52"/>
      <c r="Z803" s="51"/>
      <c r="AA803" s="73"/>
      <c r="AB803" s="73"/>
      <c r="AC803" s="74"/>
      <c r="AD803" s="81" t="s">
        <v>8505</v>
      </c>
      <c r="AE803" s="86" t="s">
        <v>9501</v>
      </c>
      <c r="AF803" s="81">
        <v>988</v>
      </c>
      <c r="AG803" s="81">
        <v>1263178</v>
      </c>
      <c r="AH803" s="81">
        <v>64679</v>
      </c>
      <c r="AI803" s="81">
        <v>4874</v>
      </c>
      <c r="AJ803" s="81"/>
      <c r="AK803" s="81" t="s">
        <v>10458</v>
      </c>
      <c r="AL803" s="81" t="s">
        <v>10992</v>
      </c>
      <c r="AM803" s="84" t="str">
        <f>HYPERLINK("https://t.co/pCGWuLXfxL")</f>
        <v>https://t.co/pCGWuLXfxL</v>
      </c>
      <c r="AN803" s="81"/>
      <c r="AO803" s="83">
        <v>39499.557546296295</v>
      </c>
      <c r="AP803" s="84" t="str">
        <f>HYPERLINK("https://pbs.twimg.com/profile_banners/13769472/1592415304")</f>
        <v>https://pbs.twimg.com/profile_banners/13769472/1592415304</v>
      </c>
      <c r="AQ803" s="81" t="b">
        <v>0</v>
      </c>
      <c r="AR803" s="81" t="b">
        <v>0</v>
      </c>
      <c r="AS803" s="81" t="b">
        <v>1</v>
      </c>
      <c r="AT803" s="81"/>
      <c r="AU803" s="81">
        <v>2243</v>
      </c>
      <c r="AV803" s="84" t="str">
        <f>HYPERLINK("https://abs.twimg.com/images/themes/theme1/bg.png")</f>
        <v>https://abs.twimg.com/images/themes/theme1/bg.png</v>
      </c>
      <c r="AW803" s="81" t="b">
        <v>1</v>
      </c>
      <c r="AX803" s="81" t="s">
        <v>3728</v>
      </c>
      <c r="AY803" s="84" t="str">
        <f>HYPERLINK("https://twitter.com/oatila")</f>
        <v>https://twitter.com/oatila</v>
      </c>
      <c r="AZ803" s="81" t="s">
        <v>65</v>
      </c>
      <c r="BA803" s="2"/>
      <c r="BB803" s="3"/>
      <c r="BC803" s="3"/>
      <c r="BD803" s="3"/>
      <c r="BE803" s="3"/>
    </row>
    <row r="804" spans="1:57" x14ac:dyDescent="0.35">
      <c r="A804" s="66" t="s">
        <v>5107</v>
      </c>
      <c r="B804" s="67"/>
      <c r="C804" s="67"/>
      <c r="D804" s="68"/>
      <c r="E804" s="94"/>
      <c r="F804" s="93" t="str">
        <f>HYPERLINK("https://pbs.twimg.com/profile_images/617346991551565824/D41QfQbR_normal.jpg")</f>
        <v>https://pbs.twimg.com/profile_images/617346991551565824/D41QfQbR_normal.jpg</v>
      </c>
      <c r="G804" s="95"/>
      <c r="H804" s="71"/>
      <c r="I804" s="72"/>
      <c r="J804" s="96"/>
      <c r="K804" s="71" t="s">
        <v>11878</v>
      </c>
      <c r="L804" s="97"/>
      <c r="M804" s="76"/>
      <c r="N804" s="76"/>
      <c r="O804" s="77"/>
      <c r="P804" s="78"/>
      <c r="Q804" s="78"/>
      <c r="R804" s="92"/>
      <c r="S804" s="92"/>
      <c r="T804" s="92"/>
      <c r="U804" s="92"/>
      <c r="V804" s="52"/>
      <c r="W804" s="52"/>
      <c r="X804" s="52"/>
      <c r="Y804" s="52"/>
      <c r="Z804" s="51"/>
      <c r="AA804" s="73"/>
      <c r="AB804" s="73"/>
      <c r="AC804" s="74"/>
      <c r="AD804" s="81" t="s">
        <v>8506</v>
      </c>
      <c r="AE804" s="86" t="s">
        <v>7874</v>
      </c>
      <c r="AF804" s="81">
        <v>126</v>
      </c>
      <c r="AG804" s="81">
        <v>98</v>
      </c>
      <c r="AH804" s="81">
        <v>6175</v>
      </c>
      <c r="AI804" s="81">
        <v>2203</v>
      </c>
      <c r="AJ804" s="81"/>
      <c r="AK804" s="81"/>
      <c r="AL804" s="81" t="s">
        <v>11165</v>
      </c>
      <c r="AM804" s="81"/>
      <c r="AN804" s="81"/>
      <c r="AO804" s="83">
        <v>40241.900659722225</v>
      </c>
      <c r="AP804" s="84" t="str">
        <f>HYPERLINK("https://pbs.twimg.com/profile_banners/119888114/1353257092")</f>
        <v>https://pbs.twimg.com/profile_banners/119888114/1353257092</v>
      </c>
      <c r="AQ804" s="81" t="b">
        <v>1</v>
      </c>
      <c r="AR804" s="81" t="b">
        <v>0</v>
      </c>
      <c r="AS804" s="81" t="b">
        <v>1</v>
      </c>
      <c r="AT804" s="81"/>
      <c r="AU804" s="81">
        <v>0</v>
      </c>
      <c r="AV804" s="84" t="str">
        <f>HYPERLINK("https://abs.twimg.com/images/themes/theme1/bg.png")</f>
        <v>https://abs.twimg.com/images/themes/theme1/bg.png</v>
      </c>
      <c r="AW804" s="81" t="b">
        <v>0</v>
      </c>
      <c r="AX804" s="81" t="s">
        <v>3728</v>
      </c>
      <c r="AY804" s="84" t="str">
        <f>HYPERLINK("https://twitter.com/alexandre_davis")</f>
        <v>https://twitter.com/alexandre_davis</v>
      </c>
      <c r="AZ804" s="81" t="s">
        <v>65</v>
      </c>
      <c r="BA804" s="2"/>
      <c r="BB804" s="3"/>
      <c r="BC804" s="3"/>
      <c r="BD804" s="3"/>
      <c r="BE804" s="3"/>
    </row>
    <row r="805" spans="1:57" x14ac:dyDescent="0.35">
      <c r="A805" s="66" t="s">
        <v>4512</v>
      </c>
      <c r="B805" s="67"/>
      <c r="C805" s="67"/>
      <c r="D805" s="68"/>
      <c r="E805" s="94"/>
      <c r="F805" s="93" t="str">
        <f>HYPERLINK("https://pbs.twimg.com/profile_images/1328705748096978945/yi-8BoV7_normal.jpg")</f>
        <v>https://pbs.twimg.com/profile_images/1328705748096978945/yi-8BoV7_normal.jpg</v>
      </c>
      <c r="G805" s="95"/>
      <c r="H805" s="71"/>
      <c r="I805" s="72"/>
      <c r="J805" s="96"/>
      <c r="K805" s="71" t="s">
        <v>11879</v>
      </c>
      <c r="L805" s="97"/>
      <c r="M805" s="76"/>
      <c r="N805" s="76"/>
      <c r="O805" s="77"/>
      <c r="P805" s="78"/>
      <c r="Q805" s="78"/>
      <c r="R805" s="92"/>
      <c r="S805" s="92"/>
      <c r="T805" s="92"/>
      <c r="U805" s="92"/>
      <c r="V805" s="52"/>
      <c r="W805" s="52"/>
      <c r="X805" s="52"/>
      <c r="Y805" s="52"/>
      <c r="Z805" s="51"/>
      <c r="AA805" s="73"/>
      <c r="AB805" s="73"/>
      <c r="AC805" s="74"/>
      <c r="AD805" s="81" t="s">
        <v>8507</v>
      </c>
      <c r="AE805" s="86" t="s">
        <v>9502</v>
      </c>
      <c r="AF805" s="81">
        <v>1705</v>
      </c>
      <c r="AG805" s="81">
        <v>1184</v>
      </c>
      <c r="AH805" s="81">
        <v>5982</v>
      </c>
      <c r="AI805" s="81">
        <v>4932</v>
      </c>
      <c r="AJ805" s="81"/>
      <c r="AK805" s="81" t="s">
        <v>10459</v>
      </c>
      <c r="AL805" s="81" t="s">
        <v>8005</v>
      </c>
      <c r="AM805" s="81"/>
      <c r="AN805" s="81"/>
      <c r="AO805" s="83">
        <v>43926.162326388891</v>
      </c>
      <c r="AP805" s="84" t="str">
        <f>HYPERLINK("https://pbs.twimg.com/profile_banners/1246647115381714945/1610286420")</f>
        <v>https://pbs.twimg.com/profile_banners/1246647115381714945/1610286420</v>
      </c>
      <c r="AQ805" s="81" t="b">
        <v>1</v>
      </c>
      <c r="AR805" s="81" t="b">
        <v>0</v>
      </c>
      <c r="AS805" s="81" t="b">
        <v>1</v>
      </c>
      <c r="AT805" s="81"/>
      <c r="AU805" s="81">
        <v>0</v>
      </c>
      <c r="AV805" s="81"/>
      <c r="AW805" s="81" t="b">
        <v>0</v>
      </c>
      <c r="AX805" s="81" t="s">
        <v>3728</v>
      </c>
      <c r="AY805" s="84" t="str">
        <f>HYPERLINK("https://twitter.com/diniz4501")</f>
        <v>https://twitter.com/diniz4501</v>
      </c>
      <c r="AZ805" s="81" t="s">
        <v>66</v>
      </c>
      <c r="BA805" s="2"/>
      <c r="BB805" s="3"/>
      <c r="BC805" s="3"/>
      <c r="BD805" s="3"/>
      <c r="BE805" s="3"/>
    </row>
    <row r="806" spans="1:57" x14ac:dyDescent="0.35">
      <c r="A806" s="66" t="s">
        <v>4514</v>
      </c>
      <c r="B806" s="67"/>
      <c r="C806" s="67"/>
      <c r="D806" s="68"/>
      <c r="E806" s="94"/>
      <c r="F806" s="93" t="str">
        <f>HYPERLINK("https://pbs.twimg.com/profile_images/1330866717720010753/vra_z_2o_normal.jpg")</f>
        <v>https://pbs.twimg.com/profile_images/1330866717720010753/vra_z_2o_normal.jpg</v>
      </c>
      <c r="G806" s="95"/>
      <c r="H806" s="71"/>
      <c r="I806" s="72"/>
      <c r="J806" s="96"/>
      <c r="K806" s="71" t="s">
        <v>11880</v>
      </c>
      <c r="L806" s="97"/>
      <c r="M806" s="76"/>
      <c r="N806" s="76"/>
      <c r="O806" s="77"/>
      <c r="P806" s="78"/>
      <c r="Q806" s="78"/>
      <c r="R806" s="92"/>
      <c r="S806" s="92"/>
      <c r="T806" s="92"/>
      <c r="U806" s="92"/>
      <c r="V806" s="52"/>
      <c r="W806" s="52"/>
      <c r="X806" s="52"/>
      <c r="Y806" s="52"/>
      <c r="Z806" s="51"/>
      <c r="AA806" s="73"/>
      <c r="AB806" s="73"/>
      <c r="AC806" s="74"/>
      <c r="AD806" s="81" t="s">
        <v>8508</v>
      </c>
      <c r="AE806" s="86" t="s">
        <v>9503</v>
      </c>
      <c r="AF806" s="81">
        <v>272</v>
      </c>
      <c r="AG806" s="81">
        <v>211</v>
      </c>
      <c r="AH806" s="81">
        <v>44580</v>
      </c>
      <c r="AI806" s="81">
        <v>307</v>
      </c>
      <c r="AJ806" s="81"/>
      <c r="AK806" s="81"/>
      <c r="AL806" s="81" t="s">
        <v>11166</v>
      </c>
      <c r="AM806" s="81"/>
      <c r="AN806" s="81"/>
      <c r="AO806" s="83">
        <v>43775.570451388892</v>
      </c>
      <c r="AP806" s="84" t="str">
        <f>HYPERLINK("https://pbs.twimg.com/profile_banners/1192074431218233344/1606138325")</f>
        <v>https://pbs.twimg.com/profile_banners/1192074431218233344/1606138325</v>
      </c>
      <c r="AQ806" s="81" t="b">
        <v>1</v>
      </c>
      <c r="AR806" s="81" t="b">
        <v>0</v>
      </c>
      <c r="AS806" s="81" t="b">
        <v>0</v>
      </c>
      <c r="AT806" s="81"/>
      <c r="AU806" s="81">
        <v>1</v>
      </c>
      <c r="AV806" s="81"/>
      <c r="AW806" s="81" t="b">
        <v>0</v>
      </c>
      <c r="AX806" s="81" t="s">
        <v>3728</v>
      </c>
      <c r="AY806" s="84" t="str">
        <f>HYPERLINK("https://twitter.com/joshiginosoare2")</f>
        <v>https://twitter.com/joshiginosoare2</v>
      </c>
      <c r="AZ806" s="81" t="s">
        <v>66</v>
      </c>
      <c r="BA806" s="2"/>
      <c r="BB806" s="3"/>
      <c r="BC806" s="3"/>
      <c r="BD806" s="3"/>
      <c r="BE806" s="3"/>
    </row>
    <row r="807" spans="1:57" x14ac:dyDescent="0.35">
      <c r="A807" s="66" t="s">
        <v>4515</v>
      </c>
      <c r="B807" s="67"/>
      <c r="C807" s="67"/>
      <c r="D807" s="68"/>
      <c r="E807" s="94"/>
      <c r="F807" s="93" t="str">
        <f>HYPERLINK("https://pbs.twimg.com/profile_images/1276653257654484992/uIdtHHzB_normal.jpg")</f>
        <v>https://pbs.twimg.com/profile_images/1276653257654484992/uIdtHHzB_normal.jpg</v>
      </c>
      <c r="G807" s="95"/>
      <c r="H807" s="71"/>
      <c r="I807" s="72"/>
      <c r="J807" s="96"/>
      <c r="K807" s="71" t="s">
        <v>11881</v>
      </c>
      <c r="L807" s="97"/>
      <c r="M807" s="76"/>
      <c r="N807" s="76"/>
      <c r="O807" s="77"/>
      <c r="P807" s="78"/>
      <c r="Q807" s="78"/>
      <c r="R807" s="92"/>
      <c r="S807" s="92"/>
      <c r="T807" s="92"/>
      <c r="U807" s="92"/>
      <c r="V807" s="52"/>
      <c r="W807" s="52"/>
      <c r="X807" s="52"/>
      <c r="Y807" s="52"/>
      <c r="Z807" s="51"/>
      <c r="AA807" s="73"/>
      <c r="AB807" s="73"/>
      <c r="AC807" s="74"/>
      <c r="AD807" s="81" t="s">
        <v>8509</v>
      </c>
      <c r="AE807" s="86" t="s">
        <v>9504</v>
      </c>
      <c r="AF807" s="81">
        <v>424</v>
      </c>
      <c r="AG807" s="81">
        <v>151</v>
      </c>
      <c r="AH807" s="81">
        <v>1335</v>
      </c>
      <c r="AI807" s="81">
        <v>2551</v>
      </c>
      <c r="AJ807" s="81"/>
      <c r="AK807" s="81" t="s">
        <v>10460</v>
      </c>
      <c r="AL807" s="81" t="s">
        <v>11041</v>
      </c>
      <c r="AM807" s="81"/>
      <c r="AN807" s="81"/>
      <c r="AO807" s="83">
        <v>43915.658715277779</v>
      </c>
      <c r="AP807" s="84" t="str">
        <f>HYPERLINK("https://pbs.twimg.com/profile_banners/1242840766927560704/1587670146")</f>
        <v>https://pbs.twimg.com/profile_banners/1242840766927560704/1587670146</v>
      </c>
      <c r="AQ807" s="81" t="b">
        <v>1</v>
      </c>
      <c r="AR807" s="81" t="b">
        <v>0</v>
      </c>
      <c r="AS807" s="81" t="b">
        <v>0</v>
      </c>
      <c r="AT807" s="81"/>
      <c r="AU807" s="81">
        <v>0</v>
      </c>
      <c r="AV807" s="81"/>
      <c r="AW807" s="81" t="b">
        <v>0</v>
      </c>
      <c r="AX807" s="81" t="s">
        <v>3728</v>
      </c>
      <c r="AY807" s="84" t="str">
        <f>HYPERLINK("https://twitter.com/robertabrandaum")</f>
        <v>https://twitter.com/robertabrandaum</v>
      </c>
      <c r="AZ807" s="81" t="s">
        <v>66</v>
      </c>
      <c r="BA807" s="2"/>
      <c r="BB807" s="3"/>
      <c r="BC807" s="3"/>
      <c r="BD807" s="3"/>
      <c r="BE807" s="3"/>
    </row>
    <row r="808" spans="1:57" x14ac:dyDescent="0.35">
      <c r="A808" s="66" t="s">
        <v>4516</v>
      </c>
      <c r="B808" s="67"/>
      <c r="C808" s="67"/>
      <c r="D808" s="68"/>
      <c r="E808" s="94"/>
      <c r="F808" s="93" t="str">
        <f>HYPERLINK("https://pbs.twimg.com/profile_images/1404639454866800643/chBvaFvH_normal.jpg")</f>
        <v>https://pbs.twimg.com/profile_images/1404639454866800643/chBvaFvH_normal.jpg</v>
      </c>
      <c r="G808" s="95"/>
      <c r="H808" s="71"/>
      <c r="I808" s="72"/>
      <c r="J808" s="96"/>
      <c r="K808" s="71" t="s">
        <v>11882</v>
      </c>
      <c r="L808" s="97"/>
      <c r="M808" s="76"/>
      <c r="N808" s="76"/>
      <c r="O808" s="77"/>
      <c r="P808" s="78"/>
      <c r="Q808" s="78"/>
      <c r="R808" s="92"/>
      <c r="S808" s="92"/>
      <c r="T808" s="92"/>
      <c r="U808" s="92"/>
      <c r="V808" s="52"/>
      <c r="W808" s="52"/>
      <c r="X808" s="52"/>
      <c r="Y808" s="52"/>
      <c r="Z808" s="51"/>
      <c r="AA808" s="73"/>
      <c r="AB808" s="73"/>
      <c r="AC808" s="74"/>
      <c r="AD808" s="81" t="s">
        <v>8510</v>
      </c>
      <c r="AE808" s="86" t="s">
        <v>9505</v>
      </c>
      <c r="AF808" s="81">
        <v>1532</v>
      </c>
      <c r="AG808" s="81">
        <v>1923</v>
      </c>
      <c r="AH808" s="81">
        <v>108386</v>
      </c>
      <c r="AI808" s="81">
        <v>130316</v>
      </c>
      <c r="AJ808" s="81"/>
      <c r="AK808" s="81" t="s">
        <v>10461</v>
      </c>
      <c r="AL808" s="81" t="s">
        <v>11167</v>
      </c>
      <c r="AM808" s="81"/>
      <c r="AN808" s="81"/>
      <c r="AO808" s="83">
        <v>42699.470462962963</v>
      </c>
      <c r="AP808" s="81"/>
      <c r="AQ808" s="81" t="b">
        <v>0</v>
      </c>
      <c r="AR808" s="81" t="b">
        <v>0</v>
      </c>
      <c r="AS808" s="81" t="b">
        <v>1</v>
      </c>
      <c r="AT808" s="81"/>
      <c r="AU808" s="81">
        <v>6</v>
      </c>
      <c r="AV808" s="84" t="str">
        <f>HYPERLINK("https://abs.twimg.com/images/themes/theme1/bg.png")</f>
        <v>https://abs.twimg.com/images/themes/theme1/bg.png</v>
      </c>
      <c r="AW808" s="81" t="b">
        <v>0</v>
      </c>
      <c r="AX808" s="81" t="s">
        <v>3728</v>
      </c>
      <c r="AY808" s="84" t="str">
        <f>HYPERLINK("https://twitter.com/nonducorduco11")</f>
        <v>https://twitter.com/nonducorduco11</v>
      </c>
      <c r="AZ808" s="81" t="s">
        <v>66</v>
      </c>
      <c r="BA808" s="2"/>
      <c r="BB808" s="3"/>
      <c r="BC808" s="3"/>
      <c r="BD808" s="3"/>
      <c r="BE808" s="3"/>
    </row>
    <row r="809" spans="1:57" x14ac:dyDescent="0.35">
      <c r="A809" s="66" t="s">
        <v>4517</v>
      </c>
      <c r="B809" s="67"/>
      <c r="C809" s="67"/>
      <c r="D809" s="68"/>
      <c r="E809" s="94"/>
      <c r="F809" s="93" t="str">
        <f>HYPERLINK("https://pbs.twimg.com/profile_images/1401229509890805760/zSW_o3tf_normal.jpg")</f>
        <v>https://pbs.twimg.com/profile_images/1401229509890805760/zSW_o3tf_normal.jpg</v>
      </c>
      <c r="G809" s="95"/>
      <c r="H809" s="71"/>
      <c r="I809" s="72"/>
      <c r="J809" s="96"/>
      <c r="K809" s="71" t="s">
        <v>11883</v>
      </c>
      <c r="L809" s="97"/>
      <c r="M809" s="76"/>
      <c r="N809" s="76"/>
      <c r="O809" s="77"/>
      <c r="P809" s="78"/>
      <c r="Q809" s="78"/>
      <c r="R809" s="92"/>
      <c r="S809" s="92"/>
      <c r="T809" s="92"/>
      <c r="U809" s="92"/>
      <c r="V809" s="52"/>
      <c r="W809" s="52"/>
      <c r="X809" s="52"/>
      <c r="Y809" s="52"/>
      <c r="Z809" s="51"/>
      <c r="AA809" s="73"/>
      <c r="AB809" s="73"/>
      <c r="AC809" s="74"/>
      <c r="AD809" s="81" t="s">
        <v>8511</v>
      </c>
      <c r="AE809" s="86" t="s">
        <v>9506</v>
      </c>
      <c r="AF809" s="81">
        <v>140</v>
      </c>
      <c r="AG809" s="81">
        <v>4</v>
      </c>
      <c r="AH809" s="81">
        <v>1224</v>
      </c>
      <c r="AI809" s="81">
        <v>62</v>
      </c>
      <c r="AJ809" s="81"/>
      <c r="AK809" s="81" t="s">
        <v>10462</v>
      </c>
      <c r="AL809" s="81"/>
      <c r="AM809" s="81"/>
      <c r="AN809" s="81"/>
      <c r="AO809" s="83">
        <v>44349.380127314813</v>
      </c>
      <c r="AP809" s="84" t="str">
        <f>HYPERLINK("https://pbs.twimg.com/profile_banners/1400016132577402882/1622647362")</f>
        <v>https://pbs.twimg.com/profile_banners/1400016132577402882/1622647362</v>
      </c>
      <c r="AQ809" s="81" t="b">
        <v>1</v>
      </c>
      <c r="AR809" s="81" t="b">
        <v>0</v>
      </c>
      <c r="AS809" s="81" t="b">
        <v>0</v>
      </c>
      <c r="AT809" s="81"/>
      <c r="AU809" s="81">
        <v>0</v>
      </c>
      <c r="AV809" s="81"/>
      <c r="AW809" s="81" t="b">
        <v>0</v>
      </c>
      <c r="AX809" s="81" t="s">
        <v>3728</v>
      </c>
      <c r="AY809" s="84" t="str">
        <f>HYPERLINK("https://twitter.com/rascaldizzy1")</f>
        <v>https://twitter.com/rascaldizzy1</v>
      </c>
      <c r="AZ809" s="81" t="s">
        <v>66</v>
      </c>
      <c r="BA809" s="2"/>
      <c r="BB809" s="3"/>
      <c r="BC809" s="3"/>
      <c r="BD809" s="3"/>
      <c r="BE809" s="3"/>
    </row>
    <row r="810" spans="1:57" x14ac:dyDescent="0.35">
      <c r="A810" s="66" t="s">
        <v>5108</v>
      </c>
      <c r="B810" s="67"/>
      <c r="C810" s="67"/>
      <c r="D810" s="68"/>
      <c r="E810" s="94"/>
      <c r="F810" s="93" t="str">
        <f>HYPERLINK("https://pbs.twimg.com/profile_images/1242132888046522370/yjKhxlBu_normal.jpg")</f>
        <v>https://pbs.twimg.com/profile_images/1242132888046522370/yjKhxlBu_normal.jpg</v>
      </c>
      <c r="G810" s="95"/>
      <c r="H810" s="71"/>
      <c r="I810" s="72"/>
      <c r="J810" s="96"/>
      <c r="K810" s="71" t="s">
        <v>11884</v>
      </c>
      <c r="L810" s="97"/>
      <c r="M810" s="76"/>
      <c r="N810" s="76"/>
      <c r="O810" s="77"/>
      <c r="P810" s="78"/>
      <c r="Q810" s="78"/>
      <c r="R810" s="92"/>
      <c r="S810" s="92"/>
      <c r="T810" s="92"/>
      <c r="U810" s="92"/>
      <c r="V810" s="52"/>
      <c r="W810" s="52"/>
      <c r="X810" s="52"/>
      <c r="Y810" s="52"/>
      <c r="Z810" s="51"/>
      <c r="AA810" s="73"/>
      <c r="AB810" s="73"/>
      <c r="AC810" s="74"/>
      <c r="AD810" s="81" t="s">
        <v>8512</v>
      </c>
      <c r="AE810" s="86" t="s">
        <v>9507</v>
      </c>
      <c r="AF810" s="81">
        <v>7628</v>
      </c>
      <c r="AG810" s="81">
        <v>103397</v>
      </c>
      <c r="AH810" s="81">
        <v>33366</v>
      </c>
      <c r="AI810" s="81">
        <v>11533</v>
      </c>
      <c r="AJ810" s="81"/>
      <c r="AK810" s="81" t="s">
        <v>10463</v>
      </c>
      <c r="AL810" s="81" t="s">
        <v>11168</v>
      </c>
      <c r="AM810" s="84" t="str">
        <f>HYPERLINK("https://t.co/ofXwI66rJp")</f>
        <v>https://t.co/ofXwI66rJp</v>
      </c>
      <c r="AN810" s="81"/>
      <c r="AO810" s="83">
        <v>39511.463518518518</v>
      </c>
      <c r="AP810" s="84" t="str">
        <f>HYPERLINK("https://pbs.twimg.com/profile_banners/14077382/1600351492")</f>
        <v>https://pbs.twimg.com/profile_banners/14077382/1600351492</v>
      </c>
      <c r="AQ810" s="81" t="b">
        <v>0</v>
      </c>
      <c r="AR810" s="81" t="b">
        <v>0</v>
      </c>
      <c r="AS810" s="81" t="b">
        <v>1</v>
      </c>
      <c r="AT810" s="81"/>
      <c r="AU810" s="81">
        <v>1142</v>
      </c>
      <c r="AV810" s="84" t="str">
        <f>HYPERLINK("https://abs.twimg.com/images/themes/theme14/bg.gif")</f>
        <v>https://abs.twimg.com/images/themes/theme14/bg.gif</v>
      </c>
      <c r="AW810" s="81" t="b">
        <v>1</v>
      </c>
      <c r="AX810" s="81" t="s">
        <v>3728</v>
      </c>
      <c r="AY810" s="84" t="str">
        <f>HYPERLINK("https://twitter.com/jamescleverly")</f>
        <v>https://twitter.com/jamescleverly</v>
      </c>
      <c r="AZ810" s="81" t="s">
        <v>65</v>
      </c>
      <c r="BA810" s="2"/>
      <c r="BB810" s="3"/>
      <c r="BC810" s="3"/>
      <c r="BD810" s="3"/>
      <c r="BE810" s="3"/>
    </row>
    <row r="811" spans="1:57" x14ac:dyDescent="0.35">
      <c r="A811" s="66" t="s">
        <v>5109</v>
      </c>
      <c r="B811" s="67"/>
      <c r="C811" s="67"/>
      <c r="D811" s="68"/>
      <c r="E811" s="94"/>
      <c r="F811" s="93" t="str">
        <f>HYPERLINK("https://pbs.twimg.com/profile_images/1330887648941142016/9ooDmyaJ_normal.jpg")</f>
        <v>https://pbs.twimg.com/profile_images/1330887648941142016/9ooDmyaJ_normal.jpg</v>
      </c>
      <c r="G811" s="95"/>
      <c r="H811" s="71"/>
      <c r="I811" s="72"/>
      <c r="J811" s="96"/>
      <c r="K811" s="71" t="s">
        <v>11885</v>
      </c>
      <c r="L811" s="97"/>
      <c r="M811" s="76"/>
      <c r="N811" s="76"/>
      <c r="O811" s="77"/>
      <c r="P811" s="78"/>
      <c r="Q811" s="78"/>
      <c r="R811" s="92"/>
      <c r="S811" s="92"/>
      <c r="T811" s="92"/>
      <c r="U811" s="92"/>
      <c r="V811" s="52"/>
      <c r="W811" s="52"/>
      <c r="X811" s="52"/>
      <c r="Y811" s="52"/>
      <c r="Z811" s="51"/>
      <c r="AA811" s="73"/>
      <c r="AB811" s="73"/>
      <c r="AC811" s="74"/>
      <c r="AD811" s="81" t="s">
        <v>8513</v>
      </c>
      <c r="AE811" s="86" t="s">
        <v>9508</v>
      </c>
      <c r="AF811" s="81">
        <v>6719</v>
      </c>
      <c r="AG811" s="81">
        <v>32223</v>
      </c>
      <c r="AH811" s="81">
        <v>18148</v>
      </c>
      <c r="AI811" s="81">
        <v>24040</v>
      </c>
      <c r="AJ811" s="81"/>
      <c r="AK811" s="81" t="s">
        <v>10464</v>
      </c>
      <c r="AL811" s="81" t="s">
        <v>11169</v>
      </c>
      <c r="AM811" s="84" t="str">
        <f>HYPERLINK("https://t.co/bxnRwpPL66")</f>
        <v>https://t.co/bxnRwpPL66</v>
      </c>
      <c r="AN811" s="81"/>
      <c r="AO811" s="83">
        <v>41556.604432870372</v>
      </c>
      <c r="AP811" s="84" t="str">
        <f>HYPERLINK("https://pbs.twimg.com/profile_banners/1949420935/1538671702")</f>
        <v>https://pbs.twimg.com/profile_banners/1949420935/1538671702</v>
      </c>
      <c r="AQ811" s="81" t="b">
        <v>1</v>
      </c>
      <c r="AR811" s="81" t="b">
        <v>0</v>
      </c>
      <c r="AS811" s="81" t="b">
        <v>1</v>
      </c>
      <c r="AT811" s="81"/>
      <c r="AU811" s="81">
        <v>48</v>
      </c>
      <c r="AV811" s="84" t="str">
        <f>HYPERLINK("https://abs.twimg.com/images/themes/theme1/bg.png")</f>
        <v>https://abs.twimg.com/images/themes/theme1/bg.png</v>
      </c>
      <c r="AW811" s="81" t="b">
        <v>0</v>
      </c>
      <c r="AX811" s="81" t="s">
        <v>3728</v>
      </c>
      <c r="AY811" s="84" t="str">
        <f>HYPERLINK("https://twitter.com/ianmaher7")</f>
        <v>https://twitter.com/ianmaher7</v>
      </c>
      <c r="AZ811" s="81" t="s">
        <v>65</v>
      </c>
      <c r="BA811" s="2"/>
      <c r="BB811" s="3"/>
      <c r="BC811" s="3"/>
      <c r="BD811" s="3"/>
      <c r="BE811" s="3"/>
    </row>
    <row r="812" spans="1:57" x14ac:dyDescent="0.35">
      <c r="A812" s="66" t="s">
        <v>5110</v>
      </c>
      <c r="B812" s="67"/>
      <c r="C812" s="67"/>
      <c r="D812" s="68"/>
      <c r="E812" s="94"/>
      <c r="F812" s="93" t="str">
        <f>HYPERLINK("https://pbs.twimg.com/profile_images/1438965814317756416/lKG7pKJg_normal.jpg")</f>
        <v>https://pbs.twimg.com/profile_images/1438965814317756416/lKG7pKJg_normal.jpg</v>
      </c>
      <c r="G812" s="95"/>
      <c r="H812" s="71"/>
      <c r="I812" s="72"/>
      <c r="J812" s="96"/>
      <c r="K812" s="71" t="s">
        <v>11886</v>
      </c>
      <c r="L812" s="97"/>
      <c r="M812" s="76"/>
      <c r="N812" s="76"/>
      <c r="O812" s="77"/>
      <c r="P812" s="78"/>
      <c r="Q812" s="78"/>
      <c r="R812" s="92"/>
      <c r="S812" s="92"/>
      <c r="T812" s="92"/>
      <c r="U812" s="92"/>
      <c r="V812" s="52"/>
      <c r="W812" s="52"/>
      <c r="X812" s="52"/>
      <c r="Y812" s="52"/>
      <c r="Z812" s="51"/>
      <c r="AA812" s="73"/>
      <c r="AB812" s="73"/>
      <c r="AC812" s="74"/>
      <c r="AD812" s="81" t="s">
        <v>5110</v>
      </c>
      <c r="AE812" s="86" t="s">
        <v>9509</v>
      </c>
      <c r="AF812" s="81">
        <v>550</v>
      </c>
      <c r="AG812" s="81">
        <v>357</v>
      </c>
      <c r="AH812" s="81">
        <v>4138</v>
      </c>
      <c r="AI812" s="81">
        <v>2518</v>
      </c>
      <c r="AJ812" s="81"/>
      <c r="AK812" s="81" t="s">
        <v>10465</v>
      </c>
      <c r="AL812" s="81"/>
      <c r="AM812" s="81"/>
      <c r="AN812" s="81"/>
      <c r="AO812" s="83">
        <v>44312.730543981481</v>
      </c>
      <c r="AP812" s="84" t="str">
        <f>HYPERLINK("https://pbs.twimg.com/profile_banners/1386734706809581568/1623569281")</f>
        <v>https://pbs.twimg.com/profile_banners/1386734706809581568/1623569281</v>
      </c>
      <c r="AQ812" s="81" t="b">
        <v>1</v>
      </c>
      <c r="AR812" s="81" t="b">
        <v>0</v>
      </c>
      <c r="AS812" s="81" t="b">
        <v>0</v>
      </c>
      <c r="AT812" s="81"/>
      <c r="AU812" s="81">
        <v>0</v>
      </c>
      <c r="AV812" s="81"/>
      <c r="AW812" s="81" t="b">
        <v>0</v>
      </c>
      <c r="AX812" s="81" t="s">
        <v>3728</v>
      </c>
      <c r="AY812" s="84" t="str">
        <f>HYPERLINK("https://twitter.com/scotty9094")</f>
        <v>https://twitter.com/scotty9094</v>
      </c>
      <c r="AZ812" s="81" t="s">
        <v>65</v>
      </c>
      <c r="BA812" s="2"/>
      <c r="BB812" s="3"/>
      <c r="BC812" s="3"/>
      <c r="BD812" s="3"/>
      <c r="BE812" s="3"/>
    </row>
    <row r="813" spans="1:57" x14ac:dyDescent="0.35">
      <c r="A813" s="66" t="s">
        <v>5111</v>
      </c>
      <c r="B813" s="67"/>
      <c r="C813" s="67"/>
      <c r="D813" s="68"/>
      <c r="E813" s="94"/>
      <c r="F813" s="93" t="str">
        <f>HYPERLINK("https://pbs.twimg.com/profile_images/1379195532107714565/sqOkMMwy_normal.jpg")</f>
        <v>https://pbs.twimg.com/profile_images/1379195532107714565/sqOkMMwy_normal.jpg</v>
      </c>
      <c r="G813" s="95"/>
      <c r="H813" s="71"/>
      <c r="I813" s="72"/>
      <c r="J813" s="96"/>
      <c r="K813" s="71" t="s">
        <v>11887</v>
      </c>
      <c r="L813" s="97"/>
      <c r="M813" s="76"/>
      <c r="N813" s="76"/>
      <c r="O813" s="77"/>
      <c r="P813" s="78"/>
      <c r="Q813" s="78"/>
      <c r="R813" s="92"/>
      <c r="S813" s="92"/>
      <c r="T813" s="92"/>
      <c r="U813" s="92"/>
      <c r="V813" s="52"/>
      <c r="W813" s="52"/>
      <c r="X813" s="52"/>
      <c r="Y813" s="52"/>
      <c r="Z813" s="51"/>
      <c r="AA813" s="73"/>
      <c r="AB813" s="73"/>
      <c r="AC813" s="74"/>
      <c r="AD813" s="81" t="s">
        <v>8514</v>
      </c>
      <c r="AE813" s="86" t="s">
        <v>9510</v>
      </c>
      <c r="AF813" s="81">
        <v>383</v>
      </c>
      <c r="AG813" s="81">
        <v>136</v>
      </c>
      <c r="AH813" s="81">
        <v>4217</v>
      </c>
      <c r="AI813" s="81">
        <v>5488</v>
      </c>
      <c r="AJ813" s="81"/>
      <c r="AK813" s="81" t="s">
        <v>10466</v>
      </c>
      <c r="AL813" s="81" t="s">
        <v>11170</v>
      </c>
      <c r="AM813" s="81"/>
      <c r="AN813" s="81"/>
      <c r="AO813" s="83">
        <v>39852.777743055558</v>
      </c>
      <c r="AP813" s="84" t="str">
        <f>HYPERLINK("https://pbs.twimg.com/profile_banners/20383368/1617660497")</f>
        <v>https://pbs.twimg.com/profile_banners/20383368/1617660497</v>
      </c>
      <c r="AQ813" s="81" t="b">
        <v>0</v>
      </c>
      <c r="AR813" s="81" t="b">
        <v>0</v>
      </c>
      <c r="AS813" s="81" t="b">
        <v>1</v>
      </c>
      <c r="AT813" s="81"/>
      <c r="AU813" s="81">
        <v>1</v>
      </c>
      <c r="AV813" s="84" t="str">
        <f>HYPERLINK("https://abs.twimg.com/images/themes/theme5/bg.gif")</f>
        <v>https://abs.twimg.com/images/themes/theme5/bg.gif</v>
      </c>
      <c r="AW813" s="81" t="b">
        <v>0</v>
      </c>
      <c r="AX813" s="81" t="s">
        <v>3728</v>
      </c>
      <c r="AY813" s="84" t="str">
        <f>HYPERLINK("https://twitter.com/julianod")</f>
        <v>https://twitter.com/julianod</v>
      </c>
      <c r="AZ813" s="81" t="s">
        <v>65</v>
      </c>
      <c r="BA813" s="2"/>
      <c r="BB813" s="3"/>
      <c r="BC813" s="3"/>
      <c r="BD813" s="3"/>
      <c r="BE813" s="3"/>
    </row>
    <row r="814" spans="1:57" x14ac:dyDescent="0.35">
      <c r="A814" s="66" t="s">
        <v>5112</v>
      </c>
      <c r="B814" s="67"/>
      <c r="C814" s="67"/>
      <c r="D814" s="68"/>
      <c r="E814" s="94"/>
      <c r="F814" s="93" t="str">
        <f>HYPERLINK("https://pbs.twimg.com/profile_images/1286383053439414272/RtC15GXe_normal.jpg")</f>
        <v>https://pbs.twimg.com/profile_images/1286383053439414272/RtC15GXe_normal.jpg</v>
      </c>
      <c r="G814" s="95"/>
      <c r="H814" s="71"/>
      <c r="I814" s="72"/>
      <c r="J814" s="96"/>
      <c r="K814" s="71" t="s">
        <v>11888</v>
      </c>
      <c r="L814" s="97"/>
      <c r="M814" s="76"/>
      <c r="N814" s="76"/>
      <c r="O814" s="77"/>
      <c r="P814" s="78"/>
      <c r="Q814" s="78"/>
      <c r="R814" s="92"/>
      <c r="S814" s="92"/>
      <c r="T814" s="92"/>
      <c r="U814" s="92"/>
      <c r="V814" s="52"/>
      <c r="W814" s="52"/>
      <c r="X814" s="52"/>
      <c r="Y814" s="52"/>
      <c r="Z814" s="51"/>
      <c r="AA814" s="73"/>
      <c r="AB814" s="73"/>
      <c r="AC814" s="74"/>
      <c r="AD814" s="81" t="s">
        <v>8515</v>
      </c>
      <c r="AE814" s="86" t="s">
        <v>7875</v>
      </c>
      <c r="AF814" s="81">
        <v>1551</v>
      </c>
      <c r="AG814" s="81">
        <v>1597</v>
      </c>
      <c r="AH814" s="81">
        <v>14486</v>
      </c>
      <c r="AI814" s="81">
        <v>4655</v>
      </c>
      <c r="AJ814" s="81"/>
      <c r="AK814" s="81" t="s">
        <v>10467</v>
      </c>
      <c r="AL814" s="81" t="s">
        <v>11171</v>
      </c>
      <c r="AM814" s="81"/>
      <c r="AN814" s="81"/>
      <c r="AO814" s="83">
        <v>42093.505254629628</v>
      </c>
      <c r="AP814" s="84" t="str">
        <f>HYPERLINK("https://pbs.twimg.com/profile_banners/3128856419/1614202446")</f>
        <v>https://pbs.twimg.com/profile_banners/3128856419/1614202446</v>
      </c>
      <c r="AQ814" s="81" t="b">
        <v>1</v>
      </c>
      <c r="AR814" s="81" t="b">
        <v>0</v>
      </c>
      <c r="AS814" s="81" t="b">
        <v>1</v>
      </c>
      <c r="AT814" s="81"/>
      <c r="AU814" s="81">
        <v>0</v>
      </c>
      <c r="AV814" s="84" t="str">
        <f>HYPERLINK("https://abs.twimg.com/images/themes/theme1/bg.png")</f>
        <v>https://abs.twimg.com/images/themes/theme1/bg.png</v>
      </c>
      <c r="AW814" s="81" t="b">
        <v>0</v>
      </c>
      <c r="AX814" s="81" t="s">
        <v>3728</v>
      </c>
      <c r="AY814" s="84" t="str">
        <f>HYPERLINK("https://twitter.com/katiesdad52")</f>
        <v>https://twitter.com/katiesdad52</v>
      </c>
      <c r="AZ814" s="81" t="s">
        <v>65</v>
      </c>
      <c r="BA814" s="2"/>
      <c r="BB814" s="3"/>
      <c r="BC814" s="3"/>
      <c r="BD814" s="3"/>
      <c r="BE814" s="3"/>
    </row>
    <row r="815" spans="1:57" x14ac:dyDescent="0.35">
      <c r="A815" s="66" t="s">
        <v>4518</v>
      </c>
      <c r="B815" s="67"/>
      <c r="C815" s="67"/>
      <c r="D815" s="68"/>
      <c r="E815" s="94"/>
      <c r="F815" s="93" t="str">
        <f>HYPERLINK("https://pbs.twimg.com/profile_images/1436411809708363776/TbmzwONo_normal.jpg")</f>
        <v>https://pbs.twimg.com/profile_images/1436411809708363776/TbmzwONo_normal.jpg</v>
      </c>
      <c r="G815" s="95"/>
      <c r="H815" s="71"/>
      <c r="I815" s="72"/>
      <c r="J815" s="96"/>
      <c r="K815" s="71" t="s">
        <v>11889</v>
      </c>
      <c r="L815" s="97"/>
      <c r="M815" s="76"/>
      <c r="N815" s="76"/>
      <c r="O815" s="77"/>
      <c r="P815" s="78"/>
      <c r="Q815" s="78"/>
      <c r="R815" s="92"/>
      <c r="S815" s="92"/>
      <c r="T815" s="92"/>
      <c r="U815" s="92"/>
      <c r="V815" s="52"/>
      <c r="W815" s="52"/>
      <c r="X815" s="52"/>
      <c r="Y815" s="52"/>
      <c r="Z815" s="51"/>
      <c r="AA815" s="73"/>
      <c r="AB815" s="73"/>
      <c r="AC815" s="74"/>
      <c r="AD815" s="81" t="s">
        <v>8516</v>
      </c>
      <c r="AE815" s="86" t="s">
        <v>9511</v>
      </c>
      <c r="AF815" s="81">
        <v>269</v>
      </c>
      <c r="AG815" s="81">
        <v>41</v>
      </c>
      <c r="AH815" s="81">
        <v>2741</v>
      </c>
      <c r="AI815" s="81">
        <v>4329</v>
      </c>
      <c r="AJ815" s="81"/>
      <c r="AK815" s="81" t="s">
        <v>10468</v>
      </c>
      <c r="AL815" s="81" t="s">
        <v>11172</v>
      </c>
      <c r="AM815" s="84" t="str">
        <f>HYPERLINK("https://t.co/WT6qlPD8zJ")</f>
        <v>https://t.co/WT6qlPD8zJ</v>
      </c>
      <c r="AN815" s="81"/>
      <c r="AO815" s="83">
        <v>43251.694178240738</v>
      </c>
      <c r="AP815" s="84" t="str">
        <f>HYPERLINK("https://pbs.twimg.com/profile_banners/1002228114309730304/1626143882")</f>
        <v>https://pbs.twimg.com/profile_banners/1002228114309730304/1626143882</v>
      </c>
      <c r="AQ815" s="81" t="b">
        <v>0</v>
      </c>
      <c r="AR815" s="81" t="b">
        <v>0</v>
      </c>
      <c r="AS815" s="81" t="b">
        <v>0</v>
      </c>
      <c r="AT815" s="81"/>
      <c r="AU815" s="81">
        <v>0</v>
      </c>
      <c r="AV815" s="84" t="str">
        <f>HYPERLINK("https://abs.twimg.com/images/themes/theme1/bg.png")</f>
        <v>https://abs.twimg.com/images/themes/theme1/bg.png</v>
      </c>
      <c r="AW815" s="81" t="b">
        <v>0</v>
      </c>
      <c r="AX815" s="81" t="s">
        <v>3728</v>
      </c>
      <c r="AY815" s="84" t="str">
        <f>HYPERLINK("https://twitter.com/_ivandeso")</f>
        <v>https://twitter.com/_ivandeso</v>
      </c>
      <c r="AZ815" s="81" t="s">
        <v>66</v>
      </c>
      <c r="BA815" s="2"/>
      <c r="BB815" s="3"/>
      <c r="BC815" s="3"/>
      <c r="BD815" s="3"/>
      <c r="BE815" s="3"/>
    </row>
    <row r="816" spans="1:57" x14ac:dyDescent="0.35">
      <c r="A816" s="66" t="s">
        <v>5113</v>
      </c>
      <c r="B816" s="67"/>
      <c r="C816" s="67"/>
      <c r="D816" s="68"/>
      <c r="E816" s="94"/>
      <c r="F816" s="93" t="str">
        <f>HYPERLINK("https://pbs.twimg.com/profile_images/1362234483051757568/W2ALp4pz_normal.jpg")</f>
        <v>https://pbs.twimg.com/profile_images/1362234483051757568/W2ALp4pz_normal.jpg</v>
      </c>
      <c r="G816" s="95"/>
      <c r="H816" s="71"/>
      <c r="I816" s="72"/>
      <c r="J816" s="96"/>
      <c r="K816" s="71" t="s">
        <v>11890</v>
      </c>
      <c r="L816" s="97"/>
      <c r="M816" s="76"/>
      <c r="N816" s="76"/>
      <c r="O816" s="77"/>
      <c r="P816" s="78"/>
      <c r="Q816" s="78"/>
      <c r="R816" s="92"/>
      <c r="S816" s="92"/>
      <c r="T816" s="92"/>
      <c r="U816" s="92"/>
      <c r="V816" s="52"/>
      <c r="W816" s="52"/>
      <c r="X816" s="52"/>
      <c r="Y816" s="52"/>
      <c r="Z816" s="51"/>
      <c r="AA816" s="73"/>
      <c r="AB816" s="73"/>
      <c r="AC816" s="74"/>
      <c r="AD816" s="81" t="s">
        <v>8517</v>
      </c>
      <c r="AE816" s="86" t="s">
        <v>7876</v>
      </c>
      <c r="AF816" s="81">
        <v>215</v>
      </c>
      <c r="AG816" s="81">
        <v>141</v>
      </c>
      <c r="AH816" s="81">
        <v>4472</v>
      </c>
      <c r="AI816" s="81">
        <v>6670</v>
      </c>
      <c r="AJ816" s="81"/>
      <c r="AK816" s="81" t="s">
        <v>10469</v>
      </c>
      <c r="AL816" s="81" t="s">
        <v>11173</v>
      </c>
      <c r="AM816" s="81"/>
      <c r="AN816" s="81"/>
      <c r="AO816" s="83">
        <v>43974.158587962964</v>
      </c>
      <c r="AP816" s="84" t="str">
        <f>HYPERLINK("https://pbs.twimg.com/profile_banners/1264040420742438914/1614347512")</f>
        <v>https://pbs.twimg.com/profile_banners/1264040420742438914/1614347512</v>
      </c>
      <c r="AQ816" s="81" t="b">
        <v>1</v>
      </c>
      <c r="AR816" s="81" t="b">
        <v>0</v>
      </c>
      <c r="AS816" s="81" t="b">
        <v>0</v>
      </c>
      <c r="AT816" s="81"/>
      <c r="AU816" s="81">
        <v>0</v>
      </c>
      <c r="AV816" s="81"/>
      <c r="AW816" s="81" t="b">
        <v>0</v>
      </c>
      <c r="AX816" s="81" t="s">
        <v>3728</v>
      </c>
      <c r="AY816" s="84" t="str">
        <f>HYPERLINK("https://twitter.com/mathfjacinto")</f>
        <v>https://twitter.com/mathfjacinto</v>
      </c>
      <c r="AZ816" s="81" t="s">
        <v>65</v>
      </c>
      <c r="BA816" s="2"/>
      <c r="BB816" s="3"/>
      <c r="BC816" s="3"/>
      <c r="BD816" s="3"/>
      <c r="BE816" s="3"/>
    </row>
    <row r="817" spans="1:57" x14ac:dyDescent="0.35">
      <c r="A817" s="66" t="s">
        <v>4519</v>
      </c>
      <c r="B817" s="67"/>
      <c r="C817" s="67"/>
      <c r="D817" s="68"/>
      <c r="E817" s="94"/>
      <c r="F817" s="93" t="str">
        <f>HYPERLINK("https://pbs.twimg.com/profile_images/1363246033267011588/WKjLmZKn_normal.jpg")</f>
        <v>https://pbs.twimg.com/profile_images/1363246033267011588/WKjLmZKn_normal.jpg</v>
      </c>
      <c r="G817" s="95"/>
      <c r="H817" s="71"/>
      <c r="I817" s="72"/>
      <c r="J817" s="96"/>
      <c r="K817" s="71" t="s">
        <v>11891</v>
      </c>
      <c r="L817" s="97"/>
      <c r="M817" s="76"/>
      <c r="N817" s="76"/>
      <c r="O817" s="77"/>
      <c r="P817" s="78"/>
      <c r="Q817" s="78"/>
      <c r="R817" s="92"/>
      <c r="S817" s="92"/>
      <c r="T817" s="92"/>
      <c r="U817" s="92"/>
      <c r="V817" s="52"/>
      <c r="W817" s="52"/>
      <c r="X817" s="52"/>
      <c r="Y817" s="52"/>
      <c r="Z817" s="51"/>
      <c r="AA817" s="73"/>
      <c r="AB817" s="73"/>
      <c r="AC817" s="74"/>
      <c r="AD817" s="81" t="s">
        <v>8518</v>
      </c>
      <c r="AE817" s="86" t="s">
        <v>9512</v>
      </c>
      <c r="AF817" s="81">
        <v>2845</v>
      </c>
      <c r="AG817" s="81">
        <v>2761</v>
      </c>
      <c r="AH817" s="81">
        <v>139</v>
      </c>
      <c r="AI817" s="81">
        <v>9996</v>
      </c>
      <c r="AJ817" s="81"/>
      <c r="AK817" s="81"/>
      <c r="AL817" s="81"/>
      <c r="AM817" s="81"/>
      <c r="AN817" s="81"/>
      <c r="AO817" s="83">
        <v>43626.037083333336</v>
      </c>
      <c r="AP817" s="84" t="str">
        <f>HYPERLINK("https://pbs.twimg.com/profile_banners/1137885440768450561/1560367945")</f>
        <v>https://pbs.twimg.com/profile_banners/1137885440768450561/1560367945</v>
      </c>
      <c r="AQ817" s="81" t="b">
        <v>1</v>
      </c>
      <c r="AR817" s="81" t="b">
        <v>0</v>
      </c>
      <c r="AS817" s="81" t="b">
        <v>0</v>
      </c>
      <c r="AT817" s="81"/>
      <c r="AU817" s="81">
        <v>1</v>
      </c>
      <c r="AV817" s="81"/>
      <c r="AW817" s="81" t="b">
        <v>0</v>
      </c>
      <c r="AX817" s="81" t="s">
        <v>3728</v>
      </c>
      <c r="AY817" s="84" t="str">
        <f>HYPERLINK("https://twitter.com/mb_vinicios1")</f>
        <v>https://twitter.com/mb_vinicios1</v>
      </c>
      <c r="AZ817" s="81" t="s">
        <v>66</v>
      </c>
      <c r="BA817" s="2"/>
      <c r="BB817" s="3"/>
      <c r="BC817" s="3"/>
      <c r="BD817" s="3"/>
      <c r="BE817" s="3"/>
    </row>
    <row r="818" spans="1:57" x14ac:dyDescent="0.35">
      <c r="A818" s="66" t="s">
        <v>5114</v>
      </c>
      <c r="B818" s="67"/>
      <c r="C818" s="67"/>
      <c r="D818" s="68"/>
      <c r="E818" s="94"/>
      <c r="F818" s="93" t="str">
        <f>HYPERLINK("https://pbs.twimg.com/profile_images/1274756492344856578/vk0smlDr_normal.jpg")</f>
        <v>https://pbs.twimg.com/profile_images/1274756492344856578/vk0smlDr_normal.jpg</v>
      </c>
      <c r="G818" s="95"/>
      <c r="H818" s="71"/>
      <c r="I818" s="72"/>
      <c r="J818" s="96"/>
      <c r="K818" s="71" t="s">
        <v>11892</v>
      </c>
      <c r="L818" s="97"/>
      <c r="M818" s="76"/>
      <c r="N818" s="76"/>
      <c r="O818" s="77"/>
      <c r="P818" s="78"/>
      <c r="Q818" s="78"/>
      <c r="R818" s="92"/>
      <c r="S818" s="92"/>
      <c r="T818" s="92"/>
      <c r="U818" s="92"/>
      <c r="V818" s="52"/>
      <c r="W818" s="52"/>
      <c r="X818" s="52"/>
      <c r="Y818" s="52"/>
      <c r="Z818" s="51"/>
      <c r="AA818" s="73"/>
      <c r="AB818" s="73"/>
      <c r="AC818" s="74"/>
      <c r="AD818" s="81" t="s">
        <v>8519</v>
      </c>
      <c r="AE818" s="86" t="s">
        <v>9513</v>
      </c>
      <c r="AF818" s="81">
        <v>572</v>
      </c>
      <c r="AG818" s="81">
        <v>490678</v>
      </c>
      <c r="AH818" s="81">
        <v>231211</v>
      </c>
      <c r="AI818" s="81">
        <v>713</v>
      </c>
      <c r="AJ818" s="81"/>
      <c r="AK818" s="81" t="s">
        <v>10470</v>
      </c>
      <c r="AL818" s="81" t="s">
        <v>11174</v>
      </c>
      <c r="AM818" s="84" t="str">
        <f>HYPERLINK("https://t.co/zZ2BM84Xhx")</f>
        <v>https://t.co/zZ2BM84Xhx</v>
      </c>
      <c r="AN818" s="81"/>
      <c r="AO818" s="83">
        <v>40581.960497685184</v>
      </c>
      <c r="AP818" s="84" t="str">
        <f>HYPERLINK("https://pbs.twimg.com/profile_banners/248890506/1598897352")</f>
        <v>https://pbs.twimg.com/profile_banners/248890506/1598897352</v>
      </c>
      <c r="AQ818" s="81" t="b">
        <v>0</v>
      </c>
      <c r="AR818" s="81" t="b">
        <v>0</v>
      </c>
      <c r="AS818" s="81" t="b">
        <v>1</v>
      </c>
      <c r="AT818" s="81"/>
      <c r="AU818" s="81">
        <v>1781</v>
      </c>
      <c r="AV818" s="84" t="str">
        <f>HYPERLINK("https://abs.twimg.com/images/themes/theme1/bg.png")</f>
        <v>https://abs.twimg.com/images/themes/theme1/bg.png</v>
      </c>
      <c r="AW818" s="81" t="b">
        <v>1</v>
      </c>
      <c r="AX818" s="81" t="s">
        <v>3728</v>
      </c>
      <c r="AY818" s="84" t="str">
        <f>HYPERLINK("https://twitter.com/brasil247")</f>
        <v>https://twitter.com/brasil247</v>
      </c>
      <c r="AZ818" s="81" t="s">
        <v>65</v>
      </c>
      <c r="BA818" s="2"/>
      <c r="BB818" s="3"/>
      <c r="BC818" s="3"/>
      <c r="BD818" s="3"/>
      <c r="BE818" s="3"/>
    </row>
    <row r="819" spans="1:57" x14ac:dyDescent="0.35">
      <c r="A819" s="66" t="s">
        <v>5115</v>
      </c>
      <c r="B819" s="67"/>
      <c r="C819" s="67"/>
      <c r="D819" s="68"/>
      <c r="E819" s="94"/>
      <c r="F819" s="93" t="str">
        <f>HYPERLINK("https://pbs.twimg.com/profile_images/1355996339205795843/F_SNXtJJ_normal.jpg")</f>
        <v>https://pbs.twimg.com/profile_images/1355996339205795843/F_SNXtJJ_normal.jpg</v>
      </c>
      <c r="G819" s="95"/>
      <c r="H819" s="71"/>
      <c r="I819" s="72"/>
      <c r="J819" s="96"/>
      <c r="K819" s="71" t="s">
        <v>11893</v>
      </c>
      <c r="L819" s="97"/>
      <c r="M819" s="76"/>
      <c r="N819" s="76"/>
      <c r="O819" s="77"/>
      <c r="P819" s="78"/>
      <c r="Q819" s="78"/>
      <c r="R819" s="92"/>
      <c r="S819" s="92"/>
      <c r="T819" s="92"/>
      <c r="U819" s="92"/>
      <c r="V819" s="52"/>
      <c r="W819" s="52"/>
      <c r="X819" s="52"/>
      <c r="Y819" s="52"/>
      <c r="Z819" s="51"/>
      <c r="AA819" s="73"/>
      <c r="AB819" s="73"/>
      <c r="AC819" s="74"/>
      <c r="AD819" s="81" t="s">
        <v>3089</v>
      </c>
      <c r="AE819" s="86" t="s">
        <v>9514</v>
      </c>
      <c r="AF819" s="81">
        <v>32</v>
      </c>
      <c r="AG819" s="81">
        <v>22</v>
      </c>
      <c r="AH819" s="81">
        <v>10316</v>
      </c>
      <c r="AI819" s="81">
        <v>654</v>
      </c>
      <c r="AJ819" s="81"/>
      <c r="AK819" s="81" t="s">
        <v>10471</v>
      </c>
      <c r="AL819" s="81"/>
      <c r="AM819" s="81"/>
      <c r="AN819" s="81"/>
      <c r="AO819" s="83">
        <v>39844.246076388888</v>
      </c>
      <c r="AP819" s="84" t="str">
        <f>HYPERLINK("https://pbs.twimg.com/profile_banners/19806939/1587515202")</f>
        <v>https://pbs.twimg.com/profile_banners/19806939/1587515202</v>
      </c>
      <c r="AQ819" s="81" t="b">
        <v>0</v>
      </c>
      <c r="AR819" s="81" t="b">
        <v>0</v>
      </c>
      <c r="AS819" s="81" t="b">
        <v>0</v>
      </c>
      <c r="AT819" s="81"/>
      <c r="AU819" s="81">
        <v>1</v>
      </c>
      <c r="AV819" s="84" t="str">
        <f>HYPERLINK("https://abs.twimg.com/images/themes/theme1/bg.png")</f>
        <v>https://abs.twimg.com/images/themes/theme1/bg.png</v>
      </c>
      <c r="AW819" s="81" t="b">
        <v>0</v>
      </c>
      <c r="AX819" s="81" t="s">
        <v>3728</v>
      </c>
      <c r="AY819" s="84" t="str">
        <f>HYPERLINK("https://twitter.com/liletaxus")</f>
        <v>https://twitter.com/liletaxus</v>
      </c>
      <c r="AZ819" s="81" t="s">
        <v>65</v>
      </c>
      <c r="BA819" s="2"/>
      <c r="BB819" s="3"/>
      <c r="BC819" s="3"/>
      <c r="BD819" s="3"/>
      <c r="BE819" s="3"/>
    </row>
    <row r="820" spans="1:57" x14ac:dyDescent="0.35">
      <c r="A820" s="66" t="s">
        <v>5116</v>
      </c>
      <c r="B820" s="67"/>
      <c r="C820" s="67"/>
      <c r="D820" s="68"/>
      <c r="E820" s="94"/>
      <c r="F820" s="93" t="str">
        <f>HYPERLINK("https://pbs.twimg.com/profile_images/1435894903612051457/N3XYrZzq_normal.jpg")</f>
        <v>https://pbs.twimg.com/profile_images/1435894903612051457/N3XYrZzq_normal.jpg</v>
      </c>
      <c r="G820" s="95"/>
      <c r="H820" s="71"/>
      <c r="I820" s="72"/>
      <c r="J820" s="96"/>
      <c r="K820" s="71" t="s">
        <v>11894</v>
      </c>
      <c r="L820" s="97"/>
      <c r="M820" s="76"/>
      <c r="N820" s="76"/>
      <c r="O820" s="77"/>
      <c r="P820" s="78"/>
      <c r="Q820" s="78"/>
      <c r="R820" s="92"/>
      <c r="S820" s="92"/>
      <c r="T820" s="92"/>
      <c r="U820" s="92"/>
      <c r="V820" s="52"/>
      <c r="W820" s="52"/>
      <c r="X820" s="52"/>
      <c r="Y820" s="52"/>
      <c r="Z820" s="51"/>
      <c r="AA820" s="73"/>
      <c r="AB820" s="73"/>
      <c r="AC820" s="74"/>
      <c r="AD820" s="81" t="s">
        <v>8520</v>
      </c>
      <c r="AE820" s="86" t="s">
        <v>7877</v>
      </c>
      <c r="AF820" s="81">
        <v>106</v>
      </c>
      <c r="AG820" s="81">
        <v>8</v>
      </c>
      <c r="AH820" s="81">
        <v>835</v>
      </c>
      <c r="AI820" s="81">
        <v>1204</v>
      </c>
      <c r="AJ820" s="81"/>
      <c r="AK820" s="81" t="s">
        <v>10472</v>
      </c>
      <c r="AL820" s="81" t="s">
        <v>11175</v>
      </c>
      <c r="AM820" s="81"/>
      <c r="AN820" s="81"/>
      <c r="AO820" s="83">
        <v>44440.931956018518</v>
      </c>
      <c r="AP820" s="81"/>
      <c r="AQ820" s="81" t="b">
        <v>1</v>
      </c>
      <c r="AR820" s="81" t="b">
        <v>0</v>
      </c>
      <c r="AS820" s="81" t="b">
        <v>0</v>
      </c>
      <c r="AT820" s="81"/>
      <c r="AU820" s="81">
        <v>0</v>
      </c>
      <c r="AV820" s="81"/>
      <c r="AW820" s="81" t="b">
        <v>0</v>
      </c>
      <c r="AX820" s="81" t="s">
        <v>3728</v>
      </c>
      <c r="AY820" s="84" t="str">
        <f>HYPERLINK("https://twitter.com/eduardodebraga6")</f>
        <v>https://twitter.com/eduardodebraga6</v>
      </c>
      <c r="AZ820" s="81" t="s">
        <v>65</v>
      </c>
      <c r="BA820" s="2"/>
      <c r="BB820" s="3"/>
      <c r="BC820" s="3"/>
      <c r="BD820" s="3"/>
      <c r="BE820" s="3"/>
    </row>
    <row r="821" spans="1:57" x14ac:dyDescent="0.35">
      <c r="A821" s="66" t="s">
        <v>5117</v>
      </c>
      <c r="B821" s="67"/>
      <c r="C821" s="67"/>
      <c r="D821" s="68"/>
      <c r="E821" s="94"/>
      <c r="F821" s="93" t="str">
        <f>HYPERLINK("https://pbs.twimg.com/profile_images/1440470184381218818/v39RYy9v_normal.jpg")</f>
        <v>https://pbs.twimg.com/profile_images/1440470184381218818/v39RYy9v_normal.jpg</v>
      </c>
      <c r="G821" s="95"/>
      <c r="H821" s="71"/>
      <c r="I821" s="72"/>
      <c r="J821" s="96"/>
      <c r="K821" s="71" t="s">
        <v>11895</v>
      </c>
      <c r="L821" s="97"/>
      <c r="M821" s="76"/>
      <c r="N821" s="76"/>
      <c r="O821" s="77"/>
      <c r="P821" s="78"/>
      <c r="Q821" s="78"/>
      <c r="R821" s="92"/>
      <c r="S821" s="92"/>
      <c r="T821" s="92"/>
      <c r="U821" s="92"/>
      <c r="V821" s="52"/>
      <c r="W821" s="52"/>
      <c r="X821" s="52"/>
      <c r="Y821" s="52"/>
      <c r="Z821" s="51"/>
      <c r="AA821" s="73"/>
      <c r="AB821" s="73"/>
      <c r="AC821" s="74"/>
      <c r="AD821" s="81" t="s">
        <v>8521</v>
      </c>
      <c r="AE821" s="86" t="s">
        <v>7955</v>
      </c>
      <c r="AF821" s="81">
        <v>342</v>
      </c>
      <c r="AG821" s="81">
        <v>1265416</v>
      </c>
      <c r="AH821" s="81">
        <v>8613</v>
      </c>
      <c r="AI821" s="81">
        <v>5429</v>
      </c>
      <c r="AJ821" s="81"/>
      <c r="AK821" s="81" t="s">
        <v>10473</v>
      </c>
      <c r="AL821" s="81" t="s">
        <v>10988</v>
      </c>
      <c r="AM821" s="84" t="str">
        <f>HYPERLINK("https://t.co/e9xQPGw8pB")</f>
        <v>https://t.co/e9xQPGw8pB</v>
      </c>
      <c r="AN821" s="81"/>
      <c r="AO821" s="83">
        <v>39923.073923611111</v>
      </c>
      <c r="AP821" s="84" t="str">
        <f>HYPERLINK("https://pbs.twimg.com/profile_banners/33374761/1632269398")</f>
        <v>https://pbs.twimg.com/profile_banners/33374761/1632269398</v>
      </c>
      <c r="AQ821" s="81" t="b">
        <v>0</v>
      </c>
      <c r="AR821" s="81" t="b">
        <v>0</v>
      </c>
      <c r="AS821" s="81" t="b">
        <v>1</v>
      </c>
      <c r="AT821" s="81"/>
      <c r="AU821" s="81">
        <v>2915</v>
      </c>
      <c r="AV821" s="84" t="str">
        <f>HYPERLINK("https://abs.twimg.com/images/themes/theme1/bg.png")</f>
        <v>https://abs.twimg.com/images/themes/theme1/bg.png</v>
      </c>
      <c r="AW821" s="81" t="b">
        <v>1</v>
      </c>
      <c r="AX821" s="81" t="s">
        <v>3728</v>
      </c>
      <c r="AY821" s="84" t="str">
        <f>HYPERLINK("https://twitter.com/cirogomes")</f>
        <v>https://twitter.com/cirogomes</v>
      </c>
      <c r="AZ821" s="81" t="s">
        <v>65</v>
      </c>
      <c r="BA821" s="2"/>
      <c r="BB821" s="3"/>
      <c r="BC821" s="3"/>
      <c r="BD821" s="3"/>
      <c r="BE821" s="3"/>
    </row>
    <row r="822" spans="1:57" x14ac:dyDescent="0.35">
      <c r="A822" s="66" t="s">
        <v>4520</v>
      </c>
      <c r="B822" s="67"/>
      <c r="C822" s="67"/>
      <c r="D822" s="68"/>
      <c r="E822" s="94"/>
      <c r="F822" s="93" t="str">
        <f>HYPERLINK("https://abs.twimg.com/sticky/default_profile_images/default_profile_normal.png")</f>
        <v>https://abs.twimg.com/sticky/default_profile_images/default_profile_normal.png</v>
      </c>
      <c r="G822" s="95"/>
      <c r="H822" s="71"/>
      <c r="I822" s="72"/>
      <c r="J822" s="96"/>
      <c r="K822" s="71" t="s">
        <v>11896</v>
      </c>
      <c r="L822" s="97"/>
      <c r="M822" s="76"/>
      <c r="N822" s="76"/>
      <c r="O822" s="77"/>
      <c r="P822" s="78"/>
      <c r="Q822" s="78"/>
      <c r="R822" s="92"/>
      <c r="S822" s="92"/>
      <c r="T822" s="92"/>
      <c r="U822" s="92"/>
      <c r="V822" s="52"/>
      <c r="W822" s="52"/>
      <c r="X822" s="52"/>
      <c r="Y822" s="52"/>
      <c r="Z822" s="51"/>
      <c r="AA822" s="73"/>
      <c r="AB822" s="73"/>
      <c r="AC822" s="74"/>
      <c r="AD822" s="81" t="s">
        <v>8522</v>
      </c>
      <c r="AE822" s="86" t="s">
        <v>9515</v>
      </c>
      <c r="AF822" s="81">
        <v>19</v>
      </c>
      <c r="AG822" s="81">
        <v>4</v>
      </c>
      <c r="AH822" s="81">
        <v>988</v>
      </c>
      <c r="AI822" s="81">
        <v>3270</v>
      </c>
      <c r="AJ822" s="81"/>
      <c r="AK822" s="81"/>
      <c r="AL822" s="81"/>
      <c r="AM822" s="81"/>
      <c r="AN822" s="81"/>
      <c r="AO822" s="83">
        <v>44335.642245370371</v>
      </c>
      <c r="AP822" s="81"/>
      <c r="AQ822" s="81" t="b">
        <v>1</v>
      </c>
      <c r="AR822" s="81" t="b">
        <v>1</v>
      </c>
      <c r="AS822" s="81" t="b">
        <v>0</v>
      </c>
      <c r="AT822" s="81"/>
      <c r="AU822" s="81">
        <v>0</v>
      </c>
      <c r="AV822" s="81"/>
      <c r="AW822" s="81" t="b">
        <v>0</v>
      </c>
      <c r="AX822" s="81" t="s">
        <v>3728</v>
      </c>
      <c r="AY822" s="84" t="str">
        <f>HYPERLINK("https://twitter.com/reginaftima6")</f>
        <v>https://twitter.com/reginaftima6</v>
      </c>
      <c r="AZ822" s="81" t="s">
        <v>66</v>
      </c>
      <c r="BA822" s="2"/>
      <c r="BB822" s="3"/>
      <c r="BC822" s="3"/>
      <c r="BD822" s="3"/>
      <c r="BE822" s="3"/>
    </row>
    <row r="823" spans="1:57" x14ac:dyDescent="0.35">
      <c r="A823" s="66" t="s">
        <v>4521</v>
      </c>
      <c r="B823" s="67"/>
      <c r="C823" s="67"/>
      <c r="D823" s="68"/>
      <c r="E823" s="94"/>
      <c r="F823" s="93" t="str">
        <f>HYPERLINK("https://abs.twimg.com/sticky/default_profile_images/default_profile_normal.png")</f>
        <v>https://abs.twimg.com/sticky/default_profile_images/default_profile_normal.png</v>
      </c>
      <c r="G823" s="95"/>
      <c r="H823" s="71"/>
      <c r="I823" s="72"/>
      <c r="J823" s="96"/>
      <c r="K823" s="71" t="s">
        <v>11897</v>
      </c>
      <c r="L823" s="97"/>
      <c r="M823" s="76"/>
      <c r="N823" s="76"/>
      <c r="O823" s="77"/>
      <c r="P823" s="78"/>
      <c r="Q823" s="78"/>
      <c r="R823" s="92"/>
      <c r="S823" s="92"/>
      <c r="T823" s="92"/>
      <c r="U823" s="92"/>
      <c r="V823" s="52"/>
      <c r="W823" s="52"/>
      <c r="X823" s="52"/>
      <c r="Y823" s="52"/>
      <c r="Z823" s="51"/>
      <c r="AA823" s="73"/>
      <c r="AB823" s="73"/>
      <c r="AC823" s="74"/>
      <c r="AD823" s="81" t="s">
        <v>8523</v>
      </c>
      <c r="AE823" s="86" t="s">
        <v>9516</v>
      </c>
      <c r="AF823" s="81">
        <v>53</v>
      </c>
      <c r="AG823" s="81">
        <v>12</v>
      </c>
      <c r="AH823" s="81">
        <v>2611</v>
      </c>
      <c r="AI823" s="81">
        <v>16654</v>
      </c>
      <c r="AJ823" s="81"/>
      <c r="AK823" s="81"/>
      <c r="AL823" s="81"/>
      <c r="AM823" s="81"/>
      <c r="AN823" s="81"/>
      <c r="AO823" s="83">
        <v>42383.022476851853</v>
      </c>
      <c r="AP823" s="81"/>
      <c r="AQ823" s="81" t="b">
        <v>1</v>
      </c>
      <c r="AR823" s="81" t="b">
        <v>1</v>
      </c>
      <c r="AS823" s="81" t="b">
        <v>0</v>
      </c>
      <c r="AT823" s="81"/>
      <c r="AU823" s="81">
        <v>0</v>
      </c>
      <c r="AV823" s="81"/>
      <c r="AW823" s="81" t="b">
        <v>0</v>
      </c>
      <c r="AX823" s="81" t="s">
        <v>3728</v>
      </c>
      <c r="AY823" s="84" t="str">
        <f>HYPERLINK("https://twitter.com/abelmaxwell2")</f>
        <v>https://twitter.com/abelmaxwell2</v>
      </c>
      <c r="AZ823" s="81" t="s">
        <v>66</v>
      </c>
      <c r="BA823" s="2"/>
      <c r="BB823" s="3"/>
      <c r="BC823" s="3"/>
      <c r="BD823" s="3"/>
      <c r="BE823" s="3"/>
    </row>
    <row r="824" spans="1:57" x14ac:dyDescent="0.35">
      <c r="A824" s="66" t="s">
        <v>5118</v>
      </c>
      <c r="B824" s="67"/>
      <c r="C824" s="67"/>
      <c r="D824" s="68"/>
      <c r="E824" s="94"/>
      <c r="F824" s="93" t="str">
        <f>HYPERLINK("https://pbs.twimg.com/profile_images/1415846504942686210/8nSGdB2F_normal.jpg")</f>
        <v>https://pbs.twimg.com/profile_images/1415846504942686210/8nSGdB2F_normal.jpg</v>
      </c>
      <c r="G824" s="95"/>
      <c r="H824" s="71"/>
      <c r="I824" s="72"/>
      <c r="J824" s="96"/>
      <c r="K824" s="71" t="s">
        <v>11898</v>
      </c>
      <c r="L824" s="97"/>
      <c r="M824" s="76"/>
      <c r="N824" s="76"/>
      <c r="O824" s="77"/>
      <c r="P824" s="78"/>
      <c r="Q824" s="78"/>
      <c r="R824" s="92"/>
      <c r="S824" s="92"/>
      <c r="T824" s="92"/>
      <c r="U824" s="92"/>
      <c r="V824" s="52"/>
      <c r="W824" s="52"/>
      <c r="X824" s="52"/>
      <c r="Y824" s="52"/>
      <c r="Z824" s="51"/>
      <c r="AA824" s="73"/>
      <c r="AB824" s="73"/>
      <c r="AC824" s="74"/>
      <c r="AD824" s="81" t="s">
        <v>8524</v>
      </c>
      <c r="AE824" s="86" t="s">
        <v>7878</v>
      </c>
      <c r="AF824" s="81">
        <v>1107</v>
      </c>
      <c r="AG824" s="81">
        <v>14031</v>
      </c>
      <c r="AH824" s="81">
        <v>213475</v>
      </c>
      <c r="AI824" s="81">
        <v>6022</v>
      </c>
      <c r="AJ824" s="81"/>
      <c r="AK824" s="81" t="s">
        <v>10474</v>
      </c>
      <c r="AL824" s="81"/>
      <c r="AM824" s="81"/>
      <c r="AN824" s="81"/>
      <c r="AO824" s="83">
        <v>40107.78601851852</v>
      </c>
      <c r="AP824" s="84" t="str">
        <f>HYPERLINK("https://pbs.twimg.com/profile_banners/84134067/1439097615")</f>
        <v>https://pbs.twimg.com/profile_banners/84134067/1439097615</v>
      </c>
      <c r="AQ824" s="81" t="b">
        <v>1</v>
      </c>
      <c r="AR824" s="81" t="b">
        <v>0</v>
      </c>
      <c r="AS824" s="81" t="b">
        <v>0</v>
      </c>
      <c r="AT824" s="81"/>
      <c r="AU824" s="81">
        <v>104</v>
      </c>
      <c r="AV824" s="84" t="str">
        <f>HYPERLINK("https://abs.twimg.com/images/themes/theme1/bg.png")</f>
        <v>https://abs.twimg.com/images/themes/theme1/bg.png</v>
      </c>
      <c r="AW824" s="81" t="b">
        <v>0</v>
      </c>
      <c r="AX824" s="81" t="s">
        <v>3728</v>
      </c>
      <c r="AY824" s="84" t="str">
        <f>HYPERLINK("https://twitter.com/cyrusafa")</f>
        <v>https://twitter.com/cyrusafa</v>
      </c>
      <c r="AZ824" s="81" t="s">
        <v>65</v>
      </c>
      <c r="BA824" s="2"/>
      <c r="BB824" s="3"/>
      <c r="BC824" s="3"/>
      <c r="BD824" s="3"/>
      <c r="BE824" s="3"/>
    </row>
    <row r="825" spans="1:57" x14ac:dyDescent="0.35">
      <c r="A825" s="66" t="s">
        <v>4522</v>
      </c>
      <c r="B825" s="67"/>
      <c r="C825" s="67"/>
      <c r="D825" s="68"/>
      <c r="E825" s="94"/>
      <c r="F825" s="93" t="str">
        <f>HYPERLINK("https://abs.twimg.com/sticky/default_profile_images/default_profile_normal.png")</f>
        <v>https://abs.twimg.com/sticky/default_profile_images/default_profile_normal.png</v>
      </c>
      <c r="G825" s="95"/>
      <c r="H825" s="71"/>
      <c r="I825" s="72"/>
      <c r="J825" s="96"/>
      <c r="K825" s="71" t="s">
        <v>11899</v>
      </c>
      <c r="L825" s="97"/>
      <c r="M825" s="76"/>
      <c r="N825" s="76"/>
      <c r="O825" s="77"/>
      <c r="P825" s="78"/>
      <c r="Q825" s="78"/>
      <c r="R825" s="92"/>
      <c r="S825" s="92"/>
      <c r="T825" s="92"/>
      <c r="U825" s="92"/>
      <c r="V825" s="52"/>
      <c r="W825" s="52"/>
      <c r="X825" s="52"/>
      <c r="Y825" s="52"/>
      <c r="Z825" s="51"/>
      <c r="AA825" s="73"/>
      <c r="AB825" s="73"/>
      <c r="AC825" s="74"/>
      <c r="AD825" s="81" t="s">
        <v>8525</v>
      </c>
      <c r="AE825" s="86" t="s">
        <v>9517</v>
      </c>
      <c r="AF825" s="81">
        <v>9</v>
      </c>
      <c r="AG825" s="81">
        <v>0</v>
      </c>
      <c r="AH825" s="81">
        <v>51</v>
      </c>
      <c r="AI825" s="81">
        <v>2</v>
      </c>
      <c r="AJ825" s="81"/>
      <c r="AK825" s="81"/>
      <c r="AL825" s="81"/>
      <c r="AM825" s="81"/>
      <c r="AN825" s="81"/>
      <c r="AO825" s="83">
        <v>44432.699560185189</v>
      </c>
      <c r="AP825" s="81"/>
      <c r="AQ825" s="81" t="b">
        <v>1</v>
      </c>
      <c r="AR825" s="81" t="b">
        <v>1</v>
      </c>
      <c r="AS825" s="81" t="b">
        <v>0</v>
      </c>
      <c r="AT825" s="81"/>
      <c r="AU825" s="81">
        <v>0</v>
      </c>
      <c r="AV825" s="81"/>
      <c r="AW825" s="81" t="b">
        <v>0</v>
      </c>
      <c r="AX825" s="81" t="s">
        <v>3728</v>
      </c>
      <c r="AY825" s="84" t="str">
        <f>HYPERLINK("https://twitter.com/petrussacra")</f>
        <v>https://twitter.com/petrussacra</v>
      </c>
      <c r="AZ825" s="81" t="s">
        <v>66</v>
      </c>
      <c r="BA825" s="2"/>
      <c r="BB825" s="3"/>
      <c r="BC825" s="3"/>
      <c r="BD825" s="3"/>
      <c r="BE825" s="3"/>
    </row>
    <row r="826" spans="1:57" x14ac:dyDescent="0.35">
      <c r="A826" s="66" t="s">
        <v>5119</v>
      </c>
      <c r="B826" s="67"/>
      <c r="C826" s="67"/>
      <c r="D826" s="68"/>
      <c r="E826" s="94"/>
      <c r="F826" s="93" t="str">
        <f>HYPERLINK("https://pbs.twimg.com/profile_images/1443320394769911813/V7J3S8H4_normal.jpg")</f>
        <v>https://pbs.twimg.com/profile_images/1443320394769911813/V7J3S8H4_normal.jpg</v>
      </c>
      <c r="G826" s="95"/>
      <c r="H826" s="71"/>
      <c r="I826" s="72"/>
      <c r="J826" s="96"/>
      <c r="K826" s="71" t="s">
        <v>11900</v>
      </c>
      <c r="L826" s="97"/>
      <c r="M826" s="76"/>
      <c r="N826" s="76"/>
      <c r="O826" s="77"/>
      <c r="P826" s="78"/>
      <c r="Q826" s="78"/>
      <c r="R826" s="92"/>
      <c r="S826" s="92"/>
      <c r="T826" s="92"/>
      <c r="U826" s="92"/>
      <c r="V826" s="52"/>
      <c r="W826" s="52"/>
      <c r="X826" s="52"/>
      <c r="Y826" s="52"/>
      <c r="Z826" s="51"/>
      <c r="AA826" s="73"/>
      <c r="AB826" s="73"/>
      <c r="AC826" s="74"/>
      <c r="AD826" s="81" t="s">
        <v>8526</v>
      </c>
      <c r="AE826" s="86" t="s">
        <v>9518</v>
      </c>
      <c r="AF826" s="81">
        <v>440</v>
      </c>
      <c r="AG826" s="81">
        <v>359763</v>
      </c>
      <c r="AH826" s="81">
        <v>4931</v>
      </c>
      <c r="AI826" s="81">
        <v>3738</v>
      </c>
      <c r="AJ826" s="81"/>
      <c r="AK826" s="81" t="s">
        <v>13939</v>
      </c>
      <c r="AL826" s="81" t="s">
        <v>10992</v>
      </c>
      <c r="AM826" s="84" t="str">
        <f>HYPERLINK("https://t.co/5b4Gn9I98q")</f>
        <v>https://t.co/5b4Gn9I98q</v>
      </c>
      <c r="AN826" s="81"/>
      <c r="AO826" s="83">
        <v>43249.000428240739</v>
      </c>
      <c r="AP826" s="84" t="str">
        <f>HYPERLINK("https://pbs.twimg.com/profile_banners/1001251931812220928/1614024148")</f>
        <v>https://pbs.twimg.com/profile_banners/1001251931812220928/1614024148</v>
      </c>
      <c r="AQ826" s="81" t="b">
        <v>0</v>
      </c>
      <c r="AR826" s="81" t="b">
        <v>0</v>
      </c>
      <c r="AS826" s="81" t="b">
        <v>1</v>
      </c>
      <c r="AT826" s="81"/>
      <c r="AU826" s="81">
        <v>913</v>
      </c>
      <c r="AV826" s="84" t="str">
        <f>HYPERLINK("https://abs.twimg.com/images/themes/theme1/bg.png")</f>
        <v>https://abs.twimg.com/images/themes/theme1/bg.png</v>
      </c>
      <c r="AW826" s="81" t="b">
        <v>1</v>
      </c>
      <c r="AX826" s="81" t="s">
        <v>3728</v>
      </c>
      <c r="AY826" s="84" t="str">
        <f>HYPERLINK("https://twitter.com/tabataamaralsp")</f>
        <v>https://twitter.com/tabataamaralsp</v>
      </c>
      <c r="AZ826" s="81" t="s">
        <v>65</v>
      </c>
      <c r="BA826" s="2"/>
      <c r="BB826" s="3"/>
      <c r="BC826" s="3"/>
      <c r="BD826" s="3"/>
      <c r="BE826" s="3"/>
    </row>
    <row r="827" spans="1:57" x14ac:dyDescent="0.35">
      <c r="A827" s="66" t="s">
        <v>5120</v>
      </c>
      <c r="B827" s="67"/>
      <c r="C827" s="67"/>
      <c r="D827" s="68"/>
      <c r="E827" s="94"/>
      <c r="F827" s="93" t="str">
        <f>HYPERLINK("https://pbs.twimg.com/profile_images/1319642914914504705/3tFEVWj__normal.jpg")</f>
        <v>https://pbs.twimg.com/profile_images/1319642914914504705/3tFEVWj__normal.jpg</v>
      </c>
      <c r="G827" s="95"/>
      <c r="H827" s="71"/>
      <c r="I827" s="72"/>
      <c r="J827" s="96"/>
      <c r="K827" s="71" t="s">
        <v>11901</v>
      </c>
      <c r="L827" s="97"/>
      <c r="M827" s="76"/>
      <c r="N827" s="76"/>
      <c r="O827" s="77"/>
      <c r="P827" s="78"/>
      <c r="Q827" s="78"/>
      <c r="R827" s="92"/>
      <c r="S827" s="92"/>
      <c r="T827" s="92"/>
      <c r="U827" s="92"/>
      <c r="V827" s="52"/>
      <c r="W827" s="52"/>
      <c r="X827" s="52"/>
      <c r="Y827" s="52"/>
      <c r="Z827" s="51"/>
      <c r="AA827" s="73"/>
      <c r="AB827" s="73"/>
      <c r="AC827" s="74"/>
      <c r="AD827" s="81" t="s">
        <v>8527</v>
      </c>
      <c r="AE827" s="86" t="s">
        <v>9519</v>
      </c>
      <c r="AF827" s="81">
        <v>1525</v>
      </c>
      <c r="AG827" s="81">
        <v>23664</v>
      </c>
      <c r="AH827" s="81">
        <v>23602</v>
      </c>
      <c r="AI827" s="81">
        <v>103259</v>
      </c>
      <c r="AJ827" s="81"/>
      <c r="AK827" s="81" t="s">
        <v>10475</v>
      </c>
      <c r="AL827" s="81" t="s">
        <v>8001</v>
      </c>
      <c r="AM827" s="84" t="str">
        <f>HYPERLINK("https://t.co/AuHid6SdNs")</f>
        <v>https://t.co/AuHid6SdNs</v>
      </c>
      <c r="AN827" s="81"/>
      <c r="AO827" s="83">
        <v>43396.561412037037</v>
      </c>
      <c r="AP827" s="84" t="str">
        <f>HYPERLINK("https://pbs.twimg.com/profile_banners/1054726240723189760/1605556731")</f>
        <v>https://pbs.twimg.com/profile_banners/1054726240723189760/1605556731</v>
      </c>
      <c r="AQ827" s="81" t="b">
        <v>1</v>
      </c>
      <c r="AR827" s="81" t="b">
        <v>0</v>
      </c>
      <c r="AS827" s="81" t="b">
        <v>1</v>
      </c>
      <c r="AT827" s="81"/>
      <c r="AU827" s="81">
        <v>160</v>
      </c>
      <c r="AV827" s="81"/>
      <c r="AW827" s="81" t="b">
        <v>1</v>
      </c>
      <c r="AX827" s="81" t="s">
        <v>3728</v>
      </c>
      <c r="AY827" s="84" t="str">
        <f>HYPERLINK("https://twitter.com/ducavendish")</f>
        <v>https://twitter.com/ducavendish</v>
      </c>
      <c r="AZ827" s="81" t="s">
        <v>65</v>
      </c>
      <c r="BA827" s="2"/>
      <c r="BB827" s="3"/>
      <c r="BC827" s="3"/>
      <c r="BD827" s="3"/>
      <c r="BE827" s="3"/>
    </row>
    <row r="828" spans="1:57" x14ac:dyDescent="0.35">
      <c r="A828" s="66" t="s">
        <v>5121</v>
      </c>
      <c r="B828" s="67"/>
      <c r="C828" s="67"/>
      <c r="D828" s="68"/>
      <c r="E828" s="94"/>
      <c r="F828" s="93" t="str">
        <f>HYPERLINK("https://pbs.twimg.com/profile_images/1284578994088747017/Rs37RVK5_normal.jpg")</f>
        <v>https://pbs.twimg.com/profile_images/1284578994088747017/Rs37RVK5_normal.jpg</v>
      </c>
      <c r="G828" s="95"/>
      <c r="H828" s="71"/>
      <c r="I828" s="72"/>
      <c r="J828" s="96"/>
      <c r="K828" s="71" t="s">
        <v>11902</v>
      </c>
      <c r="L828" s="97"/>
      <c r="M828" s="76"/>
      <c r="N828" s="76"/>
      <c r="O828" s="77"/>
      <c r="P828" s="78"/>
      <c r="Q828" s="78"/>
      <c r="R828" s="92"/>
      <c r="S828" s="92"/>
      <c r="T828" s="92"/>
      <c r="U828" s="92"/>
      <c r="V828" s="52"/>
      <c r="W828" s="52"/>
      <c r="X828" s="52"/>
      <c r="Y828" s="52"/>
      <c r="Z828" s="51"/>
      <c r="AA828" s="73"/>
      <c r="AB828" s="73"/>
      <c r="AC828" s="74"/>
      <c r="AD828" s="81" t="s">
        <v>8528</v>
      </c>
      <c r="AE828" s="86" t="s">
        <v>9520</v>
      </c>
      <c r="AF828" s="81">
        <v>364</v>
      </c>
      <c r="AG828" s="81">
        <v>97</v>
      </c>
      <c r="AH828" s="81">
        <v>2014</v>
      </c>
      <c r="AI828" s="81">
        <v>10484</v>
      </c>
      <c r="AJ828" s="81"/>
      <c r="AK828" s="81" t="s">
        <v>10476</v>
      </c>
      <c r="AL828" s="81"/>
      <c r="AM828" s="81"/>
      <c r="AN828" s="81"/>
      <c r="AO828" s="83">
        <v>39878.569537037038</v>
      </c>
      <c r="AP828" s="84" t="str">
        <f>HYPERLINK("https://pbs.twimg.com/profile_banners/23063424/1607425010")</f>
        <v>https://pbs.twimg.com/profile_banners/23063424/1607425010</v>
      </c>
      <c r="AQ828" s="81" t="b">
        <v>0</v>
      </c>
      <c r="AR828" s="81" t="b">
        <v>0</v>
      </c>
      <c r="AS828" s="81" t="b">
        <v>1</v>
      </c>
      <c r="AT828" s="81"/>
      <c r="AU828" s="81">
        <v>1</v>
      </c>
      <c r="AV828" s="84" t="str">
        <f>HYPERLINK("https://abs.twimg.com/images/themes/theme2/bg.gif")</f>
        <v>https://abs.twimg.com/images/themes/theme2/bg.gif</v>
      </c>
      <c r="AW828" s="81" t="b">
        <v>0</v>
      </c>
      <c r="AX828" s="81" t="s">
        <v>3728</v>
      </c>
      <c r="AY828" s="84" t="str">
        <f>HYPERLINK("https://twitter.com/nix1337")</f>
        <v>https://twitter.com/nix1337</v>
      </c>
      <c r="AZ828" s="81" t="s">
        <v>65</v>
      </c>
      <c r="BA828" s="2"/>
      <c r="BB828" s="3"/>
      <c r="BC828" s="3"/>
      <c r="BD828" s="3"/>
      <c r="BE828" s="3"/>
    </row>
    <row r="829" spans="1:57" x14ac:dyDescent="0.35">
      <c r="A829" s="66" t="s">
        <v>5122</v>
      </c>
      <c r="B829" s="67"/>
      <c r="C829" s="67"/>
      <c r="D829" s="68"/>
      <c r="E829" s="94"/>
      <c r="F829" s="93" t="str">
        <f>HYPERLINK("https://pbs.twimg.com/profile_images/1423728346744172545/GFXpg77z_normal.jpg")</f>
        <v>https://pbs.twimg.com/profile_images/1423728346744172545/GFXpg77z_normal.jpg</v>
      </c>
      <c r="G829" s="95"/>
      <c r="H829" s="71"/>
      <c r="I829" s="72"/>
      <c r="J829" s="96"/>
      <c r="K829" s="71" t="s">
        <v>11903</v>
      </c>
      <c r="L829" s="97"/>
      <c r="M829" s="76"/>
      <c r="N829" s="76"/>
      <c r="O829" s="77"/>
      <c r="P829" s="78"/>
      <c r="Q829" s="78"/>
      <c r="R829" s="92"/>
      <c r="S829" s="92"/>
      <c r="T829" s="92"/>
      <c r="U829" s="92"/>
      <c r="V829" s="52"/>
      <c r="W829" s="52"/>
      <c r="X829" s="52"/>
      <c r="Y829" s="52"/>
      <c r="Z829" s="51"/>
      <c r="AA829" s="73"/>
      <c r="AB829" s="73"/>
      <c r="AC829" s="74"/>
      <c r="AD829" s="81" t="s">
        <v>8529</v>
      </c>
      <c r="AE829" s="86" t="s">
        <v>9521</v>
      </c>
      <c r="AF829" s="81">
        <v>568</v>
      </c>
      <c r="AG829" s="81">
        <v>525</v>
      </c>
      <c r="AH829" s="81">
        <v>13187</v>
      </c>
      <c r="AI829" s="81">
        <v>62275</v>
      </c>
      <c r="AJ829" s="81"/>
      <c r="AK829" s="81" t="s">
        <v>10477</v>
      </c>
      <c r="AL829" s="81"/>
      <c r="AM829" s="81"/>
      <c r="AN829" s="81"/>
      <c r="AO829" s="83">
        <v>42540.150104166663</v>
      </c>
      <c r="AP829" s="84" t="str">
        <f>HYPERLINK("https://pbs.twimg.com/profile_banners/744373173169299456/1626385912")</f>
        <v>https://pbs.twimg.com/profile_banners/744373173169299456/1626385912</v>
      </c>
      <c r="AQ829" s="81" t="b">
        <v>1</v>
      </c>
      <c r="AR829" s="81" t="b">
        <v>0</v>
      </c>
      <c r="AS829" s="81" t="b">
        <v>0</v>
      </c>
      <c r="AT829" s="81"/>
      <c r="AU829" s="81">
        <v>0</v>
      </c>
      <c r="AV829" s="81"/>
      <c r="AW829" s="81" t="b">
        <v>0</v>
      </c>
      <c r="AX829" s="81" t="s">
        <v>3728</v>
      </c>
      <c r="AY829" s="84" t="str">
        <f>HYPERLINK("https://twitter.com/bronson_x")</f>
        <v>https://twitter.com/bronson_x</v>
      </c>
      <c r="AZ829" s="81" t="s">
        <v>65</v>
      </c>
      <c r="BA829" s="2"/>
      <c r="BB829" s="3"/>
      <c r="BC829" s="3"/>
      <c r="BD829" s="3"/>
      <c r="BE829" s="3"/>
    </row>
    <row r="830" spans="1:57" x14ac:dyDescent="0.35">
      <c r="A830" s="66" t="s">
        <v>5123</v>
      </c>
      <c r="B830" s="67"/>
      <c r="C830" s="67"/>
      <c r="D830" s="68"/>
      <c r="E830" s="94"/>
      <c r="F830" s="93" t="str">
        <f>HYPERLINK("https://pbs.twimg.com/profile_images/1269807439282667521/stkaBXfQ_normal.jpg")</f>
        <v>https://pbs.twimg.com/profile_images/1269807439282667521/stkaBXfQ_normal.jpg</v>
      </c>
      <c r="G830" s="95"/>
      <c r="H830" s="71"/>
      <c r="I830" s="72"/>
      <c r="J830" s="96"/>
      <c r="K830" s="71" t="s">
        <v>11904</v>
      </c>
      <c r="L830" s="97"/>
      <c r="M830" s="76"/>
      <c r="N830" s="76"/>
      <c r="O830" s="77"/>
      <c r="P830" s="78"/>
      <c r="Q830" s="78"/>
      <c r="R830" s="92"/>
      <c r="S830" s="92"/>
      <c r="T830" s="92"/>
      <c r="U830" s="92"/>
      <c r="V830" s="52"/>
      <c r="W830" s="52"/>
      <c r="X830" s="52"/>
      <c r="Y830" s="52"/>
      <c r="Z830" s="51"/>
      <c r="AA830" s="73"/>
      <c r="AB830" s="73"/>
      <c r="AC830" s="74"/>
      <c r="AD830" s="81" t="s">
        <v>8530</v>
      </c>
      <c r="AE830" s="86" t="s">
        <v>7879</v>
      </c>
      <c r="AF830" s="81">
        <v>258</v>
      </c>
      <c r="AG830" s="81">
        <v>78</v>
      </c>
      <c r="AH830" s="81">
        <v>3081</v>
      </c>
      <c r="AI830" s="81">
        <v>17473</v>
      </c>
      <c r="AJ830" s="81"/>
      <c r="AK830" s="81" t="s">
        <v>10478</v>
      </c>
      <c r="AL830" s="81"/>
      <c r="AM830" s="81"/>
      <c r="AN830" s="81"/>
      <c r="AO830" s="83">
        <v>43391.886435185188</v>
      </c>
      <c r="AP830" s="84" t="str">
        <f>HYPERLINK("https://pbs.twimg.com/profile_banners/1053032084724441088/1611696903")</f>
        <v>https://pbs.twimg.com/profile_banners/1053032084724441088/1611696903</v>
      </c>
      <c r="AQ830" s="81" t="b">
        <v>1</v>
      </c>
      <c r="AR830" s="81" t="b">
        <v>0</v>
      </c>
      <c r="AS830" s="81" t="b">
        <v>0</v>
      </c>
      <c r="AT830" s="81"/>
      <c r="AU830" s="81">
        <v>1</v>
      </c>
      <c r="AV830" s="81"/>
      <c r="AW830" s="81" t="b">
        <v>0</v>
      </c>
      <c r="AX830" s="81" t="s">
        <v>3728</v>
      </c>
      <c r="AY830" s="84" t="str">
        <f>HYPERLINK("https://twitter.com/brjamessr")</f>
        <v>https://twitter.com/brjamessr</v>
      </c>
      <c r="AZ830" s="81" t="s">
        <v>65</v>
      </c>
      <c r="BA830" s="2"/>
      <c r="BB830" s="3"/>
      <c r="BC830" s="3"/>
      <c r="BD830" s="3"/>
      <c r="BE830" s="3"/>
    </row>
    <row r="831" spans="1:57" x14ac:dyDescent="0.35">
      <c r="A831" s="66" t="s">
        <v>4523</v>
      </c>
      <c r="B831" s="67"/>
      <c r="C831" s="67"/>
      <c r="D831" s="68"/>
      <c r="E831" s="94"/>
      <c r="F831" s="93" t="str">
        <f>HYPERLINK("https://abs.twimg.com/sticky/default_profile_images/default_profile_normal.png")</f>
        <v>https://abs.twimg.com/sticky/default_profile_images/default_profile_normal.png</v>
      </c>
      <c r="G831" s="95"/>
      <c r="H831" s="71"/>
      <c r="I831" s="72"/>
      <c r="J831" s="96"/>
      <c r="K831" s="71" t="s">
        <v>11905</v>
      </c>
      <c r="L831" s="97"/>
      <c r="M831" s="76"/>
      <c r="N831" s="76"/>
      <c r="O831" s="77"/>
      <c r="P831" s="78"/>
      <c r="Q831" s="78"/>
      <c r="R831" s="92"/>
      <c r="S831" s="92"/>
      <c r="T831" s="92"/>
      <c r="U831" s="92"/>
      <c r="V831" s="52"/>
      <c r="W831" s="52"/>
      <c r="X831" s="52"/>
      <c r="Y831" s="52"/>
      <c r="Z831" s="51"/>
      <c r="AA831" s="73"/>
      <c r="AB831" s="73"/>
      <c r="AC831" s="74"/>
      <c r="AD831" s="81" t="s">
        <v>8531</v>
      </c>
      <c r="AE831" s="86" t="s">
        <v>9522</v>
      </c>
      <c r="AF831" s="81">
        <v>5</v>
      </c>
      <c r="AG831" s="81">
        <v>0</v>
      </c>
      <c r="AH831" s="81">
        <v>253</v>
      </c>
      <c r="AI831" s="81">
        <v>13</v>
      </c>
      <c r="AJ831" s="81"/>
      <c r="AK831" s="81"/>
      <c r="AL831" s="81"/>
      <c r="AM831" s="81"/>
      <c r="AN831" s="81"/>
      <c r="AO831" s="83">
        <v>44375.709699074076</v>
      </c>
      <c r="AP831" s="81"/>
      <c r="AQ831" s="81" t="b">
        <v>1</v>
      </c>
      <c r="AR831" s="81" t="b">
        <v>1</v>
      </c>
      <c r="AS831" s="81" t="b">
        <v>0</v>
      </c>
      <c r="AT831" s="81"/>
      <c r="AU831" s="81">
        <v>0</v>
      </c>
      <c r="AV831" s="81"/>
      <c r="AW831" s="81" t="b">
        <v>0</v>
      </c>
      <c r="AX831" s="81" t="s">
        <v>3728</v>
      </c>
      <c r="AY831" s="84" t="str">
        <f>HYPERLINK("https://twitter.com/lioeslucas")</f>
        <v>https://twitter.com/lioeslucas</v>
      </c>
      <c r="AZ831" s="81" t="s">
        <v>66</v>
      </c>
      <c r="BA831" s="2"/>
      <c r="BB831" s="3"/>
      <c r="BC831" s="3"/>
      <c r="BD831" s="3"/>
      <c r="BE831" s="3"/>
    </row>
    <row r="832" spans="1:57" x14ac:dyDescent="0.35">
      <c r="A832" s="66" t="s">
        <v>5124</v>
      </c>
      <c r="B832" s="67"/>
      <c r="C832" s="67"/>
      <c r="D832" s="68"/>
      <c r="E832" s="94"/>
      <c r="F832" s="93" t="str">
        <f>HYPERLINK("https://pbs.twimg.com/profile_images/1365672759397937153/GVxtqnN9_normal.jpg")</f>
        <v>https://pbs.twimg.com/profile_images/1365672759397937153/GVxtqnN9_normal.jpg</v>
      </c>
      <c r="G832" s="95"/>
      <c r="H832" s="71"/>
      <c r="I832" s="72"/>
      <c r="J832" s="96"/>
      <c r="K832" s="71" t="s">
        <v>11906</v>
      </c>
      <c r="L832" s="97"/>
      <c r="M832" s="76"/>
      <c r="N832" s="76"/>
      <c r="O832" s="77"/>
      <c r="P832" s="78"/>
      <c r="Q832" s="78"/>
      <c r="R832" s="92"/>
      <c r="S832" s="92"/>
      <c r="T832" s="92"/>
      <c r="U832" s="92"/>
      <c r="V832" s="52"/>
      <c r="W832" s="52"/>
      <c r="X832" s="52"/>
      <c r="Y832" s="52"/>
      <c r="Z832" s="51"/>
      <c r="AA832" s="73"/>
      <c r="AB832" s="73"/>
      <c r="AC832" s="74"/>
      <c r="AD832" s="81" t="s">
        <v>8532</v>
      </c>
      <c r="AE832" s="86" t="s">
        <v>9523</v>
      </c>
      <c r="AF832" s="81">
        <v>75</v>
      </c>
      <c r="AG832" s="81">
        <v>16</v>
      </c>
      <c r="AH832" s="81">
        <v>459</v>
      </c>
      <c r="AI832" s="81">
        <v>958</v>
      </c>
      <c r="AJ832" s="81"/>
      <c r="AK832" s="81" t="s">
        <v>10479</v>
      </c>
      <c r="AL832" s="81" t="s">
        <v>11176</v>
      </c>
      <c r="AM832" s="81"/>
      <c r="AN832" s="81"/>
      <c r="AO832" s="83">
        <v>43903.113275462965</v>
      </c>
      <c r="AP832" s="84" t="str">
        <f>HYPERLINK("https://pbs.twimg.com/profile_banners/1238294440126676994/1600983621")</f>
        <v>https://pbs.twimg.com/profile_banners/1238294440126676994/1600983621</v>
      </c>
      <c r="AQ832" s="81" t="b">
        <v>1</v>
      </c>
      <c r="AR832" s="81" t="b">
        <v>0</v>
      </c>
      <c r="AS832" s="81" t="b">
        <v>0</v>
      </c>
      <c r="AT832" s="81"/>
      <c r="AU832" s="81">
        <v>0</v>
      </c>
      <c r="AV832" s="81"/>
      <c r="AW832" s="81" t="b">
        <v>0</v>
      </c>
      <c r="AX832" s="81" t="s">
        <v>3728</v>
      </c>
      <c r="AY832" s="84" t="str">
        <f>HYPERLINK("https://twitter.com/euwillarauujo")</f>
        <v>https://twitter.com/euwillarauujo</v>
      </c>
      <c r="AZ832" s="81" t="s">
        <v>65</v>
      </c>
      <c r="BA832" s="2"/>
      <c r="BB832" s="3"/>
      <c r="BC832" s="3"/>
      <c r="BD832" s="3"/>
      <c r="BE832" s="3"/>
    </row>
    <row r="833" spans="1:57" x14ac:dyDescent="0.35">
      <c r="A833" s="66" t="s">
        <v>5125</v>
      </c>
      <c r="B833" s="67"/>
      <c r="C833" s="67"/>
      <c r="D833" s="68"/>
      <c r="E833" s="94"/>
      <c r="F833" s="93" t="str">
        <f>HYPERLINK("https://pbs.twimg.com/profile_images/1038647311159713792/oMkTHaTK_normal.jpg")</f>
        <v>https://pbs.twimg.com/profile_images/1038647311159713792/oMkTHaTK_normal.jpg</v>
      </c>
      <c r="G833" s="95"/>
      <c r="H833" s="71"/>
      <c r="I833" s="72"/>
      <c r="J833" s="96"/>
      <c r="K833" s="71" t="s">
        <v>11907</v>
      </c>
      <c r="L833" s="97"/>
      <c r="M833" s="76"/>
      <c r="N833" s="76"/>
      <c r="O833" s="77"/>
      <c r="P833" s="78"/>
      <c r="Q833" s="78"/>
      <c r="R833" s="92"/>
      <c r="S833" s="92"/>
      <c r="T833" s="92"/>
      <c r="U833" s="92"/>
      <c r="V833" s="52"/>
      <c r="W833" s="52"/>
      <c r="X833" s="52"/>
      <c r="Y833" s="52"/>
      <c r="Z833" s="51"/>
      <c r="AA833" s="73"/>
      <c r="AB833" s="73"/>
      <c r="AC833" s="74"/>
      <c r="AD833" s="81" t="s">
        <v>8533</v>
      </c>
      <c r="AE833" s="86" t="s">
        <v>7880</v>
      </c>
      <c r="AF833" s="81">
        <v>131</v>
      </c>
      <c r="AG833" s="81">
        <v>36</v>
      </c>
      <c r="AH833" s="81">
        <v>258</v>
      </c>
      <c r="AI833" s="81">
        <v>767</v>
      </c>
      <c r="AJ833" s="81"/>
      <c r="AK833" s="81" t="s">
        <v>10480</v>
      </c>
      <c r="AL833" s="81"/>
      <c r="AM833" s="81"/>
      <c r="AN833" s="81"/>
      <c r="AO833" s="83">
        <v>40426.804432870369</v>
      </c>
      <c r="AP833" s="84" t="str">
        <f>HYPERLINK("https://pbs.twimg.com/profile_banners/187270685/1472501791")</f>
        <v>https://pbs.twimg.com/profile_banners/187270685/1472501791</v>
      </c>
      <c r="AQ833" s="81" t="b">
        <v>0</v>
      </c>
      <c r="AR833" s="81" t="b">
        <v>0</v>
      </c>
      <c r="AS833" s="81" t="b">
        <v>0</v>
      </c>
      <c r="AT833" s="81"/>
      <c r="AU833" s="81">
        <v>0</v>
      </c>
      <c r="AV833" s="84" t="str">
        <f>HYPERLINK("https://abs.twimg.com/images/themes/theme8/bg.gif")</f>
        <v>https://abs.twimg.com/images/themes/theme8/bg.gif</v>
      </c>
      <c r="AW833" s="81" t="b">
        <v>0</v>
      </c>
      <c r="AX833" s="81" t="s">
        <v>3728</v>
      </c>
      <c r="AY833" s="84" t="str">
        <f>HYPERLINK("https://twitter.com/sasbranco")</f>
        <v>https://twitter.com/sasbranco</v>
      </c>
      <c r="AZ833" s="81" t="s">
        <v>65</v>
      </c>
      <c r="BA833" s="2"/>
      <c r="BB833" s="3"/>
      <c r="BC833" s="3"/>
      <c r="BD833" s="3"/>
      <c r="BE833" s="3"/>
    </row>
    <row r="834" spans="1:57" x14ac:dyDescent="0.35">
      <c r="A834" s="66" t="s">
        <v>5126</v>
      </c>
      <c r="B834" s="67"/>
      <c r="C834" s="67"/>
      <c r="D834" s="68"/>
      <c r="E834" s="94"/>
      <c r="F834" s="93" t="str">
        <f>HYPERLINK("https://pbs.twimg.com/profile_images/1422406397300551681/nhIzHZlz_normal.jpg")</f>
        <v>https://pbs.twimg.com/profile_images/1422406397300551681/nhIzHZlz_normal.jpg</v>
      </c>
      <c r="G834" s="95"/>
      <c r="H834" s="71"/>
      <c r="I834" s="72"/>
      <c r="J834" s="96"/>
      <c r="K834" s="71" t="s">
        <v>11908</v>
      </c>
      <c r="L834" s="97"/>
      <c r="M834" s="76"/>
      <c r="N834" s="76"/>
      <c r="O834" s="77"/>
      <c r="P834" s="78"/>
      <c r="Q834" s="78"/>
      <c r="R834" s="92"/>
      <c r="S834" s="92"/>
      <c r="T834" s="92"/>
      <c r="U834" s="92"/>
      <c r="V834" s="52"/>
      <c r="W834" s="52"/>
      <c r="X834" s="52"/>
      <c r="Y834" s="52"/>
      <c r="Z834" s="51"/>
      <c r="AA834" s="73"/>
      <c r="AB834" s="73"/>
      <c r="AC834" s="74"/>
      <c r="AD834" s="81" t="s">
        <v>8534</v>
      </c>
      <c r="AE834" s="86" t="s">
        <v>9524</v>
      </c>
      <c r="AF834" s="81">
        <v>712</v>
      </c>
      <c r="AG834" s="81">
        <v>13897446</v>
      </c>
      <c r="AH834" s="81">
        <v>16611</v>
      </c>
      <c r="AI834" s="81">
        <v>6970</v>
      </c>
      <c r="AJ834" s="81"/>
      <c r="AK834" s="81" t="s">
        <v>10481</v>
      </c>
      <c r="AL834" s="81" t="s">
        <v>10973</v>
      </c>
      <c r="AM834" s="84" t="str">
        <f>HYPERLINK("https://t.co/H6I8rmysul")</f>
        <v>https://t.co/H6I8rmysul</v>
      </c>
      <c r="AN834" s="81"/>
      <c r="AO834" s="83">
        <v>39519.01221064815</v>
      </c>
      <c r="AP834" s="84" t="str">
        <f>HYPERLINK("https://pbs.twimg.com/profile_banners/14128609/1594828546")</f>
        <v>https://pbs.twimg.com/profile_banners/14128609/1594828546</v>
      </c>
      <c r="AQ834" s="81" t="b">
        <v>0</v>
      </c>
      <c r="AR834" s="81" t="b">
        <v>0</v>
      </c>
      <c r="AS834" s="81" t="b">
        <v>1</v>
      </c>
      <c r="AT834" s="81"/>
      <c r="AU834" s="81">
        <v>17292</v>
      </c>
      <c r="AV834" s="84" t="str">
        <f>HYPERLINK("https://abs.twimg.com/images/themes/theme1/bg.png")</f>
        <v>https://abs.twimg.com/images/themes/theme1/bg.png</v>
      </c>
      <c r="AW834" s="81" t="b">
        <v>1</v>
      </c>
      <c r="AX834" s="81" t="s">
        <v>3728</v>
      </c>
      <c r="AY834" s="84" t="str">
        <f>HYPERLINK("https://twitter.com/felipeneto")</f>
        <v>https://twitter.com/felipeneto</v>
      </c>
      <c r="AZ834" s="81" t="s">
        <v>65</v>
      </c>
      <c r="BA834" s="2"/>
      <c r="BB834" s="3"/>
      <c r="BC834" s="3"/>
      <c r="BD834" s="3"/>
      <c r="BE834" s="3"/>
    </row>
    <row r="835" spans="1:57" x14ac:dyDescent="0.35">
      <c r="A835" s="66" t="s">
        <v>5127</v>
      </c>
      <c r="B835" s="67"/>
      <c r="C835" s="67"/>
      <c r="D835" s="68"/>
      <c r="E835" s="94"/>
      <c r="F835" s="93" t="str">
        <f>HYPERLINK("https://pbs.twimg.com/profile_images/1361918799163895810/fm8D07QN_normal.jpg")</f>
        <v>https://pbs.twimg.com/profile_images/1361918799163895810/fm8D07QN_normal.jpg</v>
      </c>
      <c r="G835" s="95"/>
      <c r="H835" s="71"/>
      <c r="I835" s="72"/>
      <c r="J835" s="96"/>
      <c r="K835" s="71" t="s">
        <v>11909</v>
      </c>
      <c r="L835" s="97"/>
      <c r="M835" s="76"/>
      <c r="N835" s="76"/>
      <c r="O835" s="77"/>
      <c r="P835" s="78"/>
      <c r="Q835" s="78"/>
      <c r="R835" s="92"/>
      <c r="S835" s="92"/>
      <c r="T835" s="92"/>
      <c r="U835" s="92"/>
      <c r="V835" s="52"/>
      <c r="W835" s="52"/>
      <c r="X835" s="52"/>
      <c r="Y835" s="52"/>
      <c r="Z835" s="51"/>
      <c r="AA835" s="73"/>
      <c r="AB835" s="73"/>
      <c r="AC835" s="74"/>
      <c r="AD835" s="81" t="s">
        <v>8535</v>
      </c>
      <c r="AE835" s="86" t="s">
        <v>7888</v>
      </c>
      <c r="AF835" s="81">
        <v>49</v>
      </c>
      <c r="AG835" s="81">
        <v>8</v>
      </c>
      <c r="AH835" s="81">
        <v>65</v>
      </c>
      <c r="AI835" s="81">
        <v>19</v>
      </c>
      <c r="AJ835" s="81"/>
      <c r="AK835" s="81"/>
      <c r="AL835" s="81"/>
      <c r="AM835" s="81"/>
      <c r="AN835" s="81"/>
      <c r="AO835" s="83">
        <v>44244.250011574077</v>
      </c>
      <c r="AP835" s="81"/>
      <c r="AQ835" s="81" t="b">
        <v>1</v>
      </c>
      <c r="AR835" s="81" t="b">
        <v>0</v>
      </c>
      <c r="AS835" s="81" t="b">
        <v>0</v>
      </c>
      <c r="AT835" s="81"/>
      <c r="AU835" s="81">
        <v>0</v>
      </c>
      <c r="AV835" s="81"/>
      <c r="AW835" s="81" t="b">
        <v>0</v>
      </c>
      <c r="AX835" s="81" t="s">
        <v>3728</v>
      </c>
      <c r="AY835" s="84" t="str">
        <f>HYPERLINK("https://twitter.com/pandabandoleiro")</f>
        <v>https://twitter.com/pandabandoleiro</v>
      </c>
      <c r="AZ835" s="81" t="s">
        <v>65</v>
      </c>
      <c r="BA835" s="2"/>
      <c r="BB835" s="3"/>
      <c r="BC835" s="3"/>
      <c r="BD835" s="3"/>
      <c r="BE835" s="3"/>
    </row>
    <row r="836" spans="1:57" x14ac:dyDescent="0.35">
      <c r="A836" s="66" t="s">
        <v>483</v>
      </c>
      <c r="B836" s="67"/>
      <c r="C836" s="67"/>
      <c r="D836" s="68"/>
      <c r="E836" s="94"/>
      <c r="F836" s="93" t="str">
        <f>HYPERLINK("https://pbs.twimg.com/profile_images/1437034466615070723/g5HtDvbA_normal.jpg")</f>
        <v>https://pbs.twimg.com/profile_images/1437034466615070723/g5HtDvbA_normal.jpg</v>
      </c>
      <c r="G836" s="95"/>
      <c r="H836" s="71"/>
      <c r="I836" s="72"/>
      <c r="J836" s="96"/>
      <c r="K836" s="71" t="s">
        <v>4038</v>
      </c>
      <c r="L836" s="97"/>
      <c r="M836" s="76"/>
      <c r="N836" s="76"/>
      <c r="O836" s="77"/>
      <c r="P836" s="78"/>
      <c r="Q836" s="78"/>
      <c r="R836" s="92"/>
      <c r="S836" s="92"/>
      <c r="T836" s="92"/>
      <c r="U836" s="92"/>
      <c r="V836" s="52"/>
      <c r="W836" s="52"/>
      <c r="X836" s="52"/>
      <c r="Y836" s="52"/>
      <c r="Z836" s="51"/>
      <c r="AA836" s="73"/>
      <c r="AB836" s="73"/>
      <c r="AC836" s="74"/>
      <c r="AD836" s="81" t="s">
        <v>2550</v>
      </c>
      <c r="AE836" s="86" t="s">
        <v>2973</v>
      </c>
      <c r="AF836" s="81">
        <v>453</v>
      </c>
      <c r="AG836" s="81">
        <v>217</v>
      </c>
      <c r="AH836" s="81">
        <v>28681</v>
      </c>
      <c r="AI836" s="81">
        <v>28299</v>
      </c>
      <c r="AJ836" s="81"/>
      <c r="AK836" s="81" t="s">
        <v>3378</v>
      </c>
      <c r="AL836" s="81" t="s">
        <v>3672</v>
      </c>
      <c r="AM836" s="81"/>
      <c r="AN836" s="81"/>
      <c r="AO836" s="83">
        <v>42517.283101851855</v>
      </c>
      <c r="AP836" s="84" t="str">
        <f>HYPERLINK("https://pbs.twimg.com/profile_banners/736086448684703744/1627184278")</f>
        <v>https://pbs.twimg.com/profile_banners/736086448684703744/1627184278</v>
      </c>
      <c r="AQ836" s="81" t="b">
        <v>1</v>
      </c>
      <c r="AR836" s="81" t="b">
        <v>0</v>
      </c>
      <c r="AS836" s="81" t="b">
        <v>1</v>
      </c>
      <c r="AT836" s="81"/>
      <c r="AU836" s="81">
        <v>0</v>
      </c>
      <c r="AV836" s="81"/>
      <c r="AW836" s="81" t="b">
        <v>0</v>
      </c>
      <c r="AX836" s="81" t="s">
        <v>3728</v>
      </c>
      <c r="AY836" s="84" t="str">
        <f>HYPERLINK("https://twitter.com/aniszulkifle")</f>
        <v>https://twitter.com/aniszulkifle</v>
      </c>
      <c r="AZ836" s="81" t="s">
        <v>66</v>
      </c>
      <c r="BA836" s="2"/>
      <c r="BB836" s="3"/>
      <c r="BC836" s="3"/>
      <c r="BD836" s="3"/>
      <c r="BE836" s="3"/>
    </row>
    <row r="837" spans="1:57" x14ac:dyDescent="0.35">
      <c r="A837" s="66" t="s">
        <v>4524</v>
      </c>
      <c r="B837" s="67"/>
      <c r="C837" s="67"/>
      <c r="D837" s="68"/>
      <c r="E837" s="94"/>
      <c r="F837" s="93" t="str">
        <f>HYPERLINK("https://pbs.twimg.com/profile_images/1435201253777215502/Hnwi6GAF_normal.jpg")</f>
        <v>https://pbs.twimg.com/profile_images/1435201253777215502/Hnwi6GAF_normal.jpg</v>
      </c>
      <c r="G837" s="95"/>
      <c r="H837" s="71"/>
      <c r="I837" s="72"/>
      <c r="J837" s="96"/>
      <c r="K837" s="71" t="s">
        <v>11910</v>
      </c>
      <c r="L837" s="97"/>
      <c r="M837" s="76"/>
      <c r="N837" s="76"/>
      <c r="O837" s="77"/>
      <c r="P837" s="78"/>
      <c r="Q837" s="78"/>
      <c r="R837" s="92"/>
      <c r="S837" s="92"/>
      <c r="T837" s="92"/>
      <c r="U837" s="92"/>
      <c r="V837" s="52"/>
      <c r="W837" s="52"/>
      <c r="X837" s="52"/>
      <c r="Y837" s="52"/>
      <c r="Z837" s="51"/>
      <c r="AA837" s="73"/>
      <c r="AB837" s="73"/>
      <c r="AC837" s="74"/>
      <c r="AD837" s="81" t="s">
        <v>8536</v>
      </c>
      <c r="AE837" s="86" t="s">
        <v>9525</v>
      </c>
      <c r="AF837" s="81">
        <v>1066</v>
      </c>
      <c r="AG837" s="81">
        <v>1041</v>
      </c>
      <c r="AH837" s="81">
        <v>8646</v>
      </c>
      <c r="AI837" s="81">
        <v>12832</v>
      </c>
      <c r="AJ837" s="81"/>
      <c r="AK837" s="81"/>
      <c r="AL837" s="81"/>
      <c r="AM837" s="81"/>
      <c r="AN837" s="81"/>
      <c r="AO837" s="83">
        <v>39974.950289351851</v>
      </c>
      <c r="AP837" s="84" t="str">
        <f>HYPERLINK("https://pbs.twimg.com/profile_banners/46248401/1630935558")</f>
        <v>https://pbs.twimg.com/profile_banners/46248401/1630935558</v>
      </c>
      <c r="AQ837" s="81" t="b">
        <v>0</v>
      </c>
      <c r="AR837" s="81" t="b">
        <v>0</v>
      </c>
      <c r="AS837" s="81" t="b">
        <v>1</v>
      </c>
      <c r="AT837" s="81"/>
      <c r="AU837" s="81">
        <v>2</v>
      </c>
      <c r="AV837" s="84" t="str">
        <f>HYPERLINK("https://abs.twimg.com/images/themes/theme14/bg.gif")</f>
        <v>https://abs.twimg.com/images/themes/theme14/bg.gif</v>
      </c>
      <c r="AW837" s="81" t="b">
        <v>0</v>
      </c>
      <c r="AX837" s="81" t="s">
        <v>3728</v>
      </c>
      <c r="AY837" s="84" t="str">
        <f>HYPERLINK("https://twitter.com/fabilcp")</f>
        <v>https://twitter.com/fabilcp</v>
      </c>
      <c r="AZ837" s="81" t="s">
        <v>66</v>
      </c>
      <c r="BA837" s="2"/>
      <c r="BB837" s="3"/>
      <c r="BC837" s="3"/>
      <c r="BD837" s="3"/>
      <c r="BE837" s="3"/>
    </row>
    <row r="838" spans="1:57" x14ac:dyDescent="0.35">
      <c r="A838" s="66" t="s">
        <v>5128</v>
      </c>
      <c r="B838" s="67"/>
      <c r="C838" s="67"/>
      <c r="D838" s="68"/>
      <c r="E838" s="94"/>
      <c r="F838" s="93" t="str">
        <f>HYPERLINK("https://pbs.twimg.com/profile_images/1334887464964665346/8V8Wdh99_normal.jpg")</f>
        <v>https://pbs.twimg.com/profile_images/1334887464964665346/8V8Wdh99_normal.jpg</v>
      </c>
      <c r="G838" s="95"/>
      <c r="H838" s="71"/>
      <c r="I838" s="72"/>
      <c r="J838" s="96"/>
      <c r="K838" s="71" t="s">
        <v>11911</v>
      </c>
      <c r="L838" s="97"/>
      <c r="M838" s="76"/>
      <c r="N838" s="76"/>
      <c r="O838" s="77"/>
      <c r="P838" s="78"/>
      <c r="Q838" s="78"/>
      <c r="R838" s="92"/>
      <c r="S838" s="92"/>
      <c r="T838" s="92"/>
      <c r="U838" s="92"/>
      <c r="V838" s="52"/>
      <c r="W838" s="52"/>
      <c r="X838" s="52"/>
      <c r="Y838" s="52"/>
      <c r="Z838" s="51"/>
      <c r="AA838" s="73"/>
      <c r="AB838" s="73"/>
      <c r="AC838" s="74"/>
      <c r="AD838" s="81" t="s">
        <v>8537</v>
      </c>
      <c r="AE838" s="86" t="s">
        <v>9526</v>
      </c>
      <c r="AF838" s="81">
        <v>336</v>
      </c>
      <c r="AG838" s="81">
        <v>170431</v>
      </c>
      <c r="AH838" s="81">
        <v>13742</v>
      </c>
      <c r="AI838" s="81">
        <v>5584</v>
      </c>
      <c r="AJ838" s="81"/>
      <c r="AK838" s="81" t="s">
        <v>10482</v>
      </c>
      <c r="AL838" s="81" t="s">
        <v>11177</v>
      </c>
      <c r="AM838" s="84" t="str">
        <f>HYPERLINK("https://t.co/msHMAOOjXQ")</f>
        <v>https://t.co/msHMAOOjXQ</v>
      </c>
      <c r="AN838" s="81"/>
      <c r="AO838" s="83">
        <v>40017.602534722224</v>
      </c>
      <c r="AP838" s="84" t="str">
        <f>HYPERLINK("https://pbs.twimg.com/profile_banners/59477935/1602021053")</f>
        <v>https://pbs.twimg.com/profile_banners/59477935/1602021053</v>
      </c>
      <c r="AQ838" s="81" t="b">
        <v>0</v>
      </c>
      <c r="AR838" s="81" t="b">
        <v>0</v>
      </c>
      <c r="AS838" s="81" t="b">
        <v>1</v>
      </c>
      <c r="AT838" s="81"/>
      <c r="AU838" s="81">
        <v>570</v>
      </c>
      <c r="AV838" s="84" t="str">
        <f>HYPERLINK("https://abs.twimg.com/images/themes/theme1/bg.png")</f>
        <v>https://abs.twimg.com/images/themes/theme1/bg.png</v>
      </c>
      <c r="AW838" s="81" t="b">
        <v>1</v>
      </c>
      <c r="AX838" s="81" t="s">
        <v>3728</v>
      </c>
      <c r="AY838" s="84" t="str">
        <f>HYPERLINK("https://twitter.com/anvisa_oficial")</f>
        <v>https://twitter.com/anvisa_oficial</v>
      </c>
      <c r="AZ838" s="81" t="s">
        <v>65</v>
      </c>
      <c r="BA838" s="2"/>
      <c r="BB838" s="3"/>
      <c r="BC838" s="3"/>
      <c r="BD838" s="3"/>
      <c r="BE838" s="3"/>
    </row>
    <row r="839" spans="1:57" x14ac:dyDescent="0.35">
      <c r="A839" s="66" t="s">
        <v>4525</v>
      </c>
      <c r="B839" s="67"/>
      <c r="C839" s="67"/>
      <c r="D839" s="68"/>
      <c r="E839" s="94"/>
      <c r="F839" s="93" t="str">
        <f>HYPERLINK("https://abs.twimg.com/sticky/default_profile_images/default_profile_normal.png")</f>
        <v>https://abs.twimg.com/sticky/default_profile_images/default_profile_normal.png</v>
      </c>
      <c r="G839" s="95"/>
      <c r="H839" s="71"/>
      <c r="I839" s="72"/>
      <c r="J839" s="96"/>
      <c r="K839" s="71" t="s">
        <v>11912</v>
      </c>
      <c r="L839" s="97"/>
      <c r="M839" s="76"/>
      <c r="N839" s="76"/>
      <c r="O839" s="77"/>
      <c r="P839" s="78"/>
      <c r="Q839" s="78"/>
      <c r="R839" s="92"/>
      <c r="S839" s="92"/>
      <c r="T839" s="92"/>
      <c r="U839" s="92"/>
      <c r="V839" s="52"/>
      <c r="W839" s="52"/>
      <c r="X839" s="52"/>
      <c r="Y839" s="52"/>
      <c r="Z839" s="51"/>
      <c r="AA839" s="73"/>
      <c r="AB839" s="73"/>
      <c r="AC839" s="74"/>
      <c r="AD839" s="81" t="s">
        <v>8538</v>
      </c>
      <c r="AE839" s="86" t="s">
        <v>9527</v>
      </c>
      <c r="AF839" s="81">
        <v>1</v>
      </c>
      <c r="AG839" s="81">
        <v>1</v>
      </c>
      <c r="AH839" s="81">
        <v>3</v>
      </c>
      <c r="AI839" s="81">
        <v>0</v>
      </c>
      <c r="AJ839" s="81"/>
      <c r="AK839" s="81"/>
      <c r="AL839" s="81"/>
      <c r="AM839" s="81"/>
      <c r="AN839" s="81"/>
      <c r="AO839" s="83">
        <v>44464.998599537037</v>
      </c>
      <c r="AP839" s="81"/>
      <c r="AQ839" s="81" t="b">
        <v>1</v>
      </c>
      <c r="AR839" s="81" t="b">
        <v>1</v>
      </c>
      <c r="AS839" s="81" t="b">
        <v>0</v>
      </c>
      <c r="AT839" s="81"/>
      <c r="AU839" s="81">
        <v>0</v>
      </c>
      <c r="AV839" s="81"/>
      <c r="AW839" s="81" t="b">
        <v>0</v>
      </c>
      <c r="AX839" s="81" t="s">
        <v>3728</v>
      </c>
      <c r="AY839" s="84" t="str">
        <f>HYPERLINK("https://twitter.com/anamari95145322")</f>
        <v>https://twitter.com/anamari95145322</v>
      </c>
      <c r="AZ839" s="81" t="s">
        <v>66</v>
      </c>
      <c r="BA839" s="2"/>
      <c r="BB839" s="3"/>
      <c r="BC839" s="3"/>
      <c r="BD839" s="3"/>
      <c r="BE839" s="3"/>
    </row>
    <row r="840" spans="1:57" x14ac:dyDescent="0.35">
      <c r="A840" s="66" t="s">
        <v>5129</v>
      </c>
      <c r="B840" s="67"/>
      <c r="C840" s="67"/>
      <c r="D840" s="68"/>
      <c r="E840" s="94"/>
      <c r="F840" s="93" t="str">
        <f>HYPERLINK("https://pbs.twimg.com/profile_images/1441799463937482754/spsLe4rE_normal.jpg")</f>
        <v>https://pbs.twimg.com/profile_images/1441799463937482754/spsLe4rE_normal.jpg</v>
      </c>
      <c r="G840" s="95"/>
      <c r="H840" s="71"/>
      <c r="I840" s="72"/>
      <c r="J840" s="96"/>
      <c r="K840" s="71" t="s">
        <v>11913</v>
      </c>
      <c r="L840" s="97"/>
      <c r="M840" s="76"/>
      <c r="N840" s="76"/>
      <c r="O840" s="77"/>
      <c r="P840" s="78"/>
      <c r="Q840" s="78"/>
      <c r="R840" s="92"/>
      <c r="S840" s="92"/>
      <c r="T840" s="92"/>
      <c r="U840" s="92"/>
      <c r="V840" s="52"/>
      <c r="W840" s="52"/>
      <c r="X840" s="52"/>
      <c r="Y840" s="52"/>
      <c r="Z840" s="51"/>
      <c r="AA840" s="73"/>
      <c r="AB840" s="73"/>
      <c r="AC840" s="74"/>
      <c r="AD840" s="81" t="s">
        <v>8539</v>
      </c>
      <c r="AE840" s="86" t="s">
        <v>7881</v>
      </c>
      <c r="AF840" s="81">
        <v>411</v>
      </c>
      <c r="AG840" s="81">
        <v>774</v>
      </c>
      <c r="AH840" s="81">
        <v>55035</v>
      </c>
      <c r="AI840" s="81">
        <v>14478</v>
      </c>
      <c r="AJ840" s="81"/>
      <c r="AK840" s="81" t="s">
        <v>10483</v>
      </c>
      <c r="AL840" s="81" t="s">
        <v>10985</v>
      </c>
      <c r="AM840" s="84" t="str">
        <f>HYPERLINK("https://t.co/xhS8YbLrNa")</f>
        <v>https://t.co/xhS8YbLrNa</v>
      </c>
      <c r="AN840" s="81"/>
      <c r="AO840" s="83">
        <v>40805.044305555559</v>
      </c>
      <c r="AP840" s="84" t="str">
        <f>HYPERLINK("https://pbs.twimg.com/profile_banners/375941690/1592870318")</f>
        <v>https://pbs.twimg.com/profile_banners/375941690/1592870318</v>
      </c>
      <c r="AQ840" s="81" t="b">
        <v>0</v>
      </c>
      <c r="AR840" s="81" t="b">
        <v>0</v>
      </c>
      <c r="AS840" s="81" t="b">
        <v>1</v>
      </c>
      <c r="AT840" s="81"/>
      <c r="AU840" s="81">
        <v>3</v>
      </c>
      <c r="AV840" s="84" t="str">
        <f>HYPERLINK("https://abs.twimg.com/images/themes/theme1/bg.png")</f>
        <v>https://abs.twimg.com/images/themes/theme1/bg.png</v>
      </c>
      <c r="AW840" s="81" t="b">
        <v>1</v>
      </c>
      <c r="AX840" s="81" t="s">
        <v>3728</v>
      </c>
      <c r="AY840" s="84" t="str">
        <f>HYPERLINK("https://twitter.com/luizcarlospavao")</f>
        <v>https://twitter.com/luizcarlospavao</v>
      </c>
      <c r="AZ840" s="81" t="s">
        <v>65</v>
      </c>
      <c r="BA840" s="2"/>
      <c r="BB840" s="3"/>
      <c r="BC840" s="3"/>
      <c r="BD840" s="3"/>
      <c r="BE840" s="3"/>
    </row>
    <row r="841" spans="1:57" x14ac:dyDescent="0.35">
      <c r="A841" s="66" t="s">
        <v>4526</v>
      </c>
      <c r="B841" s="67"/>
      <c r="C841" s="67"/>
      <c r="D841" s="68"/>
      <c r="E841" s="94"/>
      <c r="F841" s="93" t="str">
        <f>HYPERLINK("https://pbs.twimg.com/profile_images/1354421433577910278/pmJQJndg_normal.jpg")</f>
        <v>https://pbs.twimg.com/profile_images/1354421433577910278/pmJQJndg_normal.jpg</v>
      </c>
      <c r="G841" s="95"/>
      <c r="H841" s="71"/>
      <c r="I841" s="72"/>
      <c r="J841" s="96"/>
      <c r="K841" s="71" t="s">
        <v>11914</v>
      </c>
      <c r="L841" s="97"/>
      <c r="M841" s="76"/>
      <c r="N841" s="76"/>
      <c r="O841" s="77"/>
      <c r="P841" s="78"/>
      <c r="Q841" s="78"/>
      <c r="R841" s="92"/>
      <c r="S841" s="92"/>
      <c r="T841" s="92"/>
      <c r="U841" s="92"/>
      <c r="V841" s="52"/>
      <c r="W841" s="52"/>
      <c r="X841" s="52"/>
      <c r="Y841" s="52"/>
      <c r="Z841" s="51"/>
      <c r="AA841" s="73"/>
      <c r="AB841" s="73"/>
      <c r="AC841" s="74"/>
      <c r="AD841" s="81" t="s">
        <v>8540</v>
      </c>
      <c r="AE841" s="86" t="s">
        <v>9528</v>
      </c>
      <c r="AF841" s="81">
        <v>17</v>
      </c>
      <c r="AG841" s="81">
        <v>26</v>
      </c>
      <c r="AH841" s="81">
        <v>6710</v>
      </c>
      <c r="AI841" s="81">
        <v>15943</v>
      </c>
      <c r="AJ841" s="81"/>
      <c r="AK841" s="81" t="s">
        <v>10484</v>
      </c>
      <c r="AL841" s="81"/>
      <c r="AM841" s="81"/>
      <c r="AN841" s="81"/>
      <c r="AO841" s="83">
        <v>44215.046296296299</v>
      </c>
      <c r="AP841" s="84" t="str">
        <f>HYPERLINK("https://pbs.twimg.com/profile_banners/1351334926461890561/1611755504")</f>
        <v>https://pbs.twimg.com/profile_banners/1351334926461890561/1611755504</v>
      </c>
      <c r="AQ841" s="81" t="b">
        <v>1</v>
      </c>
      <c r="AR841" s="81" t="b">
        <v>0</v>
      </c>
      <c r="AS841" s="81" t="b">
        <v>0</v>
      </c>
      <c r="AT841" s="81"/>
      <c r="AU841" s="81">
        <v>0</v>
      </c>
      <c r="AV841" s="81"/>
      <c r="AW841" s="81" t="b">
        <v>0</v>
      </c>
      <c r="AX841" s="81" t="s">
        <v>3728</v>
      </c>
      <c r="AY841" s="84" t="str">
        <f>HYPERLINK("https://twitter.com/vila_pc")</f>
        <v>https://twitter.com/vila_pc</v>
      </c>
      <c r="AZ841" s="81" t="s">
        <v>66</v>
      </c>
      <c r="BA841" s="2"/>
      <c r="BB841" s="3"/>
      <c r="BC841" s="3"/>
      <c r="BD841" s="3"/>
      <c r="BE841" s="3"/>
    </row>
    <row r="842" spans="1:57" x14ac:dyDescent="0.35">
      <c r="A842" s="66" t="s">
        <v>4527</v>
      </c>
      <c r="B842" s="67"/>
      <c r="C842" s="67"/>
      <c r="D842" s="68"/>
      <c r="E842" s="94"/>
      <c r="F842" s="93" t="str">
        <f>HYPERLINK("https://pbs.twimg.com/profile_images/1389771251879718914/8mwPhTbj_normal.jpg")</f>
        <v>https://pbs.twimg.com/profile_images/1389771251879718914/8mwPhTbj_normal.jpg</v>
      </c>
      <c r="G842" s="95"/>
      <c r="H842" s="71"/>
      <c r="I842" s="72"/>
      <c r="J842" s="96"/>
      <c r="K842" s="71" t="s">
        <v>11915</v>
      </c>
      <c r="L842" s="97"/>
      <c r="M842" s="76"/>
      <c r="N842" s="76"/>
      <c r="O842" s="77"/>
      <c r="P842" s="78"/>
      <c r="Q842" s="78"/>
      <c r="R842" s="92"/>
      <c r="S842" s="92"/>
      <c r="T842" s="92"/>
      <c r="U842" s="92"/>
      <c r="V842" s="52"/>
      <c r="W842" s="52"/>
      <c r="X842" s="52"/>
      <c r="Y842" s="52"/>
      <c r="Z842" s="51"/>
      <c r="AA842" s="73"/>
      <c r="AB842" s="73"/>
      <c r="AC842" s="74"/>
      <c r="AD842" s="81" t="s">
        <v>8541</v>
      </c>
      <c r="AE842" s="86" t="s">
        <v>9529</v>
      </c>
      <c r="AF842" s="81">
        <v>1018</v>
      </c>
      <c r="AG842" s="81">
        <v>24748</v>
      </c>
      <c r="AH842" s="81">
        <v>70354</v>
      </c>
      <c r="AI842" s="81">
        <v>3038</v>
      </c>
      <c r="AJ842" s="81"/>
      <c r="AK842" s="81" t="s">
        <v>10485</v>
      </c>
      <c r="AL842" s="81"/>
      <c r="AM842" s="81"/>
      <c r="AN842" s="81"/>
      <c r="AO842" s="83">
        <v>40482.918356481481</v>
      </c>
      <c r="AP842" s="84" t="str">
        <f>HYPERLINK("https://pbs.twimg.com/profile_banners/210621733/1587723240")</f>
        <v>https://pbs.twimg.com/profile_banners/210621733/1587723240</v>
      </c>
      <c r="AQ842" s="81" t="b">
        <v>1</v>
      </c>
      <c r="AR842" s="81" t="b">
        <v>0</v>
      </c>
      <c r="AS842" s="81" t="b">
        <v>1</v>
      </c>
      <c r="AT842" s="81"/>
      <c r="AU842" s="81">
        <v>72</v>
      </c>
      <c r="AV842" s="84" t="str">
        <f>HYPERLINK("https://abs.twimg.com/images/themes/theme1/bg.png")</f>
        <v>https://abs.twimg.com/images/themes/theme1/bg.png</v>
      </c>
      <c r="AW842" s="81" t="b">
        <v>0</v>
      </c>
      <c r="AX842" s="81" t="s">
        <v>3728</v>
      </c>
      <c r="AY842" s="84" t="str">
        <f>HYPERLINK("https://twitter.com/brunoraso")</f>
        <v>https://twitter.com/brunoraso</v>
      </c>
      <c r="AZ842" s="81" t="s">
        <v>66</v>
      </c>
      <c r="BA842" s="2"/>
      <c r="BB842" s="3"/>
      <c r="BC842" s="3"/>
      <c r="BD842" s="3"/>
      <c r="BE842" s="3"/>
    </row>
    <row r="843" spans="1:57" x14ac:dyDescent="0.35">
      <c r="A843" s="66" t="s">
        <v>4578</v>
      </c>
      <c r="B843" s="67"/>
      <c r="C843" s="67"/>
      <c r="D843" s="68"/>
      <c r="E843" s="94"/>
      <c r="F843" s="93" t="str">
        <f>HYPERLINK("https://pbs.twimg.com/profile_images/1378544338850963456/KH8FwuPz_normal.jpg")</f>
        <v>https://pbs.twimg.com/profile_images/1378544338850963456/KH8FwuPz_normal.jpg</v>
      </c>
      <c r="G843" s="95"/>
      <c r="H843" s="71"/>
      <c r="I843" s="72"/>
      <c r="J843" s="96"/>
      <c r="K843" s="71" t="s">
        <v>11916</v>
      </c>
      <c r="L843" s="97"/>
      <c r="M843" s="76"/>
      <c r="N843" s="76"/>
      <c r="O843" s="77"/>
      <c r="P843" s="78"/>
      <c r="Q843" s="78"/>
      <c r="R843" s="92"/>
      <c r="S843" s="92"/>
      <c r="T843" s="92"/>
      <c r="U843" s="92"/>
      <c r="V843" s="52"/>
      <c r="W843" s="52"/>
      <c r="X843" s="52"/>
      <c r="Y843" s="52"/>
      <c r="Z843" s="51"/>
      <c r="AA843" s="73"/>
      <c r="AB843" s="73"/>
      <c r="AC843" s="74"/>
      <c r="AD843" s="81" t="s">
        <v>8542</v>
      </c>
      <c r="AE843" s="86" t="s">
        <v>9530</v>
      </c>
      <c r="AF843" s="81">
        <v>1852</v>
      </c>
      <c r="AG843" s="81">
        <v>7824</v>
      </c>
      <c r="AH843" s="81">
        <v>28436</v>
      </c>
      <c r="AI843" s="81">
        <v>28120</v>
      </c>
      <c r="AJ843" s="81"/>
      <c r="AK843" s="81" t="s">
        <v>10486</v>
      </c>
      <c r="AL843" s="81" t="s">
        <v>11178</v>
      </c>
      <c r="AM843" s="84" t="str">
        <f>HYPERLINK("https://t.co/lhgZrCZNwy")</f>
        <v>https://t.co/lhgZrCZNwy</v>
      </c>
      <c r="AN843" s="81"/>
      <c r="AO843" s="83">
        <v>41581.805127314816</v>
      </c>
      <c r="AP843" s="84" t="str">
        <f>HYPERLINK("https://pbs.twimg.com/profile_banners/2166818375/1620568802")</f>
        <v>https://pbs.twimg.com/profile_banners/2166818375/1620568802</v>
      </c>
      <c r="AQ843" s="81" t="b">
        <v>1</v>
      </c>
      <c r="AR843" s="81" t="b">
        <v>0</v>
      </c>
      <c r="AS843" s="81" t="b">
        <v>1</v>
      </c>
      <c r="AT843" s="81"/>
      <c r="AU843" s="81">
        <v>32</v>
      </c>
      <c r="AV843" s="84" t="str">
        <f>HYPERLINK("https://abs.twimg.com/images/themes/theme1/bg.png")</f>
        <v>https://abs.twimg.com/images/themes/theme1/bg.png</v>
      </c>
      <c r="AW843" s="81" t="b">
        <v>0</v>
      </c>
      <c r="AX843" s="81" t="s">
        <v>3728</v>
      </c>
      <c r="AY843" s="84" t="str">
        <f>HYPERLINK("https://twitter.com/bogerjr")</f>
        <v>https://twitter.com/bogerjr</v>
      </c>
      <c r="AZ843" s="81" t="s">
        <v>66</v>
      </c>
      <c r="BA843" s="2"/>
      <c r="BB843" s="3"/>
      <c r="BC843" s="3"/>
      <c r="BD843" s="3"/>
      <c r="BE843" s="3"/>
    </row>
    <row r="844" spans="1:57" x14ac:dyDescent="0.35">
      <c r="A844" s="66" t="s">
        <v>484</v>
      </c>
      <c r="B844" s="67"/>
      <c r="C844" s="67"/>
      <c r="D844" s="68"/>
      <c r="E844" s="94"/>
      <c r="F844" s="93" t="str">
        <f>HYPERLINK("https://pbs.twimg.com/profile_images/1404851253461413893/5c-Fgglm_normal.jpg")</f>
        <v>https://pbs.twimg.com/profile_images/1404851253461413893/5c-Fgglm_normal.jpg</v>
      </c>
      <c r="G844" s="95"/>
      <c r="H844" s="71"/>
      <c r="I844" s="72"/>
      <c r="J844" s="96"/>
      <c r="K844" s="71" t="s">
        <v>4039</v>
      </c>
      <c r="L844" s="97"/>
      <c r="M844" s="76"/>
      <c r="N844" s="76"/>
      <c r="O844" s="77"/>
      <c r="P844" s="78"/>
      <c r="Q844" s="78"/>
      <c r="R844" s="92"/>
      <c r="S844" s="92"/>
      <c r="T844" s="92"/>
      <c r="U844" s="92"/>
      <c r="V844" s="52"/>
      <c r="W844" s="52"/>
      <c r="X844" s="52"/>
      <c r="Y844" s="52"/>
      <c r="Z844" s="51"/>
      <c r="AA844" s="73"/>
      <c r="AB844" s="73"/>
      <c r="AC844" s="74"/>
      <c r="AD844" s="81" t="s">
        <v>2551</v>
      </c>
      <c r="AE844" s="86" t="s">
        <v>2974</v>
      </c>
      <c r="AF844" s="81">
        <v>965</v>
      </c>
      <c r="AG844" s="81">
        <v>159</v>
      </c>
      <c r="AH844" s="81">
        <v>74626</v>
      </c>
      <c r="AI844" s="81">
        <v>146436</v>
      </c>
      <c r="AJ844" s="81"/>
      <c r="AK844" s="81" t="s">
        <v>3379</v>
      </c>
      <c r="AL844" s="81" t="s">
        <v>3514</v>
      </c>
      <c r="AM844" s="84" t="str">
        <f>HYPERLINK("https://t.co/ln3H3DHnlF")</f>
        <v>https://t.co/ln3H3DHnlF</v>
      </c>
      <c r="AN844" s="81"/>
      <c r="AO844" s="83">
        <v>43098.714930555558</v>
      </c>
      <c r="AP844" s="84" t="str">
        <f>HYPERLINK("https://pbs.twimg.com/profile_banners/946790289657565185/1622992426")</f>
        <v>https://pbs.twimg.com/profile_banners/946790289657565185/1622992426</v>
      </c>
      <c r="AQ844" s="81" t="b">
        <v>1</v>
      </c>
      <c r="AR844" s="81" t="b">
        <v>0</v>
      </c>
      <c r="AS844" s="81" t="b">
        <v>0</v>
      </c>
      <c r="AT844" s="81"/>
      <c r="AU844" s="81">
        <v>2</v>
      </c>
      <c r="AV844" s="84" t="str">
        <f>HYPERLINK("https://abs.twimg.com/images/themes/theme1/bg.png")</f>
        <v>https://abs.twimg.com/images/themes/theme1/bg.png</v>
      </c>
      <c r="AW844" s="81" t="b">
        <v>0</v>
      </c>
      <c r="AX844" s="81" t="s">
        <v>3728</v>
      </c>
      <c r="AY844" s="84" t="str">
        <f>HYPERLINK("https://twitter.com/smolwoonie")</f>
        <v>https://twitter.com/smolwoonie</v>
      </c>
      <c r="AZ844" s="81" t="s">
        <v>66</v>
      </c>
      <c r="BA844" s="2"/>
      <c r="BB844" s="3"/>
      <c r="BC844" s="3"/>
      <c r="BD844" s="3"/>
      <c r="BE844" s="3"/>
    </row>
    <row r="845" spans="1:57" x14ac:dyDescent="0.35">
      <c r="A845" s="66" t="s">
        <v>4528</v>
      </c>
      <c r="B845" s="67"/>
      <c r="C845" s="67"/>
      <c r="D845" s="68"/>
      <c r="E845" s="94"/>
      <c r="F845" s="93" t="str">
        <f>HYPERLINK("https://pbs.twimg.com/profile_images/576534461992427520/84RN0n14_normal.jpeg")</f>
        <v>https://pbs.twimg.com/profile_images/576534461992427520/84RN0n14_normal.jpeg</v>
      </c>
      <c r="G845" s="95"/>
      <c r="H845" s="71"/>
      <c r="I845" s="72"/>
      <c r="J845" s="96"/>
      <c r="K845" s="71" t="s">
        <v>11917</v>
      </c>
      <c r="L845" s="97"/>
      <c r="M845" s="76"/>
      <c r="N845" s="76"/>
      <c r="O845" s="77"/>
      <c r="P845" s="78"/>
      <c r="Q845" s="78"/>
      <c r="R845" s="92"/>
      <c r="S845" s="92"/>
      <c r="T845" s="92"/>
      <c r="U845" s="92"/>
      <c r="V845" s="52"/>
      <c r="W845" s="52"/>
      <c r="X845" s="52"/>
      <c r="Y845" s="52"/>
      <c r="Z845" s="51"/>
      <c r="AA845" s="73"/>
      <c r="AB845" s="73"/>
      <c r="AC845" s="74"/>
      <c r="AD845" s="81" t="s">
        <v>8543</v>
      </c>
      <c r="AE845" s="86" t="s">
        <v>9531</v>
      </c>
      <c r="AF845" s="81">
        <v>366</v>
      </c>
      <c r="AG845" s="81">
        <v>1072</v>
      </c>
      <c r="AH845" s="81">
        <v>2729</v>
      </c>
      <c r="AI845" s="81">
        <v>19343</v>
      </c>
      <c r="AJ845" s="81"/>
      <c r="AK845" s="81"/>
      <c r="AL845" s="81"/>
      <c r="AM845" s="81"/>
      <c r="AN845" s="81"/>
      <c r="AO845" s="83">
        <v>42076.834861111114</v>
      </c>
      <c r="AP845" s="84" t="str">
        <f>HYPERLINK("https://pbs.twimg.com/profile_banners/3077935230/1426291713")</f>
        <v>https://pbs.twimg.com/profile_banners/3077935230/1426291713</v>
      </c>
      <c r="AQ845" s="81" t="b">
        <v>1</v>
      </c>
      <c r="AR845" s="81" t="b">
        <v>0</v>
      </c>
      <c r="AS845" s="81" t="b">
        <v>0</v>
      </c>
      <c r="AT845" s="81"/>
      <c r="AU845" s="81">
        <v>2</v>
      </c>
      <c r="AV845" s="84" t="str">
        <f>HYPERLINK("https://abs.twimg.com/images/themes/theme1/bg.png")</f>
        <v>https://abs.twimg.com/images/themes/theme1/bg.png</v>
      </c>
      <c r="AW845" s="81" t="b">
        <v>0</v>
      </c>
      <c r="AX845" s="81" t="s">
        <v>3728</v>
      </c>
      <c r="AY845" s="84" t="str">
        <f>HYPERLINK("https://twitter.com/prmichel73")</f>
        <v>https://twitter.com/prmichel73</v>
      </c>
      <c r="AZ845" s="81" t="s">
        <v>66</v>
      </c>
      <c r="BA845" s="2"/>
      <c r="BB845" s="3"/>
      <c r="BC845" s="3"/>
      <c r="BD845" s="3"/>
      <c r="BE845" s="3"/>
    </row>
    <row r="846" spans="1:57" x14ac:dyDescent="0.35">
      <c r="A846" s="66" t="s">
        <v>4529</v>
      </c>
      <c r="B846" s="67"/>
      <c r="C846" s="67"/>
      <c r="D846" s="68"/>
      <c r="E846" s="94"/>
      <c r="F846" s="93" t="str">
        <f>HYPERLINK("https://pbs.twimg.com/profile_images/1428099820363911171/phx0QEt2_normal.jpg")</f>
        <v>https://pbs.twimg.com/profile_images/1428099820363911171/phx0QEt2_normal.jpg</v>
      </c>
      <c r="G846" s="95"/>
      <c r="H846" s="71"/>
      <c r="I846" s="72"/>
      <c r="J846" s="96"/>
      <c r="K846" s="71" t="s">
        <v>11918</v>
      </c>
      <c r="L846" s="97"/>
      <c r="M846" s="76"/>
      <c r="N846" s="76"/>
      <c r="O846" s="77"/>
      <c r="P846" s="78"/>
      <c r="Q846" s="78"/>
      <c r="R846" s="92"/>
      <c r="S846" s="92"/>
      <c r="T846" s="92"/>
      <c r="U846" s="92"/>
      <c r="V846" s="52"/>
      <c r="W846" s="52"/>
      <c r="X846" s="52"/>
      <c r="Y846" s="52"/>
      <c r="Z846" s="51"/>
      <c r="AA846" s="73"/>
      <c r="AB846" s="73"/>
      <c r="AC846" s="74"/>
      <c r="AD846" s="81" t="s">
        <v>8544</v>
      </c>
      <c r="AE846" s="86" t="s">
        <v>9532</v>
      </c>
      <c r="AF846" s="81">
        <v>925</v>
      </c>
      <c r="AG846" s="81">
        <v>5025</v>
      </c>
      <c r="AH846" s="81">
        <v>41552</v>
      </c>
      <c r="AI846" s="81">
        <v>3760</v>
      </c>
      <c r="AJ846" s="81"/>
      <c r="AK846" s="81" t="s">
        <v>10487</v>
      </c>
      <c r="AL846" s="81" t="s">
        <v>11179</v>
      </c>
      <c r="AM846" s="84" t="str">
        <f>HYPERLINK("https://t.co/O28TVw8eiN")</f>
        <v>https://t.co/O28TVw8eiN</v>
      </c>
      <c r="AN846" s="81"/>
      <c r="AO846" s="83">
        <v>40282.888819444444</v>
      </c>
      <c r="AP846" s="84" t="str">
        <f>HYPERLINK("https://pbs.twimg.com/profile_banners/133036414/1572924741")</f>
        <v>https://pbs.twimg.com/profile_banners/133036414/1572924741</v>
      </c>
      <c r="AQ846" s="81" t="b">
        <v>0</v>
      </c>
      <c r="AR846" s="81" t="b">
        <v>0</v>
      </c>
      <c r="AS846" s="81" t="b">
        <v>1</v>
      </c>
      <c r="AT846" s="81"/>
      <c r="AU846" s="81">
        <v>34</v>
      </c>
      <c r="AV846" s="84" t="str">
        <f>HYPERLINK("https://abs.twimg.com/images/themes/theme1/bg.png")</f>
        <v>https://abs.twimg.com/images/themes/theme1/bg.png</v>
      </c>
      <c r="AW846" s="81" t="b">
        <v>0</v>
      </c>
      <c r="AX846" s="81" t="s">
        <v>3728</v>
      </c>
      <c r="AY846" s="84" t="str">
        <f>HYPERLINK("https://twitter.com/heyssencordero")</f>
        <v>https://twitter.com/heyssencordero</v>
      </c>
      <c r="AZ846" s="81" t="s">
        <v>66</v>
      </c>
      <c r="BA846" s="2"/>
      <c r="BB846" s="3"/>
      <c r="BC846" s="3"/>
      <c r="BD846" s="3"/>
      <c r="BE846" s="3"/>
    </row>
    <row r="847" spans="1:57" x14ac:dyDescent="0.35">
      <c r="A847" s="66" t="s">
        <v>485</v>
      </c>
      <c r="B847" s="67"/>
      <c r="C847" s="67"/>
      <c r="D847" s="68"/>
      <c r="E847" s="94"/>
      <c r="F847" s="93" t="str">
        <f>HYPERLINK("https://pbs.twimg.com/profile_images/1433461502313304066/J9wjadoE_normal.jpg")</f>
        <v>https://pbs.twimg.com/profile_images/1433461502313304066/J9wjadoE_normal.jpg</v>
      </c>
      <c r="G847" s="95"/>
      <c r="H847" s="71"/>
      <c r="I847" s="72"/>
      <c r="J847" s="96"/>
      <c r="K847" s="71" t="s">
        <v>4040</v>
      </c>
      <c r="L847" s="97"/>
      <c r="M847" s="76"/>
      <c r="N847" s="76"/>
      <c r="O847" s="77"/>
      <c r="P847" s="78"/>
      <c r="Q847" s="78"/>
      <c r="R847" s="92"/>
      <c r="S847" s="92"/>
      <c r="T847" s="92"/>
      <c r="U847" s="92"/>
      <c r="V847" s="52"/>
      <c r="W847" s="52"/>
      <c r="X847" s="52"/>
      <c r="Y847" s="52"/>
      <c r="Z847" s="51"/>
      <c r="AA847" s="73"/>
      <c r="AB847" s="73"/>
      <c r="AC847" s="74"/>
      <c r="AD847" s="81" t="s">
        <v>2552</v>
      </c>
      <c r="AE847" s="86" t="s">
        <v>2975</v>
      </c>
      <c r="AF847" s="81">
        <v>579</v>
      </c>
      <c r="AG847" s="81">
        <v>664</v>
      </c>
      <c r="AH847" s="81">
        <v>1814</v>
      </c>
      <c r="AI847" s="81">
        <v>4794</v>
      </c>
      <c r="AJ847" s="81"/>
      <c r="AK847" s="81" t="s">
        <v>3380</v>
      </c>
      <c r="AL847" s="81"/>
      <c r="AM847" s="81"/>
      <c r="AN847" s="81"/>
      <c r="AO847" s="83">
        <v>43146.093298611115</v>
      </c>
      <c r="AP847" s="84" t="str">
        <f>HYPERLINK("https://pbs.twimg.com/profile_banners/963959636473741312/1623723764")</f>
        <v>https://pbs.twimg.com/profile_banners/963959636473741312/1623723764</v>
      </c>
      <c r="AQ847" s="81" t="b">
        <v>1</v>
      </c>
      <c r="AR847" s="81" t="b">
        <v>0</v>
      </c>
      <c r="AS847" s="81" t="b">
        <v>0</v>
      </c>
      <c r="AT847" s="81"/>
      <c r="AU847" s="81">
        <v>1</v>
      </c>
      <c r="AV847" s="81"/>
      <c r="AW847" s="81" t="b">
        <v>0</v>
      </c>
      <c r="AX847" s="81" t="s">
        <v>3728</v>
      </c>
      <c r="AY847" s="84" t="str">
        <f>HYPERLINK("https://twitter.com/izzarose")</f>
        <v>https://twitter.com/izzarose</v>
      </c>
      <c r="AZ847" s="81" t="s">
        <v>66</v>
      </c>
      <c r="BA847" s="2"/>
      <c r="BB847" s="3"/>
      <c r="BC847" s="3"/>
      <c r="BD847" s="3"/>
      <c r="BE847" s="3"/>
    </row>
    <row r="848" spans="1:57" x14ac:dyDescent="0.35">
      <c r="A848" s="66" t="s">
        <v>4531</v>
      </c>
      <c r="B848" s="67"/>
      <c r="C848" s="67"/>
      <c r="D848" s="68"/>
      <c r="E848" s="94"/>
      <c r="F848" s="93" t="str">
        <f>HYPERLINK("https://pbs.twimg.com/profile_images/1441858130078535682/0vQP3_Fy_normal.jpg")</f>
        <v>https://pbs.twimg.com/profile_images/1441858130078535682/0vQP3_Fy_normal.jpg</v>
      </c>
      <c r="G848" s="95"/>
      <c r="H848" s="71"/>
      <c r="I848" s="72"/>
      <c r="J848" s="96"/>
      <c r="K848" s="71" t="s">
        <v>11919</v>
      </c>
      <c r="L848" s="97"/>
      <c r="M848" s="76"/>
      <c r="N848" s="76"/>
      <c r="O848" s="77"/>
      <c r="P848" s="78"/>
      <c r="Q848" s="78"/>
      <c r="R848" s="92"/>
      <c r="S848" s="92"/>
      <c r="T848" s="92"/>
      <c r="U848" s="92"/>
      <c r="V848" s="52"/>
      <c r="W848" s="52"/>
      <c r="X848" s="52"/>
      <c r="Y848" s="52"/>
      <c r="Z848" s="51"/>
      <c r="AA848" s="73"/>
      <c r="AB848" s="73"/>
      <c r="AC848" s="74"/>
      <c r="AD848" s="81" t="s">
        <v>13483</v>
      </c>
      <c r="AE848" s="86" t="s">
        <v>9534</v>
      </c>
      <c r="AF848" s="81">
        <v>147</v>
      </c>
      <c r="AG848" s="81">
        <v>130</v>
      </c>
      <c r="AH848" s="81">
        <v>13890</v>
      </c>
      <c r="AI848" s="81">
        <v>34684</v>
      </c>
      <c r="AJ848" s="81"/>
      <c r="AK848" s="81" t="s">
        <v>10489</v>
      </c>
      <c r="AL848" s="81" t="s">
        <v>11180</v>
      </c>
      <c r="AM848" s="84" t="str">
        <f>HYPERLINK("https://t.co/c099HYAL1v")</f>
        <v>https://t.co/c099HYAL1v</v>
      </c>
      <c r="AN848" s="81"/>
      <c r="AO848" s="83">
        <v>43662.433611111112</v>
      </c>
      <c r="AP848" s="84" t="str">
        <f>HYPERLINK("https://pbs.twimg.com/profile_banners/1151075101573615616/1631044634")</f>
        <v>https://pbs.twimg.com/profile_banners/1151075101573615616/1631044634</v>
      </c>
      <c r="AQ848" s="81" t="b">
        <v>1</v>
      </c>
      <c r="AR848" s="81" t="b">
        <v>0</v>
      </c>
      <c r="AS848" s="81" t="b">
        <v>0</v>
      </c>
      <c r="AT848" s="81"/>
      <c r="AU848" s="81">
        <v>0</v>
      </c>
      <c r="AV848" s="81"/>
      <c r="AW848" s="81" t="b">
        <v>0</v>
      </c>
      <c r="AX848" s="81" t="s">
        <v>3728</v>
      </c>
      <c r="AY848" s="84" t="str">
        <f>HYPERLINK("https://twitter.com/mamilooooo")</f>
        <v>https://twitter.com/mamilooooo</v>
      </c>
      <c r="AZ848" s="81" t="s">
        <v>66</v>
      </c>
      <c r="BA848" s="2"/>
      <c r="BB848" s="3"/>
      <c r="BC848" s="3"/>
      <c r="BD848" s="3"/>
      <c r="BE848" s="3"/>
    </row>
    <row r="849" spans="1:57" x14ac:dyDescent="0.35">
      <c r="A849" s="66" t="s">
        <v>486</v>
      </c>
      <c r="B849" s="67"/>
      <c r="C849" s="67"/>
      <c r="D849" s="68"/>
      <c r="E849" s="94"/>
      <c r="F849" s="93" t="str">
        <f>HYPERLINK("https://pbs.twimg.com/profile_images/1286265256327569408/Vy1XmTKq_normal.jpg")</f>
        <v>https://pbs.twimg.com/profile_images/1286265256327569408/Vy1XmTKq_normal.jpg</v>
      </c>
      <c r="G849" s="95"/>
      <c r="H849" s="71"/>
      <c r="I849" s="72"/>
      <c r="J849" s="96"/>
      <c r="K849" s="71" t="s">
        <v>4041</v>
      </c>
      <c r="L849" s="97"/>
      <c r="M849" s="76"/>
      <c r="N849" s="76"/>
      <c r="O849" s="77"/>
      <c r="P849" s="78"/>
      <c r="Q849" s="78"/>
      <c r="R849" s="92"/>
      <c r="S849" s="92"/>
      <c r="T849" s="92"/>
      <c r="U849" s="92"/>
      <c r="V849" s="52"/>
      <c r="W849" s="52"/>
      <c r="X849" s="52"/>
      <c r="Y849" s="52"/>
      <c r="Z849" s="51"/>
      <c r="AA849" s="73"/>
      <c r="AB849" s="73"/>
      <c r="AC849" s="74"/>
      <c r="AD849" s="81" t="s">
        <v>2553</v>
      </c>
      <c r="AE849" s="86" t="s">
        <v>2976</v>
      </c>
      <c r="AF849" s="81">
        <v>247</v>
      </c>
      <c r="AG849" s="81">
        <v>640</v>
      </c>
      <c r="AH849" s="81">
        <v>26456</v>
      </c>
      <c r="AI849" s="81">
        <v>7109</v>
      </c>
      <c r="AJ849" s="81"/>
      <c r="AK849" s="81" t="s">
        <v>3381</v>
      </c>
      <c r="AL849" s="81"/>
      <c r="AM849" s="84" t="str">
        <f>HYPERLINK("https://t.co/R0tV6a0ioI")</f>
        <v>https://t.co/R0tV6a0ioI</v>
      </c>
      <c r="AN849" s="81"/>
      <c r="AO849" s="83">
        <v>41103.691342592596</v>
      </c>
      <c r="AP849" s="81"/>
      <c r="AQ849" s="81" t="b">
        <v>0</v>
      </c>
      <c r="AR849" s="81" t="b">
        <v>0</v>
      </c>
      <c r="AS849" s="81" t="b">
        <v>1</v>
      </c>
      <c r="AT849" s="81"/>
      <c r="AU849" s="81">
        <v>1</v>
      </c>
      <c r="AV849" s="84" t="str">
        <f>HYPERLINK("https://abs.twimg.com/images/themes/theme13/bg.gif")</f>
        <v>https://abs.twimg.com/images/themes/theme13/bg.gif</v>
      </c>
      <c r="AW849" s="81" t="b">
        <v>0</v>
      </c>
      <c r="AX849" s="81" t="s">
        <v>3728</v>
      </c>
      <c r="AY849" s="84" t="str">
        <f>HYPERLINK("https://twitter.com/cxlendulx")</f>
        <v>https://twitter.com/cxlendulx</v>
      </c>
      <c r="AZ849" s="81" t="s">
        <v>66</v>
      </c>
      <c r="BA849" s="2"/>
      <c r="BB849" s="3"/>
      <c r="BC849" s="3"/>
      <c r="BD849" s="3"/>
      <c r="BE849" s="3"/>
    </row>
    <row r="850" spans="1:57" x14ac:dyDescent="0.35">
      <c r="A850" s="66" t="s">
        <v>664</v>
      </c>
      <c r="B850" s="67"/>
      <c r="C850" s="67"/>
      <c r="D850" s="68"/>
      <c r="E850" s="94"/>
      <c r="F850" s="93" t="str">
        <f>HYPERLINK("https://pbs.twimg.com/profile_images/1374700038304174084/nWd5wgIy_normal.jpg")</f>
        <v>https://pbs.twimg.com/profile_images/1374700038304174084/nWd5wgIy_normal.jpg</v>
      </c>
      <c r="G850" s="95"/>
      <c r="H850" s="71"/>
      <c r="I850" s="72"/>
      <c r="J850" s="96"/>
      <c r="K850" s="71" t="s">
        <v>4042</v>
      </c>
      <c r="L850" s="97"/>
      <c r="M850" s="76"/>
      <c r="N850" s="76"/>
      <c r="O850" s="77"/>
      <c r="P850" s="78"/>
      <c r="Q850" s="78"/>
      <c r="R850" s="92"/>
      <c r="S850" s="92"/>
      <c r="T850" s="92"/>
      <c r="U850" s="92"/>
      <c r="V850" s="52"/>
      <c r="W850" s="52"/>
      <c r="X850" s="52"/>
      <c r="Y850" s="52"/>
      <c r="Z850" s="51"/>
      <c r="AA850" s="73"/>
      <c r="AB850" s="73"/>
      <c r="AC850" s="74"/>
      <c r="AD850" s="81" t="s">
        <v>2554</v>
      </c>
      <c r="AE850" s="86" t="s">
        <v>2130</v>
      </c>
      <c r="AF850" s="81">
        <v>281</v>
      </c>
      <c r="AG850" s="81">
        <v>472</v>
      </c>
      <c r="AH850" s="81">
        <v>1707</v>
      </c>
      <c r="AI850" s="81">
        <v>117</v>
      </c>
      <c r="AJ850" s="81"/>
      <c r="AK850" s="81" t="s">
        <v>3382</v>
      </c>
      <c r="AL850" s="81"/>
      <c r="AM850" s="81"/>
      <c r="AN850" s="81"/>
      <c r="AO850" s="83">
        <v>41372.293252314812</v>
      </c>
      <c r="AP850" s="84" t="str">
        <f>HYPERLINK("https://pbs.twimg.com/profile_banners/1335929088/1629091145")</f>
        <v>https://pbs.twimg.com/profile_banners/1335929088/1629091145</v>
      </c>
      <c r="AQ850" s="81" t="b">
        <v>0</v>
      </c>
      <c r="AR850" s="81" t="b">
        <v>0</v>
      </c>
      <c r="AS850" s="81" t="b">
        <v>1</v>
      </c>
      <c r="AT850" s="81"/>
      <c r="AU850" s="81">
        <v>0</v>
      </c>
      <c r="AV850" s="84" t="str">
        <f>HYPERLINK("https://abs.twimg.com/images/themes/theme5/bg.gif")</f>
        <v>https://abs.twimg.com/images/themes/theme5/bg.gif</v>
      </c>
      <c r="AW850" s="81" t="b">
        <v>0</v>
      </c>
      <c r="AX850" s="81" t="s">
        <v>3728</v>
      </c>
      <c r="AY850" s="84" t="str">
        <f>HYPERLINK("https://twitter.com/anlmsraa")</f>
        <v>https://twitter.com/anlmsraa</v>
      </c>
      <c r="AZ850" s="81" t="s">
        <v>65</v>
      </c>
      <c r="BA850" s="2"/>
      <c r="BB850" s="3"/>
      <c r="BC850" s="3"/>
      <c r="BD850" s="3"/>
      <c r="BE850" s="3"/>
    </row>
    <row r="851" spans="1:57" x14ac:dyDescent="0.35">
      <c r="A851" s="66" t="s">
        <v>4532</v>
      </c>
      <c r="B851" s="67"/>
      <c r="C851" s="67"/>
      <c r="D851" s="68"/>
      <c r="E851" s="94"/>
      <c r="F851" s="93" t="str">
        <f>HYPERLINK("https://pbs.twimg.com/profile_images/1440172917136838665/eMBZGWaL_normal.jpg")</f>
        <v>https://pbs.twimg.com/profile_images/1440172917136838665/eMBZGWaL_normal.jpg</v>
      </c>
      <c r="G851" s="95"/>
      <c r="H851" s="71"/>
      <c r="I851" s="72"/>
      <c r="J851" s="96"/>
      <c r="K851" s="71" t="s">
        <v>11920</v>
      </c>
      <c r="L851" s="97"/>
      <c r="M851" s="76"/>
      <c r="N851" s="76"/>
      <c r="O851" s="77"/>
      <c r="P851" s="78"/>
      <c r="Q851" s="78"/>
      <c r="R851" s="92"/>
      <c r="S851" s="92"/>
      <c r="T851" s="92"/>
      <c r="U851" s="92"/>
      <c r="V851" s="52"/>
      <c r="W851" s="52"/>
      <c r="X851" s="52"/>
      <c r="Y851" s="52"/>
      <c r="Z851" s="51"/>
      <c r="AA851" s="73"/>
      <c r="AB851" s="73"/>
      <c r="AC851" s="74"/>
      <c r="AD851" s="81" t="s">
        <v>8546</v>
      </c>
      <c r="AE851" s="86" t="s">
        <v>9535</v>
      </c>
      <c r="AF851" s="81">
        <v>141</v>
      </c>
      <c r="AG851" s="81">
        <v>97</v>
      </c>
      <c r="AH851" s="81">
        <v>2882</v>
      </c>
      <c r="AI851" s="81">
        <v>8280</v>
      </c>
      <c r="AJ851" s="81"/>
      <c r="AK851" s="81" t="s">
        <v>10490</v>
      </c>
      <c r="AL851" s="81"/>
      <c r="AM851" s="84" t="str">
        <f>HYPERLINK("https://t.co/W2cS98ejsl")</f>
        <v>https://t.co/W2cS98ejsl</v>
      </c>
      <c r="AN851" s="81"/>
      <c r="AO851" s="83">
        <v>44040.168622685182</v>
      </c>
      <c r="AP851" s="84" t="str">
        <f>HYPERLINK("https://pbs.twimg.com/profile_banners/1287961630236696582/1629743118")</f>
        <v>https://pbs.twimg.com/profile_banners/1287961630236696582/1629743118</v>
      </c>
      <c r="AQ851" s="81" t="b">
        <v>1</v>
      </c>
      <c r="AR851" s="81" t="b">
        <v>0</v>
      </c>
      <c r="AS851" s="81" t="b">
        <v>0</v>
      </c>
      <c r="AT851" s="81"/>
      <c r="AU851" s="81">
        <v>1</v>
      </c>
      <c r="AV851" s="81"/>
      <c r="AW851" s="81" t="b">
        <v>0</v>
      </c>
      <c r="AX851" s="81" t="s">
        <v>3728</v>
      </c>
      <c r="AY851" s="84" t="str">
        <f>HYPERLINK("https://twitter.com/arttwrrr")</f>
        <v>https://twitter.com/arttwrrr</v>
      </c>
      <c r="AZ851" s="81" t="s">
        <v>66</v>
      </c>
      <c r="BA851" s="2"/>
      <c r="BB851" s="3"/>
      <c r="BC851" s="3"/>
      <c r="BD851" s="3"/>
      <c r="BE851" s="3"/>
    </row>
    <row r="852" spans="1:57" x14ac:dyDescent="0.35">
      <c r="A852" s="66" t="s">
        <v>4533</v>
      </c>
      <c r="B852" s="67"/>
      <c r="C852" s="67"/>
      <c r="D852" s="68"/>
      <c r="E852" s="94"/>
      <c r="F852" s="93" t="str">
        <f>HYPERLINK("https://pbs.twimg.com/profile_images/922596150405976065/Kq2Q4SAV_normal.jpg")</f>
        <v>https://pbs.twimg.com/profile_images/922596150405976065/Kq2Q4SAV_normal.jpg</v>
      </c>
      <c r="G852" s="95"/>
      <c r="H852" s="71"/>
      <c r="I852" s="72"/>
      <c r="J852" s="96"/>
      <c r="K852" s="71" t="s">
        <v>11921</v>
      </c>
      <c r="L852" s="97"/>
      <c r="M852" s="76"/>
      <c r="N852" s="76"/>
      <c r="O852" s="77"/>
      <c r="P852" s="78"/>
      <c r="Q852" s="78"/>
      <c r="R852" s="92"/>
      <c r="S852" s="92"/>
      <c r="T852" s="92"/>
      <c r="U852" s="92"/>
      <c r="V852" s="52"/>
      <c r="W852" s="52"/>
      <c r="X852" s="52"/>
      <c r="Y852" s="52"/>
      <c r="Z852" s="51"/>
      <c r="AA852" s="73"/>
      <c r="AB852" s="73"/>
      <c r="AC852" s="74"/>
      <c r="AD852" s="81" t="s">
        <v>8547</v>
      </c>
      <c r="AE852" s="86" t="s">
        <v>9536</v>
      </c>
      <c r="AF852" s="81">
        <v>669</v>
      </c>
      <c r="AG852" s="81">
        <v>83</v>
      </c>
      <c r="AH852" s="81">
        <v>11577</v>
      </c>
      <c r="AI852" s="81">
        <v>31301</v>
      </c>
      <c r="AJ852" s="81"/>
      <c r="AK852" s="81" t="s">
        <v>10491</v>
      </c>
      <c r="AL852" s="81" t="s">
        <v>7998</v>
      </c>
      <c r="AM852" s="81"/>
      <c r="AN852" s="81"/>
      <c r="AO852" s="83">
        <v>40238.989421296297</v>
      </c>
      <c r="AP852" s="84" t="str">
        <f>HYPERLINK("https://pbs.twimg.com/profile_banners/118865071/1606150555")</f>
        <v>https://pbs.twimg.com/profile_banners/118865071/1606150555</v>
      </c>
      <c r="AQ852" s="81" t="b">
        <v>1</v>
      </c>
      <c r="AR852" s="81" t="b">
        <v>0</v>
      </c>
      <c r="AS852" s="81" t="b">
        <v>1</v>
      </c>
      <c r="AT852" s="81"/>
      <c r="AU852" s="81">
        <v>2</v>
      </c>
      <c r="AV852" s="84" t="str">
        <f>HYPERLINK("https://abs.twimg.com/images/themes/theme1/bg.png")</f>
        <v>https://abs.twimg.com/images/themes/theme1/bg.png</v>
      </c>
      <c r="AW852" s="81" t="b">
        <v>0</v>
      </c>
      <c r="AX852" s="81" t="s">
        <v>3728</v>
      </c>
      <c r="AY852" s="84" t="str">
        <f>HYPERLINK("https://twitter.com/phnx20")</f>
        <v>https://twitter.com/phnx20</v>
      </c>
      <c r="AZ852" s="81" t="s">
        <v>66</v>
      </c>
      <c r="BA852" s="2"/>
      <c r="BB852" s="3"/>
      <c r="BC852" s="3"/>
      <c r="BD852" s="3"/>
      <c r="BE852" s="3"/>
    </row>
    <row r="853" spans="1:57" x14ac:dyDescent="0.35">
      <c r="A853" s="66" t="s">
        <v>487</v>
      </c>
      <c r="B853" s="67"/>
      <c r="C853" s="67"/>
      <c r="D853" s="68"/>
      <c r="E853" s="94"/>
      <c r="F853" s="93" t="str">
        <f>HYPERLINK("https://pbs.twimg.com/profile_images/1425728456302624773/60TXrYzb_normal.jpg")</f>
        <v>https://pbs.twimg.com/profile_images/1425728456302624773/60TXrYzb_normal.jpg</v>
      </c>
      <c r="G853" s="95"/>
      <c r="H853" s="71"/>
      <c r="I853" s="72"/>
      <c r="J853" s="96"/>
      <c r="K853" s="71" t="s">
        <v>4043</v>
      </c>
      <c r="L853" s="97"/>
      <c r="M853" s="76"/>
      <c r="N853" s="76"/>
      <c r="O853" s="77"/>
      <c r="P853" s="78"/>
      <c r="Q853" s="78"/>
      <c r="R853" s="92"/>
      <c r="S853" s="92"/>
      <c r="T853" s="92"/>
      <c r="U853" s="92"/>
      <c r="V853" s="52"/>
      <c r="W853" s="52"/>
      <c r="X853" s="52"/>
      <c r="Y853" s="52"/>
      <c r="Z853" s="51"/>
      <c r="AA853" s="73"/>
      <c r="AB853" s="73"/>
      <c r="AC853" s="74"/>
      <c r="AD853" s="81" t="s">
        <v>2555</v>
      </c>
      <c r="AE853" s="86" t="s">
        <v>2977</v>
      </c>
      <c r="AF853" s="81">
        <v>223</v>
      </c>
      <c r="AG853" s="81">
        <v>209</v>
      </c>
      <c r="AH853" s="81">
        <v>25039</v>
      </c>
      <c r="AI853" s="81">
        <v>13047</v>
      </c>
      <c r="AJ853" s="81"/>
      <c r="AK853" s="81" t="s">
        <v>3383</v>
      </c>
      <c r="AL853" s="81"/>
      <c r="AM853" s="84" t="str">
        <f>HYPERLINK("https://t.co/cSD123Pte6")</f>
        <v>https://t.co/cSD123Pte6</v>
      </c>
      <c r="AN853" s="81"/>
      <c r="AO853" s="83">
        <v>41384.091400462959</v>
      </c>
      <c r="AP853" s="84" t="str">
        <f>HYPERLINK("https://pbs.twimg.com/profile_banners/1365928519/1620377386")</f>
        <v>https://pbs.twimg.com/profile_banners/1365928519/1620377386</v>
      </c>
      <c r="AQ853" s="81" t="b">
        <v>0</v>
      </c>
      <c r="AR853" s="81" t="b">
        <v>0</v>
      </c>
      <c r="AS853" s="81" t="b">
        <v>1</v>
      </c>
      <c r="AT853" s="81"/>
      <c r="AU853" s="81">
        <v>3</v>
      </c>
      <c r="AV853" s="84" t="str">
        <f>HYPERLINK("https://abs.twimg.com/images/themes/theme1/bg.png")</f>
        <v>https://abs.twimg.com/images/themes/theme1/bg.png</v>
      </c>
      <c r="AW853" s="81" t="b">
        <v>0</v>
      </c>
      <c r="AX853" s="81" t="s">
        <v>3728</v>
      </c>
      <c r="AY853" s="84" t="str">
        <f>HYPERLINK("https://twitter.com/allif33")</f>
        <v>https://twitter.com/allif33</v>
      </c>
      <c r="AZ853" s="81" t="s">
        <v>66</v>
      </c>
      <c r="BA853" s="2"/>
      <c r="BB853" s="3"/>
      <c r="BC853" s="3"/>
      <c r="BD853" s="3"/>
      <c r="BE853" s="3"/>
    </row>
    <row r="854" spans="1:57" x14ac:dyDescent="0.35">
      <c r="A854" s="66" t="s">
        <v>488</v>
      </c>
      <c r="B854" s="67"/>
      <c r="C854" s="67"/>
      <c r="D854" s="68"/>
      <c r="E854" s="94"/>
      <c r="F854" s="93" t="str">
        <f>HYPERLINK("https://pbs.twimg.com/profile_images/1416024357441212418/qo9f5NgH_normal.jpg")</f>
        <v>https://pbs.twimg.com/profile_images/1416024357441212418/qo9f5NgH_normal.jpg</v>
      </c>
      <c r="G854" s="95"/>
      <c r="H854" s="71"/>
      <c r="I854" s="72"/>
      <c r="J854" s="96"/>
      <c r="K854" s="71" t="s">
        <v>4044</v>
      </c>
      <c r="L854" s="97"/>
      <c r="M854" s="76"/>
      <c r="N854" s="76"/>
      <c r="O854" s="77"/>
      <c r="P854" s="78"/>
      <c r="Q854" s="78"/>
      <c r="R854" s="92"/>
      <c r="S854" s="92"/>
      <c r="T854" s="92"/>
      <c r="U854" s="92"/>
      <c r="V854" s="52"/>
      <c r="W854" s="52"/>
      <c r="X854" s="52"/>
      <c r="Y854" s="52"/>
      <c r="Z854" s="51"/>
      <c r="AA854" s="73"/>
      <c r="AB854" s="73"/>
      <c r="AC854" s="74"/>
      <c r="AD854" s="81" t="s">
        <v>2556</v>
      </c>
      <c r="AE854" s="86" t="s">
        <v>2978</v>
      </c>
      <c r="AF854" s="81">
        <v>394</v>
      </c>
      <c r="AG854" s="81">
        <v>222</v>
      </c>
      <c r="AH854" s="81">
        <v>46185</v>
      </c>
      <c r="AI854" s="81">
        <v>3406</v>
      </c>
      <c r="AJ854" s="81"/>
      <c r="AK854" s="81" t="s">
        <v>3384</v>
      </c>
      <c r="AL854" s="81" t="s">
        <v>3674</v>
      </c>
      <c r="AM854" s="81"/>
      <c r="AN854" s="81"/>
      <c r="AO854" s="83">
        <v>40418.180509259262</v>
      </c>
      <c r="AP854" s="81"/>
      <c r="AQ854" s="81" t="b">
        <v>0</v>
      </c>
      <c r="AR854" s="81" t="b">
        <v>0</v>
      </c>
      <c r="AS854" s="81" t="b">
        <v>0</v>
      </c>
      <c r="AT854" s="81"/>
      <c r="AU854" s="81">
        <v>5</v>
      </c>
      <c r="AV854" s="84" t="str">
        <f>HYPERLINK("https://abs.twimg.com/images/themes/theme14/bg.gif")</f>
        <v>https://abs.twimg.com/images/themes/theme14/bg.gif</v>
      </c>
      <c r="AW854" s="81" t="b">
        <v>0</v>
      </c>
      <c r="AX854" s="81" t="s">
        <v>3728</v>
      </c>
      <c r="AY854" s="84" t="str">
        <f>HYPERLINK("https://twitter.com/drjoealexander")</f>
        <v>https://twitter.com/drjoealexander</v>
      </c>
      <c r="AZ854" s="81" t="s">
        <v>66</v>
      </c>
      <c r="BA854" s="2"/>
      <c r="BB854" s="3"/>
      <c r="BC854" s="3"/>
      <c r="BD854" s="3"/>
      <c r="BE854" s="3"/>
    </row>
    <row r="855" spans="1:57" x14ac:dyDescent="0.35">
      <c r="A855" s="66" t="s">
        <v>489</v>
      </c>
      <c r="B855" s="67"/>
      <c r="C855" s="67"/>
      <c r="D855" s="68"/>
      <c r="E855" s="94"/>
      <c r="F855" s="93" t="str">
        <f>HYPERLINK("https://pbs.twimg.com/profile_images/1427791685388435456/HmFH2YqC_normal.jpg")</f>
        <v>https://pbs.twimg.com/profile_images/1427791685388435456/HmFH2YqC_normal.jpg</v>
      </c>
      <c r="G855" s="95"/>
      <c r="H855" s="71"/>
      <c r="I855" s="72"/>
      <c r="J855" s="96"/>
      <c r="K855" s="71" t="s">
        <v>4045</v>
      </c>
      <c r="L855" s="97"/>
      <c r="M855" s="76"/>
      <c r="N855" s="76"/>
      <c r="O855" s="77"/>
      <c r="P855" s="78"/>
      <c r="Q855" s="78"/>
      <c r="R855" s="92"/>
      <c r="S855" s="92"/>
      <c r="T855" s="92"/>
      <c r="U855" s="92"/>
      <c r="V855" s="52"/>
      <c r="W855" s="52"/>
      <c r="X855" s="52"/>
      <c r="Y855" s="52"/>
      <c r="Z855" s="51"/>
      <c r="AA855" s="73"/>
      <c r="AB855" s="73"/>
      <c r="AC855" s="74"/>
      <c r="AD855" s="81" t="s">
        <v>2245</v>
      </c>
      <c r="AE855" s="86" t="s">
        <v>2979</v>
      </c>
      <c r="AF855" s="81">
        <v>219</v>
      </c>
      <c r="AG855" s="81">
        <v>111</v>
      </c>
      <c r="AH855" s="81">
        <v>1217</v>
      </c>
      <c r="AI855" s="81">
        <v>3966</v>
      </c>
      <c r="AJ855" s="81"/>
      <c r="AK855" s="81" t="s">
        <v>3385</v>
      </c>
      <c r="AL855" s="81" t="s">
        <v>3675</v>
      </c>
      <c r="AM855" s="81"/>
      <c r="AN855" s="81"/>
      <c r="AO855" s="83">
        <v>43765.038275462961</v>
      </c>
      <c r="AP855" s="84" t="str">
        <f>HYPERLINK("https://pbs.twimg.com/profile_banners/1188257728050810881/1620235771")</f>
        <v>https://pbs.twimg.com/profile_banners/1188257728050810881/1620235771</v>
      </c>
      <c r="AQ855" s="81" t="b">
        <v>1</v>
      </c>
      <c r="AR855" s="81" t="b">
        <v>0</v>
      </c>
      <c r="AS855" s="81" t="b">
        <v>0</v>
      </c>
      <c r="AT855" s="81"/>
      <c r="AU855" s="81">
        <v>0</v>
      </c>
      <c r="AV855" s="81"/>
      <c r="AW855" s="81" t="b">
        <v>0</v>
      </c>
      <c r="AX855" s="81" t="s">
        <v>3728</v>
      </c>
      <c r="AY855" s="84" t="str">
        <f>HYPERLINK("https://twitter.com/cringeunicorn_")</f>
        <v>https://twitter.com/cringeunicorn_</v>
      </c>
      <c r="AZ855" s="81" t="s">
        <v>66</v>
      </c>
      <c r="BA855" s="2"/>
      <c r="BB855" s="3"/>
      <c r="BC855" s="3"/>
      <c r="BD855" s="3"/>
      <c r="BE855" s="3"/>
    </row>
    <row r="856" spans="1:57" x14ac:dyDescent="0.35">
      <c r="A856" s="66" t="s">
        <v>665</v>
      </c>
      <c r="B856" s="67"/>
      <c r="C856" s="67"/>
      <c r="D856" s="68"/>
      <c r="E856" s="94"/>
      <c r="F856" s="93" t="str">
        <f>HYPERLINK("https://pbs.twimg.com/profile_images/1437218592399917056/ZVsc_BKi_normal.jpg")</f>
        <v>https://pbs.twimg.com/profile_images/1437218592399917056/ZVsc_BKi_normal.jpg</v>
      </c>
      <c r="G856" s="95"/>
      <c r="H856" s="71"/>
      <c r="I856" s="72"/>
      <c r="J856" s="96"/>
      <c r="K856" s="71" t="s">
        <v>4046</v>
      </c>
      <c r="L856" s="97"/>
      <c r="M856" s="76"/>
      <c r="N856" s="76"/>
      <c r="O856" s="77"/>
      <c r="P856" s="78"/>
      <c r="Q856" s="78"/>
      <c r="R856" s="92"/>
      <c r="S856" s="92"/>
      <c r="T856" s="92"/>
      <c r="U856" s="92"/>
      <c r="V856" s="52"/>
      <c r="W856" s="52"/>
      <c r="X856" s="52"/>
      <c r="Y856" s="52"/>
      <c r="Z856" s="51"/>
      <c r="AA856" s="73"/>
      <c r="AB856" s="73"/>
      <c r="AC856" s="74"/>
      <c r="AD856" s="81" t="s">
        <v>2557</v>
      </c>
      <c r="AE856" s="86" t="s">
        <v>2131</v>
      </c>
      <c r="AF856" s="81">
        <v>208</v>
      </c>
      <c r="AG856" s="81">
        <v>219</v>
      </c>
      <c r="AH856" s="81">
        <v>2563</v>
      </c>
      <c r="AI856" s="81">
        <v>9824</v>
      </c>
      <c r="AJ856" s="81"/>
      <c r="AK856" s="81" t="s">
        <v>3386</v>
      </c>
      <c r="AL856" s="81" t="s">
        <v>3676</v>
      </c>
      <c r="AM856" s="81"/>
      <c r="AN856" s="81"/>
      <c r="AO856" s="83">
        <v>43371.613541666666</v>
      </c>
      <c r="AP856" s="84" t="str">
        <f>HYPERLINK("https://pbs.twimg.com/profile_banners/1045685436847284225/1616142238")</f>
        <v>https://pbs.twimg.com/profile_banners/1045685436847284225/1616142238</v>
      </c>
      <c r="AQ856" s="81" t="b">
        <v>1</v>
      </c>
      <c r="AR856" s="81" t="b">
        <v>0</v>
      </c>
      <c r="AS856" s="81" t="b">
        <v>0</v>
      </c>
      <c r="AT856" s="81"/>
      <c r="AU856" s="81">
        <v>0</v>
      </c>
      <c r="AV856" s="81"/>
      <c r="AW856" s="81" t="b">
        <v>0</v>
      </c>
      <c r="AX856" s="81" t="s">
        <v>3728</v>
      </c>
      <c r="AY856" s="84" t="str">
        <f>HYPERLINK("https://twitter.com/ruangaleeya")</f>
        <v>https://twitter.com/ruangaleeya</v>
      </c>
      <c r="AZ856" s="81" t="s">
        <v>65</v>
      </c>
      <c r="BA856" s="2"/>
      <c r="BB856" s="3"/>
      <c r="BC856" s="3"/>
      <c r="BD856" s="3"/>
      <c r="BE856" s="3"/>
    </row>
    <row r="857" spans="1:57" x14ac:dyDescent="0.35">
      <c r="A857" s="66" t="s">
        <v>4534</v>
      </c>
      <c r="B857" s="67"/>
      <c r="C857" s="67"/>
      <c r="D857" s="68"/>
      <c r="E857" s="94"/>
      <c r="F857" s="93" t="str">
        <f>HYPERLINK("https://pbs.twimg.com/profile_images/513000037232553984/OUyHsLxp_normal.jpeg")</f>
        <v>https://pbs.twimg.com/profile_images/513000037232553984/OUyHsLxp_normal.jpeg</v>
      </c>
      <c r="G857" s="95"/>
      <c r="H857" s="71"/>
      <c r="I857" s="72"/>
      <c r="J857" s="96"/>
      <c r="K857" s="71" t="s">
        <v>11922</v>
      </c>
      <c r="L857" s="97"/>
      <c r="M857" s="76"/>
      <c r="N857" s="76"/>
      <c r="O857" s="77"/>
      <c r="P857" s="78"/>
      <c r="Q857" s="78"/>
      <c r="R857" s="92"/>
      <c r="S857" s="92"/>
      <c r="T857" s="92"/>
      <c r="U857" s="92"/>
      <c r="V857" s="52"/>
      <c r="W857" s="52"/>
      <c r="X857" s="52"/>
      <c r="Y857" s="52"/>
      <c r="Z857" s="51"/>
      <c r="AA857" s="73"/>
      <c r="AB857" s="73"/>
      <c r="AC857" s="74"/>
      <c r="AD857" s="81" t="s">
        <v>4534</v>
      </c>
      <c r="AE857" s="86" t="s">
        <v>9537</v>
      </c>
      <c r="AF857" s="81">
        <v>49</v>
      </c>
      <c r="AG857" s="81">
        <v>228</v>
      </c>
      <c r="AH857" s="81">
        <v>14760</v>
      </c>
      <c r="AI857" s="81">
        <v>7</v>
      </c>
      <c r="AJ857" s="81"/>
      <c r="AK857" s="81" t="s">
        <v>10492</v>
      </c>
      <c r="AL857" s="81" t="s">
        <v>10990</v>
      </c>
      <c r="AM857" s="84" t="str">
        <f>HYPERLINK("http://t.co/szbRyWrhNU")</f>
        <v>http://t.co/szbRyWrhNU</v>
      </c>
      <c r="AN857" s="81"/>
      <c r="AO857" s="83">
        <v>40193.651701388888</v>
      </c>
      <c r="AP857" s="84" t="str">
        <f>HYPERLINK("https://pbs.twimg.com/profile_banners/105173141/1420923558")</f>
        <v>https://pbs.twimg.com/profile_banners/105173141/1420923558</v>
      </c>
      <c r="AQ857" s="81" t="b">
        <v>0</v>
      </c>
      <c r="AR857" s="81" t="b">
        <v>0</v>
      </c>
      <c r="AS857" s="81" t="b">
        <v>1</v>
      </c>
      <c r="AT857" s="81"/>
      <c r="AU857" s="81">
        <v>2</v>
      </c>
      <c r="AV857" s="84" t="str">
        <f>HYPERLINK("https://abs.twimg.com/images/themes/theme18/bg.gif")</f>
        <v>https://abs.twimg.com/images/themes/theme18/bg.gif</v>
      </c>
      <c r="AW857" s="81" t="b">
        <v>0</v>
      </c>
      <c r="AX857" s="81" t="s">
        <v>3728</v>
      </c>
      <c r="AY857" s="84" t="str">
        <f>HYPERLINK("https://twitter.com/opraticante")</f>
        <v>https://twitter.com/opraticante</v>
      </c>
      <c r="AZ857" s="81" t="s">
        <v>66</v>
      </c>
      <c r="BA857" s="2"/>
      <c r="BB857" s="3"/>
      <c r="BC857" s="3"/>
      <c r="BD857" s="3"/>
      <c r="BE857" s="3"/>
    </row>
    <row r="858" spans="1:57" x14ac:dyDescent="0.35">
      <c r="A858" s="66" t="s">
        <v>4535</v>
      </c>
      <c r="B858" s="67"/>
      <c r="C858" s="67"/>
      <c r="D858" s="68"/>
      <c r="E858" s="94"/>
      <c r="F858" s="93" t="str">
        <f>HYPERLINK("https://pbs.twimg.com/profile_images/1435973737371873287/-ftavIh__normal.jpg")</f>
        <v>https://pbs.twimg.com/profile_images/1435973737371873287/-ftavIh__normal.jpg</v>
      </c>
      <c r="G858" s="95"/>
      <c r="H858" s="71"/>
      <c r="I858" s="72"/>
      <c r="J858" s="96"/>
      <c r="K858" s="71" t="s">
        <v>11923</v>
      </c>
      <c r="L858" s="97"/>
      <c r="M858" s="76"/>
      <c r="N858" s="76"/>
      <c r="O858" s="77"/>
      <c r="P858" s="78"/>
      <c r="Q858" s="78"/>
      <c r="R858" s="92"/>
      <c r="S858" s="92"/>
      <c r="T858" s="92"/>
      <c r="U858" s="92"/>
      <c r="V858" s="52"/>
      <c r="W858" s="52"/>
      <c r="X858" s="52"/>
      <c r="Y858" s="52"/>
      <c r="Z858" s="51"/>
      <c r="AA858" s="73"/>
      <c r="AB858" s="73"/>
      <c r="AC858" s="74"/>
      <c r="AD858" s="81" t="s">
        <v>8548</v>
      </c>
      <c r="AE858" s="86" t="s">
        <v>9538</v>
      </c>
      <c r="AF858" s="81">
        <v>3099</v>
      </c>
      <c r="AG858" s="81">
        <v>2457</v>
      </c>
      <c r="AH858" s="81">
        <v>159107</v>
      </c>
      <c r="AI858" s="81">
        <v>33996</v>
      </c>
      <c r="AJ858" s="81"/>
      <c r="AK858" s="81" t="s">
        <v>10493</v>
      </c>
      <c r="AL858" s="81" t="s">
        <v>11181</v>
      </c>
      <c r="AM858" s="84" t="str">
        <f>HYPERLINK("https://t.co/MYUtvfH7sf")</f>
        <v>https://t.co/MYUtvfH7sf</v>
      </c>
      <c r="AN858" s="81"/>
      <c r="AO858" s="83">
        <v>40081.75377314815</v>
      </c>
      <c r="AP858" s="84" t="str">
        <f>HYPERLINK("https://pbs.twimg.com/profile_banners/77272609/1577117373")</f>
        <v>https://pbs.twimg.com/profile_banners/77272609/1577117373</v>
      </c>
      <c r="AQ858" s="81" t="b">
        <v>0</v>
      </c>
      <c r="AR858" s="81" t="b">
        <v>0</v>
      </c>
      <c r="AS858" s="81" t="b">
        <v>1</v>
      </c>
      <c r="AT858" s="81"/>
      <c r="AU858" s="81">
        <v>39</v>
      </c>
      <c r="AV858" s="84" t="str">
        <f>HYPERLINK("https://abs.twimg.com/images/themes/theme15/bg.png")</f>
        <v>https://abs.twimg.com/images/themes/theme15/bg.png</v>
      </c>
      <c r="AW858" s="81" t="b">
        <v>0</v>
      </c>
      <c r="AX858" s="81" t="s">
        <v>3728</v>
      </c>
      <c r="AY858" s="84" t="str">
        <f>HYPERLINK("https://twitter.com/pegeovane")</f>
        <v>https://twitter.com/pegeovane</v>
      </c>
      <c r="AZ858" s="81" t="s">
        <v>66</v>
      </c>
      <c r="BA858" s="2"/>
      <c r="BB858" s="3"/>
      <c r="BC858" s="3"/>
      <c r="BD858" s="3"/>
      <c r="BE858" s="3"/>
    </row>
    <row r="859" spans="1:57" x14ac:dyDescent="0.35">
      <c r="A859" s="66" t="s">
        <v>490</v>
      </c>
      <c r="B859" s="67"/>
      <c r="C859" s="67"/>
      <c r="D859" s="68"/>
      <c r="E859" s="94"/>
      <c r="F859" s="93" t="str">
        <f>HYPERLINK("https://pbs.twimg.com/profile_images/1440683609686360064/-Txz3cig_normal.jpg")</f>
        <v>https://pbs.twimg.com/profile_images/1440683609686360064/-Txz3cig_normal.jpg</v>
      </c>
      <c r="G859" s="95"/>
      <c r="H859" s="71"/>
      <c r="I859" s="72"/>
      <c r="J859" s="96"/>
      <c r="K859" s="71" t="s">
        <v>4047</v>
      </c>
      <c r="L859" s="97"/>
      <c r="M859" s="76"/>
      <c r="N859" s="76"/>
      <c r="O859" s="77"/>
      <c r="P859" s="78"/>
      <c r="Q859" s="78"/>
      <c r="R859" s="92"/>
      <c r="S859" s="92"/>
      <c r="T859" s="92"/>
      <c r="U859" s="92"/>
      <c r="V859" s="52"/>
      <c r="W859" s="52"/>
      <c r="X859" s="52"/>
      <c r="Y859" s="52"/>
      <c r="Z859" s="51"/>
      <c r="AA859" s="73"/>
      <c r="AB859" s="73"/>
      <c r="AC859" s="74"/>
      <c r="AD859" s="81" t="s">
        <v>2558</v>
      </c>
      <c r="AE859" s="86" t="s">
        <v>2132</v>
      </c>
      <c r="AF859" s="81">
        <v>662</v>
      </c>
      <c r="AG859" s="81">
        <v>283</v>
      </c>
      <c r="AH859" s="81">
        <v>6468</v>
      </c>
      <c r="AI859" s="81">
        <v>24167</v>
      </c>
      <c r="AJ859" s="81"/>
      <c r="AK859" s="81" t="s">
        <v>13940</v>
      </c>
      <c r="AL859" s="81"/>
      <c r="AM859" s="81"/>
      <c r="AN859" s="81"/>
      <c r="AO859" s="83">
        <v>44208.477025462962</v>
      </c>
      <c r="AP859" s="84" t="str">
        <f>HYPERLINK("https://pbs.twimg.com/profile_banners/1348954540012261377/1630837276")</f>
        <v>https://pbs.twimg.com/profile_banners/1348954540012261377/1630837276</v>
      </c>
      <c r="AQ859" s="81" t="b">
        <v>1</v>
      </c>
      <c r="AR859" s="81" t="b">
        <v>0</v>
      </c>
      <c r="AS859" s="81" t="b">
        <v>0</v>
      </c>
      <c r="AT859" s="81"/>
      <c r="AU859" s="81">
        <v>2</v>
      </c>
      <c r="AV859" s="81"/>
      <c r="AW859" s="81" t="b">
        <v>0</v>
      </c>
      <c r="AX859" s="81" t="s">
        <v>3728</v>
      </c>
      <c r="AY859" s="84" t="str">
        <f>HYPERLINK("https://twitter.com/yojeong9196")</f>
        <v>https://twitter.com/yojeong9196</v>
      </c>
      <c r="AZ859" s="81" t="s">
        <v>66</v>
      </c>
      <c r="BA859" s="2"/>
      <c r="BB859" s="3"/>
      <c r="BC859" s="3"/>
      <c r="BD859" s="3"/>
      <c r="BE859" s="3"/>
    </row>
    <row r="860" spans="1:57" x14ac:dyDescent="0.35">
      <c r="A860" s="66" t="s">
        <v>4536</v>
      </c>
      <c r="B860" s="67"/>
      <c r="C860" s="67"/>
      <c r="D860" s="68"/>
      <c r="E860" s="94"/>
      <c r="F860" s="93" t="str">
        <f>HYPERLINK("https://pbs.twimg.com/profile_images/832697425278046209/zj0gYo3I_normal.jpg")</f>
        <v>https://pbs.twimg.com/profile_images/832697425278046209/zj0gYo3I_normal.jpg</v>
      </c>
      <c r="G860" s="95"/>
      <c r="H860" s="71"/>
      <c r="I860" s="72"/>
      <c r="J860" s="96"/>
      <c r="K860" s="71" t="s">
        <v>11924</v>
      </c>
      <c r="L860" s="97"/>
      <c r="M860" s="76"/>
      <c r="N860" s="76"/>
      <c r="O860" s="77"/>
      <c r="P860" s="78"/>
      <c r="Q860" s="78"/>
      <c r="R860" s="92"/>
      <c r="S860" s="92"/>
      <c r="T860" s="92"/>
      <c r="U860" s="92"/>
      <c r="V860" s="52"/>
      <c r="W860" s="52"/>
      <c r="X860" s="52"/>
      <c r="Y860" s="52"/>
      <c r="Z860" s="51"/>
      <c r="AA860" s="73"/>
      <c r="AB860" s="73"/>
      <c r="AC860" s="74"/>
      <c r="AD860" s="81" t="s">
        <v>8549</v>
      </c>
      <c r="AE860" s="86" t="s">
        <v>9539</v>
      </c>
      <c r="AF860" s="81">
        <v>148</v>
      </c>
      <c r="AG860" s="81">
        <v>241</v>
      </c>
      <c r="AH860" s="81">
        <v>26241</v>
      </c>
      <c r="AI860" s="81">
        <v>316</v>
      </c>
      <c r="AJ860" s="81"/>
      <c r="AK860" s="81" t="s">
        <v>10494</v>
      </c>
      <c r="AL860" s="81" t="s">
        <v>7998</v>
      </c>
      <c r="AM860" s="84" t="str">
        <f>HYPERLINK("https://t.co/u0KhbRVCiy")</f>
        <v>https://t.co/u0KhbRVCiy</v>
      </c>
      <c r="AN860" s="81"/>
      <c r="AO860" s="83">
        <v>42782.843263888892</v>
      </c>
      <c r="AP860" s="84" t="str">
        <f>HYPERLINK("https://pbs.twimg.com/profile_banners/832322231082635264/1487277257")</f>
        <v>https://pbs.twimg.com/profile_banners/832322231082635264/1487277257</v>
      </c>
      <c r="AQ860" s="81" t="b">
        <v>0</v>
      </c>
      <c r="AR860" s="81" t="b">
        <v>0</v>
      </c>
      <c r="AS860" s="81" t="b">
        <v>0</v>
      </c>
      <c r="AT860" s="81"/>
      <c r="AU860" s="81">
        <v>5</v>
      </c>
      <c r="AV860" s="84" t="str">
        <f>HYPERLINK("https://abs.twimg.com/images/themes/theme1/bg.png")</f>
        <v>https://abs.twimg.com/images/themes/theme1/bg.png</v>
      </c>
      <c r="AW860" s="81" t="b">
        <v>0</v>
      </c>
      <c r="AX860" s="81" t="s">
        <v>3728</v>
      </c>
      <c r="AY860" s="84" t="str">
        <f>HYPERLINK("https://twitter.com/maiscatolicismo")</f>
        <v>https://twitter.com/maiscatolicismo</v>
      </c>
      <c r="AZ860" s="81" t="s">
        <v>66</v>
      </c>
      <c r="BA860" s="2"/>
      <c r="BB860" s="3"/>
      <c r="BC860" s="3"/>
      <c r="BD860" s="3"/>
      <c r="BE860" s="3"/>
    </row>
    <row r="861" spans="1:57" x14ac:dyDescent="0.35">
      <c r="A861" s="66" t="s">
        <v>4537</v>
      </c>
      <c r="B861" s="67"/>
      <c r="C861" s="67"/>
      <c r="D861" s="68"/>
      <c r="E861" s="94"/>
      <c r="F861" s="93" t="str">
        <f>HYPERLINK("https://pbs.twimg.com/profile_images/785509673797578752/SU9AWl-P_normal.jpg")</f>
        <v>https://pbs.twimg.com/profile_images/785509673797578752/SU9AWl-P_normal.jpg</v>
      </c>
      <c r="G861" s="95"/>
      <c r="H861" s="71"/>
      <c r="I861" s="72"/>
      <c r="J861" s="96"/>
      <c r="K861" s="71" t="s">
        <v>11925</v>
      </c>
      <c r="L861" s="97"/>
      <c r="M861" s="76"/>
      <c r="N861" s="76"/>
      <c r="O861" s="77"/>
      <c r="P861" s="78"/>
      <c r="Q861" s="78"/>
      <c r="R861" s="92"/>
      <c r="S861" s="92"/>
      <c r="T861" s="92"/>
      <c r="U861" s="92"/>
      <c r="V861" s="52"/>
      <c r="W861" s="52"/>
      <c r="X861" s="52"/>
      <c r="Y861" s="52"/>
      <c r="Z861" s="51"/>
      <c r="AA861" s="73"/>
      <c r="AB861" s="73"/>
      <c r="AC861" s="74"/>
      <c r="AD861" s="81" t="s">
        <v>8550</v>
      </c>
      <c r="AE861" s="86" t="s">
        <v>9540</v>
      </c>
      <c r="AF861" s="81">
        <v>82</v>
      </c>
      <c r="AG861" s="81">
        <v>5873</v>
      </c>
      <c r="AH861" s="81">
        <v>26803</v>
      </c>
      <c r="AI861" s="81">
        <v>675</v>
      </c>
      <c r="AJ861" s="81"/>
      <c r="AK861" s="81" t="s">
        <v>10495</v>
      </c>
      <c r="AL861" s="81"/>
      <c r="AM861" s="84" t="str">
        <f>HYPERLINK("http://t.co/bJVTggZ68z")</f>
        <v>http://t.co/bJVTggZ68z</v>
      </c>
      <c r="AN861" s="81"/>
      <c r="AO861" s="83">
        <v>39876.449293981481</v>
      </c>
      <c r="AP861" s="84" t="str">
        <f>HYPERLINK("https://pbs.twimg.com/profile_banners/22756445/1476115656")</f>
        <v>https://pbs.twimg.com/profile_banners/22756445/1476115656</v>
      </c>
      <c r="AQ861" s="81" t="b">
        <v>0</v>
      </c>
      <c r="AR861" s="81" t="b">
        <v>0</v>
      </c>
      <c r="AS861" s="81" t="b">
        <v>0</v>
      </c>
      <c r="AT861" s="81"/>
      <c r="AU861" s="81">
        <v>68</v>
      </c>
      <c r="AV861" s="84" t="str">
        <f>HYPERLINK("https://abs.twimg.com/images/themes/theme1/bg.png")</f>
        <v>https://abs.twimg.com/images/themes/theme1/bg.png</v>
      </c>
      <c r="AW861" s="81" t="b">
        <v>0</v>
      </c>
      <c r="AX861" s="81" t="s">
        <v>3728</v>
      </c>
      <c r="AY861" s="84" t="str">
        <f>HYPERLINK("https://twitter.com/agenciaecclesia")</f>
        <v>https://twitter.com/agenciaecclesia</v>
      </c>
      <c r="AZ861" s="81" t="s">
        <v>66</v>
      </c>
      <c r="BA861" s="2"/>
      <c r="BB861" s="3"/>
      <c r="BC861" s="3"/>
      <c r="BD861" s="3"/>
      <c r="BE861" s="3"/>
    </row>
    <row r="862" spans="1:57" x14ac:dyDescent="0.35">
      <c r="A862" s="66" t="s">
        <v>491</v>
      </c>
      <c r="B862" s="67"/>
      <c r="C862" s="67"/>
      <c r="D862" s="68"/>
      <c r="E862" s="94"/>
      <c r="F862" s="93" t="str">
        <f>HYPERLINK("https://pbs.twimg.com/profile_images/1383673548728799239/ZVOJozh6_normal.jpg")</f>
        <v>https://pbs.twimg.com/profile_images/1383673548728799239/ZVOJozh6_normal.jpg</v>
      </c>
      <c r="G862" s="95"/>
      <c r="H862" s="71"/>
      <c r="I862" s="72"/>
      <c r="J862" s="96"/>
      <c r="K862" s="71" t="s">
        <v>4048</v>
      </c>
      <c r="L862" s="97"/>
      <c r="M862" s="76"/>
      <c r="N862" s="76"/>
      <c r="O862" s="77"/>
      <c r="P862" s="78"/>
      <c r="Q862" s="78"/>
      <c r="R862" s="92"/>
      <c r="S862" s="92"/>
      <c r="T862" s="92"/>
      <c r="U862" s="92"/>
      <c r="V862" s="52"/>
      <c r="W862" s="52"/>
      <c r="X862" s="52"/>
      <c r="Y862" s="52"/>
      <c r="Z862" s="51"/>
      <c r="AA862" s="73"/>
      <c r="AB862" s="73"/>
      <c r="AC862" s="74"/>
      <c r="AD862" s="81" t="s">
        <v>2559</v>
      </c>
      <c r="AE862" s="86" t="s">
        <v>2980</v>
      </c>
      <c r="AF862" s="81">
        <v>38</v>
      </c>
      <c r="AG862" s="81">
        <v>48</v>
      </c>
      <c r="AH862" s="81">
        <v>2394</v>
      </c>
      <c r="AI862" s="81">
        <v>2</v>
      </c>
      <c r="AJ862" s="81"/>
      <c r="AK862" s="81" t="s">
        <v>3387</v>
      </c>
      <c r="AL862" s="81"/>
      <c r="AM862" s="81"/>
      <c r="AN862" s="81"/>
      <c r="AO862" s="83">
        <v>44304.282743055555</v>
      </c>
      <c r="AP862" s="81"/>
      <c r="AQ862" s="81" t="b">
        <v>1</v>
      </c>
      <c r="AR862" s="81" t="b">
        <v>0</v>
      </c>
      <c r="AS862" s="81" t="b">
        <v>0</v>
      </c>
      <c r="AT862" s="81"/>
      <c r="AU862" s="81">
        <v>0</v>
      </c>
      <c r="AV862" s="81"/>
      <c r="AW862" s="81" t="b">
        <v>0</v>
      </c>
      <c r="AX862" s="81" t="s">
        <v>3728</v>
      </c>
      <c r="AY862" s="84" t="str">
        <f>HYPERLINK("https://twitter.com/portalkalbar1")</f>
        <v>https://twitter.com/portalkalbar1</v>
      </c>
      <c r="AZ862" s="81" t="s">
        <v>66</v>
      </c>
      <c r="BA862" s="2"/>
      <c r="BB862" s="3"/>
      <c r="BC862" s="3"/>
      <c r="BD862" s="3"/>
      <c r="BE862" s="3"/>
    </row>
    <row r="863" spans="1:57" x14ac:dyDescent="0.35">
      <c r="A863" s="66" t="s">
        <v>4538</v>
      </c>
      <c r="B863" s="67"/>
      <c r="C863" s="67"/>
      <c r="D863" s="68"/>
      <c r="E863" s="94"/>
      <c r="F863" s="93" t="str">
        <f>HYPERLINK("https://pbs.twimg.com/profile_images/726501924720103424/wuMXljhY_normal.jpg")</f>
        <v>https://pbs.twimg.com/profile_images/726501924720103424/wuMXljhY_normal.jpg</v>
      </c>
      <c r="G863" s="95"/>
      <c r="H863" s="71"/>
      <c r="I863" s="72"/>
      <c r="J863" s="96"/>
      <c r="K863" s="71" t="s">
        <v>11926</v>
      </c>
      <c r="L863" s="97"/>
      <c r="M863" s="76"/>
      <c r="N863" s="76"/>
      <c r="O863" s="77"/>
      <c r="P863" s="78"/>
      <c r="Q863" s="78"/>
      <c r="R863" s="92"/>
      <c r="S863" s="92"/>
      <c r="T863" s="92"/>
      <c r="U863" s="92"/>
      <c r="V863" s="52"/>
      <c r="W863" s="52"/>
      <c r="X863" s="52"/>
      <c r="Y863" s="52"/>
      <c r="Z863" s="51"/>
      <c r="AA863" s="73"/>
      <c r="AB863" s="73"/>
      <c r="AC863" s="74"/>
      <c r="AD863" s="81" t="s">
        <v>8551</v>
      </c>
      <c r="AE863" s="86" t="s">
        <v>9541</v>
      </c>
      <c r="AF863" s="81">
        <v>70</v>
      </c>
      <c r="AG863" s="81">
        <v>85</v>
      </c>
      <c r="AH863" s="81">
        <v>13146</v>
      </c>
      <c r="AI863" s="81">
        <v>16216</v>
      </c>
      <c r="AJ863" s="81"/>
      <c r="AK863" s="81" t="s">
        <v>10496</v>
      </c>
      <c r="AL863" s="81" t="s">
        <v>11182</v>
      </c>
      <c r="AM863" s="81"/>
      <c r="AN863" s="81"/>
      <c r="AO863" s="83">
        <v>42411.643599537034</v>
      </c>
      <c r="AP863" s="84" t="str">
        <f>HYPERLINK("https://pbs.twimg.com/profile_banners/697803976180436992/1588781041")</f>
        <v>https://pbs.twimg.com/profile_banners/697803976180436992/1588781041</v>
      </c>
      <c r="AQ863" s="81" t="b">
        <v>0</v>
      </c>
      <c r="AR863" s="81" t="b">
        <v>0</v>
      </c>
      <c r="AS863" s="81" t="b">
        <v>1</v>
      </c>
      <c r="AT863" s="81"/>
      <c r="AU863" s="81">
        <v>0</v>
      </c>
      <c r="AV863" s="84" t="str">
        <f>HYPERLINK("https://abs.twimg.com/images/themes/theme1/bg.png")</f>
        <v>https://abs.twimg.com/images/themes/theme1/bg.png</v>
      </c>
      <c r="AW863" s="81" t="b">
        <v>0</v>
      </c>
      <c r="AX863" s="81" t="s">
        <v>3728</v>
      </c>
      <c r="AY863" s="84" t="str">
        <f>HYPERLINK("https://twitter.com/fiordaliso21")</f>
        <v>https://twitter.com/fiordaliso21</v>
      </c>
      <c r="AZ863" s="81" t="s">
        <v>66</v>
      </c>
      <c r="BA863" s="2"/>
      <c r="BB863" s="3"/>
      <c r="BC863" s="3"/>
      <c r="BD863" s="3"/>
      <c r="BE863" s="3"/>
    </row>
    <row r="864" spans="1:57" x14ac:dyDescent="0.35">
      <c r="A864" s="66" t="s">
        <v>492</v>
      </c>
      <c r="B864" s="67"/>
      <c r="C864" s="67"/>
      <c r="D864" s="68"/>
      <c r="E864" s="94"/>
      <c r="F864" s="93" t="str">
        <f>HYPERLINK("https://pbs.twimg.com/profile_images/1438773004297666562/t85M4NGa_normal.jpg")</f>
        <v>https://pbs.twimg.com/profile_images/1438773004297666562/t85M4NGa_normal.jpg</v>
      </c>
      <c r="G864" s="95"/>
      <c r="H864" s="71"/>
      <c r="I864" s="72"/>
      <c r="J864" s="96"/>
      <c r="K864" s="71" t="s">
        <v>4049</v>
      </c>
      <c r="L864" s="97"/>
      <c r="M864" s="76"/>
      <c r="N864" s="76"/>
      <c r="O864" s="77"/>
      <c r="P864" s="78"/>
      <c r="Q864" s="78"/>
      <c r="R864" s="92"/>
      <c r="S864" s="92"/>
      <c r="T864" s="92"/>
      <c r="U864" s="92"/>
      <c r="V864" s="52"/>
      <c r="W864" s="52"/>
      <c r="X864" s="52"/>
      <c r="Y864" s="52"/>
      <c r="Z864" s="51"/>
      <c r="AA864" s="73"/>
      <c r="AB864" s="73"/>
      <c r="AC864" s="74"/>
      <c r="AD864" s="81" t="s">
        <v>2560</v>
      </c>
      <c r="AE864" s="86" t="s">
        <v>2133</v>
      </c>
      <c r="AF864" s="81">
        <v>453</v>
      </c>
      <c r="AG864" s="81">
        <v>14144</v>
      </c>
      <c r="AH864" s="81">
        <v>240782</v>
      </c>
      <c r="AI864" s="81">
        <v>140343</v>
      </c>
      <c r="AJ864" s="81"/>
      <c r="AK864" s="81" t="s">
        <v>3388</v>
      </c>
      <c r="AL864" s="81" t="s">
        <v>3678</v>
      </c>
      <c r="AM864" s="84" t="str">
        <f>HYPERLINK("https://t.co/Vrs7MR0zJD")</f>
        <v>https://t.co/Vrs7MR0zJD</v>
      </c>
      <c r="AN864" s="81"/>
      <c r="AO864" s="83">
        <v>42024.064571759256</v>
      </c>
      <c r="AP864" s="84" t="str">
        <f>HYPERLINK("https://pbs.twimg.com/profile_banners/2990465502/1609807599")</f>
        <v>https://pbs.twimg.com/profile_banners/2990465502/1609807599</v>
      </c>
      <c r="AQ864" s="81" t="b">
        <v>1</v>
      </c>
      <c r="AR864" s="81" t="b">
        <v>0</v>
      </c>
      <c r="AS864" s="81" t="b">
        <v>1</v>
      </c>
      <c r="AT864" s="81"/>
      <c r="AU864" s="81">
        <v>23</v>
      </c>
      <c r="AV864" s="84" t="str">
        <f>HYPERLINK("https://abs.twimg.com/images/themes/theme1/bg.png")</f>
        <v>https://abs.twimg.com/images/themes/theme1/bg.png</v>
      </c>
      <c r="AW864" s="81" t="b">
        <v>0</v>
      </c>
      <c r="AX864" s="81" t="s">
        <v>3728</v>
      </c>
      <c r="AY864" s="84" t="str">
        <f>HYPERLINK("https://twitter.com/bkipm_kkp")</f>
        <v>https://twitter.com/bkipm_kkp</v>
      </c>
      <c r="AZ864" s="81" t="s">
        <v>66</v>
      </c>
      <c r="BA864" s="2"/>
      <c r="BB864" s="3"/>
      <c r="BC864" s="3"/>
      <c r="BD864" s="3"/>
      <c r="BE864" s="3"/>
    </row>
    <row r="865" spans="1:57" x14ac:dyDescent="0.35">
      <c r="A865" s="66" t="s">
        <v>493</v>
      </c>
      <c r="B865" s="67"/>
      <c r="C865" s="67"/>
      <c r="D865" s="68"/>
      <c r="E865" s="94"/>
      <c r="F865" s="93" t="str">
        <f>HYPERLINK("https://pbs.twimg.com/profile_images/930818251390558208/5F8BKHd1_normal.jpg")</f>
        <v>https://pbs.twimg.com/profile_images/930818251390558208/5F8BKHd1_normal.jpg</v>
      </c>
      <c r="G865" s="95"/>
      <c r="H865" s="71"/>
      <c r="I865" s="72"/>
      <c r="J865" s="96"/>
      <c r="K865" s="71" t="s">
        <v>4050</v>
      </c>
      <c r="L865" s="97"/>
      <c r="M865" s="76"/>
      <c r="N865" s="76"/>
      <c r="O865" s="77"/>
      <c r="P865" s="78"/>
      <c r="Q865" s="78"/>
      <c r="R865" s="92"/>
      <c r="S865" s="92"/>
      <c r="T865" s="92"/>
      <c r="U865" s="92"/>
      <c r="V865" s="52"/>
      <c r="W865" s="52"/>
      <c r="X865" s="52"/>
      <c r="Y865" s="52"/>
      <c r="Z865" s="51"/>
      <c r="AA865" s="73"/>
      <c r="AB865" s="73"/>
      <c r="AC865" s="74"/>
      <c r="AD865" s="81" t="s">
        <v>2561</v>
      </c>
      <c r="AE865" s="86" t="s">
        <v>2981</v>
      </c>
      <c r="AF865" s="81">
        <v>130</v>
      </c>
      <c r="AG865" s="81">
        <v>604</v>
      </c>
      <c r="AH865" s="81">
        <v>11355</v>
      </c>
      <c r="AI865" s="81">
        <v>2383</v>
      </c>
      <c r="AJ865" s="81"/>
      <c r="AK865" s="81" t="s">
        <v>3389</v>
      </c>
      <c r="AL865" s="81" t="s">
        <v>3679</v>
      </c>
      <c r="AM865" s="84" t="str">
        <f>HYPERLINK("https://t.co/5qmdx1O6K4")</f>
        <v>https://t.co/5qmdx1O6K4</v>
      </c>
      <c r="AN865" s="81"/>
      <c r="AO865" s="83">
        <v>42878.473645833335</v>
      </c>
      <c r="AP865" s="84" t="str">
        <f>HYPERLINK("https://pbs.twimg.com/profile_banners/866977522931572736/1584177189")</f>
        <v>https://pbs.twimg.com/profile_banners/866977522931572736/1584177189</v>
      </c>
      <c r="AQ865" s="81" t="b">
        <v>0</v>
      </c>
      <c r="AR865" s="81" t="b">
        <v>0</v>
      </c>
      <c r="AS865" s="81" t="b">
        <v>1</v>
      </c>
      <c r="AT865" s="81"/>
      <c r="AU865" s="81">
        <v>1</v>
      </c>
      <c r="AV865" s="84" t="str">
        <f>HYPERLINK("https://abs.twimg.com/images/themes/theme1/bg.png")</f>
        <v>https://abs.twimg.com/images/themes/theme1/bg.png</v>
      </c>
      <c r="AW865" s="81" t="b">
        <v>0</v>
      </c>
      <c r="AX865" s="81" t="s">
        <v>3728</v>
      </c>
      <c r="AY865" s="84" t="str">
        <f>HYPERLINK("https://twitter.com/wilkerjalaludin")</f>
        <v>https://twitter.com/wilkerjalaludin</v>
      </c>
      <c r="AZ865" s="81" t="s">
        <v>66</v>
      </c>
      <c r="BA865" s="2"/>
      <c r="BB865" s="3"/>
      <c r="BC865" s="3"/>
      <c r="BD865" s="3"/>
      <c r="BE865" s="3"/>
    </row>
    <row r="866" spans="1:57" x14ac:dyDescent="0.35">
      <c r="A866" s="66" t="s">
        <v>494</v>
      </c>
      <c r="B866" s="67"/>
      <c r="C866" s="67"/>
      <c r="D866" s="68"/>
      <c r="E866" s="94"/>
      <c r="F866" s="93" t="str">
        <f>HYPERLINK("https://pbs.twimg.com/profile_images/1440275434856333322/gnZAUznN_normal.jpg")</f>
        <v>https://pbs.twimg.com/profile_images/1440275434856333322/gnZAUznN_normal.jpg</v>
      </c>
      <c r="G866" s="95"/>
      <c r="H866" s="71"/>
      <c r="I866" s="72"/>
      <c r="J866" s="96"/>
      <c r="K866" s="71" t="s">
        <v>4051</v>
      </c>
      <c r="L866" s="97"/>
      <c r="M866" s="76"/>
      <c r="N866" s="76"/>
      <c r="O866" s="77"/>
      <c r="P866" s="78"/>
      <c r="Q866" s="78"/>
      <c r="R866" s="92"/>
      <c r="S866" s="92"/>
      <c r="T866" s="92"/>
      <c r="U866" s="92"/>
      <c r="V866" s="52"/>
      <c r="W866" s="52"/>
      <c r="X866" s="52"/>
      <c r="Y866" s="52"/>
      <c r="Z866" s="51"/>
      <c r="AA866" s="73"/>
      <c r="AB866" s="73"/>
      <c r="AC866" s="74"/>
      <c r="AD866" s="81" t="s">
        <v>2562</v>
      </c>
      <c r="AE866" s="86" t="s">
        <v>2982</v>
      </c>
      <c r="AF866" s="81">
        <v>611</v>
      </c>
      <c r="AG866" s="81">
        <v>959</v>
      </c>
      <c r="AH866" s="81">
        <v>2768</v>
      </c>
      <c r="AI866" s="81">
        <v>3565</v>
      </c>
      <c r="AJ866" s="81"/>
      <c r="AK866" s="81" t="s">
        <v>3390</v>
      </c>
      <c r="AL866" s="81" t="s">
        <v>3680</v>
      </c>
      <c r="AM866" s="81"/>
      <c r="AN866" s="81"/>
      <c r="AO866" s="83">
        <v>44445.651666666665</v>
      </c>
      <c r="AP866" s="84" t="str">
        <f>HYPERLINK("https://pbs.twimg.com/profile_banners/1434903691509649412/1632206422")</f>
        <v>https://pbs.twimg.com/profile_banners/1434903691509649412/1632206422</v>
      </c>
      <c r="AQ866" s="81" t="b">
        <v>1</v>
      </c>
      <c r="AR866" s="81" t="b">
        <v>0</v>
      </c>
      <c r="AS866" s="81" t="b">
        <v>0</v>
      </c>
      <c r="AT866" s="81"/>
      <c r="AU866" s="81">
        <v>1</v>
      </c>
      <c r="AV866" s="81"/>
      <c r="AW866" s="81" t="b">
        <v>0</v>
      </c>
      <c r="AX866" s="81" t="s">
        <v>3728</v>
      </c>
      <c r="AY866" s="84" t="str">
        <f>HYPERLINK("https://twitter.com/craemkoo")</f>
        <v>https://twitter.com/craemkoo</v>
      </c>
      <c r="AZ866" s="81" t="s">
        <v>66</v>
      </c>
      <c r="BA866" s="2"/>
      <c r="BB866" s="3"/>
      <c r="BC866" s="3"/>
      <c r="BD866" s="3"/>
      <c r="BE866" s="3"/>
    </row>
    <row r="867" spans="1:57" x14ac:dyDescent="0.35">
      <c r="A867" s="66" t="s">
        <v>495</v>
      </c>
      <c r="B867" s="67"/>
      <c r="C867" s="67"/>
      <c r="D867" s="68"/>
      <c r="E867" s="94"/>
      <c r="F867" s="93" t="str">
        <f>HYPERLINK("https://pbs.twimg.com/profile_images/1434936736317009922/tcvrUlpW_normal.jpg")</f>
        <v>https://pbs.twimg.com/profile_images/1434936736317009922/tcvrUlpW_normal.jpg</v>
      </c>
      <c r="G867" s="95"/>
      <c r="H867" s="71"/>
      <c r="I867" s="72"/>
      <c r="J867" s="96"/>
      <c r="K867" s="71" t="s">
        <v>4052</v>
      </c>
      <c r="L867" s="97"/>
      <c r="M867" s="76"/>
      <c r="N867" s="76"/>
      <c r="O867" s="77"/>
      <c r="P867" s="78"/>
      <c r="Q867" s="78"/>
      <c r="R867" s="92"/>
      <c r="S867" s="92"/>
      <c r="T867" s="92"/>
      <c r="U867" s="92"/>
      <c r="V867" s="52"/>
      <c r="W867" s="52"/>
      <c r="X867" s="52"/>
      <c r="Y867" s="52"/>
      <c r="Z867" s="51"/>
      <c r="AA867" s="73"/>
      <c r="AB867" s="73"/>
      <c r="AC867" s="74"/>
      <c r="AD867" s="81" t="s">
        <v>2563</v>
      </c>
      <c r="AE867" s="86" t="s">
        <v>2983</v>
      </c>
      <c r="AF867" s="81">
        <v>212</v>
      </c>
      <c r="AG867" s="81">
        <v>179</v>
      </c>
      <c r="AH867" s="81">
        <v>7449</v>
      </c>
      <c r="AI867" s="81">
        <v>13157</v>
      </c>
      <c r="AJ867" s="81"/>
      <c r="AK867" s="81" t="s">
        <v>3391</v>
      </c>
      <c r="AL867" s="81" t="s">
        <v>3681</v>
      </c>
      <c r="AM867" s="81"/>
      <c r="AN867" s="81"/>
      <c r="AO867" s="83">
        <v>43451.470219907409</v>
      </c>
      <c r="AP867" s="84" t="str">
        <f>HYPERLINK("https://pbs.twimg.com/profile_banners/1074624527894700032/1632111749")</f>
        <v>https://pbs.twimg.com/profile_banners/1074624527894700032/1632111749</v>
      </c>
      <c r="AQ867" s="81" t="b">
        <v>1</v>
      </c>
      <c r="AR867" s="81" t="b">
        <v>0</v>
      </c>
      <c r="AS867" s="81" t="b">
        <v>0</v>
      </c>
      <c r="AT867" s="81"/>
      <c r="AU867" s="81">
        <v>0</v>
      </c>
      <c r="AV867" s="81"/>
      <c r="AW867" s="81" t="b">
        <v>0</v>
      </c>
      <c r="AX867" s="81" t="s">
        <v>3728</v>
      </c>
      <c r="AY867" s="84" t="str">
        <f>HYPERLINK("https://twitter.com/imanassrii")</f>
        <v>https://twitter.com/imanassrii</v>
      </c>
      <c r="AZ867" s="81" t="s">
        <v>66</v>
      </c>
      <c r="BA867" s="2"/>
      <c r="BB867" s="3"/>
      <c r="BC867" s="3"/>
      <c r="BD867" s="3"/>
      <c r="BE867" s="3"/>
    </row>
    <row r="868" spans="1:57" x14ac:dyDescent="0.35">
      <c r="A868" s="66" t="s">
        <v>497</v>
      </c>
      <c r="B868" s="67"/>
      <c r="C868" s="67"/>
      <c r="D868" s="68"/>
      <c r="E868" s="94"/>
      <c r="F868" s="93" t="str">
        <f>HYPERLINK("https://pbs.twimg.com/profile_images/1443081661063696385/-M9SyMOS_normal.png")</f>
        <v>https://pbs.twimg.com/profile_images/1443081661063696385/-M9SyMOS_normal.png</v>
      </c>
      <c r="G868" s="95"/>
      <c r="H868" s="71"/>
      <c r="I868" s="72"/>
      <c r="J868" s="96"/>
      <c r="K868" s="71" t="s">
        <v>4053</v>
      </c>
      <c r="L868" s="97"/>
      <c r="M868" s="76"/>
      <c r="N868" s="76"/>
      <c r="O868" s="77"/>
      <c r="P868" s="78"/>
      <c r="Q868" s="78"/>
      <c r="R868" s="92"/>
      <c r="S868" s="92"/>
      <c r="T868" s="92"/>
      <c r="U868" s="92"/>
      <c r="V868" s="52"/>
      <c r="W868" s="52"/>
      <c r="X868" s="52"/>
      <c r="Y868" s="52"/>
      <c r="Z868" s="51"/>
      <c r="AA868" s="73"/>
      <c r="AB868" s="73"/>
      <c r="AC868" s="74"/>
      <c r="AD868" s="81" t="s">
        <v>2564</v>
      </c>
      <c r="AE868" s="86" t="s">
        <v>2984</v>
      </c>
      <c r="AF868" s="81">
        <v>262</v>
      </c>
      <c r="AG868" s="81">
        <v>108</v>
      </c>
      <c r="AH868" s="81">
        <v>617</v>
      </c>
      <c r="AI868" s="81">
        <v>171</v>
      </c>
      <c r="AJ868" s="81"/>
      <c r="AK868" s="81" t="s">
        <v>3392</v>
      </c>
      <c r="AL868" s="81" t="s">
        <v>14162</v>
      </c>
      <c r="AM868" s="84" t="str">
        <f>HYPERLINK("https://t.co/kiiwMNc4IF")</f>
        <v>https://t.co/kiiwMNc4IF</v>
      </c>
      <c r="AN868" s="81"/>
      <c r="AO868" s="83">
        <v>42656.430601851855</v>
      </c>
      <c r="AP868" s="84" t="str">
        <f>HYPERLINK("https://pbs.twimg.com/profile_banners/786511816562126849/1632576830")</f>
        <v>https://pbs.twimg.com/profile_banners/786511816562126849/1632576830</v>
      </c>
      <c r="AQ868" s="81" t="b">
        <v>1</v>
      </c>
      <c r="AR868" s="81" t="b">
        <v>0</v>
      </c>
      <c r="AS868" s="81" t="b">
        <v>0</v>
      </c>
      <c r="AT868" s="81"/>
      <c r="AU868" s="81">
        <v>0</v>
      </c>
      <c r="AV868" s="81"/>
      <c r="AW868" s="81" t="b">
        <v>0</v>
      </c>
      <c r="AX868" s="81" t="s">
        <v>3728</v>
      </c>
      <c r="AY868" s="84" t="str">
        <f>HYPERLINK("https://twitter.com/occeanview")</f>
        <v>https://twitter.com/occeanview</v>
      </c>
      <c r="AZ868" s="81" t="s">
        <v>66</v>
      </c>
      <c r="BA868" s="2"/>
      <c r="BB868" s="3"/>
      <c r="BC868" s="3"/>
      <c r="BD868" s="3"/>
      <c r="BE868" s="3"/>
    </row>
    <row r="869" spans="1:57" x14ac:dyDescent="0.35">
      <c r="A869" s="66" t="s">
        <v>4541</v>
      </c>
      <c r="B869" s="67"/>
      <c r="C869" s="67"/>
      <c r="D869" s="68"/>
      <c r="E869" s="94"/>
      <c r="F869" s="93" t="str">
        <f>HYPERLINK("https://pbs.twimg.com/profile_images/1328843574180515848/_TBykGIt_normal.jpg")</f>
        <v>https://pbs.twimg.com/profile_images/1328843574180515848/_TBykGIt_normal.jpg</v>
      </c>
      <c r="G869" s="95"/>
      <c r="H869" s="71"/>
      <c r="I869" s="72"/>
      <c r="J869" s="96"/>
      <c r="K869" s="71" t="s">
        <v>11928</v>
      </c>
      <c r="L869" s="97"/>
      <c r="M869" s="76"/>
      <c r="N869" s="76"/>
      <c r="O869" s="77"/>
      <c r="P869" s="78"/>
      <c r="Q869" s="78"/>
      <c r="R869" s="92"/>
      <c r="S869" s="92"/>
      <c r="T869" s="92"/>
      <c r="U869" s="92"/>
      <c r="V869" s="52"/>
      <c r="W869" s="52"/>
      <c r="X869" s="52"/>
      <c r="Y869" s="52"/>
      <c r="Z869" s="51"/>
      <c r="AA869" s="73"/>
      <c r="AB869" s="73"/>
      <c r="AC869" s="74"/>
      <c r="AD869" s="81" t="s">
        <v>8554</v>
      </c>
      <c r="AE869" s="86" t="s">
        <v>9544</v>
      </c>
      <c r="AF869" s="81">
        <v>6318</v>
      </c>
      <c r="AG869" s="81">
        <v>15249</v>
      </c>
      <c r="AH869" s="81">
        <v>100695</v>
      </c>
      <c r="AI869" s="81">
        <v>248001</v>
      </c>
      <c r="AJ869" s="81"/>
      <c r="AK869" s="81" t="s">
        <v>10499</v>
      </c>
      <c r="AL869" s="81" t="s">
        <v>11183</v>
      </c>
      <c r="AM869" s="81"/>
      <c r="AN869" s="81"/>
      <c r="AO869" s="83">
        <v>42523.99827546296</v>
      </c>
      <c r="AP869" s="84" t="str">
        <f>HYPERLINK("https://pbs.twimg.com/profile_banners/738519948348280834/1605656203")</f>
        <v>https://pbs.twimg.com/profile_banners/738519948348280834/1605656203</v>
      </c>
      <c r="AQ869" s="81" t="b">
        <v>1</v>
      </c>
      <c r="AR869" s="81" t="b">
        <v>0</v>
      </c>
      <c r="AS869" s="81" t="b">
        <v>0</v>
      </c>
      <c r="AT869" s="81"/>
      <c r="AU869" s="81">
        <v>16</v>
      </c>
      <c r="AV869" s="81"/>
      <c r="AW869" s="81" t="b">
        <v>0</v>
      </c>
      <c r="AX869" s="81" t="s">
        <v>3728</v>
      </c>
      <c r="AY869" s="84" t="str">
        <f>HYPERLINK("https://twitter.com/taminebb")</f>
        <v>https://twitter.com/taminebb</v>
      </c>
      <c r="AZ869" s="81" t="s">
        <v>66</v>
      </c>
      <c r="BA869" s="2"/>
      <c r="BB869" s="3"/>
      <c r="BC869" s="3"/>
      <c r="BD869" s="3"/>
      <c r="BE869" s="3"/>
    </row>
    <row r="870" spans="1:57" x14ac:dyDescent="0.35">
      <c r="A870" s="66" t="s">
        <v>5130</v>
      </c>
      <c r="B870" s="67"/>
      <c r="C870" s="67"/>
      <c r="D870" s="68"/>
      <c r="E870" s="94"/>
      <c r="F870" s="93" t="str">
        <f>HYPERLINK("https://pbs.twimg.com/profile_images/1432308286334947333/xbAU4v24_normal.jpg")</f>
        <v>https://pbs.twimg.com/profile_images/1432308286334947333/xbAU4v24_normal.jpg</v>
      </c>
      <c r="G870" s="95"/>
      <c r="H870" s="71"/>
      <c r="I870" s="72"/>
      <c r="J870" s="96"/>
      <c r="K870" s="71" t="s">
        <v>11929</v>
      </c>
      <c r="L870" s="97"/>
      <c r="M870" s="76"/>
      <c r="N870" s="76"/>
      <c r="O870" s="77"/>
      <c r="P870" s="78"/>
      <c r="Q870" s="78"/>
      <c r="R870" s="92"/>
      <c r="S870" s="92"/>
      <c r="T870" s="92"/>
      <c r="U870" s="92"/>
      <c r="V870" s="52"/>
      <c r="W870" s="52"/>
      <c r="X870" s="52"/>
      <c r="Y870" s="52"/>
      <c r="Z870" s="51"/>
      <c r="AA870" s="73"/>
      <c r="AB870" s="73"/>
      <c r="AC870" s="74"/>
      <c r="AD870" s="81" t="s">
        <v>8555</v>
      </c>
      <c r="AE870" s="86" t="s">
        <v>9545</v>
      </c>
      <c r="AF870" s="81">
        <v>2707</v>
      </c>
      <c r="AG870" s="81">
        <v>2796167</v>
      </c>
      <c r="AH870" s="81">
        <v>23554</v>
      </c>
      <c r="AI870" s="81">
        <v>13374</v>
      </c>
      <c r="AJ870" s="81"/>
      <c r="AK870" s="81" t="s">
        <v>10500</v>
      </c>
      <c r="AL870" s="81" t="s">
        <v>11184</v>
      </c>
      <c r="AM870" s="84" t="str">
        <f>HYPERLINK("https://t.co/WHB3gZBpxM")</f>
        <v>https://t.co/WHB3gZBpxM</v>
      </c>
      <c r="AN870" s="81"/>
      <c r="AO870" s="83">
        <v>41842.900578703702</v>
      </c>
      <c r="AP870" s="84" t="str">
        <f>HYPERLINK("https://pbs.twimg.com/profile_banners/2670726740/1607193026")</f>
        <v>https://pbs.twimg.com/profile_banners/2670726740/1607193026</v>
      </c>
      <c r="AQ870" s="81" t="b">
        <v>1</v>
      </c>
      <c r="AR870" s="81" t="b">
        <v>0</v>
      </c>
      <c r="AS870" s="81" t="b">
        <v>1</v>
      </c>
      <c r="AT870" s="81"/>
      <c r="AU870" s="81">
        <v>3158</v>
      </c>
      <c r="AV870" s="84" t="str">
        <f>HYPERLINK("https://abs.twimg.com/images/themes/theme1/bg.png")</f>
        <v>https://abs.twimg.com/images/themes/theme1/bg.png</v>
      </c>
      <c r="AW870" s="81" t="b">
        <v>1</v>
      </c>
      <c r="AX870" s="81" t="s">
        <v>3728</v>
      </c>
      <c r="AY870" s="84" t="str">
        <f>HYPERLINK("https://twitter.com/lulaoficial")</f>
        <v>https://twitter.com/lulaoficial</v>
      </c>
      <c r="AZ870" s="81" t="s">
        <v>65</v>
      </c>
      <c r="BA870" s="2"/>
      <c r="BB870" s="3"/>
      <c r="BC870" s="3"/>
      <c r="BD870" s="3"/>
      <c r="BE870" s="3"/>
    </row>
    <row r="871" spans="1:57" x14ac:dyDescent="0.35">
      <c r="A871" s="66" t="s">
        <v>4542</v>
      </c>
      <c r="B871" s="67"/>
      <c r="C871" s="67"/>
      <c r="D871" s="68"/>
      <c r="E871" s="94"/>
      <c r="F871" s="93" t="str">
        <f>HYPERLINK("https://pbs.twimg.com/profile_images/1422947985739112452/SQooCgAZ_normal.jpg")</f>
        <v>https://pbs.twimg.com/profile_images/1422947985739112452/SQooCgAZ_normal.jpg</v>
      </c>
      <c r="G871" s="95"/>
      <c r="H871" s="71"/>
      <c r="I871" s="72"/>
      <c r="J871" s="96"/>
      <c r="K871" s="71" t="s">
        <v>11930</v>
      </c>
      <c r="L871" s="97"/>
      <c r="M871" s="76"/>
      <c r="N871" s="76"/>
      <c r="O871" s="77"/>
      <c r="P871" s="78"/>
      <c r="Q871" s="78"/>
      <c r="R871" s="92"/>
      <c r="S871" s="92"/>
      <c r="T871" s="92"/>
      <c r="U871" s="92"/>
      <c r="V871" s="52"/>
      <c r="W871" s="52"/>
      <c r="X871" s="52"/>
      <c r="Y871" s="52"/>
      <c r="Z871" s="51"/>
      <c r="AA871" s="73"/>
      <c r="AB871" s="73"/>
      <c r="AC871" s="74"/>
      <c r="AD871" s="81" t="s">
        <v>8556</v>
      </c>
      <c r="AE871" s="86" t="s">
        <v>7882</v>
      </c>
      <c r="AF871" s="81">
        <v>3717</v>
      </c>
      <c r="AG871" s="81">
        <v>21303</v>
      </c>
      <c r="AH871" s="81">
        <v>120463</v>
      </c>
      <c r="AI871" s="81">
        <v>183128</v>
      </c>
      <c r="AJ871" s="81"/>
      <c r="AK871" s="81" t="s">
        <v>10501</v>
      </c>
      <c r="AL871" s="81"/>
      <c r="AM871" s="81"/>
      <c r="AN871" s="81"/>
      <c r="AO871" s="83">
        <v>43229.080138888887</v>
      </c>
      <c r="AP871" s="84" t="str">
        <f>HYPERLINK("https://pbs.twimg.com/profile_banners/994033058797023232/1630431075")</f>
        <v>https://pbs.twimg.com/profile_banners/994033058797023232/1630431075</v>
      </c>
      <c r="AQ871" s="81" t="b">
        <v>1</v>
      </c>
      <c r="AR871" s="81" t="b">
        <v>0</v>
      </c>
      <c r="AS871" s="81" t="b">
        <v>0</v>
      </c>
      <c r="AT871" s="81"/>
      <c r="AU871" s="81">
        <v>22</v>
      </c>
      <c r="AV871" s="81"/>
      <c r="AW871" s="81" t="b">
        <v>0</v>
      </c>
      <c r="AX871" s="81" t="s">
        <v>3728</v>
      </c>
      <c r="AY871" s="84" t="str">
        <f>HYPERLINK("https://twitter.com/fabiomarbinho")</f>
        <v>https://twitter.com/fabiomarbinho</v>
      </c>
      <c r="AZ871" s="81" t="s">
        <v>66</v>
      </c>
      <c r="BA871" s="2"/>
      <c r="BB871" s="3"/>
      <c r="BC871" s="3"/>
      <c r="BD871" s="3"/>
      <c r="BE871" s="3"/>
    </row>
    <row r="872" spans="1:57" x14ac:dyDescent="0.35">
      <c r="A872" s="66" t="s">
        <v>4543</v>
      </c>
      <c r="B872" s="67"/>
      <c r="C872" s="67"/>
      <c r="D872" s="68"/>
      <c r="E872" s="94"/>
      <c r="F872" s="93" t="str">
        <f>HYPERLINK("https://pbs.twimg.com/profile_images/1394607548318289921/h5UgpxbM_normal.jpg")</f>
        <v>https://pbs.twimg.com/profile_images/1394607548318289921/h5UgpxbM_normal.jpg</v>
      </c>
      <c r="G872" s="95"/>
      <c r="H872" s="71"/>
      <c r="I872" s="72"/>
      <c r="J872" s="96"/>
      <c r="K872" s="71" t="s">
        <v>11931</v>
      </c>
      <c r="L872" s="97"/>
      <c r="M872" s="76"/>
      <c r="N872" s="76"/>
      <c r="O872" s="77"/>
      <c r="P872" s="78"/>
      <c r="Q872" s="78"/>
      <c r="R872" s="92"/>
      <c r="S872" s="92"/>
      <c r="T872" s="92"/>
      <c r="U872" s="92"/>
      <c r="V872" s="52"/>
      <c r="W872" s="52"/>
      <c r="X872" s="52"/>
      <c r="Y872" s="52"/>
      <c r="Z872" s="51"/>
      <c r="AA872" s="73"/>
      <c r="AB872" s="73"/>
      <c r="AC872" s="74"/>
      <c r="AD872" s="81" t="s">
        <v>8557</v>
      </c>
      <c r="AE872" s="86" t="s">
        <v>9546</v>
      </c>
      <c r="AF872" s="81">
        <v>1566</v>
      </c>
      <c r="AG872" s="81">
        <v>5391</v>
      </c>
      <c r="AH872" s="81">
        <v>118607</v>
      </c>
      <c r="AI872" s="81">
        <v>210553</v>
      </c>
      <c r="AJ872" s="81"/>
      <c r="AK872" s="81" t="s">
        <v>10502</v>
      </c>
      <c r="AL872" s="81" t="s">
        <v>11185</v>
      </c>
      <c r="AM872" s="81"/>
      <c r="AN872" s="81"/>
      <c r="AO872" s="83">
        <v>39930.129745370374</v>
      </c>
      <c r="AP872" s="84" t="str">
        <f>HYPERLINK("https://pbs.twimg.com/profile_banners/35651851/1504483745")</f>
        <v>https://pbs.twimg.com/profile_banners/35651851/1504483745</v>
      </c>
      <c r="AQ872" s="81" t="b">
        <v>0</v>
      </c>
      <c r="AR872" s="81" t="b">
        <v>0</v>
      </c>
      <c r="AS872" s="81" t="b">
        <v>0</v>
      </c>
      <c r="AT872" s="81"/>
      <c r="AU872" s="81">
        <v>80</v>
      </c>
      <c r="AV872" s="84" t="str">
        <f>HYPERLINK("https://abs.twimg.com/images/themes/theme1/bg.png")</f>
        <v>https://abs.twimg.com/images/themes/theme1/bg.png</v>
      </c>
      <c r="AW872" s="81" t="b">
        <v>0</v>
      </c>
      <c r="AX872" s="81" t="s">
        <v>3728</v>
      </c>
      <c r="AY872" s="84" t="str">
        <f>HYPERLINK("https://twitter.com/gatosabado")</f>
        <v>https://twitter.com/gatosabado</v>
      </c>
      <c r="AZ872" s="81" t="s">
        <v>66</v>
      </c>
      <c r="BA872" s="2"/>
      <c r="BB872" s="3"/>
      <c r="BC872" s="3"/>
      <c r="BD872" s="3"/>
      <c r="BE872" s="3"/>
    </row>
    <row r="873" spans="1:57" x14ac:dyDescent="0.35">
      <c r="A873" s="66" t="s">
        <v>4944</v>
      </c>
      <c r="B873" s="67"/>
      <c r="C873" s="67"/>
      <c r="D873" s="68"/>
      <c r="E873" s="94"/>
      <c r="F873" s="93" t="str">
        <f>HYPERLINK("https://pbs.twimg.com/profile_images/1314755689844215808/qcwdExbN_normal.jpg")</f>
        <v>https://pbs.twimg.com/profile_images/1314755689844215808/qcwdExbN_normal.jpg</v>
      </c>
      <c r="G873" s="95"/>
      <c r="H873" s="71"/>
      <c r="I873" s="72"/>
      <c r="J873" s="96"/>
      <c r="K873" s="71" t="s">
        <v>11932</v>
      </c>
      <c r="L873" s="97"/>
      <c r="M873" s="76"/>
      <c r="N873" s="76"/>
      <c r="O873" s="77"/>
      <c r="P873" s="78"/>
      <c r="Q873" s="78"/>
      <c r="R873" s="92"/>
      <c r="S873" s="92"/>
      <c r="T873" s="92"/>
      <c r="U873" s="92"/>
      <c r="V873" s="52"/>
      <c r="W873" s="52"/>
      <c r="X873" s="52"/>
      <c r="Y873" s="52"/>
      <c r="Z873" s="51"/>
      <c r="AA873" s="73"/>
      <c r="AB873" s="73"/>
      <c r="AC873" s="74"/>
      <c r="AD873" s="81" t="s">
        <v>8558</v>
      </c>
      <c r="AE873" s="86" t="s">
        <v>9547</v>
      </c>
      <c r="AF873" s="81">
        <v>1757</v>
      </c>
      <c r="AG873" s="81">
        <v>5385</v>
      </c>
      <c r="AH873" s="81">
        <v>22960</v>
      </c>
      <c r="AI873" s="81">
        <v>8690</v>
      </c>
      <c r="AJ873" s="81"/>
      <c r="AK873" s="81" t="s">
        <v>10503</v>
      </c>
      <c r="AL873" s="81"/>
      <c r="AM873" s="84" t="str">
        <f>HYPERLINK("https://t.co/RFCoHEEDc2")</f>
        <v>https://t.co/RFCoHEEDc2</v>
      </c>
      <c r="AN873" s="81"/>
      <c r="AO873" s="83">
        <v>39854.998020833336</v>
      </c>
      <c r="AP873" s="84" t="str">
        <f>HYPERLINK("https://pbs.twimg.com/profile_banners/20558580/1617330535")</f>
        <v>https://pbs.twimg.com/profile_banners/20558580/1617330535</v>
      </c>
      <c r="AQ873" s="81" t="b">
        <v>0</v>
      </c>
      <c r="AR873" s="81" t="b">
        <v>0</v>
      </c>
      <c r="AS873" s="81" t="b">
        <v>1</v>
      </c>
      <c r="AT873" s="81"/>
      <c r="AU873" s="81">
        <v>33</v>
      </c>
      <c r="AV873" s="84" t="str">
        <f>HYPERLINK("https://abs.twimg.com/images/themes/theme9/bg.gif")</f>
        <v>https://abs.twimg.com/images/themes/theme9/bg.gif</v>
      </c>
      <c r="AW873" s="81" t="b">
        <v>0</v>
      </c>
      <c r="AX873" s="81" t="s">
        <v>3728</v>
      </c>
      <c r="AY873" s="84" t="str">
        <f>HYPERLINK("https://twitter.com/johallack")</f>
        <v>https://twitter.com/johallack</v>
      </c>
      <c r="AZ873" s="81" t="s">
        <v>66</v>
      </c>
      <c r="BA873" s="2"/>
      <c r="BB873" s="3"/>
      <c r="BC873" s="3"/>
      <c r="BD873" s="3"/>
      <c r="BE873" s="3"/>
    </row>
    <row r="874" spans="1:57" x14ac:dyDescent="0.35">
      <c r="A874" s="66" t="s">
        <v>4544</v>
      </c>
      <c r="B874" s="67"/>
      <c r="C874" s="67"/>
      <c r="D874" s="68"/>
      <c r="E874" s="94"/>
      <c r="F874" s="93" t="str">
        <f>HYPERLINK("https://pbs.twimg.com/profile_images/1079458491176288257/uR0uYM8D_normal.jpg")</f>
        <v>https://pbs.twimg.com/profile_images/1079458491176288257/uR0uYM8D_normal.jpg</v>
      </c>
      <c r="G874" s="95"/>
      <c r="H874" s="71"/>
      <c r="I874" s="72"/>
      <c r="J874" s="96"/>
      <c r="K874" s="71" t="s">
        <v>11933</v>
      </c>
      <c r="L874" s="97"/>
      <c r="M874" s="76"/>
      <c r="N874" s="76"/>
      <c r="O874" s="77"/>
      <c r="P874" s="78"/>
      <c r="Q874" s="78"/>
      <c r="R874" s="92"/>
      <c r="S874" s="92"/>
      <c r="T874" s="92"/>
      <c r="U874" s="92"/>
      <c r="V874" s="52"/>
      <c r="W874" s="52"/>
      <c r="X874" s="52"/>
      <c r="Y874" s="52"/>
      <c r="Z874" s="51"/>
      <c r="AA874" s="73"/>
      <c r="AB874" s="73"/>
      <c r="AC874" s="74"/>
      <c r="AD874" s="81" t="s">
        <v>8559</v>
      </c>
      <c r="AE874" s="86" t="s">
        <v>9548</v>
      </c>
      <c r="AF874" s="81">
        <v>940</v>
      </c>
      <c r="AG874" s="81">
        <v>1007</v>
      </c>
      <c r="AH874" s="81">
        <v>128007</v>
      </c>
      <c r="AI874" s="81">
        <v>48531</v>
      </c>
      <c r="AJ874" s="81"/>
      <c r="AK874" s="81" t="s">
        <v>10504</v>
      </c>
      <c r="AL874" s="81" t="s">
        <v>10975</v>
      </c>
      <c r="AM874" s="81"/>
      <c r="AN874" s="81"/>
      <c r="AO874" s="83">
        <v>39876.943437499998</v>
      </c>
      <c r="AP874" s="81"/>
      <c r="AQ874" s="81" t="b">
        <v>0</v>
      </c>
      <c r="AR874" s="81" t="b">
        <v>0</v>
      </c>
      <c r="AS874" s="81" t="b">
        <v>1</v>
      </c>
      <c r="AT874" s="81"/>
      <c r="AU874" s="81">
        <v>19</v>
      </c>
      <c r="AV874" s="84" t="str">
        <f>HYPERLINK("https://abs.twimg.com/images/themes/theme6/bg.gif")</f>
        <v>https://abs.twimg.com/images/themes/theme6/bg.gif</v>
      </c>
      <c r="AW874" s="81" t="b">
        <v>0</v>
      </c>
      <c r="AX874" s="81" t="s">
        <v>3728</v>
      </c>
      <c r="AY874" s="84" t="str">
        <f>HYPERLINK("https://twitter.com/rocaramicoli")</f>
        <v>https://twitter.com/rocaramicoli</v>
      </c>
      <c r="AZ874" s="81" t="s">
        <v>66</v>
      </c>
      <c r="BA874" s="2"/>
      <c r="BB874" s="3"/>
      <c r="BC874" s="3"/>
      <c r="BD874" s="3"/>
      <c r="BE874" s="3"/>
    </row>
    <row r="875" spans="1:57" x14ac:dyDescent="0.35">
      <c r="A875" s="66" t="s">
        <v>4545</v>
      </c>
      <c r="B875" s="67"/>
      <c r="C875" s="67"/>
      <c r="D875" s="68"/>
      <c r="E875" s="94"/>
      <c r="F875" s="93" t="str">
        <f>HYPERLINK("https://pbs.twimg.com/profile_images/1411279915765354500/owK04d8r_normal.jpg")</f>
        <v>https://pbs.twimg.com/profile_images/1411279915765354500/owK04d8r_normal.jpg</v>
      </c>
      <c r="G875" s="95"/>
      <c r="H875" s="71"/>
      <c r="I875" s="72"/>
      <c r="J875" s="96"/>
      <c r="K875" s="71" t="s">
        <v>11934</v>
      </c>
      <c r="L875" s="97"/>
      <c r="M875" s="76"/>
      <c r="N875" s="76"/>
      <c r="O875" s="77"/>
      <c r="P875" s="78"/>
      <c r="Q875" s="78"/>
      <c r="R875" s="92"/>
      <c r="S875" s="92"/>
      <c r="T875" s="92"/>
      <c r="U875" s="92"/>
      <c r="V875" s="52"/>
      <c r="W875" s="52"/>
      <c r="X875" s="52"/>
      <c r="Y875" s="52"/>
      <c r="Z875" s="51"/>
      <c r="AA875" s="73"/>
      <c r="AB875" s="73"/>
      <c r="AC875" s="74"/>
      <c r="AD875" s="81" t="s">
        <v>8560</v>
      </c>
      <c r="AE875" s="86" t="s">
        <v>9549</v>
      </c>
      <c r="AF875" s="81">
        <v>226</v>
      </c>
      <c r="AG875" s="81">
        <v>485</v>
      </c>
      <c r="AH875" s="81">
        <v>86535</v>
      </c>
      <c r="AI875" s="81">
        <v>42357</v>
      </c>
      <c r="AJ875" s="81"/>
      <c r="AK875" s="81"/>
      <c r="AL875" s="81"/>
      <c r="AM875" s="81"/>
      <c r="AN875" s="81"/>
      <c r="AO875" s="83">
        <v>40465.771886574075</v>
      </c>
      <c r="AP875" s="84" t="str">
        <f>HYPERLINK("https://pbs.twimg.com/profile_banners/202740647/1595283184")</f>
        <v>https://pbs.twimg.com/profile_banners/202740647/1595283184</v>
      </c>
      <c r="AQ875" s="81" t="b">
        <v>0</v>
      </c>
      <c r="AR875" s="81" t="b">
        <v>0</v>
      </c>
      <c r="AS875" s="81" t="b">
        <v>1</v>
      </c>
      <c r="AT875" s="81"/>
      <c r="AU875" s="81">
        <v>7</v>
      </c>
      <c r="AV875" s="84" t="str">
        <f>HYPERLINK("https://abs.twimg.com/images/themes/theme1/bg.png")</f>
        <v>https://abs.twimg.com/images/themes/theme1/bg.png</v>
      </c>
      <c r="AW875" s="81" t="b">
        <v>0</v>
      </c>
      <c r="AX875" s="81" t="s">
        <v>3728</v>
      </c>
      <c r="AY875" s="84" t="str">
        <f>HYPERLINK("https://twitter.com/stalininha")</f>
        <v>https://twitter.com/stalininha</v>
      </c>
      <c r="AZ875" s="81" t="s">
        <v>66</v>
      </c>
      <c r="BA875" s="2"/>
      <c r="BB875" s="3"/>
      <c r="BC875" s="3"/>
      <c r="BD875" s="3"/>
      <c r="BE875" s="3"/>
    </row>
    <row r="876" spans="1:57" x14ac:dyDescent="0.35">
      <c r="A876" s="66" t="s">
        <v>4546</v>
      </c>
      <c r="B876" s="67"/>
      <c r="C876" s="67"/>
      <c r="D876" s="68"/>
      <c r="E876" s="94"/>
      <c r="F876" s="93" t="str">
        <f>HYPERLINK("https://pbs.twimg.com/profile_images/1331639037409562624/N7dO-wlE_normal.jpg")</f>
        <v>https://pbs.twimg.com/profile_images/1331639037409562624/N7dO-wlE_normal.jpg</v>
      </c>
      <c r="G876" s="95"/>
      <c r="H876" s="71"/>
      <c r="I876" s="72"/>
      <c r="J876" s="96"/>
      <c r="K876" s="71" t="s">
        <v>11935</v>
      </c>
      <c r="L876" s="97"/>
      <c r="M876" s="76"/>
      <c r="N876" s="76"/>
      <c r="O876" s="77"/>
      <c r="P876" s="78"/>
      <c r="Q876" s="78"/>
      <c r="R876" s="92"/>
      <c r="S876" s="92"/>
      <c r="T876" s="92"/>
      <c r="U876" s="92"/>
      <c r="V876" s="52"/>
      <c r="W876" s="52"/>
      <c r="X876" s="52"/>
      <c r="Y876" s="52"/>
      <c r="Z876" s="51"/>
      <c r="AA876" s="73"/>
      <c r="AB876" s="73"/>
      <c r="AC876" s="74"/>
      <c r="AD876" s="81" t="s">
        <v>8561</v>
      </c>
      <c r="AE876" s="86" t="s">
        <v>9550</v>
      </c>
      <c r="AF876" s="81">
        <v>2164</v>
      </c>
      <c r="AG876" s="81">
        <v>8644</v>
      </c>
      <c r="AH876" s="81">
        <v>7349</v>
      </c>
      <c r="AI876" s="81">
        <v>2835</v>
      </c>
      <c r="AJ876" s="81"/>
      <c r="AK876" s="81"/>
      <c r="AL876" s="81"/>
      <c r="AM876" s="81"/>
      <c r="AN876" s="81"/>
      <c r="AO876" s="83">
        <v>41430.884236111109</v>
      </c>
      <c r="AP876" s="84" t="str">
        <f>HYPERLINK("https://pbs.twimg.com/profile_banners/1486060219/1606322462")</f>
        <v>https://pbs.twimg.com/profile_banners/1486060219/1606322462</v>
      </c>
      <c r="AQ876" s="81" t="b">
        <v>1</v>
      </c>
      <c r="AR876" s="81" t="b">
        <v>0</v>
      </c>
      <c r="AS876" s="81" t="b">
        <v>0</v>
      </c>
      <c r="AT876" s="81"/>
      <c r="AU876" s="81">
        <v>8</v>
      </c>
      <c r="AV876" s="84" t="str">
        <f>HYPERLINK("https://abs.twimg.com/images/themes/theme1/bg.png")</f>
        <v>https://abs.twimg.com/images/themes/theme1/bg.png</v>
      </c>
      <c r="AW876" s="81" t="b">
        <v>0</v>
      </c>
      <c r="AX876" s="81" t="s">
        <v>3728</v>
      </c>
      <c r="AY876" s="84" t="str">
        <f>HYPERLINK("https://twitter.com/lnpfc")</f>
        <v>https://twitter.com/lnpfc</v>
      </c>
      <c r="AZ876" s="81" t="s">
        <v>66</v>
      </c>
      <c r="BA876" s="2"/>
      <c r="BB876" s="3"/>
      <c r="BC876" s="3"/>
      <c r="BD876" s="3"/>
      <c r="BE876" s="3"/>
    </row>
    <row r="877" spans="1:57" x14ac:dyDescent="0.35">
      <c r="A877" s="66" t="s">
        <v>4547</v>
      </c>
      <c r="B877" s="67"/>
      <c r="C877" s="67"/>
      <c r="D877" s="68"/>
      <c r="E877" s="94"/>
      <c r="F877" s="93" t="str">
        <f>HYPERLINK("https://pbs.twimg.com/profile_images/1393594902844411904/a5p2ohi2_normal.jpg")</f>
        <v>https://pbs.twimg.com/profile_images/1393594902844411904/a5p2ohi2_normal.jpg</v>
      </c>
      <c r="G877" s="95"/>
      <c r="H877" s="71"/>
      <c r="I877" s="72"/>
      <c r="J877" s="96"/>
      <c r="K877" s="71" t="s">
        <v>11936</v>
      </c>
      <c r="L877" s="97"/>
      <c r="M877" s="76"/>
      <c r="N877" s="76"/>
      <c r="O877" s="77"/>
      <c r="P877" s="78"/>
      <c r="Q877" s="78"/>
      <c r="R877" s="92"/>
      <c r="S877" s="92"/>
      <c r="T877" s="92"/>
      <c r="U877" s="92"/>
      <c r="V877" s="52"/>
      <c r="W877" s="52"/>
      <c r="X877" s="52"/>
      <c r="Y877" s="52"/>
      <c r="Z877" s="51"/>
      <c r="AA877" s="73"/>
      <c r="AB877" s="73"/>
      <c r="AC877" s="74"/>
      <c r="AD877" s="81" t="s">
        <v>8562</v>
      </c>
      <c r="AE877" s="86" t="s">
        <v>9551</v>
      </c>
      <c r="AF877" s="81">
        <v>2102</v>
      </c>
      <c r="AG877" s="81">
        <v>4282</v>
      </c>
      <c r="AH877" s="81">
        <v>419648</v>
      </c>
      <c r="AI877" s="81">
        <v>40192</v>
      </c>
      <c r="AJ877" s="81"/>
      <c r="AK877" s="81" t="s">
        <v>10505</v>
      </c>
      <c r="AL877" s="81" t="s">
        <v>11186</v>
      </c>
      <c r="AM877" s="81"/>
      <c r="AN877" s="81"/>
      <c r="AO877" s="83">
        <v>40843.002951388888</v>
      </c>
      <c r="AP877" s="84" t="str">
        <f>HYPERLINK("https://pbs.twimg.com/profile_banners/399092326/1604435491")</f>
        <v>https://pbs.twimg.com/profile_banners/399092326/1604435491</v>
      </c>
      <c r="AQ877" s="81" t="b">
        <v>0</v>
      </c>
      <c r="AR877" s="81" t="b">
        <v>0</v>
      </c>
      <c r="AS877" s="81" t="b">
        <v>1</v>
      </c>
      <c r="AT877" s="81"/>
      <c r="AU877" s="81">
        <v>31</v>
      </c>
      <c r="AV877" s="84" t="str">
        <f>HYPERLINK("https://abs.twimg.com/images/themes/theme12/bg.gif")</f>
        <v>https://abs.twimg.com/images/themes/theme12/bg.gif</v>
      </c>
      <c r="AW877" s="81" t="b">
        <v>0</v>
      </c>
      <c r="AX877" s="81" t="s">
        <v>3728</v>
      </c>
      <c r="AY877" s="84" t="str">
        <f>HYPERLINK("https://twitter.com/rangel_lucia")</f>
        <v>https://twitter.com/rangel_lucia</v>
      </c>
      <c r="AZ877" s="81" t="s">
        <v>66</v>
      </c>
      <c r="BA877" s="2"/>
      <c r="BB877" s="3"/>
      <c r="BC877" s="3"/>
      <c r="BD877" s="3"/>
      <c r="BE877" s="3"/>
    </row>
    <row r="878" spans="1:57" x14ac:dyDescent="0.35">
      <c r="A878" s="66" t="s">
        <v>4548</v>
      </c>
      <c r="B878" s="67"/>
      <c r="C878" s="67"/>
      <c r="D878" s="68"/>
      <c r="E878" s="94"/>
      <c r="F878" s="93" t="str">
        <f>HYPERLINK("https://pbs.twimg.com/profile_images/1422336675901018123/z3TLVmhj_normal.jpg")</f>
        <v>https://pbs.twimg.com/profile_images/1422336675901018123/z3TLVmhj_normal.jpg</v>
      </c>
      <c r="G878" s="95"/>
      <c r="H878" s="71"/>
      <c r="I878" s="72"/>
      <c r="J878" s="96"/>
      <c r="K878" s="71" t="s">
        <v>11937</v>
      </c>
      <c r="L878" s="97"/>
      <c r="M878" s="76"/>
      <c r="N878" s="76"/>
      <c r="O878" s="77"/>
      <c r="P878" s="78"/>
      <c r="Q878" s="78"/>
      <c r="R878" s="92"/>
      <c r="S878" s="92"/>
      <c r="T878" s="92"/>
      <c r="U878" s="92"/>
      <c r="V878" s="52"/>
      <c r="W878" s="52"/>
      <c r="X878" s="52"/>
      <c r="Y878" s="52"/>
      <c r="Z878" s="51"/>
      <c r="AA878" s="73"/>
      <c r="AB878" s="73"/>
      <c r="AC878" s="74"/>
      <c r="AD878" s="81" t="s">
        <v>8563</v>
      </c>
      <c r="AE878" s="86" t="s">
        <v>9552</v>
      </c>
      <c r="AF878" s="81">
        <v>1399</v>
      </c>
      <c r="AG878" s="81">
        <v>729</v>
      </c>
      <c r="AH878" s="81">
        <v>38135</v>
      </c>
      <c r="AI878" s="81">
        <v>16000</v>
      </c>
      <c r="AJ878" s="81"/>
      <c r="AK878" s="81" t="s">
        <v>10506</v>
      </c>
      <c r="AL878" s="81" t="s">
        <v>11187</v>
      </c>
      <c r="AM878" s="84" t="str">
        <f>HYPERLINK("https://t.co/sSLTmpJA5R")</f>
        <v>https://t.co/sSLTmpJA5R</v>
      </c>
      <c r="AN878" s="81"/>
      <c r="AO878" s="83">
        <v>40269.469502314816</v>
      </c>
      <c r="AP878" s="84" t="str">
        <f>HYPERLINK("https://pbs.twimg.com/profile_banners/128520019/1595079076")</f>
        <v>https://pbs.twimg.com/profile_banners/128520019/1595079076</v>
      </c>
      <c r="AQ878" s="81" t="b">
        <v>0</v>
      </c>
      <c r="AR878" s="81" t="b">
        <v>0</v>
      </c>
      <c r="AS878" s="81" t="b">
        <v>1</v>
      </c>
      <c r="AT878" s="81"/>
      <c r="AU878" s="81">
        <v>12</v>
      </c>
      <c r="AV878" s="84" t="str">
        <f>HYPERLINK("https://abs.twimg.com/images/themes/theme12/bg.gif")</f>
        <v>https://abs.twimg.com/images/themes/theme12/bg.gif</v>
      </c>
      <c r="AW878" s="81" t="b">
        <v>0</v>
      </c>
      <c r="AX878" s="81" t="s">
        <v>3728</v>
      </c>
      <c r="AY878" s="84" t="str">
        <f>HYPERLINK("https://twitter.com/herege")</f>
        <v>https://twitter.com/herege</v>
      </c>
      <c r="AZ878" s="81" t="s">
        <v>66</v>
      </c>
      <c r="BA878" s="2"/>
      <c r="BB878" s="3"/>
      <c r="BC878" s="3"/>
      <c r="BD878" s="3"/>
      <c r="BE878" s="3"/>
    </row>
    <row r="879" spans="1:57" x14ac:dyDescent="0.35">
      <c r="A879" s="66" t="s">
        <v>4549</v>
      </c>
      <c r="B879" s="67"/>
      <c r="C879" s="67"/>
      <c r="D879" s="68"/>
      <c r="E879" s="94"/>
      <c r="F879" s="93" t="str">
        <f>HYPERLINK("https://pbs.twimg.com/profile_images/1423977735328829452/2lp4M6hx_normal.jpg")</f>
        <v>https://pbs.twimg.com/profile_images/1423977735328829452/2lp4M6hx_normal.jpg</v>
      </c>
      <c r="G879" s="95"/>
      <c r="H879" s="71"/>
      <c r="I879" s="72"/>
      <c r="J879" s="96"/>
      <c r="K879" s="71" t="s">
        <v>11938</v>
      </c>
      <c r="L879" s="97"/>
      <c r="M879" s="76"/>
      <c r="N879" s="76"/>
      <c r="O879" s="77"/>
      <c r="P879" s="78"/>
      <c r="Q879" s="78"/>
      <c r="R879" s="92"/>
      <c r="S879" s="92"/>
      <c r="T879" s="92"/>
      <c r="U879" s="92"/>
      <c r="V879" s="52"/>
      <c r="W879" s="52"/>
      <c r="X879" s="52"/>
      <c r="Y879" s="52"/>
      <c r="Z879" s="51"/>
      <c r="AA879" s="73"/>
      <c r="AB879" s="73"/>
      <c r="AC879" s="74"/>
      <c r="AD879" s="81" t="s">
        <v>8564</v>
      </c>
      <c r="AE879" s="86" t="s">
        <v>9553</v>
      </c>
      <c r="AF879" s="81">
        <v>1183</v>
      </c>
      <c r="AG879" s="81">
        <v>304</v>
      </c>
      <c r="AH879" s="81">
        <v>8158</v>
      </c>
      <c r="AI879" s="81">
        <v>19227</v>
      </c>
      <c r="AJ879" s="81"/>
      <c r="AK879" s="81" t="s">
        <v>10507</v>
      </c>
      <c r="AL879" s="81" t="s">
        <v>11188</v>
      </c>
      <c r="AM879" s="81"/>
      <c r="AN879" s="81"/>
      <c r="AO879" s="83">
        <v>44337.684872685182</v>
      </c>
      <c r="AP879" s="84" t="str">
        <f>HYPERLINK("https://pbs.twimg.com/profile_banners/1395777932484911107/1629473590")</f>
        <v>https://pbs.twimg.com/profile_banners/1395777932484911107/1629473590</v>
      </c>
      <c r="AQ879" s="81" t="b">
        <v>1</v>
      </c>
      <c r="AR879" s="81" t="b">
        <v>0</v>
      </c>
      <c r="AS879" s="81" t="b">
        <v>0</v>
      </c>
      <c r="AT879" s="81"/>
      <c r="AU879" s="81">
        <v>0</v>
      </c>
      <c r="AV879" s="81"/>
      <c r="AW879" s="81" t="b">
        <v>0</v>
      </c>
      <c r="AX879" s="81" t="s">
        <v>3728</v>
      </c>
      <c r="AY879" s="84" t="str">
        <f>HYPERLINK("https://twitter.com/llc1395")</f>
        <v>https://twitter.com/llc1395</v>
      </c>
      <c r="AZ879" s="81" t="s">
        <v>66</v>
      </c>
      <c r="BA879" s="2"/>
      <c r="BB879" s="3"/>
      <c r="BC879" s="3"/>
      <c r="BD879" s="3"/>
      <c r="BE879" s="3"/>
    </row>
    <row r="880" spans="1:57" x14ac:dyDescent="0.35">
      <c r="A880" s="66" t="s">
        <v>5131</v>
      </c>
      <c r="B880" s="67"/>
      <c r="C880" s="67"/>
      <c r="D880" s="68"/>
      <c r="E880" s="94"/>
      <c r="F880" s="93" t="str">
        <f>HYPERLINK("https://pbs.twimg.com/profile_images/1431242763224375296/i3HS4EYC_normal.jpg")</f>
        <v>https://pbs.twimg.com/profile_images/1431242763224375296/i3HS4EYC_normal.jpg</v>
      </c>
      <c r="G880" s="95"/>
      <c r="H880" s="71"/>
      <c r="I880" s="72"/>
      <c r="J880" s="96"/>
      <c r="K880" s="71" t="s">
        <v>11939</v>
      </c>
      <c r="L880" s="97"/>
      <c r="M880" s="76"/>
      <c r="N880" s="76"/>
      <c r="O880" s="77"/>
      <c r="P880" s="78"/>
      <c r="Q880" s="78"/>
      <c r="R880" s="92"/>
      <c r="S880" s="92"/>
      <c r="T880" s="92"/>
      <c r="U880" s="92"/>
      <c r="V880" s="52"/>
      <c r="W880" s="52"/>
      <c r="X880" s="52"/>
      <c r="Y880" s="52"/>
      <c r="Z880" s="51"/>
      <c r="AA880" s="73"/>
      <c r="AB880" s="73"/>
      <c r="AC880" s="74"/>
      <c r="AD880" s="81" t="s">
        <v>8565</v>
      </c>
      <c r="AE880" s="86" t="s">
        <v>9554</v>
      </c>
      <c r="AF880" s="81">
        <v>783</v>
      </c>
      <c r="AG880" s="81">
        <v>9333</v>
      </c>
      <c r="AH880" s="81">
        <v>13843</v>
      </c>
      <c r="AI880" s="81">
        <v>13960</v>
      </c>
      <c r="AJ880" s="81"/>
      <c r="AK880" s="86" t="s">
        <v>10508</v>
      </c>
      <c r="AL880" s="81" t="s">
        <v>10989</v>
      </c>
      <c r="AM880" s="81"/>
      <c r="AN880" s="81"/>
      <c r="AO880" s="83">
        <v>40765.447175925925</v>
      </c>
      <c r="AP880" s="84" t="str">
        <f>HYPERLINK("https://pbs.twimg.com/profile_banners/352250921/1614447643")</f>
        <v>https://pbs.twimg.com/profile_banners/352250921/1614447643</v>
      </c>
      <c r="AQ880" s="81" t="b">
        <v>1</v>
      </c>
      <c r="AR880" s="81" t="b">
        <v>0</v>
      </c>
      <c r="AS880" s="81" t="b">
        <v>0</v>
      </c>
      <c r="AT880" s="81"/>
      <c r="AU880" s="81">
        <v>40</v>
      </c>
      <c r="AV880" s="84" t="str">
        <f>HYPERLINK("https://abs.twimg.com/images/themes/theme1/bg.png")</f>
        <v>https://abs.twimg.com/images/themes/theme1/bg.png</v>
      </c>
      <c r="AW880" s="81" t="b">
        <v>0</v>
      </c>
      <c r="AX880" s="81" t="s">
        <v>3728</v>
      </c>
      <c r="AY880" s="84" t="str">
        <f>HYPERLINK("https://twitter.com/marcelopjs")</f>
        <v>https://twitter.com/marcelopjs</v>
      </c>
      <c r="AZ880" s="81" t="s">
        <v>65</v>
      </c>
      <c r="BA880" s="2"/>
      <c r="BB880" s="3"/>
      <c r="BC880" s="3"/>
      <c r="BD880" s="3"/>
      <c r="BE880" s="3"/>
    </row>
    <row r="881" spans="1:57" x14ac:dyDescent="0.35">
      <c r="A881" s="66" t="s">
        <v>5132</v>
      </c>
      <c r="B881" s="67"/>
      <c r="C881" s="67"/>
      <c r="D881" s="68"/>
      <c r="E881" s="94"/>
      <c r="F881" s="93" t="str">
        <f>HYPERLINK("https://pbs.twimg.com/profile_images/1110025636205215744/Z_XQDFU-_normal.png")</f>
        <v>https://pbs.twimg.com/profile_images/1110025636205215744/Z_XQDFU-_normal.png</v>
      </c>
      <c r="G881" s="95"/>
      <c r="H881" s="71"/>
      <c r="I881" s="72"/>
      <c r="J881" s="96"/>
      <c r="K881" s="71" t="s">
        <v>11940</v>
      </c>
      <c r="L881" s="97"/>
      <c r="M881" s="76"/>
      <c r="N881" s="76"/>
      <c r="O881" s="77"/>
      <c r="P881" s="78"/>
      <c r="Q881" s="78"/>
      <c r="R881" s="92"/>
      <c r="S881" s="92"/>
      <c r="T881" s="92"/>
      <c r="U881" s="92"/>
      <c r="V881" s="52"/>
      <c r="W881" s="52"/>
      <c r="X881" s="52"/>
      <c r="Y881" s="52"/>
      <c r="Z881" s="51"/>
      <c r="AA881" s="73"/>
      <c r="AB881" s="73"/>
      <c r="AC881" s="74"/>
      <c r="AD881" s="81" t="s">
        <v>8566</v>
      </c>
      <c r="AE881" s="86" t="s">
        <v>7883</v>
      </c>
      <c r="AF881" s="81">
        <v>246</v>
      </c>
      <c r="AG881" s="81">
        <v>106</v>
      </c>
      <c r="AH881" s="81">
        <v>19326</v>
      </c>
      <c r="AI881" s="81">
        <v>9760</v>
      </c>
      <c r="AJ881" s="81"/>
      <c r="AK881" s="81" t="s">
        <v>10509</v>
      </c>
      <c r="AL881" s="81"/>
      <c r="AM881" s="81"/>
      <c r="AN881" s="81"/>
      <c r="AO881" s="83">
        <v>43384.785416666666</v>
      </c>
      <c r="AP881" s="84" t="str">
        <f>HYPERLINK("https://pbs.twimg.com/profile_banners/1050458761117257728/1553485660")</f>
        <v>https://pbs.twimg.com/profile_banners/1050458761117257728/1553485660</v>
      </c>
      <c r="AQ881" s="81" t="b">
        <v>1</v>
      </c>
      <c r="AR881" s="81" t="b">
        <v>0</v>
      </c>
      <c r="AS881" s="81" t="b">
        <v>0</v>
      </c>
      <c r="AT881" s="81"/>
      <c r="AU881" s="81">
        <v>0</v>
      </c>
      <c r="AV881" s="81"/>
      <c r="AW881" s="81" t="b">
        <v>0</v>
      </c>
      <c r="AX881" s="81" t="s">
        <v>3728</v>
      </c>
      <c r="AY881" s="84" t="str">
        <f>HYPERLINK("https://twitter.com/so_ellipsis")</f>
        <v>https://twitter.com/so_ellipsis</v>
      </c>
      <c r="AZ881" s="81" t="s">
        <v>65</v>
      </c>
      <c r="BA881" s="2"/>
      <c r="BB881" s="3"/>
      <c r="BC881" s="3"/>
      <c r="BD881" s="3"/>
      <c r="BE881" s="3"/>
    </row>
    <row r="882" spans="1:57" x14ac:dyDescent="0.35">
      <c r="A882" s="66" t="s">
        <v>4550</v>
      </c>
      <c r="B882" s="67"/>
      <c r="C882" s="67"/>
      <c r="D882" s="68"/>
      <c r="E882" s="94"/>
      <c r="F882" s="93" t="str">
        <f>HYPERLINK("https://pbs.twimg.com/profile_images/1424096454314975241/mTN7aEbq_normal.jpg")</f>
        <v>https://pbs.twimg.com/profile_images/1424096454314975241/mTN7aEbq_normal.jpg</v>
      </c>
      <c r="G882" s="95"/>
      <c r="H882" s="71"/>
      <c r="I882" s="72"/>
      <c r="J882" s="96"/>
      <c r="K882" s="71" t="s">
        <v>11941</v>
      </c>
      <c r="L882" s="97"/>
      <c r="M882" s="76"/>
      <c r="N882" s="76"/>
      <c r="O882" s="77"/>
      <c r="P882" s="78"/>
      <c r="Q882" s="78"/>
      <c r="R882" s="92"/>
      <c r="S882" s="92"/>
      <c r="T882" s="92"/>
      <c r="U882" s="92"/>
      <c r="V882" s="52"/>
      <c r="W882" s="52"/>
      <c r="X882" s="52"/>
      <c r="Y882" s="52"/>
      <c r="Z882" s="51"/>
      <c r="AA882" s="73"/>
      <c r="AB882" s="73"/>
      <c r="AC882" s="74"/>
      <c r="AD882" s="81" t="s">
        <v>8567</v>
      </c>
      <c r="AE882" s="86" t="s">
        <v>9555</v>
      </c>
      <c r="AF882" s="81">
        <v>49</v>
      </c>
      <c r="AG882" s="81">
        <v>23</v>
      </c>
      <c r="AH882" s="81">
        <v>214</v>
      </c>
      <c r="AI882" s="81">
        <v>233</v>
      </c>
      <c r="AJ882" s="81"/>
      <c r="AK882" s="81" t="s">
        <v>10510</v>
      </c>
      <c r="AL882" s="81" t="s">
        <v>11189</v>
      </c>
      <c r="AM882" s="81"/>
      <c r="AN882" s="81"/>
      <c r="AO882" s="83">
        <v>43630.050254629627</v>
      </c>
      <c r="AP882" s="84" t="str">
        <f>HYPERLINK("https://pbs.twimg.com/profile_banners/1139339764707053568/1607280560")</f>
        <v>https://pbs.twimg.com/profile_banners/1139339764707053568/1607280560</v>
      </c>
      <c r="AQ882" s="81" t="b">
        <v>1</v>
      </c>
      <c r="AR882" s="81" t="b">
        <v>0</v>
      </c>
      <c r="AS882" s="81" t="b">
        <v>0</v>
      </c>
      <c r="AT882" s="81"/>
      <c r="AU882" s="81">
        <v>0</v>
      </c>
      <c r="AV882" s="81"/>
      <c r="AW882" s="81" t="b">
        <v>0</v>
      </c>
      <c r="AX882" s="81" t="s">
        <v>3728</v>
      </c>
      <c r="AY882" s="84" t="str">
        <f>HYPERLINK("https://twitter.com/diego_8813")</f>
        <v>https://twitter.com/diego_8813</v>
      </c>
      <c r="AZ882" s="81" t="s">
        <v>66</v>
      </c>
      <c r="BA882" s="2"/>
      <c r="BB882" s="3"/>
      <c r="BC882" s="3"/>
      <c r="BD882" s="3"/>
      <c r="BE882" s="3"/>
    </row>
    <row r="883" spans="1:57" x14ac:dyDescent="0.35">
      <c r="A883" s="66" t="s">
        <v>4551</v>
      </c>
      <c r="B883" s="67"/>
      <c r="C883" s="67"/>
      <c r="D883" s="68"/>
      <c r="E883" s="94"/>
      <c r="F883" s="93" t="str">
        <f>HYPERLINK("https://pbs.twimg.com/profile_images/1050484430937165825/TedblMGq_normal.jpg")</f>
        <v>https://pbs.twimg.com/profile_images/1050484430937165825/TedblMGq_normal.jpg</v>
      </c>
      <c r="G883" s="95"/>
      <c r="H883" s="71"/>
      <c r="I883" s="72"/>
      <c r="J883" s="96"/>
      <c r="K883" s="71" t="s">
        <v>11942</v>
      </c>
      <c r="L883" s="97"/>
      <c r="M883" s="76"/>
      <c r="N883" s="76"/>
      <c r="O883" s="77"/>
      <c r="P883" s="78"/>
      <c r="Q883" s="78"/>
      <c r="R883" s="92"/>
      <c r="S883" s="92"/>
      <c r="T883" s="92"/>
      <c r="U883" s="92"/>
      <c r="V883" s="52"/>
      <c r="W883" s="52"/>
      <c r="X883" s="52"/>
      <c r="Y883" s="52"/>
      <c r="Z883" s="51"/>
      <c r="AA883" s="73"/>
      <c r="AB883" s="73"/>
      <c r="AC883" s="74"/>
      <c r="AD883" s="81" t="s">
        <v>8568</v>
      </c>
      <c r="AE883" s="86" t="s">
        <v>9556</v>
      </c>
      <c r="AF883" s="81">
        <v>3211</v>
      </c>
      <c r="AG883" s="81">
        <v>4011</v>
      </c>
      <c r="AH883" s="81">
        <v>56560</v>
      </c>
      <c r="AI883" s="81">
        <v>95024</v>
      </c>
      <c r="AJ883" s="81"/>
      <c r="AK883" s="81" t="s">
        <v>10511</v>
      </c>
      <c r="AL883" s="81" t="s">
        <v>10992</v>
      </c>
      <c r="AM883" s="81"/>
      <c r="AN883" s="81"/>
      <c r="AO883" s="83">
        <v>40212.977118055554</v>
      </c>
      <c r="AP883" s="84" t="str">
        <f>HYPERLINK("https://pbs.twimg.com/profile_banners/111145623/1400264183")</f>
        <v>https://pbs.twimg.com/profile_banners/111145623/1400264183</v>
      </c>
      <c r="AQ883" s="81" t="b">
        <v>0</v>
      </c>
      <c r="AR883" s="81" t="b">
        <v>0</v>
      </c>
      <c r="AS883" s="81" t="b">
        <v>0</v>
      </c>
      <c r="AT883" s="81"/>
      <c r="AU883" s="81">
        <v>30</v>
      </c>
      <c r="AV883" s="84" t="str">
        <f>HYPERLINK("https://abs.twimg.com/images/themes/theme15/bg.png")</f>
        <v>https://abs.twimg.com/images/themes/theme15/bg.png</v>
      </c>
      <c r="AW883" s="81" t="b">
        <v>0</v>
      </c>
      <c r="AX883" s="81" t="s">
        <v>3728</v>
      </c>
      <c r="AY883" s="84" t="str">
        <f>HYPERLINK("https://twitter.com/lan_torres")</f>
        <v>https://twitter.com/lan_torres</v>
      </c>
      <c r="AZ883" s="81" t="s">
        <v>66</v>
      </c>
      <c r="BA883" s="2"/>
      <c r="BB883" s="3"/>
      <c r="BC883" s="3"/>
      <c r="BD883" s="3"/>
      <c r="BE883" s="3"/>
    </row>
    <row r="884" spans="1:57" x14ac:dyDescent="0.35">
      <c r="A884" s="66" t="s">
        <v>4552</v>
      </c>
      <c r="B884" s="67"/>
      <c r="C884" s="67"/>
      <c r="D884" s="68"/>
      <c r="E884" s="94"/>
      <c r="F884" s="93" t="str">
        <f>HYPERLINK("https://pbs.twimg.com/profile_images/1147186886/pfcr_proletario_normal.jpg")</f>
        <v>https://pbs.twimg.com/profile_images/1147186886/pfcr_proletario_normal.jpg</v>
      </c>
      <c r="G884" s="95"/>
      <c r="H884" s="71"/>
      <c r="I884" s="72"/>
      <c r="J884" s="96"/>
      <c r="K884" s="71" t="s">
        <v>11943</v>
      </c>
      <c r="L884" s="97"/>
      <c r="M884" s="76"/>
      <c r="N884" s="76"/>
      <c r="O884" s="77"/>
      <c r="P884" s="78"/>
      <c r="Q884" s="78"/>
      <c r="R884" s="92"/>
      <c r="S884" s="92"/>
      <c r="T884" s="92"/>
      <c r="U884" s="92"/>
      <c r="V884" s="52"/>
      <c r="W884" s="52"/>
      <c r="X884" s="52"/>
      <c r="Y884" s="52"/>
      <c r="Z884" s="51"/>
      <c r="AA884" s="73"/>
      <c r="AB884" s="73"/>
      <c r="AC884" s="74"/>
      <c r="AD884" s="81" t="s">
        <v>8569</v>
      </c>
      <c r="AE884" s="86" t="s">
        <v>9557</v>
      </c>
      <c r="AF884" s="81">
        <v>4226</v>
      </c>
      <c r="AG884" s="81">
        <v>2358</v>
      </c>
      <c r="AH884" s="81">
        <v>263402</v>
      </c>
      <c r="AI884" s="81">
        <v>182408</v>
      </c>
      <c r="AJ884" s="81"/>
      <c r="AK884" s="81" t="s">
        <v>10512</v>
      </c>
      <c r="AL884" s="81" t="s">
        <v>11190</v>
      </c>
      <c r="AM884" s="81"/>
      <c r="AN884" s="81"/>
      <c r="AO884" s="83">
        <v>40335.476122685184</v>
      </c>
      <c r="AP884" s="84" t="str">
        <f>HYPERLINK("https://pbs.twimg.com/profile_banners/152601193/1470225921")</f>
        <v>https://pbs.twimg.com/profile_banners/152601193/1470225921</v>
      </c>
      <c r="AQ884" s="81" t="b">
        <v>0</v>
      </c>
      <c r="AR884" s="81" t="b">
        <v>0</v>
      </c>
      <c r="AS884" s="81" t="b">
        <v>0</v>
      </c>
      <c r="AT884" s="81"/>
      <c r="AU884" s="81">
        <v>15</v>
      </c>
      <c r="AV884" s="84" t="str">
        <f>HYPERLINK("https://abs.twimg.com/images/themes/theme1/bg.png")</f>
        <v>https://abs.twimg.com/images/themes/theme1/bg.png</v>
      </c>
      <c r="AW884" s="81" t="b">
        <v>0</v>
      </c>
      <c r="AX884" s="81" t="s">
        <v>3728</v>
      </c>
      <c r="AY884" s="84" t="str">
        <f>HYPERLINK("https://twitter.com/proletariors")</f>
        <v>https://twitter.com/proletariors</v>
      </c>
      <c r="AZ884" s="81" t="s">
        <v>66</v>
      </c>
      <c r="BA884" s="2"/>
      <c r="BB884" s="3"/>
      <c r="BC884" s="3"/>
      <c r="BD884" s="3"/>
      <c r="BE884" s="3"/>
    </row>
    <row r="885" spans="1:57" x14ac:dyDescent="0.35">
      <c r="A885" s="66" t="s">
        <v>4553</v>
      </c>
      <c r="B885" s="67"/>
      <c r="C885" s="67"/>
      <c r="D885" s="68"/>
      <c r="E885" s="94"/>
      <c r="F885" s="93" t="str">
        <f>HYPERLINK("https://pbs.twimg.com/profile_images/931022761723654144/Ys8imX2M_normal.jpg")</f>
        <v>https://pbs.twimg.com/profile_images/931022761723654144/Ys8imX2M_normal.jpg</v>
      </c>
      <c r="G885" s="95"/>
      <c r="H885" s="71"/>
      <c r="I885" s="72"/>
      <c r="J885" s="96"/>
      <c r="K885" s="71" t="s">
        <v>11944</v>
      </c>
      <c r="L885" s="97"/>
      <c r="M885" s="76"/>
      <c r="N885" s="76"/>
      <c r="O885" s="77"/>
      <c r="P885" s="78"/>
      <c r="Q885" s="78"/>
      <c r="R885" s="92"/>
      <c r="S885" s="92"/>
      <c r="T885" s="92"/>
      <c r="U885" s="92"/>
      <c r="V885" s="52"/>
      <c r="W885" s="52"/>
      <c r="X885" s="52"/>
      <c r="Y885" s="52"/>
      <c r="Z885" s="51"/>
      <c r="AA885" s="73"/>
      <c r="AB885" s="73"/>
      <c r="AC885" s="74"/>
      <c r="AD885" s="81" t="s">
        <v>8570</v>
      </c>
      <c r="AE885" s="86" t="s">
        <v>9558</v>
      </c>
      <c r="AF885" s="81">
        <v>918</v>
      </c>
      <c r="AG885" s="81">
        <v>205</v>
      </c>
      <c r="AH885" s="81">
        <v>16381</v>
      </c>
      <c r="AI885" s="81">
        <v>60203</v>
      </c>
      <c r="AJ885" s="81"/>
      <c r="AK885" s="81" t="s">
        <v>10513</v>
      </c>
      <c r="AL885" s="81" t="s">
        <v>11191</v>
      </c>
      <c r="AM885" s="84" t="str">
        <f>HYPERLINK("https://t.co/0WIf037Ru0")</f>
        <v>https://t.co/0WIf037Ru0</v>
      </c>
      <c r="AN885" s="81"/>
      <c r="AO885" s="83">
        <v>40106.071967592594</v>
      </c>
      <c r="AP885" s="84" t="str">
        <f>HYPERLINK("https://pbs.twimg.com/profile_banners/83741845/1479258193")</f>
        <v>https://pbs.twimg.com/profile_banners/83741845/1479258193</v>
      </c>
      <c r="AQ885" s="81" t="b">
        <v>0</v>
      </c>
      <c r="AR885" s="81" t="b">
        <v>0</v>
      </c>
      <c r="AS885" s="81" t="b">
        <v>0</v>
      </c>
      <c r="AT885" s="81"/>
      <c r="AU885" s="81">
        <v>3</v>
      </c>
      <c r="AV885" s="84" t="str">
        <f>HYPERLINK("https://abs.twimg.com/images/themes/theme1/bg.png")</f>
        <v>https://abs.twimg.com/images/themes/theme1/bg.png</v>
      </c>
      <c r="AW885" s="81" t="b">
        <v>0</v>
      </c>
      <c r="AX885" s="81" t="s">
        <v>3728</v>
      </c>
      <c r="AY885" s="84" t="str">
        <f>HYPERLINK("https://twitter.com/cyberadaa")</f>
        <v>https://twitter.com/cyberadaa</v>
      </c>
      <c r="AZ885" s="81" t="s">
        <v>66</v>
      </c>
      <c r="BA885" s="2"/>
      <c r="BB885" s="3"/>
      <c r="BC885" s="3"/>
      <c r="BD885" s="3"/>
      <c r="BE885" s="3"/>
    </row>
    <row r="886" spans="1:57" x14ac:dyDescent="0.35">
      <c r="A886" s="66" t="s">
        <v>4554</v>
      </c>
      <c r="B886" s="67"/>
      <c r="C886" s="67"/>
      <c r="D886" s="68"/>
      <c r="E886" s="94"/>
      <c r="F886" s="93" t="str">
        <f>HYPERLINK("https://pbs.twimg.com/profile_images/1434532594645884931/4HHJP2XB_normal.jpg")</f>
        <v>https://pbs.twimg.com/profile_images/1434532594645884931/4HHJP2XB_normal.jpg</v>
      </c>
      <c r="G886" s="95"/>
      <c r="H886" s="71"/>
      <c r="I886" s="72"/>
      <c r="J886" s="96"/>
      <c r="K886" s="71" t="s">
        <v>11945</v>
      </c>
      <c r="L886" s="97"/>
      <c r="M886" s="76"/>
      <c r="N886" s="76"/>
      <c r="O886" s="77"/>
      <c r="P886" s="78"/>
      <c r="Q886" s="78"/>
      <c r="R886" s="92"/>
      <c r="S886" s="92"/>
      <c r="T886" s="92"/>
      <c r="U886" s="92"/>
      <c r="V886" s="52"/>
      <c r="W886" s="52"/>
      <c r="X886" s="52"/>
      <c r="Y886" s="52"/>
      <c r="Z886" s="51"/>
      <c r="AA886" s="73"/>
      <c r="AB886" s="73"/>
      <c r="AC886" s="74"/>
      <c r="AD886" s="81" t="s">
        <v>8571</v>
      </c>
      <c r="AE886" s="86" t="s">
        <v>9559</v>
      </c>
      <c r="AF886" s="81">
        <v>664</v>
      </c>
      <c r="AG886" s="81">
        <v>1626</v>
      </c>
      <c r="AH886" s="81">
        <v>144381</v>
      </c>
      <c r="AI886" s="81">
        <v>337490</v>
      </c>
      <c r="AJ886" s="81"/>
      <c r="AK886" s="81" t="s">
        <v>10514</v>
      </c>
      <c r="AL886" s="81" t="s">
        <v>11192</v>
      </c>
      <c r="AM886" s="84" t="str">
        <f>HYPERLINK("https://t.co/taRhA5mM1q")</f>
        <v>https://t.co/taRhA5mM1q</v>
      </c>
      <c r="AN886" s="81"/>
      <c r="AO886" s="83">
        <v>42517.737881944442</v>
      </c>
      <c r="AP886" s="84" t="str">
        <f>HYPERLINK("https://pbs.twimg.com/profile_banners/736251259594940417/1625459893")</f>
        <v>https://pbs.twimg.com/profile_banners/736251259594940417/1625459893</v>
      </c>
      <c r="AQ886" s="81" t="b">
        <v>0</v>
      </c>
      <c r="AR886" s="81" t="b">
        <v>0</v>
      </c>
      <c r="AS886" s="81" t="b">
        <v>1</v>
      </c>
      <c r="AT886" s="81"/>
      <c r="AU886" s="81">
        <v>6</v>
      </c>
      <c r="AV886" s="84" t="str">
        <f>HYPERLINK("https://abs.twimg.com/images/themes/theme1/bg.png")</f>
        <v>https://abs.twimg.com/images/themes/theme1/bg.png</v>
      </c>
      <c r="AW886" s="81" t="b">
        <v>0</v>
      </c>
      <c r="AX886" s="81" t="s">
        <v>3728</v>
      </c>
      <c r="AY886" s="84" t="str">
        <f>HYPERLINK("https://twitter.com/souza_g1")</f>
        <v>https://twitter.com/souza_g1</v>
      </c>
      <c r="AZ886" s="81" t="s">
        <v>66</v>
      </c>
      <c r="BA886" s="2"/>
      <c r="BB886" s="3"/>
      <c r="BC886" s="3"/>
      <c r="BD886" s="3"/>
      <c r="BE886" s="3"/>
    </row>
    <row r="887" spans="1:57" x14ac:dyDescent="0.35">
      <c r="A887" s="66" t="s">
        <v>4556</v>
      </c>
      <c r="B887" s="67"/>
      <c r="C887" s="67"/>
      <c r="D887" s="68"/>
      <c r="E887" s="94"/>
      <c r="F887" s="93" t="str">
        <f>HYPERLINK("https://pbs.twimg.com/profile_images/1007406096863105024/UkR5RXK7_normal.jpg")</f>
        <v>https://pbs.twimg.com/profile_images/1007406096863105024/UkR5RXK7_normal.jpg</v>
      </c>
      <c r="G887" s="95"/>
      <c r="H887" s="71"/>
      <c r="I887" s="72"/>
      <c r="J887" s="96"/>
      <c r="K887" s="71" t="s">
        <v>11946</v>
      </c>
      <c r="L887" s="97"/>
      <c r="M887" s="76"/>
      <c r="N887" s="76"/>
      <c r="O887" s="77"/>
      <c r="P887" s="78"/>
      <c r="Q887" s="78"/>
      <c r="R887" s="92"/>
      <c r="S887" s="92"/>
      <c r="T887" s="92"/>
      <c r="U887" s="92"/>
      <c r="V887" s="52"/>
      <c r="W887" s="52"/>
      <c r="X887" s="52"/>
      <c r="Y887" s="52"/>
      <c r="Z887" s="51"/>
      <c r="AA887" s="73"/>
      <c r="AB887" s="73"/>
      <c r="AC887" s="74"/>
      <c r="AD887" s="81" t="s">
        <v>8572</v>
      </c>
      <c r="AE887" s="86" t="s">
        <v>9560</v>
      </c>
      <c r="AF887" s="81">
        <v>864</v>
      </c>
      <c r="AG887" s="81">
        <v>244</v>
      </c>
      <c r="AH887" s="81">
        <v>24287</v>
      </c>
      <c r="AI887" s="81">
        <v>10463</v>
      </c>
      <c r="AJ887" s="81"/>
      <c r="AK887" s="81" t="s">
        <v>10515</v>
      </c>
      <c r="AL887" s="81" t="s">
        <v>11193</v>
      </c>
      <c r="AM887" s="81"/>
      <c r="AN887" s="81"/>
      <c r="AO887" s="83">
        <v>41056.588541666664</v>
      </c>
      <c r="AP887" s="81"/>
      <c r="AQ887" s="81" t="b">
        <v>0</v>
      </c>
      <c r="AR887" s="81" t="b">
        <v>0</v>
      </c>
      <c r="AS887" s="81" t="b">
        <v>1</v>
      </c>
      <c r="AT887" s="81"/>
      <c r="AU887" s="81">
        <v>2</v>
      </c>
      <c r="AV887" s="84" t="str">
        <f>HYPERLINK("https://abs.twimg.com/images/themes/theme1/bg.png")</f>
        <v>https://abs.twimg.com/images/themes/theme1/bg.png</v>
      </c>
      <c r="AW887" s="81" t="b">
        <v>0</v>
      </c>
      <c r="AX887" s="81" t="s">
        <v>3728</v>
      </c>
      <c r="AY887" s="84" t="str">
        <f>HYPERLINK("https://twitter.com/ilbentinho")</f>
        <v>https://twitter.com/ilbentinho</v>
      </c>
      <c r="AZ887" s="81" t="s">
        <v>66</v>
      </c>
      <c r="BA887" s="2"/>
      <c r="BB887" s="3"/>
      <c r="BC887" s="3"/>
      <c r="BD887" s="3"/>
      <c r="BE887" s="3"/>
    </row>
    <row r="888" spans="1:57" x14ac:dyDescent="0.35">
      <c r="A888" s="66" t="s">
        <v>4557</v>
      </c>
      <c r="B888" s="67"/>
      <c r="C888" s="67"/>
      <c r="D888" s="68"/>
      <c r="E888" s="94"/>
      <c r="F888" s="93" t="str">
        <f>HYPERLINK("https://pbs.twimg.com/profile_images/1322292080320958464/yb6U9hfE_normal.jpg")</f>
        <v>https://pbs.twimg.com/profile_images/1322292080320958464/yb6U9hfE_normal.jpg</v>
      </c>
      <c r="G888" s="95"/>
      <c r="H888" s="71"/>
      <c r="I888" s="72"/>
      <c r="J888" s="96"/>
      <c r="K888" s="71" t="s">
        <v>11947</v>
      </c>
      <c r="L888" s="97"/>
      <c r="M888" s="76"/>
      <c r="N888" s="76"/>
      <c r="O888" s="77"/>
      <c r="P888" s="78"/>
      <c r="Q888" s="78"/>
      <c r="R888" s="92"/>
      <c r="S888" s="92"/>
      <c r="T888" s="92"/>
      <c r="U888" s="92"/>
      <c r="V888" s="52"/>
      <c r="W888" s="52"/>
      <c r="X888" s="52"/>
      <c r="Y888" s="52"/>
      <c r="Z888" s="51"/>
      <c r="AA888" s="73"/>
      <c r="AB888" s="73"/>
      <c r="AC888" s="74"/>
      <c r="AD888" s="81" t="s">
        <v>8573</v>
      </c>
      <c r="AE888" s="86" t="s">
        <v>9561</v>
      </c>
      <c r="AF888" s="81">
        <v>1136</v>
      </c>
      <c r="AG888" s="81">
        <v>326</v>
      </c>
      <c r="AH888" s="81">
        <v>20480</v>
      </c>
      <c r="AI888" s="81">
        <v>55003</v>
      </c>
      <c r="AJ888" s="81"/>
      <c r="AK888" s="81" t="s">
        <v>10516</v>
      </c>
      <c r="AL888" s="81" t="s">
        <v>11194</v>
      </c>
      <c r="AM888" s="81"/>
      <c r="AN888" s="81"/>
      <c r="AO888" s="83">
        <v>39455.846909722219</v>
      </c>
      <c r="AP888" s="84" t="str">
        <f>HYPERLINK("https://pbs.twimg.com/profile_banners/11998482/1607239797")</f>
        <v>https://pbs.twimg.com/profile_banners/11998482/1607239797</v>
      </c>
      <c r="AQ888" s="81" t="b">
        <v>0</v>
      </c>
      <c r="AR888" s="81" t="b">
        <v>0</v>
      </c>
      <c r="AS888" s="81" t="b">
        <v>1</v>
      </c>
      <c r="AT888" s="81"/>
      <c r="AU888" s="81">
        <v>10</v>
      </c>
      <c r="AV888" s="84" t="str">
        <f>HYPERLINK("https://abs.twimg.com/images/themes/theme1/bg.png")</f>
        <v>https://abs.twimg.com/images/themes/theme1/bg.png</v>
      </c>
      <c r="AW888" s="81" t="b">
        <v>0</v>
      </c>
      <c r="AX888" s="81" t="s">
        <v>3728</v>
      </c>
      <c r="AY888" s="84" t="str">
        <f>HYPERLINK("https://twitter.com/maedojorel_")</f>
        <v>https://twitter.com/maedojorel_</v>
      </c>
      <c r="AZ888" s="81" t="s">
        <v>66</v>
      </c>
      <c r="BA888" s="2"/>
      <c r="BB888" s="3"/>
      <c r="BC888" s="3"/>
      <c r="BD888" s="3"/>
      <c r="BE888" s="3"/>
    </row>
    <row r="889" spans="1:57" x14ac:dyDescent="0.35">
      <c r="A889" s="66" t="s">
        <v>4558</v>
      </c>
      <c r="B889" s="67"/>
      <c r="C889" s="67"/>
      <c r="D889" s="68"/>
      <c r="E889" s="94"/>
      <c r="F889" s="93" t="str">
        <f>HYPERLINK("https://pbs.twimg.com/profile_images/1100232586163617794/NVKsaD5M_normal.jpg")</f>
        <v>https://pbs.twimg.com/profile_images/1100232586163617794/NVKsaD5M_normal.jpg</v>
      </c>
      <c r="G889" s="95"/>
      <c r="H889" s="71"/>
      <c r="I889" s="72"/>
      <c r="J889" s="96"/>
      <c r="K889" s="71" t="s">
        <v>11948</v>
      </c>
      <c r="L889" s="97"/>
      <c r="M889" s="76"/>
      <c r="N889" s="76"/>
      <c r="O889" s="77"/>
      <c r="P889" s="78"/>
      <c r="Q889" s="78"/>
      <c r="R889" s="92"/>
      <c r="S889" s="92"/>
      <c r="T889" s="92"/>
      <c r="U889" s="92"/>
      <c r="V889" s="52"/>
      <c r="W889" s="52"/>
      <c r="X889" s="52"/>
      <c r="Y889" s="52"/>
      <c r="Z889" s="51"/>
      <c r="AA889" s="73"/>
      <c r="AB889" s="73"/>
      <c r="AC889" s="74"/>
      <c r="AD889" s="81" t="s">
        <v>8574</v>
      </c>
      <c r="AE889" s="86" t="s">
        <v>9562</v>
      </c>
      <c r="AF889" s="81">
        <v>303</v>
      </c>
      <c r="AG889" s="81">
        <v>96</v>
      </c>
      <c r="AH889" s="81">
        <v>67181</v>
      </c>
      <c r="AI889" s="81">
        <v>17599</v>
      </c>
      <c r="AJ889" s="81"/>
      <c r="AK889" s="81"/>
      <c r="AL889" s="81"/>
      <c r="AM889" s="81"/>
      <c r="AN889" s="81"/>
      <c r="AO889" s="83">
        <v>41918.846168981479</v>
      </c>
      <c r="AP889" s="84" t="str">
        <f>HYPERLINK("https://pbs.twimg.com/profile_banners/2811462838/1551150865")</f>
        <v>https://pbs.twimg.com/profile_banners/2811462838/1551150865</v>
      </c>
      <c r="AQ889" s="81" t="b">
        <v>1</v>
      </c>
      <c r="AR889" s="81" t="b">
        <v>0</v>
      </c>
      <c r="AS889" s="81" t="b">
        <v>1</v>
      </c>
      <c r="AT889" s="81"/>
      <c r="AU889" s="81">
        <v>0</v>
      </c>
      <c r="AV889" s="84" t="str">
        <f>HYPERLINK("https://abs.twimg.com/images/themes/theme1/bg.png")</f>
        <v>https://abs.twimg.com/images/themes/theme1/bg.png</v>
      </c>
      <c r="AW889" s="81" t="b">
        <v>0</v>
      </c>
      <c r="AX889" s="81" t="s">
        <v>3728</v>
      </c>
      <c r="AY889" s="84" t="str">
        <f>HYPERLINK("https://twitter.com/eniotaniguti")</f>
        <v>https://twitter.com/eniotaniguti</v>
      </c>
      <c r="AZ889" s="81" t="s">
        <v>66</v>
      </c>
      <c r="BA889" s="2"/>
      <c r="BB889" s="3"/>
      <c r="BC889" s="3"/>
      <c r="BD889" s="3"/>
      <c r="BE889" s="3"/>
    </row>
    <row r="890" spans="1:57" x14ac:dyDescent="0.35">
      <c r="A890" s="66" t="s">
        <v>4559</v>
      </c>
      <c r="B890" s="67"/>
      <c r="C890" s="67"/>
      <c r="D890" s="68"/>
      <c r="E890" s="94"/>
      <c r="F890" s="93" t="str">
        <f>HYPERLINK("https://pbs.twimg.com/profile_images/1103237938996039680/wO7KjE4__normal.png")</f>
        <v>https://pbs.twimg.com/profile_images/1103237938996039680/wO7KjE4__normal.png</v>
      </c>
      <c r="G890" s="95"/>
      <c r="H890" s="71"/>
      <c r="I890" s="72"/>
      <c r="J890" s="96"/>
      <c r="K890" s="71" t="s">
        <v>11949</v>
      </c>
      <c r="L890" s="97"/>
      <c r="M890" s="76"/>
      <c r="N890" s="76"/>
      <c r="O890" s="77"/>
      <c r="P890" s="78"/>
      <c r="Q890" s="78"/>
      <c r="R890" s="92"/>
      <c r="S890" s="92"/>
      <c r="T890" s="92"/>
      <c r="U890" s="92"/>
      <c r="V890" s="52"/>
      <c r="W890" s="52"/>
      <c r="X890" s="52"/>
      <c r="Y890" s="52"/>
      <c r="Z890" s="51"/>
      <c r="AA890" s="73"/>
      <c r="AB890" s="73"/>
      <c r="AC890" s="74"/>
      <c r="AD890" s="81" t="s">
        <v>8575</v>
      </c>
      <c r="AE890" s="86" t="s">
        <v>9563</v>
      </c>
      <c r="AF890" s="81">
        <v>2790</v>
      </c>
      <c r="AG890" s="81">
        <v>16563</v>
      </c>
      <c r="AH890" s="81">
        <v>190436</v>
      </c>
      <c r="AI890" s="81">
        <v>11376</v>
      </c>
      <c r="AJ890" s="81"/>
      <c r="AK890" s="81" t="s">
        <v>10517</v>
      </c>
      <c r="AL890" s="81"/>
      <c r="AM890" s="81"/>
      <c r="AN890" s="81"/>
      <c r="AO890" s="83">
        <v>40852.991261574076</v>
      </c>
      <c r="AP890" s="84" t="str">
        <f>HYPERLINK("https://pbs.twimg.com/profile_banners/405900747/1627463458")</f>
        <v>https://pbs.twimg.com/profile_banners/405900747/1627463458</v>
      </c>
      <c r="AQ890" s="81" t="b">
        <v>0</v>
      </c>
      <c r="AR890" s="81" t="b">
        <v>0</v>
      </c>
      <c r="AS890" s="81" t="b">
        <v>1</v>
      </c>
      <c r="AT890" s="81"/>
      <c r="AU890" s="81">
        <v>73</v>
      </c>
      <c r="AV890" s="84" t="str">
        <f>HYPERLINK("https://abs.twimg.com/images/themes/theme10/bg.gif")</f>
        <v>https://abs.twimg.com/images/themes/theme10/bg.gif</v>
      </c>
      <c r="AW890" s="81" t="b">
        <v>0</v>
      </c>
      <c r="AX890" s="81" t="s">
        <v>3728</v>
      </c>
      <c r="AY890" s="84" t="str">
        <f>HYPERLINK("https://twitter.com/observotariopig")</f>
        <v>https://twitter.com/observotariopig</v>
      </c>
      <c r="AZ890" s="81" t="s">
        <v>66</v>
      </c>
      <c r="BA890" s="2"/>
      <c r="BB890" s="3"/>
      <c r="BC890" s="3"/>
      <c r="BD890" s="3"/>
      <c r="BE890" s="3"/>
    </row>
    <row r="891" spans="1:57" x14ac:dyDescent="0.35">
      <c r="A891" s="66" t="s">
        <v>4560</v>
      </c>
      <c r="B891" s="67"/>
      <c r="C891" s="67"/>
      <c r="D891" s="68"/>
      <c r="E891" s="94"/>
      <c r="F891" s="93" t="str">
        <f>HYPERLINK("https://pbs.twimg.com/profile_images/1433785108453117964/-W41CrZl_normal.jpg")</f>
        <v>https://pbs.twimg.com/profile_images/1433785108453117964/-W41CrZl_normal.jpg</v>
      </c>
      <c r="G891" s="95"/>
      <c r="H891" s="71"/>
      <c r="I891" s="72"/>
      <c r="J891" s="96"/>
      <c r="K891" s="71" t="s">
        <v>11950</v>
      </c>
      <c r="L891" s="97"/>
      <c r="M891" s="76"/>
      <c r="N891" s="76"/>
      <c r="O891" s="77"/>
      <c r="P891" s="78"/>
      <c r="Q891" s="78"/>
      <c r="R891" s="92"/>
      <c r="S891" s="92"/>
      <c r="T891" s="92"/>
      <c r="U891" s="92"/>
      <c r="V891" s="52"/>
      <c r="W891" s="52"/>
      <c r="X891" s="52"/>
      <c r="Y891" s="52"/>
      <c r="Z891" s="51"/>
      <c r="AA891" s="73"/>
      <c r="AB891" s="73"/>
      <c r="AC891" s="74"/>
      <c r="AD891" s="81" t="s">
        <v>8576</v>
      </c>
      <c r="AE891" s="86" t="s">
        <v>9564</v>
      </c>
      <c r="AF891" s="81">
        <v>116</v>
      </c>
      <c r="AG891" s="81">
        <v>81</v>
      </c>
      <c r="AH891" s="81">
        <v>3518</v>
      </c>
      <c r="AI891" s="81">
        <v>3658</v>
      </c>
      <c r="AJ891" s="81"/>
      <c r="AK891" s="81" t="s">
        <v>10518</v>
      </c>
      <c r="AL891" s="81"/>
      <c r="AM891" s="81"/>
      <c r="AN891" s="81"/>
      <c r="AO891" s="83">
        <v>44442.563576388886</v>
      </c>
      <c r="AP891" s="84" t="str">
        <f>HYPERLINK("https://pbs.twimg.com/profile_banners/1433784665358454786/1632453952")</f>
        <v>https://pbs.twimg.com/profile_banners/1433784665358454786/1632453952</v>
      </c>
      <c r="AQ891" s="81" t="b">
        <v>1</v>
      </c>
      <c r="AR891" s="81" t="b">
        <v>0</v>
      </c>
      <c r="AS891" s="81" t="b">
        <v>0</v>
      </c>
      <c r="AT891" s="81"/>
      <c r="AU891" s="81">
        <v>0</v>
      </c>
      <c r="AV891" s="81"/>
      <c r="AW891" s="81" t="b">
        <v>0</v>
      </c>
      <c r="AX891" s="81" t="s">
        <v>3728</v>
      </c>
      <c r="AY891" s="84" t="str">
        <f>HYPERLINK("https://twitter.com/shock0031")</f>
        <v>https://twitter.com/shock0031</v>
      </c>
      <c r="AZ891" s="81" t="s">
        <v>66</v>
      </c>
      <c r="BA891" s="2"/>
      <c r="BB891" s="3"/>
      <c r="BC891" s="3"/>
      <c r="BD891" s="3"/>
      <c r="BE891" s="3"/>
    </row>
    <row r="892" spans="1:57" x14ac:dyDescent="0.35">
      <c r="A892" s="66" t="s">
        <v>4561</v>
      </c>
      <c r="B892" s="67"/>
      <c r="C892" s="67"/>
      <c r="D892" s="68"/>
      <c r="E892" s="94"/>
      <c r="F892" s="93" t="str">
        <f>HYPERLINK("https://pbs.twimg.com/profile_images/1411865439668477952/zN32-Jtl_normal.jpg")</f>
        <v>https://pbs.twimg.com/profile_images/1411865439668477952/zN32-Jtl_normal.jpg</v>
      </c>
      <c r="G892" s="95"/>
      <c r="H892" s="71"/>
      <c r="I892" s="72"/>
      <c r="J892" s="96"/>
      <c r="K892" s="71" t="s">
        <v>11951</v>
      </c>
      <c r="L892" s="97"/>
      <c r="M892" s="76"/>
      <c r="N892" s="76"/>
      <c r="O892" s="77"/>
      <c r="P892" s="78"/>
      <c r="Q892" s="78"/>
      <c r="R892" s="92"/>
      <c r="S892" s="92"/>
      <c r="T892" s="92"/>
      <c r="U892" s="92"/>
      <c r="V892" s="52"/>
      <c r="W892" s="52"/>
      <c r="X892" s="52"/>
      <c r="Y892" s="52"/>
      <c r="Z892" s="51"/>
      <c r="AA892" s="73"/>
      <c r="AB892" s="73"/>
      <c r="AC892" s="74"/>
      <c r="AD892" s="81" t="s">
        <v>8577</v>
      </c>
      <c r="AE892" s="86" t="s">
        <v>9565</v>
      </c>
      <c r="AF892" s="81">
        <v>1779</v>
      </c>
      <c r="AG892" s="81">
        <v>631</v>
      </c>
      <c r="AH892" s="81">
        <v>75976</v>
      </c>
      <c r="AI892" s="81">
        <v>89909</v>
      </c>
      <c r="AJ892" s="81"/>
      <c r="AK892" s="81" t="s">
        <v>10519</v>
      </c>
      <c r="AL892" s="81" t="s">
        <v>10970</v>
      </c>
      <c r="AM892" s="84" t="str">
        <f>HYPERLINK("https://t.co/sCPucllRzV")</f>
        <v>https://t.co/sCPucllRzV</v>
      </c>
      <c r="AN892" s="81"/>
      <c r="AO892" s="83">
        <v>40410.111655092594</v>
      </c>
      <c r="AP892" s="81"/>
      <c r="AQ892" s="81" t="b">
        <v>1</v>
      </c>
      <c r="AR892" s="81" t="b">
        <v>0</v>
      </c>
      <c r="AS892" s="81" t="b">
        <v>1</v>
      </c>
      <c r="AT892" s="81"/>
      <c r="AU892" s="81">
        <v>4</v>
      </c>
      <c r="AV892" s="84" t="str">
        <f>HYPERLINK("https://abs.twimg.com/images/themes/theme1/bg.png")</f>
        <v>https://abs.twimg.com/images/themes/theme1/bg.png</v>
      </c>
      <c r="AW892" s="81" t="b">
        <v>0</v>
      </c>
      <c r="AX892" s="81" t="s">
        <v>3728</v>
      </c>
      <c r="AY892" s="84" t="str">
        <f>HYPERLINK("https://twitter.com/guilhermetom")</f>
        <v>https://twitter.com/guilhermetom</v>
      </c>
      <c r="AZ892" s="81" t="s">
        <v>66</v>
      </c>
      <c r="BA892" s="2"/>
      <c r="BB892" s="3"/>
      <c r="BC892" s="3"/>
      <c r="BD892" s="3"/>
      <c r="BE892" s="3"/>
    </row>
    <row r="893" spans="1:57" x14ac:dyDescent="0.35">
      <c r="A893" s="66" t="s">
        <v>4562</v>
      </c>
      <c r="B893" s="67"/>
      <c r="C893" s="67"/>
      <c r="D893" s="68"/>
      <c r="E893" s="94"/>
      <c r="F893" s="93" t="str">
        <f>HYPERLINK("https://pbs.twimg.com/profile_images/1422348836618620929/JkPBMESh_normal.jpg")</f>
        <v>https://pbs.twimg.com/profile_images/1422348836618620929/JkPBMESh_normal.jpg</v>
      </c>
      <c r="G893" s="95"/>
      <c r="H893" s="71"/>
      <c r="I893" s="72"/>
      <c r="J893" s="96"/>
      <c r="K893" s="71" t="s">
        <v>11952</v>
      </c>
      <c r="L893" s="97"/>
      <c r="M893" s="76"/>
      <c r="N893" s="76"/>
      <c r="O893" s="77"/>
      <c r="P893" s="78"/>
      <c r="Q893" s="78"/>
      <c r="R893" s="92"/>
      <c r="S893" s="92"/>
      <c r="T893" s="92"/>
      <c r="U893" s="92"/>
      <c r="V893" s="52"/>
      <c r="W893" s="52"/>
      <c r="X893" s="52"/>
      <c r="Y893" s="52"/>
      <c r="Z893" s="51"/>
      <c r="AA893" s="73"/>
      <c r="AB893" s="73"/>
      <c r="AC893" s="74"/>
      <c r="AD893" s="81" t="s">
        <v>8578</v>
      </c>
      <c r="AE893" s="86" t="s">
        <v>9566</v>
      </c>
      <c r="AF893" s="81">
        <v>2210</v>
      </c>
      <c r="AG893" s="81">
        <v>978</v>
      </c>
      <c r="AH893" s="81">
        <v>38485</v>
      </c>
      <c r="AI893" s="81">
        <v>83307</v>
      </c>
      <c r="AJ893" s="81"/>
      <c r="AK893" s="81" t="s">
        <v>10520</v>
      </c>
      <c r="AL893" s="81" t="s">
        <v>11183</v>
      </c>
      <c r="AM893" s="81"/>
      <c r="AN893" s="81"/>
      <c r="AO893" s="83">
        <v>41566.984236111108</v>
      </c>
      <c r="AP893" s="84" t="str">
        <f>HYPERLINK("https://pbs.twimg.com/profile_banners/1973191910/1622035417")</f>
        <v>https://pbs.twimg.com/profile_banners/1973191910/1622035417</v>
      </c>
      <c r="AQ893" s="81" t="b">
        <v>0</v>
      </c>
      <c r="AR893" s="81" t="b">
        <v>0</v>
      </c>
      <c r="AS893" s="81" t="b">
        <v>0</v>
      </c>
      <c r="AT893" s="81"/>
      <c r="AU893" s="81">
        <v>0</v>
      </c>
      <c r="AV893" s="84" t="str">
        <f>HYPERLINK("https://abs.twimg.com/images/themes/theme4/bg.gif")</f>
        <v>https://abs.twimg.com/images/themes/theme4/bg.gif</v>
      </c>
      <c r="AW893" s="81" t="b">
        <v>0</v>
      </c>
      <c r="AX893" s="81" t="s">
        <v>3728</v>
      </c>
      <c r="AY893" s="84" t="str">
        <f>HYPERLINK("https://twitter.com/yzaaia")</f>
        <v>https://twitter.com/yzaaia</v>
      </c>
      <c r="AZ893" s="81" t="s">
        <v>66</v>
      </c>
      <c r="BA893" s="2"/>
      <c r="BB893" s="3"/>
      <c r="BC893" s="3"/>
      <c r="BD893" s="3"/>
      <c r="BE893" s="3"/>
    </row>
    <row r="894" spans="1:57" x14ac:dyDescent="0.35">
      <c r="A894" s="66" t="s">
        <v>4563</v>
      </c>
      <c r="B894" s="67"/>
      <c r="C894" s="67"/>
      <c r="D894" s="68"/>
      <c r="E894" s="94"/>
      <c r="F894" s="93" t="str">
        <f>HYPERLINK("https://pbs.twimg.com/profile_images/1345453461840617472/3rGwV-ac_normal.png")</f>
        <v>https://pbs.twimg.com/profile_images/1345453461840617472/3rGwV-ac_normal.png</v>
      </c>
      <c r="G894" s="95"/>
      <c r="H894" s="71"/>
      <c r="I894" s="72"/>
      <c r="J894" s="96"/>
      <c r="K894" s="71" t="s">
        <v>11953</v>
      </c>
      <c r="L894" s="97"/>
      <c r="M894" s="76"/>
      <c r="N894" s="76"/>
      <c r="O894" s="77"/>
      <c r="P894" s="78"/>
      <c r="Q894" s="78"/>
      <c r="R894" s="92"/>
      <c r="S894" s="92"/>
      <c r="T894" s="92"/>
      <c r="U894" s="92"/>
      <c r="V894" s="52"/>
      <c r="W894" s="52"/>
      <c r="X894" s="52"/>
      <c r="Y894" s="52"/>
      <c r="Z894" s="51"/>
      <c r="AA894" s="73"/>
      <c r="AB894" s="73"/>
      <c r="AC894" s="74"/>
      <c r="AD894" s="81" t="s">
        <v>8579</v>
      </c>
      <c r="AE894" s="86" t="s">
        <v>9567</v>
      </c>
      <c r="AF894" s="81">
        <v>2750</v>
      </c>
      <c r="AG894" s="81">
        <v>3263</v>
      </c>
      <c r="AH894" s="81">
        <v>36905</v>
      </c>
      <c r="AI894" s="81">
        <v>26038</v>
      </c>
      <c r="AJ894" s="81"/>
      <c r="AK894" s="81" t="s">
        <v>10521</v>
      </c>
      <c r="AL894" s="81" t="s">
        <v>10975</v>
      </c>
      <c r="AM894" s="84" t="str">
        <f>HYPERLINK("https://t.co/NgDCiLFRP1")</f>
        <v>https://t.co/NgDCiLFRP1</v>
      </c>
      <c r="AN894" s="81"/>
      <c r="AO894" s="83">
        <v>44068.826261574075</v>
      </c>
      <c r="AP894" s="84" t="str">
        <f>HYPERLINK("https://pbs.twimg.com/profile_banners/1298346611291181056/1609218083")</f>
        <v>https://pbs.twimg.com/profile_banners/1298346611291181056/1609218083</v>
      </c>
      <c r="AQ894" s="81" t="b">
        <v>1</v>
      </c>
      <c r="AR894" s="81" t="b">
        <v>0</v>
      </c>
      <c r="AS894" s="81" t="b">
        <v>0</v>
      </c>
      <c r="AT894" s="81"/>
      <c r="AU894" s="81">
        <v>13</v>
      </c>
      <c r="AV894" s="81"/>
      <c r="AW894" s="81" t="b">
        <v>0</v>
      </c>
      <c r="AX894" s="81" t="s">
        <v>3728</v>
      </c>
      <c r="AY894" s="84" t="str">
        <f>HYPERLINK("https://twitter.com/sandroka131")</f>
        <v>https://twitter.com/sandroka131</v>
      </c>
      <c r="AZ894" s="81" t="s">
        <v>66</v>
      </c>
      <c r="BA894" s="2"/>
      <c r="BB894" s="3"/>
      <c r="BC894" s="3"/>
      <c r="BD894" s="3"/>
      <c r="BE894" s="3"/>
    </row>
    <row r="895" spans="1:57" x14ac:dyDescent="0.35">
      <c r="A895" s="66" t="s">
        <v>4564</v>
      </c>
      <c r="B895" s="67"/>
      <c r="C895" s="67"/>
      <c r="D895" s="68"/>
      <c r="E895" s="94"/>
      <c r="F895" s="93" t="str">
        <f>HYPERLINK("https://pbs.twimg.com/profile_images/1103446738294181889/y5om_vP__normal.png")</f>
        <v>https://pbs.twimg.com/profile_images/1103446738294181889/y5om_vP__normal.png</v>
      </c>
      <c r="G895" s="95"/>
      <c r="H895" s="71"/>
      <c r="I895" s="72"/>
      <c r="J895" s="96"/>
      <c r="K895" s="71" t="s">
        <v>11954</v>
      </c>
      <c r="L895" s="97"/>
      <c r="M895" s="76"/>
      <c r="N895" s="76"/>
      <c r="O895" s="77"/>
      <c r="P895" s="78"/>
      <c r="Q895" s="78"/>
      <c r="R895" s="92"/>
      <c r="S895" s="92"/>
      <c r="T895" s="92"/>
      <c r="U895" s="92"/>
      <c r="V895" s="52"/>
      <c r="W895" s="52"/>
      <c r="X895" s="52"/>
      <c r="Y895" s="52"/>
      <c r="Z895" s="51"/>
      <c r="AA895" s="73"/>
      <c r="AB895" s="73"/>
      <c r="AC895" s="74"/>
      <c r="AD895" s="81" t="s">
        <v>8580</v>
      </c>
      <c r="AE895" s="86" t="s">
        <v>9568</v>
      </c>
      <c r="AF895" s="81">
        <v>451</v>
      </c>
      <c r="AG895" s="81">
        <v>494</v>
      </c>
      <c r="AH895" s="81">
        <v>213557</v>
      </c>
      <c r="AI895" s="81">
        <v>200712</v>
      </c>
      <c r="AJ895" s="81"/>
      <c r="AK895" s="81"/>
      <c r="AL895" s="81"/>
      <c r="AM895" s="81"/>
      <c r="AN895" s="81"/>
      <c r="AO895" s="83">
        <v>40065.552916666667</v>
      </c>
      <c r="AP895" s="81"/>
      <c r="AQ895" s="81" t="b">
        <v>0</v>
      </c>
      <c r="AR895" s="81" t="b">
        <v>0</v>
      </c>
      <c r="AS895" s="81" t="b">
        <v>0</v>
      </c>
      <c r="AT895" s="81"/>
      <c r="AU895" s="81">
        <v>12</v>
      </c>
      <c r="AV895" s="84" t="str">
        <f>HYPERLINK("https://abs.twimg.com/images/themes/theme14/bg.gif")</f>
        <v>https://abs.twimg.com/images/themes/theme14/bg.gif</v>
      </c>
      <c r="AW895" s="81" t="b">
        <v>0</v>
      </c>
      <c r="AX895" s="81" t="s">
        <v>3728</v>
      </c>
      <c r="AY895" s="84" t="str">
        <f>HYPERLINK("https://twitter.com/amilcarodrigues")</f>
        <v>https://twitter.com/amilcarodrigues</v>
      </c>
      <c r="AZ895" s="81" t="s">
        <v>66</v>
      </c>
      <c r="BA895" s="2"/>
      <c r="BB895" s="3"/>
      <c r="BC895" s="3"/>
      <c r="BD895" s="3"/>
      <c r="BE895" s="3"/>
    </row>
    <row r="896" spans="1:57" x14ac:dyDescent="0.35">
      <c r="A896" s="66" t="s">
        <v>4565</v>
      </c>
      <c r="B896" s="67"/>
      <c r="C896" s="67"/>
      <c r="D896" s="68"/>
      <c r="E896" s="94"/>
      <c r="F896" s="93" t="str">
        <f>HYPERLINK("https://pbs.twimg.com/profile_images/1426351159862861826/04x2zEV3_normal.jpg")</f>
        <v>https://pbs.twimg.com/profile_images/1426351159862861826/04x2zEV3_normal.jpg</v>
      </c>
      <c r="G896" s="95"/>
      <c r="H896" s="71"/>
      <c r="I896" s="72"/>
      <c r="J896" s="96"/>
      <c r="K896" s="71" t="s">
        <v>11955</v>
      </c>
      <c r="L896" s="97"/>
      <c r="M896" s="76"/>
      <c r="N896" s="76"/>
      <c r="O896" s="77"/>
      <c r="P896" s="78"/>
      <c r="Q896" s="78"/>
      <c r="R896" s="92"/>
      <c r="S896" s="92"/>
      <c r="T896" s="92"/>
      <c r="U896" s="92"/>
      <c r="V896" s="52"/>
      <c r="W896" s="52"/>
      <c r="X896" s="52"/>
      <c r="Y896" s="52"/>
      <c r="Z896" s="51"/>
      <c r="AA896" s="73"/>
      <c r="AB896" s="73"/>
      <c r="AC896" s="74"/>
      <c r="AD896" s="81" t="s">
        <v>8581</v>
      </c>
      <c r="AE896" s="86" t="s">
        <v>9569</v>
      </c>
      <c r="AF896" s="81">
        <v>330</v>
      </c>
      <c r="AG896" s="81">
        <v>32</v>
      </c>
      <c r="AH896" s="81">
        <v>615</v>
      </c>
      <c r="AI896" s="81">
        <v>4709</v>
      </c>
      <c r="AJ896" s="81"/>
      <c r="AK896" s="81" t="s">
        <v>10522</v>
      </c>
      <c r="AL896" s="81" t="s">
        <v>11195</v>
      </c>
      <c r="AM896" s="81"/>
      <c r="AN896" s="81"/>
      <c r="AO896" s="83">
        <v>44421.951342592591</v>
      </c>
      <c r="AP896" s="84" t="str">
        <f>HYPERLINK("https://pbs.twimg.com/profile_banners/1426315020430987269/1628904078")</f>
        <v>https://pbs.twimg.com/profile_banners/1426315020430987269/1628904078</v>
      </c>
      <c r="AQ896" s="81" t="b">
        <v>1</v>
      </c>
      <c r="AR896" s="81" t="b">
        <v>0</v>
      </c>
      <c r="AS896" s="81" t="b">
        <v>0</v>
      </c>
      <c r="AT896" s="81"/>
      <c r="AU896" s="81">
        <v>0</v>
      </c>
      <c r="AV896" s="81"/>
      <c r="AW896" s="81" t="b">
        <v>0</v>
      </c>
      <c r="AX896" s="81" t="s">
        <v>3728</v>
      </c>
      <c r="AY896" s="84" t="str">
        <f>HYPERLINK("https://twitter.com/cantidio_jose")</f>
        <v>https://twitter.com/cantidio_jose</v>
      </c>
      <c r="AZ896" s="81" t="s">
        <v>66</v>
      </c>
      <c r="BA896" s="2"/>
      <c r="BB896" s="3"/>
      <c r="BC896" s="3"/>
      <c r="BD896" s="3"/>
      <c r="BE896" s="3"/>
    </row>
    <row r="897" spans="1:57" x14ac:dyDescent="0.35">
      <c r="A897" s="66" t="s">
        <v>4566</v>
      </c>
      <c r="B897" s="67"/>
      <c r="C897" s="67"/>
      <c r="D897" s="68"/>
      <c r="E897" s="94"/>
      <c r="F897" s="93" t="str">
        <f>HYPERLINK("https://pbs.twimg.com/profile_images/1383575635293921285/2InQf75d_normal.jpg")</f>
        <v>https://pbs.twimg.com/profile_images/1383575635293921285/2InQf75d_normal.jpg</v>
      </c>
      <c r="G897" s="95"/>
      <c r="H897" s="71"/>
      <c r="I897" s="72"/>
      <c r="J897" s="96"/>
      <c r="K897" s="71" t="s">
        <v>11956</v>
      </c>
      <c r="L897" s="97"/>
      <c r="M897" s="76"/>
      <c r="N897" s="76"/>
      <c r="O897" s="77"/>
      <c r="P897" s="78"/>
      <c r="Q897" s="78"/>
      <c r="R897" s="92"/>
      <c r="S897" s="92"/>
      <c r="T897" s="92"/>
      <c r="U897" s="92"/>
      <c r="V897" s="52"/>
      <c r="W897" s="52"/>
      <c r="X897" s="52"/>
      <c r="Y897" s="52"/>
      <c r="Z897" s="51"/>
      <c r="AA897" s="73"/>
      <c r="AB897" s="73"/>
      <c r="AC897" s="74"/>
      <c r="AD897" s="81" t="s">
        <v>8582</v>
      </c>
      <c r="AE897" s="86" t="s">
        <v>9570</v>
      </c>
      <c r="AF897" s="81">
        <v>1533</v>
      </c>
      <c r="AG897" s="81">
        <v>191</v>
      </c>
      <c r="AH897" s="81">
        <v>5250</v>
      </c>
      <c r="AI897" s="81">
        <v>23261</v>
      </c>
      <c r="AJ897" s="81"/>
      <c r="AK897" s="81" t="s">
        <v>10523</v>
      </c>
      <c r="AL897" s="81" t="s">
        <v>10980</v>
      </c>
      <c r="AM897" s="81"/>
      <c r="AN897" s="81"/>
      <c r="AO897" s="83">
        <v>40013.937696759262</v>
      </c>
      <c r="AP897" s="84" t="str">
        <f>HYPERLINK("https://pbs.twimg.com/profile_banners/58312254/1618705266")</f>
        <v>https://pbs.twimg.com/profile_banners/58312254/1618705266</v>
      </c>
      <c r="AQ897" s="81" t="b">
        <v>0</v>
      </c>
      <c r="AR897" s="81" t="b">
        <v>0</v>
      </c>
      <c r="AS897" s="81" t="b">
        <v>0</v>
      </c>
      <c r="AT897" s="81"/>
      <c r="AU897" s="81">
        <v>6</v>
      </c>
      <c r="AV897" s="84" t="str">
        <f>HYPERLINK("https://abs.twimg.com/images/themes/theme1/bg.png")</f>
        <v>https://abs.twimg.com/images/themes/theme1/bg.png</v>
      </c>
      <c r="AW897" s="81" t="b">
        <v>0</v>
      </c>
      <c r="AX897" s="81" t="s">
        <v>3728</v>
      </c>
      <c r="AY897" s="84" t="str">
        <f>HYPERLINK("https://twitter.com/tunado70")</f>
        <v>https://twitter.com/tunado70</v>
      </c>
      <c r="AZ897" s="81" t="s">
        <v>66</v>
      </c>
      <c r="BA897" s="2"/>
      <c r="BB897" s="3"/>
      <c r="BC897" s="3"/>
      <c r="BD897" s="3"/>
      <c r="BE897" s="3"/>
    </row>
    <row r="898" spans="1:57" x14ac:dyDescent="0.35">
      <c r="A898" s="66" t="s">
        <v>4568</v>
      </c>
      <c r="B898" s="67"/>
      <c r="C898" s="67"/>
      <c r="D898" s="68"/>
      <c r="E898" s="94"/>
      <c r="F898" s="93" t="str">
        <f>HYPERLINK("https://pbs.twimg.com/profile_images/1414200150524825603/9zKMNC8q_normal.jpg")</f>
        <v>https://pbs.twimg.com/profile_images/1414200150524825603/9zKMNC8q_normal.jpg</v>
      </c>
      <c r="G898" s="95"/>
      <c r="H898" s="71"/>
      <c r="I898" s="72"/>
      <c r="J898" s="96"/>
      <c r="K898" s="71" t="s">
        <v>11957</v>
      </c>
      <c r="L898" s="97"/>
      <c r="M898" s="76"/>
      <c r="N898" s="76"/>
      <c r="O898" s="77"/>
      <c r="P898" s="78"/>
      <c r="Q898" s="78"/>
      <c r="R898" s="92"/>
      <c r="S898" s="92"/>
      <c r="T898" s="92"/>
      <c r="U898" s="92"/>
      <c r="V898" s="52"/>
      <c r="W898" s="52"/>
      <c r="X898" s="52"/>
      <c r="Y898" s="52"/>
      <c r="Z898" s="51"/>
      <c r="AA898" s="73"/>
      <c r="AB898" s="73"/>
      <c r="AC898" s="74"/>
      <c r="AD898" s="81" t="s">
        <v>8583</v>
      </c>
      <c r="AE898" s="86" t="s">
        <v>9571</v>
      </c>
      <c r="AF898" s="81">
        <v>5460</v>
      </c>
      <c r="AG898" s="81">
        <v>5040</v>
      </c>
      <c r="AH898" s="81">
        <v>561229</v>
      </c>
      <c r="AI898" s="81">
        <v>437672</v>
      </c>
      <c r="AJ898" s="81"/>
      <c r="AK898" s="81" t="s">
        <v>10524</v>
      </c>
      <c r="AL898" s="81" t="s">
        <v>11196</v>
      </c>
      <c r="AM898" s="81"/>
      <c r="AN898" s="81"/>
      <c r="AO898" s="83">
        <v>40837.009930555556</v>
      </c>
      <c r="AP898" s="84" t="str">
        <f>HYPERLINK("https://pbs.twimg.com/profile_banners/395011753/1577745131")</f>
        <v>https://pbs.twimg.com/profile_banners/395011753/1577745131</v>
      </c>
      <c r="AQ898" s="81" t="b">
        <v>0</v>
      </c>
      <c r="AR898" s="81" t="b">
        <v>0</v>
      </c>
      <c r="AS898" s="81" t="b">
        <v>1</v>
      </c>
      <c r="AT898" s="81"/>
      <c r="AU898" s="81">
        <v>30</v>
      </c>
      <c r="AV898" s="84" t="str">
        <f>HYPERLINK("https://abs.twimg.com/images/themes/theme1/bg.png")</f>
        <v>https://abs.twimg.com/images/themes/theme1/bg.png</v>
      </c>
      <c r="AW898" s="81" t="b">
        <v>0</v>
      </c>
      <c r="AX898" s="81" t="s">
        <v>3728</v>
      </c>
      <c r="AY898" s="84" t="str">
        <f>HYPERLINK("https://twitter.com/trajanojorge")</f>
        <v>https://twitter.com/trajanojorge</v>
      </c>
      <c r="AZ898" s="81" t="s">
        <v>66</v>
      </c>
      <c r="BA898" s="2"/>
      <c r="BB898" s="3"/>
      <c r="BC898" s="3"/>
      <c r="BD898" s="3"/>
      <c r="BE898" s="3"/>
    </row>
    <row r="899" spans="1:57" x14ac:dyDescent="0.35">
      <c r="A899" s="66" t="s">
        <v>4569</v>
      </c>
      <c r="B899" s="67"/>
      <c r="C899" s="67"/>
      <c r="D899" s="68"/>
      <c r="E899" s="94"/>
      <c r="F899" s="93" t="str">
        <f>HYPERLINK("https://pbs.twimg.com/profile_images/2567242840/0j89fum298j3lyy2okwy_normal.jpeg")</f>
        <v>https://pbs.twimg.com/profile_images/2567242840/0j89fum298j3lyy2okwy_normal.jpeg</v>
      </c>
      <c r="G899" s="95"/>
      <c r="H899" s="71"/>
      <c r="I899" s="72"/>
      <c r="J899" s="96"/>
      <c r="K899" s="71" t="s">
        <v>11958</v>
      </c>
      <c r="L899" s="97"/>
      <c r="M899" s="76"/>
      <c r="N899" s="76"/>
      <c r="O899" s="77"/>
      <c r="P899" s="78"/>
      <c r="Q899" s="78"/>
      <c r="R899" s="92"/>
      <c r="S899" s="92"/>
      <c r="T899" s="92"/>
      <c r="U899" s="92"/>
      <c r="V899" s="52"/>
      <c r="W899" s="52"/>
      <c r="X899" s="52"/>
      <c r="Y899" s="52"/>
      <c r="Z899" s="51"/>
      <c r="AA899" s="73"/>
      <c r="AB899" s="73"/>
      <c r="AC899" s="74"/>
      <c r="AD899" s="81" t="s">
        <v>8584</v>
      </c>
      <c r="AE899" s="86" t="s">
        <v>9572</v>
      </c>
      <c r="AF899" s="81">
        <v>99</v>
      </c>
      <c r="AG899" s="81">
        <v>220</v>
      </c>
      <c r="AH899" s="81">
        <v>121968</v>
      </c>
      <c r="AI899" s="81">
        <v>28688</v>
      </c>
      <c r="AJ899" s="81"/>
      <c r="AK899" s="81"/>
      <c r="AL899" s="81"/>
      <c r="AM899" s="81"/>
      <c r="AN899" s="81"/>
      <c r="AO899" s="83">
        <v>40089.53564814815</v>
      </c>
      <c r="AP899" s="81"/>
      <c r="AQ899" s="81" t="b">
        <v>1</v>
      </c>
      <c r="AR899" s="81" t="b">
        <v>0</v>
      </c>
      <c r="AS899" s="81" t="b">
        <v>0</v>
      </c>
      <c r="AT899" s="81"/>
      <c r="AU899" s="81">
        <v>7</v>
      </c>
      <c r="AV899" s="84" t="str">
        <f>HYPERLINK("https://abs.twimg.com/images/themes/theme1/bg.png")</f>
        <v>https://abs.twimg.com/images/themes/theme1/bg.png</v>
      </c>
      <c r="AW899" s="81" t="b">
        <v>0</v>
      </c>
      <c r="AX899" s="81" t="s">
        <v>3728</v>
      </c>
      <c r="AY899" s="84" t="str">
        <f>HYPERLINK("https://twitter.com/frieira")</f>
        <v>https://twitter.com/frieira</v>
      </c>
      <c r="AZ899" s="81" t="s">
        <v>66</v>
      </c>
      <c r="BA899" s="2"/>
      <c r="BB899" s="3"/>
      <c r="BC899" s="3"/>
      <c r="BD899" s="3"/>
      <c r="BE899" s="3"/>
    </row>
    <row r="900" spans="1:57" x14ac:dyDescent="0.35">
      <c r="A900" s="66" t="s">
        <v>4570</v>
      </c>
      <c r="B900" s="67"/>
      <c r="C900" s="67"/>
      <c r="D900" s="68"/>
      <c r="E900" s="94"/>
      <c r="F900" s="93" t="str">
        <f>HYPERLINK("https://pbs.twimg.com/profile_images/1442676987638820864/k0wo7S3D_normal.jpg")</f>
        <v>https://pbs.twimg.com/profile_images/1442676987638820864/k0wo7S3D_normal.jpg</v>
      </c>
      <c r="G900" s="95"/>
      <c r="H900" s="71"/>
      <c r="I900" s="72"/>
      <c r="J900" s="96"/>
      <c r="K900" s="71" t="s">
        <v>11959</v>
      </c>
      <c r="L900" s="97"/>
      <c r="M900" s="76"/>
      <c r="N900" s="76"/>
      <c r="O900" s="77"/>
      <c r="P900" s="78"/>
      <c r="Q900" s="78"/>
      <c r="R900" s="92"/>
      <c r="S900" s="92"/>
      <c r="T900" s="92"/>
      <c r="U900" s="92"/>
      <c r="V900" s="52"/>
      <c r="W900" s="52"/>
      <c r="X900" s="52"/>
      <c r="Y900" s="52"/>
      <c r="Z900" s="51"/>
      <c r="AA900" s="73"/>
      <c r="AB900" s="73"/>
      <c r="AC900" s="74"/>
      <c r="AD900" s="81" t="s">
        <v>8585</v>
      </c>
      <c r="AE900" s="86" t="s">
        <v>9573</v>
      </c>
      <c r="AF900" s="81">
        <v>2089</v>
      </c>
      <c r="AG900" s="81">
        <v>487</v>
      </c>
      <c r="AH900" s="81">
        <v>81468</v>
      </c>
      <c r="AI900" s="81">
        <v>111837</v>
      </c>
      <c r="AJ900" s="81"/>
      <c r="AK900" s="81" t="s">
        <v>10525</v>
      </c>
      <c r="AL900" s="81" t="s">
        <v>11116</v>
      </c>
      <c r="AM900" s="81"/>
      <c r="AN900" s="81"/>
      <c r="AO900" s="83">
        <v>41358.086087962962</v>
      </c>
      <c r="AP900" s="84" t="str">
        <f>HYPERLINK("https://pbs.twimg.com/profile_banners/1297305174/1622098159")</f>
        <v>https://pbs.twimg.com/profile_banners/1297305174/1622098159</v>
      </c>
      <c r="AQ900" s="81" t="b">
        <v>0</v>
      </c>
      <c r="AR900" s="81" t="b">
        <v>0</v>
      </c>
      <c r="AS900" s="81" t="b">
        <v>1</v>
      </c>
      <c r="AT900" s="81"/>
      <c r="AU900" s="81">
        <v>4</v>
      </c>
      <c r="AV900" s="84" t="str">
        <f>HYPERLINK("https://abs.twimg.com/images/themes/theme1/bg.png")</f>
        <v>https://abs.twimg.com/images/themes/theme1/bg.png</v>
      </c>
      <c r="AW900" s="81" t="b">
        <v>0</v>
      </c>
      <c r="AX900" s="81" t="s">
        <v>3728</v>
      </c>
      <c r="AY900" s="84" t="str">
        <f>HYPERLINK("https://twitter.com/elmacambuzio")</f>
        <v>https://twitter.com/elmacambuzio</v>
      </c>
      <c r="AZ900" s="81" t="s">
        <v>66</v>
      </c>
      <c r="BA900" s="2"/>
      <c r="BB900" s="3"/>
      <c r="BC900" s="3"/>
      <c r="BD900" s="3"/>
      <c r="BE900" s="3"/>
    </row>
    <row r="901" spans="1:57" x14ac:dyDescent="0.35">
      <c r="A901" s="66" t="s">
        <v>4571</v>
      </c>
      <c r="B901" s="67"/>
      <c r="C901" s="67"/>
      <c r="D901" s="68"/>
      <c r="E901" s="94"/>
      <c r="F901" s="93" t="str">
        <f>HYPERLINK("https://pbs.twimg.com/profile_images/1418697142835765249/AXWDZZgR_normal.jpg")</f>
        <v>https://pbs.twimg.com/profile_images/1418697142835765249/AXWDZZgR_normal.jpg</v>
      </c>
      <c r="G901" s="95"/>
      <c r="H901" s="71"/>
      <c r="I901" s="72"/>
      <c r="J901" s="96"/>
      <c r="K901" s="71" t="s">
        <v>11960</v>
      </c>
      <c r="L901" s="97"/>
      <c r="M901" s="76"/>
      <c r="N901" s="76"/>
      <c r="O901" s="77"/>
      <c r="P901" s="78"/>
      <c r="Q901" s="78"/>
      <c r="R901" s="92"/>
      <c r="S901" s="92"/>
      <c r="T901" s="92"/>
      <c r="U901" s="92"/>
      <c r="V901" s="52"/>
      <c r="W901" s="52"/>
      <c r="X901" s="52"/>
      <c r="Y901" s="52"/>
      <c r="Z901" s="51"/>
      <c r="AA901" s="73"/>
      <c r="AB901" s="73"/>
      <c r="AC901" s="74"/>
      <c r="AD901" s="81" t="s">
        <v>8586</v>
      </c>
      <c r="AE901" s="86" t="s">
        <v>9574</v>
      </c>
      <c r="AF901" s="81">
        <v>1238</v>
      </c>
      <c r="AG901" s="81">
        <v>1029</v>
      </c>
      <c r="AH901" s="81">
        <v>12037</v>
      </c>
      <c r="AI901" s="81">
        <v>16514</v>
      </c>
      <c r="AJ901" s="81"/>
      <c r="AK901" s="81" t="s">
        <v>10526</v>
      </c>
      <c r="AL901" s="81"/>
      <c r="AM901" s="81"/>
      <c r="AN901" s="81"/>
      <c r="AO901" s="83">
        <v>42812.969293981485</v>
      </c>
      <c r="AP901" s="84" t="str">
        <f>HYPERLINK("https://pbs.twimg.com/profile_banners/843239537748992000/1622379463")</f>
        <v>https://pbs.twimg.com/profile_banners/843239537748992000/1622379463</v>
      </c>
      <c r="AQ901" s="81" t="b">
        <v>1</v>
      </c>
      <c r="AR901" s="81" t="b">
        <v>0</v>
      </c>
      <c r="AS901" s="81" t="b">
        <v>1</v>
      </c>
      <c r="AT901" s="81"/>
      <c r="AU901" s="81">
        <v>3</v>
      </c>
      <c r="AV901" s="81"/>
      <c r="AW901" s="81" t="b">
        <v>0</v>
      </c>
      <c r="AX901" s="81" t="s">
        <v>3728</v>
      </c>
      <c r="AY901" s="84" t="str">
        <f>HYPERLINK("https://twitter.com/daviralb1")</f>
        <v>https://twitter.com/daviralb1</v>
      </c>
      <c r="AZ901" s="81" t="s">
        <v>66</v>
      </c>
      <c r="BA901" s="2"/>
      <c r="BB901" s="3"/>
      <c r="BC901" s="3"/>
      <c r="BD901" s="3"/>
      <c r="BE901" s="3"/>
    </row>
    <row r="902" spans="1:57" x14ac:dyDescent="0.35">
      <c r="A902" s="66" t="s">
        <v>4572</v>
      </c>
      <c r="B902" s="67"/>
      <c r="C902" s="67"/>
      <c r="D902" s="68"/>
      <c r="E902" s="94"/>
      <c r="F902" s="93" t="str">
        <f>HYPERLINK("https://pbs.twimg.com/profile_images/916095974119964672/QmFBluXB_normal.jpg")</f>
        <v>https://pbs.twimg.com/profile_images/916095974119964672/QmFBluXB_normal.jpg</v>
      </c>
      <c r="G902" s="95"/>
      <c r="H902" s="71"/>
      <c r="I902" s="72"/>
      <c r="J902" s="96"/>
      <c r="K902" s="71" t="s">
        <v>11961</v>
      </c>
      <c r="L902" s="97"/>
      <c r="M902" s="76"/>
      <c r="N902" s="76"/>
      <c r="O902" s="77"/>
      <c r="P902" s="78"/>
      <c r="Q902" s="78"/>
      <c r="R902" s="92"/>
      <c r="S902" s="92"/>
      <c r="T902" s="92"/>
      <c r="U902" s="92"/>
      <c r="V902" s="52"/>
      <c r="W902" s="52"/>
      <c r="X902" s="52"/>
      <c r="Y902" s="52"/>
      <c r="Z902" s="51"/>
      <c r="AA902" s="73"/>
      <c r="AB902" s="73"/>
      <c r="AC902" s="74"/>
      <c r="AD902" s="81" t="s">
        <v>8587</v>
      </c>
      <c r="AE902" s="86" t="s">
        <v>9575</v>
      </c>
      <c r="AF902" s="81">
        <v>2158</v>
      </c>
      <c r="AG902" s="81">
        <v>995</v>
      </c>
      <c r="AH902" s="81">
        <v>50270</v>
      </c>
      <c r="AI902" s="81">
        <v>4700</v>
      </c>
      <c r="AJ902" s="81"/>
      <c r="AK902" s="81"/>
      <c r="AL902" s="81" t="s">
        <v>11197</v>
      </c>
      <c r="AM902" s="81"/>
      <c r="AN902" s="81"/>
      <c r="AO902" s="83">
        <v>40093.025381944448</v>
      </c>
      <c r="AP902" s="81"/>
      <c r="AQ902" s="81" t="b">
        <v>0</v>
      </c>
      <c r="AR902" s="81" t="b">
        <v>0</v>
      </c>
      <c r="AS902" s="81" t="b">
        <v>1</v>
      </c>
      <c r="AT902" s="81"/>
      <c r="AU902" s="81">
        <v>15</v>
      </c>
      <c r="AV902" s="84" t="str">
        <f>HYPERLINK("https://abs.twimg.com/images/themes/theme10/bg.gif")</f>
        <v>https://abs.twimg.com/images/themes/theme10/bg.gif</v>
      </c>
      <c r="AW902" s="81" t="b">
        <v>0</v>
      </c>
      <c r="AX902" s="81" t="s">
        <v>3728</v>
      </c>
      <c r="AY902" s="84" t="str">
        <f>HYPERLINK("https://twitter.com/gato0800")</f>
        <v>https://twitter.com/gato0800</v>
      </c>
      <c r="AZ902" s="81" t="s">
        <v>66</v>
      </c>
      <c r="BA902" s="2"/>
      <c r="BB902" s="3"/>
      <c r="BC902" s="3"/>
      <c r="BD902" s="3"/>
      <c r="BE902" s="3"/>
    </row>
    <row r="903" spans="1:57" x14ac:dyDescent="0.35">
      <c r="A903" s="66" t="s">
        <v>4573</v>
      </c>
      <c r="B903" s="67"/>
      <c r="C903" s="67"/>
      <c r="D903" s="68"/>
      <c r="E903" s="94"/>
      <c r="F903" s="93" t="str">
        <f>HYPERLINK("https://pbs.twimg.com/profile_images/1113203447648718854/CimN1fWo_normal.png")</f>
        <v>https://pbs.twimg.com/profile_images/1113203447648718854/CimN1fWo_normal.png</v>
      </c>
      <c r="G903" s="95"/>
      <c r="H903" s="71"/>
      <c r="I903" s="72"/>
      <c r="J903" s="96"/>
      <c r="K903" s="71" t="s">
        <v>11962</v>
      </c>
      <c r="L903" s="97"/>
      <c r="M903" s="76"/>
      <c r="N903" s="76"/>
      <c r="O903" s="77"/>
      <c r="P903" s="78"/>
      <c r="Q903" s="78"/>
      <c r="R903" s="92"/>
      <c r="S903" s="92"/>
      <c r="T903" s="92"/>
      <c r="U903" s="92"/>
      <c r="V903" s="52"/>
      <c r="W903" s="52"/>
      <c r="X903" s="52"/>
      <c r="Y903" s="52"/>
      <c r="Z903" s="51"/>
      <c r="AA903" s="73"/>
      <c r="AB903" s="73"/>
      <c r="AC903" s="74"/>
      <c r="AD903" s="81" t="s">
        <v>8588</v>
      </c>
      <c r="AE903" s="86" t="s">
        <v>9576</v>
      </c>
      <c r="AF903" s="81">
        <v>1775</v>
      </c>
      <c r="AG903" s="81">
        <v>3184</v>
      </c>
      <c r="AH903" s="81">
        <v>655786</v>
      </c>
      <c r="AI903" s="81">
        <v>108048</v>
      </c>
      <c r="AJ903" s="81"/>
      <c r="AK903" s="81" t="s">
        <v>10527</v>
      </c>
      <c r="AL903" s="81"/>
      <c r="AM903" s="81"/>
      <c r="AN903" s="81"/>
      <c r="AO903" s="83">
        <v>39957.834629629629</v>
      </c>
      <c r="AP903" s="84" t="str">
        <f>HYPERLINK("https://pbs.twimg.com/profile_banners/42271371/1589857234")</f>
        <v>https://pbs.twimg.com/profile_banners/42271371/1589857234</v>
      </c>
      <c r="AQ903" s="81" t="b">
        <v>0</v>
      </c>
      <c r="AR903" s="81" t="b">
        <v>0</v>
      </c>
      <c r="AS903" s="81" t="b">
        <v>1</v>
      </c>
      <c r="AT903" s="81"/>
      <c r="AU903" s="81">
        <v>65</v>
      </c>
      <c r="AV903" s="84" t="str">
        <f>HYPERLINK("https://abs.twimg.com/images/themes/theme1/bg.png")</f>
        <v>https://abs.twimg.com/images/themes/theme1/bg.png</v>
      </c>
      <c r="AW903" s="81" t="b">
        <v>0</v>
      </c>
      <c r="AX903" s="81" t="s">
        <v>3728</v>
      </c>
      <c r="AY903" s="84" t="str">
        <f>HYPERLINK("https://twitter.com/sonia_divinaa")</f>
        <v>https://twitter.com/sonia_divinaa</v>
      </c>
      <c r="AZ903" s="81" t="s">
        <v>66</v>
      </c>
      <c r="BA903" s="2"/>
      <c r="BB903" s="3"/>
      <c r="BC903" s="3"/>
      <c r="BD903" s="3"/>
      <c r="BE903" s="3"/>
    </row>
    <row r="904" spans="1:57" x14ac:dyDescent="0.35">
      <c r="A904" s="66" t="s">
        <v>4574</v>
      </c>
      <c r="B904" s="67"/>
      <c r="C904" s="67"/>
      <c r="D904" s="68"/>
      <c r="E904" s="94"/>
      <c r="F904" s="93" t="str">
        <f>HYPERLINK("https://pbs.twimg.com/profile_images/1182773280408772608/bWMVBpiO_normal.png")</f>
        <v>https://pbs.twimg.com/profile_images/1182773280408772608/bWMVBpiO_normal.png</v>
      </c>
      <c r="G904" s="95"/>
      <c r="H904" s="71"/>
      <c r="I904" s="72"/>
      <c r="J904" s="96"/>
      <c r="K904" s="71" t="s">
        <v>11963</v>
      </c>
      <c r="L904" s="97"/>
      <c r="M904" s="76"/>
      <c r="N904" s="76"/>
      <c r="O904" s="77"/>
      <c r="P904" s="78"/>
      <c r="Q904" s="78"/>
      <c r="R904" s="92"/>
      <c r="S904" s="92"/>
      <c r="T904" s="92"/>
      <c r="U904" s="92"/>
      <c r="V904" s="52"/>
      <c r="W904" s="52"/>
      <c r="X904" s="52"/>
      <c r="Y904" s="52"/>
      <c r="Z904" s="51"/>
      <c r="AA904" s="73"/>
      <c r="AB904" s="73"/>
      <c r="AC904" s="74"/>
      <c r="AD904" s="81" t="s">
        <v>8589</v>
      </c>
      <c r="AE904" s="86" t="s">
        <v>9577</v>
      </c>
      <c r="AF904" s="81">
        <v>478</v>
      </c>
      <c r="AG904" s="81">
        <v>143</v>
      </c>
      <c r="AH904" s="81">
        <v>33758</v>
      </c>
      <c r="AI904" s="81">
        <v>7207</v>
      </c>
      <c r="AJ904" s="81"/>
      <c r="AK904" s="81"/>
      <c r="AL904" s="81"/>
      <c r="AM904" s="81"/>
      <c r="AN904" s="81"/>
      <c r="AO904" s="83">
        <v>43748.045451388891</v>
      </c>
      <c r="AP904" s="81"/>
      <c r="AQ904" s="81" t="b">
        <v>1</v>
      </c>
      <c r="AR904" s="81" t="b">
        <v>0</v>
      </c>
      <c r="AS904" s="81" t="b">
        <v>0</v>
      </c>
      <c r="AT904" s="81"/>
      <c r="AU904" s="81">
        <v>5</v>
      </c>
      <c r="AV904" s="81"/>
      <c r="AW904" s="81" t="b">
        <v>0</v>
      </c>
      <c r="AX904" s="81" t="s">
        <v>3728</v>
      </c>
      <c r="AY904" s="84" t="str">
        <f>HYPERLINK("https://twitter.com/silasvieiradea1")</f>
        <v>https://twitter.com/silasvieiradea1</v>
      </c>
      <c r="AZ904" s="81" t="s">
        <v>66</v>
      </c>
      <c r="BA904" s="2"/>
      <c r="BB904" s="3"/>
      <c r="BC904" s="3"/>
      <c r="BD904" s="3"/>
      <c r="BE904" s="3"/>
    </row>
    <row r="905" spans="1:57" x14ac:dyDescent="0.35">
      <c r="A905" s="66" t="s">
        <v>4575</v>
      </c>
      <c r="B905" s="67"/>
      <c r="C905" s="67"/>
      <c r="D905" s="68"/>
      <c r="E905" s="94"/>
      <c r="F905" s="93" t="str">
        <f>HYPERLINK("https://pbs.twimg.com/profile_images/1379879141768626178/fPuFMbGr_normal.jpg")</f>
        <v>https://pbs.twimg.com/profile_images/1379879141768626178/fPuFMbGr_normal.jpg</v>
      </c>
      <c r="G905" s="95"/>
      <c r="H905" s="71"/>
      <c r="I905" s="72"/>
      <c r="J905" s="96"/>
      <c r="K905" s="71" t="s">
        <v>11964</v>
      </c>
      <c r="L905" s="97"/>
      <c r="M905" s="76"/>
      <c r="N905" s="76"/>
      <c r="O905" s="77"/>
      <c r="P905" s="78"/>
      <c r="Q905" s="78"/>
      <c r="R905" s="92"/>
      <c r="S905" s="92"/>
      <c r="T905" s="92"/>
      <c r="U905" s="92"/>
      <c r="V905" s="52"/>
      <c r="W905" s="52"/>
      <c r="X905" s="52"/>
      <c r="Y905" s="52"/>
      <c r="Z905" s="51"/>
      <c r="AA905" s="73"/>
      <c r="AB905" s="73"/>
      <c r="AC905" s="74"/>
      <c r="AD905" s="81" t="s">
        <v>8590</v>
      </c>
      <c r="AE905" s="86" t="s">
        <v>9578</v>
      </c>
      <c r="AF905" s="81">
        <v>1098</v>
      </c>
      <c r="AG905" s="81">
        <v>876</v>
      </c>
      <c r="AH905" s="81">
        <v>21072</v>
      </c>
      <c r="AI905" s="81">
        <v>28628</v>
      </c>
      <c r="AJ905" s="81"/>
      <c r="AK905" s="81" t="s">
        <v>10528</v>
      </c>
      <c r="AL905" s="81" t="s">
        <v>11198</v>
      </c>
      <c r="AM905" s="81"/>
      <c r="AN905" s="81"/>
      <c r="AO905" s="83">
        <v>41709.533750000002</v>
      </c>
      <c r="AP905" s="84" t="str">
        <f>HYPERLINK("https://pbs.twimg.com/profile_banners/2383668986/1411134915")</f>
        <v>https://pbs.twimg.com/profile_banners/2383668986/1411134915</v>
      </c>
      <c r="AQ905" s="81" t="b">
        <v>1</v>
      </c>
      <c r="AR905" s="81" t="b">
        <v>0</v>
      </c>
      <c r="AS905" s="81" t="b">
        <v>1</v>
      </c>
      <c r="AT905" s="81"/>
      <c r="AU905" s="81">
        <v>4</v>
      </c>
      <c r="AV905" s="84" t="str">
        <f>HYPERLINK("https://abs.twimg.com/images/themes/theme1/bg.png")</f>
        <v>https://abs.twimg.com/images/themes/theme1/bg.png</v>
      </c>
      <c r="AW905" s="81" t="b">
        <v>0</v>
      </c>
      <c r="AX905" s="81" t="s">
        <v>3728</v>
      </c>
      <c r="AY905" s="84" t="str">
        <f>HYPERLINK("https://twitter.com/mariomalerba_")</f>
        <v>https://twitter.com/mariomalerba_</v>
      </c>
      <c r="AZ905" s="81" t="s">
        <v>66</v>
      </c>
      <c r="BA905" s="2"/>
      <c r="BB905" s="3"/>
      <c r="BC905" s="3"/>
      <c r="BD905" s="3"/>
      <c r="BE905" s="3"/>
    </row>
    <row r="906" spans="1:57" x14ac:dyDescent="0.35">
      <c r="A906" s="66" t="s">
        <v>4576</v>
      </c>
      <c r="B906" s="67"/>
      <c r="C906" s="67"/>
      <c r="D906" s="68"/>
      <c r="E906" s="94"/>
      <c r="F906" s="93" t="str">
        <f>HYPERLINK("https://pbs.twimg.com/profile_images/1424151344441659392/JrOUqYf7_normal.png")</f>
        <v>https://pbs.twimg.com/profile_images/1424151344441659392/JrOUqYf7_normal.png</v>
      </c>
      <c r="G906" s="95"/>
      <c r="H906" s="71"/>
      <c r="I906" s="72"/>
      <c r="J906" s="96"/>
      <c r="K906" s="71" t="s">
        <v>11965</v>
      </c>
      <c r="L906" s="97"/>
      <c r="M906" s="76"/>
      <c r="N906" s="76"/>
      <c r="O906" s="77"/>
      <c r="P906" s="78"/>
      <c r="Q906" s="78"/>
      <c r="R906" s="92"/>
      <c r="S906" s="92"/>
      <c r="T906" s="92"/>
      <c r="U906" s="92"/>
      <c r="V906" s="52"/>
      <c r="W906" s="52"/>
      <c r="X906" s="52"/>
      <c r="Y906" s="52"/>
      <c r="Z906" s="51"/>
      <c r="AA906" s="73"/>
      <c r="AB906" s="73"/>
      <c r="AC906" s="74"/>
      <c r="AD906" s="81" t="s">
        <v>8591</v>
      </c>
      <c r="AE906" s="86" t="s">
        <v>9579</v>
      </c>
      <c r="AF906" s="81">
        <v>108</v>
      </c>
      <c r="AG906" s="81">
        <v>2</v>
      </c>
      <c r="AH906" s="81">
        <v>80</v>
      </c>
      <c r="AI906" s="81">
        <v>93</v>
      </c>
      <c r="AJ906" s="81"/>
      <c r="AK906" s="81"/>
      <c r="AL906" s="81"/>
      <c r="AM906" s="81"/>
      <c r="AN906" s="81"/>
      <c r="AO906" s="83">
        <v>44415.980486111112</v>
      </c>
      <c r="AP906" s="81"/>
      <c r="AQ906" s="81" t="b">
        <v>1</v>
      </c>
      <c r="AR906" s="81" t="b">
        <v>0</v>
      </c>
      <c r="AS906" s="81" t="b">
        <v>0</v>
      </c>
      <c r="AT906" s="81"/>
      <c r="AU906" s="81">
        <v>0</v>
      </c>
      <c r="AV906" s="81"/>
      <c r="AW906" s="81" t="b">
        <v>0</v>
      </c>
      <c r="AX906" s="81" t="s">
        <v>3728</v>
      </c>
      <c r="AY906" s="84" t="str">
        <f>HYPERLINK("https://twitter.com/ananindeua_77")</f>
        <v>https://twitter.com/ananindeua_77</v>
      </c>
      <c r="AZ906" s="81" t="s">
        <v>66</v>
      </c>
      <c r="BA906" s="2"/>
      <c r="BB906" s="3"/>
      <c r="BC906" s="3"/>
      <c r="BD906" s="3"/>
      <c r="BE906" s="3"/>
    </row>
    <row r="907" spans="1:57" x14ac:dyDescent="0.35">
      <c r="A907" s="66" t="s">
        <v>4577</v>
      </c>
      <c r="B907" s="67"/>
      <c r="C907" s="67"/>
      <c r="D907" s="68"/>
      <c r="E907" s="94"/>
      <c r="F907" s="93" t="str">
        <f>HYPERLINK("https://pbs.twimg.com/profile_images/1420906753508663298/by468sYd_normal.jpg")</f>
        <v>https://pbs.twimg.com/profile_images/1420906753508663298/by468sYd_normal.jpg</v>
      </c>
      <c r="G907" s="95"/>
      <c r="H907" s="71"/>
      <c r="I907" s="72"/>
      <c r="J907" s="96"/>
      <c r="K907" s="71" t="s">
        <v>11966</v>
      </c>
      <c r="L907" s="97"/>
      <c r="M907" s="76"/>
      <c r="N907" s="76"/>
      <c r="O907" s="77"/>
      <c r="P907" s="78"/>
      <c r="Q907" s="78"/>
      <c r="R907" s="92"/>
      <c r="S907" s="92"/>
      <c r="T907" s="92"/>
      <c r="U907" s="92"/>
      <c r="V907" s="52"/>
      <c r="W907" s="52"/>
      <c r="X907" s="52"/>
      <c r="Y907" s="52"/>
      <c r="Z907" s="51"/>
      <c r="AA907" s="73"/>
      <c r="AB907" s="73"/>
      <c r="AC907" s="74"/>
      <c r="AD907" s="81" t="s">
        <v>8592</v>
      </c>
      <c r="AE907" s="86" t="s">
        <v>9580</v>
      </c>
      <c r="AF907" s="81">
        <v>1632</v>
      </c>
      <c r="AG907" s="81">
        <v>1195</v>
      </c>
      <c r="AH907" s="81">
        <v>69300</v>
      </c>
      <c r="AI907" s="81">
        <v>30187</v>
      </c>
      <c r="AJ907" s="81"/>
      <c r="AK907" s="81" t="s">
        <v>10529</v>
      </c>
      <c r="AL907" s="81" t="s">
        <v>10970</v>
      </c>
      <c r="AM907" s="84" t="str">
        <f>HYPERLINK("https://t.co/CMPiCNxX7o")</f>
        <v>https://t.co/CMPiCNxX7o</v>
      </c>
      <c r="AN907" s="81"/>
      <c r="AO907" s="83">
        <v>39736.586134259262</v>
      </c>
      <c r="AP907" s="84" t="str">
        <f>HYPERLINK("https://pbs.twimg.com/profile_banners/16782757/1620314602")</f>
        <v>https://pbs.twimg.com/profile_banners/16782757/1620314602</v>
      </c>
      <c r="AQ907" s="81" t="b">
        <v>0</v>
      </c>
      <c r="AR907" s="81" t="b">
        <v>0</v>
      </c>
      <c r="AS907" s="81" t="b">
        <v>1</v>
      </c>
      <c r="AT907" s="81"/>
      <c r="AU907" s="81">
        <v>49</v>
      </c>
      <c r="AV907" s="84" t="str">
        <f>HYPERLINK("https://abs.twimg.com/images/themes/theme9/bg.gif")</f>
        <v>https://abs.twimg.com/images/themes/theme9/bg.gif</v>
      </c>
      <c r="AW907" s="81" t="b">
        <v>0</v>
      </c>
      <c r="AX907" s="81" t="s">
        <v>3728</v>
      </c>
      <c r="AY907" s="84" t="str">
        <f>HYPERLINK("https://twitter.com/gayemquadrinhos")</f>
        <v>https://twitter.com/gayemquadrinhos</v>
      </c>
      <c r="AZ907" s="81" t="s">
        <v>66</v>
      </c>
      <c r="BA907" s="2"/>
      <c r="BB907" s="3"/>
      <c r="BC907" s="3"/>
      <c r="BD907" s="3"/>
      <c r="BE907" s="3"/>
    </row>
    <row r="908" spans="1:57" x14ac:dyDescent="0.35">
      <c r="A908" s="66" t="s">
        <v>4579</v>
      </c>
      <c r="B908" s="67"/>
      <c r="C908" s="67"/>
      <c r="D908" s="68"/>
      <c r="E908" s="94"/>
      <c r="F908" s="93" t="str">
        <f>HYPERLINK("https://pbs.twimg.com/profile_images/1403793088267571203/0o6HJqJ-_normal.jpg")</f>
        <v>https://pbs.twimg.com/profile_images/1403793088267571203/0o6HJqJ-_normal.jpg</v>
      </c>
      <c r="G908" s="95"/>
      <c r="H908" s="71"/>
      <c r="I908" s="72"/>
      <c r="J908" s="96"/>
      <c r="K908" s="71" t="s">
        <v>11967</v>
      </c>
      <c r="L908" s="97"/>
      <c r="M908" s="76"/>
      <c r="N908" s="76"/>
      <c r="O908" s="77"/>
      <c r="P908" s="78"/>
      <c r="Q908" s="78"/>
      <c r="R908" s="92"/>
      <c r="S908" s="92"/>
      <c r="T908" s="92"/>
      <c r="U908" s="92"/>
      <c r="V908" s="52"/>
      <c r="W908" s="52"/>
      <c r="X908" s="52"/>
      <c r="Y908" s="52"/>
      <c r="Z908" s="51"/>
      <c r="AA908" s="73"/>
      <c r="AB908" s="73"/>
      <c r="AC908" s="74"/>
      <c r="AD908" s="81" t="s">
        <v>8593</v>
      </c>
      <c r="AE908" s="86" t="s">
        <v>9581</v>
      </c>
      <c r="AF908" s="81">
        <v>328</v>
      </c>
      <c r="AG908" s="81">
        <v>86</v>
      </c>
      <c r="AH908" s="81">
        <v>6866</v>
      </c>
      <c r="AI908" s="81">
        <v>560</v>
      </c>
      <c r="AJ908" s="81"/>
      <c r="AK908" s="81" t="s">
        <v>10530</v>
      </c>
      <c r="AL908" s="81" t="s">
        <v>11199</v>
      </c>
      <c r="AM908" s="81"/>
      <c r="AN908" s="81"/>
      <c r="AO908" s="83">
        <v>43732.038981481484</v>
      </c>
      <c r="AP908" s="84" t="str">
        <f>HYPERLINK("https://pbs.twimg.com/profile_banners/1176299152428257280/1578160295")</f>
        <v>https://pbs.twimg.com/profile_banners/1176299152428257280/1578160295</v>
      </c>
      <c r="AQ908" s="81" t="b">
        <v>1</v>
      </c>
      <c r="AR908" s="81" t="b">
        <v>0</v>
      </c>
      <c r="AS908" s="81" t="b">
        <v>0</v>
      </c>
      <c r="AT908" s="81"/>
      <c r="AU908" s="81">
        <v>1</v>
      </c>
      <c r="AV908" s="81"/>
      <c r="AW908" s="81" t="b">
        <v>0</v>
      </c>
      <c r="AX908" s="81" t="s">
        <v>3728</v>
      </c>
      <c r="AY908" s="84" t="str">
        <f>HYPERLINK("https://twitter.com/yoshuarodrguez3")</f>
        <v>https://twitter.com/yoshuarodrguez3</v>
      </c>
      <c r="AZ908" s="81" t="s">
        <v>66</v>
      </c>
      <c r="BA908" s="2"/>
      <c r="BB908" s="3"/>
      <c r="BC908" s="3"/>
      <c r="BD908" s="3"/>
      <c r="BE908" s="3"/>
    </row>
    <row r="909" spans="1:57" x14ac:dyDescent="0.35">
      <c r="A909" s="66" t="s">
        <v>4580</v>
      </c>
      <c r="B909" s="67"/>
      <c r="C909" s="67"/>
      <c r="D909" s="68"/>
      <c r="E909" s="94"/>
      <c r="F909" s="93" t="str">
        <f>HYPERLINK("https://pbs.twimg.com/profile_images/1247683231257944064/dsxjq7pj_normal.jpg")</f>
        <v>https://pbs.twimg.com/profile_images/1247683231257944064/dsxjq7pj_normal.jpg</v>
      </c>
      <c r="G909" s="95"/>
      <c r="H909" s="71"/>
      <c r="I909" s="72"/>
      <c r="J909" s="96"/>
      <c r="K909" s="71" t="s">
        <v>11968</v>
      </c>
      <c r="L909" s="97"/>
      <c r="M909" s="76"/>
      <c r="N909" s="76"/>
      <c r="O909" s="77"/>
      <c r="P909" s="78"/>
      <c r="Q909" s="78"/>
      <c r="R909" s="92"/>
      <c r="S909" s="92"/>
      <c r="T909" s="92"/>
      <c r="U909" s="92"/>
      <c r="V909" s="52"/>
      <c r="W909" s="52"/>
      <c r="X909" s="52"/>
      <c r="Y909" s="52"/>
      <c r="Z909" s="51"/>
      <c r="AA909" s="73"/>
      <c r="AB909" s="73"/>
      <c r="AC909" s="74"/>
      <c r="AD909" s="81" t="s">
        <v>8594</v>
      </c>
      <c r="AE909" s="86" t="s">
        <v>9582</v>
      </c>
      <c r="AF909" s="81">
        <v>305</v>
      </c>
      <c r="AG909" s="81">
        <v>127</v>
      </c>
      <c r="AH909" s="81">
        <v>3026</v>
      </c>
      <c r="AI909" s="81">
        <v>13062</v>
      </c>
      <c r="AJ909" s="81"/>
      <c r="AK909" s="81"/>
      <c r="AL909" s="81"/>
      <c r="AM909" s="81"/>
      <c r="AN909" s="81"/>
      <c r="AO909" s="83">
        <v>41481.51703703704</v>
      </c>
      <c r="AP909" s="81"/>
      <c r="AQ909" s="81" t="b">
        <v>1</v>
      </c>
      <c r="AR909" s="81" t="b">
        <v>0</v>
      </c>
      <c r="AS909" s="81" t="b">
        <v>0</v>
      </c>
      <c r="AT909" s="81"/>
      <c r="AU909" s="81">
        <v>0</v>
      </c>
      <c r="AV909" s="84" t="str">
        <f>HYPERLINK("https://abs.twimg.com/images/themes/theme1/bg.png")</f>
        <v>https://abs.twimg.com/images/themes/theme1/bg.png</v>
      </c>
      <c r="AW909" s="81" t="b">
        <v>0</v>
      </c>
      <c r="AX909" s="81" t="s">
        <v>3728</v>
      </c>
      <c r="AY909" s="84" t="str">
        <f>HYPERLINK("https://twitter.com/grandeorn")</f>
        <v>https://twitter.com/grandeorn</v>
      </c>
      <c r="AZ909" s="81" t="s">
        <v>66</v>
      </c>
      <c r="BA909" s="2"/>
      <c r="BB909" s="3"/>
      <c r="BC909" s="3"/>
      <c r="BD909" s="3"/>
      <c r="BE909" s="3"/>
    </row>
    <row r="910" spans="1:57" x14ac:dyDescent="0.35">
      <c r="A910" s="66" t="s">
        <v>4581</v>
      </c>
      <c r="B910" s="67"/>
      <c r="C910" s="67"/>
      <c r="D910" s="68"/>
      <c r="E910" s="94"/>
      <c r="F910" s="93" t="str">
        <f>HYPERLINK("https://pbs.twimg.com/profile_images/1297943543714111490/bYFmMEwK_normal.jpg")</f>
        <v>https://pbs.twimg.com/profile_images/1297943543714111490/bYFmMEwK_normal.jpg</v>
      </c>
      <c r="G910" s="95"/>
      <c r="H910" s="71"/>
      <c r="I910" s="72"/>
      <c r="J910" s="96"/>
      <c r="K910" s="71" t="s">
        <v>11969</v>
      </c>
      <c r="L910" s="97"/>
      <c r="M910" s="76"/>
      <c r="N910" s="76"/>
      <c r="O910" s="77"/>
      <c r="P910" s="78"/>
      <c r="Q910" s="78"/>
      <c r="R910" s="92"/>
      <c r="S910" s="92"/>
      <c r="T910" s="92"/>
      <c r="U910" s="92"/>
      <c r="V910" s="52"/>
      <c r="W910" s="52"/>
      <c r="X910" s="52"/>
      <c r="Y910" s="52"/>
      <c r="Z910" s="51"/>
      <c r="AA910" s="73"/>
      <c r="AB910" s="73"/>
      <c r="AC910" s="74"/>
      <c r="AD910" s="81" t="s">
        <v>8595</v>
      </c>
      <c r="AE910" s="86" t="s">
        <v>9583</v>
      </c>
      <c r="AF910" s="81">
        <v>1095</v>
      </c>
      <c r="AG910" s="81">
        <v>629</v>
      </c>
      <c r="AH910" s="81">
        <v>72860</v>
      </c>
      <c r="AI910" s="81">
        <v>61562</v>
      </c>
      <c r="AJ910" s="81"/>
      <c r="AK910" s="81"/>
      <c r="AL910" s="81"/>
      <c r="AM910" s="81"/>
      <c r="AN910" s="81"/>
      <c r="AO910" s="83">
        <v>42280.785312499997</v>
      </c>
      <c r="AP910" s="81"/>
      <c r="AQ910" s="81" t="b">
        <v>1</v>
      </c>
      <c r="AR910" s="81" t="b">
        <v>0</v>
      </c>
      <c r="AS910" s="81" t="b">
        <v>0</v>
      </c>
      <c r="AT910" s="81"/>
      <c r="AU910" s="81">
        <v>4</v>
      </c>
      <c r="AV910" s="84" t="str">
        <f>HYPERLINK("https://abs.twimg.com/images/themes/theme1/bg.png")</f>
        <v>https://abs.twimg.com/images/themes/theme1/bg.png</v>
      </c>
      <c r="AW910" s="81" t="b">
        <v>0</v>
      </c>
      <c r="AX910" s="81" t="s">
        <v>3728</v>
      </c>
      <c r="AY910" s="84" t="str">
        <f>HYPERLINK("https://twitter.com/vilmarvs60")</f>
        <v>https://twitter.com/vilmarvs60</v>
      </c>
      <c r="AZ910" s="81" t="s">
        <v>66</v>
      </c>
      <c r="BA910" s="2"/>
      <c r="BB910" s="3"/>
      <c r="BC910" s="3"/>
      <c r="BD910" s="3"/>
      <c r="BE910" s="3"/>
    </row>
    <row r="911" spans="1:57" x14ac:dyDescent="0.35">
      <c r="A911" s="66" t="s">
        <v>4582</v>
      </c>
      <c r="B911" s="67"/>
      <c r="C911" s="67"/>
      <c r="D911" s="68"/>
      <c r="E911" s="94"/>
      <c r="F911" s="93" t="str">
        <f>HYPERLINK("https://pbs.twimg.com/profile_images/1129054365367640066/CrdaQUmj_normal.jpg")</f>
        <v>https://pbs.twimg.com/profile_images/1129054365367640066/CrdaQUmj_normal.jpg</v>
      </c>
      <c r="G911" s="95"/>
      <c r="H911" s="71"/>
      <c r="I911" s="72"/>
      <c r="J911" s="96"/>
      <c r="K911" s="71" t="s">
        <v>11970</v>
      </c>
      <c r="L911" s="97"/>
      <c r="M911" s="76"/>
      <c r="N911" s="76"/>
      <c r="O911" s="77"/>
      <c r="P911" s="78"/>
      <c r="Q911" s="78"/>
      <c r="R911" s="92"/>
      <c r="S911" s="92"/>
      <c r="T911" s="92"/>
      <c r="U911" s="92"/>
      <c r="V911" s="52"/>
      <c r="W911" s="52"/>
      <c r="X911" s="52"/>
      <c r="Y911" s="52"/>
      <c r="Z911" s="51"/>
      <c r="AA911" s="73"/>
      <c r="AB911" s="73"/>
      <c r="AC911" s="74"/>
      <c r="AD911" s="81" t="s">
        <v>8596</v>
      </c>
      <c r="AE911" s="86" t="s">
        <v>9584</v>
      </c>
      <c r="AF911" s="81">
        <v>355</v>
      </c>
      <c r="AG911" s="81">
        <v>49</v>
      </c>
      <c r="AH911" s="81">
        <v>1602</v>
      </c>
      <c r="AI911" s="81">
        <v>20590</v>
      </c>
      <c r="AJ911" s="81"/>
      <c r="AK911" s="81" t="s">
        <v>10531</v>
      </c>
      <c r="AL911" s="81"/>
      <c r="AM911" s="81"/>
      <c r="AN911" s="81"/>
      <c r="AO911" s="83">
        <v>43589.643379629626</v>
      </c>
      <c r="AP911" s="84" t="str">
        <f>HYPERLINK("https://pbs.twimg.com/profile_banners/1124696802714898433/1589830744")</f>
        <v>https://pbs.twimg.com/profile_banners/1124696802714898433/1589830744</v>
      </c>
      <c r="AQ911" s="81" t="b">
        <v>1</v>
      </c>
      <c r="AR911" s="81" t="b">
        <v>0</v>
      </c>
      <c r="AS911" s="81" t="b">
        <v>0</v>
      </c>
      <c r="AT911" s="81"/>
      <c r="AU911" s="81">
        <v>0</v>
      </c>
      <c r="AV911" s="81"/>
      <c r="AW911" s="81" t="b">
        <v>0</v>
      </c>
      <c r="AX911" s="81" t="s">
        <v>3728</v>
      </c>
      <c r="AY911" s="84" t="str">
        <f>HYPERLINK("https://twitter.com/miguel_de_que")</f>
        <v>https://twitter.com/miguel_de_que</v>
      </c>
      <c r="AZ911" s="81" t="s">
        <v>66</v>
      </c>
      <c r="BA911" s="2"/>
      <c r="BB911" s="3"/>
      <c r="BC911" s="3"/>
      <c r="BD911" s="3"/>
      <c r="BE911" s="3"/>
    </row>
    <row r="912" spans="1:57" x14ac:dyDescent="0.35">
      <c r="A912" s="66" t="s">
        <v>4583</v>
      </c>
      <c r="B912" s="67"/>
      <c r="C912" s="67"/>
      <c r="D912" s="68"/>
      <c r="E912" s="94"/>
      <c r="F912" s="93" t="str">
        <f>HYPERLINK("https://pbs.twimg.com/profile_images/1371173871550930956/1SIrv5ZC_normal.jpg")</f>
        <v>https://pbs.twimg.com/profile_images/1371173871550930956/1SIrv5ZC_normal.jpg</v>
      </c>
      <c r="G912" s="95"/>
      <c r="H912" s="71"/>
      <c r="I912" s="72"/>
      <c r="J912" s="96"/>
      <c r="K912" s="71" t="s">
        <v>11971</v>
      </c>
      <c r="L912" s="97"/>
      <c r="M912" s="76"/>
      <c r="N912" s="76"/>
      <c r="O912" s="77"/>
      <c r="P912" s="78"/>
      <c r="Q912" s="78"/>
      <c r="R912" s="92"/>
      <c r="S912" s="92"/>
      <c r="T912" s="92"/>
      <c r="U912" s="92"/>
      <c r="V912" s="52"/>
      <c r="W912" s="52"/>
      <c r="X912" s="52"/>
      <c r="Y912" s="52"/>
      <c r="Z912" s="51"/>
      <c r="AA912" s="73"/>
      <c r="AB912" s="73"/>
      <c r="AC912" s="74"/>
      <c r="AD912" s="81" t="s">
        <v>8597</v>
      </c>
      <c r="AE912" s="86" t="s">
        <v>9585</v>
      </c>
      <c r="AF912" s="81">
        <v>469</v>
      </c>
      <c r="AG912" s="81">
        <v>244</v>
      </c>
      <c r="AH912" s="81">
        <v>8311</v>
      </c>
      <c r="AI912" s="81">
        <v>22216</v>
      </c>
      <c r="AJ912" s="81"/>
      <c r="AK912" s="81" t="s">
        <v>10532</v>
      </c>
      <c r="AL912" s="81" t="s">
        <v>11200</v>
      </c>
      <c r="AM912" s="84" t="str">
        <f>HYPERLINK("https://t.co/xwb9Vw6Eb4")</f>
        <v>https://t.co/xwb9Vw6Eb4</v>
      </c>
      <c r="AN912" s="81"/>
      <c r="AO912" s="83">
        <v>44051.970879629633</v>
      </c>
      <c r="AP912" s="84" t="str">
        <f>HYPERLINK("https://pbs.twimg.com/profile_banners/1292238632716206091/1629400862")</f>
        <v>https://pbs.twimg.com/profile_banners/1292238632716206091/1629400862</v>
      </c>
      <c r="AQ912" s="81" t="b">
        <v>1</v>
      </c>
      <c r="AR912" s="81" t="b">
        <v>0</v>
      </c>
      <c r="AS912" s="81" t="b">
        <v>0</v>
      </c>
      <c r="AT912" s="81"/>
      <c r="AU912" s="81">
        <v>0</v>
      </c>
      <c r="AV912" s="81"/>
      <c r="AW912" s="81" t="b">
        <v>0</v>
      </c>
      <c r="AX912" s="81" t="s">
        <v>3728</v>
      </c>
      <c r="AY912" s="84" t="str">
        <f>HYPERLINK("https://twitter.com/suetamr")</f>
        <v>https://twitter.com/suetamr</v>
      </c>
      <c r="AZ912" s="81" t="s">
        <v>66</v>
      </c>
      <c r="BA912" s="2"/>
      <c r="BB912" s="3"/>
      <c r="BC912" s="3"/>
      <c r="BD912" s="3"/>
      <c r="BE912" s="3"/>
    </row>
    <row r="913" spans="1:57" x14ac:dyDescent="0.35">
      <c r="A913" s="66" t="s">
        <v>4584</v>
      </c>
      <c r="B913" s="67"/>
      <c r="C913" s="67"/>
      <c r="D913" s="68"/>
      <c r="E913" s="94"/>
      <c r="F913" s="93" t="str">
        <f>HYPERLINK("https://pbs.twimg.com/profile_images/1354796893491130371/8-X2FDog_normal.jpg")</f>
        <v>https://pbs.twimg.com/profile_images/1354796893491130371/8-X2FDog_normal.jpg</v>
      </c>
      <c r="G913" s="95"/>
      <c r="H913" s="71"/>
      <c r="I913" s="72"/>
      <c r="J913" s="96"/>
      <c r="K913" s="71" t="s">
        <v>11972</v>
      </c>
      <c r="L913" s="97"/>
      <c r="M913" s="76"/>
      <c r="N913" s="76"/>
      <c r="O913" s="77"/>
      <c r="P913" s="78"/>
      <c r="Q913" s="78"/>
      <c r="R913" s="92"/>
      <c r="S913" s="92"/>
      <c r="T913" s="92"/>
      <c r="U913" s="92"/>
      <c r="V913" s="52"/>
      <c r="W913" s="52"/>
      <c r="X913" s="52"/>
      <c r="Y913" s="52"/>
      <c r="Z913" s="51"/>
      <c r="AA913" s="73"/>
      <c r="AB913" s="73"/>
      <c r="AC913" s="74"/>
      <c r="AD913" s="81" t="s">
        <v>8598</v>
      </c>
      <c r="AE913" s="86" t="s">
        <v>9586</v>
      </c>
      <c r="AF913" s="81">
        <v>7124</v>
      </c>
      <c r="AG913" s="81">
        <v>23106</v>
      </c>
      <c r="AH913" s="81">
        <v>50014</v>
      </c>
      <c r="AI913" s="81">
        <v>187930</v>
      </c>
      <c r="AJ913" s="81"/>
      <c r="AK913" s="81" t="s">
        <v>10533</v>
      </c>
      <c r="AL913" s="81"/>
      <c r="AM913" s="81"/>
      <c r="AN913" s="81"/>
      <c r="AO913" s="83">
        <v>43522.619108796294</v>
      </c>
      <c r="AP913" s="84" t="str">
        <f>HYPERLINK("https://pbs.twimg.com/profile_banners/1100408021925023744/1611843726")</f>
        <v>https://pbs.twimg.com/profile_banners/1100408021925023744/1611843726</v>
      </c>
      <c r="AQ913" s="81" t="b">
        <v>1</v>
      </c>
      <c r="AR913" s="81" t="b">
        <v>0</v>
      </c>
      <c r="AS913" s="81" t="b">
        <v>1</v>
      </c>
      <c r="AT913" s="81"/>
      <c r="AU913" s="81">
        <v>20</v>
      </c>
      <c r="AV913" s="81"/>
      <c r="AW913" s="81" t="b">
        <v>0</v>
      </c>
      <c r="AX913" s="81" t="s">
        <v>3728</v>
      </c>
      <c r="AY913" s="84" t="str">
        <f>HYPERLINK("https://twitter.com/claudia_sarti13")</f>
        <v>https://twitter.com/claudia_sarti13</v>
      </c>
      <c r="AZ913" s="81" t="s">
        <v>66</v>
      </c>
      <c r="BA913" s="2"/>
      <c r="BB913" s="3"/>
      <c r="BC913" s="3"/>
      <c r="BD913" s="3"/>
      <c r="BE913" s="3"/>
    </row>
    <row r="914" spans="1:57" x14ac:dyDescent="0.35">
      <c r="A914" s="66" t="s">
        <v>4585</v>
      </c>
      <c r="B914" s="67"/>
      <c r="C914" s="67"/>
      <c r="D914" s="68"/>
      <c r="E914" s="94"/>
      <c r="F914" s="93" t="str">
        <f>HYPERLINK("https://pbs.twimg.com/profile_images/1206298012475154433/RSpYpP-T_normal.jpg")</f>
        <v>https://pbs.twimg.com/profile_images/1206298012475154433/RSpYpP-T_normal.jpg</v>
      </c>
      <c r="G914" s="95"/>
      <c r="H914" s="71"/>
      <c r="I914" s="72"/>
      <c r="J914" s="96"/>
      <c r="K914" s="71" t="s">
        <v>11973</v>
      </c>
      <c r="L914" s="97"/>
      <c r="M914" s="76"/>
      <c r="N914" s="76"/>
      <c r="O914" s="77"/>
      <c r="P914" s="78"/>
      <c r="Q914" s="78"/>
      <c r="R914" s="92"/>
      <c r="S914" s="92"/>
      <c r="T914" s="92"/>
      <c r="U914" s="92"/>
      <c r="V914" s="52"/>
      <c r="W914" s="52"/>
      <c r="X914" s="52"/>
      <c r="Y914" s="52"/>
      <c r="Z914" s="51"/>
      <c r="AA914" s="73"/>
      <c r="AB914" s="73"/>
      <c r="AC914" s="74"/>
      <c r="AD914" s="81" t="s">
        <v>8599</v>
      </c>
      <c r="AE914" s="86" t="s">
        <v>9587</v>
      </c>
      <c r="AF914" s="81">
        <v>814</v>
      </c>
      <c r="AG914" s="81">
        <v>312</v>
      </c>
      <c r="AH914" s="81">
        <v>30689</v>
      </c>
      <c r="AI914" s="81">
        <v>91865</v>
      </c>
      <c r="AJ914" s="81"/>
      <c r="AK914" s="81" t="s">
        <v>10534</v>
      </c>
      <c r="AL914" s="81" t="s">
        <v>10985</v>
      </c>
      <c r="AM914" s="81"/>
      <c r="AN914" s="81"/>
      <c r="AO914" s="83">
        <v>40720.71020833333</v>
      </c>
      <c r="AP914" s="84" t="str">
        <f>HYPERLINK("https://pbs.twimg.com/profile_banners/324453347/1576438872")</f>
        <v>https://pbs.twimg.com/profile_banners/324453347/1576438872</v>
      </c>
      <c r="AQ914" s="81" t="b">
        <v>1</v>
      </c>
      <c r="AR914" s="81" t="b">
        <v>0</v>
      </c>
      <c r="AS914" s="81" t="b">
        <v>0</v>
      </c>
      <c r="AT914" s="81"/>
      <c r="AU914" s="81">
        <v>0</v>
      </c>
      <c r="AV914" s="84" t="str">
        <f>HYPERLINK("https://abs.twimg.com/images/themes/theme1/bg.png")</f>
        <v>https://abs.twimg.com/images/themes/theme1/bg.png</v>
      </c>
      <c r="AW914" s="81" t="b">
        <v>0</v>
      </c>
      <c r="AX914" s="81" t="s">
        <v>3728</v>
      </c>
      <c r="AY914" s="84" t="str">
        <f>HYPERLINK("https://twitter.com/chass1978")</f>
        <v>https://twitter.com/chass1978</v>
      </c>
      <c r="AZ914" s="81" t="s">
        <v>66</v>
      </c>
      <c r="BA914" s="2"/>
      <c r="BB914" s="3"/>
      <c r="BC914" s="3"/>
      <c r="BD914" s="3"/>
      <c r="BE914" s="3"/>
    </row>
    <row r="915" spans="1:57" x14ac:dyDescent="0.35">
      <c r="A915" s="66" t="s">
        <v>4586</v>
      </c>
      <c r="B915" s="67"/>
      <c r="C915" s="67"/>
      <c r="D915" s="68"/>
      <c r="E915" s="94"/>
      <c r="F915" s="93" t="str">
        <f>HYPERLINK("https://pbs.twimg.com/profile_images/1381235397984985089/Tb95Gluw_normal.jpg")</f>
        <v>https://pbs.twimg.com/profile_images/1381235397984985089/Tb95Gluw_normal.jpg</v>
      </c>
      <c r="G915" s="95"/>
      <c r="H915" s="71"/>
      <c r="I915" s="72"/>
      <c r="J915" s="96"/>
      <c r="K915" s="71" t="s">
        <v>11974</v>
      </c>
      <c r="L915" s="97"/>
      <c r="M915" s="76"/>
      <c r="N915" s="76"/>
      <c r="O915" s="77"/>
      <c r="P915" s="78"/>
      <c r="Q915" s="78"/>
      <c r="R915" s="92"/>
      <c r="S915" s="92"/>
      <c r="T915" s="92"/>
      <c r="U915" s="92"/>
      <c r="V915" s="52"/>
      <c r="W915" s="52"/>
      <c r="X915" s="52"/>
      <c r="Y915" s="52"/>
      <c r="Z915" s="51"/>
      <c r="AA915" s="73"/>
      <c r="AB915" s="73"/>
      <c r="AC915" s="74"/>
      <c r="AD915" s="81" t="s">
        <v>8600</v>
      </c>
      <c r="AE915" s="86" t="s">
        <v>9588</v>
      </c>
      <c r="AF915" s="81">
        <v>1426</v>
      </c>
      <c r="AG915" s="81">
        <v>1503</v>
      </c>
      <c r="AH915" s="81">
        <v>150056</v>
      </c>
      <c r="AI915" s="81">
        <v>155427</v>
      </c>
      <c r="AJ915" s="81"/>
      <c r="AK915" s="81" t="s">
        <v>10535</v>
      </c>
      <c r="AL915" s="81"/>
      <c r="AM915" s="81"/>
      <c r="AN915" s="81"/>
      <c r="AO915" s="83">
        <v>39940.034409722219</v>
      </c>
      <c r="AP915" s="84" t="str">
        <f>HYPERLINK("https://pbs.twimg.com/profile_banners/38324224/1571141109")</f>
        <v>https://pbs.twimg.com/profile_banners/38324224/1571141109</v>
      </c>
      <c r="AQ915" s="81" t="b">
        <v>0</v>
      </c>
      <c r="AR915" s="81" t="b">
        <v>0</v>
      </c>
      <c r="AS915" s="81" t="b">
        <v>0</v>
      </c>
      <c r="AT915" s="81"/>
      <c r="AU915" s="81">
        <v>0</v>
      </c>
      <c r="AV915" s="84" t="str">
        <f>HYPERLINK("https://abs.twimg.com/images/themes/theme9/bg.gif")</f>
        <v>https://abs.twimg.com/images/themes/theme9/bg.gif</v>
      </c>
      <c r="AW915" s="81" t="b">
        <v>0</v>
      </c>
      <c r="AX915" s="81" t="s">
        <v>3728</v>
      </c>
      <c r="AY915" s="84" t="str">
        <f>HYPERLINK("https://twitter.com/wpz13")</f>
        <v>https://twitter.com/wpz13</v>
      </c>
      <c r="AZ915" s="81" t="s">
        <v>66</v>
      </c>
      <c r="BA915" s="2"/>
      <c r="BB915" s="3"/>
      <c r="BC915" s="3"/>
      <c r="BD915" s="3"/>
      <c r="BE915" s="3"/>
    </row>
    <row r="916" spans="1:57" x14ac:dyDescent="0.35">
      <c r="A916" s="66" t="s">
        <v>4587</v>
      </c>
      <c r="B916" s="67"/>
      <c r="C916" s="67"/>
      <c r="D916" s="68"/>
      <c r="E916" s="94"/>
      <c r="F916" s="93" t="str">
        <f>HYPERLINK("https://pbs.twimg.com/profile_images/1440693131427467288/htS3wCTp_normal.jpg")</f>
        <v>https://pbs.twimg.com/profile_images/1440693131427467288/htS3wCTp_normal.jpg</v>
      </c>
      <c r="G916" s="95"/>
      <c r="H916" s="71"/>
      <c r="I916" s="72"/>
      <c r="J916" s="96"/>
      <c r="K916" s="71" t="s">
        <v>11975</v>
      </c>
      <c r="L916" s="97"/>
      <c r="M916" s="76"/>
      <c r="N916" s="76"/>
      <c r="O916" s="77"/>
      <c r="P916" s="78"/>
      <c r="Q916" s="78"/>
      <c r="R916" s="92"/>
      <c r="S916" s="92"/>
      <c r="T916" s="92"/>
      <c r="U916" s="92"/>
      <c r="V916" s="52"/>
      <c r="W916" s="52"/>
      <c r="X916" s="52"/>
      <c r="Y916" s="52"/>
      <c r="Z916" s="51"/>
      <c r="AA916" s="73"/>
      <c r="AB916" s="73"/>
      <c r="AC916" s="74"/>
      <c r="AD916" s="81" t="s">
        <v>8601</v>
      </c>
      <c r="AE916" s="86" t="s">
        <v>9589</v>
      </c>
      <c r="AF916" s="81">
        <v>563</v>
      </c>
      <c r="AG916" s="81">
        <v>1146</v>
      </c>
      <c r="AH916" s="81">
        <v>130729</v>
      </c>
      <c r="AI916" s="81">
        <v>101131</v>
      </c>
      <c r="AJ916" s="81"/>
      <c r="AK916" s="81" t="s">
        <v>10536</v>
      </c>
      <c r="AL916" s="81" t="s">
        <v>10975</v>
      </c>
      <c r="AM916" s="84" t="str">
        <f>HYPERLINK("https://t.co/rXHfIMh3fW")</f>
        <v>https://t.co/rXHfIMh3fW</v>
      </c>
      <c r="AN916" s="81"/>
      <c r="AO916" s="83">
        <v>39307.922673611109</v>
      </c>
      <c r="AP916" s="84" t="str">
        <f>HYPERLINK("https://pbs.twimg.com/profile_banners/8169392/1539267879")</f>
        <v>https://pbs.twimg.com/profile_banners/8169392/1539267879</v>
      </c>
      <c r="AQ916" s="81" t="b">
        <v>0</v>
      </c>
      <c r="AR916" s="81" t="b">
        <v>0</v>
      </c>
      <c r="AS916" s="81" t="b">
        <v>0</v>
      </c>
      <c r="AT916" s="81"/>
      <c r="AU916" s="81">
        <v>43</v>
      </c>
      <c r="AV916" s="84" t="str">
        <f>HYPERLINK("https://abs.twimg.com/images/themes/theme12/bg.gif")</f>
        <v>https://abs.twimg.com/images/themes/theme12/bg.gif</v>
      </c>
      <c r="AW916" s="81" t="b">
        <v>0</v>
      </c>
      <c r="AX916" s="81" t="s">
        <v>3728</v>
      </c>
      <c r="AY916" s="84" t="str">
        <f>HYPERLINK("https://twitter.com/garotadpi")</f>
        <v>https://twitter.com/garotadpi</v>
      </c>
      <c r="AZ916" s="81" t="s">
        <v>66</v>
      </c>
      <c r="BA916" s="2"/>
      <c r="BB916" s="3"/>
      <c r="BC916" s="3"/>
      <c r="BD916" s="3"/>
      <c r="BE916" s="3"/>
    </row>
    <row r="917" spans="1:57" x14ac:dyDescent="0.35">
      <c r="A917" s="66" t="s">
        <v>4588</v>
      </c>
      <c r="B917" s="67"/>
      <c r="C917" s="67"/>
      <c r="D917" s="68"/>
      <c r="E917" s="94"/>
      <c r="F917" s="93" t="str">
        <f>HYPERLINK("https://pbs.twimg.com/profile_images/1320497462747025410/DF8pFn-__normal.jpg")</f>
        <v>https://pbs.twimg.com/profile_images/1320497462747025410/DF8pFn-__normal.jpg</v>
      </c>
      <c r="G917" s="95"/>
      <c r="H917" s="71"/>
      <c r="I917" s="72"/>
      <c r="J917" s="96"/>
      <c r="K917" s="71" t="s">
        <v>11976</v>
      </c>
      <c r="L917" s="97"/>
      <c r="M917" s="76"/>
      <c r="N917" s="76"/>
      <c r="O917" s="77"/>
      <c r="P917" s="78"/>
      <c r="Q917" s="78"/>
      <c r="R917" s="92"/>
      <c r="S917" s="92"/>
      <c r="T917" s="92"/>
      <c r="U917" s="92"/>
      <c r="V917" s="52"/>
      <c r="W917" s="52"/>
      <c r="X917" s="52"/>
      <c r="Y917" s="52"/>
      <c r="Z917" s="51"/>
      <c r="AA917" s="73"/>
      <c r="AB917" s="73"/>
      <c r="AC917" s="74"/>
      <c r="AD917" s="81" t="s">
        <v>8602</v>
      </c>
      <c r="AE917" s="86" t="s">
        <v>9590</v>
      </c>
      <c r="AF917" s="81">
        <v>433</v>
      </c>
      <c r="AG917" s="81">
        <v>35</v>
      </c>
      <c r="AH917" s="81">
        <v>1001</v>
      </c>
      <c r="AI917" s="81">
        <v>6134</v>
      </c>
      <c r="AJ917" s="81"/>
      <c r="AK917" s="81"/>
      <c r="AL917" s="81"/>
      <c r="AM917" s="81"/>
      <c r="AN917" s="81"/>
      <c r="AO917" s="83">
        <v>44129.948275462964</v>
      </c>
      <c r="AP917" s="81"/>
      <c r="AQ917" s="81" t="b">
        <v>1</v>
      </c>
      <c r="AR917" s="81" t="b">
        <v>0</v>
      </c>
      <c r="AS917" s="81" t="b">
        <v>0</v>
      </c>
      <c r="AT917" s="81"/>
      <c r="AU917" s="81">
        <v>0</v>
      </c>
      <c r="AV917" s="81"/>
      <c r="AW917" s="81" t="b">
        <v>0</v>
      </c>
      <c r="AX917" s="81" t="s">
        <v>3728</v>
      </c>
      <c r="AY917" s="84" t="str">
        <f>HYPERLINK("https://twitter.com/franciorlando")</f>
        <v>https://twitter.com/franciorlando</v>
      </c>
      <c r="AZ917" s="81" t="s">
        <v>66</v>
      </c>
      <c r="BA917" s="2"/>
      <c r="BB917" s="3"/>
      <c r="BC917" s="3"/>
      <c r="BD917" s="3"/>
      <c r="BE917" s="3"/>
    </row>
    <row r="918" spans="1:57" x14ac:dyDescent="0.35">
      <c r="A918" s="66" t="s">
        <v>4589</v>
      </c>
      <c r="B918" s="67"/>
      <c r="C918" s="67"/>
      <c r="D918" s="68"/>
      <c r="E918" s="94"/>
      <c r="F918" s="93" t="str">
        <f>HYPERLINK("https://pbs.twimg.com/profile_images/1324805219784556549/eLOaHGZY_normal.jpg")</f>
        <v>https://pbs.twimg.com/profile_images/1324805219784556549/eLOaHGZY_normal.jpg</v>
      </c>
      <c r="G918" s="95"/>
      <c r="H918" s="71"/>
      <c r="I918" s="72"/>
      <c r="J918" s="96"/>
      <c r="K918" s="71" t="s">
        <v>11977</v>
      </c>
      <c r="L918" s="97"/>
      <c r="M918" s="76"/>
      <c r="N918" s="76"/>
      <c r="O918" s="77"/>
      <c r="P918" s="78"/>
      <c r="Q918" s="78"/>
      <c r="R918" s="92"/>
      <c r="S918" s="92"/>
      <c r="T918" s="92"/>
      <c r="U918" s="92"/>
      <c r="V918" s="52"/>
      <c r="W918" s="52"/>
      <c r="X918" s="52"/>
      <c r="Y918" s="52"/>
      <c r="Z918" s="51"/>
      <c r="AA918" s="73"/>
      <c r="AB918" s="73"/>
      <c r="AC918" s="74"/>
      <c r="AD918" s="81" t="s">
        <v>8603</v>
      </c>
      <c r="AE918" s="86" t="s">
        <v>9591</v>
      </c>
      <c r="AF918" s="81">
        <v>132</v>
      </c>
      <c r="AG918" s="81">
        <v>134</v>
      </c>
      <c r="AH918" s="81">
        <v>21002</v>
      </c>
      <c r="AI918" s="81">
        <v>77180</v>
      </c>
      <c r="AJ918" s="81"/>
      <c r="AK918" s="81"/>
      <c r="AL918" s="81"/>
      <c r="AM918" s="81"/>
      <c r="AN918" s="81"/>
      <c r="AO918" s="83">
        <v>43215.922997685186</v>
      </c>
      <c r="AP918" s="81"/>
      <c r="AQ918" s="81" t="b">
        <v>1</v>
      </c>
      <c r="AR918" s="81" t="b">
        <v>0</v>
      </c>
      <c r="AS918" s="81" t="b">
        <v>0</v>
      </c>
      <c r="AT918" s="81"/>
      <c r="AU918" s="81">
        <v>0</v>
      </c>
      <c r="AV918" s="81"/>
      <c r="AW918" s="81" t="b">
        <v>0</v>
      </c>
      <c r="AX918" s="81" t="s">
        <v>3728</v>
      </c>
      <c r="AY918" s="84" t="str">
        <f>HYPERLINK("https://twitter.com/siljr2")</f>
        <v>https://twitter.com/siljr2</v>
      </c>
      <c r="AZ918" s="81" t="s">
        <v>66</v>
      </c>
      <c r="BA918" s="2"/>
      <c r="BB918" s="3"/>
      <c r="BC918" s="3"/>
      <c r="BD918" s="3"/>
      <c r="BE918" s="3"/>
    </row>
    <row r="919" spans="1:57" x14ac:dyDescent="0.35">
      <c r="A919" s="66" t="s">
        <v>4590</v>
      </c>
      <c r="B919" s="67"/>
      <c r="C919" s="67"/>
      <c r="D919" s="68"/>
      <c r="E919" s="94"/>
      <c r="F919" s="93" t="str">
        <f>HYPERLINK("https://pbs.twimg.com/profile_images/1185349364887281664/kb9rX0Nl_normal.jpg")</f>
        <v>https://pbs.twimg.com/profile_images/1185349364887281664/kb9rX0Nl_normal.jpg</v>
      </c>
      <c r="G919" s="95"/>
      <c r="H919" s="71"/>
      <c r="I919" s="72"/>
      <c r="J919" s="96"/>
      <c r="K919" s="71" t="s">
        <v>11978</v>
      </c>
      <c r="L919" s="97"/>
      <c r="M919" s="76"/>
      <c r="N919" s="76"/>
      <c r="O919" s="77"/>
      <c r="P919" s="78"/>
      <c r="Q919" s="78"/>
      <c r="R919" s="92"/>
      <c r="S919" s="92"/>
      <c r="T919" s="92"/>
      <c r="U919" s="92"/>
      <c r="V919" s="52"/>
      <c r="W919" s="52"/>
      <c r="X919" s="52"/>
      <c r="Y919" s="52"/>
      <c r="Z919" s="51"/>
      <c r="AA919" s="73"/>
      <c r="AB919" s="73"/>
      <c r="AC919" s="74"/>
      <c r="AD919" s="81" t="s">
        <v>8604</v>
      </c>
      <c r="AE919" s="86" t="s">
        <v>9592</v>
      </c>
      <c r="AF919" s="81">
        <v>505</v>
      </c>
      <c r="AG919" s="81">
        <v>614</v>
      </c>
      <c r="AH919" s="81">
        <v>4977</v>
      </c>
      <c r="AI919" s="81">
        <v>84795</v>
      </c>
      <c r="AJ919" s="81"/>
      <c r="AK919" s="81" t="s">
        <v>10537</v>
      </c>
      <c r="AL919" s="81" t="s">
        <v>11201</v>
      </c>
      <c r="AM919" s="81"/>
      <c r="AN919" s="81"/>
      <c r="AO919" s="83">
        <v>40657.857835648145</v>
      </c>
      <c r="AP919" s="84" t="str">
        <f>HYPERLINK("https://pbs.twimg.com/profile_banners/287351302/1495407783")</f>
        <v>https://pbs.twimg.com/profile_banners/287351302/1495407783</v>
      </c>
      <c r="AQ919" s="81" t="b">
        <v>0</v>
      </c>
      <c r="AR919" s="81" t="b">
        <v>0</v>
      </c>
      <c r="AS919" s="81" t="b">
        <v>1</v>
      </c>
      <c r="AT919" s="81"/>
      <c r="AU919" s="81">
        <v>1</v>
      </c>
      <c r="AV919" s="84" t="str">
        <f>HYPERLINK("https://abs.twimg.com/images/themes/theme11/bg.gif")</f>
        <v>https://abs.twimg.com/images/themes/theme11/bg.gif</v>
      </c>
      <c r="AW919" s="81" t="b">
        <v>0</v>
      </c>
      <c r="AX919" s="81" t="s">
        <v>3728</v>
      </c>
      <c r="AY919" s="84" t="str">
        <f>HYPERLINK("https://twitter.com/neidelopesacre")</f>
        <v>https://twitter.com/neidelopesacre</v>
      </c>
      <c r="AZ919" s="81" t="s">
        <v>66</v>
      </c>
      <c r="BA919" s="2"/>
      <c r="BB919" s="3"/>
      <c r="BC919" s="3"/>
      <c r="BD919" s="3"/>
      <c r="BE919" s="3"/>
    </row>
    <row r="920" spans="1:57" x14ac:dyDescent="0.35">
      <c r="A920" s="66" t="s">
        <v>498</v>
      </c>
      <c r="B920" s="67"/>
      <c r="C920" s="67"/>
      <c r="D920" s="68"/>
      <c r="E920" s="94"/>
      <c r="F920" s="93" t="str">
        <f>HYPERLINK("https://pbs.twimg.com/profile_images/1408015822912585728/rOHIyfTL_normal.jpg")</f>
        <v>https://pbs.twimg.com/profile_images/1408015822912585728/rOHIyfTL_normal.jpg</v>
      </c>
      <c r="G920" s="95"/>
      <c r="H920" s="71"/>
      <c r="I920" s="72"/>
      <c r="J920" s="96"/>
      <c r="K920" s="71" t="s">
        <v>4054</v>
      </c>
      <c r="L920" s="97"/>
      <c r="M920" s="76"/>
      <c r="N920" s="76"/>
      <c r="O920" s="77"/>
      <c r="P920" s="78"/>
      <c r="Q920" s="78"/>
      <c r="R920" s="92"/>
      <c r="S920" s="92"/>
      <c r="T920" s="92"/>
      <c r="U920" s="92"/>
      <c r="V920" s="52"/>
      <c r="W920" s="52"/>
      <c r="X920" s="52"/>
      <c r="Y920" s="52"/>
      <c r="Z920" s="51"/>
      <c r="AA920" s="73"/>
      <c r="AB920" s="73"/>
      <c r="AC920" s="74"/>
      <c r="AD920" s="81" t="s">
        <v>2565</v>
      </c>
      <c r="AE920" s="86" t="s">
        <v>2985</v>
      </c>
      <c r="AF920" s="81">
        <v>136</v>
      </c>
      <c r="AG920" s="81">
        <v>5</v>
      </c>
      <c r="AH920" s="81">
        <v>89</v>
      </c>
      <c r="AI920" s="81">
        <v>74</v>
      </c>
      <c r="AJ920" s="81"/>
      <c r="AK920" s="81" t="s">
        <v>3393</v>
      </c>
      <c r="AL920" s="81" t="s">
        <v>3644</v>
      </c>
      <c r="AM920" s="81"/>
      <c r="AN920" s="81"/>
      <c r="AO920" s="83">
        <v>42691.031469907408</v>
      </c>
      <c r="AP920" s="84" t="str">
        <f>HYPERLINK("https://pbs.twimg.com/profile_banners/799050749980254208/1624532109")</f>
        <v>https://pbs.twimg.com/profile_banners/799050749980254208/1624532109</v>
      </c>
      <c r="AQ920" s="81" t="b">
        <v>1</v>
      </c>
      <c r="AR920" s="81" t="b">
        <v>0</v>
      </c>
      <c r="AS920" s="81" t="b">
        <v>0</v>
      </c>
      <c r="AT920" s="81"/>
      <c r="AU920" s="81">
        <v>0</v>
      </c>
      <c r="AV920" s="81"/>
      <c r="AW920" s="81" t="b">
        <v>0</v>
      </c>
      <c r="AX920" s="81" t="s">
        <v>3728</v>
      </c>
      <c r="AY920" s="84" t="str">
        <f>HYPERLINK("https://twitter.com/tariprinsa")</f>
        <v>https://twitter.com/tariprinsa</v>
      </c>
      <c r="AZ920" s="81" t="s">
        <v>66</v>
      </c>
      <c r="BA920" s="2"/>
      <c r="BB920" s="3"/>
      <c r="BC920" s="3"/>
      <c r="BD920" s="3"/>
      <c r="BE920" s="3"/>
    </row>
    <row r="921" spans="1:57" x14ac:dyDescent="0.35">
      <c r="A921" s="66" t="s">
        <v>666</v>
      </c>
      <c r="B921" s="67"/>
      <c r="C921" s="67"/>
      <c r="D921" s="68"/>
      <c r="E921" s="94"/>
      <c r="F921" s="93" t="str">
        <f>HYPERLINK("https://pbs.twimg.com/profile_images/1396830612342730753/neVl0nVC_normal.jpg")</f>
        <v>https://pbs.twimg.com/profile_images/1396830612342730753/neVl0nVC_normal.jpg</v>
      </c>
      <c r="G921" s="95"/>
      <c r="H921" s="71"/>
      <c r="I921" s="72"/>
      <c r="J921" s="96"/>
      <c r="K921" s="71" t="s">
        <v>4055</v>
      </c>
      <c r="L921" s="97"/>
      <c r="M921" s="76"/>
      <c r="N921" s="76"/>
      <c r="O921" s="77"/>
      <c r="P921" s="78"/>
      <c r="Q921" s="78"/>
      <c r="R921" s="92"/>
      <c r="S921" s="92"/>
      <c r="T921" s="92"/>
      <c r="U921" s="92"/>
      <c r="V921" s="52"/>
      <c r="W921" s="52"/>
      <c r="X921" s="52"/>
      <c r="Y921" s="52"/>
      <c r="Z921" s="51"/>
      <c r="AA921" s="73"/>
      <c r="AB921" s="73"/>
      <c r="AC921" s="74"/>
      <c r="AD921" s="81" t="s">
        <v>2566</v>
      </c>
      <c r="AE921" s="86" t="s">
        <v>2134</v>
      </c>
      <c r="AF921" s="81">
        <v>13914</v>
      </c>
      <c r="AG921" s="81">
        <v>24674</v>
      </c>
      <c r="AH921" s="81">
        <v>10196</v>
      </c>
      <c r="AI921" s="81">
        <v>335</v>
      </c>
      <c r="AJ921" s="81"/>
      <c r="AK921" s="81" t="s">
        <v>3394</v>
      </c>
      <c r="AL921" s="81"/>
      <c r="AM921" s="81"/>
      <c r="AN921" s="81"/>
      <c r="AO921" s="83">
        <v>40646.248287037037</v>
      </c>
      <c r="AP921" s="84" t="str">
        <f>HYPERLINK("https://pbs.twimg.com/profile_banners/281388053/1592581484")</f>
        <v>https://pbs.twimg.com/profile_banners/281388053/1592581484</v>
      </c>
      <c r="AQ921" s="81" t="b">
        <v>0</v>
      </c>
      <c r="AR921" s="81" t="b">
        <v>0</v>
      </c>
      <c r="AS921" s="81" t="b">
        <v>0</v>
      </c>
      <c r="AT921" s="81"/>
      <c r="AU921" s="81">
        <v>43</v>
      </c>
      <c r="AV921" s="84" t="str">
        <f>HYPERLINK("https://abs.twimg.com/images/themes/theme13/bg.gif")</f>
        <v>https://abs.twimg.com/images/themes/theme13/bg.gif</v>
      </c>
      <c r="AW921" s="81" t="b">
        <v>0</v>
      </c>
      <c r="AX921" s="81" t="s">
        <v>3728</v>
      </c>
      <c r="AY921" s="84" t="str">
        <f>HYPERLINK("https://twitter.com/txtdariolshop_")</f>
        <v>https://twitter.com/txtdariolshop_</v>
      </c>
      <c r="AZ921" s="81" t="s">
        <v>65</v>
      </c>
      <c r="BA921" s="2"/>
      <c r="BB921" s="3"/>
      <c r="BC921" s="3"/>
      <c r="BD921" s="3"/>
      <c r="BE921" s="3"/>
    </row>
    <row r="922" spans="1:57" x14ac:dyDescent="0.35">
      <c r="A922" s="66" t="s">
        <v>4591</v>
      </c>
      <c r="B922" s="67"/>
      <c r="C922" s="67"/>
      <c r="D922" s="68"/>
      <c r="E922" s="94"/>
      <c r="F922" s="93" t="str">
        <f>HYPERLINK("https://pbs.twimg.com/profile_images/1359112865416937476/uuGoMkH2_normal.jpg")</f>
        <v>https://pbs.twimg.com/profile_images/1359112865416937476/uuGoMkH2_normal.jpg</v>
      </c>
      <c r="G922" s="95"/>
      <c r="H922" s="71"/>
      <c r="I922" s="72"/>
      <c r="J922" s="96"/>
      <c r="K922" s="71" t="s">
        <v>11979</v>
      </c>
      <c r="L922" s="97"/>
      <c r="M922" s="76"/>
      <c r="N922" s="76"/>
      <c r="O922" s="77"/>
      <c r="P922" s="78"/>
      <c r="Q922" s="78"/>
      <c r="R922" s="92"/>
      <c r="S922" s="92"/>
      <c r="T922" s="92"/>
      <c r="U922" s="92"/>
      <c r="V922" s="52"/>
      <c r="W922" s="52"/>
      <c r="X922" s="52"/>
      <c r="Y922" s="52"/>
      <c r="Z922" s="51"/>
      <c r="AA922" s="73"/>
      <c r="AB922" s="73"/>
      <c r="AC922" s="74"/>
      <c r="AD922" s="81" t="s">
        <v>8605</v>
      </c>
      <c r="AE922" s="86" t="s">
        <v>9593</v>
      </c>
      <c r="AF922" s="81">
        <v>364</v>
      </c>
      <c r="AG922" s="81">
        <v>330</v>
      </c>
      <c r="AH922" s="81">
        <v>16218</v>
      </c>
      <c r="AI922" s="81">
        <v>53895</v>
      </c>
      <c r="AJ922" s="81"/>
      <c r="AK922" s="81" t="s">
        <v>10538</v>
      </c>
      <c r="AL922" s="81" t="s">
        <v>11009</v>
      </c>
      <c r="AM922" s="81"/>
      <c r="AN922" s="81"/>
      <c r="AO922" s="83">
        <v>42569.927777777775</v>
      </c>
      <c r="AP922" s="84" t="str">
        <f>HYPERLINK("https://pbs.twimg.com/profile_banners/755164243339669505/1472933456")</f>
        <v>https://pbs.twimg.com/profile_banners/755164243339669505/1472933456</v>
      </c>
      <c r="AQ922" s="81" t="b">
        <v>1</v>
      </c>
      <c r="AR922" s="81" t="b">
        <v>0</v>
      </c>
      <c r="AS922" s="81" t="b">
        <v>0</v>
      </c>
      <c r="AT922" s="81"/>
      <c r="AU922" s="81">
        <v>0</v>
      </c>
      <c r="AV922" s="81"/>
      <c r="AW922" s="81" t="b">
        <v>0</v>
      </c>
      <c r="AX922" s="81" t="s">
        <v>3728</v>
      </c>
      <c r="AY922" s="84" t="str">
        <f>HYPERLINK("https://twitter.com/ap_skywalker")</f>
        <v>https://twitter.com/ap_skywalker</v>
      </c>
      <c r="AZ922" s="81" t="s">
        <v>66</v>
      </c>
      <c r="BA922" s="2"/>
      <c r="BB922" s="3"/>
      <c r="BC922" s="3"/>
      <c r="BD922" s="3"/>
      <c r="BE922" s="3"/>
    </row>
    <row r="923" spans="1:57" x14ac:dyDescent="0.35">
      <c r="A923" s="66" t="s">
        <v>4592</v>
      </c>
      <c r="B923" s="67"/>
      <c r="C923" s="67"/>
      <c r="D923" s="68"/>
      <c r="E923" s="94"/>
      <c r="F923" s="93" t="str">
        <f>HYPERLINK("https://pbs.twimg.com/profile_images/1405382100686184453/J_tYOyO5_normal.jpg")</f>
        <v>https://pbs.twimg.com/profile_images/1405382100686184453/J_tYOyO5_normal.jpg</v>
      </c>
      <c r="G923" s="95"/>
      <c r="H923" s="71"/>
      <c r="I923" s="72"/>
      <c r="J923" s="96"/>
      <c r="K923" s="71" t="s">
        <v>11980</v>
      </c>
      <c r="L923" s="97"/>
      <c r="M923" s="76"/>
      <c r="N923" s="76"/>
      <c r="O923" s="77"/>
      <c r="P923" s="78"/>
      <c r="Q923" s="78"/>
      <c r="R923" s="92"/>
      <c r="S923" s="92"/>
      <c r="T923" s="92"/>
      <c r="U923" s="92"/>
      <c r="V923" s="52"/>
      <c r="W923" s="52"/>
      <c r="X923" s="52"/>
      <c r="Y923" s="52"/>
      <c r="Z923" s="51"/>
      <c r="AA923" s="73"/>
      <c r="AB923" s="73"/>
      <c r="AC923" s="74"/>
      <c r="AD923" s="81" t="s">
        <v>8606</v>
      </c>
      <c r="AE923" s="86" t="s">
        <v>9594</v>
      </c>
      <c r="AF923" s="81">
        <v>4479</v>
      </c>
      <c r="AG923" s="81">
        <v>2753</v>
      </c>
      <c r="AH923" s="81">
        <v>685665</v>
      </c>
      <c r="AI923" s="81">
        <v>29623</v>
      </c>
      <c r="AJ923" s="81"/>
      <c r="AK923" s="81" t="s">
        <v>10539</v>
      </c>
      <c r="AL923" s="81" t="s">
        <v>11202</v>
      </c>
      <c r="AM923" s="81"/>
      <c r="AN923" s="81"/>
      <c r="AO923" s="83">
        <v>39876.199525462966</v>
      </c>
      <c r="AP923" s="84" t="str">
        <f>HYPERLINK("https://pbs.twimg.com/profile_banners/22735093/1630377907")</f>
        <v>https://pbs.twimg.com/profile_banners/22735093/1630377907</v>
      </c>
      <c r="AQ923" s="81" t="b">
        <v>0</v>
      </c>
      <c r="AR923" s="81" t="b">
        <v>0</v>
      </c>
      <c r="AS923" s="81" t="b">
        <v>0</v>
      </c>
      <c r="AT923" s="81"/>
      <c r="AU923" s="81">
        <v>96</v>
      </c>
      <c r="AV923" s="84" t="str">
        <f>HYPERLINK("https://abs.twimg.com/images/themes/theme10/bg.gif")</f>
        <v>https://abs.twimg.com/images/themes/theme10/bg.gif</v>
      </c>
      <c r="AW923" s="81" t="b">
        <v>0</v>
      </c>
      <c r="AX923" s="81" t="s">
        <v>3728</v>
      </c>
      <c r="AY923" s="84" t="str">
        <f>HYPERLINK("https://twitter.com/fernandocesar77")</f>
        <v>https://twitter.com/fernandocesar77</v>
      </c>
      <c r="AZ923" s="81" t="s">
        <v>66</v>
      </c>
      <c r="BA923" s="2"/>
      <c r="BB923" s="3"/>
      <c r="BC923" s="3"/>
      <c r="BD923" s="3"/>
      <c r="BE923" s="3"/>
    </row>
    <row r="924" spans="1:57" x14ac:dyDescent="0.35">
      <c r="A924" s="66" t="s">
        <v>4593</v>
      </c>
      <c r="B924" s="67"/>
      <c r="C924" s="67"/>
      <c r="D924" s="68"/>
      <c r="E924" s="94"/>
      <c r="F924" s="93" t="str">
        <f>HYPERLINK("https://pbs.twimg.com/profile_images/1372584542641524741/go6G5PFD_normal.jpg")</f>
        <v>https://pbs.twimg.com/profile_images/1372584542641524741/go6G5PFD_normal.jpg</v>
      </c>
      <c r="G924" s="95"/>
      <c r="H924" s="71"/>
      <c r="I924" s="72"/>
      <c r="J924" s="96"/>
      <c r="K924" s="71" t="s">
        <v>11981</v>
      </c>
      <c r="L924" s="97"/>
      <c r="M924" s="76"/>
      <c r="N924" s="76"/>
      <c r="O924" s="77"/>
      <c r="P924" s="78"/>
      <c r="Q924" s="78"/>
      <c r="R924" s="92"/>
      <c r="S924" s="92"/>
      <c r="T924" s="92"/>
      <c r="U924" s="92"/>
      <c r="V924" s="52"/>
      <c r="W924" s="52"/>
      <c r="X924" s="52"/>
      <c r="Y924" s="52"/>
      <c r="Z924" s="51"/>
      <c r="AA924" s="73"/>
      <c r="AB924" s="73"/>
      <c r="AC924" s="74"/>
      <c r="AD924" s="81" t="s">
        <v>8607</v>
      </c>
      <c r="AE924" s="86" t="s">
        <v>9595</v>
      </c>
      <c r="AF924" s="81">
        <v>741</v>
      </c>
      <c r="AG924" s="81">
        <v>190</v>
      </c>
      <c r="AH924" s="81">
        <v>13071</v>
      </c>
      <c r="AI924" s="81">
        <v>97556</v>
      </c>
      <c r="AJ924" s="81"/>
      <c r="AK924" s="81" t="s">
        <v>10540</v>
      </c>
      <c r="AL924" s="81" t="s">
        <v>11203</v>
      </c>
      <c r="AM924" s="81"/>
      <c r="AN924" s="81"/>
      <c r="AO924" s="83">
        <v>43585.991724537038</v>
      </c>
      <c r="AP924" s="84" t="str">
        <f>HYPERLINK("https://pbs.twimg.com/profile_banners/1123373487962324992/1607363403")</f>
        <v>https://pbs.twimg.com/profile_banners/1123373487962324992/1607363403</v>
      </c>
      <c r="AQ924" s="81" t="b">
        <v>1</v>
      </c>
      <c r="AR924" s="81" t="b">
        <v>0</v>
      </c>
      <c r="AS924" s="81" t="b">
        <v>0</v>
      </c>
      <c r="AT924" s="81"/>
      <c r="AU924" s="81">
        <v>0</v>
      </c>
      <c r="AV924" s="81"/>
      <c r="AW924" s="81" t="b">
        <v>0</v>
      </c>
      <c r="AX924" s="81" t="s">
        <v>3728</v>
      </c>
      <c r="AY924" s="84" t="str">
        <f>HYPERLINK("https://twitter.com/calicedochico")</f>
        <v>https://twitter.com/calicedochico</v>
      </c>
      <c r="AZ924" s="81" t="s">
        <v>66</v>
      </c>
      <c r="BA924" s="2"/>
      <c r="BB924" s="3"/>
      <c r="BC924" s="3"/>
      <c r="BD924" s="3"/>
      <c r="BE924" s="3"/>
    </row>
    <row r="925" spans="1:57" x14ac:dyDescent="0.35">
      <c r="A925" s="66" t="s">
        <v>4594</v>
      </c>
      <c r="B925" s="67"/>
      <c r="C925" s="67"/>
      <c r="D925" s="68"/>
      <c r="E925" s="94"/>
      <c r="F925" s="93" t="str">
        <f>HYPERLINK("https://pbs.twimg.com/profile_images/1376526675765264388/2RbNDD93_normal.jpg")</f>
        <v>https://pbs.twimg.com/profile_images/1376526675765264388/2RbNDD93_normal.jpg</v>
      </c>
      <c r="G925" s="95"/>
      <c r="H925" s="71"/>
      <c r="I925" s="72"/>
      <c r="J925" s="96"/>
      <c r="K925" s="71" t="s">
        <v>11982</v>
      </c>
      <c r="L925" s="97"/>
      <c r="M925" s="76"/>
      <c r="N925" s="76"/>
      <c r="O925" s="77"/>
      <c r="P925" s="78"/>
      <c r="Q925" s="78"/>
      <c r="R925" s="92"/>
      <c r="S925" s="92"/>
      <c r="T925" s="92"/>
      <c r="U925" s="92"/>
      <c r="V925" s="52"/>
      <c r="W925" s="52"/>
      <c r="X925" s="52"/>
      <c r="Y925" s="52"/>
      <c r="Z925" s="51"/>
      <c r="AA925" s="73"/>
      <c r="AB925" s="73"/>
      <c r="AC925" s="74"/>
      <c r="AD925" s="81" t="s">
        <v>8608</v>
      </c>
      <c r="AE925" s="86" t="s">
        <v>9596</v>
      </c>
      <c r="AF925" s="81">
        <v>823</v>
      </c>
      <c r="AG925" s="81">
        <v>573</v>
      </c>
      <c r="AH925" s="81">
        <v>26857</v>
      </c>
      <c r="AI925" s="81">
        <v>256601</v>
      </c>
      <c r="AJ925" s="81"/>
      <c r="AK925" s="81" t="s">
        <v>10541</v>
      </c>
      <c r="AL925" s="81" t="s">
        <v>11204</v>
      </c>
      <c r="AM925" s="84" t="str">
        <f>HYPERLINK("https://t.co/a85FhYcDzS")</f>
        <v>https://t.co/a85FhYcDzS</v>
      </c>
      <c r="AN925" s="81"/>
      <c r="AO925" s="83">
        <v>40829.015590277777</v>
      </c>
      <c r="AP925" s="84" t="str">
        <f>HYPERLINK("https://pbs.twimg.com/profile_banners/389787690/1630988736")</f>
        <v>https://pbs.twimg.com/profile_banners/389787690/1630988736</v>
      </c>
      <c r="AQ925" s="81" t="b">
        <v>0</v>
      </c>
      <c r="AR925" s="81" t="b">
        <v>0</v>
      </c>
      <c r="AS925" s="81" t="b">
        <v>1</v>
      </c>
      <c r="AT925" s="81"/>
      <c r="AU925" s="81">
        <v>6</v>
      </c>
      <c r="AV925" s="84" t="str">
        <f>HYPERLINK("https://abs.twimg.com/images/themes/theme12/bg.gif")</f>
        <v>https://abs.twimg.com/images/themes/theme12/bg.gif</v>
      </c>
      <c r="AW925" s="81" t="b">
        <v>0</v>
      </c>
      <c r="AX925" s="81" t="s">
        <v>3728</v>
      </c>
      <c r="AY925" s="84" t="str">
        <f>HYPERLINK("https://twitter.com/analia_varela")</f>
        <v>https://twitter.com/analia_varela</v>
      </c>
      <c r="AZ925" s="81" t="s">
        <v>66</v>
      </c>
      <c r="BA925" s="2"/>
      <c r="BB925" s="3"/>
      <c r="BC925" s="3"/>
      <c r="BD925" s="3"/>
      <c r="BE925" s="3"/>
    </row>
    <row r="926" spans="1:57" x14ac:dyDescent="0.35">
      <c r="A926" s="66" t="s">
        <v>4595</v>
      </c>
      <c r="B926" s="67"/>
      <c r="C926" s="67"/>
      <c r="D926" s="68"/>
      <c r="E926" s="94"/>
      <c r="F926" s="93" t="str">
        <f>HYPERLINK("https://pbs.twimg.com/profile_images/721720295254597633/CyLbdyHo_normal.jpg")</f>
        <v>https://pbs.twimg.com/profile_images/721720295254597633/CyLbdyHo_normal.jpg</v>
      </c>
      <c r="G926" s="95"/>
      <c r="H926" s="71"/>
      <c r="I926" s="72"/>
      <c r="J926" s="96"/>
      <c r="K926" s="71" t="s">
        <v>11983</v>
      </c>
      <c r="L926" s="97"/>
      <c r="M926" s="76"/>
      <c r="N926" s="76"/>
      <c r="O926" s="77"/>
      <c r="P926" s="78"/>
      <c r="Q926" s="78"/>
      <c r="R926" s="92"/>
      <c r="S926" s="92"/>
      <c r="T926" s="92"/>
      <c r="U926" s="92"/>
      <c r="V926" s="52"/>
      <c r="W926" s="52"/>
      <c r="X926" s="52"/>
      <c r="Y926" s="52"/>
      <c r="Z926" s="51"/>
      <c r="AA926" s="73"/>
      <c r="AB926" s="73"/>
      <c r="AC926" s="74"/>
      <c r="AD926" s="81" t="s">
        <v>8609</v>
      </c>
      <c r="AE926" s="86" t="s">
        <v>9597</v>
      </c>
      <c r="AF926" s="81">
        <v>269</v>
      </c>
      <c r="AG926" s="81">
        <v>116</v>
      </c>
      <c r="AH926" s="81">
        <v>16801</v>
      </c>
      <c r="AI926" s="81">
        <v>42583</v>
      </c>
      <c r="AJ926" s="81"/>
      <c r="AK926" s="81"/>
      <c r="AL926" s="81" t="s">
        <v>10975</v>
      </c>
      <c r="AM926" s="81"/>
      <c r="AN926" s="81"/>
      <c r="AO926" s="83">
        <v>42477.613796296297</v>
      </c>
      <c r="AP926" s="81"/>
      <c r="AQ926" s="81" t="b">
        <v>1</v>
      </c>
      <c r="AR926" s="81" t="b">
        <v>0</v>
      </c>
      <c r="AS926" s="81" t="b">
        <v>0</v>
      </c>
      <c r="AT926" s="81"/>
      <c r="AU926" s="81">
        <v>0</v>
      </c>
      <c r="AV926" s="81"/>
      <c r="AW926" s="81" t="b">
        <v>0</v>
      </c>
      <c r="AX926" s="81" t="s">
        <v>3728</v>
      </c>
      <c r="AY926" s="84" t="str">
        <f>HYPERLINK("https://twitter.com/nicofernandes_")</f>
        <v>https://twitter.com/nicofernandes_</v>
      </c>
      <c r="AZ926" s="81" t="s">
        <v>66</v>
      </c>
      <c r="BA926" s="2"/>
      <c r="BB926" s="3"/>
      <c r="BC926" s="3"/>
      <c r="BD926" s="3"/>
      <c r="BE926" s="3"/>
    </row>
    <row r="927" spans="1:57" x14ac:dyDescent="0.35">
      <c r="A927" s="66" t="s">
        <v>4596</v>
      </c>
      <c r="B927" s="67"/>
      <c r="C927" s="67"/>
      <c r="D927" s="68"/>
      <c r="E927" s="94"/>
      <c r="F927" s="93" t="str">
        <f>HYPERLINK("https://pbs.twimg.com/profile_images/1328140370706915328/RAIlenNW_normal.jpg")</f>
        <v>https://pbs.twimg.com/profile_images/1328140370706915328/RAIlenNW_normal.jpg</v>
      </c>
      <c r="G927" s="95"/>
      <c r="H927" s="71"/>
      <c r="I927" s="72"/>
      <c r="J927" s="96"/>
      <c r="K927" s="71" t="s">
        <v>11984</v>
      </c>
      <c r="L927" s="97"/>
      <c r="M927" s="76"/>
      <c r="N927" s="76"/>
      <c r="O927" s="77"/>
      <c r="P927" s="78"/>
      <c r="Q927" s="78"/>
      <c r="R927" s="92"/>
      <c r="S927" s="92"/>
      <c r="T927" s="92"/>
      <c r="U927" s="92"/>
      <c r="V927" s="52"/>
      <c r="W927" s="52"/>
      <c r="X927" s="52"/>
      <c r="Y927" s="52"/>
      <c r="Z927" s="51"/>
      <c r="AA927" s="73"/>
      <c r="AB927" s="73"/>
      <c r="AC927" s="74"/>
      <c r="AD927" s="81" t="s">
        <v>8610</v>
      </c>
      <c r="AE927" s="86" t="s">
        <v>9598</v>
      </c>
      <c r="AF927" s="81">
        <v>3900</v>
      </c>
      <c r="AG927" s="81">
        <v>3078</v>
      </c>
      <c r="AH927" s="81">
        <v>17785</v>
      </c>
      <c r="AI927" s="81">
        <v>75479</v>
      </c>
      <c r="AJ927" s="81"/>
      <c r="AK927" s="81"/>
      <c r="AL927" s="81"/>
      <c r="AM927" s="81"/>
      <c r="AN927" s="81"/>
      <c r="AO927" s="83">
        <v>42054.00409722222</v>
      </c>
      <c r="AP927" s="84" t="str">
        <f>HYPERLINK("https://pbs.twimg.com/profile_banners/3044797474/1584327064")</f>
        <v>https://pbs.twimg.com/profile_banners/3044797474/1584327064</v>
      </c>
      <c r="AQ927" s="81" t="b">
        <v>0</v>
      </c>
      <c r="AR927" s="81" t="b">
        <v>0</v>
      </c>
      <c r="AS927" s="81" t="b">
        <v>0</v>
      </c>
      <c r="AT927" s="81"/>
      <c r="AU927" s="81">
        <v>1</v>
      </c>
      <c r="AV927" s="84" t="str">
        <f>HYPERLINK("https://abs.twimg.com/images/themes/theme4/bg.gif")</f>
        <v>https://abs.twimg.com/images/themes/theme4/bg.gif</v>
      </c>
      <c r="AW927" s="81" t="b">
        <v>0</v>
      </c>
      <c r="AX927" s="81" t="s">
        <v>3728</v>
      </c>
      <c r="AY927" s="84" t="str">
        <f>HYPERLINK("https://twitter.com/rosenyjulio")</f>
        <v>https://twitter.com/rosenyjulio</v>
      </c>
      <c r="AZ927" s="81" t="s">
        <v>66</v>
      </c>
      <c r="BA927" s="2"/>
      <c r="BB927" s="3"/>
      <c r="BC927" s="3"/>
      <c r="BD927" s="3"/>
      <c r="BE927" s="3"/>
    </row>
    <row r="928" spans="1:57" x14ac:dyDescent="0.35">
      <c r="A928" s="66" t="s">
        <v>5133</v>
      </c>
      <c r="B928" s="67"/>
      <c r="C928" s="67"/>
      <c r="D928" s="68"/>
      <c r="E928" s="94"/>
      <c r="F928" s="93" t="str">
        <f>HYPERLINK("https://pbs.twimg.com/profile_images/1405588719520911365/Bg_zOGys_normal.jpg")</f>
        <v>https://pbs.twimg.com/profile_images/1405588719520911365/Bg_zOGys_normal.jpg</v>
      </c>
      <c r="G928" s="95"/>
      <c r="H928" s="71"/>
      <c r="I928" s="72"/>
      <c r="J928" s="96"/>
      <c r="K928" s="71" t="s">
        <v>11985</v>
      </c>
      <c r="L928" s="97"/>
      <c r="M928" s="76"/>
      <c r="N928" s="76"/>
      <c r="O928" s="77"/>
      <c r="P928" s="78"/>
      <c r="Q928" s="78"/>
      <c r="R928" s="92"/>
      <c r="S928" s="92"/>
      <c r="T928" s="92"/>
      <c r="U928" s="92"/>
      <c r="V928" s="52"/>
      <c r="W928" s="52"/>
      <c r="X928" s="52"/>
      <c r="Y928" s="52"/>
      <c r="Z928" s="51"/>
      <c r="AA928" s="73"/>
      <c r="AB928" s="73"/>
      <c r="AC928" s="74"/>
      <c r="AD928" s="81" t="s">
        <v>8611</v>
      </c>
      <c r="AE928" s="86" t="s">
        <v>7885</v>
      </c>
      <c r="AF928" s="81">
        <v>591</v>
      </c>
      <c r="AG928" s="81">
        <v>51664</v>
      </c>
      <c r="AH928" s="81">
        <v>26654</v>
      </c>
      <c r="AI928" s="81">
        <v>14560</v>
      </c>
      <c r="AJ928" s="81"/>
      <c r="AK928" s="81" t="s">
        <v>10542</v>
      </c>
      <c r="AL928" s="81" t="s">
        <v>8003</v>
      </c>
      <c r="AM928" s="84" t="str">
        <f>HYPERLINK("https://t.co/l6HWx0fOox")</f>
        <v>https://t.co/l6HWx0fOox</v>
      </c>
      <c r="AN928" s="81"/>
      <c r="AO928" s="83">
        <v>41844.742731481485</v>
      </c>
      <c r="AP928" s="84" t="str">
        <f>HYPERLINK("https://pbs.twimg.com/profile_banners/2677675820/1620164792")</f>
        <v>https://pbs.twimg.com/profile_banners/2677675820/1620164792</v>
      </c>
      <c r="AQ928" s="81" t="b">
        <v>0</v>
      </c>
      <c r="AR928" s="81" t="b">
        <v>0</v>
      </c>
      <c r="AS928" s="81" t="b">
        <v>1</v>
      </c>
      <c r="AT928" s="81"/>
      <c r="AU928" s="81">
        <v>270</v>
      </c>
      <c r="AV928" s="84" t="str">
        <f>HYPERLINK("https://abs.twimg.com/images/themes/theme1/bg.png")</f>
        <v>https://abs.twimg.com/images/themes/theme1/bg.png</v>
      </c>
      <c r="AW928" s="81" t="b">
        <v>1</v>
      </c>
      <c r="AX928" s="81" t="s">
        <v>3728</v>
      </c>
      <c r="AY928" s="84" t="str">
        <f>HYPERLINK("https://twitter.com/senadorpaulor")</f>
        <v>https://twitter.com/senadorpaulor</v>
      </c>
      <c r="AZ928" s="81" t="s">
        <v>65</v>
      </c>
      <c r="BA928" s="2"/>
      <c r="BB928" s="3"/>
      <c r="BC928" s="3"/>
      <c r="BD928" s="3"/>
      <c r="BE928" s="3"/>
    </row>
    <row r="929" spans="1:57" x14ac:dyDescent="0.35">
      <c r="A929" s="66" t="s">
        <v>4597</v>
      </c>
      <c r="B929" s="67"/>
      <c r="C929" s="67"/>
      <c r="D929" s="68"/>
      <c r="E929" s="94"/>
      <c r="F929" s="93" t="str">
        <f>HYPERLINK("https://pbs.twimg.com/profile_images/1324722608970080256/IWoKOVdJ_normal.jpg")</f>
        <v>https://pbs.twimg.com/profile_images/1324722608970080256/IWoKOVdJ_normal.jpg</v>
      </c>
      <c r="G929" s="95"/>
      <c r="H929" s="71"/>
      <c r="I929" s="72"/>
      <c r="J929" s="96"/>
      <c r="K929" s="71" t="s">
        <v>11986</v>
      </c>
      <c r="L929" s="97"/>
      <c r="M929" s="76"/>
      <c r="N929" s="76"/>
      <c r="O929" s="77"/>
      <c r="P929" s="78"/>
      <c r="Q929" s="78"/>
      <c r="R929" s="92"/>
      <c r="S929" s="92"/>
      <c r="T929" s="92"/>
      <c r="U929" s="92"/>
      <c r="V929" s="52"/>
      <c r="W929" s="52"/>
      <c r="X929" s="52"/>
      <c r="Y929" s="52"/>
      <c r="Z929" s="51"/>
      <c r="AA929" s="73"/>
      <c r="AB929" s="73"/>
      <c r="AC929" s="74"/>
      <c r="AD929" s="81" t="s">
        <v>8612</v>
      </c>
      <c r="AE929" s="86" t="s">
        <v>9599</v>
      </c>
      <c r="AF929" s="81">
        <v>1008</v>
      </c>
      <c r="AG929" s="81">
        <v>832</v>
      </c>
      <c r="AH929" s="81">
        <v>168948</v>
      </c>
      <c r="AI929" s="81">
        <v>345783</v>
      </c>
      <c r="AJ929" s="81"/>
      <c r="AK929" s="81" t="s">
        <v>10543</v>
      </c>
      <c r="AL929" s="81"/>
      <c r="AM929" s="81"/>
      <c r="AN929" s="81"/>
      <c r="AO929" s="83">
        <v>40761.737118055556</v>
      </c>
      <c r="AP929" s="84" t="str">
        <f>HYPERLINK("https://pbs.twimg.com/profile_banners/349777897/1592016219")</f>
        <v>https://pbs.twimg.com/profile_banners/349777897/1592016219</v>
      </c>
      <c r="AQ929" s="81" t="b">
        <v>0</v>
      </c>
      <c r="AR929" s="81" t="b">
        <v>0</v>
      </c>
      <c r="AS929" s="81" t="b">
        <v>1</v>
      </c>
      <c r="AT929" s="81"/>
      <c r="AU929" s="81">
        <v>11</v>
      </c>
      <c r="AV929" s="84" t="str">
        <f>HYPERLINK("https://abs.twimg.com/images/themes/theme1/bg.png")</f>
        <v>https://abs.twimg.com/images/themes/theme1/bg.png</v>
      </c>
      <c r="AW929" s="81" t="b">
        <v>0</v>
      </c>
      <c r="AX929" s="81" t="s">
        <v>3728</v>
      </c>
      <c r="AY929" s="84" t="str">
        <f>HYPERLINK("https://twitter.com/naosabelidar")</f>
        <v>https://twitter.com/naosabelidar</v>
      </c>
      <c r="AZ929" s="81" t="s">
        <v>66</v>
      </c>
      <c r="BA929" s="2"/>
      <c r="BB929" s="3"/>
      <c r="BC929" s="3"/>
      <c r="BD929" s="3"/>
      <c r="BE929" s="3"/>
    </row>
    <row r="930" spans="1:57" x14ac:dyDescent="0.35">
      <c r="A930" s="66" t="s">
        <v>4598</v>
      </c>
      <c r="B930" s="67"/>
      <c r="C930" s="67"/>
      <c r="D930" s="68"/>
      <c r="E930" s="94"/>
      <c r="F930" s="93" t="str">
        <f>HYPERLINK("https://pbs.twimg.com/profile_images/1139870229574692864/80_yf8Ie_normal.png")</f>
        <v>https://pbs.twimg.com/profile_images/1139870229574692864/80_yf8Ie_normal.png</v>
      </c>
      <c r="G930" s="95"/>
      <c r="H930" s="71"/>
      <c r="I930" s="72"/>
      <c r="J930" s="96"/>
      <c r="K930" s="71" t="s">
        <v>11987</v>
      </c>
      <c r="L930" s="97"/>
      <c r="M930" s="76"/>
      <c r="N930" s="76"/>
      <c r="O930" s="77"/>
      <c r="P930" s="78"/>
      <c r="Q930" s="78"/>
      <c r="R930" s="92"/>
      <c r="S930" s="92"/>
      <c r="T930" s="92"/>
      <c r="U930" s="92"/>
      <c r="V930" s="52"/>
      <c r="W930" s="52"/>
      <c r="X930" s="52"/>
      <c r="Y930" s="52"/>
      <c r="Z930" s="51"/>
      <c r="AA930" s="73"/>
      <c r="AB930" s="73"/>
      <c r="AC930" s="74"/>
      <c r="AD930" s="81" t="s">
        <v>8613</v>
      </c>
      <c r="AE930" s="86" t="s">
        <v>9600</v>
      </c>
      <c r="AF930" s="81">
        <v>735</v>
      </c>
      <c r="AG930" s="81">
        <v>384</v>
      </c>
      <c r="AH930" s="81">
        <v>45541</v>
      </c>
      <c r="AI930" s="81">
        <v>98624</v>
      </c>
      <c r="AJ930" s="81"/>
      <c r="AK930" s="81" t="s">
        <v>10544</v>
      </c>
      <c r="AL930" s="81" t="s">
        <v>8019</v>
      </c>
      <c r="AM930" s="81"/>
      <c r="AN930" s="81"/>
      <c r="AO930" s="83">
        <v>43629.727361111109</v>
      </c>
      <c r="AP930" s="81"/>
      <c r="AQ930" s="81" t="b">
        <v>1</v>
      </c>
      <c r="AR930" s="81" t="b">
        <v>0</v>
      </c>
      <c r="AS930" s="81" t="b">
        <v>0</v>
      </c>
      <c r="AT930" s="81"/>
      <c r="AU930" s="81">
        <v>0</v>
      </c>
      <c r="AV930" s="81"/>
      <c r="AW930" s="81" t="b">
        <v>0</v>
      </c>
      <c r="AX930" s="81" t="s">
        <v>3728</v>
      </c>
      <c r="AY930" s="84" t="str">
        <f>HYPERLINK("https://twitter.com/clausfarscape")</f>
        <v>https://twitter.com/clausfarscape</v>
      </c>
      <c r="AZ930" s="81" t="s">
        <v>66</v>
      </c>
      <c r="BA930" s="2"/>
      <c r="BB930" s="3"/>
      <c r="BC930" s="3"/>
      <c r="BD930" s="3"/>
      <c r="BE930" s="3"/>
    </row>
    <row r="931" spans="1:57" x14ac:dyDescent="0.35">
      <c r="A931" s="66" t="s">
        <v>4599</v>
      </c>
      <c r="B931" s="67"/>
      <c r="C931" s="67"/>
      <c r="D931" s="68"/>
      <c r="E931" s="94"/>
      <c r="F931" s="93" t="str">
        <f>HYPERLINK("https://pbs.twimg.com/profile_images/1439425249414680576/AKDpVLmg_normal.jpg")</f>
        <v>https://pbs.twimg.com/profile_images/1439425249414680576/AKDpVLmg_normal.jpg</v>
      </c>
      <c r="G931" s="95"/>
      <c r="H931" s="71"/>
      <c r="I931" s="72"/>
      <c r="J931" s="96"/>
      <c r="K931" s="71" t="s">
        <v>11988</v>
      </c>
      <c r="L931" s="97"/>
      <c r="M931" s="76"/>
      <c r="N931" s="76"/>
      <c r="O931" s="77"/>
      <c r="P931" s="78"/>
      <c r="Q931" s="78"/>
      <c r="R931" s="92"/>
      <c r="S931" s="92"/>
      <c r="T931" s="92"/>
      <c r="U931" s="92"/>
      <c r="V931" s="52"/>
      <c r="W931" s="52"/>
      <c r="X931" s="52"/>
      <c r="Y931" s="52"/>
      <c r="Z931" s="51"/>
      <c r="AA931" s="73"/>
      <c r="AB931" s="73"/>
      <c r="AC931" s="74"/>
      <c r="AD931" s="81" t="s">
        <v>8614</v>
      </c>
      <c r="AE931" s="86" t="s">
        <v>9601</v>
      </c>
      <c r="AF931" s="81">
        <v>4139</v>
      </c>
      <c r="AG931" s="81">
        <v>1466</v>
      </c>
      <c r="AH931" s="81">
        <v>43323</v>
      </c>
      <c r="AI931" s="81">
        <v>105099</v>
      </c>
      <c r="AJ931" s="81"/>
      <c r="AK931" s="81"/>
      <c r="AL931" s="81"/>
      <c r="AM931" s="81"/>
      <c r="AN931" s="81"/>
      <c r="AO931" s="83">
        <v>41749.932476851849</v>
      </c>
      <c r="AP931" s="84" t="str">
        <f>HYPERLINK("https://pbs.twimg.com/profile_banners/2498241807/1611973678")</f>
        <v>https://pbs.twimg.com/profile_banners/2498241807/1611973678</v>
      </c>
      <c r="AQ931" s="81" t="b">
        <v>0</v>
      </c>
      <c r="AR931" s="81" t="b">
        <v>0</v>
      </c>
      <c r="AS931" s="81" t="b">
        <v>0</v>
      </c>
      <c r="AT931" s="81"/>
      <c r="AU931" s="81">
        <v>0</v>
      </c>
      <c r="AV931" s="84" t="str">
        <f>HYPERLINK("https://abs.twimg.com/images/themes/theme1/bg.png")</f>
        <v>https://abs.twimg.com/images/themes/theme1/bg.png</v>
      </c>
      <c r="AW931" s="81" t="b">
        <v>0</v>
      </c>
      <c r="AX931" s="81" t="s">
        <v>3728</v>
      </c>
      <c r="AY931" s="84" t="str">
        <f>HYPERLINK("https://twitter.com/rtitareis")</f>
        <v>https://twitter.com/rtitareis</v>
      </c>
      <c r="AZ931" s="81" t="s">
        <v>66</v>
      </c>
      <c r="BA931" s="2"/>
      <c r="BB931" s="3"/>
      <c r="BC931" s="3"/>
      <c r="BD931" s="3"/>
      <c r="BE931" s="3"/>
    </row>
    <row r="932" spans="1:57" x14ac:dyDescent="0.35">
      <c r="A932" s="66" t="s">
        <v>4600</v>
      </c>
      <c r="B932" s="67"/>
      <c r="C932" s="67"/>
      <c r="D932" s="68"/>
      <c r="E932" s="94"/>
      <c r="F932" s="93" t="str">
        <f>HYPERLINK("https://pbs.twimg.com/profile_images/1407111869769256975/HlSYklGU_normal.jpg")</f>
        <v>https://pbs.twimg.com/profile_images/1407111869769256975/HlSYklGU_normal.jpg</v>
      </c>
      <c r="G932" s="95"/>
      <c r="H932" s="71"/>
      <c r="I932" s="72"/>
      <c r="J932" s="96"/>
      <c r="K932" s="71" t="s">
        <v>11989</v>
      </c>
      <c r="L932" s="97"/>
      <c r="M932" s="76"/>
      <c r="N932" s="76"/>
      <c r="O932" s="77"/>
      <c r="P932" s="78"/>
      <c r="Q932" s="78"/>
      <c r="R932" s="92"/>
      <c r="S932" s="92"/>
      <c r="T932" s="92"/>
      <c r="U932" s="92"/>
      <c r="V932" s="52"/>
      <c r="W932" s="52"/>
      <c r="X932" s="52"/>
      <c r="Y932" s="52"/>
      <c r="Z932" s="51"/>
      <c r="AA932" s="73"/>
      <c r="AB932" s="73"/>
      <c r="AC932" s="74"/>
      <c r="AD932" s="81" t="s">
        <v>8615</v>
      </c>
      <c r="AE932" s="86" t="s">
        <v>9602</v>
      </c>
      <c r="AF932" s="81">
        <v>619</v>
      </c>
      <c r="AG932" s="81">
        <v>407</v>
      </c>
      <c r="AH932" s="81">
        <v>37552</v>
      </c>
      <c r="AI932" s="81">
        <v>142863</v>
      </c>
      <c r="AJ932" s="81"/>
      <c r="AK932" s="81" t="s">
        <v>10545</v>
      </c>
      <c r="AL932" s="81"/>
      <c r="AM932" s="81"/>
      <c r="AN932" s="81"/>
      <c r="AO932" s="83">
        <v>43357.854629629626</v>
      </c>
      <c r="AP932" s="84" t="str">
        <f>HYPERLINK("https://pbs.twimg.com/profile_banners/1040699374316277762/1618530824")</f>
        <v>https://pbs.twimg.com/profile_banners/1040699374316277762/1618530824</v>
      </c>
      <c r="AQ932" s="81" t="b">
        <v>1</v>
      </c>
      <c r="AR932" s="81" t="b">
        <v>0</v>
      </c>
      <c r="AS932" s="81" t="b">
        <v>0</v>
      </c>
      <c r="AT932" s="81"/>
      <c r="AU932" s="81">
        <v>0</v>
      </c>
      <c r="AV932" s="81"/>
      <c r="AW932" s="81" t="b">
        <v>0</v>
      </c>
      <c r="AX932" s="81" t="s">
        <v>3728</v>
      </c>
      <c r="AY932" s="84" t="str">
        <f>HYPERLINK("https://twitter.com/izasaocoe")</f>
        <v>https://twitter.com/izasaocoe</v>
      </c>
      <c r="AZ932" s="81" t="s">
        <v>66</v>
      </c>
      <c r="BA932" s="2"/>
      <c r="BB932" s="3"/>
      <c r="BC932" s="3"/>
      <c r="BD932" s="3"/>
      <c r="BE932" s="3"/>
    </row>
    <row r="933" spans="1:57" x14ac:dyDescent="0.35">
      <c r="A933" s="66" t="s">
        <v>4601</v>
      </c>
      <c r="B933" s="67"/>
      <c r="C933" s="67"/>
      <c r="D933" s="68"/>
      <c r="E933" s="94"/>
      <c r="F933" s="93" t="str">
        <f>HYPERLINK("https://pbs.twimg.com/profile_images/1441010011057106948/jHNShNEu_normal.jpg")</f>
        <v>https://pbs.twimg.com/profile_images/1441010011057106948/jHNShNEu_normal.jpg</v>
      </c>
      <c r="G933" s="95"/>
      <c r="H933" s="71"/>
      <c r="I933" s="72"/>
      <c r="J933" s="96"/>
      <c r="K933" s="71" t="s">
        <v>11990</v>
      </c>
      <c r="L933" s="97"/>
      <c r="M933" s="76"/>
      <c r="N933" s="76"/>
      <c r="O933" s="77"/>
      <c r="P933" s="78"/>
      <c r="Q933" s="78"/>
      <c r="R933" s="92"/>
      <c r="S933" s="92"/>
      <c r="T933" s="92"/>
      <c r="U933" s="92"/>
      <c r="V933" s="52"/>
      <c r="W933" s="52"/>
      <c r="X933" s="52"/>
      <c r="Y933" s="52"/>
      <c r="Z933" s="51"/>
      <c r="AA933" s="73"/>
      <c r="AB933" s="73"/>
      <c r="AC933" s="74"/>
      <c r="AD933" s="81" t="s">
        <v>8616</v>
      </c>
      <c r="AE933" s="86" t="s">
        <v>9603</v>
      </c>
      <c r="AF933" s="81">
        <v>1684</v>
      </c>
      <c r="AG933" s="81">
        <v>2016</v>
      </c>
      <c r="AH933" s="81">
        <v>63723</v>
      </c>
      <c r="AI933" s="81">
        <v>118507</v>
      </c>
      <c r="AJ933" s="81"/>
      <c r="AK933" s="81" t="s">
        <v>10546</v>
      </c>
      <c r="AL933" s="81" t="s">
        <v>11205</v>
      </c>
      <c r="AM933" s="84" t="str">
        <f>HYPERLINK("https://t.co/IcH5PqmXzU")</f>
        <v>https://t.co/IcH5PqmXzU</v>
      </c>
      <c r="AN933" s="81"/>
      <c r="AO933" s="83">
        <v>42835.953125</v>
      </c>
      <c r="AP933" s="84" t="str">
        <f>HYPERLINK("https://pbs.twimg.com/profile_banners/851568599047208960/1624136165")</f>
        <v>https://pbs.twimg.com/profile_banners/851568599047208960/1624136165</v>
      </c>
      <c r="AQ933" s="81" t="b">
        <v>1</v>
      </c>
      <c r="AR933" s="81" t="b">
        <v>0</v>
      </c>
      <c r="AS933" s="81" t="b">
        <v>1</v>
      </c>
      <c r="AT933" s="81"/>
      <c r="AU933" s="81">
        <v>3</v>
      </c>
      <c r="AV933" s="81"/>
      <c r="AW933" s="81" t="b">
        <v>0</v>
      </c>
      <c r="AX933" s="81" t="s">
        <v>3728</v>
      </c>
      <c r="AY933" s="84" t="str">
        <f>HYPERLINK("https://twitter.com/jv_larroza")</f>
        <v>https://twitter.com/jv_larroza</v>
      </c>
      <c r="AZ933" s="81" t="s">
        <v>66</v>
      </c>
      <c r="BA933" s="2"/>
      <c r="BB933" s="3"/>
      <c r="BC933" s="3"/>
      <c r="BD933" s="3"/>
      <c r="BE933" s="3"/>
    </row>
    <row r="934" spans="1:57" x14ac:dyDescent="0.35">
      <c r="A934" s="66" t="s">
        <v>4602</v>
      </c>
      <c r="B934" s="67"/>
      <c r="C934" s="67"/>
      <c r="D934" s="68"/>
      <c r="E934" s="94"/>
      <c r="F934" s="93" t="str">
        <f>HYPERLINK("https://pbs.twimg.com/profile_images/1275341005613682693/2e1AWBg9_normal.jpg")</f>
        <v>https://pbs.twimg.com/profile_images/1275341005613682693/2e1AWBg9_normal.jpg</v>
      </c>
      <c r="G934" s="95"/>
      <c r="H934" s="71"/>
      <c r="I934" s="72"/>
      <c r="J934" s="96"/>
      <c r="K934" s="71" t="s">
        <v>11991</v>
      </c>
      <c r="L934" s="97"/>
      <c r="M934" s="76"/>
      <c r="N934" s="76"/>
      <c r="O934" s="77"/>
      <c r="P934" s="78"/>
      <c r="Q934" s="78"/>
      <c r="R934" s="92"/>
      <c r="S934" s="92"/>
      <c r="T934" s="92"/>
      <c r="U934" s="92"/>
      <c r="V934" s="52"/>
      <c r="W934" s="52"/>
      <c r="X934" s="52"/>
      <c r="Y934" s="52"/>
      <c r="Z934" s="51"/>
      <c r="AA934" s="73"/>
      <c r="AB934" s="73"/>
      <c r="AC934" s="74"/>
      <c r="AD934" s="81" t="s">
        <v>8617</v>
      </c>
      <c r="AE934" s="86" t="s">
        <v>9604</v>
      </c>
      <c r="AF934" s="81">
        <v>631</v>
      </c>
      <c r="AG934" s="81">
        <v>63</v>
      </c>
      <c r="AH934" s="81">
        <v>12135</v>
      </c>
      <c r="AI934" s="81">
        <v>63414</v>
      </c>
      <c r="AJ934" s="81"/>
      <c r="AK934" s="81" t="s">
        <v>10547</v>
      </c>
      <c r="AL934" s="81" t="s">
        <v>10989</v>
      </c>
      <c r="AM934" s="81"/>
      <c r="AN934" s="81"/>
      <c r="AO934" s="83">
        <v>43927.190613425926</v>
      </c>
      <c r="AP934" s="84" t="str">
        <f>HYPERLINK("https://pbs.twimg.com/profile_banners/1247019452253843457/1593256429")</f>
        <v>https://pbs.twimg.com/profile_banners/1247019452253843457/1593256429</v>
      </c>
      <c r="AQ934" s="81" t="b">
        <v>1</v>
      </c>
      <c r="AR934" s="81" t="b">
        <v>0</v>
      </c>
      <c r="AS934" s="81" t="b">
        <v>0</v>
      </c>
      <c r="AT934" s="81"/>
      <c r="AU934" s="81">
        <v>0</v>
      </c>
      <c r="AV934" s="81"/>
      <c r="AW934" s="81" t="b">
        <v>0</v>
      </c>
      <c r="AX934" s="81" t="s">
        <v>3728</v>
      </c>
      <c r="AY934" s="84" t="str">
        <f>HYPERLINK("https://twitter.com/mattteusalves")</f>
        <v>https://twitter.com/mattteusalves</v>
      </c>
      <c r="AZ934" s="81" t="s">
        <v>66</v>
      </c>
      <c r="BA934" s="2"/>
      <c r="BB934" s="3"/>
      <c r="BC934" s="3"/>
      <c r="BD934" s="3"/>
      <c r="BE934" s="3"/>
    </row>
    <row r="935" spans="1:57" x14ac:dyDescent="0.35">
      <c r="A935" s="66" t="s">
        <v>4603</v>
      </c>
      <c r="B935" s="67"/>
      <c r="C935" s="67"/>
      <c r="D935" s="68"/>
      <c r="E935" s="94"/>
      <c r="F935" s="93" t="str">
        <f>HYPERLINK("https://pbs.twimg.com/profile_images/1380498395870158848/p9ZPRyVz_normal.jpg")</f>
        <v>https://pbs.twimg.com/profile_images/1380498395870158848/p9ZPRyVz_normal.jpg</v>
      </c>
      <c r="G935" s="95"/>
      <c r="H935" s="71"/>
      <c r="I935" s="72"/>
      <c r="J935" s="96"/>
      <c r="K935" s="71" t="s">
        <v>11992</v>
      </c>
      <c r="L935" s="97"/>
      <c r="M935" s="76"/>
      <c r="N935" s="76"/>
      <c r="O935" s="77"/>
      <c r="P935" s="78"/>
      <c r="Q935" s="78"/>
      <c r="R935" s="92"/>
      <c r="S935" s="92"/>
      <c r="T935" s="92"/>
      <c r="U935" s="92"/>
      <c r="V935" s="52"/>
      <c r="W935" s="52"/>
      <c r="X935" s="52"/>
      <c r="Y935" s="52"/>
      <c r="Z935" s="51"/>
      <c r="AA935" s="73"/>
      <c r="AB935" s="73"/>
      <c r="AC935" s="74"/>
      <c r="AD935" s="81" t="s">
        <v>8618</v>
      </c>
      <c r="AE935" s="86" t="s">
        <v>9605</v>
      </c>
      <c r="AF935" s="81">
        <v>1418</v>
      </c>
      <c r="AG935" s="81">
        <v>652</v>
      </c>
      <c r="AH935" s="81">
        <v>5730</v>
      </c>
      <c r="AI935" s="81">
        <v>27141</v>
      </c>
      <c r="AJ935" s="81"/>
      <c r="AK935" s="81" t="s">
        <v>10548</v>
      </c>
      <c r="AL935" s="81"/>
      <c r="AM935" s="81"/>
      <c r="AN935" s="81"/>
      <c r="AO935" s="83">
        <v>44257.591886574075</v>
      </c>
      <c r="AP935" s="84" t="str">
        <f>HYPERLINK("https://pbs.twimg.com/profile_banners/1366753211009409026/1632492998")</f>
        <v>https://pbs.twimg.com/profile_banners/1366753211009409026/1632492998</v>
      </c>
      <c r="AQ935" s="81" t="b">
        <v>1</v>
      </c>
      <c r="AR935" s="81" t="b">
        <v>0</v>
      </c>
      <c r="AS935" s="81" t="b">
        <v>0</v>
      </c>
      <c r="AT935" s="81"/>
      <c r="AU935" s="81">
        <v>0</v>
      </c>
      <c r="AV935" s="81"/>
      <c r="AW935" s="81" t="b">
        <v>0</v>
      </c>
      <c r="AX935" s="81" t="s">
        <v>3728</v>
      </c>
      <c r="AY935" s="84" t="str">
        <f>HYPERLINK("https://twitter.com/spezian0")</f>
        <v>https://twitter.com/spezian0</v>
      </c>
      <c r="AZ935" s="81" t="s">
        <v>66</v>
      </c>
      <c r="BA935" s="2"/>
      <c r="BB935" s="3"/>
      <c r="BC935" s="3"/>
      <c r="BD935" s="3"/>
      <c r="BE935" s="3"/>
    </row>
    <row r="936" spans="1:57" x14ac:dyDescent="0.35">
      <c r="A936" s="66" t="s">
        <v>4604</v>
      </c>
      <c r="B936" s="67"/>
      <c r="C936" s="67"/>
      <c r="D936" s="68"/>
      <c r="E936" s="94"/>
      <c r="F936" s="93" t="str">
        <f>HYPERLINK("https://pbs.twimg.com/profile_images/1233431543613403138/5WvTsFkw_normal.jpg")</f>
        <v>https://pbs.twimg.com/profile_images/1233431543613403138/5WvTsFkw_normal.jpg</v>
      </c>
      <c r="G936" s="95"/>
      <c r="H936" s="71"/>
      <c r="I936" s="72"/>
      <c r="J936" s="96"/>
      <c r="K936" s="71" t="s">
        <v>11993</v>
      </c>
      <c r="L936" s="97"/>
      <c r="M936" s="76"/>
      <c r="N936" s="76"/>
      <c r="O936" s="77"/>
      <c r="P936" s="78"/>
      <c r="Q936" s="78"/>
      <c r="R936" s="92"/>
      <c r="S936" s="92"/>
      <c r="T936" s="92"/>
      <c r="U936" s="92"/>
      <c r="V936" s="52"/>
      <c r="W936" s="52"/>
      <c r="X936" s="52"/>
      <c r="Y936" s="52"/>
      <c r="Z936" s="51"/>
      <c r="AA936" s="73"/>
      <c r="AB936" s="73"/>
      <c r="AC936" s="74"/>
      <c r="AD936" s="81" t="s">
        <v>8619</v>
      </c>
      <c r="AE936" s="86" t="s">
        <v>9606</v>
      </c>
      <c r="AF936" s="81">
        <v>967</v>
      </c>
      <c r="AG936" s="81">
        <v>160</v>
      </c>
      <c r="AH936" s="81">
        <v>2232</v>
      </c>
      <c r="AI936" s="81">
        <v>14535</v>
      </c>
      <c r="AJ936" s="81"/>
      <c r="AK936" s="81" t="s">
        <v>10549</v>
      </c>
      <c r="AL936" s="81"/>
      <c r="AM936" s="81"/>
      <c r="AN936" s="81"/>
      <c r="AO936" s="83">
        <v>42465.953252314815</v>
      </c>
      <c r="AP936" s="84" t="str">
        <f>HYPERLINK("https://pbs.twimg.com/profile_banners/717485137638866945/1582921853")</f>
        <v>https://pbs.twimg.com/profile_banners/717485137638866945/1582921853</v>
      </c>
      <c r="AQ936" s="81" t="b">
        <v>1</v>
      </c>
      <c r="AR936" s="81" t="b">
        <v>0</v>
      </c>
      <c r="AS936" s="81" t="b">
        <v>0</v>
      </c>
      <c r="AT936" s="81"/>
      <c r="AU936" s="81">
        <v>0</v>
      </c>
      <c r="AV936" s="81"/>
      <c r="AW936" s="81" t="b">
        <v>0</v>
      </c>
      <c r="AX936" s="81" t="s">
        <v>3728</v>
      </c>
      <c r="AY936" s="84" t="str">
        <f>HYPERLINK("https://twitter.com/bem_jonson")</f>
        <v>https://twitter.com/bem_jonson</v>
      </c>
      <c r="AZ936" s="81" t="s">
        <v>66</v>
      </c>
      <c r="BA936" s="2"/>
      <c r="BB936" s="3"/>
      <c r="BC936" s="3"/>
      <c r="BD936" s="3"/>
      <c r="BE936" s="3"/>
    </row>
    <row r="937" spans="1:57" x14ac:dyDescent="0.35">
      <c r="A937" s="66" t="s">
        <v>4606</v>
      </c>
      <c r="B937" s="67"/>
      <c r="C937" s="67"/>
      <c r="D937" s="68"/>
      <c r="E937" s="94"/>
      <c r="F937" s="93" t="str">
        <f>HYPERLINK("https://pbs.twimg.com/profile_images/1431032149902348297/iCQEmWoD_normal.jpg")</f>
        <v>https://pbs.twimg.com/profile_images/1431032149902348297/iCQEmWoD_normal.jpg</v>
      </c>
      <c r="G937" s="95"/>
      <c r="H937" s="71"/>
      <c r="I937" s="72"/>
      <c r="J937" s="96"/>
      <c r="K937" s="71" t="s">
        <v>11994</v>
      </c>
      <c r="L937" s="97"/>
      <c r="M937" s="76"/>
      <c r="N937" s="76"/>
      <c r="O937" s="77"/>
      <c r="P937" s="78"/>
      <c r="Q937" s="78"/>
      <c r="R937" s="92"/>
      <c r="S937" s="92"/>
      <c r="T937" s="92"/>
      <c r="U937" s="92"/>
      <c r="V937" s="52"/>
      <c r="W937" s="52"/>
      <c r="X937" s="52"/>
      <c r="Y937" s="52"/>
      <c r="Z937" s="51"/>
      <c r="AA937" s="73"/>
      <c r="AB937" s="73"/>
      <c r="AC937" s="74"/>
      <c r="AD937" s="81" t="s">
        <v>8621</v>
      </c>
      <c r="AE937" s="86" t="s">
        <v>9608</v>
      </c>
      <c r="AF937" s="81">
        <v>1026</v>
      </c>
      <c r="AG937" s="81">
        <v>1158</v>
      </c>
      <c r="AH937" s="81">
        <v>324892</v>
      </c>
      <c r="AI937" s="81">
        <v>272560</v>
      </c>
      <c r="AJ937" s="81"/>
      <c r="AK937" s="81" t="s">
        <v>10551</v>
      </c>
      <c r="AL937" s="81" t="s">
        <v>10975</v>
      </c>
      <c r="AM937" s="81"/>
      <c r="AN937" s="81"/>
      <c r="AO937" s="83">
        <v>40367.557500000003</v>
      </c>
      <c r="AP937" s="84" t="str">
        <f>HYPERLINK("https://pbs.twimg.com/profile_banners/164271643/1630019618")</f>
        <v>https://pbs.twimg.com/profile_banners/164271643/1630019618</v>
      </c>
      <c r="AQ937" s="81" t="b">
        <v>0</v>
      </c>
      <c r="AR937" s="81" t="b">
        <v>0</v>
      </c>
      <c r="AS937" s="81" t="b">
        <v>0</v>
      </c>
      <c r="AT937" s="81"/>
      <c r="AU937" s="81">
        <v>18</v>
      </c>
      <c r="AV937" s="84" t="str">
        <f>HYPERLINK("https://abs.twimg.com/images/themes/theme9/bg.gif")</f>
        <v>https://abs.twimg.com/images/themes/theme9/bg.gif</v>
      </c>
      <c r="AW937" s="81" t="b">
        <v>0</v>
      </c>
      <c r="AX937" s="81" t="s">
        <v>3728</v>
      </c>
      <c r="AY937" s="84" t="str">
        <f>HYPERLINK("https://twitter.com/claudiocalente")</f>
        <v>https://twitter.com/claudiocalente</v>
      </c>
      <c r="AZ937" s="81" t="s">
        <v>66</v>
      </c>
      <c r="BA937" s="2"/>
      <c r="BB937" s="3"/>
      <c r="BC937" s="3"/>
      <c r="BD937" s="3"/>
      <c r="BE937" s="3"/>
    </row>
    <row r="938" spans="1:57" x14ac:dyDescent="0.35">
      <c r="A938" s="66" t="s">
        <v>4607</v>
      </c>
      <c r="B938" s="67"/>
      <c r="C938" s="67"/>
      <c r="D938" s="68"/>
      <c r="E938" s="94"/>
      <c r="F938" s="93" t="str">
        <f>HYPERLINK("https://pbs.twimg.com/profile_images/1414917810065661953/Vdua60yu_normal.jpg")</f>
        <v>https://pbs.twimg.com/profile_images/1414917810065661953/Vdua60yu_normal.jpg</v>
      </c>
      <c r="G938" s="95"/>
      <c r="H938" s="71"/>
      <c r="I938" s="72"/>
      <c r="J938" s="96"/>
      <c r="K938" s="71" t="s">
        <v>11995</v>
      </c>
      <c r="L938" s="97"/>
      <c r="M938" s="76"/>
      <c r="N938" s="76"/>
      <c r="O938" s="77"/>
      <c r="P938" s="78"/>
      <c r="Q938" s="78"/>
      <c r="R938" s="92"/>
      <c r="S938" s="92"/>
      <c r="T938" s="92"/>
      <c r="U938" s="92"/>
      <c r="V938" s="52"/>
      <c r="W938" s="52"/>
      <c r="X938" s="52"/>
      <c r="Y938" s="52"/>
      <c r="Z938" s="51"/>
      <c r="AA938" s="73"/>
      <c r="AB938" s="73"/>
      <c r="AC938" s="74"/>
      <c r="AD938" s="81" t="s">
        <v>8622</v>
      </c>
      <c r="AE938" s="86" t="s">
        <v>9609</v>
      </c>
      <c r="AF938" s="81">
        <v>151</v>
      </c>
      <c r="AG938" s="81">
        <v>106</v>
      </c>
      <c r="AH938" s="81">
        <v>278</v>
      </c>
      <c r="AI938" s="81">
        <v>10789</v>
      </c>
      <c r="AJ938" s="81"/>
      <c r="AK938" s="81"/>
      <c r="AL938" s="81"/>
      <c r="AM938" s="81"/>
      <c r="AN938" s="81"/>
      <c r="AO938" s="83">
        <v>41465.697893518518</v>
      </c>
      <c r="AP938" s="84" t="str">
        <f>HYPERLINK("https://pbs.twimg.com/profile_banners/1583554081/1631656901")</f>
        <v>https://pbs.twimg.com/profile_banners/1583554081/1631656901</v>
      </c>
      <c r="AQ938" s="81" t="b">
        <v>1</v>
      </c>
      <c r="AR938" s="81" t="b">
        <v>0</v>
      </c>
      <c r="AS938" s="81" t="b">
        <v>0</v>
      </c>
      <c r="AT938" s="81"/>
      <c r="AU938" s="81">
        <v>0</v>
      </c>
      <c r="AV938" s="84" t="str">
        <f>HYPERLINK("https://abs.twimg.com/images/themes/theme1/bg.png")</f>
        <v>https://abs.twimg.com/images/themes/theme1/bg.png</v>
      </c>
      <c r="AW938" s="81" t="b">
        <v>0</v>
      </c>
      <c r="AX938" s="81" t="s">
        <v>3728</v>
      </c>
      <c r="AY938" s="84" t="str">
        <f>HYPERLINK("https://twitter.com/dinhasmile")</f>
        <v>https://twitter.com/dinhasmile</v>
      </c>
      <c r="AZ938" s="81" t="s">
        <v>66</v>
      </c>
      <c r="BA938" s="2"/>
      <c r="BB938" s="3"/>
      <c r="BC938" s="3"/>
      <c r="BD938" s="3"/>
      <c r="BE938" s="3"/>
    </row>
    <row r="939" spans="1:57" x14ac:dyDescent="0.35">
      <c r="A939" s="66" t="s">
        <v>4608</v>
      </c>
      <c r="B939" s="67"/>
      <c r="C939" s="67"/>
      <c r="D939" s="68"/>
      <c r="E939" s="94"/>
      <c r="F939" s="93" t="str">
        <f>HYPERLINK("https://pbs.twimg.com/profile_images/3749093540/6c9979d50ddc62aac34a765d37b237b8_normal.jpeg")</f>
        <v>https://pbs.twimg.com/profile_images/3749093540/6c9979d50ddc62aac34a765d37b237b8_normal.jpeg</v>
      </c>
      <c r="G939" s="95"/>
      <c r="H939" s="71"/>
      <c r="I939" s="72"/>
      <c r="J939" s="96"/>
      <c r="K939" s="71" t="s">
        <v>11996</v>
      </c>
      <c r="L939" s="97"/>
      <c r="M939" s="76"/>
      <c r="N939" s="76"/>
      <c r="O939" s="77"/>
      <c r="P939" s="78"/>
      <c r="Q939" s="78"/>
      <c r="R939" s="92"/>
      <c r="S939" s="92"/>
      <c r="T939" s="92"/>
      <c r="U939" s="92"/>
      <c r="V939" s="52"/>
      <c r="W939" s="52"/>
      <c r="X939" s="52"/>
      <c r="Y939" s="52"/>
      <c r="Z939" s="51"/>
      <c r="AA939" s="73"/>
      <c r="AB939" s="73"/>
      <c r="AC939" s="74"/>
      <c r="AD939" s="81" t="s">
        <v>8623</v>
      </c>
      <c r="AE939" s="86" t="s">
        <v>9610</v>
      </c>
      <c r="AF939" s="81">
        <v>977</v>
      </c>
      <c r="AG939" s="81">
        <v>204</v>
      </c>
      <c r="AH939" s="81">
        <v>6886</v>
      </c>
      <c r="AI939" s="81">
        <v>15426</v>
      </c>
      <c r="AJ939" s="81"/>
      <c r="AK939" s="81" t="s">
        <v>10552</v>
      </c>
      <c r="AL939" s="81" t="s">
        <v>10992</v>
      </c>
      <c r="AM939" s="81"/>
      <c r="AN939" s="81"/>
      <c r="AO939" s="83">
        <v>39975.787627314814</v>
      </c>
      <c r="AP939" s="84" t="str">
        <f>HYPERLINK("https://pbs.twimg.com/profile_banners/46459003/1370240713")</f>
        <v>https://pbs.twimg.com/profile_banners/46459003/1370240713</v>
      </c>
      <c r="AQ939" s="81" t="b">
        <v>0</v>
      </c>
      <c r="AR939" s="81" t="b">
        <v>0</v>
      </c>
      <c r="AS939" s="81" t="b">
        <v>0</v>
      </c>
      <c r="AT939" s="81"/>
      <c r="AU939" s="81">
        <v>3</v>
      </c>
      <c r="AV939" s="84" t="str">
        <f>HYPERLINK("https://abs.twimg.com/images/themes/theme1/bg.png")</f>
        <v>https://abs.twimg.com/images/themes/theme1/bg.png</v>
      </c>
      <c r="AW939" s="81" t="b">
        <v>0</v>
      </c>
      <c r="AX939" s="81" t="s">
        <v>3728</v>
      </c>
      <c r="AY939" s="84" t="str">
        <f>HYPERLINK("https://twitter.com/lune_blanche")</f>
        <v>https://twitter.com/lune_blanche</v>
      </c>
      <c r="AZ939" s="81" t="s">
        <v>66</v>
      </c>
      <c r="BA939" s="2"/>
      <c r="BB939" s="3"/>
      <c r="BC939" s="3"/>
      <c r="BD939" s="3"/>
      <c r="BE939" s="3"/>
    </row>
    <row r="940" spans="1:57" x14ac:dyDescent="0.35">
      <c r="A940" s="66" t="s">
        <v>4609</v>
      </c>
      <c r="B940" s="67"/>
      <c r="C940" s="67"/>
      <c r="D940" s="68"/>
      <c r="E940" s="94"/>
      <c r="F940" s="93" t="str">
        <f>HYPERLINK("https://pbs.twimg.com/profile_images/1399515735962140677/-BW0VZe__normal.jpg")</f>
        <v>https://pbs.twimg.com/profile_images/1399515735962140677/-BW0VZe__normal.jpg</v>
      </c>
      <c r="G940" s="95"/>
      <c r="H940" s="71"/>
      <c r="I940" s="72"/>
      <c r="J940" s="96"/>
      <c r="K940" s="71" t="s">
        <v>11997</v>
      </c>
      <c r="L940" s="97"/>
      <c r="M940" s="76"/>
      <c r="N940" s="76"/>
      <c r="O940" s="77"/>
      <c r="P940" s="78"/>
      <c r="Q940" s="78"/>
      <c r="R940" s="92"/>
      <c r="S940" s="92"/>
      <c r="T940" s="92"/>
      <c r="U940" s="92"/>
      <c r="V940" s="52"/>
      <c r="W940" s="52"/>
      <c r="X940" s="52"/>
      <c r="Y940" s="52"/>
      <c r="Z940" s="51"/>
      <c r="AA940" s="73"/>
      <c r="AB940" s="73"/>
      <c r="AC940" s="74"/>
      <c r="AD940" s="81" t="s">
        <v>8624</v>
      </c>
      <c r="AE940" s="86" t="s">
        <v>9611</v>
      </c>
      <c r="AF940" s="81">
        <v>1118</v>
      </c>
      <c r="AG940" s="81">
        <v>448</v>
      </c>
      <c r="AH940" s="81">
        <v>1065</v>
      </c>
      <c r="AI940" s="81">
        <v>10648</v>
      </c>
      <c r="AJ940" s="81"/>
      <c r="AK940" s="81" t="s">
        <v>10553</v>
      </c>
      <c r="AL940" s="81"/>
      <c r="AM940" s="81"/>
      <c r="AN940" s="81"/>
      <c r="AO940" s="83">
        <v>44347.862881944442</v>
      </c>
      <c r="AP940" s="84" t="str">
        <f>HYPERLINK("https://pbs.twimg.com/profile_banners/1399466295817609221/1622829890")</f>
        <v>https://pbs.twimg.com/profile_banners/1399466295817609221/1622829890</v>
      </c>
      <c r="AQ940" s="81" t="b">
        <v>1</v>
      </c>
      <c r="AR940" s="81" t="b">
        <v>0</v>
      </c>
      <c r="AS940" s="81" t="b">
        <v>0</v>
      </c>
      <c r="AT940" s="81"/>
      <c r="AU940" s="81">
        <v>0</v>
      </c>
      <c r="AV940" s="81"/>
      <c r="AW940" s="81" t="b">
        <v>0</v>
      </c>
      <c r="AX940" s="81" t="s">
        <v>3728</v>
      </c>
      <c r="AY940" s="84" t="str">
        <f>HYPERLINK("https://twitter.com/ombudsgus")</f>
        <v>https://twitter.com/ombudsgus</v>
      </c>
      <c r="AZ940" s="81" t="s">
        <v>66</v>
      </c>
      <c r="BA940" s="2"/>
      <c r="BB940" s="3"/>
      <c r="BC940" s="3"/>
      <c r="BD940" s="3"/>
      <c r="BE940" s="3"/>
    </row>
    <row r="941" spans="1:57" x14ac:dyDescent="0.35">
      <c r="A941" s="66" t="s">
        <v>4610</v>
      </c>
      <c r="B941" s="67"/>
      <c r="C941" s="67"/>
      <c r="D941" s="68"/>
      <c r="E941" s="94"/>
      <c r="F941" s="93" t="str">
        <f>HYPERLINK("https://pbs.twimg.com/profile_images/1435683416784113666/ozXZYE71_normal.jpg")</f>
        <v>https://pbs.twimg.com/profile_images/1435683416784113666/ozXZYE71_normal.jpg</v>
      </c>
      <c r="G941" s="95"/>
      <c r="H941" s="71"/>
      <c r="I941" s="72"/>
      <c r="J941" s="96"/>
      <c r="K941" s="71" t="s">
        <v>11998</v>
      </c>
      <c r="L941" s="97"/>
      <c r="M941" s="76"/>
      <c r="N941" s="76"/>
      <c r="O941" s="77"/>
      <c r="P941" s="78"/>
      <c r="Q941" s="78"/>
      <c r="R941" s="92"/>
      <c r="S941" s="92"/>
      <c r="T941" s="92"/>
      <c r="U941" s="92"/>
      <c r="V941" s="52"/>
      <c r="W941" s="52"/>
      <c r="X941" s="52"/>
      <c r="Y941" s="52"/>
      <c r="Z941" s="51"/>
      <c r="AA941" s="73"/>
      <c r="AB941" s="73"/>
      <c r="AC941" s="74"/>
      <c r="AD941" s="81" t="s">
        <v>8625</v>
      </c>
      <c r="AE941" s="86" t="s">
        <v>9612</v>
      </c>
      <c r="AF941" s="81">
        <v>425</v>
      </c>
      <c r="AG941" s="81">
        <v>64</v>
      </c>
      <c r="AH941" s="81">
        <v>8604</v>
      </c>
      <c r="AI941" s="81">
        <v>25359</v>
      </c>
      <c r="AJ941" s="81"/>
      <c r="AK941" s="81"/>
      <c r="AL941" s="81"/>
      <c r="AM941" s="81"/>
      <c r="AN941" s="81"/>
      <c r="AO941" s="83">
        <v>43347.972349537034</v>
      </c>
      <c r="AP941" s="84" t="str">
        <f>HYPERLINK("https://pbs.twimg.com/profile_banners/1037118152835047424/1586831583")</f>
        <v>https://pbs.twimg.com/profile_banners/1037118152835047424/1586831583</v>
      </c>
      <c r="AQ941" s="81" t="b">
        <v>1</v>
      </c>
      <c r="AR941" s="81" t="b">
        <v>0</v>
      </c>
      <c r="AS941" s="81" t="b">
        <v>1</v>
      </c>
      <c r="AT941" s="81"/>
      <c r="AU941" s="81">
        <v>0</v>
      </c>
      <c r="AV941" s="81"/>
      <c r="AW941" s="81" t="b">
        <v>0</v>
      </c>
      <c r="AX941" s="81" t="s">
        <v>3728</v>
      </c>
      <c r="AY941" s="84" t="str">
        <f>HYPERLINK("https://twitter.com/mendoncalicia")</f>
        <v>https://twitter.com/mendoncalicia</v>
      </c>
      <c r="AZ941" s="81" t="s">
        <v>66</v>
      </c>
      <c r="BA941" s="2"/>
      <c r="BB941" s="3"/>
      <c r="BC941" s="3"/>
      <c r="BD941" s="3"/>
      <c r="BE941" s="3"/>
    </row>
    <row r="942" spans="1:57" x14ac:dyDescent="0.35">
      <c r="A942" s="66" t="s">
        <v>4611</v>
      </c>
      <c r="B942" s="67"/>
      <c r="C942" s="67"/>
      <c r="D942" s="68"/>
      <c r="E942" s="94"/>
      <c r="F942" s="93" t="str">
        <f>HYPERLINK("https://pbs.twimg.com/profile_images/1436115445308923905/A-v_u4mh_normal.jpg")</f>
        <v>https://pbs.twimg.com/profile_images/1436115445308923905/A-v_u4mh_normal.jpg</v>
      </c>
      <c r="G942" s="95"/>
      <c r="H942" s="71"/>
      <c r="I942" s="72"/>
      <c r="J942" s="96"/>
      <c r="K942" s="71" t="s">
        <v>11999</v>
      </c>
      <c r="L942" s="97"/>
      <c r="M942" s="76"/>
      <c r="N942" s="76"/>
      <c r="O942" s="77"/>
      <c r="P942" s="78"/>
      <c r="Q942" s="78"/>
      <c r="R942" s="92"/>
      <c r="S942" s="92"/>
      <c r="T942" s="92"/>
      <c r="U942" s="92"/>
      <c r="V942" s="52"/>
      <c r="W942" s="52"/>
      <c r="X942" s="52"/>
      <c r="Y942" s="52"/>
      <c r="Z942" s="51"/>
      <c r="AA942" s="73"/>
      <c r="AB942" s="73"/>
      <c r="AC942" s="74"/>
      <c r="AD942" s="81" t="s">
        <v>8626</v>
      </c>
      <c r="AE942" s="86" t="s">
        <v>9613</v>
      </c>
      <c r="AF942" s="81">
        <v>470</v>
      </c>
      <c r="AG942" s="81">
        <v>809</v>
      </c>
      <c r="AH942" s="81">
        <v>39875</v>
      </c>
      <c r="AI942" s="81">
        <v>194699</v>
      </c>
      <c r="AJ942" s="81"/>
      <c r="AK942" s="81" t="s">
        <v>10554</v>
      </c>
      <c r="AL942" s="81" t="s">
        <v>11206</v>
      </c>
      <c r="AM942" s="81"/>
      <c r="AN942" s="81"/>
      <c r="AO942" s="83">
        <v>43021.37939814815</v>
      </c>
      <c r="AP942" s="84" t="str">
        <f>HYPERLINK("https://pbs.twimg.com/profile_banners/918764831477518341/1632248051")</f>
        <v>https://pbs.twimg.com/profile_banners/918764831477518341/1632248051</v>
      </c>
      <c r="AQ942" s="81" t="b">
        <v>0</v>
      </c>
      <c r="AR942" s="81" t="b">
        <v>0</v>
      </c>
      <c r="AS942" s="81" t="b">
        <v>0</v>
      </c>
      <c r="AT942" s="81"/>
      <c r="AU942" s="81">
        <v>0</v>
      </c>
      <c r="AV942" s="84" t="str">
        <f>HYPERLINK("https://abs.twimg.com/images/themes/theme1/bg.png")</f>
        <v>https://abs.twimg.com/images/themes/theme1/bg.png</v>
      </c>
      <c r="AW942" s="81" t="b">
        <v>0</v>
      </c>
      <c r="AX942" s="81" t="s">
        <v>3728</v>
      </c>
      <c r="AY942" s="84" t="str">
        <f>HYPERLINK("https://twitter.com/luciluladasilva")</f>
        <v>https://twitter.com/luciluladasilva</v>
      </c>
      <c r="AZ942" s="81" t="s">
        <v>66</v>
      </c>
      <c r="BA942" s="2"/>
      <c r="BB942" s="3"/>
      <c r="BC942" s="3"/>
      <c r="BD942" s="3"/>
      <c r="BE942" s="3"/>
    </row>
    <row r="943" spans="1:57" x14ac:dyDescent="0.35">
      <c r="A943" s="66" t="s">
        <v>4612</v>
      </c>
      <c r="B943" s="67"/>
      <c r="C943" s="67"/>
      <c r="D943" s="68"/>
      <c r="E943" s="94"/>
      <c r="F943" s="93" t="str">
        <f>HYPERLINK("https://pbs.twimg.com/profile_images/1400174830062915589/24Roceeq_normal.jpg")</f>
        <v>https://pbs.twimg.com/profile_images/1400174830062915589/24Roceeq_normal.jpg</v>
      </c>
      <c r="G943" s="95"/>
      <c r="H943" s="71"/>
      <c r="I943" s="72"/>
      <c r="J943" s="96"/>
      <c r="K943" s="71" t="s">
        <v>12000</v>
      </c>
      <c r="L943" s="97"/>
      <c r="M943" s="76"/>
      <c r="N943" s="76"/>
      <c r="O943" s="77"/>
      <c r="P943" s="78"/>
      <c r="Q943" s="78"/>
      <c r="R943" s="92"/>
      <c r="S943" s="92"/>
      <c r="T943" s="92"/>
      <c r="U943" s="92"/>
      <c r="V943" s="52"/>
      <c r="W943" s="52"/>
      <c r="X943" s="52"/>
      <c r="Y943" s="52"/>
      <c r="Z943" s="51"/>
      <c r="AA943" s="73"/>
      <c r="AB943" s="73"/>
      <c r="AC943" s="74"/>
      <c r="AD943" s="81" t="s">
        <v>8627</v>
      </c>
      <c r="AE943" s="86" t="s">
        <v>9614</v>
      </c>
      <c r="AF943" s="81">
        <v>146</v>
      </c>
      <c r="AG943" s="81">
        <v>58</v>
      </c>
      <c r="AH943" s="81">
        <v>430</v>
      </c>
      <c r="AI943" s="81">
        <v>6482</v>
      </c>
      <c r="AJ943" s="81"/>
      <c r="AK943" s="81" t="s">
        <v>10555</v>
      </c>
      <c r="AL943" s="81"/>
      <c r="AM943" s="81"/>
      <c r="AN943" s="81"/>
      <c r="AO943" s="83">
        <v>44349.815625000003</v>
      </c>
      <c r="AP943" s="81"/>
      <c r="AQ943" s="81" t="b">
        <v>1</v>
      </c>
      <c r="AR943" s="81" t="b">
        <v>0</v>
      </c>
      <c r="AS943" s="81" t="b">
        <v>0</v>
      </c>
      <c r="AT943" s="81"/>
      <c r="AU943" s="81">
        <v>0</v>
      </c>
      <c r="AV943" s="81"/>
      <c r="AW943" s="81" t="b">
        <v>0</v>
      </c>
      <c r="AX943" s="81" t="s">
        <v>3728</v>
      </c>
      <c r="AY943" s="84" t="str">
        <f>HYPERLINK("https://twitter.com/alexand04132949")</f>
        <v>https://twitter.com/alexand04132949</v>
      </c>
      <c r="AZ943" s="81" t="s">
        <v>66</v>
      </c>
      <c r="BA943" s="2"/>
      <c r="BB943" s="3"/>
      <c r="BC943" s="3"/>
      <c r="BD943" s="3"/>
      <c r="BE943" s="3"/>
    </row>
    <row r="944" spans="1:57" x14ac:dyDescent="0.35">
      <c r="A944" s="66" t="s">
        <v>4613</v>
      </c>
      <c r="B944" s="67"/>
      <c r="C944" s="67"/>
      <c r="D944" s="68"/>
      <c r="E944" s="94"/>
      <c r="F944" s="93" t="str">
        <f>HYPERLINK("https://abs.twimg.com/sticky/default_profile_images/default_profile_normal.png")</f>
        <v>https://abs.twimg.com/sticky/default_profile_images/default_profile_normal.png</v>
      </c>
      <c r="G944" s="95"/>
      <c r="H944" s="71"/>
      <c r="I944" s="72"/>
      <c r="J944" s="96"/>
      <c r="K944" s="71" t="s">
        <v>12001</v>
      </c>
      <c r="L944" s="97"/>
      <c r="M944" s="76"/>
      <c r="N944" s="76"/>
      <c r="O944" s="77"/>
      <c r="P944" s="78"/>
      <c r="Q944" s="78"/>
      <c r="R944" s="92"/>
      <c r="S944" s="92"/>
      <c r="T944" s="92"/>
      <c r="U944" s="92"/>
      <c r="V944" s="52"/>
      <c r="W944" s="52"/>
      <c r="X944" s="52"/>
      <c r="Y944" s="52"/>
      <c r="Z944" s="51"/>
      <c r="AA944" s="73"/>
      <c r="AB944" s="73"/>
      <c r="AC944" s="74"/>
      <c r="AD944" s="81" t="s">
        <v>8628</v>
      </c>
      <c r="AE944" s="86" t="s">
        <v>9615</v>
      </c>
      <c r="AF944" s="81">
        <v>740</v>
      </c>
      <c r="AG944" s="81">
        <v>565</v>
      </c>
      <c r="AH944" s="81">
        <v>31591</v>
      </c>
      <c r="AI944" s="81">
        <v>147434</v>
      </c>
      <c r="AJ944" s="81"/>
      <c r="AK944" s="81"/>
      <c r="AL944" s="81"/>
      <c r="AM944" s="81"/>
      <c r="AN944" s="81"/>
      <c r="AO944" s="83">
        <v>43440.848668981482</v>
      </c>
      <c r="AP944" s="81"/>
      <c r="AQ944" s="81" t="b">
        <v>1</v>
      </c>
      <c r="AR944" s="81" t="b">
        <v>1</v>
      </c>
      <c r="AS944" s="81" t="b">
        <v>1</v>
      </c>
      <c r="AT944" s="81"/>
      <c r="AU944" s="81">
        <v>0</v>
      </c>
      <c r="AV944" s="81"/>
      <c r="AW944" s="81" t="b">
        <v>0</v>
      </c>
      <c r="AX944" s="81" t="s">
        <v>3728</v>
      </c>
      <c r="AY944" s="84" t="str">
        <f>HYPERLINK("https://twitter.com/tania12446771")</f>
        <v>https://twitter.com/tania12446771</v>
      </c>
      <c r="AZ944" s="81" t="s">
        <v>66</v>
      </c>
      <c r="BA944" s="2"/>
      <c r="BB944" s="3"/>
      <c r="BC944" s="3"/>
      <c r="BD944" s="3"/>
      <c r="BE944" s="3"/>
    </row>
    <row r="945" spans="1:57" x14ac:dyDescent="0.35">
      <c r="A945" s="66" t="s">
        <v>4614</v>
      </c>
      <c r="B945" s="67"/>
      <c r="C945" s="67"/>
      <c r="D945" s="68"/>
      <c r="E945" s="94"/>
      <c r="F945" s="93" t="str">
        <f>HYPERLINK("https://pbs.twimg.com/profile_images/1328907775485890563/re5j-4dt_normal.jpg")</f>
        <v>https://pbs.twimg.com/profile_images/1328907775485890563/re5j-4dt_normal.jpg</v>
      </c>
      <c r="G945" s="95"/>
      <c r="H945" s="71"/>
      <c r="I945" s="72"/>
      <c r="J945" s="96"/>
      <c r="K945" s="71" t="s">
        <v>12002</v>
      </c>
      <c r="L945" s="97"/>
      <c r="M945" s="76"/>
      <c r="N945" s="76"/>
      <c r="O945" s="77"/>
      <c r="P945" s="78"/>
      <c r="Q945" s="78"/>
      <c r="R945" s="92"/>
      <c r="S945" s="92"/>
      <c r="T945" s="92"/>
      <c r="U945" s="92"/>
      <c r="V945" s="52"/>
      <c r="W945" s="52"/>
      <c r="X945" s="52"/>
      <c r="Y945" s="52"/>
      <c r="Z945" s="51"/>
      <c r="AA945" s="73"/>
      <c r="AB945" s="73"/>
      <c r="AC945" s="74"/>
      <c r="AD945" s="81" t="s">
        <v>8629</v>
      </c>
      <c r="AE945" s="86" t="s">
        <v>9616</v>
      </c>
      <c r="AF945" s="81">
        <v>3111</v>
      </c>
      <c r="AG945" s="81">
        <v>2663</v>
      </c>
      <c r="AH945" s="81">
        <v>13353</v>
      </c>
      <c r="AI945" s="81">
        <v>14857</v>
      </c>
      <c r="AJ945" s="81"/>
      <c r="AK945" s="81" t="s">
        <v>10556</v>
      </c>
      <c r="AL945" s="81"/>
      <c r="AM945" s="81"/>
      <c r="AN945" s="81"/>
      <c r="AO945" s="83">
        <v>43677.627303240741</v>
      </c>
      <c r="AP945" s="84" t="str">
        <f>HYPERLINK("https://pbs.twimg.com/profile_banners/1156581107686621185/1605561183")</f>
        <v>https://pbs.twimg.com/profile_banners/1156581107686621185/1605561183</v>
      </c>
      <c r="AQ945" s="81" t="b">
        <v>1</v>
      </c>
      <c r="AR945" s="81" t="b">
        <v>0</v>
      </c>
      <c r="AS945" s="81" t="b">
        <v>0</v>
      </c>
      <c r="AT945" s="81"/>
      <c r="AU945" s="81">
        <v>0</v>
      </c>
      <c r="AV945" s="81"/>
      <c r="AW945" s="81" t="b">
        <v>0</v>
      </c>
      <c r="AX945" s="81" t="s">
        <v>3728</v>
      </c>
      <c r="AY945" s="84" t="str">
        <f>HYPERLINK("https://twitter.com/mariocrpl")</f>
        <v>https://twitter.com/mariocrpl</v>
      </c>
      <c r="AZ945" s="81" t="s">
        <v>66</v>
      </c>
      <c r="BA945" s="2"/>
      <c r="BB945" s="3"/>
      <c r="BC945" s="3"/>
      <c r="BD945" s="3"/>
      <c r="BE945" s="3"/>
    </row>
    <row r="946" spans="1:57" x14ac:dyDescent="0.35">
      <c r="A946" s="66" t="s">
        <v>4615</v>
      </c>
      <c r="B946" s="67"/>
      <c r="C946" s="67"/>
      <c r="D946" s="68"/>
      <c r="E946" s="94"/>
      <c r="F946" s="93" t="str">
        <f>HYPERLINK("https://pbs.twimg.com/profile_images/512715077116366849/OB_YvcCP_normal.jpeg")</f>
        <v>https://pbs.twimg.com/profile_images/512715077116366849/OB_YvcCP_normal.jpeg</v>
      </c>
      <c r="G946" s="95"/>
      <c r="H946" s="71"/>
      <c r="I946" s="72"/>
      <c r="J946" s="96"/>
      <c r="K946" s="71" t="s">
        <v>12003</v>
      </c>
      <c r="L946" s="97"/>
      <c r="M946" s="76"/>
      <c r="N946" s="76"/>
      <c r="O946" s="77"/>
      <c r="P946" s="78"/>
      <c r="Q946" s="78"/>
      <c r="R946" s="92"/>
      <c r="S946" s="92"/>
      <c r="T946" s="92"/>
      <c r="U946" s="92"/>
      <c r="V946" s="52"/>
      <c r="W946" s="52"/>
      <c r="X946" s="52"/>
      <c r="Y946" s="52"/>
      <c r="Z946" s="51"/>
      <c r="AA946" s="73"/>
      <c r="AB946" s="73"/>
      <c r="AC946" s="74"/>
      <c r="AD946" s="81" t="s">
        <v>8630</v>
      </c>
      <c r="AE946" s="86" t="s">
        <v>9617</v>
      </c>
      <c r="AF946" s="81">
        <v>734</v>
      </c>
      <c r="AG946" s="81">
        <v>293</v>
      </c>
      <c r="AH946" s="81">
        <v>19470</v>
      </c>
      <c r="AI946" s="81">
        <v>24123</v>
      </c>
      <c r="AJ946" s="81"/>
      <c r="AK946" s="81"/>
      <c r="AL946" s="81" t="s">
        <v>11207</v>
      </c>
      <c r="AM946" s="81"/>
      <c r="AN946" s="81"/>
      <c r="AO946" s="83">
        <v>41900.889722222222</v>
      </c>
      <c r="AP946" s="81"/>
      <c r="AQ946" s="81" t="b">
        <v>1</v>
      </c>
      <c r="AR946" s="81" t="b">
        <v>0</v>
      </c>
      <c r="AS946" s="81" t="b">
        <v>0</v>
      </c>
      <c r="AT946" s="81"/>
      <c r="AU946" s="81">
        <v>0</v>
      </c>
      <c r="AV946" s="84" t="str">
        <f>HYPERLINK("https://abs.twimg.com/images/themes/theme1/bg.png")</f>
        <v>https://abs.twimg.com/images/themes/theme1/bg.png</v>
      </c>
      <c r="AW946" s="81" t="b">
        <v>0</v>
      </c>
      <c r="AX946" s="81" t="s">
        <v>3728</v>
      </c>
      <c r="AY946" s="84" t="str">
        <f>HYPERLINK("https://twitter.com/alessandresena")</f>
        <v>https://twitter.com/alessandresena</v>
      </c>
      <c r="AZ946" s="81" t="s">
        <v>66</v>
      </c>
      <c r="BA946" s="2"/>
      <c r="BB946" s="3"/>
      <c r="BC946" s="3"/>
      <c r="BD946" s="3"/>
      <c r="BE946" s="3"/>
    </row>
    <row r="947" spans="1:57" x14ac:dyDescent="0.35">
      <c r="A947" s="66" t="s">
        <v>4616</v>
      </c>
      <c r="B947" s="67"/>
      <c r="C947" s="67"/>
      <c r="D947" s="68"/>
      <c r="E947" s="94"/>
      <c r="F947" s="93" t="str">
        <f>HYPERLINK("https://pbs.twimg.com/profile_images/1204361194473185280/1SRNzZCK_normal.jpg")</f>
        <v>https://pbs.twimg.com/profile_images/1204361194473185280/1SRNzZCK_normal.jpg</v>
      </c>
      <c r="G947" s="95"/>
      <c r="H947" s="71"/>
      <c r="I947" s="72"/>
      <c r="J947" s="96"/>
      <c r="K947" s="71" t="s">
        <v>12004</v>
      </c>
      <c r="L947" s="97"/>
      <c r="M947" s="76"/>
      <c r="N947" s="76"/>
      <c r="O947" s="77"/>
      <c r="P947" s="78"/>
      <c r="Q947" s="78"/>
      <c r="R947" s="92"/>
      <c r="S947" s="92"/>
      <c r="T947" s="92"/>
      <c r="U947" s="92"/>
      <c r="V947" s="52"/>
      <c r="W947" s="52"/>
      <c r="X947" s="52"/>
      <c r="Y947" s="52"/>
      <c r="Z947" s="51"/>
      <c r="AA947" s="73"/>
      <c r="AB947" s="73"/>
      <c r="AC947" s="74"/>
      <c r="AD947" s="81" t="s">
        <v>4616</v>
      </c>
      <c r="AE947" s="86" t="s">
        <v>9618</v>
      </c>
      <c r="AF947" s="81">
        <v>41</v>
      </c>
      <c r="AG947" s="81">
        <v>76</v>
      </c>
      <c r="AH947" s="81">
        <v>12746</v>
      </c>
      <c r="AI947" s="81">
        <v>121</v>
      </c>
      <c r="AJ947" s="81"/>
      <c r="AK947" s="81" t="s">
        <v>10557</v>
      </c>
      <c r="AL947" s="81"/>
      <c r="AM947" s="81"/>
      <c r="AN947" s="81"/>
      <c r="AO947" s="83">
        <v>43809.475023148145</v>
      </c>
      <c r="AP947" s="81"/>
      <c r="AQ947" s="81" t="b">
        <v>1</v>
      </c>
      <c r="AR947" s="81" t="b">
        <v>0</v>
      </c>
      <c r="AS947" s="81" t="b">
        <v>0</v>
      </c>
      <c r="AT947" s="81"/>
      <c r="AU947" s="81">
        <v>5</v>
      </c>
      <c r="AV947" s="81"/>
      <c r="AW947" s="81" t="b">
        <v>0</v>
      </c>
      <c r="AX947" s="81" t="s">
        <v>3728</v>
      </c>
      <c r="AY947" s="84" t="str">
        <f>HYPERLINK("https://twitter.com/maisribatejo")</f>
        <v>https://twitter.com/maisribatejo</v>
      </c>
      <c r="AZ947" s="81" t="s">
        <v>66</v>
      </c>
      <c r="BA947" s="2"/>
      <c r="BB947" s="3"/>
      <c r="BC947" s="3"/>
      <c r="BD947" s="3"/>
      <c r="BE947" s="3"/>
    </row>
    <row r="948" spans="1:57" x14ac:dyDescent="0.35">
      <c r="A948" s="66" t="s">
        <v>4617</v>
      </c>
      <c r="B948" s="67"/>
      <c r="C948" s="67"/>
      <c r="D948" s="68"/>
      <c r="E948" s="94"/>
      <c r="F948" s="93" t="str">
        <f>HYPERLINK("https://pbs.twimg.com/profile_images/1433935770772033539/VsexMFBo_normal.jpg")</f>
        <v>https://pbs.twimg.com/profile_images/1433935770772033539/VsexMFBo_normal.jpg</v>
      </c>
      <c r="G948" s="95"/>
      <c r="H948" s="71"/>
      <c r="I948" s="72"/>
      <c r="J948" s="96"/>
      <c r="K948" s="71" t="s">
        <v>12005</v>
      </c>
      <c r="L948" s="97"/>
      <c r="M948" s="76"/>
      <c r="N948" s="76"/>
      <c r="O948" s="77"/>
      <c r="P948" s="78"/>
      <c r="Q948" s="78"/>
      <c r="R948" s="92"/>
      <c r="S948" s="92"/>
      <c r="T948" s="92"/>
      <c r="U948" s="92"/>
      <c r="V948" s="52"/>
      <c r="W948" s="52"/>
      <c r="X948" s="52"/>
      <c r="Y948" s="52"/>
      <c r="Z948" s="51"/>
      <c r="AA948" s="73"/>
      <c r="AB948" s="73"/>
      <c r="AC948" s="74"/>
      <c r="AD948" s="81" t="s">
        <v>8631</v>
      </c>
      <c r="AE948" s="86" t="s">
        <v>9619</v>
      </c>
      <c r="AF948" s="81">
        <v>2305</v>
      </c>
      <c r="AG948" s="81">
        <v>1277</v>
      </c>
      <c r="AH948" s="81">
        <v>51026</v>
      </c>
      <c r="AI948" s="81">
        <v>103530</v>
      </c>
      <c r="AJ948" s="81"/>
      <c r="AK948" s="81" t="s">
        <v>10558</v>
      </c>
      <c r="AL948" s="81"/>
      <c r="AM948" s="81"/>
      <c r="AN948" s="81"/>
      <c r="AO948" s="83">
        <v>40164.540567129632</v>
      </c>
      <c r="AP948" s="84" t="str">
        <f>HYPERLINK("https://pbs.twimg.com/profile_banners/97436269/1582023429")</f>
        <v>https://pbs.twimg.com/profile_banners/97436269/1582023429</v>
      </c>
      <c r="AQ948" s="81" t="b">
        <v>0</v>
      </c>
      <c r="AR948" s="81" t="b">
        <v>0</v>
      </c>
      <c r="AS948" s="81" t="b">
        <v>0</v>
      </c>
      <c r="AT948" s="81"/>
      <c r="AU948" s="81">
        <v>11</v>
      </c>
      <c r="AV948" s="84" t="str">
        <f>HYPERLINK("https://abs.twimg.com/images/themes/theme14/bg.gif")</f>
        <v>https://abs.twimg.com/images/themes/theme14/bg.gif</v>
      </c>
      <c r="AW948" s="81" t="b">
        <v>0</v>
      </c>
      <c r="AX948" s="81" t="s">
        <v>3728</v>
      </c>
      <c r="AY948" s="84" t="str">
        <f>HYPERLINK("https://twitter.com/sage_nada")</f>
        <v>https://twitter.com/sage_nada</v>
      </c>
      <c r="AZ948" s="81" t="s">
        <v>66</v>
      </c>
      <c r="BA948" s="2"/>
      <c r="BB948" s="3"/>
      <c r="BC948" s="3"/>
      <c r="BD948" s="3"/>
      <c r="BE948" s="3"/>
    </row>
    <row r="949" spans="1:57" x14ac:dyDescent="0.35">
      <c r="A949" s="66" t="s">
        <v>4618</v>
      </c>
      <c r="B949" s="67"/>
      <c r="C949" s="67"/>
      <c r="D949" s="68"/>
      <c r="E949" s="94"/>
      <c r="F949" s="93" t="str">
        <f>HYPERLINK("https://pbs.twimg.com/profile_images/1424443774982365192/JLiUHgHY_normal.jpg")</f>
        <v>https://pbs.twimg.com/profile_images/1424443774982365192/JLiUHgHY_normal.jpg</v>
      </c>
      <c r="G949" s="95"/>
      <c r="H949" s="71"/>
      <c r="I949" s="72"/>
      <c r="J949" s="96"/>
      <c r="K949" s="71" t="s">
        <v>12006</v>
      </c>
      <c r="L949" s="97"/>
      <c r="M949" s="76"/>
      <c r="N949" s="76"/>
      <c r="O949" s="77"/>
      <c r="P949" s="78"/>
      <c r="Q949" s="78"/>
      <c r="R949" s="92"/>
      <c r="S949" s="92"/>
      <c r="T949" s="92"/>
      <c r="U949" s="92"/>
      <c r="V949" s="52"/>
      <c r="W949" s="52"/>
      <c r="X949" s="52"/>
      <c r="Y949" s="52"/>
      <c r="Z949" s="51"/>
      <c r="AA949" s="73"/>
      <c r="AB949" s="73"/>
      <c r="AC949" s="74"/>
      <c r="AD949" s="81" t="s">
        <v>8632</v>
      </c>
      <c r="AE949" s="86" t="s">
        <v>9620</v>
      </c>
      <c r="AF949" s="81">
        <v>3779</v>
      </c>
      <c r="AG949" s="81">
        <v>2250</v>
      </c>
      <c r="AH949" s="81">
        <v>519769</v>
      </c>
      <c r="AI949" s="81">
        <v>374101</v>
      </c>
      <c r="AJ949" s="81"/>
      <c r="AK949" s="81" t="s">
        <v>10559</v>
      </c>
      <c r="AL949" s="81" t="s">
        <v>11208</v>
      </c>
      <c r="AM949" s="84" t="str">
        <f>HYPERLINK("https://t.co/6i1ecefTwF")</f>
        <v>https://t.co/6i1ecefTwF</v>
      </c>
      <c r="AN949" s="81"/>
      <c r="AO949" s="83">
        <v>40400.028067129628</v>
      </c>
      <c r="AP949" s="84" t="str">
        <f>HYPERLINK("https://pbs.twimg.com/profile_banners/176618654/1590461628")</f>
        <v>https://pbs.twimg.com/profile_banners/176618654/1590461628</v>
      </c>
      <c r="AQ949" s="81" t="b">
        <v>0</v>
      </c>
      <c r="AR949" s="81" t="b">
        <v>0</v>
      </c>
      <c r="AS949" s="81" t="b">
        <v>0</v>
      </c>
      <c r="AT949" s="81"/>
      <c r="AU949" s="81">
        <v>9</v>
      </c>
      <c r="AV949" s="84" t="str">
        <f>HYPERLINK("https://abs.twimg.com/images/themes/theme17/bg.gif")</f>
        <v>https://abs.twimg.com/images/themes/theme17/bg.gif</v>
      </c>
      <c r="AW949" s="81" t="b">
        <v>0</v>
      </c>
      <c r="AX949" s="81" t="s">
        <v>3728</v>
      </c>
      <c r="AY949" s="84" t="str">
        <f>HYPERLINK("https://twitter.com/warley_lopes")</f>
        <v>https://twitter.com/warley_lopes</v>
      </c>
      <c r="AZ949" s="81" t="s">
        <v>66</v>
      </c>
      <c r="BA949" s="2"/>
      <c r="BB949" s="3"/>
      <c r="BC949" s="3"/>
      <c r="BD949" s="3"/>
      <c r="BE949" s="3"/>
    </row>
    <row r="950" spans="1:57" x14ac:dyDescent="0.35">
      <c r="A950" s="66" t="s">
        <v>4619</v>
      </c>
      <c r="B950" s="67"/>
      <c r="C950" s="67"/>
      <c r="D950" s="68"/>
      <c r="E950" s="94"/>
      <c r="F950" s="93" t="str">
        <f>HYPERLINK("https://pbs.twimg.com/profile_images/1437471168165027851/SUNH3jDq_normal.jpg")</f>
        <v>https://pbs.twimg.com/profile_images/1437471168165027851/SUNH3jDq_normal.jpg</v>
      </c>
      <c r="G950" s="95"/>
      <c r="H950" s="71"/>
      <c r="I950" s="72"/>
      <c r="J950" s="96"/>
      <c r="K950" s="71" t="s">
        <v>12007</v>
      </c>
      <c r="L950" s="97"/>
      <c r="M950" s="76"/>
      <c r="N950" s="76"/>
      <c r="O950" s="77"/>
      <c r="P950" s="78"/>
      <c r="Q950" s="78"/>
      <c r="R950" s="92"/>
      <c r="S950" s="92"/>
      <c r="T950" s="92"/>
      <c r="U950" s="92"/>
      <c r="V950" s="52"/>
      <c r="W950" s="52"/>
      <c r="X950" s="52"/>
      <c r="Y950" s="52"/>
      <c r="Z950" s="51"/>
      <c r="AA950" s="73"/>
      <c r="AB950" s="73"/>
      <c r="AC950" s="74"/>
      <c r="AD950" s="81" t="s">
        <v>8633</v>
      </c>
      <c r="AE950" s="86" t="s">
        <v>9621</v>
      </c>
      <c r="AF950" s="81">
        <v>5842</v>
      </c>
      <c r="AG950" s="81">
        <v>5319</v>
      </c>
      <c r="AH950" s="81">
        <v>37722</v>
      </c>
      <c r="AI950" s="81">
        <v>51823</v>
      </c>
      <c r="AJ950" s="81"/>
      <c r="AK950" s="81" t="s">
        <v>10560</v>
      </c>
      <c r="AL950" s="81" t="s">
        <v>11209</v>
      </c>
      <c r="AM950" s="81"/>
      <c r="AN950" s="81"/>
      <c r="AO950" s="83">
        <v>40065.428541666668</v>
      </c>
      <c r="AP950" s="84" t="str">
        <f>HYPERLINK("https://pbs.twimg.com/profile_banners/72818858/1631554808")</f>
        <v>https://pbs.twimg.com/profile_banners/72818858/1631554808</v>
      </c>
      <c r="AQ950" s="81" t="b">
        <v>0</v>
      </c>
      <c r="AR950" s="81" t="b">
        <v>0</v>
      </c>
      <c r="AS950" s="81" t="b">
        <v>0</v>
      </c>
      <c r="AT950" s="81"/>
      <c r="AU950" s="81">
        <v>5</v>
      </c>
      <c r="AV950" s="84" t="str">
        <f>HYPERLINK("https://abs.twimg.com/images/themes/theme18/bg.gif")</f>
        <v>https://abs.twimg.com/images/themes/theme18/bg.gif</v>
      </c>
      <c r="AW950" s="81" t="b">
        <v>0</v>
      </c>
      <c r="AX950" s="81" t="s">
        <v>3728</v>
      </c>
      <c r="AY950" s="84" t="str">
        <f>HYPERLINK("https://twitter.com/emidrr")</f>
        <v>https://twitter.com/emidrr</v>
      </c>
      <c r="AZ950" s="81" t="s">
        <v>66</v>
      </c>
      <c r="BA950" s="2"/>
      <c r="BB950" s="3"/>
      <c r="BC950" s="3"/>
      <c r="BD950" s="3"/>
      <c r="BE950" s="3"/>
    </row>
    <row r="951" spans="1:57" x14ac:dyDescent="0.35">
      <c r="A951" s="66" t="s">
        <v>4620</v>
      </c>
      <c r="B951" s="67"/>
      <c r="C951" s="67"/>
      <c r="D951" s="68"/>
      <c r="E951" s="94"/>
      <c r="F951" s="93" t="str">
        <f>HYPERLINK("https://pbs.twimg.com/profile_images/1303077218533416960/dzzz42RE_normal.jpg")</f>
        <v>https://pbs.twimg.com/profile_images/1303077218533416960/dzzz42RE_normal.jpg</v>
      </c>
      <c r="G951" s="95"/>
      <c r="H951" s="71"/>
      <c r="I951" s="72"/>
      <c r="J951" s="96"/>
      <c r="K951" s="71" t="s">
        <v>12008</v>
      </c>
      <c r="L951" s="97"/>
      <c r="M951" s="76"/>
      <c r="N951" s="76"/>
      <c r="O951" s="77"/>
      <c r="P951" s="78"/>
      <c r="Q951" s="78"/>
      <c r="R951" s="92"/>
      <c r="S951" s="92"/>
      <c r="T951" s="92"/>
      <c r="U951" s="92"/>
      <c r="V951" s="52"/>
      <c r="W951" s="52"/>
      <c r="X951" s="52"/>
      <c r="Y951" s="52"/>
      <c r="Z951" s="51"/>
      <c r="AA951" s="73"/>
      <c r="AB951" s="73"/>
      <c r="AC951" s="74"/>
      <c r="AD951" s="81" t="s">
        <v>8634</v>
      </c>
      <c r="AE951" s="86" t="s">
        <v>9622</v>
      </c>
      <c r="AF951" s="81">
        <v>424</v>
      </c>
      <c r="AG951" s="81">
        <v>120</v>
      </c>
      <c r="AH951" s="81">
        <v>22202</v>
      </c>
      <c r="AI951" s="81">
        <v>28764</v>
      </c>
      <c r="AJ951" s="81"/>
      <c r="AK951" s="81"/>
      <c r="AL951" s="81"/>
      <c r="AM951" s="81"/>
      <c r="AN951" s="81"/>
      <c r="AO951" s="83">
        <v>42077.654942129629</v>
      </c>
      <c r="AP951" s="81"/>
      <c r="AQ951" s="81" t="b">
        <v>1</v>
      </c>
      <c r="AR951" s="81" t="b">
        <v>0</v>
      </c>
      <c r="AS951" s="81" t="b">
        <v>0</v>
      </c>
      <c r="AT951" s="81"/>
      <c r="AU951" s="81">
        <v>0</v>
      </c>
      <c r="AV951" s="84" t="str">
        <f>HYPERLINK("https://abs.twimg.com/images/themes/theme1/bg.png")</f>
        <v>https://abs.twimg.com/images/themes/theme1/bg.png</v>
      </c>
      <c r="AW951" s="81" t="b">
        <v>0</v>
      </c>
      <c r="AX951" s="81" t="s">
        <v>3728</v>
      </c>
      <c r="AY951" s="84" t="str">
        <f>HYPERLINK("https://twitter.com/r1000nobrega")</f>
        <v>https://twitter.com/r1000nobrega</v>
      </c>
      <c r="AZ951" s="81" t="s">
        <v>66</v>
      </c>
      <c r="BA951" s="2"/>
      <c r="BB951" s="3"/>
      <c r="BC951" s="3"/>
      <c r="BD951" s="3"/>
      <c r="BE951" s="3"/>
    </row>
    <row r="952" spans="1:57" x14ac:dyDescent="0.35">
      <c r="A952" s="66" t="s">
        <v>4621</v>
      </c>
      <c r="B952" s="67"/>
      <c r="C952" s="67"/>
      <c r="D952" s="68"/>
      <c r="E952" s="94"/>
      <c r="F952" s="93" t="str">
        <f>HYPERLINK("https://pbs.twimg.com/profile_images/1157805403/eu_praiana_normal.jpg")</f>
        <v>https://pbs.twimg.com/profile_images/1157805403/eu_praiana_normal.jpg</v>
      </c>
      <c r="G952" s="95"/>
      <c r="H952" s="71"/>
      <c r="I952" s="72"/>
      <c r="J952" s="96"/>
      <c r="K952" s="71" t="s">
        <v>12009</v>
      </c>
      <c r="L952" s="97"/>
      <c r="M952" s="76"/>
      <c r="N952" s="76"/>
      <c r="O952" s="77"/>
      <c r="P952" s="78"/>
      <c r="Q952" s="78"/>
      <c r="R952" s="92"/>
      <c r="S952" s="92"/>
      <c r="T952" s="92"/>
      <c r="U952" s="92"/>
      <c r="V952" s="52"/>
      <c r="W952" s="52"/>
      <c r="X952" s="52"/>
      <c r="Y952" s="52"/>
      <c r="Z952" s="51"/>
      <c r="AA952" s="73"/>
      <c r="AB952" s="73"/>
      <c r="AC952" s="74"/>
      <c r="AD952" s="81" t="s">
        <v>8635</v>
      </c>
      <c r="AE952" s="86" t="s">
        <v>9623</v>
      </c>
      <c r="AF952" s="81">
        <v>192</v>
      </c>
      <c r="AG952" s="81">
        <v>89</v>
      </c>
      <c r="AH952" s="81">
        <v>1564</v>
      </c>
      <c r="AI952" s="81">
        <v>4566</v>
      </c>
      <c r="AJ952" s="81"/>
      <c r="AK952" s="81"/>
      <c r="AL952" s="81" t="s">
        <v>11210</v>
      </c>
      <c r="AM952" s="81"/>
      <c r="AN952" s="81"/>
      <c r="AO952" s="83">
        <v>40270.188414351855</v>
      </c>
      <c r="AP952" s="81"/>
      <c r="AQ952" s="81" t="b">
        <v>0</v>
      </c>
      <c r="AR952" s="81" t="b">
        <v>0</v>
      </c>
      <c r="AS952" s="81" t="b">
        <v>0</v>
      </c>
      <c r="AT952" s="81"/>
      <c r="AU952" s="81">
        <v>4</v>
      </c>
      <c r="AV952" s="84" t="str">
        <f>HYPERLINK("https://abs.twimg.com/images/themes/theme1/bg.png")</f>
        <v>https://abs.twimg.com/images/themes/theme1/bg.png</v>
      </c>
      <c r="AW952" s="81" t="b">
        <v>0</v>
      </c>
      <c r="AX952" s="81" t="s">
        <v>3728</v>
      </c>
      <c r="AY952" s="84" t="str">
        <f>HYPERLINK("https://twitter.com/sylviofreitas")</f>
        <v>https://twitter.com/sylviofreitas</v>
      </c>
      <c r="AZ952" s="81" t="s">
        <v>66</v>
      </c>
      <c r="BA952" s="2"/>
      <c r="BB952" s="3"/>
      <c r="BC952" s="3"/>
      <c r="BD952" s="3"/>
      <c r="BE952" s="3"/>
    </row>
    <row r="953" spans="1:57" x14ac:dyDescent="0.35">
      <c r="A953" s="66" t="s">
        <v>4622</v>
      </c>
      <c r="B953" s="67"/>
      <c r="C953" s="67"/>
      <c r="D953" s="68"/>
      <c r="E953" s="94"/>
      <c r="F953" s="93" t="str">
        <f>HYPERLINK("https://pbs.twimg.com/profile_images/1439971253176176642/0E1_oEll_normal.jpg")</f>
        <v>https://pbs.twimg.com/profile_images/1439971253176176642/0E1_oEll_normal.jpg</v>
      </c>
      <c r="G953" s="95"/>
      <c r="H953" s="71"/>
      <c r="I953" s="72"/>
      <c r="J953" s="96"/>
      <c r="K953" s="71" t="s">
        <v>12010</v>
      </c>
      <c r="L953" s="97"/>
      <c r="M953" s="76"/>
      <c r="N953" s="76"/>
      <c r="O953" s="77"/>
      <c r="P953" s="78"/>
      <c r="Q953" s="78"/>
      <c r="R953" s="92"/>
      <c r="S953" s="92"/>
      <c r="T953" s="92"/>
      <c r="U953" s="92"/>
      <c r="V953" s="52"/>
      <c r="W953" s="52"/>
      <c r="X953" s="52"/>
      <c r="Y953" s="52"/>
      <c r="Z953" s="51"/>
      <c r="AA953" s="73"/>
      <c r="AB953" s="73"/>
      <c r="AC953" s="74"/>
      <c r="AD953" s="81" t="s">
        <v>8636</v>
      </c>
      <c r="AE953" s="86" t="s">
        <v>9624</v>
      </c>
      <c r="AF953" s="81">
        <v>363</v>
      </c>
      <c r="AG953" s="81">
        <v>181</v>
      </c>
      <c r="AH953" s="81">
        <v>908</v>
      </c>
      <c r="AI953" s="81">
        <v>2092</v>
      </c>
      <c r="AJ953" s="81"/>
      <c r="AK953" s="81" t="s">
        <v>10561</v>
      </c>
      <c r="AL953" s="81"/>
      <c r="AM953" s="81"/>
      <c r="AN953" s="81"/>
      <c r="AO953" s="83">
        <v>44459.634814814817</v>
      </c>
      <c r="AP953" s="84" t="str">
        <f>HYPERLINK("https://pbs.twimg.com/profile_banners/1439971049035161600/1632151134")</f>
        <v>https://pbs.twimg.com/profile_banners/1439971049035161600/1632151134</v>
      </c>
      <c r="AQ953" s="81" t="b">
        <v>1</v>
      </c>
      <c r="AR953" s="81" t="b">
        <v>0</v>
      </c>
      <c r="AS953" s="81" t="b">
        <v>0</v>
      </c>
      <c r="AT953" s="81"/>
      <c r="AU953" s="81">
        <v>0</v>
      </c>
      <c r="AV953" s="81"/>
      <c r="AW953" s="81" t="b">
        <v>0</v>
      </c>
      <c r="AX953" s="81" t="s">
        <v>3728</v>
      </c>
      <c r="AY953" s="84" t="str">
        <f>HYPERLINK("https://twitter.com/esequiaspierre")</f>
        <v>https://twitter.com/esequiaspierre</v>
      </c>
      <c r="AZ953" s="81" t="s">
        <v>66</v>
      </c>
      <c r="BA953" s="2"/>
      <c r="BB953" s="3"/>
      <c r="BC953" s="3"/>
      <c r="BD953" s="3"/>
      <c r="BE953" s="3"/>
    </row>
    <row r="954" spans="1:57" x14ac:dyDescent="0.35">
      <c r="A954" s="66" t="s">
        <v>4623</v>
      </c>
      <c r="B954" s="67"/>
      <c r="C954" s="67"/>
      <c r="D954" s="68"/>
      <c r="E954" s="94"/>
      <c r="F954" s="93" t="str">
        <f>HYPERLINK("https://pbs.twimg.com/profile_images/1274809568112136193/Glu87dIW_normal.jpg")</f>
        <v>https://pbs.twimg.com/profile_images/1274809568112136193/Glu87dIW_normal.jpg</v>
      </c>
      <c r="G954" s="95"/>
      <c r="H954" s="71"/>
      <c r="I954" s="72"/>
      <c r="J954" s="96"/>
      <c r="K954" s="71" t="s">
        <v>12011</v>
      </c>
      <c r="L954" s="97"/>
      <c r="M954" s="76"/>
      <c r="N954" s="76"/>
      <c r="O954" s="77"/>
      <c r="P954" s="78"/>
      <c r="Q954" s="78"/>
      <c r="R954" s="92"/>
      <c r="S954" s="92"/>
      <c r="T954" s="92"/>
      <c r="U954" s="92"/>
      <c r="V954" s="52"/>
      <c r="W954" s="52"/>
      <c r="X954" s="52"/>
      <c r="Y954" s="52"/>
      <c r="Z954" s="51"/>
      <c r="AA954" s="73"/>
      <c r="AB954" s="73"/>
      <c r="AC954" s="74"/>
      <c r="AD954" s="81" t="s">
        <v>8637</v>
      </c>
      <c r="AE954" s="86" t="s">
        <v>9625</v>
      </c>
      <c r="AF954" s="81">
        <v>164</v>
      </c>
      <c r="AG954" s="81">
        <v>514</v>
      </c>
      <c r="AH954" s="81">
        <v>61518</v>
      </c>
      <c r="AI954" s="81">
        <v>156704</v>
      </c>
      <c r="AJ954" s="81"/>
      <c r="AK954" s="81" t="s">
        <v>10562</v>
      </c>
      <c r="AL954" s="81"/>
      <c r="AM954" s="81"/>
      <c r="AN954" s="81"/>
      <c r="AO954" s="83">
        <v>41207.052523148152</v>
      </c>
      <c r="AP954" s="84" t="str">
        <f>HYPERLINK("https://pbs.twimg.com/profile_banners/902956580/1607051369")</f>
        <v>https://pbs.twimg.com/profile_banners/902956580/1607051369</v>
      </c>
      <c r="AQ954" s="81" t="b">
        <v>1</v>
      </c>
      <c r="AR954" s="81" t="b">
        <v>0</v>
      </c>
      <c r="AS954" s="81" t="b">
        <v>0</v>
      </c>
      <c r="AT954" s="81"/>
      <c r="AU954" s="81">
        <v>0</v>
      </c>
      <c r="AV954" s="84" t="str">
        <f>HYPERLINK("https://abs.twimg.com/images/themes/theme1/bg.png")</f>
        <v>https://abs.twimg.com/images/themes/theme1/bg.png</v>
      </c>
      <c r="AW954" s="81" t="b">
        <v>0</v>
      </c>
      <c r="AX954" s="81" t="s">
        <v>3728</v>
      </c>
      <c r="AY954" s="84" t="str">
        <f>HYPERLINK("https://twitter.com/emillyluh")</f>
        <v>https://twitter.com/emillyluh</v>
      </c>
      <c r="AZ954" s="81" t="s">
        <v>66</v>
      </c>
      <c r="BA954" s="2"/>
      <c r="BB954" s="3"/>
      <c r="BC954" s="3"/>
      <c r="BD954" s="3"/>
      <c r="BE954" s="3"/>
    </row>
    <row r="955" spans="1:57" x14ac:dyDescent="0.35">
      <c r="A955" s="66" t="s">
        <v>4624</v>
      </c>
      <c r="B955" s="67"/>
      <c r="C955" s="67"/>
      <c r="D955" s="68"/>
      <c r="E955" s="94"/>
      <c r="F955" s="93" t="str">
        <f>HYPERLINK("https://pbs.twimg.com/profile_images/1379097005318930432/J62hc51o_normal.jpg")</f>
        <v>https://pbs.twimg.com/profile_images/1379097005318930432/J62hc51o_normal.jpg</v>
      </c>
      <c r="G955" s="95"/>
      <c r="H955" s="71"/>
      <c r="I955" s="72"/>
      <c r="J955" s="96"/>
      <c r="K955" s="71" t="s">
        <v>12012</v>
      </c>
      <c r="L955" s="97"/>
      <c r="M955" s="76"/>
      <c r="N955" s="76"/>
      <c r="O955" s="77"/>
      <c r="P955" s="78"/>
      <c r="Q955" s="78"/>
      <c r="R955" s="92"/>
      <c r="S955" s="92"/>
      <c r="T955" s="92"/>
      <c r="U955" s="92"/>
      <c r="V955" s="52"/>
      <c r="W955" s="52"/>
      <c r="X955" s="52"/>
      <c r="Y955" s="52"/>
      <c r="Z955" s="51"/>
      <c r="AA955" s="73"/>
      <c r="AB955" s="73"/>
      <c r="AC955" s="74"/>
      <c r="AD955" s="81" t="s">
        <v>8638</v>
      </c>
      <c r="AE955" s="86" t="s">
        <v>9626</v>
      </c>
      <c r="AF955" s="81">
        <v>125</v>
      </c>
      <c r="AG955" s="81">
        <v>43</v>
      </c>
      <c r="AH955" s="81">
        <v>1597</v>
      </c>
      <c r="AI955" s="81">
        <v>4543</v>
      </c>
      <c r="AJ955" s="81"/>
      <c r="AK955" s="81" t="s">
        <v>10563</v>
      </c>
      <c r="AL955" s="81"/>
      <c r="AM955" s="81"/>
      <c r="AN955" s="81"/>
      <c r="AO955" s="83">
        <v>44157.840497685182</v>
      </c>
      <c r="AP955" s="84" t="str">
        <f>HYPERLINK("https://pbs.twimg.com/profile_banners/1330604130184916994/1617637486")</f>
        <v>https://pbs.twimg.com/profile_banners/1330604130184916994/1617637486</v>
      </c>
      <c r="AQ955" s="81" t="b">
        <v>1</v>
      </c>
      <c r="AR955" s="81" t="b">
        <v>0</v>
      </c>
      <c r="AS955" s="81" t="b">
        <v>0</v>
      </c>
      <c r="AT955" s="81"/>
      <c r="AU955" s="81">
        <v>0</v>
      </c>
      <c r="AV955" s="81"/>
      <c r="AW955" s="81" t="b">
        <v>0</v>
      </c>
      <c r="AX955" s="81" t="s">
        <v>3728</v>
      </c>
      <c r="AY955" s="84" t="str">
        <f>HYPERLINK("https://twitter.com/arrobanmg")</f>
        <v>https://twitter.com/arrobanmg</v>
      </c>
      <c r="AZ955" s="81" t="s">
        <v>66</v>
      </c>
      <c r="BA955" s="2"/>
      <c r="BB955" s="3"/>
      <c r="BC955" s="3"/>
      <c r="BD955" s="3"/>
      <c r="BE955" s="3"/>
    </row>
    <row r="956" spans="1:57" x14ac:dyDescent="0.35">
      <c r="A956" s="66" t="s">
        <v>4625</v>
      </c>
      <c r="B956" s="67"/>
      <c r="C956" s="67"/>
      <c r="D956" s="68"/>
      <c r="E956" s="94"/>
      <c r="F956" s="93" t="str">
        <f>HYPERLINK("https://pbs.twimg.com/profile_images/1435004096176611335/ie4YdEMJ_normal.jpg")</f>
        <v>https://pbs.twimg.com/profile_images/1435004096176611335/ie4YdEMJ_normal.jpg</v>
      </c>
      <c r="G956" s="95"/>
      <c r="H956" s="71"/>
      <c r="I956" s="72"/>
      <c r="J956" s="96"/>
      <c r="K956" s="71" t="s">
        <v>12013</v>
      </c>
      <c r="L956" s="97"/>
      <c r="M956" s="76"/>
      <c r="N956" s="76"/>
      <c r="O956" s="77"/>
      <c r="P956" s="78"/>
      <c r="Q956" s="78"/>
      <c r="R956" s="92"/>
      <c r="S956" s="92"/>
      <c r="T956" s="92"/>
      <c r="U956" s="92"/>
      <c r="V956" s="52"/>
      <c r="W956" s="52"/>
      <c r="X956" s="52"/>
      <c r="Y956" s="52"/>
      <c r="Z956" s="51"/>
      <c r="AA956" s="73"/>
      <c r="AB956" s="73"/>
      <c r="AC956" s="74"/>
      <c r="AD956" s="81" t="s">
        <v>8639</v>
      </c>
      <c r="AE956" s="86" t="s">
        <v>9627</v>
      </c>
      <c r="AF956" s="81">
        <v>165</v>
      </c>
      <c r="AG956" s="81">
        <v>50</v>
      </c>
      <c r="AH956" s="81">
        <v>9822</v>
      </c>
      <c r="AI956" s="81">
        <v>1495</v>
      </c>
      <c r="AJ956" s="81"/>
      <c r="AK956" s="81" t="s">
        <v>10564</v>
      </c>
      <c r="AL956" s="81"/>
      <c r="AM956" s="81"/>
      <c r="AN956" s="81"/>
      <c r="AO956" s="83">
        <v>43827.599988425929</v>
      </c>
      <c r="AP956" s="84" t="str">
        <f>HYPERLINK("https://pbs.twimg.com/profile_banners/1210929352344387584/1627527629")</f>
        <v>https://pbs.twimg.com/profile_banners/1210929352344387584/1627527629</v>
      </c>
      <c r="AQ956" s="81" t="b">
        <v>1</v>
      </c>
      <c r="AR956" s="81" t="b">
        <v>0</v>
      </c>
      <c r="AS956" s="81" t="b">
        <v>0</v>
      </c>
      <c r="AT956" s="81"/>
      <c r="AU956" s="81">
        <v>0</v>
      </c>
      <c r="AV956" s="81"/>
      <c r="AW956" s="81" t="b">
        <v>0</v>
      </c>
      <c r="AX956" s="81" t="s">
        <v>3728</v>
      </c>
      <c r="AY956" s="84" t="str">
        <f>HYPERLINK("https://twitter.com/malusntssz")</f>
        <v>https://twitter.com/malusntssz</v>
      </c>
      <c r="AZ956" s="81" t="s">
        <v>66</v>
      </c>
      <c r="BA956" s="2"/>
      <c r="BB956" s="3"/>
      <c r="BC956" s="3"/>
      <c r="BD956" s="3"/>
      <c r="BE956" s="3"/>
    </row>
    <row r="957" spans="1:57" x14ac:dyDescent="0.35">
      <c r="A957" s="66" t="s">
        <v>4626</v>
      </c>
      <c r="B957" s="67"/>
      <c r="C957" s="67"/>
      <c r="D957" s="68"/>
      <c r="E957" s="94"/>
      <c r="F957" s="93" t="str">
        <f>HYPERLINK("https://pbs.twimg.com/profile_images/1273040121202454528/cOztF564_normal.jpg")</f>
        <v>https://pbs.twimg.com/profile_images/1273040121202454528/cOztF564_normal.jpg</v>
      </c>
      <c r="G957" s="95"/>
      <c r="H957" s="71"/>
      <c r="I957" s="72"/>
      <c r="J957" s="96"/>
      <c r="K957" s="71" t="s">
        <v>12014</v>
      </c>
      <c r="L957" s="97"/>
      <c r="M957" s="76"/>
      <c r="N957" s="76"/>
      <c r="O957" s="77"/>
      <c r="P957" s="78"/>
      <c r="Q957" s="78"/>
      <c r="R957" s="92"/>
      <c r="S957" s="92"/>
      <c r="T957" s="92"/>
      <c r="U957" s="92"/>
      <c r="V957" s="52"/>
      <c r="W957" s="52"/>
      <c r="X957" s="52"/>
      <c r="Y957" s="52"/>
      <c r="Z957" s="51"/>
      <c r="AA957" s="73"/>
      <c r="AB957" s="73"/>
      <c r="AC957" s="74"/>
      <c r="AD957" s="81" t="s">
        <v>8640</v>
      </c>
      <c r="AE957" s="86" t="s">
        <v>9628</v>
      </c>
      <c r="AF957" s="81">
        <v>673</v>
      </c>
      <c r="AG957" s="81">
        <v>278</v>
      </c>
      <c r="AH957" s="81">
        <v>10926</v>
      </c>
      <c r="AI957" s="81">
        <v>11892</v>
      </c>
      <c r="AJ957" s="81"/>
      <c r="AK957" s="81" t="s">
        <v>10565</v>
      </c>
      <c r="AL957" s="81"/>
      <c r="AM957" s="81"/>
      <c r="AN957" s="81"/>
      <c r="AO957" s="83">
        <v>40559.661770833336</v>
      </c>
      <c r="AP957" s="84" t="str">
        <f>HYPERLINK("https://pbs.twimg.com/profile_banners/239010657/1578074866")</f>
        <v>https://pbs.twimg.com/profile_banners/239010657/1578074866</v>
      </c>
      <c r="AQ957" s="81" t="b">
        <v>0</v>
      </c>
      <c r="AR957" s="81" t="b">
        <v>0</v>
      </c>
      <c r="AS957" s="81" t="b">
        <v>0</v>
      </c>
      <c r="AT957" s="81"/>
      <c r="AU957" s="81">
        <v>0</v>
      </c>
      <c r="AV957" s="84" t="str">
        <f>HYPERLINK("https://abs.twimg.com/images/themes/theme1/bg.png")</f>
        <v>https://abs.twimg.com/images/themes/theme1/bg.png</v>
      </c>
      <c r="AW957" s="81" t="b">
        <v>0</v>
      </c>
      <c r="AX957" s="81" t="s">
        <v>3728</v>
      </c>
      <c r="AY957" s="84" t="str">
        <f>HYPERLINK("https://twitter.com/paulopaulada39")</f>
        <v>https://twitter.com/paulopaulada39</v>
      </c>
      <c r="AZ957" s="81" t="s">
        <v>66</v>
      </c>
      <c r="BA957" s="2"/>
      <c r="BB957" s="3"/>
      <c r="BC957" s="3"/>
      <c r="BD957" s="3"/>
      <c r="BE957" s="3"/>
    </row>
    <row r="958" spans="1:57" x14ac:dyDescent="0.35">
      <c r="A958" s="66" t="s">
        <v>4628</v>
      </c>
      <c r="B958" s="67"/>
      <c r="C958" s="67"/>
      <c r="D958" s="68"/>
      <c r="E958" s="94"/>
      <c r="F958" s="93" t="str">
        <f>HYPERLINK("https://abs.twimg.com/sticky/default_profile_images/default_profile_normal.png")</f>
        <v>https://abs.twimg.com/sticky/default_profile_images/default_profile_normal.png</v>
      </c>
      <c r="G958" s="95"/>
      <c r="H958" s="71"/>
      <c r="I958" s="72"/>
      <c r="J958" s="96"/>
      <c r="K958" s="71" t="s">
        <v>12015</v>
      </c>
      <c r="L958" s="97"/>
      <c r="M958" s="76"/>
      <c r="N958" s="76"/>
      <c r="O958" s="77"/>
      <c r="P958" s="78"/>
      <c r="Q958" s="78"/>
      <c r="R958" s="92"/>
      <c r="S958" s="92"/>
      <c r="T958" s="92"/>
      <c r="U958" s="92"/>
      <c r="V958" s="52"/>
      <c r="W958" s="52"/>
      <c r="X958" s="52"/>
      <c r="Y958" s="52"/>
      <c r="Z958" s="51"/>
      <c r="AA958" s="73"/>
      <c r="AB958" s="73"/>
      <c r="AC958" s="74"/>
      <c r="AD958" s="81" t="s">
        <v>8642</v>
      </c>
      <c r="AE958" s="86" t="s">
        <v>9630</v>
      </c>
      <c r="AF958" s="81">
        <v>0</v>
      </c>
      <c r="AG958" s="81">
        <v>0</v>
      </c>
      <c r="AH958" s="81">
        <v>7</v>
      </c>
      <c r="AI958" s="81">
        <v>6</v>
      </c>
      <c r="AJ958" s="81"/>
      <c r="AK958" s="81"/>
      <c r="AL958" s="81"/>
      <c r="AM958" s="81"/>
      <c r="AN958" s="81"/>
      <c r="AO958" s="83">
        <v>44465.598854166667</v>
      </c>
      <c r="AP958" s="81"/>
      <c r="AQ958" s="81" t="b">
        <v>1</v>
      </c>
      <c r="AR958" s="81" t="b">
        <v>1</v>
      </c>
      <c r="AS958" s="81" t="b">
        <v>0</v>
      </c>
      <c r="AT958" s="81"/>
      <c r="AU958" s="81">
        <v>0</v>
      </c>
      <c r="AV958" s="81"/>
      <c r="AW958" s="81" t="b">
        <v>0</v>
      </c>
      <c r="AX958" s="81" t="s">
        <v>3728</v>
      </c>
      <c r="AY958" s="84" t="str">
        <f>HYPERLINK("https://twitter.com/liliana37799256")</f>
        <v>https://twitter.com/liliana37799256</v>
      </c>
      <c r="AZ958" s="81" t="s">
        <v>66</v>
      </c>
      <c r="BA958" s="2"/>
      <c r="BB958" s="3"/>
      <c r="BC958" s="3"/>
      <c r="BD958" s="3"/>
      <c r="BE958" s="3"/>
    </row>
    <row r="959" spans="1:57" x14ac:dyDescent="0.35">
      <c r="A959" s="66" t="s">
        <v>4629</v>
      </c>
      <c r="B959" s="67"/>
      <c r="C959" s="67"/>
      <c r="D959" s="68"/>
      <c r="E959" s="94"/>
      <c r="F959" s="93" t="str">
        <f>HYPERLINK("https://pbs.twimg.com/profile_images/977574551369469954/LLn71PA5_normal.jpg")</f>
        <v>https://pbs.twimg.com/profile_images/977574551369469954/LLn71PA5_normal.jpg</v>
      </c>
      <c r="G959" s="95"/>
      <c r="H959" s="71"/>
      <c r="I959" s="72"/>
      <c r="J959" s="96"/>
      <c r="K959" s="71" t="s">
        <v>12016</v>
      </c>
      <c r="L959" s="97"/>
      <c r="M959" s="76"/>
      <c r="N959" s="76"/>
      <c r="O959" s="77"/>
      <c r="P959" s="78"/>
      <c r="Q959" s="78"/>
      <c r="R959" s="92"/>
      <c r="S959" s="92"/>
      <c r="T959" s="92"/>
      <c r="U959" s="92"/>
      <c r="V959" s="52"/>
      <c r="W959" s="52"/>
      <c r="X959" s="52"/>
      <c r="Y959" s="52"/>
      <c r="Z959" s="51"/>
      <c r="AA959" s="73"/>
      <c r="AB959" s="73"/>
      <c r="AC959" s="74"/>
      <c r="AD959" s="81" t="s">
        <v>8643</v>
      </c>
      <c r="AE959" s="86" t="s">
        <v>9631</v>
      </c>
      <c r="AF959" s="81">
        <v>572</v>
      </c>
      <c r="AG959" s="81">
        <v>216</v>
      </c>
      <c r="AH959" s="81">
        <v>9410</v>
      </c>
      <c r="AI959" s="81">
        <v>14687</v>
      </c>
      <c r="AJ959" s="81"/>
      <c r="AK959" s="81" t="s">
        <v>10567</v>
      </c>
      <c r="AL959" s="81" t="s">
        <v>11211</v>
      </c>
      <c r="AM959" s="81"/>
      <c r="AN959" s="81"/>
      <c r="AO959" s="83">
        <v>41820.015659722223</v>
      </c>
      <c r="AP959" s="84" t="str">
        <f>HYPERLINK("https://pbs.twimg.com/profile_banners/2595534589/1555341111")</f>
        <v>https://pbs.twimg.com/profile_banners/2595534589/1555341111</v>
      </c>
      <c r="AQ959" s="81" t="b">
        <v>0</v>
      </c>
      <c r="AR959" s="81" t="b">
        <v>0</v>
      </c>
      <c r="AS959" s="81" t="b">
        <v>1</v>
      </c>
      <c r="AT959" s="81"/>
      <c r="AU959" s="81">
        <v>0</v>
      </c>
      <c r="AV959" s="84" t="str">
        <f>HYPERLINK("https://abs.twimg.com/images/themes/theme1/bg.png")</f>
        <v>https://abs.twimg.com/images/themes/theme1/bg.png</v>
      </c>
      <c r="AW959" s="81" t="b">
        <v>0</v>
      </c>
      <c r="AX959" s="81" t="s">
        <v>3728</v>
      </c>
      <c r="AY959" s="84" t="str">
        <f>HYPERLINK("https://twitter.com/paulinobrandim")</f>
        <v>https://twitter.com/paulinobrandim</v>
      </c>
      <c r="AZ959" s="81" t="s">
        <v>66</v>
      </c>
      <c r="BA959" s="2"/>
      <c r="BB959" s="3"/>
      <c r="BC959" s="3"/>
      <c r="BD959" s="3"/>
      <c r="BE959" s="3"/>
    </row>
    <row r="960" spans="1:57" x14ac:dyDescent="0.35">
      <c r="A960" s="66" t="s">
        <v>4630</v>
      </c>
      <c r="B960" s="67"/>
      <c r="C960" s="67"/>
      <c r="D960" s="68"/>
      <c r="E960" s="94"/>
      <c r="F960" s="93" t="str">
        <f>HYPERLINK("https://pbs.twimg.com/profile_images/839284051173330944/Qskp9G6A_normal.jpg")</f>
        <v>https://pbs.twimg.com/profile_images/839284051173330944/Qskp9G6A_normal.jpg</v>
      </c>
      <c r="G960" s="95"/>
      <c r="H960" s="71"/>
      <c r="I960" s="72"/>
      <c r="J960" s="96"/>
      <c r="K960" s="71" t="s">
        <v>12017</v>
      </c>
      <c r="L960" s="97"/>
      <c r="M960" s="76"/>
      <c r="N960" s="76"/>
      <c r="O960" s="77"/>
      <c r="P960" s="78"/>
      <c r="Q960" s="78"/>
      <c r="R960" s="92"/>
      <c r="S960" s="92"/>
      <c r="T960" s="92"/>
      <c r="U960" s="92"/>
      <c r="V960" s="52"/>
      <c r="W960" s="52"/>
      <c r="X960" s="52"/>
      <c r="Y960" s="52"/>
      <c r="Z960" s="51"/>
      <c r="AA960" s="73"/>
      <c r="AB960" s="73"/>
      <c r="AC960" s="74"/>
      <c r="AD960" s="81" t="s">
        <v>8644</v>
      </c>
      <c r="AE960" s="86" t="s">
        <v>9632</v>
      </c>
      <c r="AF960" s="81">
        <v>2455</v>
      </c>
      <c r="AG960" s="81">
        <v>794</v>
      </c>
      <c r="AH960" s="81">
        <v>32226</v>
      </c>
      <c r="AI960" s="81">
        <v>51664</v>
      </c>
      <c r="AJ960" s="81"/>
      <c r="AK960" s="81" t="s">
        <v>10568</v>
      </c>
      <c r="AL960" s="81" t="s">
        <v>7998</v>
      </c>
      <c r="AM960" s="81"/>
      <c r="AN960" s="81"/>
      <c r="AO960" s="83">
        <v>39896.94027777778</v>
      </c>
      <c r="AP960" s="84" t="str">
        <f>HYPERLINK("https://pbs.twimg.com/profile_banners/26343090/1477894559")</f>
        <v>https://pbs.twimg.com/profile_banners/26343090/1477894559</v>
      </c>
      <c r="AQ960" s="81" t="b">
        <v>0</v>
      </c>
      <c r="AR960" s="81" t="b">
        <v>0</v>
      </c>
      <c r="AS960" s="81" t="b">
        <v>0</v>
      </c>
      <c r="AT960" s="81"/>
      <c r="AU960" s="81">
        <v>8</v>
      </c>
      <c r="AV960" s="84" t="str">
        <f>HYPERLINK("https://abs.twimg.com/images/themes/theme9/bg.gif")</f>
        <v>https://abs.twimg.com/images/themes/theme9/bg.gif</v>
      </c>
      <c r="AW960" s="81" t="b">
        <v>0</v>
      </c>
      <c r="AX960" s="81" t="s">
        <v>3728</v>
      </c>
      <c r="AY960" s="84" t="str">
        <f>HYPERLINK("https://twitter.com/matsia_")</f>
        <v>https://twitter.com/matsia_</v>
      </c>
      <c r="AZ960" s="81" t="s">
        <v>66</v>
      </c>
      <c r="BA960" s="2"/>
      <c r="BB960" s="3"/>
      <c r="BC960" s="3"/>
      <c r="BD960" s="3"/>
      <c r="BE960" s="3"/>
    </row>
    <row r="961" spans="1:57" x14ac:dyDescent="0.35">
      <c r="A961" s="66" t="s">
        <v>4631</v>
      </c>
      <c r="B961" s="67"/>
      <c r="C961" s="67"/>
      <c r="D961" s="68"/>
      <c r="E961" s="94"/>
      <c r="F961" s="93" t="str">
        <f>HYPERLINK("https://pbs.twimg.com/profile_images/1440008476588118022/uigeI4iN_normal.jpg")</f>
        <v>https://pbs.twimg.com/profile_images/1440008476588118022/uigeI4iN_normal.jpg</v>
      </c>
      <c r="G961" s="95"/>
      <c r="H961" s="71"/>
      <c r="I961" s="72"/>
      <c r="J961" s="96"/>
      <c r="K961" s="71" t="s">
        <v>12018</v>
      </c>
      <c r="L961" s="97"/>
      <c r="M961" s="76"/>
      <c r="N961" s="76"/>
      <c r="O961" s="77"/>
      <c r="P961" s="78"/>
      <c r="Q961" s="78"/>
      <c r="R961" s="92"/>
      <c r="S961" s="92"/>
      <c r="T961" s="92"/>
      <c r="U961" s="92"/>
      <c r="V961" s="52"/>
      <c r="W961" s="52"/>
      <c r="X961" s="52"/>
      <c r="Y961" s="52"/>
      <c r="Z961" s="51"/>
      <c r="AA961" s="73"/>
      <c r="AB961" s="73"/>
      <c r="AC961" s="74"/>
      <c r="AD961" s="81" t="s">
        <v>8645</v>
      </c>
      <c r="AE961" s="86" t="s">
        <v>9633</v>
      </c>
      <c r="AF961" s="81">
        <v>5156</v>
      </c>
      <c r="AG961" s="81">
        <v>5875</v>
      </c>
      <c r="AH961" s="81">
        <v>171828</v>
      </c>
      <c r="AI961" s="81">
        <v>11946</v>
      </c>
      <c r="AJ961" s="81"/>
      <c r="AK961" s="81" t="s">
        <v>10569</v>
      </c>
      <c r="AL961" s="81" t="s">
        <v>11212</v>
      </c>
      <c r="AM961" s="84" t="str">
        <f>HYPERLINK("https://t.co/Nb9r9ADpHi")</f>
        <v>https://t.co/Nb9r9ADpHi</v>
      </c>
      <c r="AN961" s="81"/>
      <c r="AO961" s="83">
        <v>42035.294988425929</v>
      </c>
      <c r="AP961" s="84" t="str">
        <f>HYPERLINK("https://pbs.twimg.com/profile_banners/3007214188/1632417187")</f>
        <v>https://pbs.twimg.com/profile_banners/3007214188/1632417187</v>
      </c>
      <c r="AQ961" s="81" t="b">
        <v>1</v>
      </c>
      <c r="AR961" s="81" t="b">
        <v>0</v>
      </c>
      <c r="AS961" s="81" t="b">
        <v>1</v>
      </c>
      <c r="AT961" s="81"/>
      <c r="AU961" s="81">
        <v>15</v>
      </c>
      <c r="AV961" s="84" t="str">
        <f>HYPERLINK("https://abs.twimg.com/images/themes/theme1/bg.png")</f>
        <v>https://abs.twimg.com/images/themes/theme1/bg.png</v>
      </c>
      <c r="AW961" s="81" t="b">
        <v>0</v>
      </c>
      <c r="AX961" s="81" t="s">
        <v>3728</v>
      </c>
      <c r="AY961" s="84" t="str">
        <f>HYPERLINK("https://twitter.com/patricia_paes10")</f>
        <v>https://twitter.com/patricia_paes10</v>
      </c>
      <c r="AZ961" s="81" t="s">
        <v>66</v>
      </c>
      <c r="BA961" s="2"/>
      <c r="BB961" s="3"/>
      <c r="BC961" s="3"/>
      <c r="BD961" s="3"/>
      <c r="BE961" s="3"/>
    </row>
    <row r="962" spans="1:57" x14ac:dyDescent="0.35">
      <c r="A962" s="66" t="s">
        <v>4632</v>
      </c>
      <c r="B962" s="67"/>
      <c r="C962" s="67"/>
      <c r="D962" s="68"/>
      <c r="E962" s="94"/>
      <c r="F962" s="93" t="str">
        <f>HYPERLINK("https://pbs.twimg.com/profile_images/1186374912056934400/LdYImzmI_normal.jpg")</f>
        <v>https://pbs.twimg.com/profile_images/1186374912056934400/LdYImzmI_normal.jpg</v>
      </c>
      <c r="G962" s="95"/>
      <c r="H962" s="71"/>
      <c r="I962" s="72"/>
      <c r="J962" s="96"/>
      <c r="K962" s="71" t="s">
        <v>12019</v>
      </c>
      <c r="L962" s="97"/>
      <c r="M962" s="76"/>
      <c r="N962" s="76"/>
      <c r="O962" s="77"/>
      <c r="P962" s="78"/>
      <c r="Q962" s="78"/>
      <c r="R962" s="92"/>
      <c r="S962" s="92"/>
      <c r="T962" s="92"/>
      <c r="U962" s="92"/>
      <c r="V962" s="52"/>
      <c r="W962" s="52"/>
      <c r="X962" s="52"/>
      <c r="Y962" s="52"/>
      <c r="Z962" s="51"/>
      <c r="AA962" s="73"/>
      <c r="AB962" s="73"/>
      <c r="AC962" s="74"/>
      <c r="AD962" s="81" t="s">
        <v>8646</v>
      </c>
      <c r="AE962" s="86" t="s">
        <v>9634</v>
      </c>
      <c r="AF962" s="81">
        <v>5719</v>
      </c>
      <c r="AG962" s="81">
        <v>5502</v>
      </c>
      <c r="AH962" s="81">
        <v>237998</v>
      </c>
      <c r="AI962" s="81">
        <v>201267</v>
      </c>
      <c r="AJ962" s="81"/>
      <c r="AK962" s="81" t="s">
        <v>10570</v>
      </c>
      <c r="AL962" s="81" t="s">
        <v>11213</v>
      </c>
      <c r="AM962" s="81"/>
      <c r="AN962" s="81"/>
      <c r="AO962" s="83">
        <v>43756.517881944441</v>
      </c>
      <c r="AP962" s="81"/>
      <c r="AQ962" s="81" t="b">
        <v>1</v>
      </c>
      <c r="AR962" s="81" t="b">
        <v>0</v>
      </c>
      <c r="AS962" s="81" t="b">
        <v>0</v>
      </c>
      <c r="AT962" s="81"/>
      <c r="AU962" s="81">
        <v>9</v>
      </c>
      <c r="AV962" s="81"/>
      <c r="AW962" s="81" t="b">
        <v>0</v>
      </c>
      <c r="AX962" s="81" t="s">
        <v>3728</v>
      </c>
      <c r="AY962" s="84" t="str">
        <f>HYPERLINK("https://twitter.com/ruialvesdasilv6")</f>
        <v>https://twitter.com/ruialvesdasilv6</v>
      </c>
      <c r="AZ962" s="81" t="s">
        <v>66</v>
      </c>
      <c r="BA962" s="2"/>
      <c r="BB962" s="3"/>
      <c r="BC962" s="3"/>
      <c r="BD962" s="3"/>
      <c r="BE962" s="3"/>
    </row>
    <row r="963" spans="1:57" x14ac:dyDescent="0.35">
      <c r="A963" s="66" t="s">
        <v>4633</v>
      </c>
      <c r="B963" s="67"/>
      <c r="C963" s="67"/>
      <c r="D963" s="68"/>
      <c r="E963" s="94"/>
      <c r="F963" s="93" t="str">
        <f>HYPERLINK("https://pbs.twimg.com/profile_images/1420936856338845700/whNKYPe6_normal.jpg")</f>
        <v>https://pbs.twimg.com/profile_images/1420936856338845700/whNKYPe6_normal.jpg</v>
      </c>
      <c r="G963" s="95"/>
      <c r="H963" s="71"/>
      <c r="I963" s="72"/>
      <c r="J963" s="96"/>
      <c r="K963" s="71" t="s">
        <v>12020</v>
      </c>
      <c r="L963" s="97"/>
      <c r="M963" s="76"/>
      <c r="N963" s="76"/>
      <c r="O963" s="77"/>
      <c r="P963" s="78"/>
      <c r="Q963" s="78"/>
      <c r="R963" s="92"/>
      <c r="S963" s="92"/>
      <c r="T963" s="92"/>
      <c r="U963" s="92"/>
      <c r="V963" s="52"/>
      <c r="W963" s="52"/>
      <c r="X963" s="52"/>
      <c r="Y963" s="52"/>
      <c r="Z963" s="51"/>
      <c r="AA963" s="73"/>
      <c r="AB963" s="73"/>
      <c r="AC963" s="74"/>
      <c r="AD963" s="81" t="s">
        <v>8647</v>
      </c>
      <c r="AE963" s="86" t="s">
        <v>9635</v>
      </c>
      <c r="AF963" s="81">
        <v>132</v>
      </c>
      <c r="AG963" s="81">
        <v>128</v>
      </c>
      <c r="AH963" s="81">
        <v>488</v>
      </c>
      <c r="AI963" s="81">
        <v>965</v>
      </c>
      <c r="AJ963" s="81"/>
      <c r="AK963" s="81"/>
      <c r="AL963" s="81" t="s">
        <v>11214</v>
      </c>
      <c r="AM963" s="81"/>
      <c r="AN963" s="81"/>
      <c r="AO963" s="83">
        <v>42752.101655092592</v>
      </c>
      <c r="AP963" s="84" t="str">
        <f>HYPERLINK("https://pbs.twimg.com/profile_banners/821181843923996672/1609367248")</f>
        <v>https://pbs.twimg.com/profile_banners/821181843923996672/1609367248</v>
      </c>
      <c r="AQ963" s="81" t="b">
        <v>1</v>
      </c>
      <c r="AR963" s="81" t="b">
        <v>0</v>
      </c>
      <c r="AS963" s="81" t="b">
        <v>0</v>
      </c>
      <c r="AT963" s="81"/>
      <c r="AU963" s="81">
        <v>0</v>
      </c>
      <c r="AV963" s="81"/>
      <c r="AW963" s="81" t="b">
        <v>0</v>
      </c>
      <c r="AX963" s="81" t="s">
        <v>3728</v>
      </c>
      <c r="AY963" s="84" t="str">
        <f>HYPERLINK("https://twitter.com/psancandi")</f>
        <v>https://twitter.com/psancandi</v>
      </c>
      <c r="AZ963" s="81" t="s">
        <v>66</v>
      </c>
      <c r="BA963" s="2"/>
      <c r="BB963" s="3"/>
      <c r="BC963" s="3"/>
      <c r="BD963" s="3"/>
      <c r="BE963" s="3"/>
    </row>
    <row r="964" spans="1:57" x14ac:dyDescent="0.35">
      <c r="A964" s="66" t="s">
        <v>4634</v>
      </c>
      <c r="B964" s="67"/>
      <c r="C964" s="67"/>
      <c r="D964" s="68"/>
      <c r="E964" s="94"/>
      <c r="F964" s="93" t="str">
        <f>HYPERLINK("https://pbs.twimg.com/profile_images/1191852952010592256/HRMrunGW_normal.jpg")</f>
        <v>https://pbs.twimg.com/profile_images/1191852952010592256/HRMrunGW_normal.jpg</v>
      </c>
      <c r="G964" s="95"/>
      <c r="H964" s="71"/>
      <c r="I964" s="72"/>
      <c r="J964" s="96"/>
      <c r="K964" s="71" t="s">
        <v>12021</v>
      </c>
      <c r="L964" s="97"/>
      <c r="M964" s="76"/>
      <c r="N964" s="76"/>
      <c r="O964" s="77"/>
      <c r="P964" s="78"/>
      <c r="Q964" s="78"/>
      <c r="R964" s="92"/>
      <c r="S964" s="92"/>
      <c r="T964" s="92"/>
      <c r="U964" s="92"/>
      <c r="V964" s="52"/>
      <c r="W964" s="52"/>
      <c r="X964" s="52"/>
      <c r="Y964" s="52"/>
      <c r="Z964" s="51"/>
      <c r="AA964" s="73"/>
      <c r="AB964" s="73"/>
      <c r="AC964" s="74"/>
      <c r="AD964" s="81" t="s">
        <v>8648</v>
      </c>
      <c r="AE964" s="86" t="s">
        <v>9636</v>
      </c>
      <c r="AF964" s="81">
        <v>4718</v>
      </c>
      <c r="AG964" s="81">
        <v>5002</v>
      </c>
      <c r="AH964" s="81">
        <v>26323</v>
      </c>
      <c r="AI964" s="81">
        <v>65242</v>
      </c>
      <c r="AJ964" s="81"/>
      <c r="AK964" s="81" t="s">
        <v>10571</v>
      </c>
      <c r="AL964" s="81" t="s">
        <v>10970</v>
      </c>
      <c r="AM964" s="81"/>
      <c r="AN964" s="81"/>
      <c r="AO964" s="83">
        <v>43645.849386574075</v>
      </c>
      <c r="AP964" s="81"/>
      <c r="AQ964" s="81" t="b">
        <v>1</v>
      </c>
      <c r="AR964" s="81" t="b">
        <v>0</v>
      </c>
      <c r="AS964" s="81" t="b">
        <v>0</v>
      </c>
      <c r="AT964" s="81"/>
      <c r="AU964" s="81">
        <v>8</v>
      </c>
      <c r="AV964" s="81"/>
      <c r="AW964" s="81" t="b">
        <v>0</v>
      </c>
      <c r="AX964" s="81" t="s">
        <v>3728</v>
      </c>
      <c r="AY964" s="84" t="str">
        <f>HYPERLINK("https://twitter.com/duquegalvao")</f>
        <v>https://twitter.com/duquegalvao</v>
      </c>
      <c r="AZ964" s="81" t="s">
        <v>66</v>
      </c>
      <c r="BA964" s="2"/>
      <c r="BB964" s="3"/>
      <c r="BC964" s="3"/>
      <c r="BD964" s="3"/>
      <c r="BE964" s="3"/>
    </row>
    <row r="965" spans="1:57" x14ac:dyDescent="0.35">
      <c r="A965" s="66" t="s">
        <v>4635</v>
      </c>
      <c r="B965" s="67"/>
      <c r="C965" s="67"/>
      <c r="D965" s="68"/>
      <c r="E965" s="94"/>
      <c r="F965" s="93" t="str">
        <f>HYPERLINK("https://pbs.twimg.com/profile_images/886173253835923457/psI59mVD_normal.jpg")</f>
        <v>https://pbs.twimg.com/profile_images/886173253835923457/psI59mVD_normal.jpg</v>
      </c>
      <c r="G965" s="95"/>
      <c r="H965" s="71"/>
      <c r="I965" s="72"/>
      <c r="J965" s="96"/>
      <c r="K965" s="71" t="s">
        <v>12022</v>
      </c>
      <c r="L965" s="97"/>
      <c r="M965" s="76"/>
      <c r="N965" s="76"/>
      <c r="O965" s="77"/>
      <c r="P965" s="78"/>
      <c r="Q965" s="78"/>
      <c r="R965" s="92"/>
      <c r="S965" s="92"/>
      <c r="T965" s="92"/>
      <c r="U965" s="92"/>
      <c r="V965" s="52"/>
      <c r="W965" s="52"/>
      <c r="X965" s="52"/>
      <c r="Y965" s="52"/>
      <c r="Z965" s="51"/>
      <c r="AA965" s="73"/>
      <c r="AB965" s="73"/>
      <c r="AC965" s="74"/>
      <c r="AD965" s="81" t="s">
        <v>8649</v>
      </c>
      <c r="AE965" s="86" t="s">
        <v>9637</v>
      </c>
      <c r="AF965" s="81">
        <v>2891</v>
      </c>
      <c r="AG965" s="81">
        <v>764</v>
      </c>
      <c r="AH965" s="81">
        <v>8763</v>
      </c>
      <c r="AI965" s="81">
        <v>7949</v>
      </c>
      <c r="AJ965" s="81"/>
      <c r="AK965" s="81" t="s">
        <v>10572</v>
      </c>
      <c r="AL965" s="81"/>
      <c r="AM965" s="81"/>
      <c r="AN965" s="81"/>
      <c r="AO965" s="83">
        <v>40069.603946759256</v>
      </c>
      <c r="AP965" s="84" t="str">
        <f>HYPERLINK("https://pbs.twimg.com/profile_banners/73893896/1618541914")</f>
        <v>https://pbs.twimg.com/profile_banners/73893896/1618541914</v>
      </c>
      <c r="AQ965" s="81" t="b">
        <v>0</v>
      </c>
      <c r="AR965" s="81" t="b">
        <v>0</v>
      </c>
      <c r="AS965" s="81" t="b">
        <v>1</v>
      </c>
      <c r="AT965" s="81"/>
      <c r="AU965" s="81">
        <v>5</v>
      </c>
      <c r="AV965" s="84" t="str">
        <f>HYPERLINK("https://abs.twimg.com/images/themes/theme3/bg.gif")</f>
        <v>https://abs.twimg.com/images/themes/theme3/bg.gif</v>
      </c>
      <c r="AW965" s="81" t="b">
        <v>0</v>
      </c>
      <c r="AX965" s="81" t="s">
        <v>3728</v>
      </c>
      <c r="AY965" s="84" t="str">
        <f>HYPERLINK("https://twitter.com/alobarreto")</f>
        <v>https://twitter.com/alobarreto</v>
      </c>
      <c r="AZ965" s="81" t="s">
        <v>66</v>
      </c>
      <c r="BA965" s="2"/>
      <c r="BB965" s="3"/>
      <c r="BC965" s="3"/>
      <c r="BD965" s="3"/>
      <c r="BE965" s="3"/>
    </row>
    <row r="966" spans="1:57" x14ac:dyDescent="0.35">
      <c r="A966" s="66" t="s">
        <v>4636</v>
      </c>
      <c r="B966" s="67"/>
      <c r="C966" s="67"/>
      <c r="D966" s="68"/>
      <c r="E966" s="94"/>
      <c r="F966" s="93" t="str">
        <f>HYPERLINK("https://pbs.twimg.com/profile_images/1226367623736233984/j6UicNIc_normal.jpg")</f>
        <v>https://pbs.twimg.com/profile_images/1226367623736233984/j6UicNIc_normal.jpg</v>
      </c>
      <c r="G966" s="95"/>
      <c r="H966" s="71"/>
      <c r="I966" s="72"/>
      <c r="J966" s="96"/>
      <c r="K966" s="71" t="s">
        <v>12023</v>
      </c>
      <c r="L966" s="97"/>
      <c r="M966" s="76"/>
      <c r="N966" s="76"/>
      <c r="O966" s="77"/>
      <c r="P966" s="78"/>
      <c r="Q966" s="78"/>
      <c r="R966" s="92"/>
      <c r="S966" s="92"/>
      <c r="T966" s="92"/>
      <c r="U966" s="92"/>
      <c r="V966" s="52"/>
      <c r="W966" s="52"/>
      <c r="X966" s="52"/>
      <c r="Y966" s="52"/>
      <c r="Z966" s="51"/>
      <c r="AA966" s="73"/>
      <c r="AB966" s="73"/>
      <c r="AC966" s="74"/>
      <c r="AD966" s="81" t="s">
        <v>8650</v>
      </c>
      <c r="AE966" s="86" t="s">
        <v>9638</v>
      </c>
      <c r="AF966" s="81">
        <v>1314</v>
      </c>
      <c r="AG966" s="81">
        <v>539</v>
      </c>
      <c r="AH966" s="81">
        <v>69578</v>
      </c>
      <c r="AI966" s="81">
        <v>76691</v>
      </c>
      <c r="AJ966" s="81"/>
      <c r="AK966" s="81" t="s">
        <v>10573</v>
      </c>
      <c r="AL966" s="81" t="s">
        <v>10985</v>
      </c>
      <c r="AM966" s="81"/>
      <c r="AN966" s="81"/>
      <c r="AO966" s="83">
        <v>43291.1562037037</v>
      </c>
      <c r="AP966" s="81"/>
      <c r="AQ966" s="81" t="b">
        <v>1</v>
      </c>
      <c r="AR966" s="81" t="b">
        <v>0</v>
      </c>
      <c r="AS966" s="81" t="b">
        <v>0</v>
      </c>
      <c r="AT966" s="81"/>
      <c r="AU966" s="81">
        <v>0</v>
      </c>
      <c r="AV966" s="81"/>
      <c r="AW966" s="81" t="b">
        <v>0</v>
      </c>
      <c r="AX966" s="81" t="s">
        <v>3728</v>
      </c>
      <c r="AY966" s="84" t="str">
        <f>HYPERLINK("https://twitter.com/manosp17")</f>
        <v>https://twitter.com/manosp17</v>
      </c>
      <c r="AZ966" s="81" t="s">
        <v>66</v>
      </c>
      <c r="BA966" s="2"/>
      <c r="BB966" s="3"/>
      <c r="BC966" s="3"/>
      <c r="BD966" s="3"/>
      <c r="BE966" s="3"/>
    </row>
    <row r="967" spans="1:57" x14ac:dyDescent="0.35">
      <c r="A967" s="66" t="s">
        <v>4637</v>
      </c>
      <c r="B967" s="67"/>
      <c r="C967" s="67"/>
      <c r="D967" s="68"/>
      <c r="E967" s="94"/>
      <c r="F967" s="93" t="str">
        <f>HYPERLINK("https://pbs.twimg.com/profile_images/417026949836337152/BEJM9hcZ_normal.jpeg")</f>
        <v>https://pbs.twimg.com/profile_images/417026949836337152/BEJM9hcZ_normal.jpeg</v>
      </c>
      <c r="G967" s="95"/>
      <c r="H967" s="71"/>
      <c r="I967" s="72"/>
      <c r="J967" s="96"/>
      <c r="K967" s="71" t="s">
        <v>12024</v>
      </c>
      <c r="L967" s="97"/>
      <c r="M967" s="76"/>
      <c r="N967" s="76"/>
      <c r="O967" s="77"/>
      <c r="P967" s="78"/>
      <c r="Q967" s="78"/>
      <c r="R967" s="92"/>
      <c r="S967" s="92"/>
      <c r="T967" s="92"/>
      <c r="U967" s="92"/>
      <c r="V967" s="52"/>
      <c r="W967" s="52"/>
      <c r="X967" s="52"/>
      <c r="Y967" s="52"/>
      <c r="Z967" s="51"/>
      <c r="AA967" s="73"/>
      <c r="AB967" s="73"/>
      <c r="AC967" s="74"/>
      <c r="AD967" s="81" t="s">
        <v>8651</v>
      </c>
      <c r="AE967" s="86" t="s">
        <v>9639</v>
      </c>
      <c r="AF967" s="81">
        <v>4950</v>
      </c>
      <c r="AG967" s="81">
        <v>2721</v>
      </c>
      <c r="AH967" s="81">
        <v>152147</v>
      </c>
      <c r="AI967" s="81">
        <v>81752</v>
      </c>
      <c r="AJ967" s="81"/>
      <c r="AK967" s="81" t="s">
        <v>10574</v>
      </c>
      <c r="AL967" s="81" t="s">
        <v>11215</v>
      </c>
      <c r="AM967" s="81"/>
      <c r="AN967" s="81"/>
      <c r="AO967" s="83">
        <v>39996.80164351852</v>
      </c>
      <c r="AP967" s="84" t="str">
        <f>HYPERLINK("https://pbs.twimg.com/profile_banners/53157739/1388262349")</f>
        <v>https://pbs.twimg.com/profile_banners/53157739/1388262349</v>
      </c>
      <c r="AQ967" s="81" t="b">
        <v>0</v>
      </c>
      <c r="AR967" s="81" t="b">
        <v>0</v>
      </c>
      <c r="AS967" s="81" t="b">
        <v>1</v>
      </c>
      <c r="AT967" s="81"/>
      <c r="AU967" s="81">
        <v>8</v>
      </c>
      <c r="AV967" s="84" t="str">
        <f>HYPERLINK("https://abs.twimg.com/images/themes/theme10/bg.gif")</f>
        <v>https://abs.twimg.com/images/themes/theme10/bg.gif</v>
      </c>
      <c r="AW967" s="81" t="b">
        <v>0</v>
      </c>
      <c r="AX967" s="81" t="s">
        <v>3728</v>
      </c>
      <c r="AY967" s="84" t="str">
        <f>HYPERLINK("https://twitter.com/keisaricisar")</f>
        <v>https://twitter.com/keisaricisar</v>
      </c>
      <c r="AZ967" s="81" t="s">
        <v>66</v>
      </c>
      <c r="BA967" s="2"/>
      <c r="BB967" s="3"/>
      <c r="BC967" s="3"/>
      <c r="BD967" s="3"/>
      <c r="BE967" s="3"/>
    </row>
    <row r="968" spans="1:57" x14ac:dyDescent="0.35">
      <c r="A968" s="66" t="s">
        <v>4638</v>
      </c>
      <c r="B968" s="67"/>
      <c r="C968" s="67"/>
      <c r="D968" s="68"/>
      <c r="E968" s="94"/>
      <c r="F968" s="93" t="str">
        <f>HYPERLINK("https://pbs.twimg.com/profile_images/1429193775230951424/SLJmwmnc_normal.jpg")</f>
        <v>https://pbs.twimg.com/profile_images/1429193775230951424/SLJmwmnc_normal.jpg</v>
      </c>
      <c r="G968" s="95"/>
      <c r="H968" s="71"/>
      <c r="I968" s="72"/>
      <c r="J968" s="96"/>
      <c r="K968" s="71" t="s">
        <v>12025</v>
      </c>
      <c r="L968" s="97"/>
      <c r="M968" s="76"/>
      <c r="N968" s="76"/>
      <c r="O968" s="77"/>
      <c r="P968" s="78"/>
      <c r="Q968" s="78"/>
      <c r="R968" s="92"/>
      <c r="S968" s="92"/>
      <c r="T968" s="92"/>
      <c r="U968" s="92"/>
      <c r="V968" s="52"/>
      <c r="W968" s="52"/>
      <c r="X968" s="52"/>
      <c r="Y968" s="52"/>
      <c r="Z968" s="51"/>
      <c r="AA968" s="73"/>
      <c r="AB968" s="73"/>
      <c r="AC968" s="74"/>
      <c r="AD968" s="81" t="s">
        <v>8652</v>
      </c>
      <c r="AE968" s="86" t="s">
        <v>9640</v>
      </c>
      <c r="AF968" s="81">
        <v>2762</v>
      </c>
      <c r="AG968" s="81">
        <v>1513</v>
      </c>
      <c r="AH968" s="81">
        <v>24434</v>
      </c>
      <c r="AI968" s="81">
        <v>45088</v>
      </c>
      <c r="AJ968" s="81"/>
      <c r="AK968" s="81" t="s">
        <v>10575</v>
      </c>
      <c r="AL968" s="81" t="s">
        <v>10975</v>
      </c>
      <c r="AM968" s="81"/>
      <c r="AN968" s="81"/>
      <c r="AO968" s="83">
        <v>40039.611273148148</v>
      </c>
      <c r="AP968" s="84" t="str">
        <f>HYPERLINK("https://pbs.twimg.com/profile_banners/65649421/1629581324")</f>
        <v>https://pbs.twimg.com/profile_banners/65649421/1629581324</v>
      </c>
      <c r="AQ968" s="81" t="b">
        <v>0</v>
      </c>
      <c r="AR968" s="81" t="b">
        <v>0</v>
      </c>
      <c r="AS968" s="81" t="b">
        <v>0</v>
      </c>
      <c r="AT968" s="81"/>
      <c r="AU968" s="81">
        <v>8</v>
      </c>
      <c r="AV968" s="84" t="str">
        <f>HYPERLINK("https://abs.twimg.com/images/themes/theme1/bg.png")</f>
        <v>https://abs.twimg.com/images/themes/theme1/bg.png</v>
      </c>
      <c r="AW968" s="81" t="b">
        <v>0</v>
      </c>
      <c r="AX968" s="81" t="s">
        <v>3728</v>
      </c>
      <c r="AY968" s="84" t="str">
        <f>HYPERLINK("https://twitter.com/taniarjreis")</f>
        <v>https://twitter.com/taniarjreis</v>
      </c>
      <c r="AZ968" s="81" t="s">
        <v>66</v>
      </c>
      <c r="BA968" s="2"/>
      <c r="BB968" s="3"/>
      <c r="BC968" s="3"/>
      <c r="BD968" s="3"/>
      <c r="BE968" s="3"/>
    </row>
    <row r="969" spans="1:57" x14ac:dyDescent="0.35">
      <c r="A969" s="66" t="s">
        <v>4639</v>
      </c>
      <c r="B969" s="67"/>
      <c r="C969" s="67"/>
      <c r="D969" s="68"/>
      <c r="E969" s="94"/>
      <c r="F969" s="93" t="str">
        <f>HYPERLINK("https://pbs.twimg.com/profile_images/1422010679616212998/ld906NHe_normal.jpg")</f>
        <v>https://pbs.twimg.com/profile_images/1422010679616212998/ld906NHe_normal.jpg</v>
      </c>
      <c r="G969" s="95"/>
      <c r="H969" s="71"/>
      <c r="I969" s="72"/>
      <c r="J969" s="96"/>
      <c r="K969" s="71" t="s">
        <v>12026</v>
      </c>
      <c r="L969" s="97"/>
      <c r="M969" s="76"/>
      <c r="N969" s="76"/>
      <c r="O969" s="77"/>
      <c r="P969" s="78"/>
      <c r="Q969" s="78"/>
      <c r="R969" s="92"/>
      <c r="S969" s="92"/>
      <c r="T969" s="92"/>
      <c r="U969" s="92"/>
      <c r="V969" s="52"/>
      <c r="W969" s="52"/>
      <c r="X969" s="52"/>
      <c r="Y969" s="52"/>
      <c r="Z969" s="51"/>
      <c r="AA969" s="73"/>
      <c r="AB969" s="73"/>
      <c r="AC969" s="74"/>
      <c r="AD969" s="81" t="s">
        <v>8653</v>
      </c>
      <c r="AE969" s="86" t="s">
        <v>9641</v>
      </c>
      <c r="AF969" s="81">
        <v>860</v>
      </c>
      <c r="AG969" s="81">
        <v>1111</v>
      </c>
      <c r="AH969" s="81">
        <v>9241</v>
      </c>
      <c r="AI969" s="81">
        <v>22044</v>
      </c>
      <c r="AJ969" s="81"/>
      <c r="AK969" s="81" t="s">
        <v>10576</v>
      </c>
      <c r="AL969" s="81" t="s">
        <v>11216</v>
      </c>
      <c r="AM969" s="84" t="str">
        <f>HYPERLINK("https://t.co/LG6DtoiDMq")</f>
        <v>https://t.co/LG6DtoiDMq</v>
      </c>
      <c r="AN969" s="81"/>
      <c r="AO969" s="83">
        <v>43705.604259259257</v>
      </c>
      <c r="AP969" s="84" t="str">
        <f>HYPERLINK("https://pbs.twimg.com/profile_banners/1166719569081327618/1625013827")</f>
        <v>https://pbs.twimg.com/profile_banners/1166719569081327618/1625013827</v>
      </c>
      <c r="AQ969" s="81" t="b">
        <v>1</v>
      </c>
      <c r="AR969" s="81" t="b">
        <v>0</v>
      </c>
      <c r="AS969" s="81" t="b">
        <v>1</v>
      </c>
      <c r="AT969" s="81"/>
      <c r="AU969" s="81">
        <v>1</v>
      </c>
      <c r="AV969" s="81"/>
      <c r="AW969" s="81" t="b">
        <v>0</v>
      </c>
      <c r="AX969" s="81" t="s">
        <v>3728</v>
      </c>
      <c r="AY969" s="84" t="str">
        <f>HYPERLINK("https://twitter.com/jlia_cristinaa")</f>
        <v>https://twitter.com/jlia_cristinaa</v>
      </c>
      <c r="AZ969" s="81" t="s">
        <v>66</v>
      </c>
      <c r="BA969" s="2"/>
      <c r="BB969" s="3"/>
      <c r="BC969" s="3"/>
      <c r="BD969" s="3"/>
      <c r="BE969" s="3"/>
    </row>
    <row r="970" spans="1:57" x14ac:dyDescent="0.35">
      <c r="A970" s="66" t="s">
        <v>5134</v>
      </c>
      <c r="B970" s="67"/>
      <c r="C970" s="67"/>
      <c r="D970" s="68"/>
      <c r="E970" s="94"/>
      <c r="F970" s="93" t="str">
        <f>HYPERLINK("https://pbs.twimg.com/profile_images/1441437313905528839/EjroPEQs_normal.jpg")</f>
        <v>https://pbs.twimg.com/profile_images/1441437313905528839/EjroPEQs_normal.jpg</v>
      </c>
      <c r="G970" s="95"/>
      <c r="H970" s="71"/>
      <c r="I970" s="72"/>
      <c r="J970" s="96"/>
      <c r="K970" s="71" t="s">
        <v>12027</v>
      </c>
      <c r="L970" s="97"/>
      <c r="M970" s="76"/>
      <c r="N970" s="76"/>
      <c r="O970" s="77"/>
      <c r="P970" s="78"/>
      <c r="Q970" s="78"/>
      <c r="R970" s="92"/>
      <c r="S970" s="92"/>
      <c r="T970" s="92"/>
      <c r="U970" s="92"/>
      <c r="V970" s="52"/>
      <c r="W970" s="52"/>
      <c r="X970" s="52"/>
      <c r="Y970" s="52"/>
      <c r="Z970" s="51"/>
      <c r="AA970" s="73"/>
      <c r="AB970" s="73"/>
      <c r="AC970" s="74"/>
      <c r="AD970" s="81" t="s">
        <v>8654</v>
      </c>
      <c r="AE970" s="86" t="s">
        <v>7886</v>
      </c>
      <c r="AF970" s="81">
        <v>1111</v>
      </c>
      <c r="AG970" s="81">
        <v>1597</v>
      </c>
      <c r="AH970" s="81">
        <v>10592</v>
      </c>
      <c r="AI970" s="81">
        <v>83618</v>
      </c>
      <c r="AJ970" s="81"/>
      <c r="AK970" s="81"/>
      <c r="AL970" s="81"/>
      <c r="AM970" s="84" t="str">
        <f>HYPERLINK("https://t.co/jJah59MW4T")</f>
        <v>https://t.co/jJah59MW4T</v>
      </c>
      <c r="AN970" s="81"/>
      <c r="AO970" s="83">
        <v>43626.040671296294</v>
      </c>
      <c r="AP970" s="84" t="str">
        <f>HYPERLINK("https://pbs.twimg.com/profile_banners/1137886740545495040/1632500322")</f>
        <v>https://pbs.twimg.com/profile_banners/1137886740545495040/1632500322</v>
      </c>
      <c r="AQ970" s="81" t="b">
        <v>1</v>
      </c>
      <c r="AR970" s="81" t="b">
        <v>0</v>
      </c>
      <c r="AS970" s="81" t="b">
        <v>1</v>
      </c>
      <c r="AT970" s="81"/>
      <c r="AU970" s="81">
        <v>0</v>
      </c>
      <c r="AV970" s="81"/>
      <c r="AW970" s="81" t="b">
        <v>0</v>
      </c>
      <c r="AX970" s="81" t="s">
        <v>3728</v>
      </c>
      <c r="AY970" s="84" t="str">
        <f>HYPERLINK("https://twitter.com/bastoss_rn")</f>
        <v>https://twitter.com/bastoss_rn</v>
      </c>
      <c r="AZ970" s="81" t="s">
        <v>65</v>
      </c>
      <c r="BA970" s="2"/>
      <c r="BB970" s="3"/>
      <c r="BC970" s="3"/>
      <c r="BD970" s="3"/>
      <c r="BE970" s="3"/>
    </row>
    <row r="971" spans="1:57" x14ac:dyDescent="0.35">
      <c r="A971" s="66" t="s">
        <v>4640</v>
      </c>
      <c r="B971" s="67"/>
      <c r="C971" s="67"/>
      <c r="D971" s="68"/>
      <c r="E971" s="94"/>
      <c r="F971" s="93" t="str">
        <f>HYPERLINK("https://pbs.twimg.com/profile_images/1417259691495862273/0MtMtCER_normal.jpg")</f>
        <v>https://pbs.twimg.com/profile_images/1417259691495862273/0MtMtCER_normal.jpg</v>
      </c>
      <c r="G971" s="95"/>
      <c r="H971" s="71"/>
      <c r="I971" s="72"/>
      <c r="J971" s="96"/>
      <c r="K971" s="71" t="s">
        <v>12028</v>
      </c>
      <c r="L971" s="97"/>
      <c r="M971" s="76"/>
      <c r="N971" s="76"/>
      <c r="O971" s="77"/>
      <c r="P971" s="78"/>
      <c r="Q971" s="78"/>
      <c r="R971" s="92"/>
      <c r="S971" s="92"/>
      <c r="T971" s="92"/>
      <c r="U971" s="92"/>
      <c r="V971" s="52"/>
      <c r="W971" s="52"/>
      <c r="X971" s="52"/>
      <c r="Y971" s="52"/>
      <c r="Z971" s="51"/>
      <c r="AA971" s="73"/>
      <c r="AB971" s="73"/>
      <c r="AC971" s="74"/>
      <c r="AD971" s="81" t="s">
        <v>8655</v>
      </c>
      <c r="AE971" s="86" t="s">
        <v>9642</v>
      </c>
      <c r="AF971" s="81">
        <v>411</v>
      </c>
      <c r="AG971" s="81">
        <v>437</v>
      </c>
      <c r="AH971" s="81">
        <v>2297</v>
      </c>
      <c r="AI971" s="81">
        <v>41504</v>
      </c>
      <c r="AJ971" s="81"/>
      <c r="AK971" s="81" t="s">
        <v>13941</v>
      </c>
      <c r="AL971" s="81" t="s">
        <v>7998</v>
      </c>
      <c r="AM971" s="81"/>
      <c r="AN971" s="81"/>
      <c r="AO971" s="83">
        <v>40695.719467592593</v>
      </c>
      <c r="AP971" s="84" t="str">
        <f>HYPERLINK("https://pbs.twimg.com/profile_banners/309175130/1596671869")</f>
        <v>https://pbs.twimg.com/profile_banners/309175130/1596671869</v>
      </c>
      <c r="AQ971" s="81" t="b">
        <v>0</v>
      </c>
      <c r="AR971" s="81" t="b">
        <v>0</v>
      </c>
      <c r="AS971" s="81" t="b">
        <v>1</v>
      </c>
      <c r="AT971" s="81"/>
      <c r="AU971" s="81">
        <v>1</v>
      </c>
      <c r="AV971" s="84" t="str">
        <f>HYPERLINK("https://abs.twimg.com/images/themes/theme15/bg.png")</f>
        <v>https://abs.twimg.com/images/themes/theme15/bg.png</v>
      </c>
      <c r="AW971" s="81" t="b">
        <v>0</v>
      </c>
      <c r="AX971" s="81" t="s">
        <v>3728</v>
      </c>
      <c r="AY971" s="84" t="str">
        <f>HYPERLINK("https://twitter.com/alex_kosteczka")</f>
        <v>https://twitter.com/alex_kosteczka</v>
      </c>
      <c r="AZ971" s="81" t="s">
        <v>66</v>
      </c>
      <c r="BA971" s="2"/>
      <c r="BB971" s="3"/>
      <c r="BC971" s="3"/>
      <c r="BD971" s="3"/>
      <c r="BE971" s="3"/>
    </row>
    <row r="972" spans="1:57" x14ac:dyDescent="0.35">
      <c r="A972" s="66" t="s">
        <v>4641</v>
      </c>
      <c r="B972" s="67"/>
      <c r="C972" s="67"/>
      <c r="D972" s="68"/>
      <c r="E972" s="94"/>
      <c r="F972" s="93" t="str">
        <f>HYPERLINK("https://pbs.twimg.com/profile_images/1384309472462577665/NVhK9yEv_normal.jpg")</f>
        <v>https://pbs.twimg.com/profile_images/1384309472462577665/NVhK9yEv_normal.jpg</v>
      </c>
      <c r="G972" s="95"/>
      <c r="H972" s="71"/>
      <c r="I972" s="72"/>
      <c r="J972" s="96"/>
      <c r="K972" s="71" t="s">
        <v>12029</v>
      </c>
      <c r="L972" s="97"/>
      <c r="M972" s="76"/>
      <c r="N972" s="76"/>
      <c r="O972" s="77"/>
      <c r="P972" s="78"/>
      <c r="Q972" s="78"/>
      <c r="R972" s="92"/>
      <c r="S972" s="92"/>
      <c r="T972" s="92"/>
      <c r="U972" s="92"/>
      <c r="V972" s="52"/>
      <c r="W972" s="52"/>
      <c r="X972" s="52"/>
      <c r="Y972" s="52"/>
      <c r="Z972" s="51"/>
      <c r="AA972" s="73"/>
      <c r="AB972" s="73"/>
      <c r="AC972" s="74"/>
      <c r="AD972" s="81" t="s">
        <v>8656</v>
      </c>
      <c r="AE972" s="86" t="s">
        <v>9643</v>
      </c>
      <c r="AF972" s="81">
        <v>3500</v>
      </c>
      <c r="AG972" s="81">
        <v>4279</v>
      </c>
      <c r="AH972" s="81">
        <v>496716</v>
      </c>
      <c r="AI972" s="81">
        <v>41801</v>
      </c>
      <c r="AJ972" s="81"/>
      <c r="AK972" s="81" t="s">
        <v>10577</v>
      </c>
      <c r="AL972" s="81" t="s">
        <v>10973</v>
      </c>
      <c r="AM972" s="81"/>
      <c r="AN972" s="81"/>
      <c r="AO972" s="83">
        <v>40279.147719907407</v>
      </c>
      <c r="AP972" s="84" t="str">
        <f>HYPERLINK("https://pbs.twimg.com/profile_banners/131716054/1509807731")</f>
        <v>https://pbs.twimg.com/profile_banners/131716054/1509807731</v>
      </c>
      <c r="AQ972" s="81" t="b">
        <v>0</v>
      </c>
      <c r="AR972" s="81" t="b">
        <v>0</v>
      </c>
      <c r="AS972" s="81" t="b">
        <v>1</v>
      </c>
      <c r="AT972" s="81"/>
      <c r="AU972" s="81">
        <v>55</v>
      </c>
      <c r="AV972" s="84" t="str">
        <f>HYPERLINK("https://abs.twimg.com/images/themes/theme1/bg.png")</f>
        <v>https://abs.twimg.com/images/themes/theme1/bg.png</v>
      </c>
      <c r="AW972" s="81" t="b">
        <v>0</v>
      </c>
      <c r="AX972" s="81" t="s">
        <v>3728</v>
      </c>
      <c r="AY972" s="84" t="str">
        <f>HYPERLINK("https://twitter.com/marcelojgonca")</f>
        <v>https://twitter.com/marcelojgonca</v>
      </c>
      <c r="AZ972" s="81" t="s">
        <v>66</v>
      </c>
      <c r="BA972" s="2"/>
      <c r="BB972" s="3"/>
      <c r="BC972" s="3"/>
      <c r="BD972" s="3"/>
      <c r="BE972" s="3"/>
    </row>
    <row r="973" spans="1:57" x14ac:dyDescent="0.35">
      <c r="A973" s="66" t="s">
        <v>4642</v>
      </c>
      <c r="B973" s="67"/>
      <c r="C973" s="67"/>
      <c r="D973" s="68"/>
      <c r="E973" s="94"/>
      <c r="F973" s="93" t="str">
        <f>HYPERLINK("https://pbs.twimg.com/profile_images/1437858436021112833/tjLYVknH_normal.jpg")</f>
        <v>https://pbs.twimg.com/profile_images/1437858436021112833/tjLYVknH_normal.jpg</v>
      </c>
      <c r="G973" s="95"/>
      <c r="H973" s="71"/>
      <c r="I973" s="72"/>
      <c r="J973" s="96"/>
      <c r="K973" s="71" t="s">
        <v>12030</v>
      </c>
      <c r="L973" s="97"/>
      <c r="M973" s="76"/>
      <c r="N973" s="76"/>
      <c r="O973" s="77"/>
      <c r="P973" s="78"/>
      <c r="Q973" s="78"/>
      <c r="R973" s="92"/>
      <c r="S973" s="92"/>
      <c r="T973" s="92"/>
      <c r="U973" s="92"/>
      <c r="V973" s="52"/>
      <c r="W973" s="52"/>
      <c r="X973" s="52"/>
      <c r="Y973" s="52"/>
      <c r="Z973" s="51"/>
      <c r="AA973" s="73"/>
      <c r="AB973" s="73"/>
      <c r="AC973" s="74"/>
      <c r="AD973" s="81" t="s">
        <v>8657</v>
      </c>
      <c r="AE973" s="86" t="s">
        <v>7887</v>
      </c>
      <c r="AF973" s="81">
        <v>770</v>
      </c>
      <c r="AG973" s="81">
        <v>2343</v>
      </c>
      <c r="AH973" s="81">
        <v>52948</v>
      </c>
      <c r="AI973" s="81">
        <v>39412</v>
      </c>
      <c r="AJ973" s="81"/>
      <c r="AK973" s="81" t="s">
        <v>10578</v>
      </c>
      <c r="AL973" s="81"/>
      <c r="AM973" s="84" t="str">
        <f>HYPERLINK("https://t.co/pGiJ1wLQoO")</f>
        <v>https://t.co/pGiJ1wLQoO</v>
      </c>
      <c r="AN973" s="81"/>
      <c r="AO973" s="83">
        <v>39872.627581018518</v>
      </c>
      <c r="AP973" s="84" t="str">
        <f>HYPERLINK("https://pbs.twimg.com/profile_banners/22262308/1614900241")</f>
        <v>https://pbs.twimg.com/profile_banners/22262308/1614900241</v>
      </c>
      <c r="AQ973" s="81" t="b">
        <v>0</v>
      </c>
      <c r="AR973" s="81" t="b">
        <v>0</v>
      </c>
      <c r="AS973" s="81" t="b">
        <v>1</v>
      </c>
      <c r="AT973" s="81"/>
      <c r="AU973" s="81">
        <v>12</v>
      </c>
      <c r="AV973" s="84" t="str">
        <f>HYPERLINK("https://abs.twimg.com/images/themes/theme1/bg.png")</f>
        <v>https://abs.twimg.com/images/themes/theme1/bg.png</v>
      </c>
      <c r="AW973" s="81" t="b">
        <v>0</v>
      </c>
      <c r="AX973" s="81" t="s">
        <v>3728</v>
      </c>
      <c r="AY973" s="84" t="str">
        <f>HYPERLINK("https://twitter.com/joaovitorjv")</f>
        <v>https://twitter.com/joaovitorjv</v>
      </c>
      <c r="AZ973" s="81" t="s">
        <v>66</v>
      </c>
      <c r="BA973" s="2"/>
      <c r="BB973" s="3"/>
      <c r="BC973" s="3"/>
      <c r="BD973" s="3"/>
      <c r="BE973" s="3"/>
    </row>
    <row r="974" spans="1:57" x14ac:dyDescent="0.35">
      <c r="A974" s="66" t="s">
        <v>4643</v>
      </c>
      <c r="B974" s="67"/>
      <c r="C974" s="67"/>
      <c r="D974" s="68"/>
      <c r="E974" s="94"/>
      <c r="F974" s="93" t="str">
        <f>HYPERLINK("https://pbs.twimg.com/profile_images/1336809791893725189/bymjqyIT_normal.jpg")</f>
        <v>https://pbs.twimg.com/profile_images/1336809791893725189/bymjqyIT_normal.jpg</v>
      </c>
      <c r="G974" s="95"/>
      <c r="H974" s="71"/>
      <c r="I974" s="72"/>
      <c r="J974" s="96"/>
      <c r="K974" s="71" t="s">
        <v>12031</v>
      </c>
      <c r="L974" s="97"/>
      <c r="M974" s="76"/>
      <c r="N974" s="76"/>
      <c r="O974" s="77"/>
      <c r="P974" s="78"/>
      <c r="Q974" s="78"/>
      <c r="R974" s="92"/>
      <c r="S974" s="92"/>
      <c r="T974" s="92"/>
      <c r="U974" s="92"/>
      <c r="V974" s="52"/>
      <c r="W974" s="52"/>
      <c r="X974" s="52"/>
      <c r="Y974" s="52"/>
      <c r="Z974" s="51"/>
      <c r="AA974" s="73"/>
      <c r="AB974" s="73"/>
      <c r="AC974" s="74"/>
      <c r="AD974" s="81" t="s">
        <v>8658</v>
      </c>
      <c r="AE974" s="86" t="s">
        <v>9644</v>
      </c>
      <c r="AF974" s="81">
        <v>994</v>
      </c>
      <c r="AG974" s="81">
        <v>3893</v>
      </c>
      <c r="AH974" s="81">
        <v>69856</v>
      </c>
      <c r="AI974" s="81">
        <v>56441</v>
      </c>
      <c r="AJ974" s="81"/>
      <c r="AK974" s="81" t="s">
        <v>10579</v>
      </c>
      <c r="AL974" s="81" t="s">
        <v>10985</v>
      </c>
      <c r="AM974" s="81"/>
      <c r="AN974" s="81"/>
      <c r="AO974" s="83">
        <v>40267.847939814812</v>
      </c>
      <c r="AP974" s="84" t="str">
        <f>HYPERLINK("https://pbs.twimg.com/profile_banners/127993834/1514395131")</f>
        <v>https://pbs.twimg.com/profile_banners/127993834/1514395131</v>
      </c>
      <c r="AQ974" s="81" t="b">
        <v>1</v>
      </c>
      <c r="AR974" s="81" t="b">
        <v>0</v>
      </c>
      <c r="AS974" s="81" t="b">
        <v>0</v>
      </c>
      <c r="AT974" s="81"/>
      <c r="AU974" s="81">
        <v>18</v>
      </c>
      <c r="AV974" s="84" t="str">
        <f>HYPERLINK("https://abs.twimg.com/images/themes/theme1/bg.png")</f>
        <v>https://abs.twimg.com/images/themes/theme1/bg.png</v>
      </c>
      <c r="AW974" s="81" t="b">
        <v>0</v>
      </c>
      <c r="AX974" s="81" t="s">
        <v>3728</v>
      </c>
      <c r="AY974" s="84" t="str">
        <f>HYPERLINK("https://twitter.com/selma_lula")</f>
        <v>https://twitter.com/selma_lula</v>
      </c>
      <c r="AZ974" s="81" t="s">
        <v>66</v>
      </c>
      <c r="BA974" s="2"/>
      <c r="BB974" s="3"/>
      <c r="BC974" s="3"/>
      <c r="BD974" s="3"/>
      <c r="BE974" s="3"/>
    </row>
    <row r="975" spans="1:57" x14ac:dyDescent="0.35">
      <c r="A975" s="66" t="s">
        <v>4644</v>
      </c>
      <c r="B975" s="67"/>
      <c r="C975" s="67"/>
      <c r="D975" s="68"/>
      <c r="E975" s="94"/>
      <c r="F975" s="93" t="str">
        <f>HYPERLINK("https://pbs.twimg.com/profile_images/1197633403169972237/nHRJWS1j_normal.jpg")</f>
        <v>https://pbs.twimg.com/profile_images/1197633403169972237/nHRJWS1j_normal.jpg</v>
      </c>
      <c r="G975" s="95"/>
      <c r="H975" s="71"/>
      <c r="I975" s="72"/>
      <c r="J975" s="96"/>
      <c r="K975" s="71" t="s">
        <v>12032</v>
      </c>
      <c r="L975" s="97"/>
      <c r="M975" s="76"/>
      <c r="N975" s="76"/>
      <c r="O975" s="77"/>
      <c r="P975" s="78"/>
      <c r="Q975" s="78"/>
      <c r="R975" s="92"/>
      <c r="S975" s="92"/>
      <c r="T975" s="92"/>
      <c r="U975" s="92"/>
      <c r="V975" s="52"/>
      <c r="W975" s="52"/>
      <c r="X975" s="52"/>
      <c r="Y975" s="52"/>
      <c r="Z975" s="51"/>
      <c r="AA975" s="73"/>
      <c r="AB975" s="73"/>
      <c r="AC975" s="74"/>
      <c r="AD975" s="81" t="s">
        <v>8659</v>
      </c>
      <c r="AE975" s="86" t="s">
        <v>9645</v>
      </c>
      <c r="AF975" s="81">
        <v>144</v>
      </c>
      <c r="AG975" s="81">
        <v>38</v>
      </c>
      <c r="AH975" s="81">
        <v>2331</v>
      </c>
      <c r="AI975" s="81">
        <v>27359</v>
      </c>
      <c r="AJ975" s="81"/>
      <c r="AK975" s="81" t="s">
        <v>10580</v>
      </c>
      <c r="AL975" s="81"/>
      <c r="AM975" s="81"/>
      <c r="AN975" s="81"/>
      <c r="AO975" s="83">
        <v>43524.628564814811</v>
      </c>
      <c r="AP975" s="84" t="str">
        <f>HYPERLINK("https://pbs.twimg.com/profile_banners/1101136222750167040/1558905630")</f>
        <v>https://pbs.twimg.com/profile_banners/1101136222750167040/1558905630</v>
      </c>
      <c r="AQ975" s="81" t="b">
        <v>1</v>
      </c>
      <c r="AR975" s="81" t="b">
        <v>0</v>
      </c>
      <c r="AS975" s="81" t="b">
        <v>0</v>
      </c>
      <c r="AT975" s="81"/>
      <c r="AU975" s="81">
        <v>0</v>
      </c>
      <c r="AV975" s="81"/>
      <c r="AW975" s="81" t="b">
        <v>0</v>
      </c>
      <c r="AX975" s="81" t="s">
        <v>3728</v>
      </c>
      <c r="AY975" s="84" t="str">
        <f>HYPERLINK("https://twitter.com/maicao94")</f>
        <v>https://twitter.com/maicao94</v>
      </c>
      <c r="AZ975" s="81" t="s">
        <v>66</v>
      </c>
      <c r="BA975" s="2"/>
      <c r="BB975" s="3"/>
      <c r="BC975" s="3"/>
      <c r="BD975" s="3"/>
      <c r="BE975" s="3"/>
    </row>
    <row r="976" spans="1:57" x14ac:dyDescent="0.35">
      <c r="A976" s="66" t="s">
        <v>4645</v>
      </c>
      <c r="B976" s="67"/>
      <c r="C976" s="67"/>
      <c r="D976" s="68"/>
      <c r="E976" s="94"/>
      <c r="F976" s="93" t="str">
        <f>HYPERLINK("https://pbs.twimg.com/profile_images/1442516523411673095/SvcwsvUz_normal.jpg")</f>
        <v>https://pbs.twimg.com/profile_images/1442516523411673095/SvcwsvUz_normal.jpg</v>
      </c>
      <c r="G976" s="95"/>
      <c r="H976" s="71"/>
      <c r="I976" s="72"/>
      <c r="J976" s="96"/>
      <c r="K976" s="71" t="s">
        <v>12033</v>
      </c>
      <c r="L976" s="97"/>
      <c r="M976" s="76"/>
      <c r="N976" s="76"/>
      <c r="O976" s="77"/>
      <c r="P976" s="78"/>
      <c r="Q976" s="78"/>
      <c r="R976" s="92"/>
      <c r="S976" s="92"/>
      <c r="T976" s="92"/>
      <c r="U976" s="92"/>
      <c r="V976" s="52"/>
      <c r="W976" s="52"/>
      <c r="X976" s="52"/>
      <c r="Y976" s="52"/>
      <c r="Z976" s="51"/>
      <c r="AA976" s="73"/>
      <c r="AB976" s="73"/>
      <c r="AC976" s="74"/>
      <c r="AD976" s="81" t="s">
        <v>8660</v>
      </c>
      <c r="AE976" s="86" t="s">
        <v>9646</v>
      </c>
      <c r="AF976" s="81">
        <v>3454</v>
      </c>
      <c r="AG976" s="81">
        <v>10760</v>
      </c>
      <c r="AH976" s="81">
        <v>130372</v>
      </c>
      <c r="AI976" s="81">
        <v>19567</v>
      </c>
      <c r="AJ976" s="81"/>
      <c r="AK976" s="81" t="s">
        <v>10581</v>
      </c>
      <c r="AL976" s="81" t="s">
        <v>10988</v>
      </c>
      <c r="AM976" s="81"/>
      <c r="AN976" s="81"/>
      <c r="AO976" s="83">
        <v>42199.099131944444</v>
      </c>
      <c r="AP976" s="84" t="str">
        <f>HYPERLINK("https://pbs.twimg.com/profile_banners/3374984517/1631761119")</f>
        <v>https://pbs.twimg.com/profile_banners/3374984517/1631761119</v>
      </c>
      <c r="AQ976" s="81" t="b">
        <v>1</v>
      </c>
      <c r="AR976" s="81" t="b">
        <v>0</v>
      </c>
      <c r="AS976" s="81" t="b">
        <v>0</v>
      </c>
      <c r="AT976" s="81"/>
      <c r="AU976" s="81">
        <v>59</v>
      </c>
      <c r="AV976" s="84" t="str">
        <f>HYPERLINK("https://abs.twimg.com/images/themes/theme1/bg.png")</f>
        <v>https://abs.twimg.com/images/themes/theme1/bg.png</v>
      </c>
      <c r="AW976" s="81" t="b">
        <v>0</v>
      </c>
      <c r="AX976" s="81" t="s">
        <v>3728</v>
      </c>
      <c r="AY976" s="84" t="str">
        <f>HYPERLINK("https://twitter.com/vnssalin")</f>
        <v>https://twitter.com/vnssalin</v>
      </c>
      <c r="AZ976" s="81" t="s">
        <v>66</v>
      </c>
      <c r="BA976" s="2"/>
      <c r="BB976" s="3"/>
      <c r="BC976" s="3"/>
      <c r="BD976" s="3"/>
      <c r="BE976" s="3"/>
    </row>
    <row r="977" spans="1:57" x14ac:dyDescent="0.35">
      <c r="A977" s="66" t="s">
        <v>4646</v>
      </c>
      <c r="B977" s="67"/>
      <c r="C977" s="67"/>
      <c r="D977" s="68"/>
      <c r="E977" s="94"/>
      <c r="F977" s="93" t="str">
        <f>HYPERLINK("https://pbs.twimg.com/profile_images/1438440924506468354/mpQ-YItn_normal.jpg")</f>
        <v>https://pbs.twimg.com/profile_images/1438440924506468354/mpQ-YItn_normal.jpg</v>
      </c>
      <c r="G977" s="95"/>
      <c r="H977" s="71"/>
      <c r="I977" s="72"/>
      <c r="J977" s="96"/>
      <c r="K977" s="71" t="s">
        <v>12034</v>
      </c>
      <c r="L977" s="97"/>
      <c r="M977" s="76"/>
      <c r="N977" s="76"/>
      <c r="O977" s="77"/>
      <c r="P977" s="78"/>
      <c r="Q977" s="78"/>
      <c r="R977" s="92"/>
      <c r="S977" s="92"/>
      <c r="T977" s="92"/>
      <c r="U977" s="92"/>
      <c r="V977" s="52"/>
      <c r="W977" s="52"/>
      <c r="X977" s="52"/>
      <c r="Y977" s="52"/>
      <c r="Z977" s="51"/>
      <c r="AA977" s="73"/>
      <c r="AB977" s="73"/>
      <c r="AC977" s="74"/>
      <c r="AD977" s="81" t="s">
        <v>8661</v>
      </c>
      <c r="AE977" s="86" t="s">
        <v>9647</v>
      </c>
      <c r="AF977" s="81">
        <v>1090</v>
      </c>
      <c r="AG977" s="81">
        <v>1376</v>
      </c>
      <c r="AH977" s="81">
        <v>64379</v>
      </c>
      <c r="AI977" s="81">
        <v>143008</v>
      </c>
      <c r="AJ977" s="81"/>
      <c r="AK977" s="81" t="s">
        <v>10582</v>
      </c>
      <c r="AL977" s="81" t="s">
        <v>11217</v>
      </c>
      <c r="AM977" s="81"/>
      <c r="AN977" s="81"/>
      <c r="AO977" s="83">
        <v>44082.951886574076</v>
      </c>
      <c r="AP977" s="84" t="str">
        <f>HYPERLINK("https://pbs.twimg.com/profile_banners/1303465749420310529/1617576511")</f>
        <v>https://pbs.twimg.com/profile_banners/1303465749420310529/1617576511</v>
      </c>
      <c r="AQ977" s="81" t="b">
        <v>1</v>
      </c>
      <c r="AR977" s="81" t="b">
        <v>0</v>
      </c>
      <c r="AS977" s="81" t="b">
        <v>0</v>
      </c>
      <c r="AT977" s="81"/>
      <c r="AU977" s="81">
        <v>4</v>
      </c>
      <c r="AV977" s="81"/>
      <c r="AW977" s="81" t="b">
        <v>0</v>
      </c>
      <c r="AX977" s="81" t="s">
        <v>3728</v>
      </c>
      <c r="AY977" s="84" t="str">
        <f>HYPERLINK("https://twitter.com/maruxdopt")</f>
        <v>https://twitter.com/maruxdopt</v>
      </c>
      <c r="AZ977" s="81" t="s">
        <v>66</v>
      </c>
      <c r="BA977" s="2"/>
      <c r="BB977" s="3"/>
      <c r="BC977" s="3"/>
      <c r="BD977" s="3"/>
      <c r="BE977" s="3"/>
    </row>
    <row r="978" spans="1:57" x14ac:dyDescent="0.35">
      <c r="A978" s="66" t="s">
        <v>4647</v>
      </c>
      <c r="B978" s="67"/>
      <c r="C978" s="67"/>
      <c r="D978" s="68"/>
      <c r="E978" s="94"/>
      <c r="F978" s="93" t="str">
        <f>HYPERLINK("https://pbs.twimg.com/profile_images/1440287636212437004/TjRbFuKd_normal.jpg")</f>
        <v>https://pbs.twimg.com/profile_images/1440287636212437004/TjRbFuKd_normal.jpg</v>
      </c>
      <c r="G978" s="95"/>
      <c r="H978" s="71"/>
      <c r="I978" s="72"/>
      <c r="J978" s="96"/>
      <c r="K978" s="71" t="s">
        <v>12035</v>
      </c>
      <c r="L978" s="97"/>
      <c r="M978" s="76"/>
      <c r="N978" s="76"/>
      <c r="O978" s="77"/>
      <c r="P978" s="78"/>
      <c r="Q978" s="78"/>
      <c r="R978" s="92"/>
      <c r="S978" s="92"/>
      <c r="T978" s="92"/>
      <c r="U978" s="92"/>
      <c r="V978" s="52"/>
      <c r="W978" s="52"/>
      <c r="X978" s="52"/>
      <c r="Y978" s="52"/>
      <c r="Z978" s="51"/>
      <c r="AA978" s="73"/>
      <c r="AB978" s="73"/>
      <c r="AC978" s="74"/>
      <c r="AD978" s="81" t="s">
        <v>8662</v>
      </c>
      <c r="AE978" s="86" t="s">
        <v>9648</v>
      </c>
      <c r="AF978" s="81">
        <v>113</v>
      </c>
      <c r="AG978" s="81">
        <v>22</v>
      </c>
      <c r="AH978" s="81">
        <v>1641</v>
      </c>
      <c r="AI978" s="81">
        <v>6779</v>
      </c>
      <c r="AJ978" s="81"/>
      <c r="AK978" s="81" t="s">
        <v>10583</v>
      </c>
      <c r="AL978" s="81"/>
      <c r="AM978" s="81"/>
      <c r="AN978" s="81"/>
      <c r="AO978" s="83">
        <v>44415.839502314811</v>
      </c>
      <c r="AP978" s="84" t="str">
        <f>HYPERLINK("https://pbs.twimg.com/profile_banners/1424100198326931467/1632226306")</f>
        <v>https://pbs.twimg.com/profile_banners/1424100198326931467/1632226306</v>
      </c>
      <c r="AQ978" s="81" t="b">
        <v>1</v>
      </c>
      <c r="AR978" s="81" t="b">
        <v>0</v>
      </c>
      <c r="AS978" s="81" t="b">
        <v>0</v>
      </c>
      <c r="AT978" s="81"/>
      <c r="AU978" s="81">
        <v>0</v>
      </c>
      <c r="AV978" s="81"/>
      <c r="AW978" s="81" t="b">
        <v>0</v>
      </c>
      <c r="AX978" s="81" t="s">
        <v>3728</v>
      </c>
      <c r="AY978" s="84" t="str">
        <f>HYPERLINK("https://twitter.com/milenialnarede")</f>
        <v>https://twitter.com/milenialnarede</v>
      </c>
      <c r="AZ978" s="81" t="s">
        <v>66</v>
      </c>
      <c r="BA978" s="2"/>
      <c r="BB978" s="3"/>
      <c r="BC978" s="3"/>
      <c r="BD978" s="3"/>
      <c r="BE978" s="3"/>
    </row>
    <row r="979" spans="1:57" x14ac:dyDescent="0.35">
      <c r="A979" s="66" t="s">
        <v>4648</v>
      </c>
      <c r="B979" s="67"/>
      <c r="C979" s="67"/>
      <c r="D979" s="68"/>
      <c r="E979" s="94"/>
      <c r="F979" s="93" t="str">
        <f>HYPERLINK("https://pbs.twimg.com/profile_images/1241472025383907329/vwAXbEsi_normal.jpg")</f>
        <v>https://pbs.twimg.com/profile_images/1241472025383907329/vwAXbEsi_normal.jpg</v>
      </c>
      <c r="G979" s="95"/>
      <c r="H979" s="71"/>
      <c r="I979" s="72"/>
      <c r="J979" s="96"/>
      <c r="K979" s="71" t="s">
        <v>12036</v>
      </c>
      <c r="L979" s="97"/>
      <c r="M979" s="76"/>
      <c r="N979" s="76"/>
      <c r="O979" s="77"/>
      <c r="P979" s="78"/>
      <c r="Q979" s="78"/>
      <c r="R979" s="92"/>
      <c r="S979" s="92"/>
      <c r="T979" s="92"/>
      <c r="U979" s="92"/>
      <c r="V979" s="52"/>
      <c r="W979" s="52"/>
      <c r="X979" s="52"/>
      <c r="Y979" s="52"/>
      <c r="Z979" s="51"/>
      <c r="AA979" s="73"/>
      <c r="AB979" s="73"/>
      <c r="AC979" s="74"/>
      <c r="AD979" s="81" t="s">
        <v>8663</v>
      </c>
      <c r="AE979" s="86" t="s">
        <v>9649</v>
      </c>
      <c r="AF979" s="81">
        <v>133</v>
      </c>
      <c r="AG979" s="81">
        <v>92</v>
      </c>
      <c r="AH979" s="81">
        <v>53436</v>
      </c>
      <c r="AI979" s="81">
        <v>67132</v>
      </c>
      <c r="AJ979" s="81"/>
      <c r="AK979" s="81"/>
      <c r="AL979" s="81"/>
      <c r="AM979" s="81"/>
      <c r="AN979" s="81"/>
      <c r="AO979" s="83">
        <v>43678.574270833335</v>
      </c>
      <c r="AP979" s="81"/>
      <c r="AQ979" s="81" t="b">
        <v>1</v>
      </c>
      <c r="AR979" s="81" t="b">
        <v>0</v>
      </c>
      <c r="AS979" s="81" t="b">
        <v>1</v>
      </c>
      <c r="AT979" s="81"/>
      <c r="AU979" s="81">
        <v>0</v>
      </c>
      <c r="AV979" s="81"/>
      <c r="AW979" s="81" t="b">
        <v>0</v>
      </c>
      <c r="AX979" s="81" t="s">
        <v>3728</v>
      </c>
      <c r="AY979" s="84" t="str">
        <f>HYPERLINK("https://twitter.com/anavalriatoled1")</f>
        <v>https://twitter.com/anavalriatoled1</v>
      </c>
      <c r="AZ979" s="81" t="s">
        <v>66</v>
      </c>
      <c r="BA979" s="2"/>
      <c r="BB979" s="3"/>
      <c r="BC979" s="3"/>
      <c r="BD979" s="3"/>
      <c r="BE979" s="3"/>
    </row>
    <row r="980" spans="1:57" x14ac:dyDescent="0.35">
      <c r="A980" s="66" t="s">
        <v>4649</v>
      </c>
      <c r="B980" s="67"/>
      <c r="C980" s="67"/>
      <c r="D980" s="68"/>
      <c r="E980" s="94"/>
      <c r="F980" s="93" t="str">
        <f>HYPERLINK("https://pbs.twimg.com/profile_images/731563914073374720/1MlJEku-_normal.jpg")</f>
        <v>https://pbs.twimg.com/profile_images/731563914073374720/1MlJEku-_normal.jpg</v>
      </c>
      <c r="G980" s="95"/>
      <c r="H980" s="71"/>
      <c r="I980" s="72"/>
      <c r="J980" s="96"/>
      <c r="K980" s="71" t="s">
        <v>12037</v>
      </c>
      <c r="L980" s="97"/>
      <c r="M980" s="76"/>
      <c r="N980" s="76"/>
      <c r="O980" s="77"/>
      <c r="P980" s="78"/>
      <c r="Q980" s="78"/>
      <c r="R980" s="92"/>
      <c r="S980" s="92"/>
      <c r="T980" s="92"/>
      <c r="U980" s="92"/>
      <c r="V980" s="52"/>
      <c r="W980" s="52"/>
      <c r="X980" s="52"/>
      <c r="Y980" s="52"/>
      <c r="Z980" s="51"/>
      <c r="AA980" s="73"/>
      <c r="AB980" s="73"/>
      <c r="AC980" s="74"/>
      <c r="AD980" s="81" t="s">
        <v>8664</v>
      </c>
      <c r="AE980" s="86" t="s">
        <v>9650</v>
      </c>
      <c r="AF980" s="81">
        <v>708</v>
      </c>
      <c r="AG980" s="81">
        <v>497</v>
      </c>
      <c r="AH980" s="81">
        <v>124273</v>
      </c>
      <c r="AI980" s="81">
        <v>10164</v>
      </c>
      <c r="AJ980" s="81"/>
      <c r="AK980" s="81" t="s">
        <v>10584</v>
      </c>
      <c r="AL980" s="81" t="s">
        <v>11218</v>
      </c>
      <c r="AM980" s="84" t="str">
        <f>HYPERLINK("https://t.co/Z4Vll4pb8y")</f>
        <v>https://t.co/Z4Vll4pb8y</v>
      </c>
      <c r="AN980" s="81"/>
      <c r="AO980" s="83">
        <v>39975.621122685188</v>
      </c>
      <c r="AP980" s="84" t="str">
        <f>HYPERLINK("https://pbs.twimg.com/profile_banners/46403304/1463251504")</f>
        <v>https://pbs.twimg.com/profile_banners/46403304/1463251504</v>
      </c>
      <c r="AQ980" s="81" t="b">
        <v>0</v>
      </c>
      <c r="AR980" s="81" t="b">
        <v>0</v>
      </c>
      <c r="AS980" s="81" t="b">
        <v>1</v>
      </c>
      <c r="AT980" s="81"/>
      <c r="AU980" s="81">
        <v>10</v>
      </c>
      <c r="AV980" s="84" t="str">
        <f>HYPERLINK("https://abs.twimg.com/images/themes/theme6/bg.gif")</f>
        <v>https://abs.twimg.com/images/themes/theme6/bg.gif</v>
      </c>
      <c r="AW980" s="81" t="b">
        <v>0</v>
      </c>
      <c r="AX980" s="81" t="s">
        <v>3728</v>
      </c>
      <c r="AY980" s="84" t="str">
        <f>HYPERLINK("https://twitter.com/jfmacedo")</f>
        <v>https://twitter.com/jfmacedo</v>
      </c>
      <c r="AZ980" s="81" t="s">
        <v>66</v>
      </c>
      <c r="BA980" s="2"/>
      <c r="BB980" s="3"/>
      <c r="BC980" s="3"/>
      <c r="BD980" s="3"/>
      <c r="BE980" s="3"/>
    </row>
    <row r="981" spans="1:57" x14ac:dyDescent="0.35">
      <c r="A981" s="66" t="s">
        <v>4650</v>
      </c>
      <c r="B981" s="67"/>
      <c r="C981" s="67"/>
      <c r="D981" s="68"/>
      <c r="E981" s="94"/>
      <c r="F981" s="93" t="str">
        <f>HYPERLINK("https://pbs.twimg.com/profile_images/1436014570343174146/XgNtiQ5C_normal.jpg")</f>
        <v>https://pbs.twimg.com/profile_images/1436014570343174146/XgNtiQ5C_normal.jpg</v>
      </c>
      <c r="G981" s="95"/>
      <c r="H981" s="71"/>
      <c r="I981" s="72"/>
      <c r="J981" s="96"/>
      <c r="K981" s="71" t="s">
        <v>12038</v>
      </c>
      <c r="L981" s="97"/>
      <c r="M981" s="76"/>
      <c r="N981" s="76"/>
      <c r="O981" s="77"/>
      <c r="P981" s="78"/>
      <c r="Q981" s="78"/>
      <c r="R981" s="92"/>
      <c r="S981" s="92"/>
      <c r="T981" s="92"/>
      <c r="U981" s="92"/>
      <c r="V981" s="52"/>
      <c r="W981" s="52"/>
      <c r="X981" s="52"/>
      <c r="Y981" s="52"/>
      <c r="Z981" s="51"/>
      <c r="AA981" s="73"/>
      <c r="AB981" s="73"/>
      <c r="AC981" s="74"/>
      <c r="AD981" s="81" t="s">
        <v>8665</v>
      </c>
      <c r="AE981" s="86" t="s">
        <v>9651</v>
      </c>
      <c r="AF981" s="81">
        <v>2284</v>
      </c>
      <c r="AG981" s="81">
        <v>1127</v>
      </c>
      <c r="AH981" s="81">
        <v>73769</v>
      </c>
      <c r="AI981" s="81">
        <v>55124</v>
      </c>
      <c r="AJ981" s="81"/>
      <c r="AK981" s="81" t="s">
        <v>10585</v>
      </c>
      <c r="AL981" s="81" t="s">
        <v>11219</v>
      </c>
      <c r="AM981" s="81"/>
      <c r="AN981" s="81"/>
      <c r="AO981" s="83">
        <v>39946.101307870369</v>
      </c>
      <c r="AP981" s="84" t="str">
        <f>HYPERLINK("https://pbs.twimg.com/profile_banners/39665711/1631200210")</f>
        <v>https://pbs.twimg.com/profile_banners/39665711/1631200210</v>
      </c>
      <c r="AQ981" s="81" t="b">
        <v>0</v>
      </c>
      <c r="AR981" s="81" t="b">
        <v>0</v>
      </c>
      <c r="AS981" s="81" t="b">
        <v>1</v>
      </c>
      <c r="AT981" s="81"/>
      <c r="AU981" s="81">
        <v>7</v>
      </c>
      <c r="AV981" s="84" t="str">
        <f>HYPERLINK("https://abs.twimg.com/images/themes/theme1/bg.png")</f>
        <v>https://abs.twimg.com/images/themes/theme1/bg.png</v>
      </c>
      <c r="AW981" s="81" t="b">
        <v>0</v>
      </c>
      <c r="AX981" s="81" t="s">
        <v>3728</v>
      </c>
      <c r="AY981" s="84" t="str">
        <f>HYPERLINK("https://twitter.com/bangslester")</f>
        <v>https://twitter.com/bangslester</v>
      </c>
      <c r="AZ981" s="81" t="s">
        <v>66</v>
      </c>
      <c r="BA981" s="2"/>
      <c r="BB981" s="3"/>
      <c r="BC981" s="3"/>
      <c r="BD981" s="3"/>
      <c r="BE981" s="3"/>
    </row>
    <row r="982" spans="1:57" x14ac:dyDescent="0.35">
      <c r="A982" s="66" t="s">
        <v>4651</v>
      </c>
      <c r="B982" s="67"/>
      <c r="C982" s="67"/>
      <c r="D982" s="68"/>
      <c r="E982" s="94"/>
      <c r="F982" s="93" t="str">
        <f>HYPERLINK("https://pbs.twimg.com/profile_images/1390551205131214853/b3cY9Uye_normal.jpg")</f>
        <v>https://pbs.twimg.com/profile_images/1390551205131214853/b3cY9Uye_normal.jpg</v>
      </c>
      <c r="G982" s="95"/>
      <c r="H982" s="71"/>
      <c r="I982" s="72"/>
      <c r="J982" s="96"/>
      <c r="K982" s="71" t="s">
        <v>12039</v>
      </c>
      <c r="L982" s="97"/>
      <c r="M982" s="76"/>
      <c r="N982" s="76"/>
      <c r="O982" s="77"/>
      <c r="P982" s="78"/>
      <c r="Q982" s="78"/>
      <c r="R982" s="92"/>
      <c r="S982" s="92"/>
      <c r="T982" s="92"/>
      <c r="U982" s="92"/>
      <c r="V982" s="52"/>
      <c r="W982" s="52"/>
      <c r="X982" s="52"/>
      <c r="Y982" s="52"/>
      <c r="Z982" s="51"/>
      <c r="AA982" s="73"/>
      <c r="AB982" s="73"/>
      <c r="AC982" s="74"/>
      <c r="AD982" s="81" t="s">
        <v>8666</v>
      </c>
      <c r="AE982" s="86" t="s">
        <v>9652</v>
      </c>
      <c r="AF982" s="81">
        <v>225</v>
      </c>
      <c r="AG982" s="81">
        <v>649</v>
      </c>
      <c r="AH982" s="81">
        <v>75731</v>
      </c>
      <c r="AI982" s="81">
        <v>10286</v>
      </c>
      <c r="AJ982" s="81"/>
      <c r="AK982" s="81" t="s">
        <v>10586</v>
      </c>
      <c r="AL982" s="81"/>
      <c r="AM982" s="81"/>
      <c r="AN982" s="81"/>
      <c r="AO982" s="83">
        <v>40050.810069444444</v>
      </c>
      <c r="AP982" s="84" t="str">
        <f>HYPERLINK("https://pbs.twimg.com/profile_banners/68782410/1625879385")</f>
        <v>https://pbs.twimg.com/profile_banners/68782410/1625879385</v>
      </c>
      <c r="AQ982" s="81" t="b">
        <v>0</v>
      </c>
      <c r="AR982" s="81" t="b">
        <v>0</v>
      </c>
      <c r="AS982" s="81" t="b">
        <v>1</v>
      </c>
      <c r="AT982" s="81"/>
      <c r="AU982" s="81">
        <v>2</v>
      </c>
      <c r="AV982" s="84" t="str">
        <f>HYPERLINK("https://abs.twimg.com/images/themes/theme14/bg.gif")</f>
        <v>https://abs.twimg.com/images/themes/theme14/bg.gif</v>
      </c>
      <c r="AW982" s="81" t="b">
        <v>0</v>
      </c>
      <c r="AX982" s="81" t="s">
        <v>3728</v>
      </c>
      <c r="AY982" s="84" t="str">
        <f>HYPERLINK("https://twitter.com/omeuecomaga")</f>
        <v>https://twitter.com/omeuecomaga</v>
      </c>
      <c r="AZ982" s="81" t="s">
        <v>66</v>
      </c>
      <c r="BA982" s="2"/>
      <c r="BB982" s="3"/>
      <c r="BC982" s="3"/>
      <c r="BD982" s="3"/>
      <c r="BE982" s="3"/>
    </row>
    <row r="983" spans="1:57" x14ac:dyDescent="0.35">
      <c r="A983" s="66" t="s">
        <v>4652</v>
      </c>
      <c r="B983" s="67"/>
      <c r="C983" s="67"/>
      <c r="D983" s="68"/>
      <c r="E983" s="94"/>
      <c r="F983" s="93" t="str">
        <f>HYPERLINK("https://pbs.twimg.com/profile_images/1438101689240801282/bWA6jTpk_normal.jpg")</f>
        <v>https://pbs.twimg.com/profile_images/1438101689240801282/bWA6jTpk_normal.jpg</v>
      </c>
      <c r="G983" s="95"/>
      <c r="H983" s="71"/>
      <c r="I983" s="72"/>
      <c r="J983" s="96"/>
      <c r="K983" s="71" t="s">
        <v>12040</v>
      </c>
      <c r="L983" s="97"/>
      <c r="M983" s="76"/>
      <c r="N983" s="76"/>
      <c r="O983" s="77"/>
      <c r="P983" s="78"/>
      <c r="Q983" s="78"/>
      <c r="R983" s="92"/>
      <c r="S983" s="92"/>
      <c r="T983" s="92"/>
      <c r="U983" s="92"/>
      <c r="V983" s="52"/>
      <c r="W983" s="52"/>
      <c r="X983" s="52"/>
      <c r="Y983" s="52"/>
      <c r="Z983" s="51"/>
      <c r="AA983" s="73"/>
      <c r="AB983" s="73"/>
      <c r="AC983" s="74"/>
      <c r="AD983" s="81" t="s">
        <v>8667</v>
      </c>
      <c r="AE983" s="86" t="s">
        <v>9653</v>
      </c>
      <c r="AF983" s="81">
        <v>695</v>
      </c>
      <c r="AG983" s="81">
        <v>178</v>
      </c>
      <c r="AH983" s="81">
        <v>3954</v>
      </c>
      <c r="AI983" s="81">
        <v>71316</v>
      </c>
      <c r="AJ983" s="81"/>
      <c r="AK983" s="81" t="s">
        <v>10587</v>
      </c>
      <c r="AL983" s="81" t="s">
        <v>10986</v>
      </c>
      <c r="AM983" s="81"/>
      <c r="AN983" s="81"/>
      <c r="AO983" s="83">
        <v>44212.025011574071</v>
      </c>
      <c r="AP983" s="84" t="str">
        <f>HYPERLINK("https://pbs.twimg.com/profile_banners/1350240180691755009/1611000340")</f>
        <v>https://pbs.twimg.com/profile_banners/1350240180691755009/1611000340</v>
      </c>
      <c r="AQ983" s="81" t="b">
        <v>1</v>
      </c>
      <c r="AR983" s="81" t="b">
        <v>0</v>
      </c>
      <c r="AS983" s="81" t="b">
        <v>0</v>
      </c>
      <c r="AT983" s="81"/>
      <c r="AU983" s="81">
        <v>1</v>
      </c>
      <c r="AV983" s="81"/>
      <c r="AW983" s="81" t="b">
        <v>0</v>
      </c>
      <c r="AX983" s="81" t="s">
        <v>3728</v>
      </c>
      <c r="AY983" s="84" t="str">
        <f>HYPERLINK("https://twitter.com/paulo_profhis")</f>
        <v>https://twitter.com/paulo_profhis</v>
      </c>
      <c r="AZ983" s="81" t="s">
        <v>66</v>
      </c>
      <c r="BA983" s="2"/>
      <c r="BB983" s="3"/>
      <c r="BC983" s="3"/>
      <c r="BD983" s="3"/>
      <c r="BE983" s="3"/>
    </row>
    <row r="984" spans="1:57" x14ac:dyDescent="0.35">
      <c r="A984" s="66" t="s">
        <v>499</v>
      </c>
      <c r="B984" s="67"/>
      <c r="C984" s="67"/>
      <c r="D984" s="68"/>
      <c r="E984" s="94"/>
      <c r="F984" s="93" t="str">
        <f>HYPERLINK("https://pbs.twimg.com/profile_images/1275777160213524482/ummI5RSO_normal.jpg")</f>
        <v>https://pbs.twimg.com/profile_images/1275777160213524482/ummI5RSO_normal.jpg</v>
      </c>
      <c r="G984" s="95"/>
      <c r="H984" s="71"/>
      <c r="I984" s="72"/>
      <c r="J984" s="96"/>
      <c r="K984" s="71" t="s">
        <v>4056</v>
      </c>
      <c r="L984" s="97"/>
      <c r="M984" s="76"/>
      <c r="N984" s="76"/>
      <c r="O984" s="77"/>
      <c r="P984" s="78"/>
      <c r="Q984" s="78"/>
      <c r="R984" s="92"/>
      <c r="S984" s="92"/>
      <c r="T984" s="92"/>
      <c r="U984" s="92"/>
      <c r="V984" s="52"/>
      <c r="W984" s="52"/>
      <c r="X984" s="52"/>
      <c r="Y984" s="52"/>
      <c r="Z984" s="51"/>
      <c r="AA984" s="73"/>
      <c r="AB984" s="73"/>
      <c r="AC984" s="74"/>
      <c r="AD984" s="81" t="s">
        <v>2567</v>
      </c>
      <c r="AE984" s="86" t="s">
        <v>2986</v>
      </c>
      <c r="AF984" s="81">
        <v>443</v>
      </c>
      <c r="AG984" s="81">
        <v>2987</v>
      </c>
      <c r="AH984" s="81">
        <v>105759</v>
      </c>
      <c r="AI984" s="81">
        <v>1419</v>
      </c>
      <c r="AJ984" s="81"/>
      <c r="AK984" s="81" t="s">
        <v>3395</v>
      </c>
      <c r="AL984" s="81"/>
      <c r="AM984" s="84" t="str">
        <f>HYPERLINK("https://t.co/yGvM7ljGh5")</f>
        <v>https://t.co/yGvM7ljGh5</v>
      </c>
      <c r="AN984" s="81"/>
      <c r="AO984" s="83">
        <v>41297.195347222223</v>
      </c>
      <c r="AP984" s="84" t="str">
        <f>HYPERLINK("https://pbs.twimg.com/profile_banners/1113465019/1594277031")</f>
        <v>https://pbs.twimg.com/profile_banners/1113465019/1594277031</v>
      </c>
      <c r="AQ984" s="81" t="b">
        <v>1</v>
      </c>
      <c r="AR984" s="81" t="b">
        <v>0</v>
      </c>
      <c r="AS984" s="81" t="b">
        <v>1</v>
      </c>
      <c r="AT984" s="81"/>
      <c r="AU984" s="81">
        <v>11</v>
      </c>
      <c r="AV984" s="84" t="str">
        <f>HYPERLINK("https://abs.twimg.com/images/themes/theme1/bg.png")</f>
        <v>https://abs.twimg.com/images/themes/theme1/bg.png</v>
      </c>
      <c r="AW984" s="81" t="b">
        <v>0</v>
      </c>
      <c r="AX984" s="81" t="s">
        <v>3728</v>
      </c>
      <c r="AY984" s="84" t="str">
        <f>HYPERLINK("https://twitter.com/dyanahr")</f>
        <v>https://twitter.com/dyanahr</v>
      </c>
      <c r="AZ984" s="81" t="s">
        <v>66</v>
      </c>
      <c r="BA984" s="2"/>
      <c r="BB984" s="3"/>
      <c r="BC984" s="3"/>
      <c r="BD984" s="3"/>
      <c r="BE984" s="3"/>
    </row>
    <row r="985" spans="1:57" x14ac:dyDescent="0.35">
      <c r="A985" s="66" t="s">
        <v>667</v>
      </c>
      <c r="B985" s="67"/>
      <c r="C985" s="67"/>
      <c r="D985" s="68"/>
      <c r="E985" s="94"/>
      <c r="F985" s="93" t="str">
        <f>HYPERLINK("https://pbs.twimg.com/profile_images/1410569514564001795/QNextiNs_normal.jpg")</f>
        <v>https://pbs.twimg.com/profile_images/1410569514564001795/QNextiNs_normal.jpg</v>
      </c>
      <c r="G985" s="95"/>
      <c r="H985" s="71"/>
      <c r="I985" s="72"/>
      <c r="J985" s="96"/>
      <c r="K985" s="71" t="s">
        <v>4057</v>
      </c>
      <c r="L985" s="97"/>
      <c r="M985" s="76"/>
      <c r="N985" s="76"/>
      <c r="O985" s="77"/>
      <c r="P985" s="78"/>
      <c r="Q985" s="78"/>
      <c r="R985" s="92"/>
      <c r="S985" s="92"/>
      <c r="T985" s="92"/>
      <c r="U985" s="92"/>
      <c r="V985" s="52"/>
      <c r="W985" s="52"/>
      <c r="X985" s="52"/>
      <c r="Y985" s="52"/>
      <c r="Z985" s="51"/>
      <c r="AA985" s="73"/>
      <c r="AB985" s="73"/>
      <c r="AC985" s="74"/>
      <c r="AD985" s="81" t="s">
        <v>2568</v>
      </c>
      <c r="AE985" s="86" t="s">
        <v>2135</v>
      </c>
      <c r="AF985" s="81">
        <v>318</v>
      </c>
      <c r="AG985" s="81">
        <v>720</v>
      </c>
      <c r="AH985" s="81">
        <v>170885</v>
      </c>
      <c r="AI985" s="81">
        <v>1485</v>
      </c>
      <c r="AJ985" s="81"/>
      <c r="AK985" s="81" t="s">
        <v>3396</v>
      </c>
      <c r="AL985" s="81"/>
      <c r="AM985" s="81"/>
      <c r="AN985" s="81"/>
      <c r="AO985" s="83">
        <v>40264.169328703705</v>
      </c>
      <c r="AP985" s="81"/>
      <c r="AQ985" s="81" t="b">
        <v>0</v>
      </c>
      <c r="AR985" s="81" t="b">
        <v>0</v>
      </c>
      <c r="AS985" s="81" t="b">
        <v>0</v>
      </c>
      <c r="AT985" s="81"/>
      <c r="AU985" s="81">
        <v>7</v>
      </c>
      <c r="AV985" s="84" t="str">
        <f>HYPERLINK("https://abs.twimg.com/images/themes/theme7/bg.gif")</f>
        <v>https://abs.twimg.com/images/themes/theme7/bg.gif</v>
      </c>
      <c r="AW985" s="81" t="b">
        <v>0</v>
      </c>
      <c r="AX985" s="81" t="s">
        <v>3728</v>
      </c>
      <c r="AY985" s="84" t="str">
        <f>HYPERLINK("https://twitter.com/syazkurus")</f>
        <v>https://twitter.com/syazkurus</v>
      </c>
      <c r="AZ985" s="81" t="s">
        <v>65</v>
      </c>
      <c r="BA985" s="2"/>
      <c r="BB985" s="3"/>
      <c r="BC985" s="3"/>
      <c r="BD985" s="3"/>
      <c r="BE985" s="3"/>
    </row>
    <row r="986" spans="1:57" x14ac:dyDescent="0.35">
      <c r="A986" s="66" t="s">
        <v>4653</v>
      </c>
      <c r="B986" s="67"/>
      <c r="C986" s="67"/>
      <c r="D986" s="68"/>
      <c r="E986" s="94"/>
      <c r="F986" s="93" t="str">
        <f>HYPERLINK("https://pbs.twimg.com/profile_images/1402304806698598400/uarewNHK_normal.jpg")</f>
        <v>https://pbs.twimg.com/profile_images/1402304806698598400/uarewNHK_normal.jpg</v>
      </c>
      <c r="G986" s="95"/>
      <c r="H986" s="71"/>
      <c r="I986" s="72"/>
      <c r="J986" s="96"/>
      <c r="K986" s="71" t="s">
        <v>12041</v>
      </c>
      <c r="L986" s="97"/>
      <c r="M986" s="76"/>
      <c r="N986" s="76"/>
      <c r="O986" s="77"/>
      <c r="P986" s="78"/>
      <c r="Q986" s="78"/>
      <c r="R986" s="92"/>
      <c r="S986" s="92"/>
      <c r="T986" s="92"/>
      <c r="U986" s="92"/>
      <c r="V986" s="52"/>
      <c r="W986" s="52"/>
      <c r="X986" s="52"/>
      <c r="Y986" s="52"/>
      <c r="Z986" s="51"/>
      <c r="AA986" s="73"/>
      <c r="AB986" s="73"/>
      <c r="AC986" s="74"/>
      <c r="AD986" s="81" t="s">
        <v>8668</v>
      </c>
      <c r="AE986" s="86" t="s">
        <v>9654</v>
      </c>
      <c r="AF986" s="81">
        <v>11720</v>
      </c>
      <c r="AG986" s="81">
        <v>13340</v>
      </c>
      <c r="AH986" s="81">
        <v>309996</v>
      </c>
      <c r="AI986" s="81">
        <v>140567</v>
      </c>
      <c r="AJ986" s="81"/>
      <c r="AK986" s="81" t="s">
        <v>10588</v>
      </c>
      <c r="AL986" s="81" t="s">
        <v>10975</v>
      </c>
      <c r="AM986" s="81"/>
      <c r="AN986" s="81"/>
      <c r="AO986" s="83">
        <v>40629.041331018518</v>
      </c>
      <c r="AP986" s="84" t="str">
        <f>HYPERLINK("https://pbs.twimg.com/profile_banners/272699714/1625662988")</f>
        <v>https://pbs.twimg.com/profile_banners/272699714/1625662988</v>
      </c>
      <c r="AQ986" s="81" t="b">
        <v>0</v>
      </c>
      <c r="AR986" s="81" t="b">
        <v>0</v>
      </c>
      <c r="AS986" s="81" t="b">
        <v>1</v>
      </c>
      <c r="AT986" s="81"/>
      <c r="AU986" s="81">
        <v>65</v>
      </c>
      <c r="AV986" s="84" t="str">
        <f>HYPERLINK("https://abs.twimg.com/images/themes/theme15/bg.png")</f>
        <v>https://abs.twimg.com/images/themes/theme15/bg.png</v>
      </c>
      <c r="AW986" s="81" t="b">
        <v>0</v>
      </c>
      <c r="AX986" s="81" t="s">
        <v>3728</v>
      </c>
      <c r="AY986" s="84" t="str">
        <f>HYPERLINK("https://twitter.com/geraldoazevedof")</f>
        <v>https://twitter.com/geraldoazevedof</v>
      </c>
      <c r="AZ986" s="81" t="s">
        <v>66</v>
      </c>
      <c r="BA986" s="2"/>
      <c r="BB986" s="3"/>
      <c r="BC986" s="3"/>
      <c r="BD986" s="3"/>
      <c r="BE986" s="3"/>
    </row>
    <row r="987" spans="1:57" x14ac:dyDescent="0.35">
      <c r="A987" s="66" t="s">
        <v>4654</v>
      </c>
      <c r="B987" s="67"/>
      <c r="C987" s="67"/>
      <c r="D987" s="68"/>
      <c r="E987" s="94"/>
      <c r="F987" s="93" t="str">
        <f>HYPERLINK("https://pbs.twimg.com/profile_images/1032086437599039488/EqgP8smp_normal.jpg")</f>
        <v>https://pbs.twimg.com/profile_images/1032086437599039488/EqgP8smp_normal.jpg</v>
      </c>
      <c r="G987" s="95"/>
      <c r="H987" s="71"/>
      <c r="I987" s="72"/>
      <c r="J987" s="96"/>
      <c r="K987" s="71" t="s">
        <v>12042</v>
      </c>
      <c r="L987" s="97"/>
      <c r="M987" s="76"/>
      <c r="N987" s="76"/>
      <c r="O987" s="77"/>
      <c r="P987" s="78"/>
      <c r="Q987" s="78"/>
      <c r="R987" s="92"/>
      <c r="S987" s="92"/>
      <c r="T987" s="92"/>
      <c r="U987" s="92"/>
      <c r="V987" s="52"/>
      <c r="W987" s="52"/>
      <c r="X987" s="52"/>
      <c r="Y987" s="52"/>
      <c r="Z987" s="51"/>
      <c r="AA987" s="73"/>
      <c r="AB987" s="73"/>
      <c r="AC987" s="74"/>
      <c r="AD987" s="81" t="s">
        <v>8669</v>
      </c>
      <c r="AE987" s="86" t="s">
        <v>9655</v>
      </c>
      <c r="AF987" s="81">
        <v>1255</v>
      </c>
      <c r="AG987" s="81">
        <v>3003</v>
      </c>
      <c r="AH987" s="81">
        <v>58669</v>
      </c>
      <c r="AI987" s="81">
        <v>76264</v>
      </c>
      <c r="AJ987" s="81"/>
      <c r="AK987" s="81" t="s">
        <v>10589</v>
      </c>
      <c r="AL987" s="81" t="s">
        <v>11220</v>
      </c>
      <c r="AM987" s="84" t="str">
        <f>HYPERLINK("https://t.co/ivoZ9o0DEh")</f>
        <v>https://t.co/ivoZ9o0DEh</v>
      </c>
      <c r="AN987" s="81"/>
      <c r="AO987" s="83">
        <v>39915.914664351854</v>
      </c>
      <c r="AP987" s="84" t="str">
        <f>HYPERLINK("https://pbs.twimg.com/profile_banners/30731506/1486156010")</f>
        <v>https://pbs.twimg.com/profile_banners/30731506/1486156010</v>
      </c>
      <c r="AQ987" s="81" t="b">
        <v>0</v>
      </c>
      <c r="AR987" s="81" t="b">
        <v>0</v>
      </c>
      <c r="AS987" s="81" t="b">
        <v>0</v>
      </c>
      <c r="AT987" s="81"/>
      <c r="AU987" s="81">
        <v>12</v>
      </c>
      <c r="AV987" s="84" t="str">
        <f>HYPERLINK("https://abs.twimg.com/images/themes/theme14/bg.gif")</f>
        <v>https://abs.twimg.com/images/themes/theme14/bg.gif</v>
      </c>
      <c r="AW987" s="81" t="b">
        <v>0</v>
      </c>
      <c r="AX987" s="81" t="s">
        <v>3728</v>
      </c>
      <c r="AY987" s="84" t="str">
        <f>HYPERLINK("https://twitter.com/igordrumond")</f>
        <v>https://twitter.com/igordrumond</v>
      </c>
      <c r="AZ987" s="81" t="s">
        <v>66</v>
      </c>
      <c r="BA987" s="2"/>
      <c r="BB987" s="3"/>
      <c r="BC987" s="3"/>
      <c r="BD987" s="3"/>
      <c r="BE987" s="3"/>
    </row>
    <row r="988" spans="1:57" x14ac:dyDescent="0.35">
      <c r="A988" s="66" t="s">
        <v>4655</v>
      </c>
      <c r="B988" s="67"/>
      <c r="C988" s="67"/>
      <c r="D988" s="68"/>
      <c r="E988" s="94"/>
      <c r="F988" s="93" t="str">
        <f>HYPERLINK("https://pbs.twimg.com/profile_images/1158379798814756864/gW5utb6W_normal.jpg")</f>
        <v>https://pbs.twimg.com/profile_images/1158379798814756864/gW5utb6W_normal.jpg</v>
      </c>
      <c r="G988" s="95"/>
      <c r="H988" s="71"/>
      <c r="I988" s="72"/>
      <c r="J988" s="96"/>
      <c r="K988" s="71" t="s">
        <v>12043</v>
      </c>
      <c r="L988" s="97"/>
      <c r="M988" s="76"/>
      <c r="N988" s="76"/>
      <c r="O988" s="77"/>
      <c r="P988" s="78"/>
      <c r="Q988" s="78"/>
      <c r="R988" s="92"/>
      <c r="S988" s="92"/>
      <c r="T988" s="92"/>
      <c r="U988" s="92"/>
      <c r="V988" s="52"/>
      <c r="W988" s="52"/>
      <c r="X988" s="52"/>
      <c r="Y988" s="52"/>
      <c r="Z988" s="51"/>
      <c r="AA988" s="73"/>
      <c r="AB988" s="73"/>
      <c r="AC988" s="74"/>
      <c r="AD988" s="81" t="s">
        <v>8670</v>
      </c>
      <c r="AE988" s="86" t="s">
        <v>9656</v>
      </c>
      <c r="AF988" s="81">
        <v>1052</v>
      </c>
      <c r="AG988" s="81">
        <v>987</v>
      </c>
      <c r="AH988" s="81">
        <v>32763</v>
      </c>
      <c r="AI988" s="81">
        <v>5740</v>
      </c>
      <c r="AJ988" s="81"/>
      <c r="AK988" s="81" t="s">
        <v>10590</v>
      </c>
      <c r="AL988" s="81" t="s">
        <v>11221</v>
      </c>
      <c r="AM988" s="81"/>
      <c r="AN988" s="81"/>
      <c r="AO988" s="83">
        <v>40913.737245370372</v>
      </c>
      <c r="AP988" s="81"/>
      <c r="AQ988" s="81" t="b">
        <v>1</v>
      </c>
      <c r="AR988" s="81" t="b">
        <v>0</v>
      </c>
      <c r="AS988" s="81" t="b">
        <v>1</v>
      </c>
      <c r="AT988" s="81"/>
      <c r="AU988" s="81">
        <v>6</v>
      </c>
      <c r="AV988" s="84" t="str">
        <f>HYPERLINK("https://abs.twimg.com/images/themes/theme1/bg.png")</f>
        <v>https://abs.twimg.com/images/themes/theme1/bg.png</v>
      </c>
      <c r="AW988" s="81" t="b">
        <v>0</v>
      </c>
      <c r="AX988" s="81" t="s">
        <v>3728</v>
      </c>
      <c r="AY988" s="84" t="str">
        <f>HYPERLINK("https://twitter.com/sandro_cao")</f>
        <v>https://twitter.com/sandro_cao</v>
      </c>
      <c r="AZ988" s="81" t="s">
        <v>66</v>
      </c>
      <c r="BA988" s="2"/>
      <c r="BB988" s="3"/>
      <c r="BC988" s="3"/>
      <c r="BD988" s="3"/>
      <c r="BE988" s="3"/>
    </row>
    <row r="989" spans="1:57" x14ac:dyDescent="0.35">
      <c r="A989" s="66" t="s">
        <v>500</v>
      </c>
      <c r="B989" s="67"/>
      <c r="C989" s="67"/>
      <c r="D989" s="68"/>
      <c r="E989" s="94"/>
      <c r="F989" s="93" t="str">
        <f>HYPERLINK("https://pbs.twimg.com/profile_images/1434816067323367427/blv2ecKY_normal.jpg")</f>
        <v>https://pbs.twimg.com/profile_images/1434816067323367427/blv2ecKY_normal.jpg</v>
      </c>
      <c r="G989" s="95"/>
      <c r="H989" s="71"/>
      <c r="I989" s="72"/>
      <c r="J989" s="96"/>
      <c r="K989" s="71" t="s">
        <v>4058</v>
      </c>
      <c r="L989" s="97"/>
      <c r="M989" s="76"/>
      <c r="N989" s="76"/>
      <c r="O989" s="77"/>
      <c r="P989" s="78"/>
      <c r="Q989" s="78"/>
      <c r="R989" s="92"/>
      <c r="S989" s="92"/>
      <c r="T989" s="92"/>
      <c r="U989" s="92"/>
      <c r="V989" s="52"/>
      <c r="W989" s="52"/>
      <c r="X989" s="52"/>
      <c r="Y989" s="52"/>
      <c r="Z989" s="51"/>
      <c r="AA989" s="73"/>
      <c r="AB989" s="73"/>
      <c r="AC989" s="74"/>
      <c r="AD989" s="81" t="s">
        <v>2569</v>
      </c>
      <c r="AE989" s="86" t="s">
        <v>2136</v>
      </c>
      <c r="AF989" s="81">
        <v>674</v>
      </c>
      <c r="AG989" s="81">
        <v>22724</v>
      </c>
      <c r="AH989" s="81">
        <v>105439</v>
      </c>
      <c r="AI989" s="81">
        <v>7715</v>
      </c>
      <c r="AJ989" s="81"/>
      <c r="AK989" s="81" t="s">
        <v>3397</v>
      </c>
      <c r="AL989" s="81" t="s">
        <v>11222</v>
      </c>
      <c r="AM989" s="84" t="str">
        <f>HYPERLINK("https://t.co/k9LVkO7oLT")</f>
        <v>https://t.co/k9LVkO7oLT</v>
      </c>
      <c r="AN989" s="81"/>
      <c r="AO989" s="83">
        <v>43318.26190972222</v>
      </c>
      <c r="AP989" s="84" t="str">
        <f>HYPERLINK("https://pbs.twimg.com/profile_banners/1026351452761944064/1630923952")</f>
        <v>https://pbs.twimg.com/profile_banners/1026351452761944064/1630923952</v>
      </c>
      <c r="AQ989" s="81" t="b">
        <v>1</v>
      </c>
      <c r="AR989" s="81" t="b">
        <v>0</v>
      </c>
      <c r="AS989" s="81" t="b">
        <v>1</v>
      </c>
      <c r="AT989" s="81"/>
      <c r="AU989" s="81">
        <v>50</v>
      </c>
      <c r="AV989" s="81"/>
      <c r="AW989" s="81" t="b">
        <v>0</v>
      </c>
      <c r="AX989" s="81" t="s">
        <v>3728</v>
      </c>
      <c r="AY989" s="84" t="str">
        <f>HYPERLINK("https://twitter.com/orchidpoison")</f>
        <v>https://twitter.com/orchidpoison</v>
      </c>
      <c r="AZ989" s="81" t="s">
        <v>66</v>
      </c>
      <c r="BA989" s="2"/>
      <c r="BB989" s="3"/>
      <c r="BC989" s="3"/>
      <c r="BD989" s="3"/>
      <c r="BE989" s="3"/>
    </row>
    <row r="990" spans="1:57" x14ac:dyDescent="0.35">
      <c r="A990" s="66" t="s">
        <v>4656</v>
      </c>
      <c r="B990" s="67"/>
      <c r="C990" s="67"/>
      <c r="D990" s="68"/>
      <c r="E990" s="94"/>
      <c r="F990" s="93" t="str">
        <f>HYPERLINK("https://pbs.twimg.com/profile_images/1434728728358268928/wEGVZKra_normal.jpg")</f>
        <v>https://pbs.twimg.com/profile_images/1434728728358268928/wEGVZKra_normal.jpg</v>
      </c>
      <c r="G990" s="95"/>
      <c r="H990" s="71"/>
      <c r="I990" s="72"/>
      <c r="J990" s="96"/>
      <c r="K990" s="71" t="s">
        <v>12044</v>
      </c>
      <c r="L990" s="97"/>
      <c r="M990" s="76"/>
      <c r="N990" s="76"/>
      <c r="O990" s="77"/>
      <c r="P990" s="78"/>
      <c r="Q990" s="78"/>
      <c r="R990" s="92"/>
      <c r="S990" s="92"/>
      <c r="T990" s="92"/>
      <c r="U990" s="92"/>
      <c r="V990" s="52"/>
      <c r="W990" s="52"/>
      <c r="X990" s="52"/>
      <c r="Y990" s="52"/>
      <c r="Z990" s="51"/>
      <c r="AA990" s="73"/>
      <c r="AB990" s="73"/>
      <c r="AC990" s="74"/>
      <c r="AD990" s="81" t="s">
        <v>8671</v>
      </c>
      <c r="AE990" s="86" t="s">
        <v>9657</v>
      </c>
      <c r="AF990" s="81">
        <v>30</v>
      </c>
      <c r="AG990" s="81">
        <v>5</v>
      </c>
      <c r="AH990" s="81">
        <v>457</v>
      </c>
      <c r="AI990" s="81">
        <v>139</v>
      </c>
      <c r="AJ990" s="81"/>
      <c r="AK990" s="81" t="s">
        <v>10591</v>
      </c>
      <c r="AL990" s="81"/>
      <c r="AM990" s="81"/>
      <c r="AN990" s="81"/>
      <c r="AO990" s="83">
        <v>43802.125231481485</v>
      </c>
      <c r="AP990" s="84" t="str">
        <f>HYPERLINK("https://pbs.twimg.com/profile_banners/1201697587906170880/1631067321")</f>
        <v>https://pbs.twimg.com/profile_banners/1201697587906170880/1631067321</v>
      </c>
      <c r="AQ990" s="81" t="b">
        <v>1</v>
      </c>
      <c r="AR990" s="81" t="b">
        <v>0</v>
      </c>
      <c r="AS990" s="81" t="b">
        <v>0</v>
      </c>
      <c r="AT990" s="81"/>
      <c r="AU990" s="81">
        <v>0</v>
      </c>
      <c r="AV990" s="81"/>
      <c r="AW990" s="81" t="b">
        <v>0</v>
      </c>
      <c r="AX990" s="81" t="s">
        <v>3728</v>
      </c>
      <c r="AY990" s="84" t="str">
        <f>HYPERLINK("https://twitter.com/euliricopistola")</f>
        <v>https://twitter.com/euliricopistola</v>
      </c>
      <c r="AZ990" s="81" t="s">
        <v>66</v>
      </c>
      <c r="BA990" s="2"/>
      <c r="BB990" s="3"/>
      <c r="BC990" s="3"/>
      <c r="BD990" s="3"/>
      <c r="BE990" s="3"/>
    </row>
    <row r="991" spans="1:57" x14ac:dyDescent="0.35">
      <c r="A991" s="66" t="s">
        <v>4657</v>
      </c>
      <c r="B991" s="67"/>
      <c r="C991" s="67"/>
      <c r="D991" s="68"/>
      <c r="E991" s="94"/>
      <c r="F991" s="93" t="str">
        <f>HYPERLINK("https://pbs.twimg.com/profile_images/889851626940399616/aWWE1s7z_normal.jpg")</f>
        <v>https://pbs.twimg.com/profile_images/889851626940399616/aWWE1s7z_normal.jpg</v>
      </c>
      <c r="G991" s="95"/>
      <c r="H991" s="71"/>
      <c r="I991" s="72"/>
      <c r="J991" s="96"/>
      <c r="K991" s="71" t="s">
        <v>12045</v>
      </c>
      <c r="L991" s="97"/>
      <c r="M991" s="76"/>
      <c r="N991" s="76"/>
      <c r="O991" s="77"/>
      <c r="P991" s="78"/>
      <c r="Q991" s="78"/>
      <c r="R991" s="92"/>
      <c r="S991" s="92"/>
      <c r="T991" s="92"/>
      <c r="U991" s="92"/>
      <c r="V991" s="52"/>
      <c r="W991" s="52"/>
      <c r="X991" s="52"/>
      <c r="Y991" s="52"/>
      <c r="Z991" s="51"/>
      <c r="AA991" s="73"/>
      <c r="AB991" s="73"/>
      <c r="AC991" s="74"/>
      <c r="AD991" s="81" t="s">
        <v>8672</v>
      </c>
      <c r="AE991" s="86" t="s">
        <v>9658</v>
      </c>
      <c r="AF991" s="81">
        <v>117</v>
      </c>
      <c r="AG991" s="81">
        <v>12472</v>
      </c>
      <c r="AH991" s="81">
        <v>62503</v>
      </c>
      <c r="AI991" s="81">
        <v>0</v>
      </c>
      <c r="AJ991" s="81"/>
      <c r="AK991" s="81" t="s">
        <v>10592</v>
      </c>
      <c r="AL991" s="81" t="s">
        <v>11223</v>
      </c>
      <c r="AM991" s="84" t="str">
        <f>HYPERLINK("https://t.co/JrjKRafAFS")</f>
        <v>https://t.co/JrjKRafAFS</v>
      </c>
      <c r="AN991" s="81"/>
      <c r="AO991" s="83">
        <v>40068.033171296294</v>
      </c>
      <c r="AP991" s="84" t="str">
        <f>HYPERLINK("https://pbs.twimg.com/profile_banners/73530234/1500992110")</f>
        <v>https://pbs.twimg.com/profile_banners/73530234/1500992110</v>
      </c>
      <c r="AQ991" s="81" t="b">
        <v>0</v>
      </c>
      <c r="AR991" s="81" t="b">
        <v>0</v>
      </c>
      <c r="AS991" s="81" t="b">
        <v>0</v>
      </c>
      <c r="AT991" s="81"/>
      <c r="AU991" s="81">
        <v>132</v>
      </c>
      <c r="AV991" s="84" t="str">
        <f>HYPERLINK("https://abs.twimg.com/images/themes/theme1/bg.png")</f>
        <v>https://abs.twimg.com/images/themes/theme1/bg.png</v>
      </c>
      <c r="AW991" s="81" t="b">
        <v>0</v>
      </c>
      <c r="AX991" s="81" t="s">
        <v>3728</v>
      </c>
      <c r="AY991" s="84" t="str">
        <f>HYPERLINK("https://twitter.com/rtpmadeira")</f>
        <v>https://twitter.com/rtpmadeira</v>
      </c>
      <c r="AZ991" s="81" t="s">
        <v>66</v>
      </c>
      <c r="BA991" s="2"/>
      <c r="BB991" s="3"/>
      <c r="BC991" s="3"/>
      <c r="BD991" s="3"/>
      <c r="BE991" s="3"/>
    </row>
    <row r="992" spans="1:57" x14ac:dyDescent="0.35">
      <c r="A992" s="66" t="s">
        <v>4658</v>
      </c>
      <c r="B992" s="67"/>
      <c r="C992" s="67"/>
      <c r="D992" s="68"/>
      <c r="E992" s="94"/>
      <c r="F992" s="93" t="str">
        <f>HYPERLINK("https://pbs.twimg.com/profile_images/939874976026505221/vJ4tTnD7_normal.jpg")</f>
        <v>https://pbs.twimg.com/profile_images/939874976026505221/vJ4tTnD7_normal.jpg</v>
      </c>
      <c r="G992" s="95"/>
      <c r="H992" s="71"/>
      <c r="I992" s="72"/>
      <c r="J992" s="96"/>
      <c r="K992" s="71" t="s">
        <v>12046</v>
      </c>
      <c r="L992" s="97"/>
      <c r="M992" s="76"/>
      <c r="N992" s="76"/>
      <c r="O992" s="77"/>
      <c r="P992" s="78"/>
      <c r="Q992" s="78"/>
      <c r="R992" s="92"/>
      <c r="S992" s="92"/>
      <c r="T992" s="92"/>
      <c r="U992" s="92"/>
      <c r="V992" s="52"/>
      <c r="W992" s="52"/>
      <c r="X992" s="52"/>
      <c r="Y992" s="52"/>
      <c r="Z992" s="51"/>
      <c r="AA992" s="73"/>
      <c r="AB992" s="73"/>
      <c r="AC992" s="74"/>
      <c r="AD992" s="81" t="s">
        <v>8673</v>
      </c>
      <c r="AE992" s="86" t="s">
        <v>9659</v>
      </c>
      <c r="AF992" s="81">
        <v>4995</v>
      </c>
      <c r="AG992" s="81">
        <v>1880</v>
      </c>
      <c r="AH992" s="81">
        <v>273328</v>
      </c>
      <c r="AI992" s="81">
        <v>38701</v>
      </c>
      <c r="AJ992" s="81"/>
      <c r="AK992" s="81"/>
      <c r="AL992" s="81"/>
      <c r="AM992" s="81"/>
      <c r="AN992" s="81"/>
      <c r="AO992" s="83">
        <v>42165.741446759261</v>
      </c>
      <c r="AP992" s="84" t="str">
        <f>HYPERLINK("https://pbs.twimg.com/profile_banners/3317618397/1512918742")</f>
        <v>https://pbs.twimg.com/profile_banners/3317618397/1512918742</v>
      </c>
      <c r="AQ992" s="81" t="b">
        <v>1</v>
      </c>
      <c r="AR992" s="81" t="b">
        <v>0</v>
      </c>
      <c r="AS992" s="81" t="b">
        <v>0</v>
      </c>
      <c r="AT992" s="81"/>
      <c r="AU992" s="81">
        <v>12</v>
      </c>
      <c r="AV992" s="84" t="str">
        <f>HYPERLINK("https://abs.twimg.com/images/themes/theme1/bg.png")</f>
        <v>https://abs.twimg.com/images/themes/theme1/bg.png</v>
      </c>
      <c r="AW992" s="81" t="b">
        <v>0</v>
      </c>
      <c r="AX992" s="81" t="s">
        <v>3728</v>
      </c>
      <c r="AY992" s="84" t="str">
        <f>HYPERLINK("https://twitter.com/feduambiental")</f>
        <v>https://twitter.com/feduambiental</v>
      </c>
      <c r="AZ992" s="81" t="s">
        <v>66</v>
      </c>
      <c r="BA992" s="2"/>
      <c r="BB992" s="3"/>
      <c r="BC992" s="3"/>
      <c r="BD992" s="3"/>
      <c r="BE992" s="3"/>
    </row>
    <row r="993" spans="1:57" x14ac:dyDescent="0.35">
      <c r="A993" s="66" t="s">
        <v>4659</v>
      </c>
      <c r="B993" s="67"/>
      <c r="C993" s="67"/>
      <c r="D993" s="68"/>
      <c r="E993" s="94"/>
      <c r="F993" s="93" t="str">
        <f>HYPERLINK("https://pbs.twimg.com/profile_images/1303461001740906496/zjKtzx5a_normal.jpg")</f>
        <v>https://pbs.twimg.com/profile_images/1303461001740906496/zjKtzx5a_normal.jpg</v>
      </c>
      <c r="G993" s="95"/>
      <c r="H993" s="71"/>
      <c r="I993" s="72"/>
      <c r="J993" s="96"/>
      <c r="K993" s="71" t="s">
        <v>12047</v>
      </c>
      <c r="L993" s="97"/>
      <c r="M993" s="76"/>
      <c r="N993" s="76"/>
      <c r="O993" s="77"/>
      <c r="P993" s="78"/>
      <c r="Q993" s="78"/>
      <c r="R993" s="92"/>
      <c r="S993" s="92"/>
      <c r="T993" s="92"/>
      <c r="U993" s="92"/>
      <c r="V993" s="52"/>
      <c r="W993" s="52"/>
      <c r="X993" s="52"/>
      <c r="Y993" s="52"/>
      <c r="Z993" s="51"/>
      <c r="AA993" s="73"/>
      <c r="AB993" s="73"/>
      <c r="AC993" s="74"/>
      <c r="AD993" s="81" t="s">
        <v>8674</v>
      </c>
      <c r="AE993" s="86" t="s">
        <v>9660</v>
      </c>
      <c r="AF993" s="81">
        <v>1608</v>
      </c>
      <c r="AG993" s="81">
        <v>198</v>
      </c>
      <c r="AH993" s="81">
        <v>30885</v>
      </c>
      <c r="AI993" s="81">
        <v>18481</v>
      </c>
      <c r="AJ993" s="81"/>
      <c r="AK993" s="81"/>
      <c r="AL993" s="81"/>
      <c r="AM993" s="81"/>
      <c r="AN993" s="81"/>
      <c r="AO993" s="83">
        <v>42883.620127314818</v>
      </c>
      <c r="AP993" s="84" t="str">
        <f>HYPERLINK("https://pbs.twimg.com/profile_banners/868842544725209089/1609517473")</f>
        <v>https://pbs.twimg.com/profile_banners/868842544725209089/1609517473</v>
      </c>
      <c r="AQ993" s="81" t="b">
        <v>1</v>
      </c>
      <c r="AR993" s="81" t="b">
        <v>0</v>
      </c>
      <c r="AS993" s="81" t="b">
        <v>0</v>
      </c>
      <c r="AT993" s="81"/>
      <c r="AU993" s="81">
        <v>0</v>
      </c>
      <c r="AV993" s="81"/>
      <c r="AW993" s="81" t="b">
        <v>0</v>
      </c>
      <c r="AX993" s="81" t="s">
        <v>3728</v>
      </c>
      <c r="AY993" s="84" t="str">
        <f>HYPERLINK("https://twitter.com/victornamatrix")</f>
        <v>https://twitter.com/victornamatrix</v>
      </c>
      <c r="AZ993" s="81" t="s">
        <v>66</v>
      </c>
      <c r="BA993" s="2"/>
      <c r="BB993" s="3"/>
      <c r="BC993" s="3"/>
      <c r="BD993" s="3"/>
      <c r="BE993" s="3"/>
    </row>
    <row r="994" spans="1:57" x14ac:dyDescent="0.35">
      <c r="A994" s="66" t="s">
        <v>4660</v>
      </c>
      <c r="B994" s="67"/>
      <c r="C994" s="67"/>
      <c r="D994" s="68"/>
      <c r="E994" s="94"/>
      <c r="F994" s="93" t="str">
        <f>HYPERLINK("https://pbs.twimg.com/profile_images/1422048995866726400/DvJtDm5l_normal.jpg")</f>
        <v>https://pbs.twimg.com/profile_images/1422048995866726400/DvJtDm5l_normal.jpg</v>
      </c>
      <c r="G994" s="95"/>
      <c r="H994" s="71"/>
      <c r="I994" s="72"/>
      <c r="J994" s="96"/>
      <c r="K994" s="71" t="s">
        <v>12048</v>
      </c>
      <c r="L994" s="97"/>
      <c r="M994" s="76"/>
      <c r="N994" s="76"/>
      <c r="O994" s="77"/>
      <c r="P994" s="78"/>
      <c r="Q994" s="78"/>
      <c r="R994" s="92"/>
      <c r="S994" s="92"/>
      <c r="T994" s="92"/>
      <c r="U994" s="92"/>
      <c r="V994" s="52"/>
      <c r="W994" s="52"/>
      <c r="X994" s="52"/>
      <c r="Y994" s="52"/>
      <c r="Z994" s="51"/>
      <c r="AA994" s="73"/>
      <c r="AB994" s="73"/>
      <c r="AC994" s="74"/>
      <c r="AD994" s="81" t="s">
        <v>8675</v>
      </c>
      <c r="AE994" s="86" t="s">
        <v>9661</v>
      </c>
      <c r="AF994" s="81">
        <v>1720</v>
      </c>
      <c r="AG994" s="81">
        <v>1058</v>
      </c>
      <c r="AH994" s="81">
        <v>37772</v>
      </c>
      <c r="AI994" s="81">
        <v>44008</v>
      </c>
      <c r="AJ994" s="81"/>
      <c r="AK994" s="81" t="s">
        <v>10593</v>
      </c>
      <c r="AL994" s="81" t="s">
        <v>11224</v>
      </c>
      <c r="AM994" s="81"/>
      <c r="AN994" s="81"/>
      <c r="AO994" s="83">
        <v>41494.987754629627</v>
      </c>
      <c r="AP994" s="84" t="str">
        <f>HYPERLINK("https://pbs.twimg.com/profile_banners/1656441458/1579190649")</f>
        <v>https://pbs.twimg.com/profile_banners/1656441458/1579190649</v>
      </c>
      <c r="AQ994" s="81" t="b">
        <v>0</v>
      </c>
      <c r="AR994" s="81" t="b">
        <v>0</v>
      </c>
      <c r="AS994" s="81" t="b">
        <v>0</v>
      </c>
      <c r="AT994" s="81"/>
      <c r="AU994" s="81">
        <v>2</v>
      </c>
      <c r="AV994" s="84" t="str">
        <f>HYPERLINK("https://abs.twimg.com/images/themes/theme1/bg.png")</f>
        <v>https://abs.twimg.com/images/themes/theme1/bg.png</v>
      </c>
      <c r="AW994" s="81" t="b">
        <v>0</v>
      </c>
      <c r="AX994" s="81" t="s">
        <v>3728</v>
      </c>
      <c r="AY994" s="84" t="str">
        <f>HYPERLINK("https://twitter.com/lobasolitari4")</f>
        <v>https://twitter.com/lobasolitari4</v>
      </c>
      <c r="AZ994" s="81" t="s">
        <v>66</v>
      </c>
      <c r="BA994" s="2"/>
      <c r="BB994" s="3"/>
      <c r="BC994" s="3"/>
      <c r="BD994" s="3"/>
      <c r="BE994" s="3"/>
    </row>
    <row r="995" spans="1:57" x14ac:dyDescent="0.35">
      <c r="A995" s="66" t="s">
        <v>4661</v>
      </c>
      <c r="B995" s="67"/>
      <c r="C995" s="67"/>
      <c r="D995" s="68"/>
      <c r="E995" s="94"/>
      <c r="F995" s="93" t="str">
        <f>HYPERLINK("https://pbs.twimg.com/profile_images/722472696538361856/bNZ4C8JC_normal.jpg")</f>
        <v>https://pbs.twimg.com/profile_images/722472696538361856/bNZ4C8JC_normal.jpg</v>
      </c>
      <c r="G995" s="95"/>
      <c r="H995" s="71"/>
      <c r="I995" s="72"/>
      <c r="J995" s="96"/>
      <c r="K995" s="71" t="s">
        <v>12049</v>
      </c>
      <c r="L995" s="97"/>
      <c r="M995" s="76"/>
      <c r="N995" s="76"/>
      <c r="O995" s="77"/>
      <c r="P995" s="78"/>
      <c r="Q995" s="78"/>
      <c r="R995" s="92"/>
      <c r="S995" s="92"/>
      <c r="T995" s="92"/>
      <c r="U995" s="92"/>
      <c r="V995" s="52"/>
      <c r="W995" s="52"/>
      <c r="X995" s="52"/>
      <c r="Y995" s="52"/>
      <c r="Z995" s="51"/>
      <c r="AA995" s="73"/>
      <c r="AB995" s="73"/>
      <c r="AC995" s="74"/>
      <c r="AD995" s="81" t="s">
        <v>8676</v>
      </c>
      <c r="AE995" s="86" t="s">
        <v>9662</v>
      </c>
      <c r="AF995" s="81">
        <v>178</v>
      </c>
      <c r="AG995" s="81">
        <v>79</v>
      </c>
      <c r="AH995" s="81">
        <v>985</v>
      </c>
      <c r="AI995" s="81">
        <v>6956</v>
      </c>
      <c r="AJ995" s="81"/>
      <c r="AK995" s="81" t="s">
        <v>10594</v>
      </c>
      <c r="AL995" s="81" t="s">
        <v>11137</v>
      </c>
      <c r="AM995" s="84" t="str">
        <f>HYPERLINK("https://t.co/l5XYtUHBg4")</f>
        <v>https://t.co/l5XYtUHBg4</v>
      </c>
      <c r="AN995" s="81"/>
      <c r="AO995" s="83">
        <v>40590.686076388891</v>
      </c>
      <c r="AP995" s="84" t="str">
        <f>HYPERLINK("https://pbs.twimg.com/profile_banners/253130170/1461085886")</f>
        <v>https://pbs.twimg.com/profile_banners/253130170/1461085886</v>
      </c>
      <c r="AQ995" s="81" t="b">
        <v>0</v>
      </c>
      <c r="AR995" s="81" t="b">
        <v>0</v>
      </c>
      <c r="AS995" s="81" t="b">
        <v>1</v>
      </c>
      <c r="AT995" s="81"/>
      <c r="AU995" s="81">
        <v>12</v>
      </c>
      <c r="AV995" s="84" t="str">
        <f>HYPERLINK("https://abs.twimg.com/images/themes/theme19/bg.gif")</f>
        <v>https://abs.twimg.com/images/themes/theme19/bg.gif</v>
      </c>
      <c r="AW995" s="81" t="b">
        <v>0</v>
      </c>
      <c r="AX995" s="81" t="s">
        <v>3728</v>
      </c>
      <c r="AY995" s="84" t="str">
        <f>HYPERLINK("https://twitter.com/abnervinicius01")</f>
        <v>https://twitter.com/abnervinicius01</v>
      </c>
      <c r="AZ995" s="81" t="s">
        <v>66</v>
      </c>
      <c r="BA995" s="2"/>
      <c r="BB995" s="3"/>
      <c r="BC995" s="3"/>
      <c r="BD995" s="3"/>
      <c r="BE995" s="3"/>
    </row>
    <row r="996" spans="1:57" x14ac:dyDescent="0.35">
      <c r="A996" s="66" t="s">
        <v>4662</v>
      </c>
      <c r="B996" s="67"/>
      <c r="C996" s="67"/>
      <c r="D996" s="68"/>
      <c r="E996" s="94"/>
      <c r="F996" s="93" t="str">
        <f>HYPERLINK("https://pbs.twimg.com/profile_images/1243979274236895235/-WiqDc5t_normal.jpg")</f>
        <v>https://pbs.twimg.com/profile_images/1243979274236895235/-WiqDc5t_normal.jpg</v>
      </c>
      <c r="G996" s="95"/>
      <c r="H996" s="71"/>
      <c r="I996" s="72"/>
      <c r="J996" s="96"/>
      <c r="K996" s="71" t="s">
        <v>12050</v>
      </c>
      <c r="L996" s="97"/>
      <c r="M996" s="76"/>
      <c r="N996" s="76"/>
      <c r="O996" s="77"/>
      <c r="P996" s="78"/>
      <c r="Q996" s="78"/>
      <c r="R996" s="92"/>
      <c r="S996" s="92"/>
      <c r="T996" s="92"/>
      <c r="U996" s="92"/>
      <c r="V996" s="52"/>
      <c r="W996" s="52"/>
      <c r="X996" s="52"/>
      <c r="Y996" s="52"/>
      <c r="Z996" s="51"/>
      <c r="AA996" s="73"/>
      <c r="AB996" s="73"/>
      <c r="AC996" s="74"/>
      <c r="AD996" s="81" t="s">
        <v>8677</v>
      </c>
      <c r="AE996" s="86" t="s">
        <v>9663</v>
      </c>
      <c r="AF996" s="81">
        <v>2283</v>
      </c>
      <c r="AG996" s="81">
        <v>5966</v>
      </c>
      <c r="AH996" s="81">
        <v>64151</v>
      </c>
      <c r="AI996" s="81">
        <v>51183</v>
      </c>
      <c r="AJ996" s="81"/>
      <c r="AK996" s="81" t="s">
        <v>10595</v>
      </c>
      <c r="AL996" s="81" t="s">
        <v>11225</v>
      </c>
      <c r="AM996" s="81"/>
      <c r="AN996" s="81"/>
      <c r="AO996" s="83">
        <v>42929.024201388886</v>
      </c>
      <c r="AP996" s="84" t="str">
        <f>HYPERLINK("https://pbs.twimg.com/profile_banners/885296427374661632/1614214539")</f>
        <v>https://pbs.twimg.com/profile_banners/885296427374661632/1614214539</v>
      </c>
      <c r="AQ996" s="81" t="b">
        <v>0</v>
      </c>
      <c r="AR996" s="81" t="b">
        <v>0</v>
      </c>
      <c r="AS996" s="81" t="b">
        <v>0</v>
      </c>
      <c r="AT996" s="81"/>
      <c r="AU996" s="81">
        <v>9</v>
      </c>
      <c r="AV996" s="84" t="str">
        <f>HYPERLINK("https://abs.twimg.com/images/themes/theme1/bg.png")</f>
        <v>https://abs.twimg.com/images/themes/theme1/bg.png</v>
      </c>
      <c r="AW996" s="81" t="b">
        <v>0</v>
      </c>
      <c r="AX996" s="81" t="s">
        <v>3728</v>
      </c>
      <c r="AY996" s="84" t="str">
        <f>HYPERLINK("https://twitter.com/rosaskarlate")</f>
        <v>https://twitter.com/rosaskarlate</v>
      </c>
      <c r="AZ996" s="81" t="s">
        <v>66</v>
      </c>
      <c r="BA996" s="2"/>
      <c r="BB996" s="3"/>
      <c r="BC996" s="3"/>
      <c r="BD996" s="3"/>
      <c r="BE996" s="3"/>
    </row>
    <row r="997" spans="1:57" x14ac:dyDescent="0.35">
      <c r="A997" s="66" t="s">
        <v>501</v>
      </c>
      <c r="B997" s="67"/>
      <c r="C997" s="67"/>
      <c r="D997" s="68"/>
      <c r="E997" s="94"/>
      <c r="F997" s="93" t="str">
        <f>HYPERLINK("https://pbs.twimg.com/profile_images/914798666367475712/FrpfZMrS_normal.jpg")</f>
        <v>https://pbs.twimg.com/profile_images/914798666367475712/FrpfZMrS_normal.jpg</v>
      </c>
      <c r="G997" s="95"/>
      <c r="H997" s="71"/>
      <c r="I997" s="72"/>
      <c r="J997" s="96"/>
      <c r="K997" s="71" t="s">
        <v>4059</v>
      </c>
      <c r="L997" s="97"/>
      <c r="M997" s="76"/>
      <c r="N997" s="76"/>
      <c r="O997" s="77"/>
      <c r="P997" s="78"/>
      <c r="Q997" s="78"/>
      <c r="R997" s="92"/>
      <c r="S997" s="92"/>
      <c r="T997" s="92"/>
      <c r="U997" s="92"/>
      <c r="V997" s="52"/>
      <c r="W997" s="52"/>
      <c r="X997" s="52"/>
      <c r="Y997" s="52"/>
      <c r="Z997" s="51"/>
      <c r="AA997" s="73"/>
      <c r="AB997" s="73"/>
      <c r="AC997" s="74"/>
      <c r="AD997" s="81" t="s">
        <v>2570</v>
      </c>
      <c r="AE997" s="86" t="s">
        <v>2987</v>
      </c>
      <c r="AF997" s="81">
        <v>340</v>
      </c>
      <c r="AG997" s="81">
        <v>158</v>
      </c>
      <c r="AH997" s="81">
        <v>7765</v>
      </c>
      <c r="AI997" s="81">
        <v>599</v>
      </c>
      <c r="AJ997" s="81"/>
      <c r="AK997" s="81" t="s">
        <v>3398</v>
      </c>
      <c r="AL997" s="81">
        <v>404</v>
      </c>
      <c r="AM997" s="81"/>
      <c r="AN997" s="81"/>
      <c r="AO997" s="83">
        <v>40567.92391203704</v>
      </c>
      <c r="AP997" s="84" t="str">
        <f>HYPERLINK("https://pbs.twimg.com/profile_banners/242485315/1632581015")</f>
        <v>https://pbs.twimg.com/profile_banners/242485315/1632581015</v>
      </c>
      <c r="AQ997" s="81" t="b">
        <v>0</v>
      </c>
      <c r="AR997" s="81" t="b">
        <v>0</v>
      </c>
      <c r="AS997" s="81" t="b">
        <v>1</v>
      </c>
      <c r="AT997" s="81"/>
      <c r="AU997" s="81">
        <v>0</v>
      </c>
      <c r="AV997" s="84" t="str">
        <f>HYPERLINK("https://abs.twimg.com/images/themes/theme14/bg.gif")</f>
        <v>https://abs.twimg.com/images/themes/theme14/bg.gif</v>
      </c>
      <c r="AW997" s="81" t="b">
        <v>0</v>
      </c>
      <c r="AX997" s="81" t="s">
        <v>3728</v>
      </c>
      <c r="AY997" s="84" t="str">
        <f>HYPERLINK("https://twitter.com/sapepulakni")</f>
        <v>https://twitter.com/sapepulakni</v>
      </c>
      <c r="AZ997" s="81" t="s">
        <v>66</v>
      </c>
      <c r="BA997" s="2"/>
      <c r="BB997" s="3"/>
      <c r="BC997" s="3"/>
      <c r="BD997" s="3"/>
      <c r="BE997" s="3"/>
    </row>
    <row r="998" spans="1:57" x14ac:dyDescent="0.35">
      <c r="A998" s="66" t="s">
        <v>4663</v>
      </c>
      <c r="B998" s="67"/>
      <c r="C998" s="67"/>
      <c r="D998" s="68"/>
      <c r="E998" s="94"/>
      <c r="F998" s="93" t="str">
        <f>HYPERLINK("https://pbs.twimg.com/profile_images/1386113530877853701/lBkm8ubi_normal.jpg")</f>
        <v>https://pbs.twimg.com/profile_images/1386113530877853701/lBkm8ubi_normal.jpg</v>
      </c>
      <c r="G998" s="95"/>
      <c r="H998" s="71"/>
      <c r="I998" s="72"/>
      <c r="J998" s="96"/>
      <c r="K998" s="71" t="s">
        <v>12051</v>
      </c>
      <c r="L998" s="97"/>
      <c r="M998" s="76"/>
      <c r="N998" s="76"/>
      <c r="O998" s="77"/>
      <c r="P998" s="78"/>
      <c r="Q998" s="78"/>
      <c r="R998" s="92"/>
      <c r="S998" s="92"/>
      <c r="T998" s="92"/>
      <c r="U998" s="92"/>
      <c r="V998" s="52"/>
      <c r="W998" s="52"/>
      <c r="X998" s="52"/>
      <c r="Y998" s="52"/>
      <c r="Z998" s="51"/>
      <c r="AA998" s="73"/>
      <c r="AB998" s="73"/>
      <c r="AC998" s="74"/>
      <c r="AD998" s="81" t="s">
        <v>8678</v>
      </c>
      <c r="AE998" s="86" t="s">
        <v>9664</v>
      </c>
      <c r="AF998" s="81">
        <v>6065</v>
      </c>
      <c r="AG998" s="81">
        <v>6005</v>
      </c>
      <c r="AH998" s="81">
        <v>7464</v>
      </c>
      <c r="AI998" s="81">
        <v>52234</v>
      </c>
      <c r="AJ998" s="81"/>
      <c r="AK998" s="81" t="s">
        <v>10596</v>
      </c>
      <c r="AL998" s="81"/>
      <c r="AM998" s="81"/>
      <c r="AN998" s="81"/>
      <c r="AO998" s="83">
        <v>40808.549664351849</v>
      </c>
      <c r="AP998" s="84" t="str">
        <f>HYPERLINK("https://pbs.twimg.com/profile_banners/377986344/1616181460")</f>
        <v>https://pbs.twimg.com/profile_banners/377986344/1616181460</v>
      </c>
      <c r="AQ998" s="81" t="b">
        <v>1</v>
      </c>
      <c r="AR998" s="81" t="b">
        <v>0</v>
      </c>
      <c r="AS998" s="81" t="b">
        <v>0</v>
      </c>
      <c r="AT998" s="81"/>
      <c r="AU998" s="81">
        <v>6</v>
      </c>
      <c r="AV998" s="84" t="str">
        <f>HYPERLINK("https://abs.twimg.com/images/themes/theme1/bg.png")</f>
        <v>https://abs.twimg.com/images/themes/theme1/bg.png</v>
      </c>
      <c r="AW998" s="81" t="b">
        <v>0</v>
      </c>
      <c r="AX998" s="81" t="s">
        <v>3728</v>
      </c>
      <c r="AY998" s="84" t="str">
        <f>HYPERLINK("https://twitter.com/nelsony2")</f>
        <v>https://twitter.com/nelsony2</v>
      </c>
      <c r="AZ998" s="81" t="s">
        <v>66</v>
      </c>
      <c r="BA998" s="2"/>
      <c r="BB998" s="3"/>
      <c r="BC998" s="3"/>
      <c r="BD998" s="3"/>
      <c r="BE998" s="3"/>
    </row>
    <row r="999" spans="1:57" x14ac:dyDescent="0.35">
      <c r="A999" s="66" t="s">
        <v>4664</v>
      </c>
      <c r="B999" s="67"/>
      <c r="C999" s="67"/>
      <c r="D999" s="68"/>
      <c r="E999" s="94"/>
      <c r="F999" s="93" t="str">
        <f>HYPERLINK("https://pbs.twimg.com/profile_images/1430000575513612291/wYdg0Mx4_normal.jpg")</f>
        <v>https://pbs.twimg.com/profile_images/1430000575513612291/wYdg0Mx4_normal.jpg</v>
      </c>
      <c r="G999" s="95"/>
      <c r="H999" s="71"/>
      <c r="I999" s="72"/>
      <c r="J999" s="96"/>
      <c r="K999" s="71" t="s">
        <v>12052</v>
      </c>
      <c r="L999" s="97"/>
      <c r="M999" s="76"/>
      <c r="N999" s="76"/>
      <c r="O999" s="77"/>
      <c r="P999" s="78"/>
      <c r="Q999" s="78"/>
      <c r="R999" s="92"/>
      <c r="S999" s="92"/>
      <c r="T999" s="92"/>
      <c r="U999" s="92"/>
      <c r="V999" s="52"/>
      <c r="W999" s="52"/>
      <c r="X999" s="52"/>
      <c r="Y999" s="52"/>
      <c r="Z999" s="51"/>
      <c r="AA999" s="73"/>
      <c r="AB999" s="73"/>
      <c r="AC999" s="74"/>
      <c r="AD999" s="81" t="s">
        <v>8679</v>
      </c>
      <c r="AE999" s="86" t="s">
        <v>9665</v>
      </c>
      <c r="AF999" s="81">
        <v>3594</v>
      </c>
      <c r="AG999" s="81">
        <v>205</v>
      </c>
      <c r="AH999" s="81">
        <v>41140</v>
      </c>
      <c r="AI999" s="81">
        <v>29274</v>
      </c>
      <c r="AJ999" s="81"/>
      <c r="AK999" s="81" t="s">
        <v>10597</v>
      </c>
      <c r="AL999" s="81" t="s">
        <v>11226</v>
      </c>
      <c r="AM999" s="81"/>
      <c r="AN999" s="81"/>
      <c r="AO999" s="83">
        <v>42558.064351851855</v>
      </c>
      <c r="AP999" s="84" t="str">
        <f>HYPERLINK("https://pbs.twimg.com/profile_banners/750865082238767104/1629773680")</f>
        <v>https://pbs.twimg.com/profile_banners/750865082238767104/1629773680</v>
      </c>
      <c r="AQ999" s="81" t="b">
        <v>1</v>
      </c>
      <c r="AR999" s="81" t="b">
        <v>0</v>
      </c>
      <c r="AS999" s="81" t="b">
        <v>1</v>
      </c>
      <c r="AT999" s="81"/>
      <c r="AU999" s="81">
        <v>2</v>
      </c>
      <c r="AV999" s="84" t="str">
        <f>HYPERLINK("https://abs.twimg.com/images/themes/theme1/bg.png")</f>
        <v>https://abs.twimg.com/images/themes/theme1/bg.png</v>
      </c>
      <c r="AW999" s="81" t="b">
        <v>0</v>
      </c>
      <c r="AX999" s="81" t="s">
        <v>3728</v>
      </c>
      <c r="AY999" s="84" t="str">
        <f>HYPERLINK("https://twitter.com/muauj")</f>
        <v>https://twitter.com/muauj</v>
      </c>
      <c r="AZ999" s="81" t="s">
        <v>66</v>
      </c>
      <c r="BA999" s="2"/>
      <c r="BB999" s="3"/>
      <c r="BC999" s="3"/>
      <c r="BD999" s="3"/>
      <c r="BE999" s="3"/>
    </row>
    <row r="1000" spans="1:57" x14ac:dyDescent="0.35">
      <c r="A1000" s="66" t="s">
        <v>4665</v>
      </c>
      <c r="B1000" s="67"/>
      <c r="C1000" s="67"/>
      <c r="D1000" s="68"/>
      <c r="E1000" s="94"/>
      <c r="F1000" s="93" t="str">
        <f>HYPERLINK("https://pbs.twimg.com/profile_images/1394050300210728968/LTyneq32_normal.jpg")</f>
        <v>https://pbs.twimg.com/profile_images/1394050300210728968/LTyneq32_normal.jpg</v>
      </c>
      <c r="G1000" s="95"/>
      <c r="H1000" s="71"/>
      <c r="I1000" s="72"/>
      <c r="J1000" s="96"/>
      <c r="K1000" s="71" t="s">
        <v>12053</v>
      </c>
      <c r="L1000" s="97"/>
      <c r="M1000" s="76"/>
      <c r="N1000" s="76"/>
      <c r="O1000" s="77"/>
      <c r="P1000" s="78"/>
      <c r="Q1000" s="78"/>
      <c r="R1000" s="92"/>
      <c r="S1000" s="92"/>
      <c r="T1000" s="92"/>
      <c r="U1000" s="92"/>
      <c r="V1000" s="52"/>
      <c r="W1000" s="52"/>
      <c r="X1000" s="52"/>
      <c r="Y1000" s="52"/>
      <c r="Z1000" s="51"/>
      <c r="AA1000" s="73"/>
      <c r="AB1000" s="73"/>
      <c r="AC1000" s="74"/>
      <c r="AD1000" s="81" t="s">
        <v>8680</v>
      </c>
      <c r="AE1000" s="86" t="s">
        <v>9666</v>
      </c>
      <c r="AF1000" s="81">
        <v>144</v>
      </c>
      <c r="AG1000" s="81">
        <v>46</v>
      </c>
      <c r="AH1000" s="81">
        <v>4576</v>
      </c>
      <c r="AI1000" s="81">
        <v>20564</v>
      </c>
      <c r="AJ1000" s="81"/>
      <c r="AK1000" s="81" t="s">
        <v>10598</v>
      </c>
      <c r="AL1000" s="81" t="s">
        <v>11227</v>
      </c>
      <c r="AM1000" s="81"/>
      <c r="AN1000" s="81"/>
      <c r="AO1000" s="83">
        <v>41834.150601851848</v>
      </c>
      <c r="AP1000" s="84" t="str">
        <f>HYPERLINK("https://pbs.twimg.com/profile_banners/2709232282/1630339315")</f>
        <v>https://pbs.twimg.com/profile_banners/2709232282/1630339315</v>
      </c>
      <c r="AQ1000" s="81" t="b">
        <v>1</v>
      </c>
      <c r="AR1000" s="81" t="b">
        <v>0</v>
      </c>
      <c r="AS1000" s="81" t="b">
        <v>0</v>
      </c>
      <c r="AT1000" s="81"/>
      <c r="AU1000" s="81">
        <v>0</v>
      </c>
      <c r="AV1000" s="84" t="str">
        <f>HYPERLINK("https://abs.twimg.com/images/themes/theme1/bg.png")</f>
        <v>https://abs.twimg.com/images/themes/theme1/bg.png</v>
      </c>
      <c r="AW1000" s="81" t="b">
        <v>0</v>
      </c>
      <c r="AX1000" s="81" t="s">
        <v>3728</v>
      </c>
      <c r="AY1000" s="84" t="str">
        <f>HYPERLINK("https://twitter.com/nilzasilvana")</f>
        <v>https://twitter.com/nilzasilvana</v>
      </c>
      <c r="AZ1000" s="81" t="s">
        <v>66</v>
      </c>
      <c r="BA1000" s="2"/>
      <c r="BB1000" s="3"/>
      <c r="BC1000" s="3"/>
      <c r="BD1000" s="3"/>
      <c r="BE1000" s="3"/>
    </row>
    <row r="1001" spans="1:57" x14ac:dyDescent="0.35">
      <c r="A1001" s="66" t="s">
        <v>4666</v>
      </c>
      <c r="B1001" s="67"/>
      <c r="C1001" s="67"/>
      <c r="D1001" s="68"/>
      <c r="E1001" s="94"/>
      <c r="F1001" s="93" t="str">
        <f>HYPERLINK("https://pbs.twimg.com/profile_images/3092939456/e0a5f7d74633a770c0cab1cc7e3541a5_normal.jpeg")</f>
        <v>https://pbs.twimg.com/profile_images/3092939456/e0a5f7d74633a770c0cab1cc7e3541a5_normal.jpeg</v>
      </c>
      <c r="G1001" s="95"/>
      <c r="H1001" s="71"/>
      <c r="I1001" s="72"/>
      <c r="J1001" s="96"/>
      <c r="K1001" s="71" t="s">
        <v>12054</v>
      </c>
      <c r="L1001" s="97"/>
      <c r="M1001" s="76"/>
      <c r="N1001" s="76"/>
      <c r="O1001" s="77"/>
      <c r="P1001" s="78"/>
      <c r="Q1001" s="78"/>
      <c r="R1001" s="92"/>
      <c r="S1001" s="92"/>
      <c r="T1001" s="92"/>
      <c r="U1001" s="92"/>
      <c r="V1001" s="52"/>
      <c r="W1001" s="52"/>
      <c r="X1001" s="52"/>
      <c r="Y1001" s="52"/>
      <c r="Z1001" s="51"/>
      <c r="AA1001" s="73"/>
      <c r="AB1001" s="73"/>
      <c r="AC1001" s="74"/>
      <c r="AD1001" s="81" t="s">
        <v>8681</v>
      </c>
      <c r="AE1001" s="86" t="s">
        <v>9667</v>
      </c>
      <c r="AF1001" s="81">
        <v>273</v>
      </c>
      <c r="AG1001" s="81">
        <v>88</v>
      </c>
      <c r="AH1001" s="81">
        <v>264</v>
      </c>
      <c r="AI1001" s="81">
        <v>153</v>
      </c>
      <c r="AJ1001" s="81"/>
      <c r="AK1001" s="81" t="s">
        <v>10599</v>
      </c>
      <c r="AL1001" s="81"/>
      <c r="AM1001" s="84" t="str">
        <f>HYPERLINK("https://t.co/SUOFvV1Pk0")</f>
        <v>https://t.co/SUOFvV1Pk0</v>
      </c>
      <c r="AN1001" s="81"/>
      <c r="AO1001" s="83">
        <v>40074.088877314818</v>
      </c>
      <c r="AP1001" s="84" t="str">
        <f>HYPERLINK("https://pbs.twimg.com/profile_banners/75175351/1357835719")</f>
        <v>https://pbs.twimg.com/profile_banners/75175351/1357835719</v>
      </c>
      <c r="AQ1001" s="81" t="b">
        <v>0</v>
      </c>
      <c r="AR1001" s="81" t="b">
        <v>0</v>
      </c>
      <c r="AS1001" s="81" t="b">
        <v>0</v>
      </c>
      <c r="AT1001" s="81"/>
      <c r="AU1001" s="81">
        <v>0</v>
      </c>
      <c r="AV1001" s="84" t="str">
        <f>HYPERLINK("https://abs.twimg.com/images/themes/theme1/bg.png")</f>
        <v>https://abs.twimg.com/images/themes/theme1/bg.png</v>
      </c>
      <c r="AW1001" s="81" t="b">
        <v>0</v>
      </c>
      <c r="AX1001" s="81" t="s">
        <v>3728</v>
      </c>
      <c r="AY1001" s="84" t="str">
        <f>HYPERLINK("https://twitter.com/irondant")</f>
        <v>https://twitter.com/irondant</v>
      </c>
      <c r="AZ1001" s="81" t="s">
        <v>66</v>
      </c>
      <c r="BA1001" s="2"/>
      <c r="BB1001" s="3"/>
      <c r="BC1001" s="3"/>
      <c r="BD1001" s="3"/>
      <c r="BE1001" s="3"/>
    </row>
    <row r="1002" spans="1:57" x14ac:dyDescent="0.35">
      <c r="A1002" s="66" t="s">
        <v>4667</v>
      </c>
      <c r="B1002" s="67"/>
      <c r="C1002" s="67"/>
      <c r="D1002" s="68"/>
      <c r="E1002" s="94"/>
      <c r="F1002" s="93" t="str">
        <f>HYPERLINK("https://pbs.twimg.com/profile_images/646355444722716672/X_Vm9zYF_normal.jpg")</f>
        <v>https://pbs.twimg.com/profile_images/646355444722716672/X_Vm9zYF_normal.jpg</v>
      </c>
      <c r="G1002" s="95"/>
      <c r="H1002" s="71"/>
      <c r="I1002" s="72"/>
      <c r="J1002" s="96"/>
      <c r="K1002" s="71" t="s">
        <v>12055</v>
      </c>
      <c r="L1002" s="97"/>
      <c r="M1002" s="76"/>
      <c r="N1002" s="76"/>
      <c r="O1002" s="77"/>
      <c r="P1002" s="78"/>
      <c r="Q1002" s="78"/>
      <c r="R1002" s="92"/>
      <c r="S1002" s="92"/>
      <c r="T1002" s="92"/>
      <c r="U1002" s="92"/>
      <c r="V1002" s="52"/>
      <c r="W1002" s="52"/>
      <c r="X1002" s="52"/>
      <c r="Y1002" s="52"/>
      <c r="Z1002" s="51"/>
      <c r="AA1002" s="73"/>
      <c r="AB1002" s="73"/>
      <c r="AC1002" s="74"/>
      <c r="AD1002" s="81" t="s">
        <v>8682</v>
      </c>
      <c r="AE1002" s="86" t="s">
        <v>9668</v>
      </c>
      <c r="AF1002" s="81">
        <v>190</v>
      </c>
      <c r="AG1002" s="81">
        <v>142</v>
      </c>
      <c r="AH1002" s="81">
        <v>1791</v>
      </c>
      <c r="AI1002" s="81">
        <v>22331</v>
      </c>
      <c r="AJ1002" s="81"/>
      <c r="AK1002" s="81"/>
      <c r="AL1002" s="81" t="s">
        <v>11228</v>
      </c>
      <c r="AM1002" s="81"/>
      <c r="AN1002" s="81"/>
      <c r="AO1002" s="83">
        <v>42251.12667824074</v>
      </c>
      <c r="AP1002" s="84" t="str">
        <f>HYPERLINK("https://pbs.twimg.com/profile_banners/3540432617/1443295088")</f>
        <v>https://pbs.twimg.com/profile_banners/3540432617/1443295088</v>
      </c>
      <c r="AQ1002" s="81" t="b">
        <v>1</v>
      </c>
      <c r="AR1002" s="81" t="b">
        <v>0</v>
      </c>
      <c r="AS1002" s="81" t="b">
        <v>0</v>
      </c>
      <c r="AT1002" s="81"/>
      <c r="AU1002" s="81">
        <v>2</v>
      </c>
      <c r="AV1002" s="84" t="str">
        <f>HYPERLINK("https://abs.twimg.com/images/themes/theme1/bg.png")</f>
        <v>https://abs.twimg.com/images/themes/theme1/bg.png</v>
      </c>
      <c r="AW1002" s="81" t="b">
        <v>0</v>
      </c>
      <c r="AX1002" s="81" t="s">
        <v>3728</v>
      </c>
      <c r="AY1002" s="84" t="str">
        <f>HYPERLINK("https://twitter.com/alessandrakoren")</f>
        <v>https://twitter.com/alessandrakoren</v>
      </c>
      <c r="AZ1002" s="81" t="s">
        <v>66</v>
      </c>
      <c r="BA1002" s="2"/>
      <c r="BB1002" s="3"/>
      <c r="BC1002" s="3"/>
      <c r="BD1002" s="3"/>
      <c r="BE1002" s="3"/>
    </row>
    <row r="1003" spans="1:57" x14ac:dyDescent="0.35">
      <c r="A1003" s="66" t="s">
        <v>4668</v>
      </c>
      <c r="B1003" s="67"/>
      <c r="C1003" s="67"/>
      <c r="D1003" s="68"/>
      <c r="E1003" s="94"/>
      <c r="F1003" s="93" t="str">
        <f>HYPERLINK("https://pbs.twimg.com/profile_images/1394846283882536966/CZ1t5Om7_normal.jpg")</f>
        <v>https://pbs.twimg.com/profile_images/1394846283882536966/CZ1t5Om7_normal.jpg</v>
      </c>
      <c r="G1003" s="95"/>
      <c r="H1003" s="71"/>
      <c r="I1003" s="72"/>
      <c r="J1003" s="96"/>
      <c r="K1003" s="71" t="s">
        <v>12056</v>
      </c>
      <c r="L1003" s="97"/>
      <c r="M1003" s="76"/>
      <c r="N1003" s="76"/>
      <c r="O1003" s="77"/>
      <c r="P1003" s="78"/>
      <c r="Q1003" s="78"/>
      <c r="R1003" s="92"/>
      <c r="S1003" s="92"/>
      <c r="T1003" s="92"/>
      <c r="U1003" s="92"/>
      <c r="V1003" s="52"/>
      <c r="W1003" s="52"/>
      <c r="X1003" s="52"/>
      <c r="Y1003" s="52"/>
      <c r="Z1003" s="51"/>
      <c r="AA1003" s="73"/>
      <c r="AB1003" s="73"/>
      <c r="AC1003" s="74"/>
      <c r="AD1003" s="81" t="s">
        <v>8683</v>
      </c>
      <c r="AE1003" s="86" t="s">
        <v>9669</v>
      </c>
      <c r="AF1003" s="81">
        <v>2015</v>
      </c>
      <c r="AG1003" s="81">
        <v>2202</v>
      </c>
      <c r="AH1003" s="81">
        <v>255753</v>
      </c>
      <c r="AI1003" s="81">
        <v>291867</v>
      </c>
      <c r="AJ1003" s="81"/>
      <c r="AK1003" s="81" t="s">
        <v>10600</v>
      </c>
      <c r="AL1003" s="81" t="s">
        <v>10970</v>
      </c>
      <c r="AM1003" s="81"/>
      <c r="AN1003" s="81"/>
      <c r="AO1003" s="83">
        <v>43407.005231481482</v>
      </c>
      <c r="AP1003" s="84" t="str">
        <f>HYPERLINK("https://pbs.twimg.com/profile_banners/1058510955053809664/1616777231")</f>
        <v>https://pbs.twimg.com/profile_banners/1058510955053809664/1616777231</v>
      </c>
      <c r="AQ1003" s="81" t="b">
        <v>1</v>
      </c>
      <c r="AR1003" s="81" t="b">
        <v>0</v>
      </c>
      <c r="AS1003" s="81" t="b">
        <v>0</v>
      </c>
      <c r="AT1003" s="81"/>
      <c r="AU1003" s="81">
        <v>4</v>
      </c>
      <c r="AV1003" s="81"/>
      <c r="AW1003" s="81" t="b">
        <v>0</v>
      </c>
      <c r="AX1003" s="81" t="s">
        <v>3728</v>
      </c>
      <c r="AY1003" s="84" t="str">
        <f>HYPERLINK("https://twitter.com/elianadacruzro1")</f>
        <v>https://twitter.com/elianadacruzro1</v>
      </c>
      <c r="AZ1003" s="81" t="s">
        <v>66</v>
      </c>
      <c r="BA1003" s="2"/>
      <c r="BB1003" s="3"/>
      <c r="BC1003" s="3"/>
      <c r="BD1003" s="3"/>
      <c r="BE1003" s="3"/>
    </row>
    <row r="1004" spans="1:57" x14ac:dyDescent="0.35">
      <c r="A1004" s="66" t="s">
        <v>4669</v>
      </c>
      <c r="B1004" s="67"/>
      <c r="C1004" s="67"/>
      <c r="D1004" s="68"/>
      <c r="E1004" s="94"/>
      <c r="F1004" s="93" t="str">
        <f>HYPERLINK("https://pbs.twimg.com/profile_images/1243303827358584835/nNsA36ht_normal.jpg")</f>
        <v>https://pbs.twimg.com/profile_images/1243303827358584835/nNsA36ht_normal.jpg</v>
      </c>
      <c r="G1004" s="95"/>
      <c r="H1004" s="71"/>
      <c r="I1004" s="72"/>
      <c r="J1004" s="96"/>
      <c r="K1004" s="71" t="s">
        <v>12057</v>
      </c>
      <c r="L1004" s="97"/>
      <c r="M1004" s="76"/>
      <c r="N1004" s="76"/>
      <c r="O1004" s="77"/>
      <c r="P1004" s="78"/>
      <c r="Q1004" s="78"/>
      <c r="R1004" s="92"/>
      <c r="S1004" s="92"/>
      <c r="T1004" s="92"/>
      <c r="U1004" s="92"/>
      <c r="V1004" s="52"/>
      <c r="W1004" s="52"/>
      <c r="X1004" s="52"/>
      <c r="Y1004" s="52"/>
      <c r="Z1004" s="51"/>
      <c r="AA1004" s="73"/>
      <c r="AB1004" s="73"/>
      <c r="AC1004" s="74"/>
      <c r="AD1004" s="81" t="s">
        <v>8684</v>
      </c>
      <c r="AE1004" s="86" t="s">
        <v>9670</v>
      </c>
      <c r="AF1004" s="81">
        <v>3805</v>
      </c>
      <c r="AG1004" s="81">
        <v>3273</v>
      </c>
      <c r="AH1004" s="81">
        <v>52768</v>
      </c>
      <c r="AI1004" s="81">
        <v>95710</v>
      </c>
      <c r="AJ1004" s="81"/>
      <c r="AK1004" s="81" t="s">
        <v>10601</v>
      </c>
      <c r="AL1004" s="81"/>
      <c r="AM1004" s="81"/>
      <c r="AN1004" s="81"/>
      <c r="AO1004" s="83">
        <v>42158.464583333334</v>
      </c>
      <c r="AP1004" s="84" t="str">
        <f>HYPERLINK("https://pbs.twimg.com/profile_banners/3306901233/1554388206")</f>
        <v>https://pbs.twimg.com/profile_banners/3306901233/1554388206</v>
      </c>
      <c r="AQ1004" s="81" t="b">
        <v>1</v>
      </c>
      <c r="AR1004" s="81" t="b">
        <v>0</v>
      </c>
      <c r="AS1004" s="81" t="b">
        <v>0</v>
      </c>
      <c r="AT1004" s="81"/>
      <c r="AU1004" s="81">
        <v>1</v>
      </c>
      <c r="AV1004" s="84" t="str">
        <f>HYPERLINK("https://abs.twimg.com/images/themes/theme1/bg.png")</f>
        <v>https://abs.twimg.com/images/themes/theme1/bg.png</v>
      </c>
      <c r="AW1004" s="81" t="b">
        <v>0</v>
      </c>
      <c r="AX1004" s="81" t="s">
        <v>3728</v>
      </c>
      <c r="AY1004" s="84" t="str">
        <f>HYPERLINK("https://twitter.com/marcoscruzeiro5")</f>
        <v>https://twitter.com/marcoscruzeiro5</v>
      </c>
      <c r="AZ1004" s="81" t="s">
        <v>66</v>
      </c>
      <c r="BA1004" s="2"/>
      <c r="BB1004" s="3"/>
      <c r="BC1004" s="3"/>
      <c r="BD1004" s="3"/>
      <c r="BE1004" s="3"/>
    </row>
    <row r="1005" spans="1:57" x14ac:dyDescent="0.35">
      <c r="A1005" s="66" t="s">
        <v>4670</v>
      </c>
      <c r="B1005" s="67"/>
      <c r="C1005" s="67"/>
      <c r="D1005" s="68"/>
      <c r="E1005" s="94"/>
      <c r="F1005" s="93" t="str">
        <f>HYPERLINK("https://pbs.twimg.com/profile_images/1360338698722828292/uTqIX3bj_normal.jpg")</f>
        <v>https://pbs.twimg.com/profile_images/1360338698722828292/uTqIX3bj_normal.jpg</v>
      </c>
      <c r="G1005" s="95"/>
      <c r="H1005" s="71"/>
      <c r="I1005" s="72"/>
      <c r="J1005" s="96"/>
      <c r="K1005" s="71" t="s">
        <v>12058</v>
      </c>
      <c r="L1005" s="97"/>
      <c r="M1005" s="76"/>
      <c r="N1005" s="76"/>
      <c r="O1005" s="77"/>
      <c r="P1005" s="78"/>
      <c r="Q1005" s="78"/>
      <c r="R1005" s="92"/>
      <c r="S1005" s="92"/>
      <c r="T1005" s="92"/>
      <c r="U1005" s="92"/>
      <c r="V1005" s="52"/>
      <c r="W1005" s="52"/>
      <c r="X1005" s="52"/>
      <c r="Y1005" s="52"/>
      <c r="Z1005" s="51"/>
      <c r="AA1005" s="73"/>
      <c r="AB1005" s="73"/>
      <c r="AC1005" s="74"/>
      <c r="AD1005" s="81" t="s">
        <v>8685</v>
      </c>
      <c r="AE1005" s="86" t="s">
        <v>9671</v>
      </c>
      <c r="AF1005" s="81">
        <v>3886</v>
      </c>
      <c r="AG1005" s="81">
        <v>3429</v>
      </c>
      <c r="AH1005" s="81">
        <v>91018</v>
      </c>
      <c r="AI1005" s="81">
        <v>158318</v>
      </c>
      <c r="AJ1005" s="81"/>
      <c r="AK1005" s="81" t="s">
        <v>10602</v>
      </c>
      <c r="AL1005" s="81"/>
      <c r="AM1005" s="84" t="str">
        <f>HYPERLINK("https://t.co/mW28r1Kzpx")</f>
        <v>https://t.co/mW28r1Kzpx</v>
      </c>
      <c r="AN1005" s="81"/>
      <c r="AO1005" s="83">
        <v>42967.472511574073</v>
      </c>
      <c r="AP1005" s="84" t="str">
        <f>HYPERLINK("https://pbs.twimg.com/profile_banners/899229629071994880/1505037568")</f>
        <v>https://pbs.twimg.com/profile_banners/899229629071994880/1505037568</v>
      </c>
      <c r="AQ1005" s="81" t="b">
        <v>1</v>
      </c>
      <c r="AR1005" s="81" t="b">
        <v>0</v>
      </c>
      <c r="AS1005" s="81" t="b">
        <v>0</v>
      </c>
      <c r="AT1005" s="81"/>
      <c r="AU1005" s="81">
        <v>1</v>
      </c>
      <c r="AV1005" s="81"/>
      <c r="AW1005" s="81" t="b">
        <v>0</v>
      </c>
      <c r="AX1005" s="81" t="s">
        <v>3728</v>
      </c>
      <c r="AY1005" s="84" t="str">
        <f>HYPERLINK("https://twitter.com/cassianacotica")</f>
        <v>https://twitter.com/cassianacotica</v>
      </c>
      <c r="AZ1005" s="81" t="s">
        <v>66</v>
      </c>
      <c r="BA1005" s="2"/>
      <c r="BB1005" s="3"/>
      <c r="BC1005" s="3"/>
      <c r="BD1005" s="3"/>
      <c r="BE1005" s="3"/>
    </row>
    <row r="1006" spans="1:57" x14ac:dyDescent="0.35">
      <c r="A1006" s="66" t="s">
        <v>4671</v>
      </c>
      <c r="B1006" s="67"/>
      <c r="C1006" s="67"/>
      <c r="D1006" s="68"/>
      <c r="E1006" s="94"/>
      <c r="F1006" s="93" t="str">
        <f>HYPERLINK("https://pbs.twimg.com/profile_images/1433528388711374851/mHd_gWtG_normal.jpg")</f>
        <v>https://pbs.twimg.com/profile_images/1433528388711374851/mHd_gWtG_normal.jpg</v>
      </c>
      <c r="G1006" s="95"/>
      <c r="H1006" s="71"/>
      <c r="I1006" s="72"/>
      <c r="J1006" s="96"/>
      <c r="K1006" s="71" t="s">
        <v>12059</v>
      </c>
      <c r="L1006" s="97"/>
      <c r="M1006" s="76"/>
      <c r="N1006" s="76"/>
      <c r="O1006" s="77"/>
      <c r="P1006" s="78"/>
      <c r="Q1006" s="78"/>
      <c r="R1006" s="92"/>
      <c r="S1006" s="92"/>
      <c r="T1006" s="92"/>
      <c r="U1006" s="92"/>
      <c r="V1006" s="52"/>
      <c r="W1006" s="52"/>
      <c r="X1006" s="52"/>
      <c r="Y1006" s="52"/>
      <c r="Z1006" s="51"/>
      <c r="AA1006" s="73"/>
      <c r="AB1006" s="73"/>
      <c r="AC1006" s="74"/>
      <c r="AD1006" s="81" t="s">
        <v>8686</v>
      </c>
      <c r="AE1006" s="86" t="s">
        <v>9672</v>
      </c>
      <c r="AF1006" s="81">
        <v>362</v>
      </c>
      <c r="AG1006" s="81">
        <v>188</v>
      </c>
      <c r="AH1006" s="81">
        <v>13897</v>
      </c>
      <c r="AI1006" s="81">
        <v>31332</v>
      </c>
      <c r="AJ1006" s="81"/>
      <c r="AK1006" s="81" t="s">
        <v>10603</v>
      </c>
      <c r="AL1006" s="81" t="s">
        <v>10969</v>
      </c>
      <c r="AM1006" s="81"/>
      <c r="AN1006" s="81"/>
      <c r="AO1006" s="83">
        <v>43286.524224537039</v>
      </c>
      <c r="AP1006" s="81"/>
      <c r="AQ1006" s="81" t="b">
        <v>1</v>
      </c>
      <c r="AR1006" s="81" t="b">
        <v>0</v>
      </c>
      <c r="AS1006" s="81" t="b">
        <v>0</v>
      </c>
      <c r="AT1006" s="81"/>
      <c r="AU1006" s="81">
        <v>0</v>
      </c>
      <c r="AV1006" s="81"/>
      <c r="AW1006" s="81" t="b">
        <v>0</v>
      </c>
      <c r="AX1006" s="81" t="s">
        <v>3728</v>
      </c>
      <c r="AY1006" s="84" t="str">
        <f>HYPERLINK("https://twitter.com/sanguineeliane")</f>
        <v>https://twitter.com/sanguineeliane</v>
      </c>
      <c r="AZ1006" s="81" t="s">
        <v>66</v>
      </c>
      <c r="BA1006" s="2"/>
      <c r="BB1006" s="3"/>
      <c r="BC1006" s="3"/>
      <c r="BD1006" s="3"/>
      <c r="BE1006" s="3"/>
    </row>
    <row r="1007" spans="1:57" x14ac:dyDescent="0.35">
      <c r="A1007" s="66" t="s">
        <v>4672</v>
      </c>
      <c r="B1007" s="67"/>
      <c r="C1007" s="67"/>
      <c r="D1007" s="68"/>
      <c r="E1007" s="94"/>
      <c r="F1007" s="93" t="str">
        <f>HYPERLINK("https://pbs.twimg.com/profile_images/741616284085944320/8xpLm-sF_normal.jpg")</f>
        <v>https://pbs.twimg.com/profile_images/741616284085944320/8xpLm-sF_normal.jpg</v>
      </c>
      <c r="G1007" s="95"/>
      <c r="H1007" s="71"/>
      <c r="I1007" s="72"/>
      <c r="J1007" s="96"/>
      <c r="K1007" s="71" t="s">
        <v>12060</v>
      </c>
      <c r="L1007" s="97"/>
      <c r="M1007" s="76"/>
      <c r="N1007" s="76"/>
      <c r="O1007" s="77"/>
      <c r="P1007" s="78"/>
      <c r="Q1007" s="78"/>
      <c r="R1007" s="92"/>
      <c r="S1007" s="92"/>
      <c r="T1007" s="92"/>
      <c r="U1007" s="92"/>
      <c r="V1007" s="52"/>
      <c r="W1007" s="52"/>
      <c r="X1007" s="52"/>
      <c r="Y1007" s="52"/>
      <c r="Z1007" s="51"/>
      <c r="AA1007" s="73"/>
      <c r="AB1007" s="73"/>
      <c r="AC1007" s="74"/>
      <c r="AD1007" s="81" t="s">
        <v>8687</v>
      </c>
      <c r="AE1007" s="86" t="s">
        <v>7889</v>
      </c>
      <c r="AF1007" s="81">
        <v>303</v>
      </c>
      <c r="AG1007" s="81">
        <v>1186</v>
      </c>
      <c r="AH1007" s="81">
        <v>20156</v>
      </c>
      <c r="AI1007" s="81">
        <v>28618</v>
      </c>
      <c r="AJ1007" s="81"/>
      <c r="AK1007" s="81" t="s">
        <v>10604</v>
      </c>
      <c r="AL1007" s="81"/>
      <c r="AM1007" s="84" t="str">
        <f>HYPERLINK("https://t.co/b6soe52aku")</f>
        <v>https://t.co/b6soe52aku</v>
      </c>
      <c r="AN1007" s="81"/>
      <c r="AO1007" s="83">
        <v>40454.131874999999</v>
      </c>
      <c r="AP1007" s="84" t="str">
        <f>HYPERLINK("https://pbs.twimg.com/profile_banners/198014461/1586389946")</f>
        <v>https://pbs.twimg.com/profile_banners/198014461/1586389946</v>
      </c>
      <c r="AQ1007" s="81" t="b">
        <v>1</v>
      </c>
      <c r="AR1007" s="81" t="b">
        <v>0</v>
      </c>
      <c r="AS1007" s="81" t="b">
        <v>0</v>
      </c>
      <c r="AT1007" s="81"/>
      <c r="AU1007" s="81">
        <v>3</v>
      </c>
      <c r="AV1007" s="84" t="str">
        <f>HYPERLINK("https://abs.twimg.com/images/themes/theme1/bg.png")</f>
        <v>https://abs.twimg.com/images/themes/theme1/bg.png</v>
      </c>
      <c r="AW1007" s="81" t="b">
        <v>0</v>
      </c>
      <c r="AX1007" s="81" t="s">
        <v>3728</v>
      </c>
      <c r="AY1007" s="84" t="str">
        <f>HYPERLINK("https://twitter.com/avozdocerrado_")</f>
        <v>https://twitter.com/avozdocerrado_</v>
      </c>
      <c r="AZ1007" s="81" t="s">
        <v>66</v>
      </c>
      <c r="BA1007" s="2"/>
      <c r="BB1007" s="3"/>
      <c r="BC1007" s="3"/>
      <c r="BD1007" s="3"/>
      <c r="BE1007" s="3"/>
    </row>
    <row r="1008" spans="1:57" x14ac:dyDescent="0.35">
      <c r="A1008" s="66" t="s">
        <v>4673</v>
      </c>
      <c r="B1008" s="67"/>
      <c r="C1008" s="67"/>
      <c r="D1008" s="68"/>
      <c r="E1008" s="94"/>
      <c r="F1008" s="93" t="str">
        <f>HYPERLINK("https://pbs.twimg.com/profile_images/1352767690214158338/qtEQGSZ8_normal.jpg")</f>
        <v>https://pbs.twimg.com/profile_images/1352767690214158338/qtEQGSZ8_normal.jpg</v>
      </c>
      <c r="G1008" s="95"/>
      <c r="H1008" s="71"/>
      <c r="I1008" s="72"/>
      <c r="J1008" s="96"/>
      <c r="K1008" s="71" t="s">
        <v>12061</v>
      </c>
      <c r="L1008" s="97"/>
      <c r="M1008" s="76"/>
      <c r="N1008" s="76"/>
      <c r="O1008" s="77"/>
      <c r="P1008" s="78"/>
      <c r="Q1008" s="78"/>
      <c r="R1008" s="92"/>
      <c r="S1008" s="92"/>
      <c r="T1008" s="92"/>
      <c r="U1008" s="92"/>
      <c r="V1008" s="52"/>
      <c r="W1008" s="52"/>
      <c r="X1008" s="52"/>
      <c r="Y1008" s="52"/>
      <c r="Z1008" s="51"/>
      <c r="AA1008" s="73"/>
      <c r="AB1008" s="73"/>
      <c r="AC1008" s="74"/>
      <c r="AD1008" s="81" t="s">
        <v>8688</v>
      </c>
      <c r="AE1008" s="86" t="s">
        <v>9673</v>
      </c>
      <c r="AF1008" s="81">
        <v>117</v>
      </c>
      <c r="AG1008" s="81">
        <v>2</v>
      </c>
      <c r="AH1008" s="81">
        <v>258</v>
      </c>
      <c r="AI1008" s="81">
        <v>205</v>
      </c>
      <c r="AJ1008" s="81"/>
      <c r="AK1008" s="81"/>
      <c r="AL1008" s="81"/>
      <c r="AM1008" s="81"/>
      <c r="AN1008" s="81"/>
      <c r="AO1008" s="83">
        <v>42568.862129629626</v>
      </c>
      <c r="AP1008" s="81"/>
      <c r="AQ1008" s="81" t="b">
        <v>1</v>
      </c>
      <c r="AR1008" s="81" t="b">
        <v>0</v>
      </c>
      <c r="AS1008" s="81" t="b">
        <v>0</v>
      </c>
      <c r="AT1008" s="81"/>
      <c r="AU1008" s="81">
        <v>0</v>
      </c>
      <c r="AV1008" s="81"/>
      <c r="AW1008" s="81" t="b">
        <v>0</v>
      </c>
      <c r="AX1008" s="81" t="s">
        <v>3728</v>
      </c>
      <c r="AY1008" s="84" t="str">
        <f>HYPERLINK("https://twitter.com/andresifernande")</f>
        <v>https://twitter.com/andresifernande</v>
      </c>
      <c r="AZ1008" s="81" t="s">
        <v>66</v>
      </c>
      <c r="BA1008" s="2"/>
      <c r="BB1008" s="3"/>
      <c r="BC1008" s="3"/>
      <c r="BD1008" s="3"/>
      <c r="BE1008" s="3"/>
    </row>
    <row r="1009" spans="1:57" x14ac:dyDescent="0.35">
      <c r="A1009" s="66" t="s">
        <v>5135</v>
      </c>
      <c r="B1009" s="67"/>
      <c r="C1009" s="67"/>
      <c r="D1009" s="68"/>
      <c r="E1009" s="94"/>
      <c r="F1009" s="93" t="str">
        <f>HYPERLINK("https://pbs.twimg.com/profile_images/2168473773/winway_facebook_normal.jpg")</f>
        <v>https://pbs.twimg.com/profile_images/2168473773/winway_facebook_normal.jpg</v>
      </c>
      <c r="G1009" s="95"/>
      <c r="H1009" s="71"/>
      <c r="I1009" s="72"/>
      <c r="J1009" s="96"/>
      <c r="K1009" s="71" t="s">
        <v>12062</v>
      </c>
      <c r="L1009" s="97"/>
      <c r="M1009" s="76"/>
      <c r="N1009" s="76"/>
      <c r="O1009" s="77"/>
      <c r="P1009" s="78"/>
      <c r="Q1009" s="78"/>
      <c r="R1009" s="92"/>
      <c r="S1009" s="92"/>
      <c r="T1009" s="92"/>
      <c r="U1009" s="92"/>
      <c r="V1009" s="52"/>
      <c r="W1009" s="52"/>
      <c r="X1009" s="52"/>
      <c r="Y1009" s="52"/>
      <c r="Z1009" s="51"/>
      <c r="AA1009" s="73"/>
      <c r="AB1009" s="73"/>
      <c r="AC1009" s="74"/>
      <c r="AD1009" s="81" t="s">
        <v>8689</v>
      </c>
      <c r="AE1009" s="86" t="s">
        <v>9674</v>
      </c>
      <c r="AF1009" s="81">
        <v>279</v>
      </c>
      <c r="AG1009" s="81">
        <v>2453</v>
      </c>
      <c r="AH1009" s="81">
        <v>4609</v>
      </c>
      <c r="AI1009" s="81">
        <v>6319</v>
      </c>
      <c r="AJ1009" s="81"/>
      <c r="AK1009" s="81" t="s">
        <v>10605</v>
      </c>
      <c r="AL1009" s="81"/>
      <c r="AM1009" s="81"/>
      <c r="AN1009" s="81"/>
      <c r="AO1009" s="83">
        <v>41024.956423611111</v>
      </c>
      <c r="AP1009" s="84" t="str">
        <f>HYPERLINK("https://pbs.twimg.com/profile_banners/563258272/1361624893")</f>
        <v>https://pbs.twimg.com/profile_banners/563258272/1361624893</v>
      </c>
      <c r="AQ1009" s="81" t="b">
        <v>0</v>
      </c>
      <c r="AR1009" s="81" t="b">
        <v>0</v>
      </c>
      <c r="AS1009" s="81" t="b">
        <v>1</v>
      </c>
      <c r="AT1009" s="81"/>
      <c r="AU1009" s="81">
        <v>24</v>
      </c>
      <c r="AV1009" s="84" t="str">
        <f>HYPERLINK("https://abs.twimg.com/images/themes/theme14/bg.gif")</f>
        <v>https://abs.twimg.com/images/themes/theme14/bg.gif</v>
      </c>
      <c r="AW1009" s="81" t="b">
        <v>0</v>
      </c>
      <c r="AX1009" s="81" t="s">
        <v>3728</v>
      </c>
      <c r="AY1009" s="84" t="str">
        <f>HYPERLINK("https://twitter.com/_winway")</f>
        <v>https://twitter.com/_winway</v>
      </c>
      <c r="AZ1009" s="81" t="s">
        <v>65</v>
      </c>
      <c r="BA1009" s="2"/>
      <c r="BB1009" s="3"/>
      <c r="BC1009" s="3"/>
      <c r="BD1009" s="3"/>
      <c r="BE1009" s="3"/>
    </row>
    <row r="1010" spans="1:57" x14ac:dyDescent="0.35">
      <c r="A1010" s="66" t="s">
        <v>5136</v>
      </c>
      <c r="B1010" s="67"/>
      <c r="C1010" s="67"/>
      <c r="D1010" s="68"/>
      <c r="E1010" s="94"/>
      <c r="F1010" s="93" t="str">
        <f>HYPERLINK("https://pbs.twimg.com/profile_images/1401538889723097089/dZ8H8_3J_normal.jpg")</f>
        <v>https://pbs.twimg.com/profile_images/1401538889723097089/dZ8H8_3J_normal.jpg</v>
      </c>
      <c r="G1010" s="95"/>
      <c r="H1010" s="71"/>
      <c r="I1010" s="72"/>
      <c r="J1010" s="96"/>
      <c r="K1010" s="71" t="s">
        <v>12063</v>
      </c>
      <c r="L1010" s="97"/>
      <c r="M1010" s="76"/>
      <c r="N1010" s="76"/>
      <c r="O1010" s="77"/>
      <c r="P1010" s="78"/>
      <c r="Q1010" s="78"/>
      <c r="R1010" s="92"/>
      <c r="S1010" s="92"/>
      <c r="T1010" s="92"/>
      <c r="U1010" s="92"/>
      <c r="V1010" s="52"/>
      <c r="W1010" s="52"/>
      <c r="X1010" s="52"/>
      <c r="Y1010" s="52"/>
      <c r="Z1010" s="51"/>
      <c r="AA1010" s="73"/>
      <c r="AB1010" s="73"/>
      <c r="AC1010" s="74"/>
      <c r="AD1010" s="81" t="s">
        <v>8690</v>
      </c>
      <c r="AE1010" s="86" t="s">
        <v>9675</v>
      </c>
      <c r="AF1010" s="81">
        <v>1033</v>
      </c>
      <c r="AG1010" s="81">
        <v>8188</v>
      </c>
      <c r="AH1010" s="81">
        <v>40917</v>
      </c>
      <c r="AI1010" s="81">
        <v>29555</v>
      </c>
      <c r="AJ1010" s="81"/>
      <c r="AK1010" s="81" t="s">
        <v>10606</v>
      </c>
      <c r="AL1010" s="81" t="s">
        <v>10990</v>
      </c>
      <c r="AM1010" s="84" t="str">
        <f>HYPERLINK("https://t.co/JqajLzejXX")</f>
        <v>https://t.co/JqajLzejXX</v>
      </c>
      <c r="AN1010" s="81"/>
      <c r="AO1010" s="83">
        <v>43504.442395833335</v>
      </c>
      <c r="AP1010" s="84" t="str">
        <f>HYPERLINK("https://pbs.twimg.com/profile_banners/1093821000561639424/1631461788")</f>
        <v>https://pbs.twimg.com/profile_banners/1093821000561639424/1631461788</v>
      </c>
      <c r="AQ1010" s="81" t="b">
        <v>0</v>
      </c>
      <c r="AR1010" s="81" t="b">
        <v>0</v>
      </c>
      <c r="AS1010" s="81" t="b">
        <v>0</v>
      </c>
      <c r="AT1010" s="81"/>
      <c r="AU1010" s="81">
        <v>56</v>
      </c>
      <c r="AV1010" s="84" t="str">
        <f>HYPERLINK("https://abs.twimg.com/images/themes/theme1/bg.png")</f>
        <v>https://abs.twimg.com/images/themes/theme1/bg.png</v>
      </c>
      <c r="AW1010" s="81" t="b">
        <v>0</v>
      </c>
      <c r="AX1010" s="81" t="s">
        <v>3728</v>
      </c>
      <c r="AY1010" s="84" t="str">
        <f>HYPERLINK("https://twitter.com/bandeiramarela")</f>
        <v>https://twitter.com/bandeiramarela</v>
      </c>
      <c r="AZ1010" s="81" t="s">
        <v>65</v>
      </c>
      <c r="BA1010" s="2"/>
      <c r="BB1010" s="3"/>
      <c r="BC1010" s="3"/>
      <c r="BD1010" s="3"/>
      <c r="BE1010" s="3"/>
    </row>
    <row r="1011" spans="1:57" x14ac:dyDescent="0.35">
      <c r="A1011" s="66" t="s">
        <v>5137</v>
      </c>
      <c r="B1011" s="67"/>
      <c r="C1011" s="67"/>
      <c r="D1011" s="68"/>
      <c r="E1011" s="94"/>
      <c r="F1011" s="93" t="str">
        <f>HYPERLINK("https://pbs.twimg.com/profile_images/1223045868024221698/or6ce-H5_normal.jpg")</f>
        <v>https://pbs.twimg.com/profile_images/1223045868024221698/or6ce-H5_normal.jpg</v>
      </c>
      <c r="G1011" s="95"/>
      <c r="H1011" s="71"/>
      <c r="I1011" s="72"/>
      <c r="J1011" s="96"/>
      <c r="K1011" s="71" t="s">
        <v>12064</v>
      </c>
      <c r="L1011" s="97"/>
      <c r="M1011" s="76"/>
      <c r="N1011" s="76"/>
      <c r="O1011" s="77"/>
      <c r="P1011" s="78"/>
      <c r="Q1011" s="78"/>
      <c r="R1011" s="92"/>
      <c r="S1011" s="92"/>
      <c r="T1011" s="92"/>
      <c r="U1011" s="92"/>
      <c r="V1011" s="52"/>
      <c r="W1011" s="52"/>
      <c r="X1011" s="52"/>
      <c r="Y1011" s="52"/>
      <c r="Z1011" s="51"/>
      <c r="AA1011" s="73"/>
      <c r="AB1011" s="73"/>
      <c r="AC1011" s="74"/>
      <c r="AD1011" s="81" t="s">
        <v>8691</v>
      </c>
      <c r="AE1011" s="86" t="s">
        <v>7890</v>
      </c>
      <c r="AF1011" s="81">
        <v>300</v>
      </c>
      <c r="AG1011" s="81">
        <v>21</v>
      </c>
      <c r="AH1011" s="81">
        <v>980</v>
      </c>
      <c r="AI1011" s="81">
        <v>146</v>
      </c>
      <c r="AJ1011" s="81"/>
      <c r="AK1011" s="81"/>
      <c r="AL1011" s="81" t="s">
        <v>11229</v>
      </c>
      <c r="AM1011" s="81"/>
      <c r="AN1011" s="81"/>
      <c r="AO1011" s="83">
        <v>43728.449456018519</v>
      </c>
      <c r="AP1011" s="84" t="str">
        <f>HYPERLINK("https://pbs.twimg.com/profile_banners/1174998400393252864/1580431912")</f>
        <v>https://pbs.twimg.com/profile_banners/1174998400393252864/1580431912</v>
      </c>
      <c r="AQ1011" s="81" t="b">
        <v>1</v>
      </c>
      <c r="AR1011" s="81" t="b">
        <v>0</v>
      </c>
      <c r="AS1011" s="81" t="b">
        <v>0</v>
      </c>
      <c r="AT1011" s="81"/>
      <c r="AU1011" s="81">
        <v>0</v>
      </c>
      <c r="AV1011" s="81"/>
      <c r="AW1011" s="81" t="b">
        <v>0</v>
      </c>
      <c r="AX1011" s="81" t="s">
        <v>3728</v>
      </c>
      <c r="AY1011" s="84" t="str">
        <f>HYPERLINK("https://twitter.com/davidmouro2")</f>
        <v>https://twitter.com/davidmouro2</v>
      </c>
      <c r="AZ1011" s="81" t="s">
        <v>65</v>
      </c>
      <c r="BA1011" s="2"/>
      <c r="BB1011" s="3"/>
      <c r="BC1011" s="3"/>
      <c r="BD1011" s="3"/>
      <c r="BE1011" s="3"/>
    </row>
    <row r="1012" spans="1:57" x14ac:dyDescent="0.35">
      <c r="A1012" s="66" t="s">
        <v>5138</v>
      </c>
      <c r="B1012" s="67"/>
      <c r="C1012" s="67"/>
      <c r="D1012" s="68"/>
      <c r="E1012" s="94"/>
      <c r="F1012" s="93" t="str">
        <f>HYPERLINK("https://pbs.twimg.com/profile_images/1410514076493664264/9-uYY3ZN_normal.jpg")</f>
        <v>https://pbs.twimg.com/profile_images/1410514076493664264/9-uYY3ZN_normal.jpg</v>
      </c>
      <c r="G1012" s="95"/>
      <c r="H1012" s="71"/>
      <c r="I1012" s="72"/>
      <c r="J1012" s="96"/>
      <c r="K1012" s="71" t="s">
        <v>12065</v>
      </c>
      <c r="L1012" s="97"/>
      <c r="M1012" s="76"/>
      <c r="N1012" s="76"/>
      <c r="O1012" s="77"/>
      <c r="P1012" s="78"/>
      <c r="Q1012" s="78"/>
      <c r="R1012" s="92"/>
      <c r="S1012" s="92"/>
      <c r="T1012" s="92"/>
      <c r="U1012" s="92"/>
      <c r="V1012" s="52"/>
      <c r="W1012" s="52"/>
      <c r="X1012" s="52"/>
      <c r="Y1012" s="52"/>
      <c r="Z1012" s="51"/>
      <c r="AA1012" s="73"/>
      <c r="AB1012" s="73"/>
      <c r="AC1012" s="74"/>
      <c r="AD1012" s="81" t="s">
        <v>8692</v>
      </c>
      <c r="AE1012" s="86" t="s">
        <v>9676</v>
      </c>
      <c r="AF1012" s="81">
        <v>517</v>
      </c>
      <c r="AG1012" s="81">
        <v>91918</v>
      </c>
      <c r="AH1012" s="81">
        <v>20947</v>
      </c>
      <c r="AI1012" s="81">
        <v>7173</v>
      </c>
      <c r="AJ1012" s="81"/>
      <c r="AK1012" s="81" t="s">
        <v>10607</v>
      </c>
      <c r="AL1012" s="81" t="s">
        <v>10998</v>
      </c>
      <c r="AM1012" s="84" t="str">
        <f>HYPERLINK("https://t.co/umTkbIcNDS")</f>
        <v>https://t.co/umTkbIcNDS</v>
      </c>
      <c r="AN1012" s="81"/>
      <c r="AO1012" s="83">
        <v>43290.682152777779</v>
      </c>
      <c r="AP1012" s="84" t="str">
        <f>HYPERLINK("https://pbs.twimg.com/profile_banners/1016356881873424385/1629972696")</f>
        <v>https://pbs.twimg.com/profile_banners/1016356881873424385/1629972696</v>
      </c>
      <c r="AQ1012" s="81" t="b">
        <v>1</v>
      </c>
      <c r="AR1012" s="81" t="b">
        <v>0</v>
      </c>
      <c r="AS1012" s="81" t="b">
        <v>1</v>
      </c>
      <c r="AT1012" s="81"/>
      <c r="AU1012" s="81">
        <v>174</v>
      </c>
      <c r="AV1012" s="81"/>
      <c r="AW1012" s="81" t="b">
        <v>1</v>
      </c>
      <c r="AX1012" s="81" t="s">
        <v>3728</v>
      </c>
      <c r="AY1012" s="84" t="str">
        <f>HYPERLINK("https://twitter.com/elevensports_pt")</f>
        <v>https://twitter.com/elevensports_pt</v>
      </c>
      <c r="AZ1012" s="81" t="s">
        <v>65</v>
      </c>
      <c r="BA1012" s="2"/>
      <c r="BB1012" s="3"/>
      <c r="BC1012" s="3"/>
      <c r="BD1012" s="3"/>
      <c r="BE1012" s="3"/>
    </row>
    <row r="1013" spans="1:57" x14ac:dyDescent="0.35">
      <c r="A1013" s="66" t="s">
        <v>4674</v>
      </c>
      <c r="B1013" s="67"/>
      <c r="C1013" s="67"/>
      <c r="D1013" s="68"/>
      <c r="E1013" s="94"/>
      <c r="F1013" s="93" t="str">
        <f>HYPERLINK("https://pbs.twimg.com/profile_images/1375567519474417666/POhBhY33_normal.jpg")</f>
        <v>https://pbs.twimg.com/profile_images/1375567519474417666/POhBhY33_normal.jpg</v>
      </c>
      <c r="G1013" s="95"/>
      <c r="H1013" s="71"/>
      <c r="I1013" s="72"/>
      <c r="J1013" s="96"/>
      <c r="K1013" s="71" t="s">
        <v>12066</v>
      </c>
      <c r="L1013" s="97"/>
      <c r="M1013" s="76"/>
      <c r="N1013" s="76"/>
      <c r="O1013" s="77"/>
      <c r="P1013" s="78"/>
      <c r="Q1013" s="78"/>
      <c r="R1013" s="92"/>
      <c r="S1013" s="92"/>
      <c r="T1013" s="92"/>
      <c r="U1013" s="92"/>
      <c r="V1013" s="52"/>
      <c r="W1013" s="52"/>
      <c r="X1013" s="52"/>
      <c r="Y1013" s="52"/>
      <c r="Z1013" s="51"/>
      <c r="AA1013" s="73"/>
      <c r="AB1013" s="73"/>
      <c r="AC1013" s="74"/>
      <c r="AD1013" s="81" t="s">
        <v>8693</v>
      </c>
      <c r="AE1013" s="86" t="s">
        <v>9677</v>
      </c>
      <c r="AF1013" s="81">
        <v>945</v>
      </c>
      <c r="AG1013" s="81">
        <v>755</v>
      </c>
      <c r="AH1013" s="81">
        <v>41767</v>
      </c>
      <c r="AI1013" s="81">
        <v>84714</v>
      </c>
      <c r="AJ1013" s="81"/>
      <c r="AK1013" s="81" t="s">
        <v>10608</v>
      </c>
      <c r="AL1013" s="81" t="s">
        <v>11230</v>
      </c>
      <c r="AM1013" s="84" t="str">
        <f>HYPERLINK("https://t.co/XZLndGy46Q")</f>
        <v>https://t.co/XZLndGy46Q</v>
      </c>
      <c r="AN1013" s="81"/>
      <c r="AO1013" s="83">
        <v>39899.667268518519</v>
      </c>
      <c r="AP1013" s="84" t="str">
        <f>HYPERLINK("https://pbs.twimg.com/profile_banners/27033166/1625334678")</f>
        <v>https://pbs.twimg.com/profile_banners/27033166/1625334678</v>
      </c>
      <c r="AQ1013" s="81" t="b">
        <v>0</v>
      </c>
      <c r="AR1013" s="81" t="b">
        <v>0</v>
      </c>
      <c r="AS1013" s="81" t="b">
        <v>1</v>
      </c>
      <c r="AT1013" s="81"/>
      <c r="AU1013" s="81">
        <v>12</v>
      </c>
      <c r="AV1013" s="84" t="str">
        <f>HYPERLINK("https://abs.twimg.com/images/themes/theme17/bg.gif")</f>
        <v>https://abs.twimg.com/images/themes/theme17/bg.gif</v>
      </c>
      <c r="AW1013" s="81" t="b">
        <v>0</v>
      </c>
      <c r="AX1013" s="81" t="s">
        <v>3728</v>
      </c>
      <c r="AY1013" s="84" t="str">
        <f>HYPERLINK("https://twitter.com/isabeatle")</f>
        <v>https://twitter.com/isabeatle</v>
      </c>
      <c r="AZ1013" s="81" t="s">
        <v>66</v>
      </c>
      <c r="BA1013" s="2"/>
      <c r="BB1013" s="3"/>
      <c r="BC1013" s="3"/>
      <c r="BD1013" s="3"/>
      <c r="BE1013" s="3"/>
    </row>
    <row r="1014" spans="1:57" x14ac:dyDescent="0.35">
      <c r="A1014" s="66" t="s">
        <v>502</v>
      </c>
      <c r="B1014" s="67"/>
      <c r="C1014" s="67"/>
      <c r="D1014" s="68"/>
      <c r="E1014" s="94"/>
      <c r="F1014" s="93" t="str">
        <f>HYPERLINK("https://pbs.twimg.com/profile_images/1426679799313960960/uc_0K0z5_normal.jpg")</f>
        <v>https://pbs.twimg.com/profile_images/1426679799313960960/uc_0K0z5_normal.jpg</v>
      </c>
      <c r="G1014" s="95"/>
      <c r="H1014" s="71"/>
      <c r="I1014" s="72"/>
      <c r="J1014" s="96"/>
      <c r="K1014" s="71" t="s">
        <v>4060</v>
      </c>
      <c r="L1014" s="97"/>
      <c r="M1014" s="76"/>
      <c r="N1014" s="76"/>
      <c r="O1014" s="77"/>
      <c r="P1014" s="78"/>
      <c r="Q1014" s="78"/>
      <c r="R1014" s="92"/>
      <c r="S1014" s="92"/>
      <c r="T1014" s="92"/>
      <c r="U1014" s="92"/>
      <c r="V1014" s="52"/>
      <c r="W1014" s="52"/>
      <c r="X1014" s="52"/>
      <c r="Y1014" s="52"/>
      <c r="Z1014" s="51"/>
      <c r="AA1014" s="73"/>
      <c r="AB1014" s="73"/>
      <c r="AC1014" s="74"/>
      <c r="AD1014" s="81" t="s">
        <v>2571</v>
      </c>
      <c r="AE1014" s="86" t="s">
        <v>2988</v>
      </c>
      <c r="AF1014" s="81">
        <v>76</v>
      </c>
      <c r="AG1014" s="81">
        <v>49</v>
      </c>
      <c r="AH1014" s="81">
        <v>1754</v>
      </c>
      <c r="AI1014" s="81">
        <v>170</v>
      </c>
      <c r="AJ1014" s="81"/>
      <c r="AK1014" s="81" t="s">
        <v>3399</v>
      </c>
      <c r="AL1014" s="81" t="s">
        <v>3520</v>
      </c>
      <c r="AM1014" s="81"/>
      <c r="AN1014" s="81"/>
      <c r="AO1014" s="83">
        <v>44097.508912037039</v>
      </c>
      <c r="AP1014" s="84" t="str">
        <f>HYPERLINK("https://pbs.twimg.com/profile_banners/1308741041260908544/1631850636")</f>
        <v>https://pbs.twimg.com/profile_banners/1308741041260908544/1631850636</v>
      </c>
      <c r="AQ1014" s="81" t="b">
        <v>1</v>
      </c>
      <c r="AR1014" s="81" t="b">
        <v>0</v>
      </c>
      <c r="AS1014" s="81" t="b">
        <v>1</v>
      </c>
      <c r="AT1014" s="81"/>
      <c r="AU1014" s="81">
        <v>0</v>
      </c>
      <c r="AV1014" s="81"/>
      <c r="AW1014" s="81" t="b">
        <v>0</v>
      </c>
      <c r="AX1014" s="81" t="s">
        <v>3728</v>
      </c>
      <c r="AY1014" s="84" t="str">
        <f>HYPERLINK("https://twitter.com/khairudinzack07")</f>
        <v>https://twitter.com/khairudinzack07</v>
      </c>
      <c r="AZ1014" s="81" t="s">
        <v>66</v>
      </c>
      <c r="BA1014" s="2"/>
      <c r="BB1014" s="3"/>
      <c r="BC1014" s="3"/>
      <c r="BD1014" s="3"/>
      <c r="BE1014" s="3"/>
    </row>
    <row r="1015" spans="1:57" x14ac:dyDescent="0.35">
      <c r="A1015" s="66" t="s">
        <v>668</v>
      </c>
      <c r="B1015" s="67"/>
      <c r="C1015" s="67"/>
      <c r="D1015" s="68"/>
      <c r="E1015" s="94"/>
      <c r="F1015" s="93" t="str">
        <f>HYPERLINK("https://pbs.twimg.com/profile_images/768130274018205697/QECNmj4__normal.jpg")</f>
        <v>https://pbs.twimg.com/profile_images/768130274018205697/QECNmj4__normal.jpg</v>
      </c>
      <c r="G1015" s="95"/>
      <c r="H1015" s="71"/>
      <c r="I1015" s="72"/>
      <c r="J1015" s="96"/>
      <c r="K1015" s="71" t="s">
        <v>4061</v>
      </c>
      <c r="L1015" s="97"/>
      <c r="M1015" s="76"/>
      <c r="N1015" s="76"/>
      <c r="O1015" s="77"/>
      <c r="P1015" s="78"/>
      <c r="Q1015" s="78"/>
      <c r="R1015" s="92"/>
      <c r="S1015" s="92"/>
      <c r="T1015" s="92"/>
      <c r="U1015" s="92"/>
      <c r="V1015" s="52"/>
      <c r="W1015" s="52"/>
      <c r="X1015" s="52"/>
      <c r="Y1015" s="52"/>
      <c r="Z1015" s="51"/>
      <c r="AA1015" s="73"/>
      <c r="AB1015" s="73"/>
      <c r="AC1015" s="74"/>
      <c r="AD1015" s="81" t="s">
        <v>2572</v>
      </c>
      <c r="AE1015" s="86" t="s">
        <v>2989</v>
      </c>
      <c r="AF1015" s="81">
        <v>629</v>
      </c>
      <c r="AG1015" s="81">
        <v>599</v>
      </c>
      <c r="AH1015" s="81">
        <v>27440</v>
      </c>
      <c r="AI1015" s="81">
        <v>4939</v>
      </c>
      <c r="AJ1015" s="81"/>
      <c r="AK1015" s="81" t="s">
        <v>3400</v>
      </c>
      <c r="AL1015" s="81" t="s">
        <v>3682</v>
      </c>
      <c r="AM1015" s="84" t="str">
        <f>HYPERLINK("https://t.co/8xcFYiV17T")</f>
        <v>https://t.co/8xcFYiV17T</v>
      </c>
      <c r="AN1015" s="81"/>
      <c r="AO1015" s="83">
        <v>40703.685960648145</v>
      </c>
      <c r="AP1015" s="84" t="str">
        <f>HYPERLINK("https://pbs.twimg.com/profile_banners/314040433/1620334756")</f>
        <v>https://pbs.twimg.com/profile_banners/314040433/1620334756</v>
      </c>
      <c r="AQ1015" s="81" t="b">
        <v>0</v>
      </c>
      <c r="AR1015" s="81" t="b">
        <v>0</v>
      </c>
      <c r="AS1015" s="81" t="b">
        <v>1</v>
      </c>
      <c r="AT1015" s="81"/>
      <c r="AU1015" s="81">
        <v>2</v>
      </c>
      <c r="AV1015" s="84" t="str">
        <f>HYPERLINK("https://abs.twimg.com/images/themes/theme1/bg.png")</f>
        <v>https://abs.twimg.com/images/themes/theme1/bg.png</v>
      </c>
      <c r="AW1015" s="81" t="b">
        <v>0</v>
      </c>
      <c r="AX1015" s="81" t="s">
        <v>3728</v>
      </c>
      <c r="AY1015" s="84" t="str">
        <f>HYPERLINK("https://twitter.com/mamatdinzz")</f>
        <v>https://twitter.com/mamatdinzz</v>
      </c>
      <c r="AZ1015" s="81" t="s">
        <v>65</v>
      </c>
      <c r="BA1015" s="2"/>
      <c r="BB1015" s="3"/>
      <c r="BC1015" s="3"/>
      <c r="BD1015" s="3"/>
      <c r="BE1015" s="3"/>
    </row>
    <row r="1016" spans="1:57" x14ac:dyDescent="0.35">
      <c r="A1016" s="66" t="s">
        <v>669</v>
      </c>
      <c r="B1016" s="67"/>
      <c r="C1016" s="67"/>
      <c r="D1016" s="68"/>
      <c r="E1016" s="94"/>
      <c r="F1016" s="93" t="str">
        <f>HYPERLINK("https://pbs.twimg.com/profile_images/1328393117884551168/iImE7Gdq_normal.jpg")</f>
        <v>https://pbs.twimg.com/profile_images/1328393117884551168/iImE7Gdq_normal.jpg</v>
      </c>
      <c r="G1016" s="95"/>
      <c r="H1016" s="71"/>
      <c r="I1016" s="72"/>
      <c r="J1016" s="96"/>
      <c r="K1016" s="71" t="s">
        <v>4062</v>
      </c>
      <c r="L1016" s="97"/>
      <c r="M1016" s="76"/>
      <c r="N1016" s="76"/>
      <c r="O1016" s="77"/>
      <c r="P1016" s="78"/>
      <c r="Q1016" s="78"/>
      <c r="R1016" s="92"/>
      <c r="S1016" s="92"/>
      <c r="T1016" s="92"/>
      <c r="U1016" s="92"/>
      <c r="V1016" s="52"/>
      <c r="W1016" s="52"/>
      <c r="X1016" s="52"/>
      <c r="Y1016" s="52"/>
      <c r="Z1016" s="51"/>
      <c r="AA1016" s="73"/>
      <c r="AB1016" s="73"/>
      <c r="AC1016" s="74"/>
      <c r="AD1016" s="81" t="s">
        <v>2573</v>
      </c>
      <c r="AE1016" s="86" t="s">
        <v>2137</v>
      </c>
      <c r="AF1016" s="81">
        <v>710</v>
      </c>
      <c r="AG1016" s="81">
        <v>712</v>
      </c>
      <c r="AH1016" s="81">
        <v>27768</v>
      </c>
      <c r="AI1016" s="81">
        <v>12809</v>
      </c>
      <c r="AJ1016" s="81"/>
      <c r="AK1016" s="81" t="s">
        <v>3401</v>
      </c>
      <c r="AL1016" s="81"/>
      <c r="AM1016" s="81"/>
      <c r="AN1016" s="81"/>
      <c r="AO1016" s="83">
        <v>41276.714467592596</v>
      </c>
      <c r="AP1016" s="84" t="str">
        <f>HYPERLINK("https://pbs.twimg.com/profile_banners/1055594166/1618026281")</f>
        <v>https://pbs.twimg.com/profile_banners/1055594166/1618026281</v>
      </c>
      <c r="AQ1016" s="81" t="b">
        <v>0</v>
      </c>
      <c r="AR1016" s="81" t="b">
        <v>0</v>
      </c>
      <c r="AS1016" s="81" t="b">
        <v>1</v>
      </c>
      <c r="AT1016" s="81"/>
      <c r="AU1016" s="81">
        <v>0</v>
      </c>
      <c r="AV1016" s="84" t="str">
        <f>HYPERLINK("https://abs.twimg.com/images/themes/theme2/bg.gif")</f>
        <v>https://abs.twimg.com/images/themes/theme2/bg.gif</v>
      </c>
      <c r="AW1016" s="81" t="b">
        <v>0</v>
      </c>
      <c r="AX1016" s="81" t="s">
        <v>3728</v>
      </c>
      <c r="AY1016" s="84" t="str">
        <f>HYPERLINK("https://twitter.com/mohdruzainii")</f>
        <v>https://twitter.com/mohdruzainii</v>
      </c>
      <c r="AZ1016" s="81" t="s">
        <v>65</v>
      </c>
      <c r="BA1016" s="2"/>
      <c r="BB1016" s="3"/>
      <c r="BC1016" s="3"/>
      <c r="BD1016" s="3"/>
      <c r="BE1016" s="3"/>
    </row>
    <row r="1017" spans="1:57" x14ac:dyDescent="0.35">
      <c r="A1017" s="66" t="s">
        <v>4675</v>
      </c>
      <c r="B1017" s="67"/>
      <c r="C1017" s="67"/>
      <c r="D1017" s="68"/>
      <c r="E1017" s="94"/>
      <c r="F1017" s="93" t="str">
        <f>HYPERLINK("https://pbs.twimg.com/profile_images/1433528373716799488/cNAZzMqo_normal.jpg")</f>
        <v>https://pbs.twimg.com/profile_images/1433528373716799488/cNAZzMqo_normal.jpg</v>
      </c>
      <c r="G1017" s="95"/>
      <c r="H1017" s="71"/>
      <c r="I1017" s="72"/>
      <c r="J1017" s="96"/>
      <c r="K1017" s="71" t="s">
        <v>12067</v>
      </c>
      <c r="L1017" s="97"/>
      <c r="M1017" s="76"/>
      <c r="N1017" s="76"/>
      <c r="O1017" s="77"/>
      <c r="P1017" s="78"/>
      <c r="Q1017" s="78"/>
      <c r="R1017" s="92"/>
      <c r="S1017" s="92"/>
      <c r="T1017" s="92"/>
      <c r="U1017" s="92"/>
      <c r="V1017" s="52"/>
      <c r="W1017" s="52"/>
      <c r="X1017" s="52"/>
      <c r="Y1017" s="52"/>
      <c r="Z1017" s="51"/>
      <c r="AA1017" s="73"/>
      <c r="AB1017" s="73"/>
      <c r="AC1017" s="74"/>
      <c r="AD1017" s="81" t="s">
        <v>8694</v>
      </c>
      <c r="AE1017" s="86" t="s">
        <v>7891</v>
      </c>
      <c r="AF1017" s="81">
        <v>1709</v>
      </c>
      <c r="AG1017" s="81">
        <v>15585</v>
      </c>
      <c r="AH1017" s="81">
        <v>68530</v>
      </c>
      <c r="AI1017" s="81">
        <v>168363</v>
      </c>
      <c r="AJ1017" s="81"/>
      <c r="AK1017" s="81" t="s">
        <v>10609</v>
      </c>
      <c r="AL1017" s="81" t="s">
        <v>10989</v>
      </c>
      <c r="AM1017" s="81"/>
      <c r="AN1017" s="81"/>
      <c r="AO1017" s="83">
        <v>40190.559259259258</v>
      </c>
      <c r="AP1017" s="84" t="str">
        <f>HYPERLINK("https://pbs.twimg.com/profile_banners/104160766/1588130295")</f>
        <v>https://pbs.twimg.com/profile_banners/104160766/1588130295</v>
      </c>
      <c r="AQ1017" s="81" t="b">
        <v>0</v>
      </c>
      <c r="AR1017" s="81" t="b">
        <v>0</v>
      </c>
      <c r="AS1017" s="81" t="b">
        <v>1</v>
      </c>
      <c r="AT1017" s="81"/>
      <c r="AU1017" s="81">
        <v>23</v>
      </c>
      <c r="AV1017" s="84" t="str">
        <f>HYPERLINK("https://abs.twimg.com/images/themes/theme1/bg.png")</f>
        <v>https://abs.twimg.com/images/themes/theme1/bg.png</v>
      </c>
      <c r="AW1017" s="81" t="b">
        <v>0</v>
      </c>
      <c r="AX1017" s="81" t="s">
        <v>3728</v>
      </c>
      <c r="AY1017" s="84" t="str">
        <f>HYPERLINK("https://twitter.com/elisaraujo2010")</f>
        <v>https://twitter.com/elisaraujo2010</v>
      </c>
      <c r="AZ1017" s="81" t="s">
        <v>66</v>
      </c>
      <c r="BA1017" s="2"/>
      <c r="BB1017" s="3"/>
      <c r="BC1017" s="3"/>
      <c r="BD1017" s="3"/>
      <c r="BE1017" s="3"/>
    </row>
    <row r="1018" spans="1:57" x14ac:dyDescent="0.35">
      <c r="A1018" s="66" t="s">
        <v>4676</v>
      </c>
      <c r="B1018" s="67"/>
      <c r="C1018" s="67"/>
      <c r="D1018" s="68"/>
      <c r="E1018" s="94"/>
      <c r="F1018" s="93" t="str">
        <f>HYPERLINK("https://pbs.twimg.com/profile_images/1422873297465843712/BBoFZJzG_normal.jpg")</f>
        <v>https://pbs.twimg.com/profile_images/1422873297465843712/BBoFZJzG_normal.jpg</v>
      </c>
      <c r="G1018" s="95"/>
      <c r="H1018" s="71"/>
      <c r="I1018" s="72"/>
      <c r="J1018" s="96"/>
      <c r="K1018" s="71" t="s">
        <v>12068</v>
      </c>
      <c r="L1018" s="97"/>
      <c r="M1018" s="76"/>
      <c r="N1018" s="76"/>
      <c r="O1018" s="77"/>
      <c r="P1018" s="78"/>
      <c r="Q1018" s="78"/>
      <c r="R1018" s="92"/>
      <c r="S1018" s="92"/>
      <c r="T1018" s="92"/>
      <c r="U1018" s="92"/>
      <c r="V1018" s="52"/>
      <c r="W1018" s="52"/>
      <c r="X1018" s="52"/>
      <c r="Y1018" s="52"/>
      <c r="Z1018" s="51"/>
      <c r="AA1018" s="73"/>
      <c r="AB1018" s="73"/>
      <c r="AC1018" s="74"/>
      <c r="AD1018" s="81" t="s">
        <v>8695</v>
      </c>
      <c r="AE1018" s="86" t="s">
        <v>9678</v>
      </c>
      <c r="AF1018" s="81">
        <v>297</v>
      </c>
      <c r="AG1018" s="81">
        <v>91</v>
      </c>
      <c r="AH1018" s="81">
        <v>5172</v>
      </c>
      <c r="AI1018" s="81">
        <v>2715</v>
      </c>
      <c r="AJ1018" s="81"/>
      <c r="AK1018" s="81" t="s">
        <v>10610</v>
      </c>
      <c r="AL1018" s="81"/>
      <c r="AM1018" s="81"/>
      <c r="AN1018" s="81"/>
      <c r="AO1018" s="83">
        <v>43878.730613425927</v>
      </c>
      <c r="AP1018" s="84" t="str">
        <f>HYPERLINK("https://pbs.twimg.com/profile_banners/1229458397839396864/1628074405")</f>
        <v>https://pbs.twimg.com/profile_banners/1229458397839396864/1628074405</v>
      </c>
      <c r="AQ1018" s="81" t="b">
        <v>1</v>
      </c>
      <c r="AR1018" s="81" t="b">
        <v>0</v>
      </c>
      <c r="AS1018" s="81" t="b">
        <v>0</v>
      </c>
      <c r="AT1018" s="81"/>
      <c r="AU1018" s="81">
        <v>0</v>
      </c>
      <c r="AV1018" s="81"/>
      <c r="AW1018" s="81" t="b">
        <v>0</v>
      </c>
      <c r="AX1018" s="81" t="s">
        <v>3728</v>
      </c>
      <c r="AY1018" s="84" t="str">
        <f>HYPERLINK("https://twitter.com/cmdrmoreira")</f>
        <v>https://twitter.com/cmdrmoreira</v>
      </c>
      <c r="AZ1018" s="81" t="s">
        <v>66</v>
      </c>
      <c r="BA1018" s="2"/>
      <c r="BB1018" s="3"/>
      <c r="BC1018" s="3"/>
      <c r="BD1018" s="3"/>
      <c r="BE1018" s="3"/>
    </row>
    <row r="1019" spans="1:57" x14ac:dyDescent="0.35">
      <c r="A1019" s="66" t="s">
        <v>4677</v>
      </c>
      <c r="B1019" s="67"/>
      <c r="C1019" s="67"/>
      <c r="D1019" s="68"/>
      <c r="E1019" s="94"/>
      <c r="F1019" s="93" t="str">
        <f>HYPERLINK("https://pbs.twimg.com/profile_images/1399113132329607178/81ALhcTU_normal.jpg")</f>
        <v>https://pbs.twimg.com/profile_images/1399113132329607178/81ALhcTU_normal.jpg</v>
      </c>
      <c r="G1019" s="95"/>
      <c r="H1019" s="71"/>
      <c r="I1019" s="72"/>
      <c r="J1019" s="96"/>
      <c r="K1019" s="71" t="s">
        <v>12069</v>
      </c>
      <c r="L1019" s="97"/>
      <c r="M1019" s="76"/>
      <c r="N1019" s="76"/>
      <c r="O1019" s="77"/>
      <c r="P1019" s="78"/>
      <c r="Q1019" s="78"/>
      <c r="R1019" s="92"/>
      <c r="S1019" s="92"/>
      <c r="T1019" s="92"/>
      <c r="U1019" s="92"/>
      <c r="V1019" s="52"/>
      <c r="W1019" s="52"/>
      <c r="X1019" s="52"/>
      <c r="Y1019" s="52"/>
      <c r="Z1019" s="51"/>
      <c r="AA1019" s="73"/>
      <c r="AB1019" s="73"/>
      <c r="AC1019" s="74"/>
      <c r="AD1019" s="81" t="s">
        <v>8696</v>
      </c>
      <c r="AE1019" s="86" t="s">
        <v>9679</v>
      </c>
      <c r="AF1019" s="81">
        <v>3662</v>
      </c>
      <c r="AG1019" s="81">
        <v>812</v>
      </c>
      <c r="AH1019" s="81">
        <v>15449</v>
      </c>
      <c r="AI1019" s="81">
        <v>112185</v>
      </c>
      <c r="AJ1019" s="81"/>
      <c r="AK1019" s="81" t="s">
        <v>10611</v>
      </c>
      <c r="AL1019" s="81" t="s">
        <v>10985</v>
      </c>
      <c r="AM1019" s="81"/>
      <c r="AN1019" s="81"/>
      <c r="AO1019" s="83">
        <v>44128.198287037034</v>
      </c>
      <c r="AP1019" s="81"/>
      <c r="AQ1019" s="81" t="b">
        <v>1</v>
      </c>
      <c r="AR1019" s="81" t="b">
        <v>0</v>
      </c>
      <c r="AS1019" s="81" t="b">
        <v>0</v>
      </c>
      <c r="AT1019" s="81"/>
      <c r="AU1019" s="81">
        <v>1</v>
      </c>
      <c r="AV1019" s="81"/>
      <c r="AW1019" s="81" t="b">
        <v>0</v>
      </c>
      <c r="AX1019" s="81" t="s">
        <v>3728</v>
      </c>
      <c r="AY1019" s="84" t="str">
        <f>HYPERLINK("https://twitter.com/leonard20717489")</f>
        <v>https://twitter.com/leonard20717489</v>
      </c>
      <c r="AZ1019" s="81" t="s">
        <v>66</v>
      </c>
      <c r="BA1019" s="2"/>
      <c r="BB1019" s="3"/>
      <c r="BC1019" s="3"/>
      <c r="BD1019" s="3"/>
      <c r="BE1019" s="3"/>
    </row>
    <row r="1020" spans="1:57" x14ac:dyDescent="0.35">
      <c r="A1020" s="66" t="s">
        <v>4678</v>
      </c>
      <c r="B1020" s="67"/>
      <c r="C1020" s="67"/>
      <c r="D1020" s="68"/>
      <c r="E1020" s="94"/>
      <c r="F1020" s="93" t="str">
        <f>HYPERLINK("https://pbs.twimg.com/profile_images/1408302593370165249/DTRAH7ZB_normal.jpg")</f>
        <v>https://pbs.twimg.com/profile_images/1408302593370165249/DTRAH7ZB_normal.jpg</v>
      </c>
      <c r="G1020" s="95"/>
      <c r="H1020" s="71"/>
      <c r="I1020" s="72"/>
      <c r="J1020" s="96"/>
      <c r="K1020" s="71" t="s">
        <v>12070</v>
      </c>
      <c r="L1020" s="97"/>
      <c r="M1020" s="76"/>
      <c r="N1020" s="76"/>
      <c r="O1020" s="77"/>
      <c r="P1020" s="78"/>
      <c r="Q1020" s="78"/>
      <c r="R1020" s="92"/>
      <c r="S1020" s="92"/>
      <c r="T1020" s="92"/>
      <c r="U1020" s="92"/>
      <c r="V1020" s="52"/>
      <c r="W1020" s="52"/>
      <c r="X1020" s="52"/>
      <c r="Y1020" s="52"/>
      <c r="Z1020" s="51"/>
      <c r="AA1020" s="73"/>
      <c r="AB1020" s="73"/>
      <c r="AC1020" s="74"/>
      <c r="AD1020" s="81" t="s">
        <v>8697</v>
      </c>
      <c r="AE1020" s="86" t="s">
        <v>9680</v>
      </c>
      <c r="AF1020" s="81">
        <v>823</v>
      </c>
      <c r="AG1020" s="81">
        <v>1854</v>
      </c>
      <c r="AH1020" s="81">
        <v>129228</v>
      </c>
      <c r="AI1020" s="81">
        <v>86315</v>
      </c>
      <c r="AJ1020" s="81"/>
      <c r="AK1020" s="81" t="s">
        <v>10612</v>
      </c>
      <c r="AL1020" s="81" t="s">
        <v>10989</v>
      </c>
      <c r="AM1020" s="81"/>
      <c r="AN1020" s="81"/>
      <c r="AO1020" s="83">
        <v>40724.597800925927</v>
      </c>
      <c r="AP1020" s="84" t="str">
        <f>HYPERLINK("https://pbs.twimg.com/profile_banners/326799964/1620876179")</f>
        <v>https://pbs.twimg.com/profile_banners/326799964/1620876179</v>
      </c>
      <c r="AQ1020" s="81" t="b">
        <v>0</v>
      </c>
      <c r="AR1020" s="81" t="b">
        <v>0</v>
      </c>
      <c r="AS1020" s="81" t="b">
        <v>1</v>
      </c>
      <c r="AT1020" s="81"/>
      <c r="AU1020" s="81">
        <v>8</v>
      </c>
      <c r="AV1020" s="84" t="str">
        <f>HYPERLINK("https://abs.twimg.com/images/themes/theme4/bg.gif")</f>
        <v>https://abs.twimg.com/images/themes/theme4/bg.gif</v>
      </c>
      <c r="AW1020" s="81" t="b">
        <v>0</v>
      </c>
      <c r="AX1020" s="81" t="s">
        <v>3728</v>
      </c>
      <c r="AY1020" s="84" t="str">
        <f>HYPERLINK("https://twitter.com/sandraffarias")</f>
        <v>https://twitter.com/sandraffarias</v>
      </c>
      <c r="AZ1020" s="81" t="s">
        <v>66</v>
      </c>
      <c r="BA1020" s="2"/>
      <c r="BB1020" s="3"/>
      <c r="BC1020" s="3"/>
      <c r="BD1020" s="3"/>
      <c r="BE1020" s="3"/>
    </row>
    <row r="1021" spans="1:57" x14ac:dyDescent="0.35">
      <c r="A1021" s="66" t="s">
        <v>4679</v>
      </c>
      <c r="B1021" s="67"/>
      <c r="C1021" s="67"/>
      <c r="D1021" s="68"/>
      <c r="E1021" s="94"/>
      <c r="F1021" s="93" t="str">
        <f>HYPERLINK("https://pbs.twimg.com/profile_images/1429870245288755207/2nc7pyW7_normal.jpg")</f>
        <v>https://pbs.twimg.com/profile_images/1429870245288755207/2nc7pyW7_normal.jpg</v>
      </c>
      <c r="G1021" s="95"/>
      <c r="H1021" s="71"/>
      <c r="I1021" s="72"/>
      <c r="J1021" s="96"/>
      <c r="K1021" s="71" t="s">
        <v>12071</v>
      </c>
      <c r="L1021" s="97"/>
      <c r="M1021" s="76"/>
      <c r="N1021" s="76"/>
      <c r="O1021" s="77"/>
      <c r="P1021" s="78"/>
      <c r="Q1021" s="78"/>
      <c r="R1021" s="92"/>
      <c r="S1021" s="92"/>
      <c r="T1021" s="92"/>
      <c r="U1021" s="92"/>
      <c r="V1021" s="52"/>
      <c r="W1021" s="52"/>
      <c r="X1021" s="52"/>
      <c r="Y1021" s="52"/>
      <c r="Z1021" s="51"/>
      <c r="AA1021" s="73"/>
      <c r="AB1021" s="73"/>
      <c r="AC1021" s="74"/>
      <c r="AD1021" s="81" t="s">
        <v>8698</v>
      </c>
      <c r="AE1021" s="86" t="s">
        <v>9681</v>
      </c>
      <c r="AF1021" s="81">
        <v>953</v>
      </c>
      <c r="AG1021" s="81">
        <v>324</v>
      </c>
      <c r="AH1021" s="81">
        <v>6582</v>
      </c>
      <c r="AI1021" s="81">
        <v>28469</v>
      </c>
      <c r="AJ1021" s="81"/>
      <c r="AK1021" s="81" t="s">
        <v>10613</v>
      </c>
      <c r="AL1021" s="81" t="s">
        <v>10973</v>
      </c>
      <c r="AM1021" s="81"/>
      <c r="AN1021" s="81"/>
      <c r="AO1021" s="83">
        <v>40209.602141203701</v>
      </c>
      <c r="AP1021" s="84" t="str">
        <f>HYPERLINK("https://pbs.twimg.com/profile_banners/110149101/1625335104")</f>
        <v>https://pbs.twimg.com/profile_banners/110149101/1625335104</v>
      </c>
      <c r="AQ1021" s="81" t="b">
        <v>0</v>
      </c>
      <c r="AR1021" s="81" t="b">
        <v>0</v>
      </c>
      <c r="AS1021" s="81" t="b">
        <v>1</v>
      </c>
      <c r="AT1021" s="81"/>
      <c r="AU1021" s="81">
        <v>3</v>
      </c>
      <c r="AV1021" s="84" t="str">
        <f>HYPERLINK("https://abs.twimg.com/images/themes/theme14/bg.gif")</f>
        <v>https://abs.twimg.com/images/themes/theme14/bg.gif</v>
      </c>
      <c r="AW1021" s="81" t="b">
        <v>0</v>
      </c>
      <c r="AX1021" s="81" t="s">
        <v>3728</v>
      </c>
      <c r="AY1021" s="84" t="str">
        <f>HYPERLINK("https://twitter.com/cristinareisarq")</f>
        <v>https://twitter.com/cristinareisarq</v>
      </c>
      <c r="AZ1021" s="81" t="s">
        <v>66</v>
      </c>
      <c r="BA1021" s="2"/>
      <c r="BB1021" s="3"/>
      <c r="BC1021" s="3"/>
      <c r="BD1021" s="3"/>
      <c r="BE1021" s="3"/>
    </row>
    <row r="1022" spans="1:57" x14ac:dyDescent="0.35">
      <c r="A1022" s="66" t="s">
        <v>4680</v>
      </c>
      <c r="B1022" s="67"/>
      <c r="C1022" s="67"/>
      <c r="D1022" s="68"/>
      <c r="E1022" s="94"/>
      <c r="F1022" s="93" t="str">
        <f>HYPERLINK("https://pbs.twimg.com/profile_images/1407041419148247044/VNEVrVVN_normal.jpg")</f>
        <v>https://pbs.twimg.com/profile_images/1407041419148247044/VNEVrVVN_normal.jpg</v>
      </c>
      <c r="G1022" s="95"/>
      <c r="H1022" s="71"/>
      <c r="I1022" s="72"/>
      <c r="J1022" s="96"/>
      <c r="K1022" s="71" t="s">
        <v>12072</v>
      </c>
      <c r="L1022" s="97"/>
      <c r="M1022" s="76"/>
      <c r="N1022" s="76"/>
      <c r="O1022" s="77"/>
      <c r="P1022" s="78"/>
      <c r="Q1022" s="78"/>
      <c r="R1022" s="92"/>
      <c r="S1022" s="92"/>
      <c r="T1022" s="92"/>
      <c r="U1022" s="92"/>
      <c r="V1022" s="52"/>
      <c r="W1022" s="52"/>
      <c r="X1022" s="52"/>
      <c r="Y1022" s="52"/>
      <c r="Z1022" s="51"/>
      <c r="AA1022" s="73"/>
      <c r="AB1022" s="73"/>
      <c r="AC1022" s="74"/>
      <c r="AD1022" s="81" t="s">
        <v>8699</v>
      </c>
      <c r="AE1022" s="86" t="s">
        <v>9682</v>
      </c>
      <c r="AF1022" s="81">
        <v>393</v>
      </c>
      <c r="AG1022" s="81">
        <v>384</v>
      </c>
      <c r="AH1022" s="81">
        <v>5158</v>
      </c>
      <c r="AI1022" s="81">
        <v>3558</v>
      </c>
      <c r="AJ1022" s="81"/>
      <c r="AK1022" s="81" t="s">
        <v>10614</v>
      </c>
      <c r="AL1022" s="81" t="s">
        <v>11231</v>
      </c>
      <c r="AM1022" s="81"/>
      <c r="AN1022" s="81"/>
      <c r="AO1022" s="83">
        <v>40874.141180555554</v>
      </c>
      <c r="AP1022" s="84" t="str">
        <f>HYPERLINK("https://pbs.twimg.com/profile_banners/422311437/1624299787")</f>
        <v>https://pbs.twimg.com/profile_banners/422311437/1624299787</v>
      </c>
      <c r="AQ1022" s="81" t="b">
        <v>0</v>
      </c>
      <c r="AR1022" s="81" t="b">
        <v>0</v>
      </c>
      <c r="AS1022" s="81" t="b">
        <v>1</v>
      </c>
      <c r="AT1022" s="81"/>
      <c r="AU1022" s="81">
        <v>1</v>
      </c>
      <c r="AV1022" s="84" t="str">
        <f>HYPERLINK("https://abs.twimg.com/images/themes/theme1/bg.png")</f>
        <v>https://abs.twimg.com/images/themes/theme1/bg.png</v>
      </c>
      <c r="AW1022" s="81" t="b">
        <v>0</v>
      </c>
      <c r="AX1022" s="81" t="s">
        <v>3728</v>
      </c>
      <c r="AY1022" s="84" t="str">
        <f>HYPERLINK("https://twitter.com/wannessaalves13")</f>
        <v>https://twitter.com/wannessaalves13</v>
      </c>
      <c r="AZ1022" s="81" t="s">
        <v>66</v>
      </c>
      <c r="BA1022" s="2"/>
      <c r="BB1022" s="3"/>
      <c r="BC1022" s="3"/>
      <c r="BD1022" s="3"/>
      <c r="BE1022" s="3"/>
    </row>
    <row r="1023" spans="1:57" x14ac:dyDescent="0.35">
      <c r="A1023" s="66" t="s">
        <v>4681</v>
      </c>
      <c r="B1023" s="67"/>
      <c r="C1023" s="67"/>
      <c r="D1023" s="68"/>
      <c r="E1023" s="94"/>
      <c r="F1023" s="93" t="str">
        <f>HYPERLINK("https://pbs.twimg.com/profile_images/1417176260732755982/uPAXhvdF_normal.jpg")</f>
        <v>https://pbs.twimg.com/profile_images/1417176260732755982/uPAXhvdF_normal.jpg</v>
      </c>
      <c r="G1023" s="95"/>
      <c r="H1023" s="71"/>
      <c r="I1023" s="72"/>
      <c r="J1023" s="96"/>
      <c r="K1023" s="71" t="s">
        <v>12073</v>
      </c>
      <c r="L1023" s="97"/>
      <c r="M1023" s="76"/>
      <c r="N1023" s="76"/>
      <c r="O1023" s="77"/>
      <c r="P1023" s="78"/>
      <c r="Q1023" s="78"/>
      <c r="R1023" s="92"/>
      <c r="S1023" s="92"/>
      <c r="T1023" s="92"/>
      <c r="U1023" s="92"/>
      <c r="V1023" s="52"/>
      <c r="W1023" s="52"/>
      <c r="X1023" s="52"/>
      <c r="Y1023" s="52"/>
      <c r="Z1023" s="51"/>
      <c r="AA1023" s="73"/>
      <c r="AB1023" s="73"/>
      <c r="AC1023" s="74"/>
      <c r="AD1023" s="81" t="s">
        <v>8700</v>
      </c>
      <c r="AE1023" s="86" t="s">
        <v>9683</v>
      </c>
      <c r="AF1023" s="81">
        <v>737</v>
      </c>
      <c r="AG1023" s="81">
        <v>289</v>
      </c>
      <c r="AH1023" s="81">
        <v>1115</v>
      </c>
      <c r="AI1023" s="81">
        <v>2952</v>
      </c>
      <c r="AJ1023" s="81"/>
      <c r="AK1023" s="81" t="s">
        <v>10615</v>
      </c>
      <c r="AL1023" s="81"/>
      <c r="AM1023" s="81"/>
      <c r="AN1023" s="81"/>
      <c r="AO1023" s="83">
        <v>44396.732141203705</v>
      </c>
      <c r="AP1023" s="84" t="str">
        <f>HYPERLINK("https://pbs.twimg.com/profile_banners/1417175940598226947/1630959649")</f>
        <v>https://pbs.twimg.com/profile_banners/1417175940598226947/1630959649</v>
      </c>
      <c r="AQ1023" s="81" t="b">
        <v>1</v>
      </c>
      <c r="AR1023" s="81" t="b">
        <v>0</v>
      </c>
      <c r="AS1023" s="81" t="b">
        <v>0</v>
      </c>
      <c r="AT1023" s="81"/>
      <c r="AU1023" s="81">
        <v>1</v>
      </c>
      <c r="AV1023" s="81"/>
      <c r="AW1023" s="81" t="b">
        <v>0</v>
      </c>
      <c r="AX1023" s="81" t="s">
        <v>3728</v>
      </c>
      <c r="AY1023" s="84" t="str">
        <f>HYPERLINK("https://twitter.com/tmaioria")</f>
        <v>https://twitter.com/tmaioria</v>
      </c>
      <c r="AZ1023" s="81" t="s">
        <v>66</v>
      </c>
      <c r="BA1023" s="2"/>
      <c r="BB1023" s="3"/>
      <c r="BC1023" s="3"/>
      <c r="BD1023" s="3"/>
      <c r="BE1023" s="3"/>
    </row>
    <row r="1024" spans="1:57" x14ac:dyDescent="0.35">
      <c r="A1024" s="66" t="s">
        <v>4682</v>
      </c>
      <c r="B1024" s="67"/>
      <c r="C1024" s="67"/>
      <c r="D1024" s="68"/>
      <c r="E1024" s="94"/>
      <c r="F1024" s="93" t="str">
        <f>HYPERLINK("https://pbs.twimg.com/profile_images/1394490672493780994/Gc-0m6U-_normal.jpg")</f>
        <v>https://pbs.twimg.com/profile_images/1394490672493780994/Gc-0m6U-_normal.jpg</v>
      </c>
      <c r="G1024" s="95"/>
      <c r="H1024" s="71"/>
      <c r="I1024" s="72"/>
      <c r="J1024" s="96"/>
      <c r="K1024" s="71" t="s">
        <v>12074</v>
      </c>
      <c r="L1024" s="97"/>
      <c r="M1024" s="76"/>
      <c r="N1024" s="76"/>
      <c r="O1024" s="77"/>
      <c r="P1024" s="78"/>
      <c r="Q1024" s="78"/>
      <c r="R1024" s="92"/>
      <c r="S1024" s="92"/>
      <c r="T1024" s="92"/>
      <c r="U1024" s="92"/>
      <c r="V1024" s="52"/>
      <c r="W1024" s="52"/>
      <c r="X1024" s="52"/>
      <c r="Y1024" s="52"/>
      <c r="Z1024" s="51"/>
      <c r="AA1024" s="73"/>
      <c r="AB1024" s="73"/>
      <c r="AC1024" s="74"/>
      <c r="AD1024" s="81" t="s">
        <v>8701</v>
      </c>
      <c r="AE1024" s="86" t="s">
        <v>9684</v>
      </c>
      <c r="AF1024" s="81">
        <v>942</v>
      </c>
      <c r="AG1024" s="81">
        <v>885</v>
      </c>
      <c r="AH1024" s="81">
        <v>104568</v>
      </c>
      <c r="AI1024" s="81">
        <v>30212</v>
      </c>
      <c r="AJ1024" s="81"/>
      <c r="AK1024" s="81" t="s">
        <v>10616</v>
      </c>
      <c r="AL1024" s="81" t="s">
        <v>10985</v>
      </c>
      <c r="AM1024" s="81"/>
      <c r="AN1024" s="81"/>
      <c r="AO1024" s="83">
        <v>39976.097372685188</v>
      </c>
      <c r="AP1024" s="84" t="str">
        <f>HYPERLINK("https://pbs.twimg.com/profile_banners/46556135/1397119184")</f>
        <v>https://pbs.twimg.com/profile_banners/46556135/1397119184</v>
      </c>
      <c r="AQ1024" s="81" t="b">
        <v>0</v>
      </c>
      <c r="AR1024" s="81" t="b">
        <v>0</v>
      </c>
      <c r="AS1024" s="81" t="b">
        <v>1</v>
      </c>
      <c r="AT1024" s="81"/>
      <c r="AU1024" s="81">
        <v>13</v>
      </c>
      <c r="AV1024" s="84" t="str">
        <f>HYPERLINK("https://abs.twimg.com/images/themes/theme9/bg.gif")</f>
        <v>https://abs.twimg.com/images/themes/theme9/bg.gif</v>
      </c>
      <c r="AW1024" s="81" t="b">
        <v>0</v>
      </c>
      <c r="AX1024" s="81" t="s">
        <v>3728</v>
      </c>
      <c r="AY1024" s="84" t="str">
        <f>HYPERLINK("https://twitter.com/brendaheloisa")</f>
        <v>https://twitter.com/brendaheloisa</v>
      </c>
      <c r="AZ1024" s="81" t="s">
        <v>66</v>
      </c>
      <c r="BA1024" s="2"/>
      <c r="BB1024" s="3"/>
      <c r="BC1024" s="3"/>
      <c r="BD1024" s="3"/>
      <c r="BE1024" s="3"/>
    </row>
    <row r="1025" spans="1:57" x14ac:dyDescent="0.35">
      <c r="A1025" s="66" t="s">
        <v>4683</v>
      </c>
      <c r="B1025" s="67"/>
      <c r="C1025" s="67"/>
      <c r="D1025" s="68"/>
      <c r="E1025" s="94"/>
      <c r="F1025" s="93" t="str">
        <f>HYPERLINK("https://pbs.twimg.com/profile_images/1152797322465742849/sUXbOBo7_normal.jpg")</f>
        <v>https://pbs.twimg.com/profile_images/1152797322465742849/sUXbOBo7_normal.jpg</v>
      </c>
      <c r="G1025" s="95"/>
      <c r="H1025" s="71"/>
      <c r="I1025" s="72"/>
      <c r="J1025" s="96"/>
      <c r="K1025" s="71" t="s">
        <v>12075</v>
      </c>
      <c r="L1025" s="97"/>
      <c r="M1025" s="76"/>
      <c r="N1025" s="76"/>
      <c r="O1025" s="77"/>
      <c r="P1025" s="78"/>
      <c r="Q1025" s="78"/>
      <c r="R1025" s="92"/>
      <c r="S1025" s="92"/>
      <c r="T1025" s="92"/>
      <c r="U1025" s="92"/>
      <c r="V1025" s="52"/>
      <c r="W1025" s="52"/>
      <c r="X1025" s="52"/>
      <c r="Y1025" s="52"/>
      <c r="Z1025" s="51"/>
      <c r="AA1025" s="73"/>
      <c r="AB1025" s="73"/>
      <c r="AC1025" s="74"/>
      <c r="AD1025" s="81" t="s">
        <v>8702</v>
      </c>
      <c r="AE1025" s="86" t="s">
        <v>9685</v>
      </c>
      <c r="AF1025" s="81">
        <v>498</v>
      </c>
      <c r="AG1025" s="81">
        <v>33</v>
      </c>
      <c r="AH1025" s="81">
        <v>13961</v>
      </c>
      <c r="AI1025" s="81">
        <v>13750</v>
      </c>
      <c r="AJ1025" s="81"/>
      <c r="AK1025" s="81"/>
      <c r="AL1025" s="81"/>
      <c r="AM1025" s="81"/>
      <c r="AN1025" s="81"/>
      <c r="AO1025" s="83">
        <v>43426.009675925925</v>
      </c>
      <c r="AP1025" s="81"/>
      <c r="AQ1025" s="81" t="b">
        <v>1</v>
      </c>
      <c r="AR1025" s="81" t="b">
        <v>0</v>
      </c>
      <c r="AS1025" s="81" t="b">
        <v>0</v>
      </c>
      <c r="AT1025" s="81"/>
      <c r="AU1025" s="81">
        <v>0</v>
      </c>
      <c r="AV1025" s="81"/>
      <c r="AW1025" s="81" t="b">
        <v>0</v>
      </c>
      <c r="AX1025" s="81" t="s">
        <v>3728</v>
      </c>
      <c r="AY1025" s="84" t="str">
        <f>HYPERLINK("https://twitter.com/lgsfroufe")</f>
        <v>https://twitter.com/lgsfroufe</v>
      </c>
      <c r="AZ1025" s="81" t="s">
        <v>66</v>
      </c>
      <c r="BA1025" s="2"/>
      <c r="BB1025" s="3"/>
      <c r="BC1025" s="3"/>
      <c r="BD1025" s="3"/>
      <c r="BE1025" s="3"/>
    </row>
    <row r="1026" spans="1:57" x14ac:dyDescent="0.35">
      <c r="A1026" s="66" t="s">
        <v>4684</v>
      </c>
      <c r="B1026" s="67"/>
      <c r="C1026" s="67"/>
      <c r="D1026" s="68"/>
      <c r="E1026" s="94"/>
      <c r="F1026" s="93" t="str">
        <f>HYPERLINK("https://pbs.twimg.com/profile_images/1387906104030543881/Lmt0qqmn_normal.jpg")</f>
        <v>https://pbs.twimg.com/profile_images/1387906104030543881/Lmt0qqmn_normal.jpg</v>
      </c>
      <c r="G1026" s="95"/>
      <c r="H1026" s="71"/>
      <c r="I1026" s="72"/>
      <c r="J1026" s="96"/>
      <c r="K1026" s="71" t="s">
        <v>12076</v>
      </c>
      <c r="L1026" s="97"/>
      <c r="M1026" s="76"/>
      <c r="N1026" s="76"/>
      <c r="O1026" s="77"/>
      <c r="P1026" s="78"/>
      <c r="Q1026" s="78"/>
      <c r="R1026" s="92"/>
      <c r="S1026" s="92"/>
      <c r="T1026" s="92"/>
      <c r="U1026" s="92"/>
      <c r="V1026" s="52"/>
      <c r="W1026" s="52"/>
      <c r="X1026" s="52"/>
      <c r="Y1026" s="52"/>
      <c r="Z1026" s="51"/>
      <c r="AA1026" s="73"/>
      <c r="AB1026" s="73"/>
      <c r="AC1026" s="74"/>
      <c r="AD1026" s="81" t="s">
        <v>8703</v>
      </c>
      <c r="AE1026" s="86" t="s">
        <v>9686</v>
      </c>
      <c r="AF1026" s="81">
        <v>2077</v>
      </c>
      <c r="AG1026" s="81">
        <v>1371</v>
      </c>
      <c r="AH1026" s="81">
        <v>47385</v>
      </c>
      <c r="AI1026" s="81">
        <v>131430</v>
      </c>
      <c r="AJ1026" s="81"/>
      <c r="AK1026" s="81" t="s">
        <v>10617</v>
      </c>
      <c r="AL1026" s="81" t="s">
        <v>11232</v>
      </c>
      <c r="AM1026" s="81"/>
      <c r="AN1026" s="81"/>
      <c r="AO1026" s="83">
        <v>43203.638564814813</v>
      </c>
      <c r="AP1026" s="84" t="str">
        <f>HYPERLINK("https://pbs.twimg.com/profile_banners/984813341146263553/1590885040")</f>
        <v>https://pbs.twimg.com/profile_banners/984813341146263553/1590885040</v>
      </c>
      <c r="AQ1026" s="81" t="b">
        <v>0</v>
      </c>
      <c r="AR1026" s="81" t="b">
        <v>0</v>
      </c>
      <c r="AS1026" s="81" t="b">
        <v>1</v>
      </c>
      <c r="AT1026" s="81"/>
      <c r="AU1026" s="81">
        <v>4</v>
      </c>
      <c r="AV1026" s="84" t="str">
        <f>HYPERLINK("https://abs.twimg.com/images/themes/theme1/bg.png")</f>
        <v>https://abs.twimg.com/images/themes/theme1/bg.png</v>
      </c>
      <c r="AW1026" s="81" t="b">
        <v>0</v>
      </c>
      <c r="AX1026" s="81" t="s">
        <v>3728</v>
      </c>
      <c r="AY1026" s="84" t="str">
        <f>HYPERLINK("https://twitter.com/gerusaide")</f>
        <v>https://twitter.com/gerusaide</v>
      </c>
      <c r="AZ1026" s="81" t="s">
        <v>66</v>
      </c>
      <c r="BA1026" s="2"/>
      <c r="BB1026" s="3"/>
      <c r="BC1026" s="3"/>
      <c r="BD1026" s="3"/>
      <c r="BE1026" s="3"/>
    </row>
    <row r="1027" spans="1:57" x14ac:dyDescent="0.35">
      <c r="A1027" s="66" t="s">
        <v>4685</v>
      </c>
      <c r="B1027" s="67"/>
      <c r="C1027" s="67"/>
      <c r="D1027" s="68"/>
      <c r="E1027" s="94"/>
      <c r="F1027" s="93" t="str">
        <f>HYPERLINK("https://pbs.twimg.com/profile_images/378800000464409124/2bb3f666b94082e0e967602455191961_normal.jpeg")</f>
        <v>https://pbs.twimg.com/profile_images/378800000464409124/2bb3f666b94082e0e967602455191961_normal.jpeg</v>
      </c>
      <c r="G1027" s="95"/>
      <c r="H1027" s="71"/>
      <c r="I1027" s="72"/>
      <c r="J1027" s="96"/>
      <c r="K1027" s="71" t="s">
        <v>12077</v>
      </c>
      <c r="L1027" s="97"/>
      <c r="M1027" s="76"/>
      <c r="N1027" s="76"/>
      <c r="O1027" s="77"/>
      <c r="P1027" s="78"/>
      <c r="Q1027" s="78"/>
      <c r="R1027" s="92"/>
      <c r="S1027" s="92"/>
      <c r="T1027" s="92"/>
      <c r="U1027" s="92"/>
      <c r="V1027" s="52"/>
      <c r="W1027" s="52"/>
      <c r="X1027" s="52"/>
      <c r="Y1027" s="52"/>
      <c r="Z1027" s="51"/>
      <c r="AA1027" s="73"/>
      <c r="AB1027" s="73"/>
      <c r="AC1027" s="74"/>
      <c r="AD1027" s="81" t="s">
        <v>8704</v>
      </c>
      <c r="AE1027" s="86" t="s">
        <v>9687</v>
      </c>
      <c r="AF1027" s="81">
        <v>7081</v>
      </c>
      <c r="AG1027" s="81">
        <v>7779</v>
      </c>
      <c r="AH1027" s="81">
        <v>333158</v>
      </c>
      <c r="AI1027" s="81">
        <v>96365</v>
      </c>
      <c r="AJ1027" s="81"/>
      <c r="AK1027" s="81" t="s">
        <v>10618</v>
      </c>
      <c r="AL1027" s="81" t="s">
        <v>11233</v>
      </c>
      <c r="AM1027" s="81"/>
      <c r="AN1027" s="81"/>
      <c r="AO1027" s="83">
        <v>41137.068009259259</v>
      </c>
      <c r="AP1027" s="84" t="str">
        <f>HYPERLINK("https://pbs.twimg.com/profile_banners/760557686/1615660241")</f>
        <v>https://pbs.twimg.com/profile_banners/760557686/1615660241</v>
      </c>
      <c r="AQ1027" s="81" t="b">
        <v>0</v>
      </c>
      <c r="AR1027" s="81" t="b">
        <v>0</v>
      </c>
      <c r="AS1027" s="81" t="b">
        <v>0</v>
      </c>
      <c r="AT1027" s="81"/>
      <c r="AU1027" s="81">
        <v>46</v>
      </c>
      <c r="AV1027" s="84" t="str">
        <f>HYPERLINK("https://abs.twimg.com/images/themes/theme14/bg.gif")</f>
        <v>https://abs.twimg.com/images/themes/theme14/bg.gif</v>
      </c>
      <c r="AW1027" s="81" t="b">
        <v>0</v>
      </c>
      <c r="AX1027" s="81" t="s">
        <v>3728</v>
      </c>
      <c r="AY1027" s="84" t="str">
        <f>HYPERLINK("https://twitter.com/ovelhavermelha7")</f>
        <v>https://twitter.com/ovelhavermelha7</v>
      </c>
      <c r="AZ1027" s="81" t="s">
        <v>66</v>
      </c>
      <c r="BA1027" s="2"/>
      <c r="BB1027" s="3"/>
      <c r="BC1027" s="3"/>
      <c r="BD1027" s="3"/>
      <c r="BE1027" s="3"/>
    </row>
    <row r="1028" spans="1:57" x14ac:dyDescent="0.35">
      <c r="A1028" s="66" t="s">
        <v>4686</v>
      </c>
      <c r="B1028" s="67"/>
      <c r="C1028" s="67"/>
      <c r="D1028" s="68"/>
      <c r="E1028" s="94"/>
      <c r="F1028" s="93" t="str">
        <f>HYPERLINK("https://pbs.twimg.com/profile_images/1350253174238679040/QJhVm736_normal.jpg")</f>
        <v>https://pbs.twimg.com/profile_images/1350253174238679040/QJhVm736_normal.jpg</v>
      </c>
      <c r="G1028" s="95"/>
      <c r="H1028" s="71"/>
      <c r="I1028" s="72"/>
      <c r="J1028" s="96"/>
      <c r="K1028" s="71" t="s">
        <v>12078</v>
      </c>
      <c r="L1028" s="97"/>
      <c r="M1028" s="76"/>
      <c r="N1028" s="76"/>
      <c r="O1028" s="77"/>
      <c r="P1028" s="78"/>
      <c r="Q1028" s="78"/>
      <c r="R1028" s="92"/>
      <c r="S1028" s="92"/>
      <c r="T1028" s="92"/>
      <c r="U1028" s="92"/>
      <c r="V1028" s="52"/>
      <c r="W1028" s="52"/>
      <c r="X1028" s="52"/>
      <c r="Y1028" s="52"/>
      <c r="Z1028" s="51"/>
      <c r="AA1028" s="73"/>
      <c r="AB1028" s="73"/>
      <c r="AC1028" s="74"/>
      <c r="AD1028" s="81" t="s">
        <v>8705</v>
      </c>
      <c r="AE1028" s="86" t="s">
        <v>9688</v>
      </c>
      <c r="AF1028" s="81">
        <v>260</v>
      </c>
      <c r="AG1028" s="81">
        <v>282</v>
      </c>
      <c r="AH1028" s="81">
        <v>51462</v>
      </c>
      <c r="AI1028" s="81">
        <v>161695</v>
      </c>
      <c r="AJ1028" s="81"/>
      <c r="AK1028" s="81" t="s">
        <v>10619</v>
      </c>
      <c r="AL1028" s="81" t="s">
        <v>10970</v>
      </c>
      <c r="AM1028" s="81"/>
      <c r="AN1028" s="81"/>
      <c r="AO1028" s="83">
        <v>40159.188043981485</v>
      </c>
      <c r="AP1028" s="84" t="str">
        <f>HYPERLINK("https://pbs.twimg.com/profile_banners/96275086/1541891282")</f>
        <v>https://pbs.twimg.com/profile_banners/96275086/1541891282</v>
      </c>
      <c r="AQ1028" s="81" t="b">
        <v>0</v>
      </c>
      <c r="AR1028" s="81" t="b">
        <v>0</v>
      </c>
      <c r="AS1028" s="81" t="b">
        <v>1</v>
      </c>
      <c r="AT1028" s="81"/>
      <c r="AU1028" s="81">
        <v>2</v>
      </c>
      <c r="AV1028" s="84" t="str">
        <f>HYPERLINK("https://abs.twimg.com/images/themes/theme9/bg.gif")</f>
        <v>https://abs.twimg.com/images/themes/theme9/bg.gif</v>
      </c>
      <c r="AW1028" s="81" t="b">
        <v>0</v>
      </c>
      <c r="AX1028" s="81" t="s">
        <v>3728</v>
      </c>
      <c r="AY1028" s="84" t="str">
        <f>HYPERLINK("https://twitter.com/melatolira")</f>
        <v>https://twitter.com/melatolira</v>
      </c>
      <c r="AZ1028" s="81" t="s">
        <v>66</v>
      </c>
      <c r="BA1028" s="2"/>
      <c r="BB1028" s="3"/>
      <c r="BC1028" s="3"/>
      <c r="BD1028" s="3"/>
      <c r="BE1028" s="3"/>
    </row>
    <row r="1029" spans="1:57" x14ac:dyDescent="0.35">
      <c r="A1029" s="66" t="s">
        <v>4687</v>
      </c>
      <c r="B1029" s="67"/>
      <c r="C1029" s="67"/>
      <c r="D1029" s="68"/>
      <c r="E1029" s="94"/>
      <c r="F1029" s="93" t="str">
        <f>HYPERLINK("https://pbs.twimg.com/profile_images/1482010695/Avatar_novo_normal.jpg")</f>
        <v>https://pbs.twimg.com/profile_images/1482010695/Avatar_novo_normal.jpg</v>
      </c>
      <c r="G1029" s="95"/>
      <c r="H1029" s="71"/>
      <c r="I1029" s="72"/>
      <c r="J1029" s="96"/>
      <c r="K1029" s="71" t="s">
        <v>12079</v>
      </c>
      <c r="L1029" s="97"/>
      <c r="M1029" s="76"/>
      <c r="N1029" s="76"/>
      <c r="O1029" s="77"/>
      <c r="P1029" s="78"/>
      <c r="Q1029" s="78"/>
      <c r="R1029" s="92"/>
      <c r="S1029" s="92"/>
      <c r="T1029" s="92"/>
      <c r="U1029" s="92"/>
      <c r="V1029" s="52"/>
      <c r="W1029" s="52"/>
      <c r="X1029" s="52"/>
      <c r="Y1029" s="52"/>
      <c r="Z1029" s="51"/>
      <c r="AA1029" s="73"/>
      <c r="AB1029" s="73"/>
      <c r="AC1029" s="74"/>
      <c r="AD1029" s="81" t="s">
        <v>8706</v>
      </c>
      <c r="AE1029" s="86" t="s">
        <v>9689</v>
      </c>
      <c r="AF1029" s="81">
        <v>344</v>
      </c>
      <c r="AG1029" s="81">
        <v>222</v>
      </c>
      <c r="AH1029" s="81">
        <v>17495</v>
      </c>
      <c r="AI1029" s="81">
        <v>38623</v>
      </c>
      <c r="AJ1029" s="81"/>
      <c r="AK1029" s="81" t="s">
        <v>10620</v>
      </c>
      <c r="AL1029" s="81" t="s">
        <v>10976</v>
      </c>
      <c r="AM1029" s="84" t="str">
        <f>HYPERLINK("https://t.co/u6WnMGjMmM")</f>
        <v>https://t.co/u6WnMGjMmM</v>
      </c>
      <c r="AN1029" s="81"/>
      <c r="AO1029" s="83">
        <v>40746.786157407405</v>
      </c>
      <c r="AP1029" s="81"/>
      <c r="AQ1029" s="81" t="b">
        <v>0</v>
      </c>
      <c r="AR1029" s="81" t="b">
        <v>0</v>
      </c>
      <c r="AS1029" s="81" t="b">
        <v>1</v>
      </c>
      <c r="AT1029" s="81"/>
      <c r="AU1029" s="81">
        <v>1</v>
      </c>
      <c r="AV1029" s="84" t="str">
        <f>HYPERLINK("https://abs.twimg.com/images/themes/theme1/bg.png")</f>
        <v>https://abs.twimg.com/images/themes/theme1/bg.png</v>
      </c>
      <c r="AW1029" s="81" t="b">
        <v>0</v>
      </c>
      <c r="AX1029" s="81" t="s">
        <v>3728</v>
      </c>
      <c r="AY1029" s="84" t="str">
        <f>HYPERLINK("https://twitter.com/fallen_arch")</f>
        <v>https://twitter.com/fallen_arch</v>
      </c>
      <c r="AZ1029" s="81" t="s">
        <v>66</v>
      </c>
      <c r="BA1029" s="2"/>
      <c r="BB1029" s="3"/>
      <c r="BC1029" s="3"/>
      <c r="BD1029" s="3"/>
      <c r="BE1029" s="3"/>
    </row>
    <row r="1030" spans="1:57" x14ac:dyDescent="0.35">
      <c r="A1030" s="66" t="s">
        <v>4688</v>
      </c>
      <c r="B1030" s="67"/>
      <c r="C1030" s="67"/>
      <c r="D1030" s="68"/>
      <c r="E1030" s="94"/>
      <c r="F1030" s="93" t="str">
        <f>HYPERLINK("https://pbs.twimg.com/profile_images/708136381462274048/ILtdktJl_normal.jpg")</f>
        <v>https://pbs.twimg.com/profile_images/708136381462274048/ILtdktJl_normal.jpg</v>
      </c>
      <c r="G1030" s="95"/>
      <c r="H1030" s="71"/>
      <c r="I1030" s="72"/>
      <c r="J1030" s="96"/>
      <c r="K1030" s="71" t="s">
        <v>12080</v>
      </c>
      <c r="L1030" s="97"/>
      <c r="M1030" s="76"/>
      <c r="N1030" s="76"/>
      <c r="O1030" s="77"/>
      <c r="P1030" s="78"/>
      <c r="Q1030" s="78"/>
      <c r="R1030" s="92"/>
      <c r="S1030" s="92"/>
      <c r="T1030" s="92"/>
      <c r="U1030" s="92"/>
      <c r="V1030" s="52"/>
      <c r="W1030" s="52"/>
      <c r="X1030" s="52"/>
      <c r="Y1030" s="52"/>
      <c r="Z1030" s="51"/>
      <c r="AA1030" s="73"/>
      <c r="AB1030" s="73"/>
      <c r="AC1030" s="74"/>
      <c r="AD1030" s="81" t="s">
        <v>8707</v>
      </c>
      <c r="AE1030" s="86" t="s">
        <v>9690</v>
      </c>
      <c r="AF1030" s="81">
        <v>32</v>
      </c>
      <c r="AG1030" s="81">
        <v>94</v>
      </c>
      <c r="AH1030" s="81">
        <v>31503</v>
      </c>
      <c r="AI1030" s="81">
        <v>35</v>
      </c>
      <c r="AJ1030" s="81"/>
      <c r="AK1030" s="81"/>
      <c r="AL1030" s="81"/>
      <c r="AM1030" s="81"/>
      <c r="AN1030" s="81"/>
      <c r="AO1030" s="83">
        <v>41190.084166666667</v>
      </c>
      <c r="AP1030" s="84" t="str">
        <f>HYPERLINK("https://pbs.twimg.com/profile_banners/867258444/1457667476")</f>
        <v>https://pbs.twimg.com/profile_banners/867258444/1457667476</v>
      </c>
      <c r="AQ1030" s="81" t="b">
        <v>0</v>
      </c>
      <c r="AR1030" s="81" t="b">
        <v>0</v>
      </c>
      <c r="AS1030" s="81" t="b">
        <v>0</v>
      </c>
      <c r="AT1030" s="81"/>
      <c r="AU1030" s="81">
        <v>1</v>
      </c>
      <c r="AV1030" s="84" t="str">
        <f>HYPERLINK("https://abs.twimg.com/images/themes/theme18/bg.gif")</f>
        <v>https://abs.twimg.com/images/themes/theme18/bg.gif</v>
      </c>
      <c r="AW1030" s="81" t="b">
        <v>0</v>
      </c>
      <c r="AX1030" s="81" t="s">
        <v>3728</v>
      </c>
      <c r="AY1030" s="84" t="str">
        <f>HYPERLINK("https://twitter.com/arretada13")</f>
        <v>https://twitter.com/arretada13</v>
      </c>
      <c r="AZ1030" s="81" t="s">
        <v>66</v>
      </c>
      <c r="BA1030" s="2"/>
      <c r="BB1030" s="3"/>
      <c r="BC1030" s="3"/>
      <c r="BD1030" s="3"/>
      <c r="BE1030" s="3"/>
    </row>
    <row r="1031" spans="1:57" x14ac:dyDescent="0.35">
      <c r="A1031" s="66" t="s">
        <v>4689</v>
      </c>
      <c r="B1031" s="67"/>
      <c r="C1031" s="67"/>
      <c r="D1031" s="68"/>
      <c r="E1031" s="94"/>
      <c r="F1031" s="93" t="str">
        <f>HYPERLINK("https://pbs.twimg.com/profile_images/1184233540168364037/5rpF4gb1_normal.jpg")</f>
        <v>https://pbs.twimg.com/profile_images/1184233540168364037/5rpF4gb1_normal.jpg</v>
      </c>
      <c r="G1031" s="95"/>
      <c r="H1031" s="71"/>
      <c r="I1031" s="72"/>
      <c r="J1031" s="96"/>
      <c r="K1031" s="71" t="s">
        <v>12081</v>
      </c>
      <c r="L1031" s="97"/>
      <c r="M1031" s="76"/>
      <c r="N1031" s="76"/>
      <c r="O1031" s="77"/>
      <c r="P1031" s="78"/>
      <c r="Q1031" s="78"/>
      <c r="R1031" s="92"/>
      <c r="S1031" s="92"/>
      <c r="T1031" s="92"/>
      <c r="U1031" s="92"/>
      <c r="V1031" s="52"/>
      <c r="W1031" s="52"/>
      <c r="X1031" s="52"/>
      <c r="Y1031" s="52"/>
      <c r="Z1031" s="51"/>
      <c r="AA1031" s="73"/>
      <c r="AB1031" s="73"/>
      <c r="AC1031" s="74"/>
      <c r="AD1031" s="81" t="s">
        <v>8708</v>
      </c>
      <c r="AE1031" s="86" t="s">
        <v>9691</v>
      </c>
      <c r="AF1031" s="81">
        <v>12219</v>
      </c>
      <c r="AG1031" s="81">
        <v>13386</v>
      </c>
      <c r="AH1031" s="81">
        <v>335148</v>
      </c>
      <c r="AI1031" s="81">
        <v>213069</v>
      </c>
      <c r="AJ1031" s="81"/>
      <c r="AK1031" s="81" t="s">
        <v>10621</v>
      </c>
      <c r="AL1031" s="81" t="s">
        <v>11234</v>
      </c>
      <c r="AM1031" s="81"/>
      <c r="AN1031" s="81"/>
      <c r="AO1031" s="83">
        <v>41543.992997685185</v>
      </c>
      <c r="AP1031" s="84" t="str">
        <f>HYPERLINK("https://pbs.twimg.com/profile_banners/1909578013/1571179241")</f>
        <v>https://pbs.twimg.com/profile_banners/1909578013/1571179241</v>
      </c>
      <c r="AQ1031" s="81" t="b">
        <v>0</v>
      </c>
      <c r="AR1031" s="81" t="b">
        <v>0</v>
      </c>
      <c r="AS1031" s="81" t="b">
        <v>0</v>
      </c>
      <c r="AT1031" s="81"/>
      <c r="AU1031" s="81">
        <v>58</v>
      </c>
      <c r="AV1031" s="84" t="str">
        <f>HYPERLINK("https://abs.twimg.com/images/themes/theme1/bg.png")</f>
        <v>https://abs.twimg.com/images/themes/theme1/bg.png</v>
      </c>
      <c r="AW1031" s="81" t="b">
        <v>0</v>
      </c>
      <c r="AX1031" s="81" t="s">
        <v>3728</v>
      </c>
      <c r="AY1031" s="84" t="str">
        <f>HYPERLINK("https://twitter.com/seoade")</f>
        <v>https://twitter.com/seoade</v>
      </c>
      <c r="AZ1031" s="81" t="s">
        <v>66</v>
      </c>
      <c r="BA1031" s="2"/>
      <c r="BB1031" s="3"/>
      <c r="BC1031" s="3"/>
      <c r="BD1031" s="3"/>
      <c r="BE1031" s="3"/>
    </row>
    <row r="1032" spans="1:57" x14ac:dyDescent="0.35">
      <c r="A1032" s="66" t="s">
        <v>4690</v>
      </c>
      <c r="B1032" s="67"/>
      <c r="C1032" s="67"/>
      <c r="D1032" s="68"/>
      <c r="E1032" s="94"/>
      <c r="F1032" s="93" t="str">
        <f>HYPERLINK("https://pbs.twimg.com/profile_images/1396574153113747457/SpSGxjlr_normal.jpg")</f>
        <v>https://pbs.twimg.com/profile_images/1396574153113747457/SpSGxjlr_normal.jpg</v>
      </c>
      <c r="G1032" s="95"/>
      <c r="H1032" s="71"/>
      <c r="I1032" s="72"/>
      <c r="J1032" s="96"/>
      <c r="K1032" s="71" t="s">
        <v>12082</v>
      </c>
      <c r="L1032" s="97"/>
      <c r="M1032" s="76"/>
      <c r="N1032" s="76"/>
      <c r="O1032" s="77"/>
      <c r="P1032" s="78"/>
      <c r="Q1032" s="78"/>
      <c r="R1032" s="92"/>
      <c r="S1032" s="92"/>
      <c r="T1032" s="92"/>
      <c r="U1032" s="92"/>
      <c r="V1032" s="52"/>
      <c r="W1032" s="52"/>
      <c r="X1032" s="52"/>
      <c r="Y1032" s="52"/>
      <c r="Z1032" s="51"/>
      <c r="AA1032" s="73"/>
      <c r="AB1032" s="73"/>
      <c r="AC1032" s="74"/>
      <c r="AD1032" s="81" t="s">
        <v>8288</v>
      </c>
      <c r="AE1032" s="86" t="s">
        <v>9692</v>
      </c>
      <c r="AF1032" s="81">
        <v>1930</v>
      </c>
      <c r="AG1032" s="81">
        <v>2589</v>
      </c>
      <c r="AH1032" s="81">
        <v>169484</v>
      </c>
      <c r="AI1032" s="81">
        <v>72880</v>
      </c>
      <c r="AJ1032" s="81"/>
      <c r="AK1032" s="81" t="s">
        <v>10622</v>
      </c>
      <c r="AL1032" s="81"/>
      <c r="AM1032" s="81"/>
      <c r="AN1032" s="81"/>
      <c r="AO1032" s="83">
        <v>41448.765972222223</v>
      </c>
      <c r="AP1032" s="84" t="str">
        <f>HYPERLINK("https://pbs.twimg.com/profile_banners/1541568944/1482954070")</f>
        <v>https://pbs.twimg.com/profile_banners/1541568944/1482954070</v>
      </c>
      <c r="AQ1032" s="81" t="b">
        <v>0</v>
      </c>
      <c r="AR1032" s="81" t="b">
        <v>0</v>
      </c>
      <c r="AS1032" s="81" t="b">
        <v>0</v>
      </c>
      <c r="AT1032" s="81"/>
      <c r="AU1032" s="81">
        <v>34</v>
      </c>
      <c r="AV1032" s="84" t="str">
        <f>HYPERLINK("https://abs.twimg.com/images/themes/theme9/bg.gif")</f>
        <v>https://abs.twimg.com/images/themes/theme9/bg.gif</v>
      </c>
      <c r="AW1032" s="81" t="b">
        <v>0</v>
      </c>
      <c r="AX1032" s="81" t="s">
        <v>3728</v>
      </c>
      <c r="AY1032" s="84" t="str">
        <f>HYPERLINK("https://twitter.com/democraciasempr")</f>
        <v>https://twitter.com/democraciasempr</v>
      </c>
      <c r="AZ1032" s="81" t="s">
        <v>66</v>
      </c>
      <c r="BA1032" s="2"/>
      <c r="BB1032" s="3"/>
      <c r="BC1032" s="3"/>
      <c r="BD1032" s="3"/>
      <c r="BE1032" s="3"/>
    </row>
    <row r="1033" spans="1:57" x14ac:dyDescent="0.35">
      <c r="A1033" s="66" t="s">
        <v>4691</v>
      </c>
      <c r="B1033" s="67"/>
      <c r="C1033" s="67"/>
      <c r="D1033" s="68"/>
      <c r="E1033" s="94"/>
      <c r="F1033" s="93" t="str">
        <f>HYPERLINK("https://pbs.twimg.com/profile_images/1263838169939742720/3xhzybDp_normal.jpg")</f>
        <v>https://pbs.twimg.com/profile_images/1263838169939742720/3xhzybDp_normal.jpg</v>
      </c>
      <c r="G1033" s="95"/>
      <c r="H1033" s="71"/>
      <c r="I1033" s="72"/>
      <c r="J1033" s="96"/>
      <c r="K1033" s="71" t="s">
        <v>12083</v>
      </c>
      <c r="L1033" s="97"/>
      <c r="M1033" s="76"/>
      <c r="N1033" s="76"/>
      <c r="O1033" s="77"/>
      <c r="P1033" s="78"/>
      <c r="Q1033" s="78"/>
      <c r="R1033" s="92"/>
      <c r="S1033" s="92"/>
      <c r="T1033" s="92"/>
      <c r="U1033" s="92"/>
      <c r="V1033" s="52"/>
      <c r="W1033" s="52"/>
      <c r="X1033" s="52"/>
      <c r="Y1033" s="52"/>
      <c r="Z1033" s="51"/>
      <c r="AA1033" s="73"/>
      <c r="AB1033" s="73"/>
      <c r="AC1033" s="74"/>
      <c r="AD1033" s="81" t="s">
        <v>8709</v>
      </c>
      <c r="AE1033" s="86" t="s">
        <v>9693</v>
      </c>
      <c r="AF1033" s="81">
        <v>861</v>
      </c>
      <c r="AG1033" s="81">
        <v>129</v>
      </c>
      <c r="AH1033" s="81">
        <v>13874</v>
      </c>
      <c r="AI1033" s="81">
        <v>61092</v>
      </c>
      <c r="AJ1033" s="81"/>
      <c r="AK1033" s="81" t="s">
        <v>10623</v>
      </c>
      <c r="AL1033" s="81" t="s">
        <v>3542</v>
      </c>
      <c r="AM1033" s="84" t="str">
        <f>HYPERLINK("https://t.co/fNWRmRkLk0")</f>
        <v>https://t.co/fNWRmRkLk0</v>
      </c>
      <c r="AN1033" s="81"/>
      <c r="AO1033" s="83">
        <v>40094.035601851851</v>
      </c>
      <c r="AP1033" s="84" t="str">
        <f>HYPERLINK("https://pbs.twimg.com/profile_banners/80724670/1513818039")</f>
        <v>https://pbs.twimg.com/profile_banners/80724670/1513818039</v>
      </c>
      <c r="AQ1033" s="81" t="b">
        <v>0</v>
      </c>
      <c r="AR1033" s="81" t="b">
        <v>0</v>
      </c>
      <c r="AS1033" s="81" t="b">
        <v>0</v>
      </c>
      <c r="AT1033" s="81"/>
      <c r="AU1033" s="81">
        <v>1</v>
      </c>
      <c r="AV1033" s="84" t="str">
        <f>HYPERLINK("https://abs.twimg.com/images/themes/theme14/bg.gif")</f>
        <v>https://abs.twimg.com/images/themes/theme14/bg.gif</v>
      </c>
      <c r="AW1033" s="81" t="b">
        <v>0</v>
      </c>
      <c r="AX1033" s="81" t="s">
        <v>3728</v>
      </c>
      <c r="AY1033" s="84" t="str">
        <f>HYPERLINK("https://twitter.com/james_glima")</f>
        <v>https://twitter.com/james_glima</v>
      </c>
      <c r="AZ1033" s="81" t="s">
        <v>66</v>
      </c>
      <c r="BA1033" s="2"/>
      <c r="BB1033" s="3"/>
      <c r="BC1033" s="3"/>
      <c r="BD1033" s="3"/>
      <c r="BE1033" s="3"/>
    </row>
    <row r="1034" spans="1:57" x14ac:dyDescent="0.35">
      <c r="A1034" s="66" t="s">
        <v>4692</v>
      </c>
      <c r="B1034" s="67"/>
      <c r="C1034" s="67"/>
      <c r="D1034" s="68"/>
      <c r="E1034" s="94"/>
      <c r="F1034" s="93" t="str">
        <f>HYPERLINK("https://pbs.twimg.com/profile_images/656260292469485568/pls7DThJ_normal.jpg")</f>
        <v>https://pbs.twimg.com/profile_images/656260292469485568/pls7DThJ_normal.jpg</v>
      </c>
      <c r="G1034" s="95"/>
      <c r="H1034" s="71"/>
      <c r="I1034" s="72"/>
      <c r="J1034" s="96"/>
      <c r="K1034" s="71" t="s">
        <v>12084</v>
      </c>
      <c r="L1034" s="97"/>
      <c r="M1034" s="76"/>
      <c r="N1034" s="76"/>
      <c r="O1034" s="77"/>
      <c r="P1034" s="78"/>
      <c r="Q1034" s="78"/>
      <c r="R1034" s="92"/>
      <c r="S1034" s="92"/>
      <c r="T1034" s="92"/>
      <c r="U1034" s="92"/>
      <c r="V1034" s="52"/>
      <c r="W1034" s="52"/>
      <c r="X1034" s="52"/>
      <c r="Y1034" s="52"/>
      <c r="Z1034" s="51"/>
      <c r="AA1034" s="73"/>
      <c r="AB1034" s="73"/>
      <c r="AC1034" s="74"/>
      <c r="AD1034" s="81" t="s">
        <v>8710</v>
      </c>
      <c r="AE1034" s="86" t="s">
        <v>9694</v>
      </c>
      <c r="AF1034" s="81">
        <v>211</v>
      </c>
      <c r="AG1034" s="81">
        <v>127</v>
      </c>
      <c r="AH1034" s="81">
        <v>16883</v>
      </c>
      <c r="AI1034" s="81">
        <v>46536</v>
      </c>
      <c r="AJ1034" s="81"/>
      <c r="AK1034" s="81"/>
      <c r="AL1034" s="81"/>
      <c r="AM1034" s="81"/>
      <c r="AN1034" s="81"/>
      <c r="AO1034" s="83">
        <v>42297.000196759262</v>
      </c>
      <c r="AP1034" s="84" t="str">
        <f>HYPERLINK("https://pbs.twimg.com/profile_banners/3998018079/1445299663")</f>
        <v>https://pbs.twimg.com/profile_banners/3998018079/1445299663</v>
      </c>
      <c r="AQ1034" s="81" t="b">
        <v>1</v>
      </c>
      <c r="AR1034" s="81" t="b">
        <v>0</v>
      </c>
      <c r="AS1034" s="81" t="b">
        <v>0</v>
      </c>
      <c r="AT1034" s="81"/>
      <c r="AU1034" s="81">
        <v>1</v>
      </c>
      <c r="AV1034" s="84" t="str">
        <f>HYPERLINK("https://abs.twimg.com/images/themes/theme1/bg.png")</f>
        <v>https://abs.twimg.com/images/themes/theme1/bg.png</v>
      </c>
      <c r="AW1034" s="81" t="b">
        <v>0</v>
      </c>
      <c r="AX1034" s="81" t="s">
        <v>3728</v>
      </c>
      <c r="AY1034" s="84" t="str">
        <f>HYPERLINK("https://twitter.com/mister_renque")</f>
        <v>https://twitter.com/mister_renque</v>
      </c>
      <c r="AZ1034" s="81" t="s">
        <v>66</v>
      </c>
      <c r="BA1034" s="2"/>
      <c r="BB1034" s="3"/>
      <c r="BC1034" s="3"/>
      <c r="BD1034" s="3"/>
      <c r="BE1034" s="3"/>
    </row>
    <row r="1035" spans="1:57" x14ac:dyDescent="0.35">
      <c r="A1035" s="66" t="s">
        <v>4693</v>
      </c>
      <c r="B1035" s="67"/>
      <c r="C1035" s="67"/>
      <c r="D1035" s="68"/>
      <c r="E1035" s="94"/>
      <c r="F1035" s="93" t="str">
        <f>HYPERLINK("https://pbs.twimg.com/profile_images/1436103492775596033/5LB7YYUy_normal.jpg")</f>
        <v>https://pbs.twimg.com/profile_images/1436103492775596033/5LB7YYUy_normal.jpg</v>
      </c>
      <c r="G1035" s="95"/>
      <c r="H1035" s="71"/>
      <c r="I1035" s="72"/>
      <c r="J1035" s="96"/>
      <c r="K1035" s="71" t="s">
        <v>12085</v>
      </c>
      <c r="L1035" s="97"/>
      <c r="M1035" s="76"/>
      <c r="N1035" s="76"/>
      <c r="O1035" s="77"/>
      <c r="P1035" s="78"/>
      <c r="Q1035" s="78"/>
      <c r="R1035" s="92"/>
      <c r="S1035" s="92"/>
      <c r="T1035" s="92"/>
      <c r="U1035" s="92"/>
      <c r="V1035" s="52"/>
      <c r="W1035" s="52"/>
      <c r="X1035" s="52"/>
      <c r="Y1035" s="52"/>
      <c r="Z1035" s="51"/>
      <c r="AA1035" s="73"/>
      <c r="AB1035" s="73"/>
      <c r="AC1035" s="74"/>
      <c r="AD1035" s="81" t="s">
        <v>8711</v>
      </c>
      <c r="AE1035" s="86" t="s">
        <v>9695</v>
      </c>
      <c r="AF1035" s="81">
        <v>925</v>
      </c>
      <c r="AG1035" s="81">
        <v>4517</v>
      </c>
      <c r="AH1035" s="81">
        <v>202188</v>
      </c>
      <c r="AI1035" s="81">
        <v>349904</v>
      </c>
      <c r="AJ1035" s="81"/>
      <c r="AK1035" s="81" t="s">
        <v>10624</v>
      </c>
      <c r="AL1035" s="81"/>
      <c r="AM1035" s="81"/>
      <c r="AN1035" s="81"/>
      <c r="AO1035" s="83">
        <v>43636.951099537036</v>
      </c>
      <c r="AP1035" s="84" t="str">
        <f>HYPERLINK("https://pbs.twimg.com/profile_banners/1141840546744475649/1631228918")</f>
        <v>https://pbs.twimg.com/profile_banners/1141840546744475649/1631228918</v>
      </c>
      <c r="AQ1035" s="81" t="b">
        <v>1</v>
      </c>
      <c r="AR1035" s="81" t="b">
        <v>0</v>
      </c>
      <c r="AS1035" s="81" t="b">
        <v>1</v>
      </c>
      <c r="AT1035" s="81"/>
      <c r="AU1035" s="81">
        <v>9</v>
      </c>
      <c r="AV1035" s="81"/>
      <c r="AW1035" s="81" t="b">
        <v>0</v>
      </c>
      <c r="AX1035" s="81" t="s">
        <v>3728</v>
      </c>
      <c r="AY1035" s="84" t="str">
        <f>HYPERLINK("https://twitter.com/jairdesgovernad")</f>
        <v>https://twitter.com/jairdesgovernad</v>
      </c>
      <c r="AZ1035" s="81" t="s">
        <v>66</v>
      </c>
      <c r="BA1035" s="2"/>
      <c r="BB1035" s="3"/>
      <c r="BC1035" s="3"/>
      <c r="BD1035" s="3"/>
      <c r="BE1035" s="3"/>
    </row>
    <row r="1036" spans="1:57" x14ac:dyDescent="0.35">
      <c r="A1036" s="66" t="s">
        <v>4694</v>
      </c>
      <c r="B1036" s="67"/>
      <c r="C1036" s="67"/>
      <c r="D1036" s="68"/>
      <c r="E1036" s="94"/>
      <c r="F1036" s="93" t="str">
        <f>HYPERLINK("https://pbs.twimg.com/profile_images/1410751419800489985/pkrX94B5_normal.jpg")</f>
        <v>https://pbs.twimg.com/profile_images/1410751419800489985/pkrX94B5_normal.jpg</v>
      </c>
      <c r="G1036" s="95"/>
      <c r="H1036" s="71"/>
      <c r="I1036" s="72"/>
      <c r="J1036" s="96"/>
      <c r="K1036" s="71" t="s">
        <v>12086</v>
      </c>
      <c r="L1036" s="97"/>
      <c r="M1036" s="76"/>
      <c r="N1036" s="76"/>
      <c r="O1036" s="77"/>
      <c r="P1036" s="78"/>
      <c r="Q1036" s="78"/>
      <c r="R1036" s="92"/>
      <c r="S1036" s="92"/>
      <c r="T1036" s="92"/>
      <c r="U1036" s="92"/>
      <c r="V1036" s="52"/>
      <c r="W1036" s="52"/>
      <c r="X1036" s="52"/>
      <c r="Y1036" s="52"/>
      <c r="Z1036" s="51"/>
      <c r="AA1036" s="73"/>
      <c r="AB1036" s="73"/>
      <c r="AC1036" s="74"/>
      <c r="AD1036" s="81" t="s">
        <v>8712</v>
      </c>
      <c r="AE1036" s="86" t="s">
        <v>9696</v>
      </c>
      <c r="AF1036" s="81">
        <v>528</v>
      </c>
      <c r="AG1036" s="81">
        <v>252</v>
      </c>
      <c r="AH1036" s="81">
        <v>10509</v>
      </c>
      <c r="AI1036" s="81">
        <v>25912</v>
      </c>
      <c r="AJ1036" s="81"/>
      <c r="AK1036" s="81"/>
      <c r="AL1036" s="81"/>
      <c r="AM1036" s="81"/>
      <c r="AN1036" s="81"/>
      <c r="AO1036" s="83">
        <v>40456.804791666669</v>
      </c>
      <c r="AP1036" s="81"/>
      <c r="AQ1036" s="81" t="b">
        <v>0</v>
      </c>
      <c r="AR1036" s="81" t="b">
        <v>0</v>
      </c>
      <c r="AS1036" s="81" t="b">
        <v>0</v>
      </c>
      <c r="AT1036" s="81"/>
      <c r="AU1036" s="81">
        <v>3</v>
      </c>
      <c r="AV1036" s="84" t="str">
        <f>HYPERLINK("https://abs.twimg.com/images/themes/theme11/bg.gif")</f>
        <v>https://abs.twimg.com/images/themes/theme11/bg.gif</v>
      </c>
      <c r="AW1036" s="81" t="b">
        <v>0</v>
      </c>
      <c r="AX1036" s="81" t="s">
        <v>3728</v>
      </c>
      <c r="AY1036" s="84" t="str">
        <f>HYPERLINK("https://twitter.com/marianemundim")</f>
        <v>https://twitter.com/marianemundim</v>
      </c>
      <c r="AZ1036" s="81" t="s">
        <v>66</v>
      </c>
      <c r="BA1036" s="2"/>
      <c r="BB1036" s="3"/>
      <c r="BC1036" s="3"/>
      <c r="BD1036" s="3"/>
      <c r="BE1036" s="3"/>
    </row>
    <row r="1037" spans="1:57" x14ac:dyDescent="0.35">
      <c r="A1037" s="66" t="s">
        <v>4695</v>
      </c>
      <c r="B1037" s="67"/>
      <c r="C1037" s="67"/>
      <c r="D1037" s="68"/>
      <c r="E1037" s="94"/>
      <c r="F1037" s="93" t="str">
        <f>HYPERLINK("https://pbs.twimg.com/profile_images/1347739812804100098/13ptMJew_normal.jpg")</f>
        <v>https://pbs.twimg.com/profile_images/1347739812804100098/13ptMJew_normal.jpg</v>
      </c>
      <c r="G1037" s="95"/>
      <c r="H1037" s="71"/>
      <c r="I1037" s="72"/>
      <c r="J1037" s="96"/>
      <c r="K1037" s="71" t="s">
        <v>12087</v>
      </c>
      <c r="L1037" s="97"/>
      <c r="M1037" s="76"/>
      <c r="N1037" s="76"/>
      <c r="O1037" s="77"/>
      <c r="P1037" s="78"/>
      <c r="Q1037" s="78"/>
      <c r="R1037" s="92"/>
      <c r="S1037" s="92"/>
      <c r="T1037" s="92"/>
      <c r="U1037" s="92"/>
      <c r="V1037" s="52"/>
      <c r="W1037" s="52"/>
      <c r="X1037" s="52"/>
      <c r="Y1037" s="52"/>
      <c r="Z1037" s="51"/>
      <c r="AA1037" s="73"/>
      <c r="AB1037" s="73"/>
      <c r="AC1037" s="74"/>
      <c r="AD1037" s="81" t="s">
        <v>8713</v>
      </c>
      <c r="AE1037" s="86" t="s">
        <v>9697</v>
      </c>
      <c r="AF1037" s="81">
        <v>1622</v>
      </c>
      <c r="AG1037" s="81">
        <v>1161</v>
      </c>
      <c r="AH1037" s="81">
        <v>82360</v>
      </c>
      <c r="AI1037" s="81">
        <v>108134</v>
      </c>
      <c r="AJ1037" s="81"/>
      <c r="AK1037" s="81"/>
      <c r="AL1037" s="81" t="s">
        <v>11235</v>
      </c>
      <c r="AM1037" s="81"/>
      <c r="AN1037" s="81"/>
      <c r="AO1037" s="83">
        <v>40255.884652777779</v>
      </c>
      <c r="AP1037" s="81"/>
      <c r="AQ1037" s="81" t="b">
        <v>1</v>
      </c>
      <c r="AR1037" s="81" t="b">
        <v>0</v>
      </c>
      <c r="AS1037" s="81" t="b">
        <v>0</v>
      </c>
      <c r="AT1037" s="81"/>
      <c r="AU1037" s="81">
        <v>0</v>
      </c>
      <c r="AV1037" s="84" t="str">
        <f>HYPERLINK("https://abs.twimg.com/images/themes/theme1/bg.png")</f>
        <v>https://abs.twimg.com/images/themes/theme1/bg.png</v>
      </c>
      <c r="AW1037" s="81" t="b">
        <v>0</v>
      </c>
      <c r="AX1037" s="81" t="s">
        <v>3728</v>
      </c>
      <c r="AY1037" s="84" t="str">
        <f>HYPERLINK("https://twitter.com/elaneide")</f>
        <v>https://twitter.com/elaneide</v>
      </c>
      <c r="AZ1037" s="81" t="s">
        <v>66</v>
      </c>
      <c r="BA1037" s="2"/>
      <c r="BB1037" s="3"/>
      <c r="BC1037" s="3"/>
      <c r="BD1037" s="3"/>
      <c r="BE1037" s="3"/>
    </row>
    <row r="1038" spans="1:57" x14ac:dyDescent="0.35">
      <c r="A1038" s="66" t="s">
        <v>4696</v>
      </c>
      <c r="B1038" s="67"/>
      <c r="C1038" s="67"/>
      <c r="D1038" s="68"/>
      <c r="E1038" s="94"/>
      <c r="F1038" s="93" t="str">
        <f>HYPERLINK("https://pbs.twimg.com/profile_images/1057701800269225984/Eg_Zoctj_normal.jpg")</f>
        <v>https://pbs.twimg.com/profile_images/1057701800269225984/Eg_Zoctj_normal.jpg</v>
      </c>
      <c r="G1038" s="95"/>
      <c r="H1038" s="71"/>
      <c r="I1038" s="72"/>
      <c r="J1038" s="96"/>
      <c r="K1038" s="71" t="s">
        <v>12088</v>
      </c>
      <c r="L1038" s="97"/>
      <c r="M1038" s="76"/>
      <c r="N1038" s="76"/>
      <c r="O1038" s="77"/>
      <c r="P1038" s="78"/>
      <c r="Q1038" s="78"/>
      <c r="R1038" s="92"/>
      <c r="S1038" s="92"/>
      <c r="T1038" s="92"/>
      <c r="U1038" s="92"/>
      <c r="V1038" s="52"/>
      <c r="W1038" s="52"/>
      <c r="X1038" s="52"/>
      <c r="Y1038" s="52"/>
      <c r="Z1038" s="51"/>
      <c r="AA1038" s="73"/>
      <c r="AB1038" s="73"/>
      <c r="AC1038" s="74"/>
      <c r="AD1038" s="81" t="s">
        <v>8714</v>
      </c>
      <c r="AE1038" s="86" t="s">
        <v>9698</v>
      </c>
      <c r="AF1038" s="81">
        <v>751</v>
      </c>
      <c r="AG1038" s="81">
        <v>74</v>
      </c>
      <c r="AH1038" s="81">
        <v>6422</v>
      </c>
      <c r="AI1038" s="81">
        <v>119005</v>
      </c>
      <c r="AJ1038" s="81"/>
      <c r="AK1038" s="81"/>
      <c r="AL1038" s="81"/>
      <c r="AM1038" s="81"/>
      <c r="AN1038" s="81"/>
      <c r="AO1038" s="83">
        <v>43404.771180555559</v>
      </c>
      <c r="AP1038" s="84" t="str">
        <f>HYPERLINK("https://pbs.twimg.com/profile_banners/1057701362157477889/1541011722")</f>
        <v>https://pbs.twimg.com/profile_banners/1057701362157477889/1541011722</v>
      </c>
      <c r="AQ1038" s="81" t="b">
        <v>1</v>
      </c>
      <c r="AR1038" s="81" t="b">
        <v>0</v>
      </c>
      <c r="AS1038" s="81" t="b">
        <v>0</v>
      </c>
      <c r="AT1038" s="81"/>
      <c r="AU1038" s="81">
        <v>0</v>
      </c>
      <c r="AV1038" s="81"/>
      <c r="AW1038" s="81" t="b">
        <v>0</v>
      </c>
      <c r="AX1038" s="81" t="s">
        <v>3728</v>
      </c>
      <c r="AY1038" s="84" t="str">
        <f>HYPERLINK("https://twitter.com/painsthiago")</f>
        <v>https://twitter.com/painsthiago</v>
      </c>
      <c r="AZ1038" s="81" t="s">
        <v>66</v>
      </c>
      <c r="BA1038" s="2"/>
      <c r="BB1038" s="3"/>
      <c r="BC1038" s="3"/>
      <c r="BD1038" s="3"/>
      <c r="BE1038" s="3"/>
    </row>
    <row r="1039" spans="1:57" x14ac:dyDescent="0.35">
      <c r="A1039" s="66" t="s">
        <v>4697</v>
      </c>
      <c r="B1039" s="67"/>
      <c r="C1039" s="67"/>
      <c r="D1039" s="68"/>
      <c r="E1039" s="94"/>
      <c r="F1039" s="93" t="str">
        <f>HYPERLINK("https://pbs.twimg.com/profile_images/1390326709887672328/2kzscFCL_normal.jpg")</f>
        <v>https://pbs.twimg.com/profile_images/1390326709887672328/2kzscFCL_normal.jpg</v>
      </c>
      <c r="G1039" s="95"/>
      <c r="H1039" s="71"/>
      <c r="I1039" s="72"/>
      <c r="J1039" s="96"/>
      <c r="K1039" s="71" t="s">
        <v>12089</v>
      </c>
      <c r="L1039" s="97"/>
      <c r="M1039" s="76"/>
      <c r="N1039" s="76"/>
      <c r="O1039" s="77"/>
      <c r="P1039" s="78"/>
      <c r="Q1039" s="78"/>
      <c r="R1039" s="92"/>
      <c r="S1039" s="92"/>
      <c r="T1039" s="92"/>
      <c r="U1039" s="92"/>
      <c r="V1039" s="52"/>
      <c r="W1039" s="52"/>
      <c r="X1039" s="52"/>
      <c r="Y1039" s="52"/>
      <c r="Z1039" s="51"/>
      <c r="AA1039" s="73"/>
      <c r="AB1039" s="73"/>
      <c r="AC1039" s="74"/>
      <c r="AD1039" s="81" t="s">
        <v>8715</v>
      </c>
      <c r="AE1039" s="86" t="s">
        <v>9699</v>
      </c>
      <c r="AF1039" s="81">
        <v>3872</v>
      </c>
      <c r="AG1039" s="81">
        <v>292</v>
      </c>
      <c r="AH1039" s="81">
        <v>8665</v>
      </c>
      <c r="AI1039" s="81">
        <v>43987</v>
      </c>
      <c r="AJ1039" s="81"/>
      <c r="AK1039" s="81" t="s">
        <v>10625</v>
      </c>
      <c r="AL1039" s="81" t="s">
        <v>11236</v>
      </c>
      <c r="AM1039" s="81"/>
      <c r="AN1039" s="81"/>
      <c r="AO1039" s="83">
        <v>40053.793252314812</v>
      </c>
      <c r="AP1039" s="84" t="str">
        <f>HYPERLINK("https://pbs.twimg.com/profile_banners/69666161/1606856755")</f>
        <v>https://pbs.twimg.com/profile_banners/69666161/1606856755</v>
      </c>
      <c r="AQ1039" s="81" t="b">
        <v>0</v>
      </c>
      <c r="AR1039" s="81" t="b">
        <v>0</v>
      </c>
      <c r="AS1039" s="81" t="b">
        <v>1</v>
      </c>
      <c r="AT1039" s="81"/>
      <c r="AU1039" s="81">
        <v>0</v>
      </c>
      <c r="AV1039" s="84" t="str">
        <f>HYPERLINK("https://abs.twimg.com/images/themes/theme2/bg.gif")</f>
        <v>https://abs.twimg.com/images/themes/theme2/bg.gif</v>
      </c>
      <c r="AW1039" s="81" t="b">
        <v>0</v>
      </c>
      <c r="AX1039" s="81" t="s">
        <v>3728</v>
      </c>
      <c r="AY1039" s="84" t="str">
        <f>HYPERLINK("https://twitter.com/kakashi10")</f>
        <v>https://twitter.com/kakashi10</v>
      </c>
      <c r="AZ1039" s="81" t="s">
        <v>66</v>
      </c>
      <c r="BA1039" s="2"/>
      <c r="BB1039" s="3"/>
      <c r="BC1039" s="3"/>
      <c r="BD1039" s="3"/>
      <c r="BE1039" s="3"/>
    </row>
    <row r="1040" spans="1:57" x14ac:dyDescent="0.35">
      <c r="A1040" s="66" t="s">
        <v>4698</v>
      </c>
      <c r="B1040" s="67"/>
      <c r="C1040" s="67"/>
      <c r="D1040" s="68"/>
      <c r="E1040" s="94"/>
      <c r="F1040" s="93" t="str">
        <f>HYPERLINK("https://pbs.twimg.com/profile_images/1157962784942043136/-gqAEf34_normal.jpg")</f>
        <v>https://pbs.twimg.com/profile_images/1157962784942043136/-gqAEf34_normal.jpg</v>
      </c>
      <c r="G1040" s="95"/>
      <c r="H1040" s="71"/>
      <c r="I1040" s="72"/>
      <c r="J1040" s="96"/>
      <c r="K1040" s="71" t="s">
        <v>12090</v>
      </c>
      <c r="L1040" s="97"/>
      <c r="M1040" s="76"/>
      <c r="N1040" s="76"/>
      <c r="O1040" s="77"/>
      <c r="P1040" s="78"/>
      <c r="Q1040" s="78"/>
      <c r="R1040" s="92"/>
      <c r="S1040" s="92"/>
      <c r="T1040" s="92"/>
      <c r="U1040" s="92"/>
      <c r="V1040" s="52"/>
      <c r="W1040" s="52"/>
      <c r="X1040" s="52"/>
      <c r="Y1040" s="52"/>
      <c r="Z1040" s="51"/>
      <c r="AA1040" s="73"/>
      <c r="AB1040" s="73"/>
      <c r="AC1040" s="74"/>
      <c r="AD1040" s="81" t="s">
        <v>8716</v>
      </c>
      <c r="AE1040" s="86" t="s">
        <v>9700</v>
      </c>
      <c r="AF1040" s="81">
        <v>493</v>
      </c>
      <c r="AG1040" s="81">
        <v>89</v>
      </c>
      <c r="AH1040" s="81">
        <v>4277</v>
      </c>
      <c r="AI1040" s="81">
        <v>5173</v>
      </c>
      <c r="AJ1040" s="81"/>
      <c r="AK1040" s="81" t="s">
        <v>10626</v>
      </c>
      <c r="AL1040" s="81" t="s">
        <v>11237</v>
      </c>
      <c r="AM1040" s="81"/>
      <c r="AN1040" s="81"/>
      <c r="AO1040" s="83">
        <v>40700.926249999997</v>
      </c>
      <c r="AP1040" s="84" t="str">
        <f>HYPERLINK("https://pbs.twimg.com/profile_banners/312298693/1437727848")</f>
        <v>https://pbs.twimg.com/profile_banners/312298693/1437727848</v>
      </c>
      <c r="AQ1040" s="81" t="b">
        <v>1</v>
      </c>
      <c r="AR1040" s="81" t="b">
        <v>0</v>
      </c>
      <c r="AS1040" s="81" t="b">
        <v>1</v>
      </c>
      <c r="AT1040" s="81"/>
      <c r="AU1040" s="81">
        <v>1</v>
      </c>
      <c r="AV1040" s="84" t="str">
        <f>HYPERLINK("https://abs.twimg.com/images/themes/theme1/bg.png")</f>
        <v>https://abs.twimg.com/images/themes/theme1/bg.png</v>
      </c>
      <c r="AW1040" s="81" t="b">
        <v>0</v>
      </c>
      <c r="AX1040" s="81" t="s">
        <v>3728</v>
      </c>
      <c r="AY1040" s="84" t="str">
        <f>HYPERLINK("https://twitter.com/rac_pt")</f>
        <v>https://twitter.com/rac_pt</v>
      </c>
      <c r="AZ1040" s="81" t="s">
        <v>66</v>
      </c>
      <c r="BA1040" s="2"/>
      <c r="BB1040" s="3"/>
      <c r="BC1040" s="3"/>
      <c r="BD1040" s="3"/>
      <c r="BE1040" s="3"/>
    </row>
    <row r="1041" spans="1:57" x14ac:dyDescent="0.35">
      <c r="A1041" s="66" t="s">
        <v>5139</v>
      </c>
      <c r="B1041" s="67"/>
      <c r="C1041" s="67"/>
      <c r="D1041" s="68"/>
      <c r="E1041" s="94"/>
      <c r="F1041" s="93" t="str">
        <f>HYPERLINK("https://pbs.twimg.com/profile_images/1413443113956294658/Ol83jbk4_normal.jpg")</f>
        <v>https://pbs.twimg.com/profile_images/1413443113956294658/Ol83jbk4_normal.jpg</v>
      </c>
      <c r="G1041" s="95"/>
      <c r="H1041" s="71"/>
      <c r="I1041" s="72"/>
      <c r="J1041" s="96"/>
      <c r="K1041" s="71" t="s">
        <v>12091</v>
      </c>
      <c r="L1041" s="97"/>
      <c r="M1041" s="76"/>
      <c r="N1041" s="76"/>
      <c r="O1041" s="77"/>
      <c r="P1041" s="78"/>
      <c r="Q1041" s="78"/>
      <c r="R1041" s="92"/>
      <c r="S1041" s="92"/>
      <c r="T1041" s="92"/>
      <c r="U1041" s="92"/>
      <c r="V1041" s="52"/>
      <c r="W1041" s="52"/>
      <c r="X1041" s="52"/>
      <c r="Y1041" s="52"/>
      <c r="Z1041" s="51"/>
      <c r="AA1041" s="73"/>
      <c r="AB1041" s="73"/>
      <c r="AC1041" s="74"/>
      <c r="AD1041" s="81" t="s">
        <v>8717</v>
      </c>
      <c r="AE1041" s="86" t="s">
        <v>9701</v>
      </c>
      <c r="AF1041" s="81">
        <v>352</v>
      </c>
      <c r="AG1041" s="81">
        <v>11308</v>
      </c>
      <c r="AH1041" s="81">
        <v>19181</v>
      </c>
      <c r="AI1041" s="81">
        <v>19977</v>
      </c>
      <c r="AJ1041" s="81"/>
      <c r="AK1041" s="81" t="s">
        <v>10627</v>
      </c>
      <c r="AL1041" s="81" t="s">
        <v>10971</v>
      </c>
      <c r="AM1041" s="84" t="str">
        <f>HYPERLINK("https://t.co/mW7iV5SyfK")</f>
        <v>https://t.co/mW7iV5SyfK</v>
      </c>
      <c r="AN1041" s="81"/>
      <c r="AO1041" s="83">
        <v>43007.001030092593</v>
      </c>
      <c r="AP1041" s="84" t="str">
        <f>HYPERLINK("https://pbs.twimg.com/profile_banners/913554287703347205/1610377133")</f>
        <v>https://pbs.twimg.com/profile_banners/913554287703347205/1610377133</v>
      </c>
      <c r="AQ1041" s="81" t="b">
        <v>0</v>
      </c>
      <c r="AR1041" s="81" t="b">
        <v>0</v>
      </c>
      <c r="AS1041" s="81" t="b">
        <v>0</v>
      </c>
      <c r="AT1041" s="81"/>
      <c r="AU1041" s="81">
        <v>45</v>
      </c>
      <c r="AV1041" s="84" t="str">
        <f>HYPERLINK("https://abs.twimg.com/images/themes/theme1/bg.png")</f>
        <v>https://abs.twimg.com/images/themes/theme1/bg.png</v>
      </c>
      <c r="AW1041" s="81" t="b">
        <v>0</v>
      </c>
      <c r="AX1041" s="81" t="s">
        <v>3728</v>
      </c>
      <c r="AY1041" s="84" t="str">
        <f>HYPERLINK("https://twitter.com/benfica_fm")</f>
        <v>https://twitter.com/benfica_fm</v>
      </c>
      <c r="AZ1041" s="81" t="s">
        <v>65</v>
      </c>
      <c r="BA1041" s="2"/>
      <c r="BB1041" s="3"/>
      <c r="BC1041" s="3"/>
      <c r="BD1041" s="3"/>
      <c r="BE1041" s="3"/>
    </row>
    <row r="1042" spans="1:57" x14ac:dyDescent="0.35">
      <c r="A1042" s="66" t="s">
        <v>5140</v>
      </c>
      <c r="B1042" s="67"/>
      <c r="C1042" s="67"/>
      <c r="D1042" s="68"/>
      <c r="E1042" s="94"/>
      <c r="F1042" s="93" t="str">
        <f>HYPERLINK("https://pbs.twimg.com/profile_images/1369410533879873540/GIRS-ZON_normal.jpg")</f>
        <v>https://pbs.twimg.com/profile_images/1369410533879873540/GIRS-ZON_normal.jpg</v>
      </c>
      <c r="G1042" s="95"/>
      <c r="H1042" s="71"/>
      <c r="I1042" s="72"/>
      <c r="J1042" s="96"/>
      <c r="K1042" s="71" t="s">
        <v>12092</v>
      </c>
      <c r="L1042" s="97"/>
      <c r="M1042" s="76"/>
      <c r="N1042" s="76"/>
      <c r="O1042" s="77"/>
      <c r="P1042" s="78"/>
      <c r="Q1042" s="78"/>
      <c r="R1042" s="92"/>
      <c r="S1042" s="92"/>
      <c r="T1042" s="92"/>
      <c r="U1042" s="92"/>
      <c r="V1042" s="52"/>
      <c r="W1042" s="52"/>
      <c r="X1042" s="52"/>
      <c r="Y1042" s="52"/>
      <c r="Z1042" s="51"/>
      <c r="AA1042" s="73"/>
      <c r="AB1042" s="73"/>
      <c r="AC1042" s="74"/>
      <c r="AD1042" s="81" t="s">
        <v>8718</v>
      </c>
      <c r="AE1042" s="86" t="s">
        <v>7892</v>
      </c>
      <c r="AF1042" s="81">
        <v>497</v>
      </c>
      <c r="AG1042" s="81">
        <v>3395</v>
      </c>
      <c r="AH1042" s="81">
        <v>98521</v>
      </c>
      <c r="AI1042" s="81">
        <v>112847</v>
      </c>
      <c r="AJ1042" s="81"/>
      <c r="AK1042" s="81" t="s">
        <v>10628</v>
      </c>
      <c r="AL1042" s="81" t="s">
        <v>11238</v>
      </c>
      <c r="AM1042" s="81"/>
      <c r="AN1042" s="81"/>
      <c r="AO1042" s="83">
        <v>39894.706226851849</v>
      </c>
      <c r="AP1042" s="84" t="str">
        <f>HYPERLINK("https://pbs.twimg.com/profile_banners/25842391/1398181104")</f>
        <v>https://pbs.twimg.com/profile_banners/25842391/1398181104</v>
      </c>
      <c r="AQ1042" s="81" t="b">
        <v>0</v>
      </c>
      <c r="AR1042" s="81" t="b">
        <v>0</v>
      </c>
      <c r="AS1042" s="81" t="b">
        <v>1</v>
      </c>
      <c r="AT1042" s="81"/>
      <c r="AU1042" s="81">
        <v>49</v>
      </c>
      <c r="AV1042" s="84" t="str">
        <f>HYPERLINK("https://abs.twimg.com/images/themes/theme1/bg.png")</f>
        <v>https://abs.twimg.com/images/themes/theme1/bg.png</v>
      </c>
      <c r="AW1042" s="81" t="b">
        <v>0</v>
      </c>
      <c r="AX1042" s="81" t="s">
        <v>3728</v>
      </c>
      <c r="AY1042" s="84" t="str">
        <f>HYPERLINK("https://twitter.com/goncalocvale")</f>
        <v>https://twitter.com/goncalocvale</v>
      </c>
      <c r="AZ1042" s="81" t="s">
        <v>65</v>
      </c>
      <c r="BA1042" s="2"/>
      <c r="BB1042" s="3"/>
      <c r="BC1042" s="3"/>
      <c r="BD1042" s="3"/>
      <c r="BE1042" s="3"/>
    </row>
    <row r="1043" spans="1:57" x14ac:dyDescent="0.35">
      <c r="A1043" s="66" t="s">
        <v>4699</v>
      </c>
      <c r="B1043" s="67"/>
      <c r="C1043" s="67"/>
      <c r="D1043" s="68"/>
      <c r="E1043" s="94"/>
      <c r="F1043" s="93" t="str">
        <f>HYPERLINK("https://pbs.twimg.com/profile_images/1254857629224112128/JKj4o_GP_normal.jpg")</f>
        <v>https://pbs.twimg.com/profile_images/1254857629224112128/JKj4o_GP_normal.jpg</v>
      </c>
      <c r="G1043" s="95"/>
      <c r="H1043" s="71"/>
      <c r="I1043" s="72"/>
      <c r="J1043" s="96"/>
      <c r="K1043" s="71" t="s">
        <v>12093</v>
      </c>
      <c r="L1043" s="97"/>
      <c r="M1043" s="76"/>
      <c r="N1043" s="76"/>
      <c r="O1043" s="77"/>
      <c r="P1043" s="78"/>
      <c r="Q1043" s="78"/>
      <c r="R1043" s="92"/>
      <c r="S1043" s="92"/>
      <c r="T1043" s="92"/>
      <c r="U1043" s="92"/>
      <c r="V1043" s="52"/>
      <c r="W1043" s="52"/>
      <c r="X1043" s="52"/>
      <c r="Y1043" s="52"/>
      <c r="Z1043" s="51"/>
      <c r="AA1043" s="73"/>
      <c r="AB1043" s="73"/>
      <c r="AC1043" s="74"/>
      <c r="AD1043" s="81" t="s">
        <v>8719</v>
      </c>
      <c r="AE1043" s="86" t="s">
        <v>9702</v>
      </c>
      <c r="AF1043" s="81">
        <v>359</v>
      </c>
      <c r="AG1043" s="81">
        <v>32</v>
      </c>
      <c r="AH1043" s="81">
        <v>1369</v>
      </c>
      <c r="AI1043" s="81">
        <v>12469</v>
      </c>
      <c r="AJ1043" s="81"/>
      <c r="AK1043" s="81" t="s">
        <v>10629</v>
      </c>
      <c r="AL1043" s="81" t="s">
        <v>10983</v>
      </c>
      <c r="AM1043" s="81"/>
      <c r="AN1043" s="81"/>
      <c r="AO1043" s="83">
        <v>43946.849895833337</v>
      </c>
      <c r="AP1043" s="84" t="str">
        <f>HYPERLINK("https://pbs.twimg.com/profile_banners/1254144048593604612/1588016515")</f>
        <v>https://pbs.twimg.com/profile_banners/1254144048593604612/1588016515</v>
      </c>
      <c r="AQ1043" s="81" t="b">
        <v>1</v>
      </c>
      <c r="AR1043" s="81" t="b">
        <v>0</v>
      </c>
      <c r="AS1043" s="81" t="b">
        <v>0</v>
      </c>
      <c r="AT1043" s="81"/>
      <c r="AU1043" s="81">
        <v>0</v>
      </c>
      <c r="AV1043" s="81"/>
      <c r="AW1043" s="81" t="b">
        <v>0</v>
      </c>
      <c r="AX1043" s="81" t="s">
        <v>3728</v>
      </c>
      <c r="AY1043" s="84" t="str">
        <f>HYPERLINK("https://twitter.com/joaoflaviobg")</f>
        <v>https://twitter.com/joaoflaviobg</v>
      </c>
      <c r="AZ1043" s="81" t="s">
        <v>66</v>
      </c>
      <c r="BA1043" s="2"/>
      <c r="BB1043" s="3"/>
      <c r="BC1043" s="3"/>
      <c r="BD1043" s="3"/>
      <c r="BE1043" s="3"/>
    </row>
    <row r="1044" spans="1:57" x14ac:dyDescent="0.35">
      <c r="A1044" s="66" t="s">
        <v>4700</v>
      </c>
      <c r="B1044" s="67"/>
      <c r="C1044" s="67"/>
      <c r="D1044" s="68"/>
      <c r="E1044" s="94"/>
      <c r="F1044" s="93" t="str">
        <f>HYPERLINK("https://pbs.twimg.com/profile_images/1262120379398656001/BNPRBCrU_normal.jpg")</f>
        <v>https://pbs.twimg.com/profile_images/1262120379398656001/BNPRBCrU_normal.jpg</v>
      </c>
      <c r="G1044" s="95"/>
      <c r="H1044" s="71"/>
      <c r="I1044" s="72"/>
      <c r="J1044" s="96"/>
      <c r="K1044" s="71" t="s">
        <v>12094</v>
      </c>
      <c r="L1044" s="97"/>
      <c r="M1044" s="76"/>
      <c r="N1044" s="76"/>
      <c r="O1044" s="77"/>
      <c r="P1044" s="78"/>
      <c r="Q1044" s="78"/>
      <c r="R1044" s="92"/>
      <c r="S1044" s="92"/>
      <c r="T1044" s="92"/>
      <c r="U1044" s="92"/>
      <c r="V1044" s="52"/>
      <c r="W1044" s="52"/>
      <c r="X1044" s="52"/>
      <c r="Y1044" s="52"/>
      <c r="Z1044" s="51"/>
      <c r="AA1044" s="73"/>
      <c r="AB1044" s="73"/>
      <c r="AC1044" s="74"/>
      <c r="AD1044" s="81" t="s">
        <v>8720</v>
      </c>
      <c r="AE1044" s="86" t="s">
        <v>9703</v>
      </c>
      <c r="AF1044" s="81">
        <v>5000</v>
      </c>
      <c r="AG1044" s="81">
        <v>2195</v>
      </c>
      <c r="AH1044" s="81">
        <v>37815</v>
      </c>
      <c r="AI1044" s="81">
        <v>140247</v>
      </c>
      <c r="AJ1044" s="81"/>
      <c r="AK1044" s="86" t="s">
        <v>10630</v>
      </c>
      <c r="AL1044" s="81"/>
      <c r="AM1044" s="84" t="str">
        <f>HYPERLINK("https://t.co/YER4WymoSt")</f>
        <v>https://t.co/YER4WymoSt</v>
      </c>
      <c r="AN1044" s="81"/>
      <c r="AO1044" s="83">
        <v>39930.859942129631</v>
      </c>
      <c r="AP1044" s="84" t="str">
        <f>HYPERLINK("https://pbs.twimg.com/profile_banners/35853238/1589766457")</f>
        <v>https://pbs.twimg.com/profile_banners/35853238/1589766457</v>
      </c>
      <c r="AQ1044" s="81" t="b">
        <v>0</v>
      </c>
      <c r="AR1044" s="81" t="b">
        <v>0</v>
      </c>
      <c r="AS1044" s="81" t="b">
        <v>1</v>
      </c>
      <c r="AT1044" s="81"/>
      <c r="AU1044" s="81">
        <v>14</v>
      </c>
      <c r="AV1044" s="84" t="str">
        <f>HYPERLINK("https://abs.twimg.com/images/themes/theme7/bg.gif")</f>
        <v>https://abs.twimg.com/images/themes/theme7/bg.gif</v>
      </c>
      <c r="AW1044" s="81" t="b">
        <v>0</v>
      </c>
      <c r="AX1044" s="81" t="s">
        <v>3728</v>
      </c>
      <c r="AY1044" s="84" t="str">
        <f>HYPERLINK("https://twitter.com/wjjunyor")</f>
        <v>https://twitter.com/wjjunyor</v>
      </c>
      <c r="AZ1044" s="81" t="s">
        <v>66</v>
      </c>
      <c r="BA1044" s="2"/>
      <c r="BB1044" s="3"/>
      <c r="BC1044" s="3"/>
      <c r="BD1044" s="3"/>
      <c r="BE1044" s="3"/>
    </row>
    <row r="1045" spans="1:57" x14ac:dyDescent="0.35">
      <c r="A1045" s="66" t="s">
        <v>4701</v>
      </c>
      <c r="B1045" s="67"/>
      <c r="C1045" s="67"/>
      <c r="D1045" s="68"/>
      <c r="E1045" s="94"/>
      <c r="F1045" s="93" t="str">
        <f>HYPERLINK("https://pbs.twimg.com/profile_images/1420042211668885516/9n-OCnPo_normal.jpg")</f>
        <v>https://pbs.twimg.com/profile_images/1420042211668885516/9n-OCnPo_normal.jpg</v>
      </c>
      <c r="G1045" s="95"/>
      <c r="H1045" s="71"/>
      <c r="I1045" s="72"/>
      <c r="J1045" s="96"/>
      <c r="K1045" s="71" t="s">
        <v>12095</v>
      </c>
      <c r="L1045" s="97"/>
      <c r="M1045" s="76"/>
      <c r="N1045" s="76"/>
      <c r="O1045" s="77"/>
      <c r="P1045" s="78"/>
      <c r="Q1045" s="78"/>
      <c r="R1045" s="92"/>
      <c r="S1045" s="92"/>
      <c r="T1045" s="92"/>
      <c r="U1045" s="92"/>
      <c r="V1045" s="52"/>
      <c r="W1045" s="52"/>
      <c r="X1045" s="52"/>
      <c r="Y1045" s="52"/>
      <c r="Z1045" s="51"/>
      <c r="AA1045" s="73"/>
      <c r="AB1045" s="73"/>
      <c r="AC1045" s="74"/>
      <c r="AD1045" s="81" t="s">
        <v>8721</v>
      </c>
      <c r="AE1045" s="86" t="s">
        <v>9704</v>
      </c>
      <c r="AF1045" s="81">
        <v>2099</v>
      </c>
      <c r="AG1045" s="81">
        <v>1490</v>
      </c>
      <c r="AH1045" s="81">
        <v>66206</v>
      </c>
      <c r="AI1045" s="81">
        <v>93986</v>
      </c>
      <c r="AJ1045" s="81"/>
      <c r="AK1045" s="81" t="s">
        <v>10631</v>
      </c>
      <c r="AL1045" s="81" t="s">
        <v>11153</v>
      </c>
      <c r="AM1045" s="84" t="str">
        <f>HYPERLINK("https://t.co/yhQfrILvXt")</f>
        <v>https://t.co/yhQfrILvXt</v>
      </c>
      <c r="AN1045" s="81"/>
      <c r="AO1045" s="83">
        <v>41498.708912037036</v>
      </c>
      <c r="AP1045" s="84" t="str">
        <f>HYPERLINK("https://pbs.twimg.com/profile_banners/1665563887/1596340364")</f>
        <v>https://pbs.twimg.com/profile_banners/1665563887/1596340364</v>
      </c>
      <c r="AQ1045" s="81" t="b">
        <v>0</v>
      </c>
      <c r="AR1045" s="81" t="b">
        <v>0</v>
      </c>
      <c r="AS1045" s="81" t="b">
        <v>1</v>
      </c>
      <c r="AT1045" s="81"/>
      <c r="AU1045" s="81">
        <v>4</v>
      </c>
      <c r="AV1045" s="84" t="str">
        <f>HYPERLINK("https://abs.twimg.com/images/themes/theme1/bg.png")</f>
        <v>https://abs.twimg.com/images/themes/theme1/bg.png</v>
      </c>
      <c r="AW1045" s="81" t="b">
        <v>0</v>
      </c>
      <c r="AX1045" s="81" t="s">
        <v>3728</v>
      </c>
      <c r="AY1045" s="84" t="str">
        <f>HYPERLINK("https://twitter.com/thejuds_")</f>
        <v>https://twitter.com/thejuds_</v>
      </c>
      <c r="AZ1045" s="81" t="s">
        <v>66</v>
      </c>
      <c r="BA1045" s="2"/>
      <c r="BB1045" s="3"/>
      <c r="BC1045" s="3"/>
      <c r="BD1045" s="3"/>
      <c r="BE1045" s="3"/>
    </row>
    <row r="1046" spans="1:57" x14ac:dyDescent="0.35">
      <c r="A1046" s="66" t="s">
        <v>4702</v>
      </c>
      <c r="B1046" s="67"/>
      <c r="C1046" s="67"/>
      <c r="D1046" s="68"/>
      <c r="E1046" s="94"/>
      <c r="F1046" s="93" t="str">
        <f>HYPERLINK("https://pbs.twimg.com/profile_images/2976750073/3a261698868b6ce64c2b18f8de140e5a_normal.jpeg")</f>
        <v>https://pbs.twimg.com/profile_images/2976750073/3a261698868b6ce64c2b18f8de140e5a_normal.jpeg</v>
      </c>
      <c r="G1046" s="95"/>
      <c r="H1046" s="71"/>
      <c r="I1046" s="72"/>
      <c r="J1046" s="96"/>
      <c r="K1046" s="71" t="s">
        <v>12096</v>
      </c>
      <c r="L1046" s="97"/>
      <c r="M1046" s="76"/>
      <c r="N1046" s="76"/>
      <c r="O1046" s="77"/>
      <c r="P1046" s="78"/>
      <c r="Q1046" s="78"/>
      <c r="R1046" s="92"/>
      <c r="S1046" s="92"/>
      <c r="T1046" s="92"/>
      <c r="U1046" s="92"/>
      <c r="V1046" s="52"/>
      <c r="W1046" s="52"/>
      <c r="X1046" s="52"/>
      <c r="Y1046" s="52"/>
      <c r="Z1046" s="51"/>
      <c r="AA1046" s="73"/>
      <c r="AB1046" s="73"/>
      <c r="AC1046" s="74"/>
      <c r="AD1046" s="81" t="s">
        <v>8722</v>
      </c>
      <c r="AE1046" s="86" t="s">
        <v>9705</v>
      </c>
      <c r="AF1046" s="81">
        <v>4980</v>
      </c>
      <c r="AG1046" s="81">
        <v>1674</v>
      </c>
      <c r="AH1046" s="81">
        <v>53873</v>
      </c>
      <c r="AI1046" s="81">
        <v>40189</v>
      </c>
      <c r="AJ1046" s="81"/>
      <c r="AK1046" s="81" t="s">
        <v>10632</v>
      </c>
      <c r="AL1046" s="81"/>
      <c r="AM1046" s="81"/>
      <c r="AN1046" s="81"/>
      <c r="AO1046" s="83">
        <v>40441.09716435185</v>
      </c>
      <c r="AP1046" s="84" t="str">
        <f>HYPERLINK("https://pbs.twimg.com/profile_banners/192760696/1355536878")</f>
        <v>https://pbs.twimg.com/profile_banners/192760696/1355536878</v>
      </c>
      <c r="AQ1046" s="81" t="b">
        <v>1</v>
      </c>
      <c r="AR1046" s="81" t="b">
        <v>0</v>
      </c>
      <c r="AS1046" s="81" t="b">
        <v>1</v>
      </c>
      <c r="AT1046" s="81"/>
      <c r="AU1046" s="81">
        <v>18</v>
      </c>
      <c r="AV1046" s="84" t="str">
        <f>HYPERLINK("https://abs.twimg.com/images/themes/theme1/bg.png")</f>
        <v>https://abs.twimg.com/images/themes/theme1/bg.png</v>
      </c>
      <c r="AW1046" s="81" t="b">
        <v>0</v>
      </c>
      <c r="AX1046" s="81" t="s">
        <v>3728</v>
      </c>
      <c r="AY1046" s="84" t="str">
        <f>HYPERLINK("https://twitter.com/heroial")</f>
        <v>https://twitter.com/heroial</v>
      </c>
      <c r="AZ1046" s="81" t="s">
        <v>66</v>
      </c>
      <c r="BA1046" s="2"/>
      <c r="BB1046" s="3"/>
      <c r="BC1046" s="3"/>
      <c r="BD1046" s="3"/>
      <c r="BE1046" s="3"/>
    </row>
    <row r="1047" spans="1:57" x14ac:dyDescent="0.35">
      <c r="A1047" s="66" t="s">
        <v>4703</v>
      </c>
      <c r="B1047" s="67"/>
      <c r="C1047" s="67"/>
      <c r="D1047" s="68"/>
      <c r="E1047" s="94"/>
      <c r="F1047" s="93" t="str">
        <f>HYPERLINK("https://pbs.twimg.com/profile_images/1409623759842156545/EBhWkLBl_normal.jpg")</f>
        <v>https://pbs.twimg.com/profile_images/1409623759842156545/EBhWkLBl_normal.jpg</v>
      </c>
      <c r="G1047" s="95"/>
      <c r="H1047" s="71"/>
      <c r="I1047" s="72"/>
      <c r="J1047" s="96"/>
      <c r="K1047" s="71" t="s">
        <v>12097</v>
      </c>
      <c r="L1047" s="97"/>
      <c r="M1047" s="76"/>
      <c r="N1047" s="76"/>
      <c r="O1047" s="77"/>
      <c r="P1047" s="78"/>
      <c r="Q1047" s="78"/>
      <c r="R1047" s="92"/>
      <c r="S1047" s="92"/>
      <c r="T1047" s="92"/>
      <c r="U1047" s="92"/>
      <c r="V1047" s="52"/>
      <c r="W1047" s="52"/>
      <c r="X1047" s="52"/>
      <c r="Y1047" s="52"/>
      <c r="Z1047" s="51"/>
      <c r="AA1047" s="73"/>
      <c r="AB1047" s="73"/>
      <c r="AC1047" s="74"/>
      <c r="AD1047" s="81" t="s">
        <v>8723</v>
      </c>
      <c r="AE1047" s="86" t="s">
        <v>9706</v>
      </c>
      <c r="AF1047" s="81">
        <v>285</v>
      </c>
      <c r="AG1047" s="81">
        <v>975</v>
      </c>
      <c r="AH1047" s="81">
        <v>11276</v>
      </c>
      <c r="AI1047" s="81">
        <v>4910</v>
      </c>
      <c r="AJ1047" s="81"/>
      <c r="AK1047" s="81" t="s">
        <v>10633</v>
      </c>
      <c r="AL1047" s="81" t="s">
        <v>11008</v>
      </c>
      <c r="AM1047" s="84" t="str">
        <f>HYPERLINK("https://t.co/TbyXicIwCD")</f>
        <v>https://t.co/TbyXicIwCD</v>
      </c>
      <c r="AN1047" s="81"/>
      <c r="AO1047" s="83">
        <v>40317.680613425924</v>
      </c>
      <c r="AP1047" s="84" t="str">
        <f>HYPERLINK("https://pbs.twimg.com/profile_banners/145684047/1631280177")</f>
        <v>https://pbs.twimg.com/profile_banners/145684047/1631280177</v>
      </c>
      <c r="AQ1047" s="81" t="b">
        <v>0</v>
      </c>
      <c r="AR1047" s="81" t="b">
        <v>0</v>
      </c>
      <c r="AS1047" s="81" t="b">
        <v>1</v>
      </c>
      <c r="AT1047" s="81"/>
      <c r="AU1047" s="81">
        <v>5</v>
      </c>
      <c r="AV1047" s="84" t="str">
        <f>HYPERLINK("https://abs.twimg.com/images/themes/theme1/bg.png")</f>
        <v>https://abs.twimg.com/images/themes/theme1/bg.png</v>
      </c>
      <c r="AW1047" s="81" t="b">
        <v>0</v>
      </c>
      <c r="AX1047" s="81" t="s">
        <v>3728</v>
      </c>
      <c r="AY1047" s="84" t="str">
        <f>HYPERLINK("https://twitter.com/ocardozzo")</f>
        <v>https://twitter.com/ocardozzo</v>
      </c>
      <c r="AZ1047" s="81" t="s">
        <v>66</v>
      </c>
      <c r="BA1047" s="2"/>
      <c r="BB1047" s="3"/>
      <c r="BC1047" s="3"/>
      <c r="BD1047" s="3"/>
      <c r="BE1047" s="3"/>
    </row>
    <row r="1048" spans="1:57" x14ac:dyDescent="0.35">
      <c r="A1048" s="66" t="s">
        <v>4704</v>
      </c>
      <c r="B1048" s="67"/>
      <c r="C1048" s="67"/>
      <c r="D1048" s="68"/>
      <c r="E1048" s="94"/>
      <c r="F1048" s="93" t="str">
        <f>HYPERLINK("https://pbs.twimg.com/profile_images/1416930580843876353/WP_ZnaIn_normal.jpg")</f>
        <v>https://pbs.twimg.com/profile_images/1416930580843876353/WP_ZnaIn_normal.jpg</v>
      </c>
      <c r="G1048" s="95"/>
      <c r="H1048" s="71"/>
      <c r="I1048" s="72"/>
      <c r="J1048" s="96"/>
      <c r="K1048" s="71" t="s">
        <v>12098</v>
      </c>
      <c r="L1048" s="97"/>
      <c r="M1048" s="76"/>
      <c r="N1048" s="76"/>
      <c r="O1048" s="77"/>
      <c r="P1048" s="78"/>
      <c r="Q1048" s="78"/>
      <c r="R1048" s="92"/>
      <c r="S1048" s="92"/>
      <c r="T1048" s="92"/>
      <c r="U1048" s="92"/>
      <c r="V1048" s="52"/>
      <c r="W1048" s="52"/>
      <c r="X1048" s="52"/>
      <c r="Y1048" s="52"/>
      <c r="Z1048" s="51"/>
      <c r="AA1048" s="73"/>
      <c r="AB1048" s="73"/>
      <c r="AC1048" s="74"/>
      <c r="AD1048" s="81" t="s">
        <v>8724</v>
      </c>
      <c r="AE1048" s="86" t="s">
        <v>9707</v>
      </c>
      <c r="AF1048" s="81">
        <v>34</v>
      </c>
      <c r="AG1048" s="81">
        <v>3</v>
      </c>
      <c r="AH1048" s="81">
        <v>854</v>
      </c>
      <c r="AI1048" s="81">
        <v>200</v>
      </c>
      <c r="AJ1048" s="81"/>
      <c r="AK1048" s="81"/>
      <c r="AL1048" s="81"/>
      <c r="AM1048" s="81"/>
      <c r="AN1048" s="81"/>
      <c r="AO1048" s="83">
        <v>44396.054675925923</v>
      </c>
      <c r="AP1048" s="81"/>
      <c r="AQ1048" s="81" t="b">
        <v>1</v>
      </c>
      <c r="AR1048" s="81" t="b">
        <v>0</v>
      </c>
      <c r="AS1048" s="81" t="b">
        <v>0</v>
      </c>
      <c r="AT1048" s="81"/>
      <c r="AU1048" s="81">
        <v>0</v>
      </c>
      <c r="AV1048" s="81"/>
      <c r="AW1048" s="81" t="b">
        <v>0</v>
      </c>
      <c r="AX1048" s="81" t="s">
        <v>3728</v>
      </c>
      <c r="AY1048" s="84" t="str">
        <f>HYPERLINK("https://twitter.com/legnar03615740")</f>
        <v>https://twitter.com/legnar03615740</v>
      </c>
      <c r="AZ1048" s="81" t="s">
        <v>66</v>
      </c>
      <c r="BA1048" s="2"/>
      <c r="BB1048" s="3"/>
      <c r="BC1048" s="3"/>
      <c r="BD1048" s="3"/>
      <c r="BE1048" s="3"/>
    </row>
    <row r="1049" spans="1:57" x14ac:dyDescent="0.35">
      <c r="A1049" s="66" t="s">
        <v>5141</v>
      </c>
      <c r="B1049" s="67"/>
      <c r="C1049" s="67"/>
      <c r="D1049" s="68"/>
      <c r="E1049" s="94"/>
      <c r="F1049" s="93" t="str">
        <f>HYPERLINK("https://pbs.twimg.com/profile_images/1033166936367161345/HwWo_bpO_normal.jpg")</f>
        <v>https://pbs.twimg.com/profile_images/1033166936367161345/HwWo_bpO_normal.jpg</v>
      </c>
      <c r="G1049" s="95"/>
      <c r="H1049" s="71"/>
      <c r="I1049" s="72"/>
      <c r="J1049" s="96"/>
      <c r="K1049" s="71" t="s">
        <v>12099</v>
      </c>
      <c r="L1049" s="97"/>
      <c r="M1049" s="76"/>
      <c r="N1049" s="76"/>
      <c r="O1049" s="77"/>
      <c r="P1049" s="78"/>
      <c r="Q1049" s="78"/>
      <c r="R1049" s="92"/>
      <c r="S1049" s="92"/>
      <c r="T1049" s="92"/>
      <c r="U1049" s="92"/>
      <c r="V1049" s="52"/>
      <c r="W1049" s="52"/>
      <c r="X1049" s="52"/>
      <c r="Y1049" s="52"/>
      <c r="Z1049" s="51"/>
      <c r="AA1049" s="73"/>
      <c r="AB1049" s="73"/>
      <c r="AC1049" s="74"/>
      <c r="AD1049" s="81" t="s">
        <v>8725</v>
      </c>
      <c r="AE1049" s="86" t="s">
        <v>9708</v>
      </c>
      <c r="AF1049" s="81">
        <v>1184</v>
      </c>
      <c r="AG1049" s="81">
        <v>266272</v>
      </c>
      <c r="AH1049" s="81">
        <v>135348</v>
      </c>
      <c r="AI1049" s="81">
        <v>649</v>
      </c>
      <c r="AJ1049" s="81"/>
      <c r="AK1049" s="81" t="s">
        <v>10634</v>
      </c>
      <c r="AL1049" s="81" t="s">
        <v>11239</v>
      </c>
      <c r="AM1049" s="84" t="str">
        <f>HYPERLINK("https://t.co/iyNF4PK6Hq")</f>
        <v>https://t.co/iyNF4PK6Hq</v>
      </c>
      <c r="AN1049" s="81"/>
      <c r="AO1049" s="83">
        <v>40154.769837962966</v>
      </c>
      <c r="AP1049" s="84" t="str">
        <f>HYPERLINK("https://pbs.twimg.com/profile_banners/95253000/1545301853")</f>
        <v>https://pbs.twimg.com/profile_banners/95253000/1545301853</v>
      </c>
      <c r="AQ1049" s="81" t="b">
        <v>0</v>
      </c>
      <c r="AR1049" s="81" t="b">
        <v>0</v>
      </c>
      <c r="AS1049" s="81" t="b">
        <v>1</v>
      </c>
      <c r="AT1049" s="81"/>
      <c r="AU1049" s="81">
        <v>1233</v>
      </c>
      <c r="AV1049" s="84" t="str">
        <f>HYPERLINK("https://abs.twimg.com/images/themes/theme1/bg.png")</f>
        <v>https://abs.twimg.com/images/themes/theme1/bg.png</v>
      </c>
      <c r="AW1049" s="81" t="b">
        <v>0</v>
      </c>
      <c r="AX1049" s="81" t="s">
        <v>3728</v>
      </c>
      <c r="AY1049" s="84" t="str">
        <f>HYPERLINK("https://twitter.com/requiaooficial")</f>
        <v>https://twitter.com/requiaooficial</v>
      </c>
      <c r="AZ1049" s="81" t="s">
        <v>65</v>
      </c>
      <c r="BA1049" s="2"/>
      <c r="BB1049" s="3"/>
      <c r="BC1049" s="3"/>
      <c r="BD1049" s="3"/>
      <c r="BE1049" s="3"/>
    </row>
    <row r="1050" spans="1:57" x14ac:dyDescent="0.35">
      <c r="A1050" s="66" t="s">
        <v>5142</v>
      </c>
      <c r="B1050" s="67"/>
      <c r="C1050" s="67"/>
      <c r="D1050" s="68"/>
      <c r="E1050" s="94"/>
      <c r="F1050" s="93" t="str">
        <f>HYPERLINK("https://pbs.twimg.com/profile_images/1419463849829339139/Z5s2uUcT_normal.jpg")</f>
        <v>https://pbs.twimg.com/profile_images/1419463849829339139/Z5s2uUcT_normal.jpg</v>
      </c>
      <c r="G1050" s="95"/>
      <c r="H1050" s="71"/>
      <c r="I1050" s="72"/>
      <c r="J1050" s="96"/>
      <c r="K1050" s="71" t="s">
        <v>12100</v>
      </c>
      <c r="L1050" s="97"/>
      <c r="M1050" s="76"/>
      <c r="N1050" s="76"/>
      <c r="O1050" s="77"/>
      <c r="P1050" s="78"/>
      <c r="Q1050" s="78"/>
      <c r="R1050" s="92"/>
      <c r="S1050" s="92"/>
      <c r="T1050" s="92"/>
      <c r="U1050" s="92"/>
      <c r="V1050" s="52"/>
      <c r="W1050" s="52"/>
      <c r="X1050" s="52"/>
      <c r="Y1050" s="52"/>
      <c r="Z1050" s="51"/>
      <c r="AA1050" s="73"/>
      <c r="AB1050" s="73"/>
      <c r="AC1050" s="74"/>
      <c r="AD1050" s="81" t="s">
        <v>8726</v>
      </c>
      <c r="AE1050" s="86" t="s">
        <v>9709</v>
      </c>
      <c r="AF1050" s="81">
        <v>4987</v>
      </c>
      <c r="AG1050" s="81">
        <v>4197</v>
      </c>
      <c r="AH1050" s="81">
        <v>19166</v>
      </c>
      <c r="AI1050" s="81">
        <v>43163</v>
      </c>
      <c r="AJ1050" s="81"/>
      <c r="AK1050" s="81" t="s">
        <v>10635</v>
      </c>
      <c r="AL1050" s="81"/>
      <c r="AM1050" s="81"/>
      <c r="AN1050" s="81"/>
      <c r="AO1050" s="83">
        <v>42764.873495370368</v>
      </c>
      <c r="AP1050" s="84" t="str">
        <f>HYPERLINK("https://pbs.twimg.com/profile_banners/825810204935782400/1592627148")</f>
        <v>https://pbs.twimg.com/profile_banners/825810204935782400/1592627148</v>
      </c>
      <c r="AQ1050" s="81" t="b">
        <v>1</v>
      </c>
      <c r="AR1050" s="81" t="b">
        <v>0</v>
      </c>
      <c r="AS1050" s="81" t="b">
        <v>0</v>
      </c>
      <c r="AT1050" s="81"/>
      <c r="AU1050" s="81">
        <v>10</v>
      </c>
      <c r="AV1050" s="81"/>
      <c r="AW1050" s="81" t="b">
        <v>0</v>
      </c>
      <c r="AX1050" s="81" t="s">
        <v>3728</v>
      </c>
      <c r="AY1050" s="84" t="str">
        <f>HYPERLINK("https://twitter.com/joaorrios79")</f>
        <v>https://twitter.com/joaorrios79</v>
      </c>
      <c r="AZ1050" s="81" t="s">
        <v>65</v>
      </c>
      <c r="BA1050" s="2"/>
      <c r="BB1050" s="3"/>
      <c r="BC1050" s="3"/>
      <c r="BD1050" s="3"/>
      <c r="BE1050" s="3"/>
    </row>
    <row r="1051" spans="1:57" x14ac:dyDescent="0.35">
      <c r="A1051" s="66" t="s">
        <v>5143</v>
      </c>
      <c r="B1051" s="67"/>
      <c r="C1051" s="67"/>
      <c r="D1051" s="68"/>
      <c r="E1051" s="94"/>
      <c r="F1051" s="93" t="str">
        <f>HYPERLINK("https://pbs.twimg.com/profile_images/1346672916075835396/GgqEDS0C_normal.jpg")</f>
        <v>https://pbs.twimg.com/profile_images/1346672916075835396/GgqEDS0C_normal.jpg</v>
      </c>
      <c r="G1051" s="95"/>
      <c r="H1051" s="71"/>
      <c r="I1051" s="72"/>
      <c r="J1051" s="96"/>
      <c r="K1051" s="71" t="s">
        <v>12101</v>
      </c>
      <c r="L1051" s="97"/>
      <c r="M1051" s="76"/>
      <c r="N1051" s="76"/>
      <c r="O1051" s="77"/>
      <c r="P1051" s="78"/>
      <c r="Q1051" s="78"/>
      <c r="R1051" s="92"/>
      <c r="S1051" s="92"/>
      <c r="T1051" s="92"/>
      <c r="U1051" s="92"/>
      <c r="V1051" s="52"/>
      <c r="W1051" s="52"/>
      <c r="X1051" s="52"/>
      <c r="Y1051" s="52"/>
      <c r="Z1051" s="51"/>
      <c r="AA1051" s="73"/>
      <c r="AB1051" s="73"/>
      <c r="AC1051" s="74"/>
      <c r="AD1051" s="81" t="s">
        <v>8727</v>
      </c>
      <c r="AE1051" s="86" t="s">
        <v>7893</v>
      </c>
      <c r="AF1051" s="81">
        <v>67</v>
      </c>
      <c r="AG1051" s="81">
        <v>84</v>
      </c>
      <c r="AH1051" s="81">
        <v>916</v>
      </c>
      <c r="AI1051" s="81">
        <v>10435</v>
      </c>
      <c r="AJ1051" s="81"/>
      <c r="AK1051" s="81"/>
      <c r="AL1051" s="81" t="s">
        <v>11240</v>
      </c>
      <c r="AM1051" s="81"/>
      <c r="AN1051" s="81"/>
      <c r="AO1051" s="83">
        <v>40012.853773148148</v>
      </c>
      <c r="AP1051" s="81"/>
      <c r="AQ1051" s="81" t="b">
        <v>1</v>
      </c>
      <c r="AR1051" s="81" t="b">
        <v>0</v>
      </c>
      <c r="AS1051" s="81" t="b">
        <v>0</v>
      </c>
      <c r="AT1051" s="81"/>
      <c r="AU1051" s="81">
        <v>2</v>
      </c>
      <c r="AV1051" s="84" t="str">
        <f>HYPERLINK("https://abs.twimg.com/images/themes/theme1/bg.png")</f>
        <v>https://abs.twimg.com/images/themes/theme1/bg.png</v>
      </c>
      <c r="AW1051" s="81" t="b">
        <v>0</v>
      </c>
      <c r="AX1051" s="81" t="s">
        <v>3728</v>
      </c>
      <c r="AY1051" s="84" t="str">
        <f>HYPERLINK("https://twitter.com/r_senna")</f>
        <v>https://twitter.com/r_senna</v>
      </c>
      <c r="AZ1051" s="81" t="s">
        <v>65</v>
      </c>
      <c r="BA1051" s="2"/>
      <c r="BB1051" s="3"/>
      <c r="BC1051" s="3"/>
      <c r="BD1051" s="3"/>
      <c r="BE1051" s="3"/>
    </row>
    <row r="1052" spans="1:57" x14ac:dyDescent="0.35">
      <c r="A1052" s="66" t="s">
        <v>4705</v>
      </c>
      <c r="B1052" s="67"/>
      <c r="C1052" s="67"/>
      <c r="D1052" s="68"/>
      <c r="E1052" s="94"/>
      <c r="F1052" s="93" t="str">
        <f>HYPERLINK("https://pbs.twimg.com/profile_images/1360018147655450625/gsyZMAGi_normal.jpg")</f>
        <v>https://pbs.twimg.com/profile_images/1360018147655450625/gsyZMAGi_normal.jpg</v>
      </c>
      <c r="G1052" s="95"/>
      <c r="H1052" s="71"/>
      <c r="I1052" s="72"/>
      <c r="J1052" s="96"/>
      <c r="K1052" s="71" t="s">
        <v>12102</v>
      </c>
      <c r="L1052" s="97"/>
      <c r="M1052" s="76"/>
      <c r="N1052" s="76"/>
      <c r="O1052" s="77"/>
      <c r="P1052" s="78"/>
      <c r="Q1052" s="78"/>
      <c r="R1052" s="92"/>
      <c r="S1052" s="92"/>
      <c r="T1052" s="92"/>
      <c r="U1052" s="92"/>
      <c r="V1052" s="52"/>
      <c r="W1052" s="52"/>
      <c r="X1052" s="52"/>
      <c r="Y1052" s="52"/>
      <c r="Z1052" s="51"/>
      <c r="AA1052" s="73"/>
      <c r="AB1052" s="73"/>
      <c r="AC1052" s="74"/>
      <c r="AD1052" s="81" t="s">
        <v>8728</v>
      </c>
      <c r="AE1052" s="86" t="s">
        <v>9710</v>
      </c>
      <c r="AF1052" s="81">
        <v>840</v>
      </c>
      <c r="AG1052" s="81">
        <v>294</v>
      </c>
      <c r="AH1052" s="81">
        <v>10617</v>
      </c>
      <c r="AI1052" s="81">
        <v>29235</v>
      </c>
      <c r="AJ1052" s="81"/>
      <c r="AK1052" s="81" t="s">
        <v>10636</v>
      </c>
      <c r="AL1052" s="81" t="s">
        <v>11241</v>
      </c>
      <c r="AM1052" s="84" t="str">
        <f>HYPERLINK("https://t.co/KIK54rvGdR")</f>
        <v>https://t.co/KIK54rvGdR</v>
      </c>
      <c r="AN1052" s="81"/>
      <c r="AO1052" s="83">
        <v>44239.004710648151</v>
      </c>
      <c r="AP1052" s="84" t="str">
        <f>HYPERLINK("https://pbs.twimg.com/profile_banners/1360017398154289154/1613089637")</f>
        <v>https://pbs.twimg.com/profile_banners/1360017398154289154/1613089637</v>
      </c>
      <c r="AQ1052" s="81" t="b">
        <v>1</v>
      </c>
      <c r="AR1052" s="81" t="b">
        <v>0</v>
      </c>
      <c r="AS1052" s="81" t="b">
        <v>0</v>
      </c>
      <c r="AT1052" s="81"/>
      <c r="AU1052" s="81">
        <v>0</v>
      </c>
      <c r="AV1052" s="81"/>
      <c r="AW1052" s="81" t="b">
        <v>0</v>
      </c>
      <c r="AX1052" s="81" t="s">
        <v>3728</v>
      </c>
      <c r="AY1052" s="84" t="str">
        <f>HYPERLINK("https://twitter.com/solhidramix")</f>
        <v>https://twitter.com/solhidramix</v>
      </c>
      <c r="AZ1052" s="81" t="s">
        <v>66</v>
      </c>
      <c r="BA1052" s="2"/>
      <c r="BB1052" s="3"/>
      <c r="BC1052" s="3"/>
      <c r="BD1052" s="3"/>
      <c r="BE1052" s="3"/>
    </row>
    <row r="1053" spans="1:57" x14ac:dyDescent="0.35">
      <c r="A1053" s="66" t="s">
        <v>4706</v>
      </c>
      <c r="B1053" s="67"/>
      <c r="C1053" s="67"/>
      <c r="D1053" s="68"/>
      <c r="E1053" s="94"/>
      <c r="F1053" s="93" t="str">
        <f>HYPERLINK("https://pbs.twimg.com/profile_images/1399927843535138816/RGryAj8V_normal.jpg")</f>
        <v>https://pbs.twimg.com/profile_images/1399927843535138816/RGryAj8V_normal.jpg</v>
      </c>
      <c r="G1053" s="95"/>
      <c r="H1053" s="71"/>
      <c r="I1053" s="72"/>
      <c r="J1053" s="96"/>
      <c r="K1053" s="71" t="s">
        <v>12103</v>
      </c>
      <c r="L1053" s="97"/>
      <c r="M1053" s="76"/>
      <c r="N1053" s="76"/>
      <c r="O1053" s="77"/>
      <c r="P1053" s="78"/>
      <c r="Q1053" s="78"/>
      <c r="R1053" s="92"/>
      <c r="S1053" s="92"/>
      <c r="T1053" s="92"/>
      <c r="U1053" s="92"/>
      <c r="V1053" s="52"/>
      <c r="W1053" s="52"/>
      <c r="X1053" s="52"/>
      <c r="Y1053" s="52"/>
      <c r="Z1053" s="51"/>
      <c r="AA1053" s="73"/>
      <c r="AB1053" s="73"/>
      <c r="AC1053" s="74"/>
      <c r="AD1053" s="81" t="s">
        <v>8729</v>
      </c>
      <c r="AE1053" s="86" t="s">
        <v>9711</v>
      </c>
      <c r="AF1053" s="81">
        <v>3690</v>
      </c>
      <c r="AG1053" s="81">
        <v>3268</v>
      </c>
      <c r="AH1053" s="81">
        <v>40448</v>
      </c>
      <c r="AI1053" s="81">
        <v>92019</v>
      </c>
      <c r="AJ1053" s="81"/>
      <c r="AK1053" s="81" t="s">
        <v>10637</v>
      </c>
      <c r="AL1053" s="81" t="s">
        <v>11242</v>
      </c>
      <c r="AM1053" s="81"/>
      <c r="AN1053" s="81"/>
      <c r="AO1053" s="83">
        <v>44294.987627314818</v>
      </c>
      <c r="AP1053" s="84" t="str">
        <f>HYPERLINK("https://pbs.twimg.com/profile_banners/1380304948999651333/1618419887")</f>
        <v>https://pbs.twimg.com/profile_banners/1380304948999651333/1618419887</v>
      </c>
      <c r="AQ1053" s="81" t="b">
        <v>1</v>
      </c>
      <c r="AR1053" s="81" t="b">
        <v>0</v>
      </c>
      <c r="AS1053" s="81" t="b">
        <v>0</v>
      </c>
      <c r="AT1053" s="81"/>
      <c r="AU1053" s="81">
        <v>5</v>
      </c>
      <c r="AV1053" s="81"/>
      <c r="AW1053" s="81" t="b">
        <v>0</v>
      </c>
      <c r="AX1053" s="81" t="s">
        <v>3728</v>
      </c>
      <c r="AY1053" s="84" t="str">
        <f>HYPERLINK("https://twitter.com/mgdiegogo")</f>
        <v>https://twitter.com/mgdiegogo</v>
      </c>
      <c r="AZ1053" s="81" t="s">
        <v>66</v>
      </c>
      <c r="BA1053" s="2"/>
      <c r="BB1053" s="3"/>
      <c r="BC1053" s="3"/>
      <c r="BD1053" s="3"/>
      <c r="BE1053" s="3"/>
    </row>
    <row r="1054" spans="1:57" x14ac:dyDescent="0.35">
      <c r="A1054" s="66" t="s">
        <v>4707</v>
      </c>
      <c r="B1054" s="67"/>
      <c r="C1054" s="67"/>
      <c r="D1054" s="68"/>
      <c r="E1054" s="94"/>
      <c r="F1054" s="93" t="str">
        <f>HYPERLINK("https://pbs.twimg.com/profile_images/1424494114037510151/-mPan37P_normal.jpg")</f>
        <v>https://pbs.twimg.com/profile_images/1424494114037510151/-mPan37P_normal.jpg</v>
      </c>
      <c r="G1054" s="95"/>
      <c r="H1054" s="71"/>
      <c r="I1054" s="72"/>
      <c r="J1054" s="96"/>
      <c r="K1054" s="71" t="s">
        <v>12104</v>
      </c>
      <c r="L1054" s="97"/>
      <c r="M1054" s="76"/>
      <c r="N1054" s="76"/>
      <c r="O1054" s="77"/>
      <c r="P1054" s="78"/>
      <c r="Q1054" s="78"/>
      <c r="R1054" s="92"/>
      <c r="S1054" s="92"/>
      <c r="T1054" s="92"/>
      <c r="U1054" s="92"/>
      <c r="V1054" s="52"/>
      <c r="W1054" s="52"/>
      <c r="X1054" s="52"/>
      <c r="Y1054" s="52"/>
      <c r="Z1054" s="51"/>
      <c r="AA1054" s="73"/>
      <c r="AB1054" s="73"/>
      <c r="AC1054" s="74"/>
      <c r="AD1054" s="81" t="s">
        <v>8730</v>
      </c>
      <c r="AE1054" s="86" t="s">
        <v>9712</v>
      </c>
      <c r="AF1054" s="81">
        <v>837</v>
      </c>
      <c r="AG1054" s="81">
        <v>600</v>
      </c>
      <c r="AH1054" s="81">
        <v>1573</v>
      </c>
      <c r="AI1054" s="81">
        <v>2448</v>
      </c>
      <c r="AJ1054" s="81"/>
      <c r="AK1054" s="81" t="s">
        <v>10638</v>
      </c>
      <c r="AL1054" s="81" t="s">
        <v>11243</v>
      </c>
      <c r="AM1054" s="84" t="str">
        <f>HYPERLINK("https://t.co/XbLHKVKLSb")</f>
        <v>https://t.co/XbLHKVKLSb</v>
      </c>
      <c r="AN1054" s="81"/>
      <c r="AO1054" s="83">
        <v>40183.117511574077</v>
      </c>
      <c r="AP1054" s="84" t="str">
        <f>HYPERLINK("https://pbs.twimg.com/profile_banners/101935558/1497153459")</f>
        <v>https://pbs.twimg.com/profile_banners/101935558/1497153459</v>
      </c>
      <c r="AQ1054" s="81" t="b">
        <v>0</v>
      </c>
      <c r="AR1054" s="81" t="b">
        <v>0</v>
      </c>
      <c r="AS1054" s="81" t="b">
        <v>0</v>
      </c>
      <c r="AT1054" s="81"/>
      <c r="AU1054" s="81">
        <v>12</v>
      </c>
      <c r="AV1054" s="84" t="str">
        <f>HYPERLINK("https://abs.twimg.com/images/themes/theme1/bg.png")</f>
        <v>https://abs.twimg.com/images/themes/theme1/bg.png</v>
      </c>
      <c r="AW1054" s="81" t="b">
        <v>0</v>
      </c>
      <c r="AX1054" s="81" t="s">
        <v>3728</v>
      </c>
      <c r="AY1054" s="84" t="str">
        <f>HYPERLINK("https://twitter.com/tadeuuuuu")</f>
        <v>https://twitter.com/tadeuuuuu</v>
      </c>
      <c r="AZ1054" s="81" t="s">
        <v>66</v>
      </c>
      <c r="BA1054" s="2"/>
      <c r="BB1054" s="3"/>
      <c r="BC1054" s="3"/>
      <c r="BD1054" s="3"/>
      <c r="BE1054" s="3"/>
    </row>
    <row r="1055" spans="1:57" x14ac:dyDescent="0.35">
      <c r="A1055" s="66" t="s">
        <v>4708</v>
      </c>
      <c r="B1055" s="67"/>
      <c r="C1055" s="67"/>
      <c r="D1055" s="68"/>
      <c r="E1055" s="94"/>
      <c r="F1055" s="93" t="str">
        <f>HYPERLINK("https://pbs.twimg.com/profile_images/1150209341833789440/UOi8yrLP_normal.jpg")</f>
        <v>https://pbs.twimg.com/profile_images/1150209341833789440/UOi8yrLP_normal.jpg</v>
      </c>
      <c r="G1055" s="95"/>
      <c r="H1055" s="71"/>
      <c r="I1055" s="72"/>
      <c r="J1055" s="96"/>
      <c r="K1055" s="71" t="s">
        <v>12105</v>
      </c>
      <c r="L1055" s="97"/>
      <c r="M1055" s="76"/>
      <c r="N1055" s="76"/>
      <c r="O1055" s="77"/>
      <c r="P1055" s="78"/>
      <c r="Q1055" s="78"/>
      <c r="R1055" s="92"/>
      <c r="S1055" s="92"/>
      <c r="T1055" s="92"/>
      <c r="U1055" s="92"/>
      <c r="V1055" s="52"/>
      <c r="W1055" s="52"/>
      <c r="X1055" s="52"/>
      <c r="Y1055" s="52"/>
      <c r="Z1055" s="51"/>
      <c r="AA1055" s="73"/>
      <c r="AB1055" s="73"/>
      <c r="AC1055" s="74"/>
      <c r="AD1055" s="81" t="s">
        <v>8731</v>
      </c>
      <c r="AE1055" s="86" t="s">
        <v>9713</v>
      </c>
      <c r="AF1055" s="81">
        <v>1584</v>
      </c>
      <c r="AG1055" s="81">
        <v>830</v>
      </c>
      <c r="AH1055" s="81">
        <v>123292</v>
      </c>
      <c r="AI1055" s="81">
        <v>107042</v>
      </c>
      <c r="AJ1055" s="81"/>
      <c r="AK1055" s="81" t="s">
        <v>10639</v>
      </c>
      <c r="AL1055" s="81" t="s">
        <v>11244</v>
      </c>
      <c r="AM1055" s="81"/>
      <c r="AN1055" s="81"/>
      <c r="AO1055" s="83">
        <v>41864.502569444441</v>
      </c>
      <c r="AP1055" s="84" t="str">
        <f>HYPERLINK("https://pbs.twimg.com/profile_banners/2741674619/1552856936")</f>
        <v>https://pbs.twimg.com/profile_banners/2741674619/1552856936</v>
      </c>
      <c r="AQ1055" s="81" t="b">
        <v>1</v>
      </c>
      <c r="AR1055" s="81" t="b">
        <v>0</v>
      </c>
      <c r="AS1055" s="81" t="b">
        <v>1</v>
      </c>
      <c r="AT1055" s="81"/>
      <c r="AU1055" s="81">
        <v>6</v>
      </c>
      <c r="AV1055" s="84" t="str">
        <f>HYPERLINK("https://abs.twimg.com/images/themes/theme1/bg.png")</f>
        <v>https://abs.twimg.com/images/themes/theme1/bg.png</v>
      </c>
      <c r="AW1055" s="81" t="b">
        <v>0</v>
      </c>
      <c r="AX1055" s="81" t="s">
        <v>3728</v>
      </c>
      <c r="AY1055" s="84" t="str">
        <f>HYPERLINK("https://twitter.com/dilibra22maria")</f>
        <v>https://twitter.com/dilibra22maria</v>
      </c>
      <c r="AZ1055" s="81" t="s">
        <v>66</v>
      </c>
      <c r="BA1055" s="2"/>
      <c r="BB1055" s="3"/>
      <c r="BC1055" s="3"/>
      <c r="BD1055" s="3"/>
      <c r="BE1055" s="3"/>
    </row>
    <row r="1056" spans="1:57" x14ac:dyDescent="0.35">
      <c r="A1056" s="66" t="s">
        <v>4709</v>
      </c>
      <c r="B1056" s="67"/>
      <c r="C1056" s="67"/>
      <c r="D1056" s="68"/>
      <c r="E1056" s="94"/>
      <c r="F1056" s="93" t="str">
        <f>HYPERLINK("https://pbs.twimg.com/profile_images/1435406243758231555/xfmzp8_C_normal.jpg")</f>
        <v>https://pbs.twimg.com/profile_images/1435406243758231555/xfmzp8_C_normal.jpg</v>
      </c>
      <c r="G1056" s="95"/>
      <c r="H1056" s="71"/>
      <c r="I1056" s="72"/>
      <c r="J1056" s="96"/>
      <c r="K1056" s="71" t="s">
        <v>12106</v>
      </c>
      <c r="L1056" s="97"/>
      <c r="M1056" s="76"/>
      <c r="N1056" s="76"/>
      <c r="O1056" s="77"/>
      <c r="P1056" s="78"/>
      <c r="Q1056" s="78"/>
      <c r="R1056" s="92"/>
      <c r="S1056" s="92"/>
      <c r="T1056" s="92"/>
      <c r="U1056" s="92"/>
      <c r="V1056" s="52"/>
      <c r="W1056" s="52"/>
      <c r="X1056" s="52"/>
      <c r="Y1056" s="52"/>
      <c r="Z1056" s="51"/>
      <c r="AA1056" s="73"/>
      <c r="AB1056" s="73"/>
      <c r="AC1056" s="74"/>
      <c r="AD1056" s="81" t="s">
        <v>8732</v>
      </c>
      <c r="AE1056" s="86" t="s">
        <v>9714</v>
      </c>
      <c r="AF1056" s="81">
        <v>211</v>
      </c>
      <c r="AG1056" s="81">
        <v>604</v>
      </c>
      <c r="AH1056" s="81">
        <v>156986</v>
      </c>
      <c r="AI1056" s="81">
        <v>258876</v>
      </c>
      <c r="AJ1056" s="81"/>
      <c r="AK1056" s="81" t="s">
        <v>10640</v>
      </c>
      <c r="AL1056" s="81" t="s">
        <v>10985</v>
      </c>
      <c r="AM1056" s="84" t="str">
        <f>HYPERLINK("https://t.co/rbgzMXKZiM")</f>
        <v>https://t.co/rbgzMXKZiM</v>
      </c>
      <c r="AN1056" s="81"/>
      <c r="AO1056" s="83">
        <v>40271.009421296294</v>
      </c>
      <c r="AP1056" s="84" t="str">
        <f>HYPERLINK("https://pbs.twimg.com/profile_banners/129030748/1624679775")</f>
        <v>https://pbs.twimg.com/profile_banners/129030748/1624679775</v>
      </c>
      <c r="AQ1056" s="81" t="b">
        <v>0</v>
      </c>
      <c r="AR1056" s="81" t="b">
        <v>0</v>
      </c>
      <c r="AS1056" s="81" t="b">
        <v>1</v>
      </c>
      <c r="AT1056" s="81"/>
      <c r="AU1056" s="81">
        <v>0</v>
      </c>
      <c r="AV1056" s="84" t="str">
        <f>HYPERLINK("https://abs.twimg.com/images/themes/theme1/bg.png")</f>
        <v>https://abs.twimg.com/images/themes/theme1/bg.png</v>
      </c>
      <c r="AW1056" s="81" t="b">
        <v>0</v>
      </c>
      <c r="AX1056" s="81" t="s">
        <v>3728</v>
      </c>
      <c r="AY1056" s="84" t="str">
        <f>HYPERLINK("https://twitter.com/olivrubia")</f>
        <v>https://twitter.com/olivrubia</v>
      </c>
      <c r="AZ1056" s="81" t="s">
        <v>66</v>
      </c>
      <c r="BA1056" s="2"/>
      <c r="BB1056" s="3"/>
      <c r="BC1056" s="3"/>
      <c r="BD1056" s="3"/>
      <c r="BE1056" s="3"/>
    </row>
    <row r="1057" spans="1:57" x14ac:dyDescent="0.35">
      <c r="A1057" s="66" t="s">
        <v>4710</v>
      </c>
      <c r="B1057" s="67"/>
      <c r="C1057" s="67"/>
      <c r="D1057" s="68"/>
      <c r="E1057" s="94"/>
      <c r="F1057" s="93" t="str">
        <f>HYPERLINK("https://pbs.twimg.com/profile_images/1439041140016259075/9khM2cNL_normal.jpg")</f>
        <v>https://pbs.twimg.com/profile_images/1439041140016259075/9khM2cNL_normal.jpg</v>
      </c>
      <c r="G1057" s="95"/>
      <c r="H1057" s="71"/>
      <c r="I1057" s="72"/>
      <c r="J1057" s="96"/>
      <c r="K1057" s="71" t="s">
        <v>12107</v>
      </c>
      <c r="L1057" s="97"/>
      <c r="M1057" s="76"/>
      <c r="N1057" s="76"/>
      <c r="O1057" s="77"/>
      <c r="P1057" s="78"/>
      <c r="Q1057" s="78"/>
      <c r="R1057" s="92"/>
      <c r="S1057" s="92"/>
      <c r="T1057" s="92"/>
      <c r="U1057" s="92"/>
      <c r="V1057" s="52"/>
      <c r="W1057" s="52"/>
      <c r="X1057" s="52"/>
      <c r="Y1057" s="52"/>
      <c r="Z1057" s="51"/>
      <c r="AA1057" s="73"/>
      <c r="AB1057" s="73"/>
      <c r="AC1057" s="74"/>
      <c r="AD1057" s="81" t="s">
        <v>8733</v>
      </c>
      <c r="AE1057" s="86" t="s">
        <v>9715</v>
      </c>
      <c r="AF1057" s="81">
        <v>167</v>
      </c>
      <c r="AG1057" s="81">
        <v>46</v>
      </c>
      <c r="AH1057" s="81">
        <v>1118</v>
      </c>
      <c r="AI1057" s="81">
        <v>3457</v>
      </c>
      <c r="AJ1057" s="81"/>
      <c r="AK1057" s="81" t="s">
        <v>10641</v>
      </c>
      <c r="AL1057" s="81"/>
      <c r="AM1057" s="81"/>
      <c r="AN1057" s="81"/>
      <c r="AO1057" s="83">
        <v>44164.971446759257</v>
      </c>
      <c r="AP1057" s="84" t="str">
        <f>HYPERLINK("https://pbs.twimg.com/profile_banners/1333188668455088130/1630863681")</f>
        <v>https://pbs.twimg.com/profile_banners/1333188668455088130/1630863681</v>
      </c>
      <c r="AQ1057" s="81" t="b">
        <v>1</v>
      </c>
      <c r="AR1057" s="81" t="b">
        <v>0</v>
      </c>
      <c r="AS1057" s="81" t="b">
        <v>1</v>
      </c>
      <c r="AT1057" s="81"/>
      <c r="AU1057" s="81">
        <v>0</v>
      </c>
      <c r="AV1057" s="81"/>
      <c r="AW1057" s="81" t="b">
        <v>0</v>
      </c>
      <c r="AX1057" s="81" t="s">
        <v>3728</v>
      </c>
      <c r="AY1057" s="84" t="str">
        <f>HYPERLINK("https://twitter.com/messiasvinii")</f>
        <v>https://twitter.com/messiasvinii</v>
      </c>
      <c r="AZ1057" s="81" t="s">
        <v>66</v>
      </c>
      <c r="BA1057" s="2"/>
      <c r="BB1057" s="3"/>
      <c r="BC1057" s="3"/>
      <c r="BD1057" s="3"/>
      <c r="BE1057" s="3"/>
    </row>
    <row r="1058" spans="1:57" x14ac:dyDescent="0.35">
      <c r="A1058" s="66" t="s">
        <v>4711</v>
      </c>
      <c r="B1058" s="67"/>
      <c r="C1058" s="67"/>
      <c r="D1058" s="68"/>
      <c r="E1058" s="94"/>
      <c r="F1058" s="93" t="str">
        <f>HYPERLINK("https://pbs.twimg.com/profile_images/1423507954423238663/pLgGDIbw_normal.jpg")</f>
        <v>https://pbs.twimg.com/profile_images/1423507954423238663/pLgGDIbw_normal.jpg</v>
      </c>
      <c r="G1058" s="95"/>
      <c r="H1058" s="71"/>
      <c r="I1058" s="72"/>
      <c r="J1058" s="96"/>
      <c r="K1058" s="71" t="s">
        <v>12108</v>
      </c>
      <c r="L1058" s="97"/>
      <c r="M1058" s="76"/>
      <c r="N1058" s="76"/>
      <c r="O1058" s="77"/>
      <c r="P1058" s="78"/>
      <c r="Q1058" s="78"/>
      <c r="R1058" s="92"/>
      <c r="S1058" s="92"/>
      <c r="T1058" s="92"/>
      <c r="U1058" s="92"/>
      <c r="V1058" s="52"/>
      <c r="W1058" s="52"/>
      <c r="X1058" s="52"/>
      <c r="Y1058" s="52"/>
      <c r="Z1058" s="51"/>
      <c r="AA1058" s="73"/>
      <c r="AB1058" s="73"/>
      <c r="AC1058" s="74"/>
      <c r="AD1058" s="81" t="s">
        <v>8734</v>
      </c>
      <c r="AE1058" s="86" t="s">
        <v>9716</v>
      </c>
      <c r="AF1058" s="81">
        <v>6380</v>
      </c>
      <c r="AG1058" s="81">
        <v>9870</v>
      </c>
      <c r="AH1058" s="81">
        <v>16844</v>
      </c>
      <c r="AI1058" s="81">
        <v>77824</v>
      </c>
      <c r="AJ1058" s="81"/>
      <c r="AK1058" s="81" t="s">
        <v>10642</v>
      </c>
      <c r="AL1058" s="81" t="s">
        <v>10985</v>
      </c>
      <c r="AM1058" s="81"/>
      <c r="AN1058" s="81"/>
      <c r="AO1058" s="83">
        <v>42104.031712962962</v>
      </c>
      <c r="AP1058" s="84" t="str">
        <f>HYPERLINK("https://pbs.twimg.com/profile_banners/3153149182/1628855913")</f>
        <v>https://pbs.twimg.com/profile_banners/3153149182/1628855913</v>
      </c>
      <c r="AQ1058" s="81" t="b">
        <v>1</v>
      </c>
      <c r="AR1058" s="81" t="b">
        <v>0</v>
      </c>
      <c r="AS1058" s="81" t="b">
        <v>0</v>
      </c>
      <c r="AT1058" s="81"/>
      <c r="AU1058" s="81">
        <v>11</v>
      </c>
      <c r="AV1058" s="84" t="str">
        <f>HYPERLINK("https://abs.twimg.com/images/themes/theme1/bg.png")</f>
        <v>https://abs.twimg.com/images/themes/theme1/bg.png</v>
      </c>
      <c r="AW1058" s="81" t="b">
        <v>0</v>
      </c>
      <c r="AX1058" s="81" t="s">
        <v>3728</v>
      </c>
      <c r="AY1058" s="84" t="str">
        <f>HYPERLINK("https://twitter.com/anakajsantos")</f>
        <v>https://twitter.com/anakajsantos</v>
      </c>
      <c r="AZ1058" s="81" t="s">
        <v>66</v>
      </c>
      <c r="BA1058" s="2"/>
      <c r="BB1058" s="3"/>
      <c r="BC1058" s="3"/>
      <c r="BD1058" s="3"/>
      <c r="BE1058" s="3"/>
    </row>
    <row r="1059" spans="1:57" x14ac:dyDescent="0.35">
      <c r="A1059" s="66" t="s">
        <v>4712</v>
      </c>
      <c r="B1059" s="67"/>
      <c r="C1059" s="67"/>
      <c r="D1059" s="68"/>
      <c r="E1059" s="94"/>
      <c r="F1059" s="93" t="str">
        <f>HYPERLINK("https://pbs.twimg.com/profile_images/1430664186468655104/GIPc0CXm_normal.jpg")</f>
        <v>https://pbs.twimg.com/profile_images/1430664186468655104/GIPc0CXm_normal.jpg</v>
      </c>
      <c r="G1059" s="95"/>
      <c r="H1059" s="71"/>
      <c r="I1059" s="72"/>
      <c r="J1059" s="96"/>
      <c r="K1059" s="71" t="s">
        <v>12109</v>
      </c>
      <c r="L1059" s="97"/>
      <c r="M1059" s="76"/>
      <c r="N1059" s="76"/>
      <c r="O1059" s="77"/>
      <c r="P1059" s="78"/>
      <c r="Q1059" s="78"/>
      <c r="R1059" s="92"/>
      <c r="S1059" s="92"/>
      <c r="T1059" s="92"/>
      <c r="U1059" s="92"/>
      <c r="V1059" s="52"/>
      <c r="W1059" s="52"/>
      <c r="X1059" s="52"/>
      <c r="Y1059" s="52"/>
      <c r="Z1059" s="51"/>
      <c r="AA1059" s="73"/>
      <c r="AB1059" s="73"/>
      <c r="AC1059" s="74"/>
      <c r="AD1059" s="81" t="s">
        <v>8735</v>
      </c>
      <c r="AE1059" s="86" t="s">
        <v>9717</v>
      </c>
      <c r="AF1059" s="81">
        <v>6124</v>
      </c>
      <c r="AG1059" s="81">
        <v>5574</v>
      </c>
      <c r="AH1059" s="81">
        <v>208414</v>
      </c>
      <c r="AI1059" s="81">
        <v>200397</v>
      </c>
      <c r="AJ1059" s="81"/>
      <c r="AK1059" s="81" t="s">
        <v>10643</v>
      </c>
      <c r="AL1059" s="81" t="s">
        <v>11245</v>
      </c>
      <c r="AM1059" s="81"/>
      <c r="AN1059" s="81"/>
      <c r="AO1059" s="83">
        <v>41751.513912037037</v>
      </c>
      <c r="AP1059" s="84" t="str">
        <f>HYPERLINK("https://pbs.twimg.com/profile_banners/2458064395/1597703327")</f>
        <v>https://pbs.twimg.com/profile_banners/2458064395/1597703327</v>
      </c>
      <c r="AQ1059" s="81" t="b">
        <v>1</v>
      </c>
      <c r="AR1059" s="81" t="b">
        <v>0</v>
      </c>
      <c r="AS1059" s="81" t="b">
        <v>0</v>
      </c>
      <c r="AT1059" s="81"/>
      <c r="AU1059" s="81">
        <v>2</v>
      </c>
      <c r="AV1059" s="84" t="str">
        <f>HYPERLINK("https://abs.twimg.com/images/themes/theme1/bg.png")</f>
        <v>https://abs.twimg.com/images/themes/theme1/bg.png</v>
      </c>
      <c r="AW1059" s="81" t="b">
        <v>0</v>
      </c>
      <c r="AX1059" s="81" t="s">
        <v>3728</v>
      </c>
      <c r="AY1059" s="84" t="str">
        <f>HYPERLINK("https://twitter.com/juspartidaria")</f>
        <v>https://twitter.com/juspartidaria</v>
      </c>
      <c r="AZ1059" s="81" t="s">
        <v>66</v>
      </c>
      <c r="BA1059" s="2"/>
      <c r="BB1059" s="3"/>
      <c r="BC1059" s="3"/>
      <c r="BD1059" s="3"/>
      <c r="BE1059" s="3"/>
    </row>
    <row r="1060" spans="1:57" x14ac:dyDescent="0.35">
      <c r="A1060" s="66" t="s">
        <v>4713</v>
      </c>
      <c r="B1060" s="67"/>
      <c r="C1060" s="67"/>
      <c r="D1060" s="68"/>
      <c r="E1060" s="94"/>
      <c r="F1060" s="93" t="str">
        <f>HYPERLINK("https://pbs.twimg.com/profile_images/1159289046084009984/Gz_8pB8H_normal.jpg")</f>
        <v>https://pbs.twimg.com/profile_images/1159289046084009984/Gz_8pB8H_normal.jpg</v>
      </c>
      <c r="G1060" s="95"/>
      <c r="H1060" s="71"/>
      <c r="I1060" s="72"/>
      <c r="J1060" s="96"/>
      <c r="K1060" s="71" t="s">
        <v>12110</v>
      </c>
      <c r="L1060" s="97"/>
      <c r="M1060" s="76"/>
      <c r="N1060" s="76"/>
      <c r="O1060" s="77"/>
      <c r="P1060" s="78"/>
      <c r="Q1060" s="78"/>
      <c r="R1060" s="92"/>
      <c r="S1060" s="92"/>
      <c r="T1060" s="92"/>
      <c r="U1060" s="92"/>
      <c r="V1060" s="52"/>
      <c r="W1060" s="52"/>
      <c r="X1060" s="52"/>
      <c r="Y1060" s="52"/>
      <c r="Z1060" s="51"/>
      <c r="AA1060" s="73"/>
      <c r="AB1060" s="73"/>
      <c r="AC1060" s="74"/>
      <c r="AD1060" s="81" t="s">
        <v>8736</v>
      </c>
      <c r="AE1060" s="86" t="s">
        <v>9718</v>
      </c>
      <c r="AF1060" s="81">
        <v>4999</v>
      </c>
      <c r="AG1060" s="81">
        <v>3729</v>
      </c>
      <c r="AH1060" s="81">
        <v>192236</v>
      </c>
      <c r="AI1060" s="81">
        <v>173452</v>
      </c>
      <c r="AJ1060" s="81"/>
      <c r="AK1060" s="81" t="s">
        <v>10644</v>
      </c>
      <c r="AL1060" s="81" t="s">
        <v>11246</v>
      </c>
      <c r="AM1060" s="81"/>
      <c r="AN1060" s="81"/>
      <c r="AO1060" s="83">
        <v>43279.954143518517</v>
      </c>
      <c r="AP1060" s="84" t="str">
        <f>HYPERLINK("https://pbs.twimg.com/profile_banners/1012469182359842816/1563717379")</f>
        <v>https://pbs.twimg.com/profile_banners/1012469182359842816/1563717379</v>
      </c>
      <c r="AQ1060" s="81" t="b">
        <v>0</v>
      </c>
      <c r="AR1060" s="81" t="b">
        <v>0</v>
      </c>
      <c r="AS1060" s="81" t="b">
        <v>0</v>
      </c>
      <c r="AT1060" s="81"/>
      <c r="AU1060" s="81">
        <v>0</v>
      </c>
      <c r="AV1060" s="84" t="str">
        <f>HYPERLINK("https://abs.twimg.com/images/themes/theme1/bg.png")</f>
        <v>https://abs.twimg.com/images/themes/theme1/bg.png</v>
      </c>
      <c r="AW1060" s="81" t="b">
        <v>0</v>
      </c>
      <c r="AX1060" s="81" t="s">
        <v>3728</v>
      </c>
      <c r="AY1060" s="84" t="str">
        <f>HYPERLINK("https://twitter.com/mariademirai")</f>
        <v>https://twitter.com/mariademirai</v>
      </c>
      <c r="AZ1060" s="81" t="s">
        <v>66</v>
      </c>
      <c r="BA1060" s="2"/>
      <c r="BB1060" s="3"/>
      <c r="BC1060" s="3"/>
      <c r="BD1060" s="3"/>
      <c r="BE1060" s="3"/>
    </row>
    <row r="1061" spans="1:57" x14ac:dyDescent="0.35">
      <c r="A1061" s="66" t="s">
        <v>4714</v>
      </c>
      <c r="B1061" s="67"/>
      <c r="C1061" s="67"/>
      <c r="D1061" s="68"/>
      <c r="E1061" s="94"/>
      <c r="F1061" s="93" t="str">
        <f>HYPERLINK("https://pbs.twimg.com/profile_images/998905371476475904/iMVOp17b_normal.jpg")</f>
        <v>https://pbs.twimg.com/profile_images/998905371476475904/iMVOp17b_normal.jpg</v>
      </c>
      <c r="G1061" s="95"/>
      <c r="H1061" s="71"/>
      <c r="I1061" s="72"/>
      <c r="J1061" s="96"/>
      <c r="K1061" s="71" t="s">
        <v>12111</v>
      </c>
      <c r="L1061" s="97"/>
      <c r="M1061" s="76"/>
      <c r="N1061" s="76"/>
      <c r="O1061" s="77"/>
      <c r="P1061" s="78"/>
      <c r="Q1061" s="78"/>
      <c r="R1061" s="92"/>
      <c r="S1061" s="92"/>
      <c r="T1061" s="92"/>
      <c r="U1061" s="92"/>
      <c r="V1061" s="52"/>
      <c r="W1061" s="52"/>
      <c r="X1061" s="52"/>
      <c r="Y1061" s="52"/>
      <c r="Z1061" s="51"/>
      <c r="AA1061" s="73"/>
      <c r="AB1061" s="73"/>
      <c r="AC1061" s="74"/>
      <c r="AD1061" s="81" t="s">
        <v>8737</v>
      </c>
      <c r="AE1061" s="86" t="s">
        <v>9719</v>
      </c>
      <c r="AF1061" s="81">
        <v>118</v>
      </c>
      <c r="AG1061" s="81">
        <v>65</v>
      </c>
      <c r="AH1061" s="81">
        <v>3148</v>
      </c>
      <c r="AI1061" s="81">
        <v>45701</v>
      </c>
      <c r="AJ1061" s="81"/>
      <c r="AK1061" s="86" t="s">
        <v>10645</v>
      </c>
      <c r="AL1061" s="81"/>
      <c r="AM1061" s="84" t="str">
        <f>HYPERLINK("https://t.co/HLW8px0AxF")</f>
        <v>https://t.co/HLW8px0AxF</v>
      </c>
      <c r="AN1061" s="81"/>
      <c r="AO1061" s="83">
        <v>40196.634895833333</v>
      </c>
      <c r="AP1061" s="84" t="str">
        <f>HYPERLINK("https://pbs.twimg.com/profile_banners/106117550/1538148536")</f>
        <v>https://pbs.twimg.com/profile_banners/106117550/1538148536</v>
      </c>
      <c r="AQ1061" s="81" t="b">
        <v>0</v>
      </c>
      <c r="AR1061" s="81" t="b">
        <v>0</v>
      </c>
      <c r="AS1061" s="81" t="b">
        <v>0</v>
      </c>
      <c r="AT1061" s="81"/>
      <c r="AU1061" s="81">
        <v>0</v>
      </c>
      <c r="AV1061" s="84" t="str">
        <f>HYPERLINK("https://abs.twimg.com/images/themes/theme9/bg.gif")</f>
        <v>https://abs.twimg.com/images/themes/theme9/bg.gif</v>
      </c>
      <c r="AW1061" s="81" t="b">
        <v>0</v>
      </c>
      <c r="AX1061" s="81" t="s">
        <v>3728</v>
      </c>
      <c r="AY1061" s="84" t="str">
        <f>HYPERLINK("https://twitter.com/josealfredojr")</f>
        <v>https://twitter.com/josealfredojr</v>
      </c>
      <c r="AZ1061" s="81" t="s">
        <v>66</v>
      </c>
      <c r="BA1061" s="2"/>
      <c r="BB1061" s="3"/>
      <c r="BC1061" s="3"/>
      <c r="BD1061" s="3"/>
      <c r="BE1061" s="3"/>
    </row>
    <row r="1062" spans="1:57" x14ac:dyDescent="0.35">
      <c r="A1062" s="66" t="s">
        <v>4715</v>
      </c>
      <c r="B1062" s="67"/>
      <c r="C1062" s="67"/>
      <c r="D1062" s="68"/>
      <c r="E1062" s="94"/>
      <c r="F1062" s="93" t="str">
        <f>HYPERLINK("https://pbs.twimg.com/profile_images/641465441186127872/EOdW4ghH_normal.jpg")</f>
        <v>https://pbs.twimg.com/profile_images/641465441186127872/EOdW4ghH_normal.jpg</v>
      </c>
      <c r="G1062" s="95"/>
      <c r="H1062" s="71"/>
      <c r="I1062" s="72"/>
      <c r="J1062" s="96"/>
      <c r="K1062" s="71" t="s">
        <v>12112</v>
      </c>
      <c r="L1062" s="97"/>
      <c r="M1062" s="76"/>
      <c r="N1062" s="76"/>
      <c r="O1062" s="77"/>
      <c r="P1062" s="78"/>
      <c r="Q1062" s="78"/>
      <c r="R1062" s="92"/>
      <c r="S1062" s="92"/>
      <c r="T1062" s="92"/>
      <c r="U1062" s="92"/>
      <c r="V1062" s="52"/>
      <c r="W1062" s="52"/>
      <c r="X1062" s="52"/>
      <c r="Y1062" s="52"/>
      <c r="Z1062" s="51"/>
      <c r="AA1062" s="73"/>
      <c r="AB1062" s="73"/>
      <c r="AC1062" s="74"/>
      <c r="AD1062" s="81" t="s">
        <v>8738</v>
      </c>
      <c r="AE1062" s="86" t="s">
        <v>9720</v>
      </c>
      <c r="AF1062" s="81">
        <v>1332</v>
      </c>
      <c r="AG1062" s="81">
        <v>399</v>
      </c>
      <c r="AH1062" s="81">
        <v>3573</v>
      </c>
      <c r="AI1062" s="81">
        <v>1172</v>
      </c>
      <c r="AJ1062" s="81"/>
      <c r="AK1062" s="81" t="s">
        <v>10646</v>
      </c>
      <c r="AL1062" s="81" t="s">
        <v>11247</v>
      </c>
      <c r="AM1062" s="81"/>
      <c r="AN1062" s="81"/>
      <c r="AO1062" s="83">
        <v>40072.134594907409</v>
      </c>
      <c r="AP1062" s="84" t="str">
        <f>HYPERLINK("https://pbs.twimg.com/profile_banners/74638848/1542926939")</f>
        <v>https://pbs.twimg.com/profile_banners/74638848/1542926939</v>
      </c>
      <c r="AQ1062" s="81" t="b">
        <v>1</v>
      </c>
      <c r="AR1062" s="81" t="b">
        <v>0</v>
      </c>
      <c r="AS1062" s="81" t="b">
        <v>0</v>
      </c>
      <c r="AT1062" s="81"/>
      <c r="AU1062" s="81">
        <v>1</v>
      </c>
      <c r="AV1062" s="84" t="str">
        <f>HYPERLINK("https://abs.twimg.com/images/themes/theme1/bg.png")</f>
        <v>https://abs.twimg.com/images/themes/theme1/bg.png</v>
      </c>
      <c r="AW1062" s="81" t="b">
        <v>0</v>
      </c>
      <c r="AX1062" s="81" t="s">
        <v>3728</v>
      </c>
      <c r="AY1062" s="84" t="str">
        <f>HYPERLINK("https://twitter.com/gabrielmusso")</f>
        <v>https://twitter.com/gabrielmusso</v>
      </c>
      <c r="AZ1062" s="81" t="s">
        <v>66</v>
      </c>
      <c r="BA1062" s="2"/>
      <c r="BB1062" s="3"/>
      <c r="BC1062" s="3"/>
      <c r="BD1062" s="3"/>
      <c r="BE1062" s="3"/>
    </row>
    <row r="1063" spans="1:57" x14ac:dyDescent="0.35">
      <c r="A1063" s="66" t="s">
        <v>5144</v>
      </c>
      <c r="B1063" s="67"/>
      <c r="C1063" s="67"/>
      <c r="D1063" s="68"/>
      <c r="E1063" s="94"/>
      <c r="F1063" s="93" t="str">
        <f>HYPERLINK("https://pbs.twimg.com/profile_images/1439755634421997568/Y8smoHWQ_normal.jpg")</f>
        <v>https://pbs.twimg.com/profile_images/1439755634421997568/Y8smoHWQ_normal.jpg</v>
      </c>
      <c r="G1063" s="95"/>
      <c r="H1063" s="71"/>
      <c r="I1063" s="72"/>
      <c r="J1063" s="96"/>
      <c r="K1063" s="71" t="s">
        <v>12113</v>
      </c>
      <c r="L1063" s="97"/>
      <c r="M1063" s="76"/>
      <c r="N1063" s="76"/>
      <c r="O1063" s="77"/>
      <c r="P1063" s="78"/>
      <c r="Q1063" s="78"/>
      <c r="R1063" s="92"/>
      <c r="S1063" s="92"/>
      <c r="T1063" s="92"/>
      <c r="U1063" s="92"/>
      <c r="V1063" s="52"/>
      <c r="W1063" s="52"/>
      <c r="X1063" s="52"/>
      <c r="Y1063" s="52"/>
      <c r="Z1063" s="51"/>
      <c r="AA1063" s="73"/>
      <c r="AB1063" s="73"/>
      <c r="AC1063" s="74"/>
      <c r="AD1063" s="81" t="s">
        <v>8739</v>
      </c>
      <c r="AE1063" s="86" t="s">
        <v>9721</v>
      </c>
      <c r="AF1063" s="81">
        <v>748</v>
      </c>
      <c r="AG1063" s="81">
        <v>144826</v>
      </c>
      <c r="AH1063" s="81">
        <v>32927</v>
      </c>
      <c r="AI1063" s="81">
        <v>107881</v>
      </c>
      <c r="AJ1063" s="81"/>
      <c r="AK1063" s="81" t="s">
        <v>10647</v>
      </c>
      <c r="AL1063" s="81" t="s">
        <v>11248</v>
      </c>
      <c r="AM1063" s="81"/>
      <c r="AN1063" s="81"/>
      <c r="AO1063" s="83">
        <v>42940.979629629626</v>
      </c>
      <c r="AP1063" s="84" t="str">
        <f>HYPERLINK("https://pbs.twimg.com/profile_banners/889628930436730881/1624309203")</f>
        <v>https://pbs.twimg.com/profile_banners/889628930436730881/1624309203</v>
      </c>
      <c r="AQ1063" s="81" t="b">
        <v>1</v>
      </c>
      <c r="AR1063" s="81" t="b">
        <v>0</v>
      </c>
      <c r="AS1063" s="81" t="b">
        <v>0</v>
      </c>
      <c r="AT1063" s="81"/>
      <c r="AU1063" s="81">
        <v>499</v>
      </c>
      <c r="AV1063" s="81"/>
      <c r="AW1063" s="81" t="b">
        <v>0</v>
      </c>
      <c r="AX1063" s="81" t="s">
        <v>3728</v>
      </c>
      <c r="AY1063" s="84" t="str">
        <f>HYPERLINK("https://twitter.com/_makavelijones")</f>
        <v>https://twitter.com/_makavelijones</v>
      </c>
      <c r="AZ1063" s="81" t="s">
        <v>65</v>
      </c>
      <c r="BA1063" s="2"/>
      <c r="BB1063" s="3"/>
      <c r="BC1063" s="3"/>
      <c r="BD1063" s="3"/>
      <c r="BE1063" s="3"/>
    </row>
    <row r="1064" spans="1:57" x14ac:dyDescent="0.35">
      <c r="A1064" s="66" t="s">
        <v>5145</v>
      </c>
      <c r="B1064" s="67"/>
      <c r="C1064" s="67"/>
      <c r="D1064" s="68"/>
      <c r="E1064" s="94"/>
      <c r="F1064" s="93" t="str">
        <f>HYPERLINK("https://pbs.twimg.com/profile_images/1268557223732674560/9ij5HFml_normal.jpg")</f>
        <v>https://pbs.twimg.com/profile_images/1268557223732674560/9ij5HFml_normal.jpg</v>
      </c>
      <c r="G1064" s="95"/>
      <c r="H1064" s="71"/>
      <c r="I1064" s="72"/>
      <c r="J1064" s="96"/>
      <c r="K1064" s="71" t="s">
        <v>12114</v>
      </c>
      <c r="L1064" s="97"/>
      <c r="M1064" s="76"/>
      <c r="N1064" s="76"/>
      <c r="O1064" s="77"/>
      <c r="P1064" s="78"/>
      <c r="Q1064" s="78"/>
      <c r="R1064" s="92"/>
      <c r="S1064" s="92"/>
      <c r="T1064" s="92"/>
      <c r="U1064" s="92"/>
      <c r="V1064" s="52"/>
      <c r="W1064" s="52"/>
      <c r="X1064" s="52"/>
      <c r="Y1064" s="52"/>
      <c r="Z1064" s="51"/>
      <c r="AA1064" s="73"/>
      <c r="AB1064" s="73"/>
      <c r="AC1064" s="74"/>
      <c r="AD1064" s="81" t="s">
        <v>8740</v>
      </c>
      <c r="AE1064" s="86" t="s">
        <v>7894</v>
      </c>
      <c r="AF1064" s="81">
        <v>649</v>
      </c>
      <c r="AG1064" s="81">
        <v>286</v>
      </c>
      <c r="AH1064" s="81">
        <v>13784</v>
      </c>
      <c r="AI1064" s="81">
        <v>48291</v>
      </c>
      <c r="AJ1064" s="81"/>
      <c r="AK1064" s="81" t="s">
        <v>10648</v>
      </c>
      <c r="AL1064" s="81"/>
      <c r="AM1064" s="81"/>
      <c r="AN1064" s="81"/>
      <c r="AO1064" s="83">
        <v>43306.624444444446</v>
      </c>
      <c r="AP1064" s="84" t="str">
        <f>HYPERLINK("https://pbs.twimg.com/profile_banners/1022134176097738755/1593181891")</f>
        <v>https://pbs.twimg.com/profile_banners/1022134176097738755/1593181891</v>
      </c>
      <c r="AQ1064" s="81" t="b">
        <v>1</v>
      </c>
      <c r="AR1064" s="81" t="b">
        <v>0</v>
      </c>
      <c r="AS1064" s="81" t="b">
        <v>0</v>
      </c>
      <c r="AT1064" s="81"/>
      <c r="AU1064" s="81">
        <v>1</v>
      </c>
      <c r="AV1064" s="81"/>
      <c r="AW1064" s="81" t="b">
        <v>0</v>
      </c>
      <c r="AX1064" s="81" t="s">
        <v>3728</v>
      </c>
      <c r="AY1064" s="84" t="str">
        <f>HYPERLINK("https://twitter.com/puracoragem")</f>
        <v>https://twitter.com/puracoragem</v>
      </c>
      <c r="AZ1064" s="81" t="s">
        <v>65</v>
      </c>
      <c r="BA1064" s="2"/>
      <c r="BB1064" s="3"/>
      <c r="BC1064" s="3"/>
      <c r="BD1064" s="3"/>
      <c r="BE1064" s="3"/>
    </row>
    <row r="1065" spans="1:57" x14ac:dyDescent="0.35">
      <c r="A1065" s="66" t="s">
        <v>4716</v>
      </c>
      <c r="B1065" s="67"/>
      <c r="C1065" s="67"/>
      <c r="D1065" s="68"/>
      <c r="E1065" s="94"/>
      <c r="F1065" s="93" t="str">
        <f>HYPERLINK("https://pbs.twimg.com/profile_images/1363795170743975938/gxVox66m_normal.jpg")</f>
        <v>https://pbs.twimg.com/profile_images/1363795170743975938/gxVox66m_normal.jpg</v>
      </c>
      <c r="G1065" s="95"/>
      <c r="H1065" s="71"/>
      <c r="I1065" s="72"/>
      <c r="J1065" s="96"/>
      <c r="K1065" s="71" t="s">
        <v>12115</v>
      </c>
      <c r="L1065" s="97"/>
      <c r="M1065" s="76"/>
      <c r="N1065" s="76"/>
      <c r="O1065" s="77"/>
      <c r="P1065" s="78"/>
      <c r="Q1065" s="78"/>
      <c r="R1065" s="92"/>
      <c r="S1065" s="92"/>
      <c r="T1065" s="92"/>
      <c r="U1065" s="92"/>
      <c r="V1065" s="52"/>
      <c r="W1065" s="52"/>
      <c r="X1065" s="52"/>
      <c r="Y1065" s="52"/>
      <c r="Z1065" s="51"/>
      <c r="AA1065" s="73"/>
      <c r="AB1065" s="73"/>
      <c r="AC1065" s="74"/>
      <c r="AD1065" s="81" t="s">
        <v>8741</v>
      </c>
      <c r="AE1065" s="86" t="s">
        <v>9722</v>
      </c>
      <c r="AF1065" s="81">
        <v>2364</v>
      </c>
      <c r="AG1065" s="81">
        <v>1486</v>
      </c>
      <c r="AH1065" s="81">
        <v>18459</v>
      </c>
      <c r="AI1065" s="81">
        <v>10956</v>
      </c>
      <c r="AJ1065" s="81"/>
      <c r="AK1065" s="81" t="s">
        <v>10649</v>
      </c>
      <c r="AL1065" s="81"/>
      <c r="AM1065" s="81"/>
      <c r="AN1065" s="81"/>
      <c r="AO1065" s="83">
        <v>44209.835416666669</v>
      </c>
      <c r="AP1065" s="84" t="str">
        <f>HYPERLINK("https://pbs.twimg.com/profile_banners/1349446797148758028/1629158963")</f>
        <v>https://pbs.twimg.com/profile_banners/1349446797148758028/1629158963</v>
      </c>
      <c r="AQ1065" s="81" t="b">
        <v>1</v>
      </c>
      <c r="AR1065" s="81" t="b">
        <v>0</v>
      </c>
      <c r="AS1065" s="81" t="b">
        <v>0</v>
      </c>
      <c r="AT1065" s="81"/>
      <c r="AU1065" s="81">
        <v>0</v>
      </c>
      <c r="AV1065" s="81"/>
      <c r="AW1065" s="81" t="b">
        <v>0</v>
      </c>
      <c r="AX1065" s="81" t="s">
        <v>3728</v>
      </c>
      <c r="AY1065" s="84" t="str">
        <f>HYPERLINK("https://twitter.com/beguinho9")</f>
        <v>https://twitter.com/beguinho9</v>
      </c>
      <c r="AZ1065" s="81" t="s">
        <v>66</v>
      </c>
      <c r="BA1065" s="2"/>
      <c r="BB1065" s="3"/>
      <c r="BC1065" s="3"/>
      <c r="BD1065" s="3"/>
      <c r="BE1065" s="3"/>
    </row>
    <row r="1066" spans="1:57" x14ac:dyDescent="0.35">
      <c r="A1066" s="66" t="s">
        <v>4717</v>
      </c>
      <c r="B1066" s="67"/>
      <c r="C1066" s="67"/>
      <c r="D1066" s="68"/>
      <c r="E1066" s="94"/>
      <c r="F1066" s="93" t="str">
        <f>HYPERLINK("https://pbs.twimg.com/profile_images/1387577616580976647/uOWoF_SA_normal.jpg")</f>
        <v>https://pbs.twimg.com/profile_images/1387577616580976647/uOWoF_SA_normal.jpg</v>
      </c>
      <c r="G1066" s="95"/>
      <c r="H1066" s="71"/>
      <c r="I1066" s="72"/>
      <c r="J1066" s="96"/>
      <c r="K1066" s="71" t="s">
        <v>12116</v>
      </c>
      <c r="L1066" s="97"/>
      <c r="M1066" s="76"/>
      <c r="N1066" s="76"/>
      <c r="O1066" s="77"/>
      <c r="P1066" s="78"/>
      <c r="Q1066" s="78"/>
      <c r="R1066" s="92"/>
      <c r="S1066" s="92"/>
      <c r="T1066" s="92"/>
      <c r="U1066" s="92"/>
      <c r="V1066" s="52"/>
      <c r="W1066" s="52"/>
      <c r="X1066" s="52"/>
      <c r="Y1066" s="52"/>
      <c r="Z1066" s="51"/>
      <c r="AA1066" s="73"/>
      <c r="AB1066" s="73"/>
      <c r="AC1066" s="74"/>
      <c r="AD1066" s="81" t="s">
        <v>8742</v>
      </c>
      <c r="AE1066" s="86" t="s">
        <v>9723</v>
      </c>
      <c r="AF1066" s="81">
        <v>185</v>
      </c>
      <c r="AG1066" s="81">
        <v>16</v>
      </c>
      <c r="AH1066" s="81">
        <v>6358</v>
      </c>
      <c r="AI1066" s="81">
        <v>6911</v>
      </c>
      <c r="AJ1066" s="81"/>
      <c r="AK1066" s="81"/>
      <c r="AL1066" s="81"/>
      <c r="AM1066" s="81"/>
      <c r="AN1066" s="81"/>
      <c r="AO1066" s="83">
        <v>43973.509513888886</v>
      </c>
      <c r="AP1066" s="81"/>
      <c r="AQ1066" s="81" t="b">
        <v>1</v>
      </c>
      <c r="AR1066" s="81" t="b">
        <v>0</v>
      </c>
      <c r="AS1066" s="81" t="b">
        <v>0</v>
      </c>
      <c r="AT1066" s="81"/>
      <c r="AU1066" s="81">
        <v>0</v>
      </c>
      <c r="AV1066" s="81"/>
      <c r="AW1066" s="81" t="b">
        <v>0</v>
      </c>
      <c r="AX1066" s="81" t="s">
        <v>3728</v>
      </c>
      <c r="AY1066" s="84" t="str">
        <f>HYPERLINK("https://twitter.com/maurorato74")</f>
        <v>https://twitter.com/maurorato74</v>
      </c>
      <c r="AZ1066" s="81" t="s">
        <v>66</v>
      </c>
      <c r="BA1066" s="2"/>
      <c r="BB1066" s="3"/>
      <c r="BC1066" s="3"/>
      <c r="BD1066" s="3"/>
      <c r="BE1066" s="3"/>
    </row>
    <row r="1067" spans="1:57" x14ac:dyDescent="0.35">
      <c r="A1067" s="66" t="s">
        <v>4718</v>
      </c>
      <c r="B1067" s="67"/>
      <c r="C1067" s="67"/>
      <c r="D1067" s="68"/>
      <c r="E1067" s="94"/>
      <c r="F1067" s="93" t="str">
        <f>HYPERLINK("https://pbs.twimg.com/profile_images/1411444737723277318/wFDmFElu_normal.jpg")</f>
        <v>https://pbs.twimg.com/profile_images/1411444737723277318/wFDmFElu_normal.jpg</v>
      </c>
      <c r="G1067" s="95"/>
      <c r="H1067" s="71"/>
      <c r="I1067" s="72"/>
      <c r="J1067" s="96"/>
      <c r="K1067" s="71" t="s">
        <v>12117</v>
      </c>
      <c r="L1067" s="97"/>
      <c r="M1067" s="76"/>
      <c r="N1067" s="76"/>
      <c r="O1067" s="77"/>
      <c r="P1067" s="78"/>
      <c r="Q1067" s="78"/>
      <c r="R1067" s="92"/>
      <c r="S1067" s="92"/>
      <c r="T1067" s="92"/>
      <c r="U1067" s="92"/>
      <c r="V1067" s="52"/>
      <c r="W1067" s="52"/>
      <c r="X1067" s="52"/>
      <c r="Y1067" s="52"/>
      <c r="Z1067" s="51"/>
      <c r="AA1067" s="73"/>
      <c r="AB1067" s="73"/>
      <c r="AC1067" s="74"/>
      <c r="AD1067" s="81" t="s">
        <v>8639</v>
      </c>
      <c r="AE1067" s="86" t="s">
        <v>9724</v>
      </c>
      <c r="AF1067" s="81">
        <v>832</v>
      </c>
      <c r="AG1067" s="81">
        <v>245</v>
      </c>
      <c r="AH1067" s="81">
        <v>69566</v>
      </c>
      <c r="AI1067" s="81">
        <v>100303</v>
      </c>
      <c r="AJ1067" s="81"/>
      <c r="AK1067" s="81" t="s">
        <v>10650</v>
      </c>
      <c r="AL1067" s="81"/>
      <c r="AM1067" s="81"/>
      <c r="AN1067" s="81"/>
      <c r="AO1067" s="83">
        <v>43061.747372685182</v>
      </c>
      <c r="AP1067" s="84" t="str">
        <f>HYPERLINK("https://pbs.twimg.com/profile_banners/933393694526500864/1591042795")</f>
        <v>https://pbs.twimg.com/profile_banners/933393694526500864/1591042795</v>
      </c>
      <c r="AQ1067" s="81" t="b">
        <v>1</v>
      </c>
      <c r="AR1067" s="81" t="b">
        <v>0</v>
      </c>
      <c r="AS1067" s="81" t="b">
        <v>0</v>
      </c>
      <c r="AT1067" s="81"/>
      <c r="AU1067" s="81">
        <v>1</v>
      </c>
      <c r="AV1067" s="81"/>
      <c r="AW1067" s="81" t="b">
        <v>0</v>
      </c>
      <c r="AX1067" s="81" t="s">
        <v>3728</v>
      </c>
      <c r="AY1067" s="84" t="str">
        <f>HYPERLINK("https://twitter.com/malipe6")</f>
        <v>https://twitter.com/malipe6</v>
      </c>
      <c r="AZ1067" s="81" t="s">
        <v>66</v>
      </c>
      <c r="BA1067" s="2"/>
      <c r="BB1067" s="3"/>
      <c r="BC1067" s="3"/>
      <c r="BD1067" s="3"/>
      <c r="BE1067" s="3"/>
    </row>
    <row r="1068" spans="1:57" x14ac:dyDescent="0.35">
      <c r="A1068" s="66" t="s">
        <v>4720</v>
      </c>
      <c r="B1068" s="67"/>
      <c r="C1068" s="67"/>
      <c r="D1068" s="68"/>
      <c r="E1068" s="94"/>
      <c r="F1068" s="93" t="str">
        <f>HYPERLINK("https://pbs.twimg.com/profile_images/1360267521841070083/n2DCWpwp_normal.jpg")</f>
        <v>https://pbs.twimg.com/profile_images/1360267521841070083/n2DCWpwp_normal.jpg</v>
      </c>
      <c r="G1068" s="95"/>
      <c r="H1068" s="71"/>
      <c r="I1068" s="72"/>
      <c r="J1068" s="96"/>
      <c r="K1068" s="71" t="s">
        <v>12118</v>
      </c>
      <c r="L1068" s="97"/>
      <c r="M1068" s="76"/>
      <c r="N1068" s="76"/>
      <c r="O1068" s="77"/>
      <c r="P1068" s="78"/>
      <c r="Q1068" s="78"/>
      <c r="R1068" s="92"/>
      <c r="S1068" s="92"/>
      <c r="T1068" s="92"/>
      <c r="U1068" s="92"/>
      <c r="V1068" s="52"/>
      <c r="W1068" s="52"/>
      <c r="X1068" s="52"/>
      <c r="Y1068" s="52"/>
      <c r="Z1068" s="51"/>
      <c r="AA1068" s="73"/>
      <c r="AB1068" s="73"/>
      <c r="AC1068" s="74"/>
      <c r="AD1068" s="81" t="s">
        <v>8743</v>
      </c>
      <c r="AE1068" s="86" t="s">
        <v>9726</v>
      </c>
      <c r="AF1068" s="81">
        <v>633</v>
      </c>
      <c r="AG1068" s="81">
        <v>215</v>
      </c>
      <c r="AH1068" s="81">
        <v>11228</v>
      </c>
      <c r="AI1068" s="81">
        <v>15120</v>
      </c>
      <c r="AJ1068" s="81"/>
      <c r="AK1068" s="81" t="s">
        <v>10652</v>
      </c>
      <c r="AL1068" s="81" t="s">
        <v>11175</v>
      </c>
      <c r="AM1068" s="81"/>
      <c r="AN1068" s="81"/>
      <c r="AO1068" s="83">
        <v>43435.815798611111</v>
      </c>
      <c r="AP1068" s="84" t="str">
        <f>HYPERLINK("https://pbs.twimg.com/profile_banners/1068951554651287553/1604055692")</f>
        <v>https://pbs.twimg.com/profile_banners/1068951554651287553/1604055692</v>
      </c>
      <c r="AQ1068" s="81" t="b">
        <v>0</v>
      </c>
      <c r="AR1068" s="81" t="b">
        <v>0</v>
      </c>
      <c r="AS1068" s="81" t="b">
        <v>0</v>
      </c>
      <c r="AT1068" s="81"/>
      <c r="AU1068" s="81">
        <v>0</v>
      </c>
      <c r="AV1068" s="84" t="str">
        <f>HYPERLINK("https://abs.twimg.com/images/themes/theme1/bg.png")</f>
        <v>https://abs.twimg.com/images/themes/theme1/bg.png</v>
      </c>
      <c r="AW1068" s="81" t="b">
        <v>0</v>
      </c>
      <c r="AX1068" s="81" t="s">
        <v>3728</v>
      </c>
      <c r="AY1068" s="84" t="str">
        <f>HYPERLINK("https://twitter.com/ivo_borges19")</f>
        <v>https://twitter.com/ivo_borges19</v>
      </c>
      <c r="AZ1068" s="81" t="s">
        <v>66</v>
      </c>
      <c r="BA1068" s="2"/>
      <c r="BB1068" s="3"/>
      <c r="BC1068" s="3"/>
      <c r="BD1068" s="3"/>
      <c r="BE1068" s="3"/>
    </row>
    <row r="1069" spans="1:57" x14ac:dyDescent="0.35">
      <c r="A1069" s="66" t="s">
        <v>4719</v>
      </c>
      <c r="B1069" s="67"/>
      <c r="C1069" s="67"/>
      <c r="D1069" s="68"/>
      <c r="E1069" s="94"/>
      <c r="F1069" s="93" t="str">
        <f>HYPERLINK("https://pbs.twimg.com/profile_images/1350052687962902530/R0y7eyp-_normal.jpg")</f>
        <v>https://pbs.twimg.com/profile_images/1350052687962902530/R0y7eyp-_normal.jpg</v>
      </c>
      <c r="G1069" s="95"/>
      <c r="H1069" s="71"/>
      <c r="I1069" s="72"/>
      <c r="J1069" s="96"/>
      <c r="K1069" s="71" t="s">
        <v>14276</v>
      </c>
      <c r="L1069" s="97"/>
      <c r="M1069" s="76"/>
      <c r="N1069" s="76"/>
      <c r="O1069" s="77"/>
      <c r="P1069" s="78"/>
      <c r="Q1069" s="78"/>
      <c r="R1069" s="92"/>
      <c r="S1069" s="92"/>
      <c r="T1069" s="92"/>
      <c r="U1069" s="92"/>
      <c r="V1069" s="52"/>
      <c r="W1069" s="52"/>
      <c r="X1069" s="52"/>
      <c r="Y1069" s="52"/>
      <c r="Z1069" s="51"/>
      <c r="AA1069" s="73"/>
      <c r="AB1069" s="73"/>
      <c r="AC1069" s="74"/>
      <c r="AD1069" s="81" t="s">
        <v>4719</v>
      </c>
      <c r="AE1069" s="86" t="s">
        <v>9725</v>
      </c>
      <c r="AF1069" s="81">
        <v>1430</v>
      </c>
      <c r="AG1069" s="81">
        <v>227013</v>
      </c>
      <c r="AH1069" s="81">
        <v>331097</v>
      </c>
      <c r="AI1069" s="81">
        <v>1246</v>
      </c>
      <c r="AJ1069" s="81"/>
      <c r="AK1069" s="81" t="s">
        <v>10651</v>
      </c>
      <c r="AL1069" s="81" t="s">
        <v>10990</v>
      </c>
      <c r="AM1069" s="84" t="str">
        <f>HYPERLINK("http://t.co/eTDZIlvGzg")</f>
        <v>http://t.co/eTDZIlvGzg</v>
      </c>
      <c r="AN1069" s="81"/>
      <c r="AO1069" s="83">
        <v>39745.688692129632</v>
      </c>
      <c r="AP1069" s="84" t="str">
        <f>HYPERLINK("https://pbs.twimg.com/profile_banners/16951979/1606010649")</f>
        <v>https://pbs.twimg.com/profile_banners/16951979/1606010649</v>
      </c>
      <c r="AQ1069" s="81" t="b">
        <v>0</v>
      </c>
      <c r="AR1069" s="81" t="b">
        <v>0</v>
      </c>
      <c r="AS1069" s="81" t="b">
        <v>1</v>
      </c>
      <c r="AT1069" s="81"/>
      <c r="AU1069" s="81">
        <v>786</v>
      </c>
      <c r="AV1069" s="84" t="str">
        <f>HYPERLINK("https://abs.twimg.com/images/themes/theme1/bg.png")</f>
        <v>https://abs.twimg.com/images/themes/theme1/bg.png</v>
      </c>
      <c r="AW1069" s="81" t="b">
        <v>1</v>
      </c>
      <c r="AX1069" s="81" t="s">
        <v>3728</v>
      </c>
      <c r="AY1069" s="84" t="str">
        <f>HYPERLINK("https://twitter.com/maisfutebol")</f>
        <v>https://twitter.com/maisfutebol</v>
      </c>
      <c r="AZ1069" s="81" t="s">
        <v>66</v>
      </c>
      <c r="BA1069" s="2"/>
      <c r="BB1069" s="3"/>
      <c r="BC1069" s="3"/>
      <c r="BD1069" s="3"/>
      <c r="BE1069" s="3"/>
    </row>
    <row r="1070" spans="1:57" x14ac:dyDescent="0.35">
      <c r="A1070" s="66" t="s">
        <v>4721</v>
      </c>
      <c r="B1070" s="67"/>
      <c r="C1070" s="67"/>
      <c r="D1070" s="68"/>
      <c r="E1070" s="94"/>
      <c r="F1070" s="93" t="str">
        <f>HYPERLINK("https://pbs.twimg.com/profile_images/1079548762597539843/FfqkEh3f_normal.jpg")</f>
        <v>https://pbs.twimg.com/profile_images/1079548762597539843/FfqkEh3f_normal.jpg</v>
      </c>
      <c r="G1070" s="95"/>
      <c r="H1070" s="71"/>
      <c r="I1070" s="72"/>
      <c r="J1070" s="96"/>
      <c r="K1070" s="71" t="s">
        <v>12119</v>
      </c>
      <c r="L1070" s="97"/>
      <c r="M1070" s="76"/>
      <c r="N1070" s="76"/>
      <c r="O1070" s="77"/>
      <c r="P1070" s="78"/>
      <c r="Q1070" s="78"/>
      <c r="R1070" s="92"/>
      <c r="S1070" s="92"/>
      <c r="T1070" s="92"/>
      <c r="U1070" s="92"/>
      <c r="V1070" s="52"/>
      <c r="W1070" s="52"/>
      <c r="X1070" s="52"/>
      <c r="Y1070" s="52"/>
      <c r="Z1070" s="51"/>
      <c r="AA1070" s="73"/>
      <c r="AB1070" s="73"/>
      <c r="AC1070" s="74"/>
      <c r="AD1070" s="81" t="s">
        <v>8744</v>
      </c>
      <c r="AE1070" s="86" t="s">
        <v>9727</v>
      </c>
      <c r="AF1070" s="81">
        <v>1739</v>
      </c>
      <c r="AG1070" s="81">
        <v>1387</v>
      </c>
      <c r="AH1070" s="81">
        <v>50473</v>
      </c>
      <c r="AI1070" s="81">
        <v>16176</v>
      </c>
      <c r="AJ1070" s="81"/>
      <c r="AK1070" s="81" t="s">
        <v>10653</v>
      </c>
      <c r="AL1070" s="81" t="s">
        <v>10975</v>
      </c>
      <c r="AM1070" s="81"/>
      <c r="AN1070" s="81"/>
      <c r="AO1070" s="83">
        <v>42895.476412037038</v>
      </c>
      <c r="AP1070" s="84" t="str">
        <f>HYPERLINK("https://pbs.twimg.com/profile_banners/873139116401209346/1523196091")</f>
        <v>https://pbs.twimg.com/profile_banners/873139116401209346/1523196091</v>
      </c>
      <c r="AQ1070" s="81" t="b">
        <v>1</v>
      </c>
      <c r="AR1070" s="81" t="b">
        <v>0</v>
      </c>
      <c r="AS1070" s="81" t="b">
        <v>0</v>
      </c>
      <c r="AT1070" s="81"/>
      <c r="AU1070" s="81">
        <v>0</v>
      </c>
      <c r="AV1070" s="81"/>
      <c r="AW1070" s="81" t="b">
        <v>0</v>
      </c>
      <c r="AX1070" s="81" t="s">
        <v>3728</v>
      </c>
      <c r="AY1070" s="84" t="str">
        <f>HYPERLINK("https://twitter.com/filipamm")</f>
        <v>https://twitter.com/filipamm</v>
      </c>
      <c r="AZ1070" s="81" t="s">
        <v>66</v>
      </c>
      <c r="BA1070" s="2"/>
      <c r="BB1070" s="3"/>
      <c r="BC1070" s="3"/>
      <c r="BD1070" s="3"/>
      <c r="BE1070" s="3"/>
    </row>
    <row r="1071" spans="1:57" x14ac:dyDescent="0.35">
      <c r="A1071" s="66" t="s">
        <v>4722</v>
      </c>
      <c r="B1071" s="67"/>
      <c r="C1071" s="67"/>
      <c r="D1071" s="68"/>
      <c r="E1071" s="94"/>
      <c r="F1071" s="93" t="str">
        <f>HYPERLINK("https://pbs.twimg.com/profile_images/759550775861317633/jTogZy4c_normal.jpg")</f>
        <v>https://pbs.twimg.com/profile_images/759550775861317633/jTogZy4c_normal.jpg</v>
      </c>
      <c r="G1071" s="95"/>
      <c r="H1071" s="71"/>
      <c r="I1071" s="72"/>
      <c r="J1071" s="96"/>
      <c r="K1071" s="71" t="s">
        <v>12120</v>
      </c>
      <c r="L1071" s="97"/>
      <c r="M1071" s="76"/>
      <c r="N1071" s="76"/>
      <c r="O1071" s="77"/>
      <c r="P1071" s="78"/>
      <c r="Q1071" s="78"/>
      <c r="R1071" s="92"/>
      <c r="S1071" s="92"/>
      <c r="T1071" s="92"/>
      <c r="U1071" s="92"/>
      <c r="V1071" s="52"/>
      <c r="W1071" s="52"/>
      <c r="X1071" s="52"/>
      <c r="Y1071" s="52"/>
      <c r="Z1071" s="51"/>
      <c r="AA1071" s="73"/>
      <c r="AB1071" s="73"/>
      <c r="AC1071" s="74"/>
      <c r="AD1071" s="81" t="s">
        <v>8745</v>
      </c>
      <c r="AE1071" s="86" t="s">
        <v>9728</v>
      </c>
      <c r="AF1071" s="81">
        <v>120</v>
      </c>
      <c r="AG1071" s="81">
        <v>2941</v>
      </c>
      <c r="AH1071" s="81">
        <v>63962</v>
      </c>
      <c r="AI1071" s="81">
        <v>93</v>
      </c>
      <c r="AJ1071" s="81"/>
      <c r="AK1071" s="81" t="s">
        <v>10654</v>
      </c>
      <c r="AL1071" s="81" t="s">
        <v>11249</v>
      </c>
      <c r="AM1071" s="84" t="str">
        <f>HYPERLINK("https://t.co/KNXvVyZ8bl")</f>
        <v>https://t.co/KNXvVyZ8bl</v>
      </c>
      <c r="AN1071" s="81"/>
      <c r="AO1071" s="83">
        <v>42072.949872685182</v>
      </c>
      <c r="AP1071" s="84" t="str">
        <f>HYPERLINK("https://pbs.twimg.com/profile_banners/3070303182/1625615414")</f>
        <v>https://pbs.twimg.com/profile_banners/3070303182/1625615414</v>
      </c>
      <c r="AQ1071" s="81" t="b">
        <v>1</v>
      </c>
      <c r="AR1071" s="81" t="b">
        <v>0</v>
      </c>
      <c r="AS1071" s="81" t="b">
        <v>0</v>
      </c>
      <c r="AT1071" s="81"/>
      <c r="AU1071" s="81">
        <v>27</v>
      </c>
      <c r="AV1071" s="84" t="str">
        <f>HYPERLINK("https://abs.twimg.com/images/themes/theme1/bg.png")</f>
        <v>https://abs.twimg.com/images/themes/theme1/bg.png</v>
      </c>
      <c r="AW1071" s="81" t="b">
        <v>0</v>
      </c>
      <c r="AX1071" s="81" t="s">
        <v>3728</v>
      </c>
      <c r="AY1071" s="84" t="str">
        <f>HYPERLINK("https://twitter.com/ominhopt")</f>
        <v>https://twitter.com/ominhopt</v>
      </c>
      <c r="AZ1071" s="81" t="s">
        <v>66</v>
      </c>
      <c r="BA1071" s="2"/>
      <c r="BB1071" s="3"/>
      <c r="BC1071" s="3"/>
      <c r="BD1071" s="3"/>
      <c r="BE1071" s="3"/>
    </row>
    <row r="1072" spans="1:57" x14ac:dyDescent="0.35">
      <c r="A1072" s="66" t="s">
        <v>4723</v>
      </c>
      <c r="B1072" s="67"/>
      <c r="C1072" s="67"/>
      <c r="D1072" s="68"/>
      <c r="E1072" s="94"/>
      <c r="F1072" s="93" t="str">
        <f>HYPERLINK("https://pbs.twimg.com/profile_images/1239661853581680642/P3yTB-D1_normal.jpg")</f>
        <v>https://pbs.twimg.com/profile_images/1239661853581680642/P3yTB-D1_normal.jpg</v>
      </c>
      <c r="G1072" s="95"/>
      <c r="H1072" s="71"/>
      <c r="I1072" s="72"/>
      <c r="J1072" s="96"/>
      <c r="K1072" s="71" t="s">
        <v>12121</v>
      </c>
      <c r="L1072" s="97"/>
      <c r="M1072" s="76"/>
      <c r="N1072" s="76"/>
      <c r="O1072" s="77"/>
      <c r="P1072" s="78"/>
      <c r="Q1072" s="78"/>
      <c r="R1072" s="92"/>
      <c r="S1072" s="92"/>
      <c r="T1072" s="92"/>
      <c r="U1072" s="92"/>
      <c r="V1072" s="52"/>
      <c r="W1072" s="52"/>
      <c r="X1072" s="52"/>
      <c r="Y1072" s="52"/>
      <c r="Z1072" s="51"/>
      <c r="AA1072" s="73"/>
      <c r="AB1072" s="73"/>
      <c r="AC1072" s="74"/>
      <c r="AD1072" s="81" t="s">
        <v>8746</v>
      </c>
      <c r="AE1072" s="86" t="s">
        <v>9729</v>
      </c>
      <c r="AF1072" s="81">
        <v>246</v>
      </c>
      <c r="AG1072" s="81">
        <v>191</v>
      </c>
      <c r="AH1072" s="81">
        <v>50176</v>
      </c>
      <c r="AI1072" s="81">
        <v>103998</v>
      </c>
      <c r="AJ1072" s="81"/>
      <c r="AK1072" s="81" t="s">
        <v>10655</v>
      </c>
      <c r="AL1072" s="81"/>
      <c r="AM1072" s="81"/>
      <c r="AN1072" s="81"/>
      <c r="AO1072" s="83">
        <v>40827.432824074072</v>
      </c>
      <c r="AP1072" s="81"/>
      <c r="AQ1072" s="81" t="b">
        <v>1</v>
      </c>
      <c r="AR1072" s="81" t="b">
        <v>0</v>
      </c>
      <c r="AS1072" s="81" t="b">
        <v>0</v>
      </c>
      <c r="AT1072" s="81"/>
      <c r="AU1072" s="81">
        <v>1</v>
      </c>
      <c r="AV1072" s="84" t="str">
        <f>HYPERLINK("https://abs.twimg.com/images/themes/theme1/bg.png")</f>
        <v>https://abs.twimg.com/images/themes/theme1/bg.png</v>
      </c>
      <c r="AW1072" s="81" t="b">
        <v>0</v>
      </c>
      <c r="AX1072" s="81" t="s">
        <v>3728</v>
      </c>
      <c r="AY1072" s="84" t="str">
        <f>HYPERLINK("https://twitter.com/jjsilva4")</f>
        <v>https://twitter.com/jjsilva4</v>
      </c>
      <c r="AZ1072" s="81" t="s">
        <v>66</v>
      </c>
      <c r="BA1072" s="2"/>
      <c r="BB1072" s="3"/>
      <c r="BC1072" s="3"/>
      <c r="BD1072" s="3"/>
      <c r="BE1072" s="3"/>
    </row>
    <row r="1073" spans="1:57" x14ac:dyDescent="0.35">
      <c r="A1073" s="66" t="s">
        <v>5146</v>
      </c>
      <c r="B1073" s="67"/>
      <c r="C1073" s="67"/>
      <c r="D1073" s="68"/>
      <c r="E1073" s="94"/>
      <c r="F1073" s="93" t="str">
        <f>HYPERLINK("https://pbs.twimg.com/profile_images/1437837543001706502/0077aHiy_normal.jpg")</f>
        <v>https://pbs.twimg.com/profile_images/1437837543001706502/0077aHiy_normal.jpg</v>
      </c>
      <c r="G1073" s="95"/>
      <c r="H1073" s="71"/>
      <c r="I1073" s="72"/>
      <c r="J1073" s="96"/>
      <c r="K1073" s="71" t="s">
        <v>12122</v>
      </c>
      <c r="L1073" s="97"/>
      <c r="M1073" s="76"/>
      <c r="N1073" s="76"/>
      <c r="O1073" s="77"/>
      <c r="P1073" s="78"/>
      <c r="Q1073" s="78"/>
      <c r="R1073" s="92"/>
      <c r="S1073" s="92"/>
      <c r="T1073" s="92"/>
      <c r="U1073" s="92"/>
      <c r="V1073" s="52"/>
      <c r="W1073" s="52"/>
      <c r="X1073" s="52"/>
      <c r="Y1073" s="52"/>
      <c r="Z1073" s="51"/>
      <c r="AA1073" s="73"/>
      <c r="AB1073" s="73"/>
      <c r="AC1073" s="74"/>
      <c r="AD1073" s="81" t="s">
        <v>8747</v>
      </c>
      <c r="AE1073" s="86" t="s">
        <v>7895</v>
      </c>
      <c r="AF1073" s="81">
        <v>584</v>
      </c>
      <c r="AG1073" s="81">
        <v>481403</v>
      </c>
      <c r="AH1073" s="81">
        <v>12215</v>
      </c>
      <c r="AI1073" s="81">
        <v>3981</v>
      </c>
      <c r="AJ1073" s="81"/>
      <c r="AK1073" s="81" t="s">
        <v>10656</v>
      </c>
      <c r="AL1073" s="81" t="s">
        <v>11114</v>
      </c>
      <c r="AM1073" s="84" t="str">
        <f>HYPERLINK("https://t.co/dB23d6O1jj")</f>
        <v>https://t.co/dB23d6O1jj</v>
      </c>
      <c r="AN1073" s="81"/>
      <c r="AO1073" s="83">
        <v>40597.990474537037</v>
      </c>
      <c r="AP1073" s="84" t="str">
        <f>HYPERLINK("https://pbs.twimg.com/profile_banners/256730310/1625785294")</f>
        <v>https://pbs.twimg.com/profile_banners/256730310/1625785294</v>
      </c>
      <c r="AQ1073" s="81" t="b">
        <v>0</v>
      </c>
      <c r="AR1073" s="81" t="b">
        <v>0</v>
      </c>
      <c r="AS1073" s="81" t="b">
        <v>1</v>
      </c>
      <c r="AT1073" s="81"/>
      <c r="AU1073" s="81">
        <v>992</v>
      </c>
      <c r="AV1073" s="84" t="str">
        <f>HYPERLINK("https://abs.twimg.com/images/themes/theme1/bg.png")</f>
        <v>https://abs.twimg.com/images/themes/theme1/bg.png</v>
      </c>
      <c r="AW1073" s="81" t="b">
        <v>1</v>
      </c>
      <c r="AX1073" s="81" t="s">
        <v>3728</v>
      </c>
      <c r="AY1073" s="84" t="str">
        <f>HYPERLINK("https://twitter.com/joaoamoedonovo")</f>
        <v>https://twitter.com/joaoamoedonovo</v>
      </c>
      <c r="AZ1073" s="81" t="s">
        <v>65</v>
      </c>
      <c r="BA1073" s="2"/>
      <c r="BB1073" s="3"/>
      <c r="BC1073" s="3"/>
      <c r="BD1073" s="3"/>
      <c r="BE1073" s="3"/>
    </row>
    <row r="1074" spans="1:57" x14ac:dyDescent="0.35">
      <c r="A1074" s="66" t="s">
        <v>4724</v>
      </c>
      <c r="B1074" s="67"/>
      <c r="C1074" s="67"/>
      <c r="D1074" s="68"/>
      <c r="E1074" s="94"/>
      <c r="F1074" s="93" t="str">
        <f>HYPERLINK("https://pbs.twimg.com/profile_images/1430294800121597960/AVhpa9Zh_normal.jpg")</f>
        <v>https://pbs.twimg.com/profile_images/1430294800121597960/AVhpa9Zh_normal.jpg</v>
      </c>
      <c r="G1074" s="95"/>
      <c r="H1074" s="71"/>
      <c r="I1074" s="72"/>
      <c r="J1074" s="96"/>
      <c r="K1074" s="71" t="s">
        <v>12123</v>
      </c>
      <c r="L1074" s="97"/>
      <c r="M1074" s="76"/>
      <c r="N1074" s="76"/>
      <c r="O1074" s="77"/>
      <c r="P1074" s="78"/>
      <c r="Q1074" s="78"/>
      <c r="R1074" s="92"/>
      <c r="S1074" s="92"/>
      <c r="T1074" s="92"/>
      <c r="U1074" s="92"/>
      <c r="V1074" s="52"/>
      <c r="W1074" s="52"/>
      <c r="X1074" s="52"/>
      <c r="Y1074" s="52"/>
      <c r="Z1074" s="51"/>
      <c r="AA1074" s="73"/>
      <c r="AB1074" s="73"/>
      <c r="AC1074" s="74"/>
      <c r="AD1074" s="81" t="s">
        <v>8748</v>
      </c>
      <c r="AE1074" s="86" t="s">
        <v>9730</v>
      </c>
      <c r="AF1074" s="81">
        <v>341</v>
      </c>
      <c r="AG1074" s="81">
        <v>216</v>
      </c>
      <c r="AH1074" s="81">
        <v>29651</v>
      </c>
      <c r="AI1074" s="81">
        <v>19255</v>
      </c>
      <c r="AJ1074" s="81"/>
      <c r="AK1074" s="81" t="s">
        <v>10657</v>
      </c>
      <c r="AL1074" s="81" t="s">
        <v>10988</v>
      </c>
      <c r="AM1074" s="81"/>
      <c r="AN1074" s="81"/>
      <c r="AO1074" s="83">
        <v>44312.921273148146</v>
      </c>
      <c r="AP1074" s="84" t="str">
        <f>HYPERLINK("https://pbs.twimg.com/profile_banners/1386803882140094468/1625777759")</f>
        <v>https://pbs.twimg.com/profile_banners/1386803882140094468/1625777759</v>
      </c>
      <c r="AQ1074" s="81" t="b">
        <v>1</v>
      </c>
      <c r="AR1074" s="81" t="b">
        <v>0</v>
      </c>
      <c r="AS1074" s="81" t="b">
        <v>0</v>
      </c>
      <c r="AT1074" s="81"/>
      <c r="AU1074" s="81">
        <v>0</v>
      </c>
      <c r="AV1074" s="81"/>
      <c r="AW1074" s="81" t="b">
        <v>0</v>
      </c>
      <c r="AX1074" s="81" t="s">
        <v>3728</v>
      </c>
      <c r="AY1074" s="84" t="str">
        <f>HYPERLINK("https://twitter.com/naosouoiuar")</f>
        <v>https://twitter.com/naosouoiuar</v>
      </c>
      <c r="AZ1074" s="81" t="s">
        <v>66</v>
      </c>
      <c r="BA1074" s="2"/>
      <c r="BB1074" s="3"/>
      <c r="BC1074" s="3"/>
      <c r="BD1074" s="3"/>
      <c r="BE1074" s="3"/>
    </row>
    <row r="1075" spans="1:57" x14ac:dyDescent="0.35">
      <c r="A1075" s="66" t="s">
        <v>4725</v>
      </c>
      <c r="B1075" s="67"/>
      <c r="C1075" s="67"/>
      <c r="D1075" s="68"/>
      <c r="E1075" s="94"/>
      <c r="F1075" s="93" t="str">
        <f>HYPERLINK("https://pbs.twimg.com/profile_images/1435397863018745857/IkwNCrJz_normal.jpg")</f>
        <v>https://pbs.twimg.com/profile_images/1435397863018745857/IkwNCrJz_normal.jpg</v>
      </c>
      <c r="G1075" s="95"/>
      <c r="H1075" s="71"/>
      <c r="I1075" s="72"/>
      <c r="J1075" s="96"/>
      <c r="K1075" s="71" t="s">
        <v>12124</v>
      </c>
      <c r="L1075" s="97"/>
      <c r="M1075" s="76"/>
      <c r="N1075" s="76"/>
      <c r="O1075" s="77"/>
      <c r="P1075" s="78"/>
      <c r="Q1075" s="78"/>
      <c r="R1075" s="92"/>
      <c r="S1075" s="92"/>
      <c r="T1075" s="92"/>
      <c r="U1075" s="92"/>
      <c r="V1075" s="52"/>
      <c r="W1075" s="52"/>
      <c r="X1075" s="52"/>
      <c r="Y1075" s="52"/>
      <c r="Z1075" s="51"/>
      <c r="AA1075" s="73"/>
      <c r="AB1075" s="73"/>
      <c r="AC1075" s="74"/>
      <c r="AD1075" s="81" t="s">
        <v>8749</v>
      </c>
      <c r="AE1075" s="86" t="s">
        <v>9731</v>
      </c>
      <c r="AF1075" s="81">
        <v>275</v>
      </c>
      <c r="AG1075" s="81">
        <v>376</v>
      </c>
      <c r="AH1075" s="81">
        <v>18296</v>
      </c>
      <c r="AI1075" s="81">
        <v>112363</v>
      </c>
      <c r="AJ1075" s="81"/>
      <c r="AK1075" s="81" t="s">
        <v>10658</v>
      </c>
      <c r="AL1075" s="81" t="s">
        <v>11250</v>
      </c>
      <c r="AM1075" s="81"/>
      <c r="AN1075" s="81"/>
      <c r="AO1075" s="83">
        <v>42584.084270833337</v>
      </c>
      <c r="AP1075" s="84" t="str">
        <f>HYPERLINK("https://pbs.twimg.com/profile_banners/760294382851555333/1616601135")</f>
        <v>https://pbs.twimg.com/profile_banners/760294382851555333/1616601135</v>
      </c>
      <c r="AQ1075" s="81" t="b">
        <v>1</v>
      </c>
      <c r="AR1075" s="81" t="b">
        <v>0</v>
      </c>
      <c r="AS1075" s="81" t="b">
        <v>0</v>
      </c>
      <c r="AT1075" s="81"/>
      <c r="AU1075" s="81">
        <v>1</v>
      </c>
      <c r="AV1075" s="81"/>
      <c r="AW1075" s="81" t="b">
        <v>0</v>
      </c>
      <c r="AX1075" s="81" t="s">
        <v>3728</v>
      </c>
      <c r="AY1075" s="84" t="str">
        <f>HYPERLINK("https://twitter.com/doraaamora")</f>
        <v>https://twitter.com/doraaamora</v>
      </c>
      <c r="AZ1075" s="81" t="s">
        <v>66</v>
      </c>
      <c r="BA1075" s="2"/>
      <c r="BB1075" s="3"/>
      <c r="BC1075" s="3"/>
      <c r="BD1075" s="3"/>
      <c r="BE1075" s="3"/>
    </row>
    <row r="1076" spans="1:57" x14ac:dyDescent="0.35">
      <c r="A1076" s="66" t="s">
        <v>4726</v>
      </c>
      <c r="B1076" s="67"/>
      <c r="C1076" s="67"/>
      <c r="D1076" s="68"/>
      <c r="E1076" s="94"/>
      <c r="F1076" s="93" t="str">
        <f>HYPERLINK("https://pbs.twimg.com/profile_images/1323075802267865093/F0Ci6AoD_normal.jpg")</f>
        <v>https://pbs.twimg.com/profile_images/1323075802267865093/F0Ci6AoD_normal.jpg</v>
      </c>
      <c r="G1076" s="95"/>
      <c r="H1076" s="71"/>
      <c r="I1076" s="72"/>
      <c r="J1076" s="96"/>
      <c r="K1076" s="71" t="s">
        <v>12125</v>
      </c>
      <c r="L1076" s="97"/>
      <c r="M1076" s="76"/>
      <c r="N1076" s="76"/>
      <c r="O1076" s="77"/>
      <c r="P1076" s="78"/>
      <c r="Q1076" s="78"/>
      <c r="R1076" s="92"/>
      <c r="S1076" s="92"/>
      <c r="T1076" s="92"/>
      <c r="U1076" s="92"/>
      <c r="V1076" s="52"/>
      <c r="W1076" s="52"/>
      <c r="X1076" s="52"/>
      <c r="Y1076" s="52"/>
      <c r="Z1076" s="51"/>
      <c r="AA1076" s="73"/>
      <c r="AB1076" s="73"/>
      <c r="AC1076" s="74"/>
      <c r="AD1076" s="81" t="s">
        <v>8750</v>
      </c>
      <c r="AE1076" s="86" t="s">
        <v>9732</v>
      </c>
      <c r="AF1076" s="81">
        <v>2708</v>
      </c>
      <c r="AG1076" s="81">
        <v>892</v>
      </c>
      <c r="AH1076" s="81">
        <v>129239</v>
      </c>
      <c r="AI1076" s="81">
        <v>233252</v>
      </c>
      <c r="AJ1076" s="81"/>
      <c r="AK1076" s="81" t="s">
        <v>10659</v>
      </c>
      <c r="AL1076" s="81" t="s">
        <v>10992</v>
      </c>
      <c r="AM1076" s="84" t="str">
        <f>HYPERLINK("https://t.co/5eloMHkdaE")</f>
        <v>https://t.co/5eloMHkdaE</v>
      </c>
      <c r="AN1076" s="81"/>
      <c r="AO1076" s="83">
        <v>40229.873796296299</v>
      </c>
      <c r="AP1076" s="84" t="str">
        <f>HYPERLINK("https://pbs.twimg.com/profile_banners/116018620/1616925868")</f>
        <v>https://pbs.twimg.com/profile_banners/116018620/1616925868</v>
      </c>
      <c r="AQ1076" s="81" t="b">
        <v>0</v>
      </c>
      <c r="AR1076" s="81" t="b">
        <v>0</v>
      </c>
      <c r="AS1076" s="81" t="b">
        <v>0</v>
      </c>
      <c r="AT1076" s="81"/>
      <c r="AU1076" s="81">
        <v>16</v>
      </c>
      <c r="AV1076" s="84" t="str">
        <f>HYPERLINK("https://abs.twimg.com/images/themes/theme18/bg.gif")</f>
        <v>https://abs.twimg.com/images/themes/theme18/bg.gif</v>
      </c>
      <c r="AW1076" s="81" t="b">
        <v>0</v>
      </c>
      <c r="AX1076" s="81" t="s">
        <v>3728</v>
      </c>
      <c r="AY1076" s="84" t="str">
        <f>HYPERLINK("https://twitter.com/oleomorato")</f>
        <v>https://twitter.com/oleomorato</v>
      </c>
      <c r="AZ1076" s="81" t="s">
        <v>66</v>
      </c>
      <c r="BA1076" s="2"/>
      <c r="BB1076" s="3"/>
      <c r="BC1076" s="3"/>
      <c r="BD1076" s="3"/>
      <c r="BE1076" s="3"/>
    </row>
    <row r="1077" spans="1:57" x14ac:dyDescent="0.35">
      <c r="A1077" s="66" t="s">
        <v>4727</v>
      </c>
      <c r="B1077" s="67"/>
      <c r="C1077" s="67"/>
      <c r="D1077" s="68"/>
      <c r="E1077" s="94"/>
      <c r="F1077" s="93" t="str">
        <f>HYPERLINK("https://pbs.twimg.com/profile_images/1109472870810423296/9KYWDUQt_normal.jpg")</f>
        <v>https://pbs.twimg.com/profile_images/1109472870810423296/9KYWDUQt_normal.jpg</v>
      </c>
      <c r="G1077" s="95"/>
      <c r="H1077" s="71"/>
      <c r="I1077" s="72"/>
      <c r="J1077" s="96"/>
      <c r="K1077" s="71" t="s">
        <v>12126</v>
      </c>
      <c r="L1077" s="97"/>
      <c r="M1077" s="76"/>
      <c r="N1077" s="76"/>
      <c r="O1077" s="77"/>
      <c r="P1077" s="78"/>
      <c r="Q1077" s="78"/>
      <c r="R1077" s="92"/>
      <c r="S1077" s="92"/>
      <c r="T1077" s="92"/>
      <c r="U1077" s="92"/>
      <c r="V1077" s="52"/>
      <c r="W1077" s="52"/>
      <c r="X1077" s="52"/>
      <c r="Y1077" s="52"/>
      <c r="Z1077" s="51"/>
      <c r="AA1077" s="73"/>
      <c r="AB1077" s="73"/>
      <c r="AC1077" s="74"/>
      <c r="AD1077" s="81" t="s">
        <v>8751</v>
      </c>
      <c r="AE1077" s="86" t="s">
        <v>9733</v>
      </c>
      <c r="AF1077" s="81">
        <v>773</v>
      </c>
      <c r="AG1077" s="81">
        <v>787</v>
      </c>
      <c r="AH1077" s="81">
        <v>10366</v>
      </c>
      <c r="AI1077" s="81">
        <v>16691</v>
      </c>
      <c r="AJ1077" s="81"/>
      <c r="AK1077" s="81" t="s">
        <v>10660</v>
      </c>
      <c r="AL1077" s="81" t="s">
        <v>11251</v>
      </c>
      <c r="AM1077" s="81"/>
      <c r="AN1077" s="81"/>
      <c r="AO1077" s="83">
        <v>43547.630011574074</v>
      </c>
      <c r="AP1077" s="84" t="str">
        <f>HYPERLINK("https://pbs.twimg.com/profile_banners/1109471668957786112/1553354347")</f>
        <v>https://pbs.twimg.com/profile_banners/1109471668957786112/1553354347</v>
      </c>
      <c r="AQ1077" s="81" t="b">
        <v>1</v>
      </c>
      <c r="AR1077" s="81" t="b">
        <v>0</v>
      </c>
      <c r="AS1077" s="81" t="b">
        <v>0</v>
      </c>
      <c r="AT1077" s="81"/>
      <c r="AU1077" s="81">
        <v>0</v>
      </c>
      <c r="AV1077" s="81"/>
      <c r="AW1077" s="81" t="b">
        <v>0</v>
      </c>
      <c r="AX1077" s="81" t="s">
        <v>3728</v>
      </c>
      <c r="AY1077" s="84" t="str">
        <f>HYPERLINK("https://twitter.com/quelemem1908")</f>
        <v>https://twitter.com/quelemem1908</v>
      </c>
      <c r="AZ1077" s="81" t="s">
        <v>66</v>
      </c>
      <c r="BA1077" s="2"/>
      <c r="BB1077" s="3"/>
      <c r="BC1077" s="3"/>
      <c r="BD1077" s="3"/>
      <c r="BE1077" s="3"/>
    </row>
    <row r="1078" spans="1:57" x14ac:dyDescent="0.35">
      <c r="A1078" s="66" t="s">
        <v>4728</v>
      </c>
      <c r="B1078" s="67"/>
      <c r="C1078" s="67"/>
      <c r="D1078" s="68"/>
      <c r="E1078" s="94"/>
      <c r="F1078" s="93" t="str">
        <f>HYPERLINK("https://pbs.twimg.com/profile_images/1433557216703901709/Ztsl1llC_normal.jpg")</f>
        <v>https://pbs.twimg.com/profile_images/1433557216703901709/Ztsl1llC_normal.jpg</v>
      </c>
      <c r="G1078" s="95"/>
      <c r="H1078" s="71"/>
      <c r="I1078" s="72"/>
      <c r="J1078" s="96"/>
      <c r="K1078" s="71" t="s">
        <v>12127</v>
      </c>
      <c r="L1078" s="97"/>
      <c r="M1078" s="76"/>
      <c r="N1078" s="76"/>
      <c r="O1078" s="77"/>
      <c r="P1078" s="78"/>
      <c r="Q1078" s="78"/>
      <c r="R1078" s="92"/>
      <c r="S1078" s="92"/>
      <c r="T1078" s="92"/>
      <c r="U1078" s="92"/>
      <c r="V1078" s="52"/>
      <c r="W1078" s="52"/>
      <c r="X1078" s="52"/>
      <c r="Y1078" s="52"/>
      <c r="Z1078" s="51"/>
      <c r="AA1078" s="73"/>
      <c r="AB1078" s="73"/>
      <c r="AC1078" s="74"/>
      <c r="AD1078" s="81" t="s">
        <v>8752</v>
      </c>
      <c r="AE1078" s="86" t="s">
        <v>9734</v>
      </c>
      <c r="AF1078" s="81">
        <v>860</v>
      </c>
      <c r="AG1078" s="81">
        <v>1649</v>
      </c>
      <c r="AH1078" s="81">
        <v>10608</v>
      </c>
      <c r="AI1078" s="81">
        <v>68856</v>
      </c>
      <c r="AJ1078" s="81"/>
      <c r="AK1078" s="81" t="s">
        <v>10661</v>
      </c>
      <c r="AL1078" s="81" t="s">
        <v>7998</v>
      </c>
      <c r="AM1078" s="84" t="str">
        <f>HYPERLINK("https://t.co/vA6VXqxZWD")</f>
        <v>https://t.co/vA6VXqxZWD</v>
      </c>
      <c r="AN1078" s="81"/>
      <c r="AO1078" s="83">
        <v>39932.707708333335</v>
      </c>
      <c r="AP1078" s="84" t="str">
        <f>HYPERLINK("https://pbs.twimg.com/profile_banners/36407568/1576543840")</f>
        <v>https://pbs.twimg.com/profile_banners/36407568/1576543840</v>
      </c>
      <c r="AQ1078" s="81" t="b">
        <v>0</v>
      </c>
      <c r="AR1078" s="81" t="b">
        <v>0</v>
      </c>
      <c r="AS1078" s="81" t="b">
        <v>0</v>
      </c>
      <c r="AT1078" s="81"/>
      <c r="AU1078" s="81">
        <v>3</v>
      </c>
      <c r="AV1078" s="84" t="str">
        <f>HYPERLINK("https://abs.twimg.com/images/themes/theme15/bg.png")</f>
        <v>https://abs.twimg.com/images/themes/theme15/bg.png</v>
      </c>
      <c r="AW1078" s="81" t="b">
        <v>0</v>
      </c>
      <c r="AX1078" s="81" t="s">
        <v>3728</v>
      </c>
      <c r="AY1078" s="84" t="str">
        <f>HYPERLINK("https://twitter.com/manudenora")</f>
        <v>https://twitter.com/manudenora</v>
      </c>
      <c r="AZ1078" s="81" t="s">
        <v>66</v>
      </c>
      <c r="BA1078" s="2"/>
      <c r="BB1078" s="3"/>
      <c r="BC1078" s="3"/>
      <c r="BD1078" s="3"/>
      <c r="BE1078" s="3"/>
    </row>
    <row r="1079" spans="1:57" x14ac:dyDescent="0.35">
      <c r="A1079" s="66" t="s">
        <v>4729</v>
      </c>
      <c r="B1079" s="67"/>
      <c r="C1079" s="67"/>
      <c r="D1079" s="68"/>
      <c r="E1079" s="94"/>
      <c r="F1079" s="93" t="str">
        <f>HYPERLINK("https://pbs.twimg.com/profile_images/1442175986829647872/CbH3rdH8_normal.jpg")</f>
        <v>https://pbs.twimg.com/profile_images/1442175986829647872/CbH3rdH8_normal.jpg</v>
      </c>
      <c r="G1079" s="95"/>
      <c r="H1079" s="71"/>
      <c r="I1079" s="72"/>
      <c r="J1079" s="96"/>
      <c r="K1079" s="71" t="s">
        <v>12128</v>
      </c>
      <c r="L1079" s="97"/>
      <c r="M1079" s="76"/>
      <c r="N1079" s="76"/>
      <c r="O1079" s="77"/>
      <c r="P1079" s="78"/>
      <c r="Q1079" s="78"/>
      <c r="R1079" s="92"/>
      <c r="S1079" s="92"/>
      <c r="T1079" s="92"/>
      <c r="U1079" s="92"/>
      <c r="V1079" s="52"/>
      <c r="W1079" s="52"/>
      <c r="X1079" s="52"/>
      <c r="Y1079" s="52"/>
      <c r="Z1079" s="51"/>
      <c r="AA1079" s="73"/>
      <c r="AB1079" s="73"/>
      <c r="AC1079" s="74"/>
      <c r="AD1079" s="81" t="s">
        <v>8753</v>
      </c>
      <c r="AE1079" s="86" t="s">
        <v>9735</v>
      </c>
      <c r="AF1079" s="81">
        <v>107</v>
      </c>
      <c r="AG1079" s="81">
        <v>26</v>
      </c>
      <c r="AH1079" s="81">
        <v>715</v>
      </c>
      <c r="AI1079" s="81">
        <v>60</v>
      </c>
      <c r="AJ1079" s="81"/>
      <c r="AK1079" s="81" t="s">
        <v>10662</v>
      </c>
      <c r="AL1079" s="81"/>
      <c r="AM1079" s="81"/>
      <c r="AN1079" s="81"/>
      <c r="AO1079" s="83">
        <v>41940.143495370372</v>
      </c>
      <c r="AP1079" s="81"/>
      <c r="AQ1079" s="81" t="b">
        <v>1</v>
      </c>
      <c r="AR1079" s="81" t="b">
        <v>0</v>
      </c>
      <c r="AS1079" s="81" t="b">
        <v>0</v>
      </c>
      <c r="AT1079" s="81"/>
      <c r="AU1079" s="81">
        <v>0</v>
      </c>
      <c r="AV1079" s="84" t="str">
        <f>HYPERLINK("https://abs.twimg.com/images/themes/theme1/bg.png")</f>
        <v>https://abs.twimg.com/images/themes/theme1/bg.png</v>
      </c>
      <c r="AW1079" s="81" t="b">
        <v>0</v>
      </c>
      <c r="AX1079" s="81" t="s">
        <v>3728</v>
      </c>
      <c r="AY1079" s="84" t="str">
        <f>HYPERLINK("https://twitter.com/tuiterdomarvin")</f>
        <v>https://twitter.com/tuiterdomarvin</v>
      </c>
      <c r="AZ1079" s="81" t="s">
        <v>66</v>
      </c>
      <c r="BA1079" s="2"/>
      <c r="BB1079" s="3"/>
      <c r="BC1079" s="3"/>
      <c r="BD1079" s="3"/>
      <c r="BE1079" s="3"/>
    </row>
    <row r="1080" spans="1:57" x14ac:dyDescent="0.35">
      <c r="A1080" s="66" t="s">
        <v>4730</v>
      </c>
      <c r="B1080" s="67"/>
      <c r="C1080" s="67"/>
      <c r="D1080" s="68"/>
      <c r="E1080" s="94"/>
      <c r="F1080" s="93" t="str">
        <f>HYPERLINK("https://pbs.twimg.com/profile_images/1624675518/DSC00446c_normal.JPG")</f>
        <v>https://pbs.twimg.com/profile_images/1624675518/DSC00446c_normal.JPG</v>
      </c>
      <c r="G1080" s="95"/>
      <c r="H1080" s="71"/>
      <c r="I1080" s="72"/>
      <c r="J1080" s="96"/>
      <c r="K1080" s="71" t="s">
        <v>12129</v>
      </c>
      <c r="L1080" s="97"/>
      <c r="M1080" s="76"/>
      <c r="N1080" s="76"/>
      <c r="O1080" s="77"/>
      <c r="P1080" s="78"/>
      <c r="Q1080" s="78"/>
      <c r="R1080" s="92"/>
      <c r="S1080" s="92"/>
      <c r="T1080" s="92"/>
      <c r="U1080" s="92"/>
      <c r="V1080" s="52"/>
      <c r="W1080" s="52"/>
      <c r="X1080" s="52"/>
      <c r="Y1080" s="52"/>
      <c r="Z1080" s="51"/>
      <c r="AA1080" s="73"/>
      <c r="AB1080" s="73"/>
      <c r="AC1080" s="74"/>
      <c r="AD1080" s="81" t="s">
        <v>8754</v>
      </c>
      <c r="AE1080" s="86" t="s">
        <v>9736</v>
      </c>
      <c r="AF1080" s="81">
        <v>2050</v>
      </c>
      <c r="AG1080" s="81">
        <v>761</v>
      </c>
      <c r="AH1080" s="81">
        <v>24690</v>
      </c>
      <c r="AI1080" s="81">
        <v>10903</v>
      </c>
      <c r="AJ1080" s="81"/>
      <c r="AK1080" s="81"/>
      <c r="AL1080" s="81"/>
      <c r="AM1080" s="81"/>
      <c r="AN1080" s="81"/>
      <c r="AO1080" s="83">
        <v>40454.900555555556</v>
      </c>
      <c r="AP1080" s="81"/>
      <c r="AQ1080" s="81" t="b">
        <v>0</v>
      </c>
      <c r="AR1080" s="81" t="b">
        <v>0</v>
      </c>
      <c r="AS1080" s="81" t="b">
        <v>0</v>
      </c>
      <c r="AT1080" s="81"/>
      <c r="AU1080" s="81">
        <v>1</v>
      </c>
      <c r="AV1080" s="84" t="str">
        <f>HYPERLINK("https://abs.twimg.com/images/themes/theme1/bg.png")</f>
        <v>https://abs.twimg.com/images/themes/theme1/bg.png</v>
      </c>
      <c r="AW1080" s="81" t="b">
        <v>0</v>
      </c>
      <c r="AX1080" s="81" t="s">
        <v>3728</v>
      </c>
      <c r="AY1080" s="84" t="str">
        <f>HYPERLINK("https://twitter.com/osmagna")</f>
        <v>https://twitter.com/osmagna</v>
      </c>
      <c r="AZ1080" s="81" t="s">
        <v>66</v>
      </c>
      <c r="BA1080" s="2"/>
      <c r="BB1080" s="3"/>
      <c r="BC1080" s="3"/>
      <c r="BD1080" s="3"/>
      <c r="BE1080" s="3"/>
    </row>
    <row r="1081" spans="1:57" x14ac:dyDescent="0.35">
      <c r="A1081" s="66" t="s">
        <v>4731</v>
      </c>
      <c r="B1081" s="67"/>
      <c r="C1081" s="67"/>
      <c r="D1081" s="68"/>
      <c r="E1081" s="94"/>
      <c r="F1081" s="93" t="str">
        <f>HYPERLINK("https://pbs.twimg.com/profile_images/1395162614792081408/Up84B9qy_normal.jpg")</f>
        <v>https://pbs.twimg.com/profile_images/1395162614792081408/Up84B9qy_normal.jpg</v>
      </c>
      <c r="G1081" s="95"/>
      <c r="H1081" s="71"/>
      <c r="I1081" s="72"/>
      <c r="J1081" s="96"/>
      <c r="K1081" s="71" t="s">
        <v>12130</v>
      </c>
      <c r="L1081" s="97"/>
      <c r="M1081" s="76"/>
      <c r="N1081" s="76"/>
      <c r="O1081" s="77"/>
      <c r="P1081" s="78"/>
      <c r="Q1081" s="78"/>
      <c r="R1081" s="92"/>
      <c r="S1081" s="92"/>
      <c r="T1081" s="92"/>
      <c r="U1081" s="92"/>
      <c r="V1081" s="52"/>
      <c r="W1081" s="52"/>
      <c r="X1081" s="52"/>
      <c r="Y1081" s="52"/>
      <c r="Z1081" s="51"/>
      <c r="AA1081" s="73"/>
      <c r="AB1081" s="73"/>
      <c r="AC1081" s="74"/>
      <c r="AD1081" s="81" t="s">
        <v>8755</v>
      </c>
      <c r="AE1081" s="86" t="s">
        <v>9737</v>
      </c>
      <c r="AF1081" s="81">
        <v>1281</v>
      </c>
      <c r="AG1081" s="81">
        <v>1034</v>
      </c>
      <c r="AH1081" s="81">
        <v>39830</v>
      </c>
      <c r="AI1081" s="81">
        <v>48609</v>
      </c>
      <c r="AJ1081" s="81"/>
      <c r="AK1081" s="81" t="s">
        <v>10663</v>
      </c>
      <c r="AL1081" s="81"/>
      <c r="AM1081" s="81"/>
      <c r="AN1081" s="81"/>
      <c r="AO1081" s="83">
        <v>43174.883171296293</v>
      </c>
      <c r="AP1081" s="84" t="str">
        <f>HYPERLINK("https://pbs.twimg.com/profile_banners/974392735238119424/1621467663")</f>
        <v>https://pbs.twimg.com/profile_banners/974392735238119424/1621467663</v>
      </c>
      <c r="AQ1081" s="81" t="b">
        <v>1</v>
      </c>
      <c r="AR1081" s="81" t="b">
        <v>0</v>
      </c>
      <c r="AS1081" s="81" t="b">
        <v>0</v>
      </c>
      <c r="AT1081" s="81"/>
      <c r="AU1081" s="81">
        <v>3</v>
      </c>
      <c r="AV1081" s="81"/>
      <c r="AW1081" s="81" t="b">
        <v>0</v>
      </c>
      <c r="AX1081" s="81" t="s">
        <v>3728</v>
      </c>
      <c r="AY1081" s="84" t="str">
        <f>HYPERLINK("https://twitter.com/fabiosoares0")</f>
        <v>https://twitter.com/fabiosoares0</v>
      </c>
      <c r="AZ1081" s="81" t="s">
        <v>66</v>
      </c>
      <c r="BA1081" s="2"/>
      <c r="BB1081" s="3"/>
      <c r="BC1081" s="3"/>
      <c r="BD1081" s="3"/>
      <c r="BE1081" s="3"/>
    </row>
    <row r="1082" spans="1:57" x14ac:dyDescent="0.35">
      <c r="A1082" s="66" t="s">
        <v>4732</v>
      </c>
      <c r="B1082" s="67"/>
      <c r="C1082" s="67"/>
      <c r="D1082" s="68"/>
      <c r="E1082" s="94"/>
      <c r="F1082" s="93" t="str">
        <f>HYPERLINK("https://pbs.twimg.com/profile_images/1419318991366103042/cgKnLHLm_normal.jpg")</f>
        <v>https://pbs.twimg.com/profile_images/1419318991366103042/cgKnLHLm_normal.jpg</v>
      </c>
      <c r="G1082" s="95"/>
      <c r="H1082" s="71"/>
      <c r="I1082" s="72"/>
      <c r="J1082" s="96"/>
      <c r="K1082" s="71" t="s">
        <v>12131</v>
      </c>
      <c r="L1082" s="97"/>
      <c r="M1082" s="76"/>
      <c r="N1082" s="76"/>
      <c r="O1082" s="77"/>
      <c r="P1082" s="78"/>
      <c r="Q1082" s="78"/>
      <c r="R1082" s="92"/>
      <c r="S1082" s="92"/>
      <c r="T1082" s="92"/>
      <c r="U1082" s="92"/>
      <c r="V1082" s="52"/>
      <c r="W1082" s="52"/>
      <c r="X1082" s="52"/>
      <c r="Y1082" s="52"/>
      <c r="Z1082" s="51"/>
      <c r="AA1082" s="73"/>
      <c r="AB1082" s="73"/>
      <c r="AC1082" s="74"/>
      <c r="AD1082" s="81" t="s">
        <v>8756</v>
      </c>
      <c r="AE1082" s="86" t="s">
        <v>9738</v>
      </c>
      <c r="AF1082" s="81">
        <v>490</v>
      </c>
      <c r="AG1082" s="81">
        <v>199</v>
      </c>
      <c r="AH1082" s="81">
        <v>4255</v>
      </c>
      <c r="AI1082" s="81">
        <v>111481</v>
      </c>
      <c r="AJ1082" s="81"/>
      <c r="AK1082" s="81" t="s">
        <v>10664</v>
      </c>
      <c r="AL1082" s="81" t="s">
        <v>11252</v>
      </c>
      <c r="AM1082" s="81"/>
      <c r="AN1082" s="81"/>
      <c r="AO1082" s="83">
        <v>40245.96738425926</v>
      </c>
      <c r="AP1082" s="84" t="str">
        <f>HYPERLINK("https://pbs.twimg.com/profile_banners/121255676/1627227389")</f>
        <v>https://pbs.twimg.com/profile_banners/121255676/1627227389</v>
      </c>
      <c r="AQ1082" s="81" t="b">
        <v>0</v>
      </c>
      <c r="AR1082" s="81" t="b">
        <v>0</v>
      </c>
      <c r="AS1082" s="81" t="b">
        <v>1</v>
      </c>
      <c r="AT1082" s="81"/>
      <c r="AU1082" s="81">
        <v>0</v>
      </c>
      <c r="AV1082" s="84" t="str">
        <f>HYPERLINK("https://abs.twimg.com/images/themes/theme14/bg.gif")</f>
        <v>https://abs.twimg.com/images/themes/theme14/bg.gif</v>
      </c>
      <c r="AW1082" s="81" t="b">
        <v>0</v>
      </c>
      <c r="AX1082" s="81" t="s">
        <v>3728</v>
      </c>
      <c r="AY1082" s="84" t="str">
        <f>HYPERLINK("https://twitter.com/larissnacif")</f>
        <v>https://twitter.com/larissnacif</v>
      </c>
      <c r="AZ1082" s="81" t="s">
        <v>66</v>
      </c>
      <c r="BA1082" s="2"/>
      <c r="BB1082" s="3"/>
      <c r="BC1082" s="3"/>
      <c r="BD1082" s="3"/>
      <c r="BE1082" s="3"/>
    </row>
    <row r="1083" spans="1:57" x14ac:dyDescent="0.35">
      <c r="A1083" s="66" t="s">
        <v>4733</v>
      </c>
      <c r="B1083" s="67"/>
      <c r="C1083" s="67"/>
      <c r="D1083" s="68"/>
      <c r="E1083" s="94"/>
      <c r="F1083" s="93" t="str">
        <f>HYPERLINK("https://pbs.twimg.com/profile_images/1437914092875001862/fsoRujZt_normal.jpg")</f>
        <v>https://pbs.twimg.com/profile_images/1437914092875001862/fsoRujZt_normal.jpg</v>
      </c>
      <c r="G1083" s="95"/>
      <c r="H1083" s="71"/>
      <c r="I1083" s="72"/>
      <c r="J1083" s="96"/>
      <c r="K1083" s="71" t="s">
        <v>12132</v>
      </c>
      <c r="L1083" s="97"/>
      <c r="M1083" s="76"/>
      <c r="N1083" s="76"/>
      <c r="O1083" s="77"/>
      <c r="P1083" s="78"/>
      <c r="Q1083" s="78"/>
      <c r="R1083" s="92"/>
      <c r="S1083" s="92"/>
      <c r="T1083" s="92"/>
      <c r="U1083" s="92"/>
      <c r="V1083" s="52"/>
      <c r="W1083" s="52"/>
      <c r="X1083" s="52"/>
      <c r="Y1083" s="52"/>
      <c r="Z1083" s="51"/>
      <c r="AA1083" s="73"/>
      <c r="AB1083" s="73"/>
      <c r="AC1083" s="74"/>
      <c r="AD1083" s="81" t="s">
        <v>8757</v>
      </c>
      <c r="AE1083" s="86" t="s">
        <v>9739</v>
      </c>
      <c r="AF1083" s="81">
        <v>338</v>
      </c>
      <c r="AG1083" s="81">
        <v>62</v>
      </c>
      <c r="AH1083" s="81">
        <v>15011</v>
      </c>
      <c r="AI1083" s="81">
        <v>49700</v>
      </c>
      <c r="AJ1083" s="81"/>
      <c r="AK1083" s="81"/>
      <c r="AL1083" s="81" t="s">
        <v>11253</v>
      </c>
      <c r="AM1083" s="81"/>
      <c r="AN1083" s="81"/>
      <c r="AO1083" s="83">
        <v>41326.133344907408</v>
      </c>
      <c r="AP1083" s="84" t="str">
        <f>HYPERLINK("https://pbs.twimg.com/profile_banners/1202830784/1485365866")</f>
        <v>https://pbs.twimg.com/profile_banners/1202830784/1485365866</v>
      </c>
      <c r="AQ1083" s="81" t="b">
        <v>0</v>
      </c>
      <c r="AR1083" s="81" t="b">
        <v>0</v>
      </c>
      <c r="AS1083" s="81" t="b">
        <v>1</v>
      </c>
      <c r="AT1083" s="81"/>
      <c r="AU1083" s="81">
        <v>0</v>
      </c>
      <c r="AV1083" s="84" t="str">
        <f>HYPERLINK("https://abs.twimg.com/images/themes/theme1/bg.png")</f>
        <v>https://abs.twimg.com/images/themes/theme1/bg.png</v>
      </c>
      <c r="AW1083" s="81" t="b">
        <v>0</v>
      </c>
      <c r="AX1083" s="81" t="s">
        <v>3728</v>
      </c>
      <c r="AY1083" s="84" t="str">
        <f>HYPERLINK("https://twitter.com/geraldodelfim")</f>
        <v>https://twitter.com/geraldodelfim</v>
      </c>
      <c r="AZ1083" s="81" t="s">
        <v>66</v>
      </c>
      <c r="BA1083" s="2"/>
      <c r="BB1083" s="3"/>
      <c r="BC1083" s="3"/>
      <c r="BD1083" s="3"/>
      <c r="BE1083" s="3"/>
    </row>
    <row r="1084" spans="1:57" x14ac:dyDescent="0.35">
      <c r="A1084" s="66" t="s">
        <v>4734</v>
      </c>
      <c r="B1084" s="67"/>
      <c r="C1084" s="67"/>
      <c r="D1084" s="68"/>
      <c r="E1084" s="94"/>
      <c r="F1084" s="93" t="str">
        <f>HYPERLINK("https://pbs.twimg.com/profile_images/922271461276086272/84dcnweF_normal.jpg")</f>
        <v>https://pbs.twimg.com/profile_images/922271461276086272/84dcnweF_normal.jpg</v>
      </c>
      <c r="G1084" s="95"/>
      <c r="H1084" s="71"/>
      <c r="I1084" s="72"/>
      <c r="J1084" s="96"/>
      <c r="K1084" s="71" t="s">
        <v>12133</v>
      </c>
      <c r="L1084" s="97"/>
      <c r="M1084" s="76"/>
      <c r="N1084" s="76"/>
      <c r="O1084" s="77"/>
      <c r="P1084" s="78"/>
      <c r="Q1084" s="78"/>
      <c r="R1084" s="92"/>
      <c r="S1084" s="92"/>
      <c r="T1084" s="92"/>
      <c r="U1084" s="92"/>
      <c r="V1084" s="52"/>
      <c r="W1084" s="52"/>
      <c r="X1084" s="52"/>
      <c r="Y1084" s="52"/>
      <c r="Z1084" s="51"/>
      <c r="AA1084" s="73"/>
      <c r="AB1084" s="73"/>
      <c r="AC1084" s="74"/>
      <c r="AD1084" s="81" t="s">
        <v>8758</v>
      </c>
      <c r="AE1084" s="86" t="s">
        <v>9740</v>
      </c>
      <c r="AF1084" s="81">
        <v>1455</v>
      </c>
      <c r="AG1084" s="81">
        <v>820</v>
      </c>
      <c r="AH1084" s="81">
        <v>38884</v>
      </c>
      <c r="AI1084" s="81">
        <v>111332</v>
      </c>
      <c r="AJ1084" s="81"/>
      <c r="AK1084" s="81" t="s">
        <v>10665</v>
      </c>
      <c r="AL1084" s="81"/>
      <c r="AM1084" s="81"/>
      <c r="AN1084" s="81"/>
      <c r="AO1084" s="83">
        <v>39935.459849537037</v>
      </c>
      <c r="AP1084" s="84" t="str">
        <f>HYPERLINK("https://pbs.twimg.com/profile_banners/37178646/1606185263")</f>
        <v>https://pbs.twimg.com/profile_banners/37178646/1606185263</v>
      </c>
      <c r="AQ1084" s="81" t="b">
        <v>0</v>
      </c>
      <c r="AR1084" s="81" t="b">
        <v>0</v>
      </c>
      <c r="AS1084" s="81" t="b">
        <v>0</v>
      </c>
      <c r="AT1084" s="81"/>
      <c r="AU1084" s="81">
        <v>4</v>
      </c>
      <c r="AV1084" s="84" t="str">
        <f>HYPERLINK("https://abs.twimg.com/images/themes/theme13/bg.gif")</f>
        <v>https://abs.twimg.com/images/themes/theme13/bg.gif</v>
      </c>
      <c r="AW1084" s="81" t="b">
        <v>0</v>
      </c>
      <c r="AX1084" s="81" t="s">
        <v>3728</v>
      </c>
      <c r="AY1084" s="84" t="str">
        <f>HYPERLINK("https://twitter.com/artista_fran")</f>
        <v>https://twitter.com/artista_fran</v>
      </c>
      <c r="AZ1084" s="81" t="s">
        <v>66</v>
      </c>
      <c r="BA1084" s="2"/>
      <c r="BB1084" s="3"/>
      <c r="BC1084" s="3"/>
      <c r="BD1084" s="3"/>
      <c r="BE1084" s="3"/>
    </row>
    <row r="1085" spans="1:57" x14ac:dyDescent="0.35">
      <c r="A1085" s="66" t="s">
        <v>4735</v>
      </c>
      <c r="B1085" s="67"/>
      <c r="C1085" s="67"/>
      <c r="D1085" s="68"/>
      <c r="E1085" s="94"/>
      <c r="F1085" s="93" t="str">
        <f>HYPERLINK("https://pbs.twimg.com/profile_images/1260265868585566208/YViFKIq0_normal.jpg")</f>
        <v>https://pbs.twimg.com/profile_images/1260265868585566208/YViFKIq0_normal.jpg</v>
      </c>
      <c r="G1085" s="95"/>
      <c r="H1085" s="71"/>
      <c r="I1085" s="72"/>
      <c r="J1085" s="96"/>
      <c r="K1085" s="71" t="s">
        <v>12134</v>
      </c>
      <c r="L1085" s="97"/>
      <c r="M1085" s="76"/>
      <c r="N1085" s="76"/>
      <c r="O1085" s="77"/>
      <c r="P1085" s="78"/>
      <c r="Q1085" s="78"/>
      <c r="R1085" s="92"/>
      <c r="S1085" s="92"/>
      <c r="T1085" s="92"/>
      <c r="U1085" s="92"/>
      <c r="V1085" s="52"/>
      <c r="W1085" s="52"/>
      <c r="X1085" s="52"/>
      <c r="Y1085" s="52"/>
      <c r="Z1085" s="51"/>
      <c r="AA1085" s="73"/>
      <c r="AB1085" s="73"/>
      <c r="AC1085" s="74"/>
      <c r="AD1085" s="81" t="s">
        <v>8759</v>
      </c>
      <c r="AE1085" s="86" t="s">
        <v>9741</v>
      </c>
      <c r="AF1085" s="81">
        <v>2604</v>
      </c>
      <c r="AG1085" s="81">
        <v>2210</v>
      </c>
      <c r="AH1085" s="81">
        <v>9126</v>
      </c>
      <c r="AI1085" s="81">
        <v>37348</v>
      </c>
      <c r="AJ1085" s="81"/>
      <c r="AK1085" s="81" t="s">
        <v>10666</v>
      </c>
      <c r="AL1085" s="81"/>
      <c r="AM1085" s="81"/>
      <c r="AN1085" s="81"/>
      <c r="AO1085" s="83">
        <v>43660.778958333336</v>
      </c>
      <c r="AP1085" s="84" t="str">
        <f>HYPERLINK("https://pbs.twimg.com/profile_banners/1150475473350287361/1589305772")</f>
        <v>https://pbs.twimg.com/profile_banners/1150475473350287361/1589305772</v>
      </c>
      <c r="AQ1085" s="81" t="b">
        <v>1</v>
      </c>
      <c r="AR1085" s="81" t="b">
        <v>0</v>
      </c>
      <c r="AS1085" s="81" t="b">
        <v>0</v>
      </c>
      <c r="AT1085" s="81"/>
      <c r="AU1085" s="81">
        <v>0</v>
      </c>
      <c r="AV1085" s="81"/>
      <c r="AW1085" s="81" t="b">
        <v>0</v>
      </c>
      <c r="AX1085" s="81" t="s">
        <v>3728</v>
      </c>
      <c r="AY1085" s="84" t="str">
        <f>HYPERLINK("https://twitter.com/antniod22914115")</f>
        <v>https://twitter.com/antniod22914115</v>
      </c>
      <c r="AZ1085" s="81" t="s">
        <v>66</v>
      </c>
      <c r="BA1085" s="2"/>
      <c r="BB1085" s="3"/>
      <c r="BC1085" s="3"/>
      <c r="BD1085" s="3"/>
      <c r="BE1085" s="3"/>
    </row>
    <row r="1086" spans="1:57" x14ac:dyDescent="0.35">
      <c r="A1086" s="66" t="s">
        <v>4736</v>
      </c>
      <c r="B1086" s="67"/>
      <c r="C1086" s="67"/>
      <c r="D1086" s="68"/>
      <c r="E1086" s="94"/>
      <c r="F1086" s="93" t="str">
        <f>HYPERLINK("https://pbs.twimg.com/profile_images/1442284936292089856/F0naYNDo_normal.jpg")</f>
        <v>https://pbs.twimg.com/profile_images/1442284936292089856/F0naYNDo_normal.jpg</v>
      </c>
      <c r="G1086" s="95"/>
      <c r="H1086" s="71"/>
      <c r="I1086" s="72"/>
      <c r="J1086" s="96"/>
      <c r="K1086" s="71" t="s">
        <v>12135</v>
      </c>
      <c r="L1086" s="97"/>
      <c r="M1086" s="76"/>
      <c r="N1086" s="76"/>
      <c r="O1086" s="77"/>
      <c r="P1086" s="78"/>
      <c r="Q1086" s="78"/>
      <c r="R1086" s="92"/>
      <c r="S1086" s="92"/>
      <c r="T1086" s="92"/>
      <c r="U1086" s="92"/>
      <c r="V1086" s="52"/>
      <c r="W1086" s="52"/>
      <c r="X1086" s="52"/>
      <c r="Y1086" s="52"/>
      <c r="Z1086" s="51"/>
      <c r="AA1086" s="73"/>
      <c r="AB1086" s="73"/>
      <c r="AC1086" s="74"/>
      <c r="AD1086" s="81" t="s">
        <v>8760</v>
      </c>
      <c r="AE1086" s="86" t="s">
        <v>9742</v>
      </c>
      <c r="AF1086" s="81">
        <v>597</v>
      </c>
      <c r="AG1086" s="81">
        <v>37</v>
      </c>
      <c r="AH1086" s="81">
        <v>4152</v>
      </c>
      <c r="AI1086" s="81">
        <v>20709</v>
      </c>
      <c r="AJ1086" s="81"/>
      <c r="AK1086" s="81" t="s">
        <v>10667</v>
      </c>
      <c r="AL1086" s="81"/>
      <c r="AM1086" s="81"/>
      <c r="AN1086" s="81"/>
      <c r="AO1086" s="83">
        <v>43203.663472222222</v>
      </c>
      <c r="AP1086" s="84" t="str">
        <f>HYPERLINK("https://pbs.twimg.com/profile_banners/984822369477910533/1622741086")</f>
        <v>https://pbs.twimg.com/profile_banners/984822369477910533/1622741086</v>
      </c>
      <c r="AQ1086" s="81" t="b">
        <v>1</v>
      </c>
      <c r="AR1086" s="81" t="b">
        <v>0</v>
      </c>
      <c r="AS1086" s="81" t="b">
        <v>0</v>
      </c>
      <c r="AT1086" s="81"/>
      <c r="AU1086" s="81">
        <v>0</v>
      </c>
      <c r="AV1086" s="81"/>
      <c r="AW1086" s="81" t="b">
        <v>0</v>
      </c>
      <c r="AX1086" s="81" t="s">
        <v>3728</v>
      </c>
      <c r="AY1086" s="84" t="str">
        <f>HYPERLINK("https://twitter.com/pavulagem__")</f>
        <v>https://twitter.com/pavulagem__</v>
      </c>
      <c r="AZ1086" s="81" t="s">
        <v>66</v>
      </c>
      <c r="BA1086" s="2"/>
      <c r="BB1086" s="3"/>
      <c r="BC1086" s="3"/>
      <c r="BD1086" s="3"/>
      <c r="BE1086" s="3"/>
    </row>
    <row r="1087" spans="1:57" x14ac:dyDescent="0.35">
      <c r="A1087" s="66" t="s">
        <v>4737</v>
      </c>
      <c r="B1087" s="67"/>
      <c r="C1087" s="67"/>
      <c r="D1087" s="68"/>
      <c r="E1087" s="94"/>
      <c r="F1087" s="93" t="str">
        <f>HYPERLINK("https://pbs.twimg.com/profile_images/1436811568851869700/qD-TzJG0_normal.jpg")</f>
        <v>https://pbs.twimg.com/profile_images/1436811568851869700/qD-TzJG0_normal.jpg</v>
      </c>
      <c r="G1087" s="95"/>
      <c r="H1087" s="71"/>
      <c r="I1087" s="72"/>
      <c r="J1087" s="96"/>
      <c r="K1087" s="71" t="s">
        <v>12136</v>
      </c>
      <c r="L1087" s="97"/>
      <c r="M1087" s="76"/>
      <c r="N1087" s="76"/>
      <c r="O1087" s="77"/>
      <c r="P1087" s="78"/>
      <c r="Q1087" s="78"/>
      <c r="R1087" s="92"/>
      <c r="S1087" s="92"/>
      <c r="T1087" s="92"/>
      <c r="U1087" s="92"/>
      <c r="V1087" s="52"/>
      <c r="W1087" s="52"/>
      <c r="X1087" s="52"/>
      <c r="Y1087" s="52"/>
      <c r="Z1087" s="51"/>
      <c r="AA1087" s="73"/>
      <c r="AB1087" s="73"/>
      <c r="AC1087" s="74"/>
      <c r="AD1087" s="81" t="s">
        <v>8761</v>
      </c>
      <c r="AE1087" s="86" t="s">
        <v>9743</v>
      </c>
      <c r="AF1087" s="81">
        <v>2323</v>
      </c>
      <c r="AG1087" s="81">
        <v>2297</v>
      </c>
      <c r="AH1087" s="81">
        <v>172667</v>
      </c>
      <c r="AI1087" s="81">
        <v>52785</v>
      </c>
      <c r="AJ1087" s="81"/>
      <c r="AK1087" s="81" t="s">
        <v>10668</v>
      </c>
      <c r="AL1087" s="81" t="s">
        <v>11254</v>
      </c>
      <c r="AM1087" s="84" t="str">
        <f>HYPERLINK("https://t.co/TYWGgyHCEm")</f>
        <v>https://t.co/TYWGgyHCEm</v>
      </c>
      <c r="AN1087" s="81"/>
      <c r="AO1087" s="83">
        <v>40011.018113425926</v>
      </c>
      <c r="AP1087" s="84" t="str">
        <f>HYPERLINK("https://pbs.twimg.com/profile_banners/57495210/1577667422")</f>
        <v>https://pbs.twimg.com/profile_banners/57495210/1577667422</v>
      </c>
      <c r="AQ1087" s="81" t="b">
        <v>0</v>
      </c>
      <c r="AR1087" s="81" t="b">
        <v>0</v>
      </c>
      <c r="AS1087" s="81" t="b">
        <v>0</v>
      </c>
      <c r="AT1087" s="81"/>
      <c r="AU1087" s="81">
        <v>42</v>
      </c>
      <c r="AV1087" s="84" t="str">
        <f>HYPERLINK("https://abs.twimg.com/images/themes/theme1/bg.png")</f>
        <v>https://abs.twimg.com/images/themes/theme1/bg.png</v>
      </c>
      <c r="AW1087" s="81" t="b">
        <v>0</v>
      </c>
      <c r="AX1087" s="81" t="s">
        <v>3728</v>
      </c>
      <c r="AY1087" s="84" t="str">
        <f>HYPERLINK("https://twitter.com/kotonoaware")</f>
        <v>https://twitter.com/kotonoaware</v>
      </c>
      <c r="AZ1087" s="81" t="s">
        <v>66</v>
      </c>
      <c r="BA1087" s="2"/>
      <c r="BB1087" s="3"/>
      <c r="BC1087" s="3"/>
      <c r="BD1087" s="3"/>
      <c r="BE1087" s="3"/>
    </row>
    <row r="1088" spans="1:57" x14ac:dyDescent="0.35">
      <c r="A1088" s="66" t="s">
        <v>4738</v>
      </c>
      <c r="B1088" s="67"/>
      <c r="C1088" s="67"/>
      <c r="D1088" s="68"/>
      <c r="E1088" s="94"/>
      <c r="F1088" s="93" t="str">
        <f>HYPERLINK("https://pbs.twimg.com/profile_images/1394303253387612163/DZXjP_jN_normal.jpg")</f>
        <v>https://pbs.twimg.com/profile_images/1394303253387612163/DZXjP_jN_normal.jpg</v>
      </c>
      <c r="G1088" s="95"/>
      <c r="H1088" s="71"/>
      <c r="I1088" s="72"/>
      <c r="J1088" s="96"/>
      <c r="K1088" s="71" t="s">
        <v>12137</v>
      </c>
      <c r="L1088" s="97"/>
      <c r="M1088" s="76"/>
      <c r="N1088" s="76"/>
      <c r="O1088" s="77"/>
      <c r="P1088" s="78"/>
      <c r="Q1088" s="78"/>
      <c r="R1088" s="92"/>
      <c r="S1088" s="92"/>
      <c r="T1088" s="92"/>
      <c r="U1088" s="92"/>
      <c r="V1088" s="52"/>
      <c r="W1088" s="52"/>
      <c r="X1088" s="52"/>
      <c r="Y1088" s="52"/>
      <c r="Z1088" s="51"/>
      <c r="AA1088" s="73"/>
      <c r="AB1088" s="73"/>
      <c r="AC1088" s="74"/>
      <c r="AD1088" s="81" t="s">
        <v>8762</v>
      </c>
      <c r="AE1088" s="86" t="s">
        <v>9744</v>
      </c>
      <c r="AF1088" s="81">
        <v>437</v>
      </c>
      <c r="AG1088" s="81">
        <v>42</v>
      </c>
      <c r="AH1088" s="81">
        <v>677</v>
      </c>
      <c r="AI1088" s="81">
        <v>5876</v>
      </c>
      <c r="AJ1088" s="81"/>
      <c r="AK1088" s="81" t="s">
        <v>10669</v>
      </c>
      <c r="AL1088" s="81" t="s">
        <v>2171</v>
      </c>
      <c r="AM1088" s="81"/>
      <c r="AN1088" s="81"/>
      <c r="AO1088" s="83">
        <v>43832.589583333334</v>
      </c>
      <c r="AP1088" s="84" t="str">
        <f>HYPERLINK("https://pbs.twimg.com/profile_banners/1212737511241371654/1629849965")</f>
        <v>https://pbs.twimg.com/profile_banners/1212737511241371654/1629849965</v>
      </c>
      <c r="AQ1088" s="81" t="b">
        <v>1</v>
      </c>
      <c r="AR1088" s="81" t="b">
        <v>0</v>
      </c>
      <c r="AS1088" s="81" t="b">
        <v>0</v>
      </c>
      <c r="AT1088" s="81"/>
      <c r="AU1088" s="81">
        <v>0</v>
      </c>
      <c r="AV1088" s="81"/>
      <c r="AW1088" s="81" t="b">
        <v>0</v>
      </c>
      <c r="AX1088" s="81" t="s">
        <v>3728</v>
      </c>
      <c r="AY1088" s="84" t="str">
        <f>HYPERLINK("https://twitter.com/strwbblipa")</f>
        <v>https://twitter.com/strwbblipa</v>
      </c>
      <c r="AZ1088" s="81" t="s">
        <v>66</v>
      </c>
      <c r="BA1088" s="2"/>
      <c r="BB1088" s="3"/>
      <c r="BC1088" s="3"/>
      <c r="BD1088" s="3"/>
      <c r="BE1088" s="3"/>
    </row>
    <row r="1089" spans="1:57" x14ac:dyDescent="0.35">
      <c r="A1089" s="66" t="s">
        <v>5147</v>
      </c>
      <c r="B1089" s="67"/>
      <c r="C1089" s="67"/>
      <c r="D1089" s="68"/>
      <c r="E1089" s="94"/>
      <c r="F1089" s="93" t="str">
        <f>HYPERLINK("https://pbs.twimg.com/profile_images/1442250950421454849/Z6Zj8ayy_normal.jpg")</f>
        <v>https://pbs.twimg.com/profile_images/1442250950421454849/Z6Zj8ayy_normal.jpg</v>
      </c>
      <c r="G1089" s="95"/>
      <c r="H1089" s="71"/>
      <c r="I1089" s="72"/>
      <c r="J1089" s="96"/>
      <c r="K1089" s="71" t="s">
        <v>12138</v>
      </c>
      <c r="L1089" s="97"/>
      <c r="M1089" s="76"/>
      <c r="N1089" s="76"/>
      <c r="O1089" s="77"/>
      <c r="P1089" s="78"/>
      <c r="Q1089" s="78"/>
      <c r="R1089" s="92"/>
      <c r="S1089" s="92"/>
      <c r="T1089" s="92"/>
      <c r="U1089" s="92"/>
      <c r="V1089" s="52"/>
      <c r="W1089" s="52"/>
      <c r="X1089" s="52"/>
      <c r="Y1089" s="52"/>
      <c r="Z1089" s="51"/>
      <c r="AA1089" s="73"/>
      <c r="AB1089" s="73"/>
      <c r="AC1089" s="74"/>
      <c r="AD1089" s="81" t="s">
        <v>2427</v>
      </c>
      <c r="AE1089" s="86" t="s">
        <v>9745</v>
      </c>
      <c r="AF1089" s="81">
        <v>13</v>
      </c>
      <c r="AG1089" s="81">
        <v>0</v>
      </c>
      <c r="AH1089" s="81">
        <v>1</v>
      </c>
      <c r="AI1089" s="81">
        <v>8</v>
      </c>
      <c r="AJ1089" s="81"/>
      <c r="AK1089" s="81" t="s">
        <v>10670</v>
      </c>
      <c r="AL1089" s="81"/>
      <c r="AM1089" s="81"/>
      <c r="AN1089" s="81"/>
      <c r="AO1089" s="83">
        <v>44465.916666666664</v>
      </c>
      <c r="AP1089" s="84" t="str">
        <f>HYPERLINK("https://pbs.twimg.com/profile_banners/1442247569120186372/1632694397")</f>
        <v>https://pbs.twimg.com/profile_banners/1442247569120186372/1632694397</v>
      </c>
      <c r="AQ1089" s="81" t="b">
        <v>1</v>
      </c>
      <c r="AR1089" s="81" t="b">
        <v>0</v>
      </c>
      <c r="AS1089" s="81" t="b">
        <v>0</v>
      </c>
      <c r="AT1089" s="81"/>
      <c r="AU1089" s="81">
        <v>0</v>
      </c>
      <c r="AV1089" s="81"/>
      <c r="AW1089" s="81" t="b">
        <v>0</v>
      </c>
      <c r="AX1089" s="81" t="s">
        <v>3728</v>
      </c>
      <c r="AY1089" s="84" t="str">
        <f>HYPERLINK("https://twitter.com/i7dreamy")</f>
        <v>https://twitter.com/i7dreamy</v>
      </c>
      <c r="AZ1089" s="81" t="s">
        <v>65</v>
      </c>
      <c r="BA1089" s="2"/>
      <c r="BB1089" s="3"/>
      <c r="BC1089" s="3"/>
      <c r="BD1089" s="3"/>
      <c r="BE1089" s="3"/>
    </row>
    <row r="1090" spans="1:57" x14ac:dyDescent="0.35">
      <c r="A1090" s="66" t="s">
        <v>4739</v>
      </c>
      <c r="B1090" s="67"/>
      <c r="C1090" s="67"/>
      <c r="D1090" s="68"/>
      <c r="E1090" s="94"/>
      <c r="F1090" s="93" t="str">
        <f>HYPERLINK("https://pbs.twimg.com/profile_images/1361700392053182464/-y8tU1sx_normal.jpg")</f>
        <v>https://pbs.twimg.com/profile_images/1361700392053182464/-y8tU1sx_normal.jpg</v>
      </c>
      <c r="G1090" s="95"/>
      <c r="H1090" s="71"/>
      <c r="I1090" s="72"/>
      <c r="J1090" s="96"/>
      <c r="K1090" s="71" t="s">
        <v>12139</v>
      </c>
      <c r="L1090" s="97"/>
      <c r="M1090" s="76"/>
      <c r="N1090" s="76"/>
      <c r="O1090" s="77"/>
      <c r="P1090" s="78"/>
      <c r="Q1090" s="78"/>
      <c r="R1090" s="92"/>
      <c r="S1090" s="92"/>
      <c r="T1090" s="92"/>
      <c r="U1090" s="92"/>
      <c r="V1090" s="52"/>
      <c r="W1090" s="52"/>
      <c r="X1090" s="52"/>
      <c r="Y1090" s="52"/>
      <c r="Z1090" s="51"/>
      <c r="AA1090" s="73"/>
      <c r="AB1090" s="73"/>
      <c r="AC1090" s="74"/>
      <c r="AD1090" s="81" t="s">
        <v>8763</v>
      </c>
      <c r="AE1090" s="86" t="s">
        <v>9746</v>
      </c>
      <c r="AF1090" s="81">
        <v>3346</v>
      </c>
      <c r="AG1090" s="81">
        <v>2392</v>
      </c>
      <c r="AH1090" s="81">
        <v>94818</v>
      </c>
      <c r="AI1090" s="81">
        <v>125382</v>
      </c>
      <c r="AJ1090" s="81"/>
      <c r="AK1090" s="81" t="s">
        <v>10671</v>
      </c>
      <c r="AL1090" s="81" t="s">
        <v>11255</v>
      </c>
      <c r="AM1090" s="81"/>
      <c r="AN1090" s="81"/>
      <c r="AO1090" s="83">
        <v>41872.627615740741</v>
      </c>
      <c r="AP1090" s="84" t="str">
        <f>HYPERLINK("https://pbs.twimg.com/profile_banners/2752331528/1573840559")</f>
        <v>https://pbs.twimg.com/profile_banners/2752331528/1573840559</v>
      </c>
      <c r="AQ1090" s="81" t="b">
        <v>1</v>
      </c>
      <c r="AR1090" s="81" t="b">
        <v>0</v>
      </c>
      <c r="AS1090" s="81" t="b">
        <v>1</v>
      </c>
      <c r="AT1090" s="81"/>
      <c r="AU1090" s="81">
        <v>7</v>
      </c>
      <c r="AV1090" s="84" t="str">
        <f>HYPERLINK("https://abs.twimg.com/images/themes/theme1/bg.png")</f>
        <v>https://abs.twimg.com/images/themes/theme1/bg.png</v>
      </c>
      <c r="AW1090" s="81" t="b">
        <v>0</v>
      </c>
      <c r="AX1090" s="81" t="s">
        <v>3728</v>
      </c>
      <c r="AY1090" s="84" t="str">
        <f>HYPERLINK("https://twitter.com/lopes_jorgeluiz")</f>
        <v>https://twitter.com/lopes_jorgeluiz</v>
      </c>
      <c r="AZ1090" s="81" t="s">
        <v>66</v>
      </c>
      <c r="BA1090" s="2"/>
      <c r="BB1090" s="3"/>
      <c r="BC1090" s="3"/>
      <c r="BD1090" s="3"/>
      <c r="BE1090" s="3"/>
    </row>
    <row r="1091" spans="1:57" x14ac:dyDescent="0.35">
      <c r="A1091" s="66" t="s">
        <v>4740</v>
      </c>
      <c r="B1091" s="67"/>
      <c r="C1091" s="67"/>
      <c r="D1091" s="68"/>
      <c r="E1091" s="94"/>
      <c r="F1091" s="93" t="str">
        <f>HYPERLINK("https://pbs.twimg.com/profile_images/1111292578824142848/bO70aBl4_normal.jpg")</f>
        <v>https://pbs.twimg.com/profile_images/1111292578824142848/bO70aBl4_normal.jpg</v>
      </c>
      <c r="G1091" s="95"/>
      <c r="H1091" s="71"/>
      <c r="I1091" s="72"/>
      <c r="J1091" s="96"/>
      <c r="K1091" s="71" t="s">
        <v>12140</v>
      </c>
      <c r="L1091" s="97"/>
      <c r="M1091" s="76"/>
      <c r="N1091" s="76"/>
      <c r="O1091" s="77"/>
      <c r="P1091" s="78"/>
      <c r="Q1091" s="78"/>
      <c r="R1091" s="92"/>
      <c r="S1091" s="92"/>
      <c r="T1091" s="92"/>
      <c r="U1091" s="92"/>
      <c r="V1091" s="52"/>
      <c r="W1091" s="52"/>
      <c r="X1091" s="52"/>
      <c r="Y1091" s="52"/>
      <c r="Z1091" s="51"/>
      <c r="AA1091" s="73"/>
      <c r="AB1091" s="73"/>
      <c r="AC1091" s="74"/>
      <c r="AD1091" s="81" t="s">
        <v>8764</v>
      </c>
      <c r="AE1091" s="86" t="s">
        <v>9747</v>
      </c>
      <c r="AF1091" s="81">
        <v>938</v>
      </c>
      <c r="AG1091" s="81">
        <v>651</v>
      </c>
      <c r="AH1091" s="81">
        <v>9257</v>
      </c>
      <c r="AI1091" s="81">
        <v>49771</v>
      </c>
      <c r="AJ1091" s="81"/>
      <c r="AK1091" s="81" t="s">
        <v>10672</v>
      </c>
      <c r="AL1091" s="81" t="s">
        <v>11256</v>
      </c>
      <c r="AM1091" s="84" t="str">
        <f>HYPERLINK("https://t.co/UDKIIujfFs")</f>
        <v>https://t.co/UDKIIujfFs</v>
      </c>
      <c r="AN1091" s="81"/>
      <c r="AO1091" s="83">
        <v>43332.639976851853</v>
      </c>
      <c r="AP1091" s="84" t="str">
        <f>HYPERLINK("https://pbs.twimg.com/profile_banners/1031561887828389888/1567403844")</f>
        <v>https://pbs.twimg.com/profile_banners/1031561887828389888/1567403844</v>
      </c>
      <c r="AQ1091" s="81" t="b">
        <v>0</v>
      </c>
      <c r="AR1091" s="81" t="b">
        <v>0</v>
      </c>
      <c r="AS1091" s="81" t="b">
        <v>1</v>
      </c>
      <c r="AT1091" s="81"/>
      <c r="AU1091" s="81">
        <v>5</v>
      </c>
      <c r="AV1091" s="84" t="str">
        <f>HYPERLINK("https://abs.twimg.com/images/themes/theme1/bg.png")</f>
        <v>https://abs.twimg.com/images/themes/theme1/bg.png</v>
      </c>
      <c r="AW1091" s="81" t="b">
        <v>0</v>
      </c>
      <c r="AX1091" s="81" t="s">
        <v>3728</v>
      </c>
      <c r="AY1091" s="84" t="str">
        <f>HYPERLINK("https://twitter.com/morenacl_")</f>
        <v>https://twitter.com/morenacl_</v>
      </c>
      <c r="AZ1091" s="81" t="s">
        <v>66</v>
      </c>
      <c r="BA1091" s="2"/>
      <c r="BB1091" s="3"/>
      <c r="BC1091" s="3"/>
      <c r="BD1091" s="3"/>
      <c r="BE1091" s="3"/>
    </row>
    <row r="1092" spans="1:57" x14ac:dyDescent="0.35">
      <c r="A1092" s="66" t="s">
        <v>4741</v>
      </c>
      <c r="B1092" s="67"/>
      <c r="C1092" s="67"/>
      <c r="D1092" s="68"/>
      <c r="E1092" s="94"/>
      <c r="F1092" s="93" t="str">
        <f>HYPERLINK("https://pbs.twimg.com/profile_images/1440320671272226828/YrH_nPS9_normal.jpg")</f>
        <v>https://pbs.twimg.com/profile_images/1440320671272226828/YrH_nPS9_normal.jpg</v>
      </c>
      <c r="G1092" s="95"/>
      <c r="H1092" s="71"/>
      <c r="I1092" s="72"/>
      <c r="J1092" s="96"/>
      <c r="K1092" s="71" t="s">
        <v>12141</v>
      </c>
      <c r="L1092" s="97"/>
      <c r="M1092" s="76"/>
      <c r="N1092" s="76"/>
      <c r="O1092" s="77"/>
      <c r="P1092" s="78"/>
      <c r="Q1092" s="78"/>
      <c r="R1092" s="92"/>
      <c r="S1092" s="92"/>
      <c r="T1092" s="92"/>
      <c r="U1092" s="92"/>
      <c r="V1092" s="52"/>
      <c r="W1092" s="52"/>
      <c r="X1092" s="52"/>
      <c r="Y1092" s="52"/>
      <c r="Z1092" s="51"/>
      <c r="AA1092" s="73"/>
      <c r="AB1092" s="73"/>
      <c r="AC1092" s="74"/>
      <c r="AD1092" s="81" t="s">
        <v>8765</v>
      </c>
      <c r="AE1092" s="86" t="s">
        <v>9748</v>
      </c>
      <c r="AF1092" s="81">
        <v>712</v>
      </c>
      <c r="AG1092" s="81">
        <v>146</v>
      </c>
      <c r="AH1092" s="81">
        <v>3706</v>
      </c>
      <c r="AI1092" s="81">
        <v>12286</v>
      </c>
      <c r="AJ1092" s="81"/>
      <c r="AK1092" s="81" t="s">
        <v>10673</v>
      </c>
      <c r="AL1092" s="81"/>
      <c r="AM1092" s="81"/>
      <c r="AN1092" s="81"/>
      <c r="AO1092" s="83">
        <v>44145.378900462965</v>
      </c>
      <c r="AP1092" s="84" t="str">
        <f>HYPERLINK("https://pbs.twimg.com/profile_banners/1326088583741120512/1619393972")</f>
        <v>https://pbs.twimg.com/profile_banners/1326088583741120512/1619393972</v>
      </c>
      <c r="AQ1092" s="81" t="b">
        <v>1</v>
      </c>
      <c r="AR1092" s="81" t="b">
        <v>0</v>
      </c>
      <c r="AS1092" s="81" t="b">
        <v>0</v>
      </c>
      <c r="AT1092" s="81"/>
      <c r="AU1092" s="81">
        <v>0</v>
      </c>
      <c r="AV1092" s="81"/>
      <c r="AW1092" s="81" t="b">
        <v>0</v>
      </c>
      <c r="AX1092" s="81" t="s">
        <v>3728</v>
      </c>
      <c r="AY1092" s="84" t="str">
        <f>HYPERLINK("https://twitter.com/cleopatradobr")</f>
        <v>https://twitter.com/cleopatradobr</v>
      </c>
      <c r="AZ1092" s="81" t="s">
        <v>66</v>
      </c>
      <c r="BA1092" s="2"/>
      <c r="BB1092" s="3"/>
      <c r="BC1092" s="3"/>
      <c r="BD1092" s="3"/>
      <c r="BE1092" s="3"/>
    </row>
    <row r="1093" spans="1:57" x14ac:dyDescent="0.35">
      <c r="A1093" s="66" t="s">
        <v>4742</v>
      </c>
      <c r="B1093" s="67"/>
      <c r="C1093" s="67"/>
      <c r="D1093" s="68"/>
      <c r="E1093" s="94"/>
      <c r="F1093" s="93" t="str">
        <f>HYPERLINK("https://pbs.twimg.com/profile_images/1389596446110982147/KW6nO2fU_normal.jpg")</f>
        <v>https://pbs.twimg.com/profile_images/1389596446110982147/KW6nO2fU_normal.jpg</v>
      </c>
      <c r="G1093" s="95"/>
      <c r="H1093" s="71"/>
      <c r="I1093" s="72"/>
      <c r="J1093" s="96"/>
      <c r="K1093" s="71" t="s">
        <v>12142</v>
      </c>
      <c r="L1093" s="97"/>
      <c r="M1093" s="76"/>
      <c r="N1093" s="76"/>
      <c r="O1093" s="77"/>
      <c r="P1093" s="78"/>
      <c r="Q1093" s="78"/>
      <c r="R1093" s="92"/>
      <c r="S1093" s="92"/>
      <c r="T1093" s="92"/>
      <c r="U1093" s="92"/>
      <c r="V1093" s="52"/>
      <c r="W1093" s="52"/>
      <c r="X1093" s="52"/>
      <c r="Y1093" s="52"/>
      <c r="Z1093" s="51"/>
      <c r="AA1093" s="73"/>
      <c r="AB1093" s="73"/>
      <c r="AC1093" s="74"/>
      <c r="AD1093" s="81" t="s">
        <v>8766</v>
      </c>
      <c r="AE1093" s="86" t="s">
        <v>9749</v>
      </c>
      <c r="AF1093" s="81">
        <v>8604</v>
      </c>
      <c r="AG1093" s="81">
        <v>9132</v>
      </c>
      <c r="AH1093" s="81">
        <v>47515</v>
      </c>
      <c r="AI1093" s="81">
        <v>65166</v>
      </c>
      <c r="AJ1093" s="81"/>
      <c r="AK1093" s="81" t="s">
        <v>10674</v>
      </c>
      <c r="AL1093" s="81" t="s">
        <v>11057</v>
      </c>
      <c r="AM1093" s="81"/>
      <c r="AN1093" s="81"/>
      <c r="AO1093" s="83">
        <v>43082.092152777775</v>
      </c>
      <c r="AP1093" s="84" t="str">
        <f>HYPERLINK("https://pbs.twimg.com/profile_banners/940766397914910720/1513131761")</f>
        <v>https://pbs.twimg.com/profile_banners/940766397914910720/1513131761</v>
      </c>
      <c r="AQ1093" s="81" t="b">
        <v>1</v>
      </c>
      <c r="AR1093" s="81" t="b">
        <v>0</v>
      </c>
      <c r="AS1093" s="81" t="b">
        <v>0</v>
      </c>
      <c r="AT1093" s="81"/>
      <c r="AU1093" s="81">
        <v>6</v>
      </c>
      <c r="AV1093" s="81"/>
      <c r="AW1093" s="81" t="b">
        <v>0</v>
      </c>
      <c r="AX1093" s="81" t="s">
        <v>3728</v>
      </c>
      <c r="AY1093" s="84" t="str">
        <f>HYPERLINK("https://twitter.com/pelintrate")</f>
        <v>https://twitter.com/pelintrate</v>
      </c>
      <c r="AZ1093" s="81" t="s">
        <v>66</v>
      </c>
      <c r="BA1093" s="2"/>
      <c r="BB1093" s="3"/>
      <c r="BC1093" s="3"/>
      <c r="BD1093" s="3"/>
      <c r="BE1093" s="3"/>
    </row>
    <row r="1094" spans="1:57" x14ac:dyDescent="0.35">
      <c r="A1094" s="66" t="s">
        <v>4743</v>
      </c>
      <c r="B1094" s="67"/>
      <c r="C1094" s="67"/>
      <c r="D1094" s="68"/>
      <c r="E1094" s="94"/>
      <c r="F1094" s="93" t="str">
        <f>HYPERLINK("https://pbs.twimg.com/profile_images/1095074678287273993/fh5LPVVa_normal.jpg")</f>
        <v>https://pbs.twimg.com/profile_images/1095074678287273993/fh5LPVVa_normal.jpg</v>
      </c>
      <c r="G1094" s="95"/>
      <c r="H1094" s="71"/>
      <c r="I1094" s="72"/>
      <c r="J1094" s="96"/>
      <c r="K1094" s="71" t="s">
        <v>12143</v>
      </c>
      <c r="L1094" s="97"/>
      <c r="M1094" s="76"/>
      <c r="N1094" s="76"/>
      <c r="O1094" s="77"/>
      <c r="P1094" s="78"/>
      <c r="Q1094" s="78"/>
      <c r="R1094" s="92"/>
      <c r="S1094" s="92"/>
      <c r="T1094" s="92"/>
      <c r="U1094" s="92"/>
      <c r="V1094" s="52"/>
      <c r="W1094" s="52"/>
      <c r="X1094" s="52"/>
      <c r="Y1094" s="52"/>
      <c r="Z1094" s="51"/>
      <c r="AA1094" s="73"/>
      <c r="AB1094" s="73"/>
      <c r="AC1094" s="74"/>
      <c r="AD1094" s="81" t="s">
        <v>8576</v>
      </c>
      <c r="AE1094" s="86" t="s">
        <v>9750</v>
      </c>
      <c r="AF1094" s="81">
        <v>1613</v>
      </c>
      <c r="AG1094" s="81">
        <v>701</v>
      </c>
      <c r="AH1094" s="81">
        <v>97370</v>
      </c>
      <c r="AI1094" s="81">
        <v>157338</v>
      </c>
      <c r="AJ1094" s="81"/>
      <c r="AK1094" s="81" t="s">
        <v>10675</v>
      </c>
      <c r="AL1094" s="81" t="s">
        <v>11257</v>
      </c>
      <c r="AM1094" s="81"/>
      <c r="AN1094" s="81"/>
      <c r="AO1094" s="83">
        <v>40704.035254629627</v>
      </c>
      <c r="AP1094" s="84" t="str">
        <f>HYPERLINK("https://pbs.twimg.com/profile_banners/314286788/1421216879")</f>
        <v>https://pbs.twimg.com/profile_banners/314286788/1421216879</v>
      </c>
      <c r="AQ1094" s="81" t="b">
        <v>0</v>
      </c>
      <c r="AR1094" s="81" t="b">
        <v>0</v>
      </c>
      <c r="AS1094" s="81" t="b">
        <v>1</v>
      </c>
      <c r="AT1094" s="81"/>
      <c r="AU1094" s="81">
        <v>5</v>
      </c>
      <c r="AV1094" s="84" t="str">
        <f>HYPERLINK("https://abs.twimg.com/images/themes/theme1/bg.png")</f>
        <v>https://abs.twimg.com/images/themes/theme1/bg.png</v>
      </c>
      <c r="AW1094" s="81" t="b">
        <v>0</v>
      </c>
      <c r="AX1094" s="81" t="s">
        <v>3728</v>
      </c>
      <c r="AY1094" s="84" t="str">
        <f>HYPERLINK("https://twitter.com/deco_lima2")</f>
        <v>https://twitter.com/deco_lima2</v>
      </c>
      <c r="AZ1094" s="81" t="s">
        <v>66</v>
      </c>
      <c r="BA1094" s="2"/>
      <c r="BB1094" s="3"/>
      <c r="BC1094" s="3"/>
      <c r="BD1094" s="3"/>
      <c r="BE1094" s="3"/>
    </row>
    <row r="1095" spans="1:57" x14ac:dyDescent="0.35">
      <c r="A1095" s="66" t="s">
        <v>4744</v>
      </c>
      <c r="B1095" s="67"/>
      <c r="C1095" s="67"/>
      <c r="D1095" s="68"/>
      <c r="E1095" s="94"/>
      <c r="F1095" s="93" t="str">
        <f>HYPERLINK("https://pbs.twimg.com/profile_images/1438723356753289216/l3uaVaqL_normal.jpg")</f>
        <v>https://pbs.twimg.com/profile_images/1438723356753289216/l3uaVaqL_normal.jpg</v>
      </c>
      <c r="G1095" s="95"/>
      <c r="H1095" s="71"/>
      <c r="I1095" s="72"/>
      <c r="J1095" s="96"/>
      <c r="K1095" s="71" t="s">
        <v>12144</v>
      </c>
      <c r="L1095" s="97"/>
      <c r="M1095" s="76"/>
      <c r="N1095" s="76"/>
      <c r="O1095" s="77"/>
      <c r="P1095" s="78"/>
      <c r="Q1095" s="78"/>
      <c r="R1095" s="92"/>
      <c r="S1095" s="92"/>
      <c r="T1095" s="92"/>
      <c r="U1095" s="92"/>
      <c r="V1095" s="52"/>
      <c r="W1095" s="52"/>
      <c r="X1095" s="52"/>
      <c r="Y1095" s="52"/>
      <c r="Z1095" s="51"/>
      <c r="AA1095" s="73"/>
      <c r="AB1095" s="73"/>
      <c r="AC1095" s="74"/>
      <c r="AD1095" s="81" t="s">
        <v>8767</v>
      </c>
      <c r="AE1095" s="86" t="s">
        <v>9751</v>
      </c>
      <c r="AF1095" s="81">
        <v>13650</v>
      </c>
      <c r="AG1095" s="81">
        <v>12989</v>
      </c>
      <c r="AH1095" s="81">
        <v>210502</v>
      </c>
      <c r="AI1095" s="81">
        <v>322756</v>
      </c>
      <c r="AJ1095" s="81"/>
      <c r="AK1095" s="81" t="s">
        <v>10676</v>
      </c>
      <c r="AL1095" s="81" t="s">
        <v>11258</v>
      </c>
      <c r="AM1095" s="84" t="str">
        <f>HYPERLINK("https://t.co/wYiGnKNEKQ")</f>
        <v>https://t.co/wYiGnKNEKQ</v>
      </c>
      <c r="AN1095" s="81"/>
      <c r="AO1095" s="83">
        <v>40741.852766203701</v>
      </c>
      <c r="AP1095" s="84" t="str">
        <f>HYPERLINK("https://pbs.twimg.com/profile_banners/337308428/1631855120")</f>
        <v>https://pbs.twimg.com/profile_banners/337308428/1631855120</v>
      </c>
      <c r="AQ1095" s="81" t="b">
        <v>0</v>
      </c>
      <c r="AR1095" s="81" t="b">
        <v>0</v>
      </c>
      <c r="AS1095" s="81" t="b">
        <v>0</v>
      </c>
      <c r="AT1095" s="81"/>
      <c r="AU1095" s="81">
        <v>47</v>
      </c>
      <c r="AV1095" s="84" t="str">
        <f>HYPERLINK("https://abs.twimg.com/images/themes/theme18/bg.gif")</f>
        <v>https://abs.twimg.com/images/themes/theme18/bg.gif</v>
      </c>
      <c r="AW1095" s="81" t="b">
        <v>0</v>
      </c>
      <c r="AX1095" s="81" t="s">
        <v>3728</v>
      </c>
      <c r="AY1095" s="84" t="str">
        <f>HYPERLINK("https://twitter.com/weltoncalves")</f>
        <v>https://twitter.com/weltoncalves</v>
      </c>
      <c r="AZ1095" s="81" t="s">
        <v>66</v>
      </c>
      <c r="BA1095" s="2"/>
      <c r="BB1095" s="3"/>
      <c r="BC1095" s="3"/>
      <c r="BD1095" s="3"/>
      <c r="BE1095" s="3"/>
    </row>
    <row r="1096" spans="1:57" x14ac:dyDescent="0.35">
      <c r="A1096" s="66" t="s">
        <v>4745</v>
      </c>
      <c r="B1096" s="67"/>
      <c r="C1096" s="67"/>
      <c r="D1096" s="68"/>
      <c r="E1096" s="94"/>
      <c r="F1096" s="93" t="str">
        <f>HYPERLINK("https://pbs.twimg.com/profile_images/1430168745671110661/WGZf-fRt_normal.jpg")</f>
        <v>https://pbs.twimg.com/profile_images/1430168745671110661/WGZf-fRt_normal.jpg</v>
      </c>
      <c r="G1096" s="95"/>
      <c r="H1096" s="71"/>
      <c r="I1096" s="72"/>
      <c r="J1096" s="96"/>
      <c r="K1096" s="71" t="s">
        <v>12145</v>
      </c>
      <c r="L1096" s="97"/>
      <c r="M1096" s="76"/>
      <c r="N1096" s="76"/>
      <c r="O1096" s="77"/>
      <c r="P1096" s="78"/>
      <c r="Q1096" s="78"/>
      <c r="R1096" s="92"/>
      <c r="S1096" s="92"/>
      <c r="T1096" s="92"/>
      <c r="U1096" s="92"/>
      <c r="V1096" s="52"/>
      <c r="W1096" s="52"/>
      <c r="X1096" s="52"/>
      <c r="Y1096" s="52"/>
      <c r="Z1096" s="51"/>
      <c r="AA1096" s="73"/>
      <c r="AB1096" s="73"/>
      <c r="AC1096" s="74"/>
      <c r="AD1096" s="81" t="s">
        <v>8768</v>
      </c>
      <c r="AE1096" s="86" t="s">
        <v>9752</v>
      </c>
      <c r="AF1096" s="81">
        <v>244</v>
      </c>
      <c r="AG1096" s="81">
        <v>31</v>
      </c>
      <c r="AH1096" s="81">
        <v>3461</v>
      </c>
      <c r="AI1096" s="81">
        <v>9763</v>
      </c>
      <c r="AJ1096" s="81"/>
      <c r="AK1096" s="81" t="s">
        <v>10677</v>
      </c>
      <c r="AL1096" s="81" t="s">
        <v>11007</v>
      </c>
      <c r="AM1096" s="81"/>
      <c r="AN1096" s="81"/>
      <c r="AO1096" s="83">
        <v>44259.93408564815</v>
      </c>
      <c r="AP1096" s="81"/>
      <c r="AQ1096" s="81" t="b">
        <v>1</v>
      </c>
      <c r="AR1096" s="81" t="b">
        <v>0</v>
      </c>
      <c r="AS1096" s="81" t="b">
        <v>0</v>
      </c>
      <c r="AT1096" s="81"/>
      <c r="AU1096" s="81">
        <v>0</v>
      </c>
      <c r="AV1096" s="81"/>
      <c r="AW1096" s="81" t="b">
        <v>0</v>
      </c>
      <c r="AX1096" s="81" t="s">
        <v>3728</v>
      </c>
      <c r="AY1096" s="84" t="str">
        <f>HYPERLINK("https://twitter.com/olguitarj")</f>
        <v>https://twitter.com/olguitarj</v>
      </c>
      <c r="AZ1096" s="81" t="s">
        <v>66</v>
      </c>
      <c r="BA1096" s="2"/>
      <c r="BB1096" s="3"/>
      <c r="BC1096" s="3"/>
      <c r="BD1096" s="3"/>
      <c r="BE1096" s="3"/>
    </row>
    <row r="1097" spans="1:57" x14ac:dyDescent="0.35">
      <c r="A1097" s="66" t="s">
        <v>4746</v>
      </c>
      <c r="B1097" s="67"/>
      <c r="C1097" s="67"/>
      <c r="D1097" s="68"/>
      <c r="E1097" s="94"/>
      <c r="F1097" s="93" t="str">
        <f>HYPERLINK("https://pbs.twimg.com/profile_images/1405005434600267781/Sltei58q_normal.jpg")</f>
        <v>https://pbs.twimg.com/profile_images/1405005434600267781/Sltei58q_normal.jpg</v>
      </c>
      <c r="G1097" s="95"/>
      <c r="H1097" s="71"/>
      <c r="I1097" s="72"/>
      <c r="J1097" s="96"/>
      <c r="K1097" s="71" t="s">
        <v>12146</v>
      </c>
      <c r="L1097" s="97"/>
      <c r="M1097" s="76"/>
      <c r="N1097" s="76"/>
      <c r="O1097" s="77"/>
      <c r="P1097" s="78"/>
      <c r="Q1097" s="78"/>
      <c r="R1097" s="92"/>
      <c r="S1097" s="92"/>
      <c r="T1097" s="92"/>
      <c r="U1097" s="92"/>
      <c r="V1097" s="52"/>
      <c r="W1097" s="52"/>
      <c r="X1097" s="52"/>
      <c r="Y1097" s="52"/>
      <c r="Z1097" s="51"/>
      <c r="AA1097" s="73"/>
      <c r="AB1097" s="73"/>
      <c r="AC1097" s="74"/>
      <c r="AD1097" s="81" t="s">
        <v>8769</v>
      </c>
      <c r="AE1097" s="86" t="s">
        <v>9753</v>
      </c>
      <c r="AF1097" s="81">
        <v>336</v>
      </c>
      <c r="AG1097" s="81">
        <v>169</v>
      </c>
      <c r="AH1097" s="81">
        <v>18934</v>
      </c>
      <c r="AI1097" s="81">
        <v>10448</v>
      </c>
      <c r="AJ1097" s="81"/>
      <c r="AK1097" s="81"/>
      <c r="AL1097" s="81" t="s">
        <v>11259</v>
      </c>
      <c r="AM1097" s="81"/>
      <c r="AN1097" s="81"/>
      <c r="AO1097" s="83">
        <v>40480.575578703705</v>
      </c>
      <c r="AP1097" s="84" t="str">
        <f>HYPERLINK("https://pbs.twimg.com/profile_banners/209589137/1611526487")</f>
        <v>https://pbs.twimg.com/profile_banners/209589137/1611526487</v>
      </c>
      <c r="AQ1097" s="81" t="b">
        <v>0</v>
      </c>
      <c r="AR1097" s="81" t="b">
        <v>0</v>
      </c>
      <c r="AS1097" s="81" t="b">
        <v>0</v>
      </c>
      <c r="AT1097" s="81"/>
      <c r="AU1097" s="81">
        <v>1</v>
      </c>
      <c r="AV1097" s="84" t="str">
        <f>HYPERLINK("https://abs.twimg.com/images/themes/theme1/bg.png")</f>
        <v>https://abs.twimg.com/images/themes/theme1/bg.png</v>
      </c>
      <c r="AW1097" s="81" t="b">
        <v>0</v>
      </c>
      <c r="AX1097" s="81" t="s">
        <v>3728</v>
      </c>
      <c r="AY1097" s="84" t="str">
        <f>HYPERLINK("https://twitter.com/raquelrnogueira")</f>
        <v>https://twitter.com/raquelrnogueira</v>
      </c>
      <c r="AZ1097" s="81" t="s">
        <v>66</v>
      </c>
      <c r="BA1097" s="2"/>
      <c r="BB1097" s="3"/>
      <c r="BC1097" s="3"/>
      <c r="BD1097" s="3"/>
      <c r="BE1097" s="3"/>
    </row>
    <row r="1098" spans="1:57" x14ac:dyDescent="0.35">
      <c r="A1098" s="66" t="s">
        <v>4747</v>
      </c>
      <c r="B1098" s="67"/>
      <c r="C1098" s="67"/>
      <c r="D1098" s="68"/>
      <c r="E1098" s="94"/>
      <c r="F1098" s="93" t="str">
        <f>HYPERLINK("https://pbs.twimg.com/profile_images/1270597268496760838/kAwlNM97_normal.jpg")</f>
        <v>https://pbs.twimg.com/profile_images/1270597268496760838/kAwlNM97_normal.jpg</v>
      </c>
      <c r="G1098" s="95"/>
      <c r="H1098" s="71"/>
      <c r="I1098" s="72"/>
      <c r="J1098" s="96"/>
      <c r="K1098" s="71" t="s">
        <v>12147</v>
      </c>
      <c r="L1098" s="97"/>
      <c r="M1098" s="76"/>
      <c r="N1098" s="76"/>
      <c r="O1098" s="77"/>
      <c r="P1098" s="78"/>
      <c r="Q1098" s="78"/>
      <c r="R1098" s="92"/>
      <c r="S1098" s="92"/>
      <c r="T1098" s="92"/>
      <c r="U1098" s="92"/>
      <c r="V1098" s="52"/>
      <c r="W1098" s="52"/>
      <c r="X1098" s="52"/>
      <c r="Y1098" s="52"/>
      <c r="Z1098" s="51"/>
      <c r="AA1098" s="73"/>
      <c r="AB1098" s="73"/>
      <c r="AC1098" s="74"/>
      <c r="AD1098" s="81" t="s">
        <v>8770</v>
      </c>
      <c r="AE1098" s="86" t="s">
        <v>9754</v>
      </c>
      <c r="AF1098" s="81">
        <v>192</v>
      </c>
      <c r="AG1098" s="81">
        <v>12</v>
      </c>
      <c r="AH1098" s="81">
        <v>989</v>
      </c>
      <c r="AI1098" s="81">
        <v>537</v>
      </c>
      <c r="AJ1098" s="81"/>
      <c r="AK1098" s="81" t="s">
        <v>10678</v>
      </c>
      <c r="AL1098" s="81"/>
      <c r="AM1098" s="81"/>
      <c r="AN1098" s="81"/>
      <c r="AO1098" s="83">
        <v>43983.338819444441</v>
      </c>
      <c r="AP1098" s="84" t="str">
        <f>HYPERLINK("https://pbs.twimg.com/profile_banners/1267367088403779584/1591768971")</f>
        <v>https://pbs.twimg.com/profile_banners/1267367088403779584/1591768971</v>
      </c>
      <c r="AQ1098" s="81" t="b">
        <v>1</v>
      </c>
      <c r="AR1098" s="81" t="b">
        <v>0</v>
      </c>
      <c r="AS1098" s="81" t="b">
        <v>0</v>
      </c>
      <c r="AT1098" s="81"/>
      <c r="AU1098" s="81">
        <v>0</v>
      </c>
      <c r="AV1098" s="81"/>
      <c r="AW1098" s="81" t="b">
        <v>0</v>
      </c>
      <c r="AX1098" s="81" t="s">
        <v>3728</v>
      </c>
      <c r="AY1098" s="84" t="str">
        <f>HYPERLINK("https://twitter.com/bozbobo1")</f>
        <v>https://twitter.com/bozbobo1</v>
      </c>
      <c r="AZ1098" s="81" t="s">
        <v>66</v>
      </c>
      <c r="BA1098" s="2"/>
      <c r="BB1098" s="3"/>
      <c r="BC1098" s="3"/>
      <c r="BD1098" s="3"/>
      <c r="BE1098" s="3"/>
    </row>
    <row r="1099" spans="1:57" x14ac:dyDescent="0.35">
      <c r="A1099" s="66" t="s">
        <v>5148</v>
      </c>
      <c r="B1099" s="67"/>
      <c r="C1099" s="67"/>
      <c r="D1099" s="68"/>
      <c r="E1099" s="94"/>
      <c r="F1099" s="93" t="str">
        <f>HYPERLINK("https://pbs.twimg.com/profile_images/1323812969604677635/WqnluA85_normal.jpg")</f>
        <v>https://pbs.twimg.com/profile_images/1323812969604677635/WqnluA85_normal.jpg</v>
      </c>
      <c r="G1099" s="95"/>
      <c r="H1099" s="71"/>
      <c r="I1099" s="72"/>
      <c r="J1099" s="96"/>
      <c r="K1099" s="71" t="s">
        <v>12148</v>
      </c>
      <c r="L1099" s="97"/>
      <c r="M1099" s="76"/>
      <c r="N1099" s="76"/>
      <c r="O1099" s="77"/>
      <c r="P1099" s="78"/>
      <c r="Q1099" s="78"/>
      <c r="R1099" s="92"/>
      <c r="S1099" s="92"/>
      <c r="T1099" s="92"/>
      <c r="U1099" s="92"/>
      <c r="V1099" s="52"/>
      <c r="W1099" s="52"/>
      <c r="X1099" s="52"/>
      <c r="Y1099" s="52"/>
      <c r="Z1099" s="51"/>
      <c r="AA1099" s="73"/>
      <c r="AB1099" s="73"/>
      <c r="AC1099" s="74"/>
      <c r="AD1099" s="81" t="s">
        <v>8771</v>
      </c>
      <c r="AE1099" s="86" t="s">
        <v>9755</v>
      </c>
      <c r="AF1099" s="81">
        <v>102</v>
      </c>
      <c r="AG1099" s="81">
        <v>6</v>
      </c>
      <c r="AH1099" s="81">
        <v>89</v>
      </c>
      <c r="AI1099" s="81">
        <v>48</v>
      </c>
      <c r="AJ1099" s="81"/>
      <c r="AK1099" s="81"/>
      <c r="AL1099" s="81"/>
      <c r="AM1099" s="81"/>
      <c r="AN1099" s="81"/>
      <c r="AO1099" s="83">
        <v>42110.679907407408</v>
      </c>
      <c r="AP1099" s="81"/>
      <c r="AQ1099" s="81" t="b">
        <v>1</v>
      </c>
      <c r="AR1099" s="81" t="b">
        <v>0</v>
      </c>
      <c r="AS1099" s="81" t="b">
        <v>0</v>
      </c>
      <c r="AT1099" s="81"/>
      <c r="AU1099" s="81">
        <v>0</v>
      </c>
      <c r="AV1099" s="84" t="str">
        <f>HYPERLINK("https://abs.twimg.com/images/themes/theme1/bg.png")</f>
        <v>https://abs.twimg.com/images/themes/theme1/bg.png</v>
      </c>
      <c r="AW1099" s="81" t="b">
        <v>0</v>
      </c>
      <c r="AX1099" s="81" t="s">
        <v>3728</v>
      </c>
      <c r="AY1099" s="84" t="str">
        <f>HYPERLINK("https://twitter.com/alesson90")</f>
        <v>https://twitter.com/alesson90</v>
      </c>
      <c r="AZ1099" s="81" t="s">
        <v>65</v>
      </c>
      <c r="BA1099" s="2"/>
      <c r="BB1099" s="3"/>
      <c r="BC1099" s="3"/>
      <c r="BD1099" s="3"/>
      <c r="BE1099" s="3"/>
    </row>
    <row r="1100" spans="1:57" x14ac:dyDescent="0.35">
      <c r="A1100" s="66" t="s">
        <v>5149</v>
      </c>
      <c r="B1100" s="67"/>
      <c r="C1100" s="67"/>
      <c r="D1100" s="68"/>
      <c r="E1100" s="94"/>
      <c r="F1100" s="93" t="str">
        <f>HYPERLINK("https://pbs.twimg.com/profile_images/1425650563488927753/TV5dxDZz_normal.jpg")</f>
        <v>https://pbs.twimg.com/profile_images/1425650563488927753/TV5dxDZz_normal.jpg</v>
      </c>
      <c r="G1100" s="95"/>
      <c r="H1100" s="71"/>
      <c r="I1100" s="72"/>
      <c r="J1100" s="96"/>
      <c r="K1100" s="71" t="s">
        <v>12149</v>
      </c>
      <c r="L1100" s="97"/>
      <c r="M1100" s="76"/>
      <c r="N1100" s="76"/>
      <c r="O1100" s="77"/>
      <c r="P1100" s="78"/>
      <c r="Q1100" s="78"/>
      <c r="R1100" s="92"/>
      <c r="S1100" s="92"/>
      <c r="T1100" s="92"/>
      <c r="U1100" s="92"/>
      <c r="V1100" s="52"/>
      <c r="W1100" s="52"/>
      <c r="X1100" s="52"/>
      <c r="Y1100" s="52"/>
      <c r="Z1100" s="51"/>
      <c r="AA1100" s="73"/>
      <c r="AB1100" s="73"/>
      <c r="AC1100" s="74"/>
      <c r="AD1100" s="81" t="s">
        <v>8772</v>
      </c>
      <c r="AE1100" s="86" t="s">
        <v>7897</v>
      </c>
      <c r="AF1100" s="81">
        <v>602</v>
      </c>
      <c r="AG1100" s="81">
        <v>143</v>
      </c>
      <c r="AH1100" s="81">
        <v>2200</v>
      </c>
      <c r="AI1100" s="81">
        <v>2993</v>
      </c>
      <c r="AJ1100" s="81"/>
      <c r="AK1100" s="81" t="s">
        <v>10679</v>
      </c>
      <c r="AL1100" s="81" t="s">
        <v>11260</v>
      </c>
      <c r="AM1100" s="81"/>
      <c r="AN1100" s="81"/>
      <c r="AO1100" s="83">
        <v>42837.556331018517</v>
      </c>
      <c r="AP1100" s="84" t="str">
        <f>HYPERLINK("https://pbs.twimg.com/profile_banners/852149583123816449/1588530398")</f>
        <v>https://pbs.twimg.com/profile_banners/852149583123816449/1588530398</v>
      </c>
      <c r="AQ1100" s="81" t="b">
        <v>0</v>
      </c>
      <c r="AR1100" s="81" t="b">
        <v>0</v>
      </c>
      <c r="AS1100" s="81" t="b">
        <v>0</v>
      </c>
      <c r="AT1100" s="81"/>
      <c r="AU1100" s="81">
        <v>0</v>
      </c>
      <c r="AV1100" s="84" t="str">
        <f>HYPERLINK("https://abs.twimg.com/images/themes/theme1/bg.png")</f>
        <v>https://abs.twimg.com/images/themes/theme1/bg.png</v>
      </c>
      <c r="AW1100" s="81" t="b">
        <v>0</v>
      </c>
      <c r="AX1100" s="81" t="s">
        <v>3728</v>
      </c>
      <c r="AY1100" s="84" t="str">
        <f>HYPERLINK("https://twitter.com/aripatriota")</f>
        <v>https://twitter.com/aripatriota</v>
      </c>
      <c r="AZ1100" s="81" t="s">
        <v>65</v>
      </c>
      <c r="BA1100" s="2"/>
      <c r="BB1100" s="3"/>
      <c r="BC1100" s="3"/>
      <c r="BD1100" s="3"/>
      <c r="BE1100" s="3"/>
    </row>
    <row r="1101" spans="1:57" x14ac:dyDescent="0.35">
      <c r="A1101" s="66" t="s">
        <v>503</v>
      </c>
      <c r="B1101" s="67"/>
      <c r="C1101" s="67"/>
      <c r="D1101" s="68"/>
      <c r="E1101" s="94"/>
      <c r="F1101" s="93" t="str">
        <f>HYPERLINK("https://pbs.twimg.com/profile_images/1066367991133069312/HOMM77rM_normal.jpg")</f>
        <v>https://pbs.twimg.com/profile_images/1066367991133069312/HOMM77rM_normal.jpg</v>
      </c>
      <c r="G1101" s="95"/>
      <c r="H1101" s="71"/>
      <c r="I1101" s="72"/>
      <c r="J1101" s="96"/>
      <c r="K1101" s="71" t="s">
        <v>4063</v>
      </c>
      <c r="L1101" s="97"/>
      <c r="M1101" s="76"/>
      <c r="N1101" s="76"/>
      <c r="O1101" s="77"/>
      <c r="P1101" s="78"/>
      <c r="Q1101" s="78"/>
      <c r="R1101" s="92"/>
      <c r="S1101" s="92"/>
      <c r="T1101" s="92"/>
      <c r="U1101" s="92"/>
      <c r="V1101" s="52"/>
      <c r="W1101" s="52"/>
      <c r="X1101" s="52"/>
      <c r="Y1101" s="52"/>
      <c r="Z1101" s="51"/>
      <c r="AA1101" s="73"/>
      <c r="AB1101" s="73"/>
      <c r="AC1101" s="74"/>
      <c r="AD1101" s="81" t="s">
        <v>2574</v>
      </c>
      <c r="AE1101" s="86" t="s">
        <v>2990</v>
      </c>
      <c r="AF1101" s="81">
        <v>13</v>
      </c>
      <c r="AG1101" s="81">
        <v>7</v>
      </c>
      <c r="AH1101" s="81">
        <v>236</v>
      </c>
      <c r="AI1101" s="81">
        <v>13</v>
      </c>
      <c r="AJ1101" s="81"/>
      <c r="AK1101" s="81" t="s">
        <v>3402</v>
      </c>
      <c r="AL1101" s="81" t="s">
        <v>2203</v>
      </c>
      <c r="AM1101" s="81"/>
      <c r="AN1101" s="81"/>
      <c r="AO1101" s="83">
        <v>43428.682523148149</v>
      </c>
      <c r="AP1101" s="84" t="str">
        <f>HYPERLINK("https://pbs.twimg.com/profile_banners/1066366539765444608/1543077130")</f>
        <v>https://pbs.twimg.com/profile_banners/1066366539765444608/1543077130</v>
      </c>
      <c r="AQ1101" s="81" t="b">
        <v>1</v>
      </c>
      <c r="AR1101" s="81" t="b">
        <v>0</v>
      </c>
      <c r="AS1101" s="81" t="b">
        <v>0</v>
      </c>
      <c r="AT1101" s="81"/>
      <c r="AU1101" s="81">
        <v>0</v>
      </c>
      <c r="AV1101" s="81"/>
      <c r="AW1101" s="81" t="b">
        <v>0</v>
      </c>
      <c r="AX1101" s="81" t="s">
        <v>3728</v>
      </c>
      <c r="AY1101" s="84" t="str">
        <f>HYPERLINK("https://twitter.com/helloindonesian")</f>
        <v>https://twitter.com/helloindonesian</v>
      </c>
      <c r="AZ1101" s="81" t="s">
        <v>66</v>
      </c>
      <c r="BA1101" s="2"/>
      <c r="BB1101" s="3"/>
      <c r="BC1101" s="3"/>
      <c r="BD1101" s="3"/>
      <c r="BE1101" s="3"/>
    </row>
    <row r="1102" spans="1:57" x14ac:dyDescent="0.35">
      <c r="A1102" s="66" t="s">
        <v>4748</v>
      </c>
      <c r="B1102" s="67"/>
      <c r="C1102" s="67"/>
      <c r="D1102" s="68"/>
      <c r="E1102" s="94"/>
      <c r="F1102" s="93" t="str">
        <f>HYPERLINK("https://pbs.twimg.com/profile_images/1392976740100853765/tVqOoWt6_normal.jpg")</f>
        <v>https://pbs.twimg.com/profile_images/1392976740100853765/tVqOoWt6_normal.jpg</v>
      </c>
      <c r="G1102" s="95"/>
      <c r="H1102" s="71"/>
      <c r="I1102" s="72"/>
      <c r="J1102" s="96"/>
      <c r="K1102" s="71" t="s">
        <v>12150</v>
      </c>
      <c r="L1102" s="97"/>
      <c r="M1102" s="76"/>
      <c r="N1102" s="76"/>
      <c r="O1102" s="77"/>
      <c r="P1102" s="78"/>
      <c r="Q1102" s="78"/>
      <c r="R1102" s="92"/>
      <c r="S1102" s="92"/>
      <c r="T1102" s="92"/>
      <c r="U1102" s="92"/>
      <c r="V1102" s="52"/>
      <c r="W1102" s="52"/>
      <c r="X1102" s="52"/>
      <c r="Y1102" s="52"/>
      <c r="Z1102" s="51"/>
      <c r="AA1102" s="73"/>
      <c r="AB1102" s="73"/>
      <c r="AC1102" s="74"/>
      <c r="AD1102" s="81" t="s">
        <v>8773</v>
      </c>
      <c r="AE1102" s="86" t="s">
        <v>9756</v>
      </c>
      <c r="AF1102" s="81">
        <v>2858</v>
      </c>
      <c r="AG1102" s="81">
        <v>800</v>
      </c>
      <c r="AH1102" s="81">
        <v>27006</v>
      </c>
      <c r="AI1102" s="81">
        <v>67581</v>
      </c>
      <c r="AJ1102" s="81"/>
      <c r="AK1102" s="81" t="s">
        <v>10680</v>
      </c>
      <c r="AL1102" s="81" t="s">
        <v>11261</v>
      </c>
      <c r="AM1102" s="81"/>
      <c r="AN1102" s="81"/>
      <c r="AO1102" s="83">
        <v>40134.04923611111</v>
      </c>
      <c r="AP1102" s="84" t="str">
        <f>HYPERLINK("https://pbs.twimg.com/profile_banners/90531052/1566052703")</f>
        <v>https://pbs.twimg.com/profile_banners/90531052/1566052703</v>
      </c>
      <c r="AQ1102" s="81" t="b">
        <v>0</v>
      </c>
      <c r="AR1102" s="81" t="b">
        <v>0</v>
      </c>
      <c r="AS1102" s="81" t="b">
        <v>0</v>
      </c>
      <c r="AT1102" s="81"/>
      <c r="AU1102" s="81">
        <v>4</v>
      </c>
      <c r="AV1102" s="84" t="str">
        <f>HYPERLINK("https://abs.twimg.com/images/themes/theme10/bg.gif")</f>
        <v>https://abs.twimg.com/images/themes/theme10/bg.gif</v>
      </c>
      <c r="AW1102" s="81" t="b">
        <v>0</v>
      </c>
      <c r="AX1102" s="81" t="s">
        <v>3728</v>
      </c>
      <c r="AY1102" s="84" t="str">
        <f>HYPERLINK("https://twitter.com/gilhistoria")</f>
        <v>https://twitter.com/gilhistoria</v>
      </c>
      <c r="AZ1102" s="81" t="s">
        <v>66</v>
      </c>
      <c r="BA1102" s="2"/>
      <c r="BB1102" s="3"/>
      <c r="BC1102" s="3"/>
      <c r="BD1102" s="3"/>
      <c r="BE1102" s="3"/>
    </row>
    <row r="1103" spans="1:57" x14ac:dyDescent="0.35">
      <c r="A1103" s="66" t="s">
        <v>4749</v>
      </c>
      <c r="B1103" s="67"/>
      <c r="C1103" s="67"/>
      <c r="D1103" s="68"/>
      <c r="E1103" s="94"/>
      <c r="F1103" s="93" t="str">
        <f>HYPERLINK("https://pbs.twimg.com/profile_images/343631509/FIL2019_normal.JPG")</f>
        <v>https://pbs.twimg.com/profile_images/343631509/FIL2019_normal.JPG</v>
      </c>
      <c r="G1103" s="95"/>
      <c r="H1103" s="71"/>
      <c r="I1103" s="72"/>
      <c r="J1103" s="96"/>
      <c r="K1103" s="71" t="s">
        <v>12151</v>
      </c>
      <c r="L1103" s="97"/>
      <c r="M1103" s="76"/>
      <c r="N1103" s="76"/>
      <c r="O1103" s="77"/>
      <c r="P1103" s="78"/>
      <c r="Q1103" s="78"/>
      <c r="R1103" s="92"/>
      <c r="S1103" s="92"/>
      <c r="T1103" s="92"/>
      <c r="U1103" s="92"/>
      <c r="V1103" s="52"/>
      <c r="W1103" s="52"/>
      <c r="X1103" s="52"/>
      <c r="Y1103" s="52"/>
      <c r="Z1103" s="51"/>
      <c r="AA1103" s="73"/>
      <c r="AB1103" s="73"/>
      <c r="AC1103" s="74"/>
      <c r="AD1103" s="81" t="s">
        <v>8774</v>
      </c>
      <c r="AE1103" s="86" t="s">
        <v>9757</v>
      </c>
      <c r="AF1103" s="81">
        <v>528</v>
      </c>
      <c r="AG1103" s="81">
        <v>202</v>
      </c>
      <c r="AH1103" s="81">
        <v>1100</v>
      </c>
      <c r="AI1103" s="81">
        <v>39244</v>
      </c>
      <c r="AJ1103" s="81"/>
      <c r="AK1103" s="81"/>
      <c r="AL1103" s="81" t="s">
        <v>11262</v>
      </c>
      <c r="AM1103" s="81"/>
      <c r="AN1103" s="81"/>
      <c r="AO1103" s="83">
        <v>40027.099606481483</v>
      </c>
      <c r="AP1103" s="81"/>
      <c r="AQ1103" s="81" t="b">
        <v>0</v>
      </c>
      <c r="AR1103" s="81" t="b">
        <v>0</v>
      </c>
      <c r="AS1103" s="81" t="b">
        <v>0</v>
      </c>
      <c r="AT1103" s="81"/>
      <c r="AU1103" s="81">
        <v>5</v>
      </c>
      <c r="AV1103" s="84" t="str">
        <f>HYPERLINK("https://abs.twimg.com/images/themes/theme10/bg.gif")</f>
        <v>https://abs.twimg.com/images/themes/theme10/bg.gif</v>
      </c>
      <c r="AW1103" s="81" t="b">
        <v>0</v>
      </c>
      <c r="AX1103" s="81" t="s">
        <v>3728</v>
      </c>
      <c r="AY1103" s="84" t="str">
        <f>HYPERLINK("https://twitter.com/lincolnloos")</f>
        <v>https://twitter.com/lincolnloos</v>
      </c>
      <c r="AZ1103" s="81" t="s">
        <v>66</v>
      </c>
      <c r="BA1103" s="2"/>
      <c r="BB1103" s="3"/>
      <c r="BC1103" s="3"/>
      <c r="BD1103" s="3"/>
      <c r="BE1103" s="3"/>
    </row>
    <row r="1104" spans="1:57" x14ac:dyDescent="0.35">
      <c r="A1104" s="66" t="s">
        <v>4750</v>
      </c>
      <c r="B1104" s="67"/>
      <c r="C1104" s="67"/>
      <c r="D1104" s="68"/>
      <c r="E1104" s="94"/>
      <c r="F1104" s="93" t="str">
        <f>HYPERLINK("https://pbs.twimg.com/profile_images/1346043870379995136/jgb9bUc1_normal.jpg")</f>
        <v>https://pbs.twimg.com/profile_images/1346043870379995136/jgb9bUc1_normal.jpg</v>
      </c>
      <c r="G1104" s="95"/>
      <c r="H1104" s="71"/>
      <c r="I1104" s="72"/>
      <c r="J1104" s="96"/>
      <c r="K1104" s="71" t="s">
        <v>12152</v>
      </c>
      <c r="L1104" s="97"/>
      <c r="M1104" s="76"/>
      <c r="N1104" s="76"/>
      <c r="O1104" s="77"/>
      <c r="P1104" s="78"/>
      <c r="Q1104" s="78"/>
      <c r="R1104" s="92"/>
      <c r="S1104" s="92"/>
      <c r="T1104" s="92"/>
      <c r="U1104" s="92"/>
      <c r="V1104" s="52"/>
      <c r="W1104" s="52"/>
      <c r="X1104" s="52"/>
      <c r="Y1104" s="52"/>
      <c r="Z1104" s="51"/>
      <c r="AA1104" s="73"/>
      <c r="AB1104" s="73"/>
      <c r="AC1104" s="74"/>
      <c r="AD1104" s="81" t="s">
        <v>8775</v>
      </c>
      <c r="AE1104" s="86" t="s">
        <v>9758</v>
      </c>
      <c r="AF1104" s="81">
        <v>354</v>
      </c>
      <c r="AG1104" s="81">
        <v>155</v>
      </c>
      <c r="AH1104" s="81">
        <v>2520</v>
      </c>
      <c r="AI1104" s="81">
        <v>7051</v>
      </c>
      <c r="AJ1104" s="81"/>
      <c r="AK1104" s="81" t="s">
        <v>10681</v>
      </c>
      <c r="AL1104" s="81"/>
      <c r="AM1104" s="81"/>
      <c r="AN1104" s="81"/>
      <c r="AO1104" s="83">
        <v>43979.967349537037</v>
      </c>
      <c r="AP1104" s="84" t="str">
        <f>HYPERLINK("https://pbs.twimg.com/profile_banners/1266145391227133952/1626043857")</f>
        <v>https://pbs.twimg.com/profile_banners/1266145391227133952/1626043857</v>
      </c>
      <c r="AQ1104" s="81" t="b">
        <v>1</v>
      </c>
      <c r="AR1104" s="81" t="b">
        <v>0</v>
      </c>
      <c r="AS1104" s="81" t="b">
        <v>0</v>
      </c>
      <c r="AT1104" s="81"/>
      <c r="AU1104" s="81">
        <v>0</v>
      </c>
      <c r="AV1104" s="81"/>
      <c r="AW1104" s="81" t="b">
        <v>0</v>
      </c>
      <c r="AX1104" s="81" t="s">
        <v>3728</v>
      </c>
      <c r="AY1104" s="84" t="str">
        <f>HYPERLINK("https://twitter.com/paulinhopt2020")</f>
        <v>https://twitter.com/paulinhopt2020</v>
      </c>
      <c r="AZ1104" s="81" t="s">
        <v>66</v>
      </c>
      <c r="BA1104" s="2"/>
      <c r="BB1104" s="3"/>
      <c r="BC1104" s="3"/>
      <c r="BD1104" s="3"/>
      <c r="BE1104" s="3"/>
    </row>
    <row r="1105" spans="1:57" x14ac:dyDescent="0.35">
      <c r="A1105" s="66" t="s">
        <v>4751</v>
      </c>
      <c r="B1105" s="67"/>
      <c r="C1105" s="67"/>
      <c r="D1105" s="68"/>
      <c r="E1105" s="94"/>
      <c r="F1105" s="93" t="str">
        <f>HYPERLINK("https://pbs.twimg.com/profile_images/1438114016312758272/a1pNGArH_normal.jpg")</f>
        <v>https://pbs.twimg.com/profile_images/1438114016312758272/a1pNGArH_normal.jpg</v>
      </c>
      <c r="G1105" s="95"/>
      <c r="H1105" s="71"/>
      <c r="I1105" s="72"/>
      <c r="J1105" s="96"/>
      <c r="K1105" s="71" t="s">
        <v>12153</v>
      </c>
      <c r="L1105" s="97"/>
      <c r="M1105" s="76"/>
      <c r="N1105" s="76"/>
      <c r="O1105" s="77"/>
      <c r="P1105" s="78"/>
      <c r="Q1105" s="78"/>
      <c r="R1105" s="92"/>
      <c r="S1105" s="92"/>
      <c r="T1105" s="92"/>
      <c r="U1105" s="92"/>
      <c r="V1105" s="52"/>
      <c r="W1105" s="52"/>
      <c r="X1105" s="52"/>
      <c r="Y1105" s="52"/>
      <c r="Z1105" s="51"/>
      <c r="AA1105" s="73"/>
      <c r="AB1105" s="73"/>
      <c r="AC1105" s="74"/>
      <c r="AD1105" s="81" t="s">
        <v>8776</v>
      </c>
      <c r="AE1105" s="86" t="s">
        <v>9759</v>
      </c>
      <c r="AF1105" s="81">
        <v>77</v>
      </c>
      <c r="AG1105" s="81">
        <v>23</v>
      </c>
      <c r="AH1105" s="81">
        <v>1936</v>
      </c>
      <c r="AI1105" s="81">
        <v>4049</v>
      </c>
      <c r="AJ1105" s="81"/>
      <c r="AK1105" s="81" t="s">
        <v>10682</v>
      </c>
      <c r="AL1105" s="81"/>
      <c r="AM1105" s="81"/>
      <c r="AN1105" s="81"/>
      <c r="AO1105" s="83">
        <v>44193.144085648149</v>
      </c>
      <c r="AP1105" s="84" t="str">
        <f>HYPERLINK("https://pbs.twimg.com/profile_banners/1343398081098727424/1609764390")</f>
        <v>https://pbs.twimg.com/profile_banners/1343398081098727424/1609764390</v>
      </c>
      <c r="AQ1105" s="81" t="b">
        <v>1</v>
      </c>
      <c r="AR1105" s="81" t="b">
        <v>0</v>
      </c>
      <c r="AS1105" s="81" t="b">
        <v>0</v>
      </c>
      <c r="AT1105" s="81"/>
      <c r="AU1105" s="81">
        <v>0</v>
      </c>
      <c r="AV1105" s="81"/>
      <c r="AW1105" s="81" t="b">
        <v>0</v>
      </c>
      <c r="AX1105" s="81" t="s">
        <v>3728</v>
      </c>
      <c r="AY1105" s="84" t="str">
        <f>HYPERLINK("https://twitter.com/starsuka_ff14")</f>
        <v>https://twitter.com/starsuka_ff14</v>
      </c>
      <c r="AZ1105" s="81" t="s">
        <v>66</v>
      </c>
      <c r="BA1105" s="2"/>
      <c r="BB1105" s="3"/>
      <c r="BC1105" s="3"/>
      <c r="BD1105" s="3"/>
      <c r="BE1105" s="3"/>
    </row>
    <row r="1106" spans="1:57" x14ac:dyDescent="0.35">
      <c r="A1106" s="66" t="s">
        <v>4752</v>
      </c>
      <c r="B1106" s="67"/>
      <c r="C1106" s="67"/>
      <c r="D1106" s="68"/>
      <c r="E1106" s="94"/>
      <c r="F1106" s="93" t="str">
        <f>HYPERLINK("https://pbs.twimg.com/profile_images/1373080996749451267/9JdkuJth_normal.jpg")</f>
        <v>https://pbs.twimg.com/profile_images/1373080996749451267/9JdkuJth_normal.jpg</v>
      </c>
      <c r="G1106" s="95"/>
      <c r="H1106" s="71"/>
      <c r="I1106" s="72"/>
      <c r="J1106" s="96"/>
      <c r="K1106" s="71" t="s">
        <v>12154</v>
      </c>
      <c r="L1106" s="97"/>
      <c r="M1106" s="76"/>
      <c r="N1106" s="76"/>
      <c r="O1106" s="77"/>
      <c r="P1106" s="78"/>
      <c r="Q1106" s="78"/>
      <c r="R1106" s="92"/>
      <c r="S1106" s="92"/>
      <c r="T1106" s="92"/>
      <c r="U1106" s="92"/>
      <c r="V1106" s="52"/>
      <c r="W1106" s="52"/>
      <c r="X1106" s="52"/>
      <c r="Y1106" s="52"/>
      <c r="Z1106" s="51"/>
      <c r="AA1106" s="73"/>
      <c r="AB1106" s="73"/>
      <c r="AC1106" s="74"/>
      <c r="AD1106" s="81" t="s">
        <v>8777</v>
      </c>
      <c r="AE1106" s="86" t="s">
        <v>9760</v>
      </c>
      <c r="AF1106" s="81">
        <v>349</v>
      </c>
      <c r="AG1106" s="81">
        <v>118</v>
      </c>
      <c r="AH1106" s="81">
        <v>700</v>
      </c>
      <c r="AI1106" s="81">
        <v>1395</v>
      </c>
      <c r="AJ1106" s="81"/>
      <c r="AK1106" s="81"/>
      <c r="AL1106" s="81"/>
      <c r="AM1106" s="81"/>
      <c r="AN1106" s="81"/>
      <c r="AO1106" s="83">
        <v>44275.052395833336</v>
      </c>
      <c r="AP1106" s="84" t="str">
        <f>HYPERLINK("https://pbs.twimg.com/profile_banners/1373080623817048066/1616205249")</f>
        <v>https://pbs.twimg.com/profile_banners/1373080623817048066/1616205249</v>
      </c>
      <c r="AQ1106" s="81" t="b">
        <v>1</v>
      </c>
      <c r="AR1106" s="81" t="b">
        <v>0</v>
      </c>
      <c r="AS1106" s="81" t="b">
        <v>0</v>
      </c>
      <c r="AT1106" s="81"/>
      <c r="AU1106" s="81">
        <v>0</v>
      </c>
      <c r="AV1106" s="81"/>
      <c r="AW1106" s="81" t="b">
        <v>0</v>
      </c>
      <c r="AX1106" s="81" t="s">
        <v>3728</v>
      </c>
      <c r="AY1106" s="84" t="str">
        <f>HYPERLINK("https://twitter.com/ataminhaquerida")</f>
        <v>https://twitter.com/ataminhaquerida</v>
      </c>
      <c r="AZ1106" s="81" t="s">
        <v>66</v>
      </c>
      <c r="BA1106" s="2"/>
      <c r="BB1106" s="3"/>
      <c r="BC1106" s="3"/>
      <c r="BD1106" s="3"/>
      <c r="BE1106" s="3"/>
    </row>
    <row r="1107" spans="1:57" x14ac:dyDescent="0.35">
      <c r="A1107" s="66" t="s">
        <v>4753</v>
      </c>
      <c r="B1107" s="67"/>
      <c r="C1107" s="67"/>
      <c r="D1107" s="68"/>
      <c r="E1107" s="94"/>
      <c r="F1107" s="93" t="str">
        <f>HYPERLINK("https://pbs.twimg.com/profile_images/1442458939661201410/VTnqsWwd_normal.jpg")</f>
        <v>https://pbs.twimg.com/profile_images/1442458939661201410/VTnqsWwd_normal.jpg</v>
      </c>
      <c r="G1107" s="95"/>
      <c r="H1107" s="71"/>
      <c r="I1107" s="72"/>
      <c r="J1107" s="96"/>
      <c r="K1107" s="71" t="s">
        <v>12155</v>
      </c>
      <c r="L1107" s="97"/>
      <c r="M1107" s="76"/>
      <c r="N1107" s="76"/>
      <c r="O1107" s="77"/>
      <c r="P1107" s="78"/>
      <c r="Q1107" s="78"/>
      <c r="R1107" s="92"/>
      <c r="S1107" s="92"/>
      <c r="T1107" s="92"/>
      <c r="U1107" s="92"/>
      <c r="V1107" s="52"/>
      <c r="W1107" s="52"/>
      <c r="X1107" s="52"/>
      <c r="Y1107" s="52"/>
      <c r="Z1107" s="51"/>
      <c r="AA1107" s="73"/>
      <c r="AB1107" s="73"/>
      <c r="AC1107" s="74"/>
      <c r="AD1107" s="81" t="s">
        <v>8778</v>
      </c>
      <c r="AE1107" s="86" t="s">
        <v>9761</v>
      </c>
      <c r="AF1107" s="81">
        <v>124</v>
      </c>
      <c r="AG1107" s="81">
        <v>30</v>
      </c>
      <c r="AH1107" s="81">
        <v>1206</v>
      </c>
      <c r="AI1107" s="81">
        <v>2489</v>
      </c>
      <c r="AJ1107" s="81"/>
      <c r="AK1107" s="81" t="s">
        <v>10683</v>
      </c>
      <c r="AL1107" s="81" t="s">
        <v>11263</v>
      </c>
      <c r="AM1107" s="81"/>
      <c r="AN1107" s="81"/>
      <c r="AO1107" s="83">
        <v>44412.727500000001</v>
      </c>
      <c r="AP1107" s="84" t="str">
        <f>HYPERLINK("https://pbs.twimg.com/profile_banners/1422972442398531585/1632932946")</f>
        <v>https://pbs.twimg.com/profile_banners/1422972442398531585/1632932946</v>
      </c>
      <c r="AQ1107" s="81" t="b">
        <v>1</v>
      </c>
      <c r="AR1107" s="81" t="b">
        <v>0</v>
      </c>
      <c r="AS1107" s="81" t="b">
        <v>0</v>
      </c>
      <c r="AT1107" s="81"/>
      <c r="AU1107" s="81">
        <v>0</v>
      </c>
      <c r="AV1107" s="81"/>
      <c r="AW1107" s="81" t="b">
        <v>0</v>
      </c>
      <c r="AX1107" s="81" t="s">
        <v>3728</v>
      </c>
      <c r="AY1107" s="84" t="str">
        <f>HYPERLINK("https://twitter.com/semtaramela")</f>
        <v>https://twitter.com/semtaramela</v>
      </c>
      <c r="AZ1107" s="81" t="s">
        <v>66</v>
      </c>
      <c r="BA1107" s="2"/>
      <c r="BB1107" s="3"/>
      <c r="BC1107" s="3"/>
      <c r="BD1107" s="3"/>
      <c r="BE1107" s="3"/>
    </row>
    <row r="1108" spans="1:57" x14ac:dyDescent="0.35">
      <c r="A1108" s="66" t="s">
        <v>4754</v>
      </c>
      <c r="B1108" s="67"/>
      <c r="C1108" s="67"/>
      <c r="D1108" s="68"/>
      <c r="E1108" s="94"/>
      <c r="F1108" s="93" t="str">
        <f>HYPERLINK("https://pbs.twimg.com/profile_images/1210054656749133824/2TmIVBBZ_normal.jpg")</f>
        <v>https://pbs.twimg.com/profile_images/1210054656749133824/2TmIVBBZ_normal.jpg</v>
      </c>
      <c r="G1108" s="95"/>
      <c r="H1108" s="71"/>
      <c r="I1108" s="72"/>
      <c r="J1108" s="96"/>
      <c r="K1108" s="71" t="s">
        <v>12156</v>
      </c>
      <c r="L1108" s="97"/>
      <c r="M1108" s="76"/>
      <c r="N1108" s="76"/>
      <c r="O1108" s="77"/>
      <c r="P1108" s="78"/>
      <c r="Q1108" s="78"/>
      <c r="R1108" s="92"/>
      <c r="S1108" s="92"/>
      <c r="T1108" s="92"/>
      <c r="U1108" s="92"/>
      <c r="V1108" s="52"/>
      <c r="W1108" s="52"/>
      <c r="X1108" s="52"/>
      <c r="Y1108" s="52"/>
      <c r="Z1108" s="51"/>
      <c r="AA1108" s="73"/>
      <c r="AB1108" s="73"/>
      <c r="AC1108" s="74"/>
      <c r="AD1108" s="81" t="s">
        <v>8779</v>
      </c>
      <c r="AE1108" s="86" t="s">
        <v>9762</v>
      </c>
      <c r="AF1108" s="81">
        <v>293</v>
      </c>
      <c r="AG1108" s="81">
        <v>4098</v>
      </c>
      <c r="AH1108" s="81">
        <v>121329</v>
      </c>
      <c r="AI1108" s="81">
        <v>15950</v>
      </c>
      <c r="AJ1108" s="81"/>
      <c r="AK1108" s="81" t="s">
        <v>10684</v>
      </c>
      <c r="AL1108" s="81" t="s">
        <v>11264</v>
      </c>
      <c r="AM1108" s="81"/>
      <c r="AN1108" s="81"/>
      <c r="AO1108" s="83">
        <v>40053.91679398148</v>
      </c>
      <c r="AP1108" s="84" t="str">
        <f>HYPERLINK("https://pbs.twimg.com/profile_banners/69706522/1577108352")</f>
        <v>https://pbs.twimg.com/profile_banners/69706522/1577108352</v>
      </c>
      <c r="AQ1108" s="81" t="b">
        <v>0</v>
      </c>
      <c r="AR1108" s="81" t="b">
        <v>0</v>
      </c>
      <c r="AS1108" s="81" t="b">
        <v>1</v>
      </c>
      <c r="AT1108" s="81"/>
      <c r="AU1108" s="81">
        <v>18</v>
      </c>
      <c r="AV1108" s="84" t="str">
        <f>HYPERLINK("https://abs.twimg.com/images/themes/theme1/bg.png")</f>
        <v>https://abs.twimg.com/images/themes/theme1/bg.png</v>
      </c>
      <c r="AW1108" s="81" t="b">
        <v>0</v>
      </c>
      <c r="AX1108" s="81" t="s">
        <v>3728</v>
      </c>
      <c r="AY1108" s="84" t="str">
        <f>HYPERLINK("https://twitter.com/barretonessa")</f>
        <v>https://twitter.com/barretonessa</v>
      </c>
      <c r="AZ1108" s="81" t="s">
        <v>66</v>
      </c>
      <c r="BA1108" s="2"/>
      <c r="BB1108" s="3"/>
      <c r="BC1108" s="3"/>
      <c r="BD1108" s="3"/>
      <c r="BE1108" s="3"/>
    </row>
    <row r="1109" spans="1:57" x14ac:dyDescent="0.35">
      <c r="A1109" s="66" t="s">
        <v>4755</v>
      </c>
      <c r="B1109" s="67"/>
      <c r="C1109" s="67"/>
      <c r="D1109" s="68"/>
      <c r="E1109" s="94"/>
      <c r="F1109" s="93" t="str">
        <f>HYPERLINK("https://pbs.twimg.com/profile_images/541277815203569664/cr_dKkyM_normal.jpeg")</f>
        <v>https://pbs.twimg.com/profile_images/541277815203569664/cr_dKkyM_normal.jpeg</v>
      </c>
      <c r="G1109" s="95"/>
      <c r="H1109" s="71"/>
      <c r="I1109" s="72"/>
      <c r="J1109" s="96"/>
      <c r="K1109" s="71" t="s">
        <v>12157</v>
      </c>
      <c r="L1109" s="97"/>
      <c r="M1109" s="76"/>
      <c r="N1109" s="76"/>
      <c r="O1109" s="77"/>
      <c r="P1109" s="78"/>
      <c r="Q1109" s="78"/>
      <c r="R1109" s="92"/>
      <c r="S1109" s="92"/>
      <c r="T1109" s="92"/>
      <c r="U1109" s="92"/>
      <c r="V1109" s="52"/>
      <c r="W1109" s="52"/>
      <c r="X1109" s="52"/>
      <c r="Y1109" s="52"/>
      <c r="Z1109" s="51"/>
      <c r="AA1109" s="73"/>
      <c r="AB1109" s="73"/>
      <c r="AC1109" s="74"/>
      <c r="AD1109" s="81" t="s">
        <v>8780</v>
      </c>
      <c r="AE1109" s="86" t="s">
        <v>9763</v>
      </c>
      <c r="AF1109" s="81">
        <v>202</v>
      </c>
      <c r="AG1109" s="81">
        <v>436</v>
      </c>
      <c r="AH1109" s="81">
        <v>111987</v>
      </c>
      <c r="AI1109" s="81">
        <v>174725</v>
      </c>
      <c r="AJ1109" s="81"/>
      <c r="AK1109" s="81" t="s">
        <v>10685</v>
      </c>
      <c r="AL1109" s="81" t="s">
        <v>11265</v>
      </c>
      <c r="AM1109" s="81"/>
      <c r="AN1109" s="81"/>
      <c r="AO1109" s="83">
        <v>40793.591249999998</v>
      </c>
      <c r="AP1109" s="81"/>
      <c r="AQ1109" s="81" t="b">
        <v>1</v>
      </c>
      <c r="AR1109" s="81" t="b">
        <v>0</v>
      </c>
      <c r="AS1109" s="81" t="b">
        <v>0</v>
      </c>
      <c r="AT1109" s="81"/>
      <c r="AU1109" s="81">
        <v>1</v>
      </c>
      <c r="AV1109" s="84" t="str">
        <f>HYPERLINK("https://abs.twimg.com/images/themes/theme1/bg.png")</f>
        <v>https://abs.twimg.com/images/themes/theme1/bg.png</v>
      </c>
      <c r="AW1109" s="81" t="b">
        <v>0</v>
      </c>
      <c r="AX1109" s="81" t="s">
        <v>3728</v>
      </c>
      <c r="AY1109" s="84" t="str">
        <f>HYPERLINK("https://twitter.com/zabumbista")</f>
        <v>https://twitter.com/zabumbista</v>
      </c>
      <c r="AZ1109" s="81" t="s">
        <v>66</v>
      </c>
      <c r="BA1109" s="2"/>
      <c r="BB1109" s="3"/>
      <c r="BC1109" s="3"/>
      <c r="BD1109" s="3"/>
      <c r="BE1109" s="3"/>
    </row>
    <row r="1110" spans="1:57" x14ac:dyDescent="0.35">
      <c r="A1110" s="66" t="s">
        <v>4756</v>
      </c>
      <c r="B1110" s="67"/>
      <c r="C1110" s="67"/>
      <c r="D1110" s="68"/>
      <c r="E1110" s="94"/>
      <c r="F1110" s="93" t="str">
        <f>HYPERLINK("https://pbs.twimg.com/profile_images/1549881969/400920726_normal.jpg")</f>
        <v>https://pbs.twimg.com/profile_images/1549881969/400920726_normal.jpg</v>
      </c>
      <c r="G1110" s="95"/>
      <c r="H1110" s="71"/>
      <c r="I1110" s="72"/>
      <c r="J1110" s="96"/>
      <c r="K1110" s="71" t="s">
        <v>12158</v>
      </c>
      <c r="L1110" s="97"/>
      <c r="M1110" s="76"/>
      <c r="N1110" s="76"/>
      <c r="O1110" s="77"/>
      <c r="P1110" s="78"/>
      <c r="Q1110" s="78"/>
      <c r="R1110" s="92"/>
      <c r="S1110" s="92"/>
      <c r="T1110" s="92"/>
      <c r="U1110" s="92"/>
      <c r="V1110" s="52"/>
      <c r="W1110" s="52"/>
      <c r="X1110" s="52"/>
      <c r="Y1110" s="52"/>
      <c r="Z1110" s="51"/>
      <c r="AA1110" s="73"/>
      <c r="AB1110" s="73"/>
      <c r="AC1110" s="74"/>
      <c r="AD1110" s="81" t="s">
        <v>8781</v>
      </c>
      <c r="AE1110" s="86" t="s">
        <v>9764</v>
      </c>
      <c r="AF1110" s="81">
        <v>4958</v>
      </c>
      <c r="AG1110" s="81">
        <v>2694</v>
      </c>
      <c r="AH1110" s="81">
        <v>367126</v>
      </c>
      <c r="AI1110" s="81">
        <v>75546</v>
      </c>
      <c r="AJ1110" s="81"/>
      <c r="AK1110" s="81" t="s">
        <v>10686</v>
      </c>
      <c r="AL1110" s="81" t="s">
        <v>11266</v>
      </c>
      <c r="AM1110" s="81"/>
      <c r="AN1110" s="81"/>
      <c r="AO1110" s="83">
        <v>40792.704965277779</v>
      </c>
      <c r="AP1110" s="84" t="str">
        <f>HYPERLINK("https://pbs.twimg.com/profile_banners/369028288/1354545412")</f>
        <v>https://pbs.twimg.com/profile_banners/369028288/1354545412</v>
      </c>
      <c r="AQ1110" s="81" t="b">
        <v>0</v>
      </c>
      <c r="AR1110" s="81" t="b">
        <v>0</v>
      </c>
      <c r="AS1110" s="81" t="b">
        <v>0</v>
      </c>
      <c r="AT1110" s="81"/>
      <c r="AU1110" s="81">
        <v>208</v>
      </c>
      <c r="AV1110" s="84" t="str">
        <f>HYPERLINK("https://abs.twimg.com/images/themes/theme3/bg.gif")</f>
        <v>https://abs.twimg.com/images/themes/theme3/bg.gif</v>
      </c>
      <c r="AW1110" s="81" t="b">
        <v>0</v>
      </c>
      <c r="AX1110" s="81" t="s">
        <v>3728</v>
      </c>
      <c r="AY1110" s="84" t="str">
        <f>HYPERLINK("https://twitter.com/br_green_heart")</f>
        <v>https://twitter.com/br_green_heart</v>
      </c>
      <c r="AZ1110" s="81" t="s">
        <v>66</v>
      </c>
      <c r="BA1110" s="2"/>
      <c r="BB1110" s="3"/>
      <c r="BC1110" s="3"/>
      <c r="BD1110" s="3"/>
      <c r="BE1110" s="3"/>
    </row>
    <row r="1111" spans="1:57" x14ac:dyDescent="0.35">
      <c r="A1111" s="66" t="s">
        <v>4757</v>
      </c>
      <c r="B1111" s="67"/>
      <c r="C1111" s="67"/>
      <c r="D1111" s="68"/>
      <c r="E1111" s="94"/>
      <c r="F1111" s="93" t="str">
        <f>HYPERLINK("https://pbs.twimg.com/profile_images/908506652533514240/_qu7eZCH_normal.jpg")</f>
        <v>https://pbs.twimg.com/profile_images/908506652533514240/_qu7eZCH_normal.jpg</v>
      </c>
      <c r="G1111" s="95"/>
      <c r="H1111" s="71"/>
      <c r="I1111" s="72"/>
      <c r="J1111" s="96"/>
      <c r="K1111" s="71" t="s">
        <v>12159</v>
      </c>
      <c r="L1111" s="97"/>
      <c r="M1111" s="76"/>
      <c r="N1111" s="76"/>
      <c r="O1111" s="77"/>
      <c r="P1111" s="78"/>
      <c r="Q1111" s="78"/>
      <c r="R1111" s="92"/>
      <c r="S1111" s="92"/>
      <c r="T1111" s="92"/>
      <c r="U1111" s="92"/>
      <c r="V1111" s="52"/>
      <c r="W1111" s="52"/>
      <c r="X1111" s="52"/>
      <c r="Y1111" s="52"/>
      <c r="Z1111" s="51"/>
      <c r="AA1111" s="73"/>
      <c r="AB1111" s="73"/>
      <c r="AC1111" s="74"/>
      <c r="AD1111" s="81" t="s">
        <v>2247</v>
      </c>
      <c r="AE1111" s="86" t="s">
        <v>9765</v>
      </c>
      <c r="AF1111" s="81">
        <v>122</v>
      </c>
      <c r="AG1111" s="81">
        <v>140</v>
      </c>
      <c r="AH1111" s="81">
        <v>105706</v>
      </c>
      <c r="AI1111" s="81">
        <v>22</v>
      </c>
      <c r="AJ1111" s="81"/>
      <c r="AK1111" s="81" t="s">
        <v>10687</v>
      </c>
      <c r="AL1111" s="81" t="s">
        <v>10992</v>
      </c>
      <c r="AM1111" s="81"/>
      <c r="AN1111" s="81"/>
      <c r="AO1111" s="83">
        <v>41813.65425925926</v>
      </c>
      <c r="AP1111" s="84" t="str">
        <f>HYPERLINK("https://pbs.twimg.com/profile_banners/2584184802/1476145016")</f>
        <v>https://pbs.twimg.com/profile_banners/2584184802/1476145016</v>
      </c>
      <c r="AQ1111" s="81" t="b">
        <v>0</v>
      </c>
      <c r="AR1111" s="81" t="b">
        <v>0</v>
      </c>
      <c r="AS1111" s="81" t="b">
        <v>0</v>
      </c>
      <c r="AT1111" s="81"/>
      <c r="AU1111" s="81">
        <v>10</v>
      </c>
      <c r="AV1111" s="84" t="str">
        <f>HYPERLINK("https://abs.twimg.com/images/themes/theme1/bg.png")</f>
        <v>https://abs.twimg.com/images/themes/theme1/bg.png</v>
      </c>
      <c r="AW1111" s="81" t="b">
        <v>0</v>
      </c>
      <c r="AX1111" s="81" t="s">
        <v>3728</v>
      </c>
      <c r="AY1111" s="84" t="str">
        <f>HYPERLINK("https://twitter.com/lia004_")</f>
        <v>https://twitter.com/lia004_</v>
      </c>
      <c r="AZ1111" s="81" t="s">
        <v>66</v>
      </c>
      <c r="BA1111" s="2"/>
      <c r="BB1111" s="3"/>
      <c r="BC1111" s="3"/>
      <c r="BD1111" s="3"/>
      <c r="BE1111" s="3"/>
    </row>
    <row r="1112" spans="1:57" x14ac:dyDescent="0.35">
      <c r="A1112" s="66" t="s">
        <v>4758</v>
      </c>
      <c r="B1112" s="67"/>
      <c r="C1112" s="67"/>
      <c r="D1112" s="68"/>
      <c r="E1112" s="94"/>
      <c r="F1112" s="93" t="str">
        <f>HYPERLINK("https://pbs.twimg.com/profile_images/1442621541771010055/sfb02xA2_normal.jpg")</f>
        <v>https://pbs.twimg.com/profile_images/1442621541771010055/sfb02xA2_normal.jpg</v>
      </c>
      <c r="G1112" s="95"/>
      <c r="H1112" s="71"/>
      <c r="I1112" s="72"/>
      <c r="J1112" s="96"/>
      <c r="K1112" s="71" t="s">
        <v>12160</v>
      </c>
      <c r="L1112" s="97"/>
      <c r="M1112" s="76"/>
      <c r="N1112" s="76"/>
      <c r="O1112" s="77"/>
      <c r="P1112" s="78"/>
      <c r="Q1112" s="78"/>
      <c r="R1112" s="92"/>
      <c r="S1112" s="92"/>
      <c r="T1112" s="92"/>
      <c r="U1112" s="92"/>
      <c r="V1112" s="52"/>
      <c r="W1112" s="52"/>
      <c r="X1112" s="52"/>
      <c r="Y1112" s="52"/>
      <c r="Z1112" s="51"/>
      <c r="AA1112" s="73"/>
      <c r="AB1112" s="73"/>
      <c r="AC1112" s="74"/>
      <c r="AD1112" s="81" t="s">
        <v>8782</v>
      </c>
      <c r="AE1112" s="86" t="s">
        <v>9766</v>
      </c>
      <c r="AF1112" s="81">
        <v>659</v>
      </c>
      <c r="AG1112" s="81">
        <v>351</v>
      </c>
      <c r="AH1112" s="81">
        <v>3145</v>
      </c>
      <c r="AI1112" s="81">
        <v>39293</v>
      </c>
      <c r="AJ1112" s="81"/>
      <c r="AK1112" s="81" t="s">
        <v>10688</v>
      </c>
      <c r="AL1112" s="81" t="s">
        <v>11113</v>
      </c>
      <c r="AM1112" s="81"/>
      <c r="AN1112" s="81"/>
      <c r="AO1112" s="83">
        <v>40299.657511574071</v>
      </c>
      <c r="AP1112" s="84" t="str">
        <f>HYPERLINK("https://pbs.twimg.com/profile_banners/139113712/1614425607")</f>
        <v>https://pbs.twimg.com/profile_banners/139113712/1614425607</v>
      </c>
      <c r="AQ1112" s="81" t="b">
        <v>0</v>
      </c>
      <c r="AR1112" s="81" t="b">
        <v>0</v>
      </c>
      <c r="AS1112" s="81" t="b">
        <v>0</v>
      </c>
      <c r="AT1112" s="81"/>
      <c r="AU1112" s="81">
        <v>0</v>
      </c>
      <c r="AV1112" s="84" t="str">
        <f>HYPERLINK("https://abs.twimg.com/images/themes/theme1/bg.png")</f>
        <v>https://abs.twimg.com/images/themes/theme1/bg.png</v>
      </c>
      <c r="AW1112" s="81" t="b">
        <v>0</v>
      </c>
      <c r="AX1112" s="81" t="s">
        <v>3728</v>
      </c>
      <c r="AY1112" s="84" t="str">
        <f>HYPERLINK("https://twitter.com/fabi_muniz")</f>
        <v>https://twitter.com/fabi_muniz</v>
      </c>
      <c r="AZ1112" s="81" t="s">
        <v>66</v>
      </c>
      <c r="BA1112" s="2"/>
      <c r="BB1112" s="3"/>
      <c r="BC1112" s="3"/>
      <c r="BD1112" s="3"/>
      <c r="BE1112" s="3"/>
    </row>
    <row r="1113" spans="1:57" x14ac:dyDescent="0.35">
      <c r="A1113" s="66" t="s">
        <v>4759</v>
      </c>
      <c r="B1113" s="67"/>
      <c r="C1113" s="67"/>
      <c r="D1113" s="68"/>
      <c r="E1113" s="94"/>
      <c r="F1113" s="93" t="str">
        <f>HYPERLINK("https://abs.twimg.com/sticky/default_profile_images/default_profile_normal.png")</f>
        <v>https://abs.twimg.com/sticky/default_profile_images/default_profile_normal.png</v>
      </c>
      <c r="G1113" s="95"/>
      <c r="H1113" s="71"/>
      <c r="I1113" s="72"/>
      <c r="J1113" s="96"/>
      <c r="K1113" s="71" t="s">
        <v>12161</v>
      </c>
      <c r="L1113" s="97"/>
      <c r="M1113" s="76"/>
      <c r="N1113" s="76"/>
      <c r="O1113" s="77"/>
      <c r="P1113" s="78"/>
      <c r="Q1113" s="78"/>
      <c r="R1113" s="92"/>
      <c r="S1113" s="92"/>
      <c r="T1113" s="92"/>
      <c r="U1113" s="92"/>
      <c r="V1113" s="52"/>
      <c r="W1113" s="52"/>
      <c r="X1113" s="52"/>
      <c r="Y1113" s="52"/>
      <c r="Z1113" s="51"/>
      <c r="AA1113" s="73"/>
      <c r="AB1113" s="73"/>
      <c r="AC1113" s="74"/>
      <c r="AD1113" s="81" t="s">
        <v>8783</v>
      </c>
      <c r="AE1113" s="86" t="s">
        <v>9767</v>
      </c>
      <c r="AF1113" s="81">
        <v>3023</v>
      </c>
      <c r="AG1113" s="81">
        <v>2234</v>
      </c>
      <c r="AH1113" s="81">
        <v>109856</v>
      </c>
      <c r="AI1113" s="81">
        <v>128661</v>
      </c>
      <c r="AJ1113" s="81"/>
      <c r="AK1113" s="81"/>
      <c r="AL1113" s="81"/>
      <c r="AM1113" s="81"/>
      <c r="AN1113" s="81"/>
      <c r="AO1113" s="83">
        <v>43405.998460648145</v>
      </c>
      <c r="AP1113" s="81"/>
      <c r="AQ1113" s="81" t="b">
        <v>1</v>
      </c>
      <c r="AR1113" s="81" t="b">
        <v>1</v>
      </c>
      <c r="AS1113" s="81" t="b">
        <v>1</v>
      </c>
      <c r="AT1113" s="81"/>
      <c r="AU1113" s="81">
        <v>0</v>
      </c>
      <c r="AV1113" s="81"/>
      <c r="AW1113" s="81" t="b">
        <v>0</v>
      </c>
      <c r="AX1113" s="81" t="s">
        <v>3728</v>
      </c>
      <c r="AY1113" s="84" t="str">
        <f>HYPERLINK("https://twitter.com/lucier96025171")</f>
        <v>https://twitter.com/lucier96025171</v>
      </c>
      <c r="AZ1113" s="81" t="s">
        <v>66</v>
      </c>
      <c r="BA1113" s="2"/>
      <c r="BB1113" s="3"/>
      <c r="BC1113" s="3"/>
      <c r="BD1113" s="3"/>
      <c r="BE1113" s="3"/>
    </row>
    <row r="1114" spans="1:57" x14ac:dyDescent="0.35">
      <c r="A1114" s="66" t="s">
        <v>4760</v>
      </c>
      <c r="B1114" s="67"/>
      <c r="C1114" s="67"/>
      <c r="D1114" s="68"/>
      <c r="E1114" s="94"/>
      <c r="F1114" s="93" t="str">
        <f>HYPERLINK("https://pbs.twimg.com/profile_images/1440881848436109312/XqZnSI5C_normal.jpg")</f>
        <v>https://pbs.twimg.com/profile_images/1440881848436109312/XqZnSI5C_normal.jpg</v>
      </c>
      <c r="G1114" s="95"/>
      <c r="H1114" s="71"/>
      <c r="I1114" s="72"/>
      <c r="J1114" s="96"/>
      <c r="K1114" s="71" t="s">
        <v>12162</v>
      </c>
      <c r="L1114" s="97"/>
      <c r="M1114" s="76"/>
      <c r="N1114" s="76"/>
      <c r="O1114" s="77"/>
      <c r="P1114" s="78"/>
      <c r="Q1114" s="78"/>
      <c r="R1114" s="92"/>
      <c r="S1114" s="92"/>
      <c r="T1114" s="92"/>
      <c r="U1114" s="92"/>
      <c r="V1114" s="52"/>
      <c r="W1114" s="52"/>
      <c r="X1114" s="52"/>
      <c r="Y1114" s="52"/>
      <c r="Z1114" s="51"/>
      <c r="AA1114" s="73"/>
      <c r="AB1114" s="73"/>
      <c r="AC1114" s="74"/>
      <c r="AD1114" s="81" t="s">
        <v>8784</v>
      </c>
      <c r="AE1114" s="86" t="s">
        <v>9768</v>
      </c>
      <c r="AF1114" s="81">
        <v>72</v>
      </c>
      <c r="AG1114" s="81">
        <v>5</v>
      </c>
      <c r="AH1114" s="81">
        <v>292</v>
      </c>
      <c r="AI1114" s="81">
        <v>679</v>
      </c>
      <c r="AJ1114" s="81"/>
      <c r="AK1114" s="81"/>
      <c r="AL1114" s="81"/>
      <c r="AM1114" s="81"/>
      <c r="AN1114" s="81"/>
      <c r="AO1114" s="83">
        <v>44417.019780092596</v>
      </c>
      <c r="AP1114" s="84" t="str">
        <f>HYPERLINK("https://pbs.twimg.com/profile_banners/1424527924569546755/1632006638")</f>
        <v>https://pbs.twimg.com/profile_banners/1424527924569546755/1632006638</v>
      </c>
      <c r="AQ1114" s="81" t="b">
        <v>1</v>
      </c>
      <c r="AR1114" s="81" t="b">
        <v>0</v>
      </c>
      <c r="AS1114" s="81" t="b">
        <v>0</v>
      </c>
      <c r="AT1114" s="81"/>
      <c r="AU1114" s="81">
        <v>0</v>
      </c>
      <c r="AV1114" s="81"/>
      <c r="AW1114" s="81" t="b">
        <v>0</v>
      </c>
      <c r="AX1114" s="81" t="s">
        <v>3728</v>
      </c>
      <c r="AY1114" s="84" t="str">
        <f>HYPERLINK("https://twitter.com/josapar99649858")</f>
        <v>https://twitter.com/josapar99649858</v>
      </c>
      <c r="AZ1114" s="81" t="s">
        <v>66</v>
      </c>
      <c r="BA1114" s="2"/>
      <c r="BB1114" s="3"/>
      <c r="BC1114" s="3"/>
      <c r="BD1114" s="3"/>
      <c r="BE1114" s="3"/>
    </row>
    <row r="1115" spans="1:57" x14ac:dyDescent="0.35">
      <c r="A1115" s="66" t="s">
        <v>5150</v>
      </c>
      <c r="B1115" s="67"/>
      <c r="C1115" s="67"/>
      <c r="D1115" s="68"/>
      <c r="E1115" s="94"/>
      <c r="F1115" s="93" t="str">
        <f>HYPERLINK("https://pbs.twimg.com/profile_images/1406379566839611393/8ixa5On1_normal.jpg")</f>
        <v>https://pbs.twimg.com/profile_images/1406379566839611393/8ixa5On1_normal.jpg</v>
      </c>
      <c r="G1115" s="95"/>
      <c r="H1115" s="71"/>
      <c r="I1115" s="72"/>
      <c r="J1115" s="96"/>
      <c r="K1115" s="71" t="s">
        <v>12163</v>
      </c>
      <c r="L1115" s="97"/>
      <c r="M1115" s="76"/>
      <c r="N1115" s="76"/>
      <c r="O1115" s="77"/>
      <c r="P1115" s="78"/>
      <c r="Q1115" s="78"/>
      <c r="R1115" s="92"/>
      <c r="S1115" s="92"/>
      <c r="T1115" s="92"/>
      <c r="U1115" s="92"/>
      <c r="V1115" s="52"/>
      <c r="W1115" s="52"/>
      <c r="X1115" s="52"/>
      <c r="Y1115" s="52"/>
      <c r="Z1115" s="51"/>
      <c r="AA1115" s="73"/>
      <c r="AB1115" s="73"/>
      <c r="AC1115" s="74"/>
      <c r="AD1115" s="81" t="s">
        <v>8785</v>
      </c>
      <c r="AE1115" s="86" t="s">
        <v>7898</v>
      </c>
      <c r="AF1115" s="81">
        <v>2435</v>
      </c>
      <c r="AG1115" s="81">
        <v>303737</v>
      </c>
      <c r="AH1115" s="81">
        <v>67450</v>
      </c>
      <c r="AI1115" s="81">
        <v>10651</v>
      </c>
      <c r="AJ1115" s="81"/>
      <c r="AK1115" s="81" t="s">
        <v>10689</v>
      </c>
      <c r="AL1115" s="81" t="s">
        <v>11267</v>
      </c>
      <c r="AM1115" s="84" t="str">
        <f>HYPERLINK("https://t.co/pzZRIYjnU7")</f>
        <v>https://t.co/pzZRIYjnU7</v>
      </c>
      <c r="AN1115" s="81"/>
      <c r="AO1115" s="83">
        <v>40077.633344907408</v>
      </c>
      <c r="AP1115" s="84" t="str">
        <f>HYPERLINK("https://pbs.twimg.com/profile_banners/76049312/1630332516")</f>
        <v>https://pbs.twimg.com/profile_banners/76049312/1630332516</v>
      </c>
      <c r="AQ1115" s="81" t="b">
        <v>0</v>
      </c>
      <c r="AR1115" s="81" t="b">
        <v>0</v>
      </c>
      <c r="AS1115" s="81" t="b">
        <v>1</v>
      </c>
      <c r="AT1115" s="81"/>
      <c r="AU1115" s="81">
        <v>1118</v>
      </c>
      <c r="AV1115" s="84" t="str">
        <f>HYPERLINK("https://abs.twimg.com/images/themes/theme1/bg.png")</f>
        <v>https://abs.twimg.com/images/themes/theme1/bg.png</v>
      </c>
      <c r="AW1115" s="81" t="b">
        <v>1</v>
      </c>
      <c r="AX1115" s="81" t="s">
        <v>3728</v>
      </c>
      <c r="AY1115" s="84" t="str">
        <f>HYPERLINK("https://twitter.com/senadorhumberto")</f>
        <v>https://twitter.com/senadorhumberto</v>
      </c>
      <c r="AZ1115" s="81" t="s">
        <v>65</v>
      </c>
      <c r="BA1115" s="2"/>
      <c r="BB1115" s="3"/>
      <c r="BC1115" s="3"/>
      <c r="BD1115" s="3"/>
      <c r="BE1115" s="3"/>
    </row>
    <row r="1116" spans="1:57" x14ac:dyDescent="0.35">
      <c r="A1116" s="66" t="s">
        <v>4761</v>
      </c>
      <c r="B1116" s="67"/>
      <c r="C1116" s="67"/>
      <c r="D1116" s="68"/>
      <c r="E1116" s="94"/>
      <c r="F1116" s="93" t="str">
        <f>HYPERLINK("https://pbs.twimg.com/profile_images/1381559858466586624/8Y4RdM8Y_normal.jpg")</f>
        <v>https://pbs.twimg.com/profile_images/1381559858466586624/8Y4RdM8Y_normal.jpg</v>
      </c>
      <c r="G1116" s="95"/>
      <c r="H1116" s="71"/>
      <c r="I1116" s="72"/>
      <c r="J1116" s="96"/>
      <c r="K1116" s="71" t="s">
        <v>12164</v>
      </c>
      <c r="L1116" s="97"/>
      <c r="M1116" s="76"/>
      <c r="N1116" s="76"/>
      <c r="O1116" s="77"/>
      <c r="P1116" s="78"/>
      <c r="Q1116" s="78"/>
      <c r="R1116" s="92"/>
      <c r="S1116" s="92"/>
      <c r="T1116" s="92"/>
      <c r="U1116" s="92"/>
      <c r="V1116" s="52"/>
      <c r="W1116" s="52"/>
      <c r="X1116" s="52"/>
      <c r="Y1116" s="52"/>
      <c r="Z1116" s="51"/>
      <c r="AA1116" s="73"/>
      <c r="AB1116" s="73"/>
      <c r="AC1116" s="74"/>
      <c r="AD1116" s="81" t="s">
        <v>8786</v>
      </c>
      <c r="AE1116" s="86" t="s">
        <v>9769</v>
      </c>
      <c r="AF1116" s="81">
        <v>736</v>
      </c>
      <c r="AG1116" s="81">
        <v>52</v>
      </c>
      <c r="AH1116" s="81">
        <v>1492</v>
      </c>
      <c r="AI1116" s="81">
        <v>964</v>
      </c>
      <c r="AJ1116" s="81"/>
      <c r="AK1116" s="81"/>
      <c r="AL1116" s="81"/>
      <c r="AM1116" s="81"/>
      <c r="AN1116" s="81"/>
      <c r="AO1116" s="83">
        <v>39770.002453703702</v>
      </c>
      <c r="AP1116" s="84" t="str">
        <f>HYPERLINK("https://pbs.twimg.com/profile_banners/17454080/1618224650")</f>
        <v>https://pbs.twimg.com/profile_banners/17454080/1618224650</v>
      </c>
      <c r="AQ1116" s="81" t="b">
        <v>1</v>
      </c>
      <c r="AR1116" s="81" t="b">
        <v>0</v>
      </c>
      <c r="AS1116" s="81" t="b">
        <v>0</v>
      </c>
      <c r="AT1116" s="81"/>
      <c r="AU1116" s="81">
        <v>3</v>
      </c>
      <c r="AV1116" s="84" t="str">
        <f>HYPERLINK("https://abs.twimg.com/images/themes/theme1/bg.png")</f>
        <v>https://abs.twimg.com/images/themes/theme1/bg.png</v>
      </c>
      <c r="AW1116" s="81" t="b">
        <v>0</v>
      </c>
      <c r="AX1116" s="81" t="s">
        <v>3728</v>
      </c>
      <c r="AY1116" s="84" t="str">
        <f>HYPERLINK("https://twitter.com/purisimp")</f>
        <v>https://twitter.com/purisimp</v>
      </c>
      <c r="AZ1116" s="81" t="s">
        <v>66</v>
      </c>
      <c r="BA1116" s="2"/>
      <c r="BB1116" s="3"/>
      <c r="BC1116" s="3"/>
      <c r="BD1116" s="3"/>
      <c r="BE1116" s="3"/>
    </row>
    <row r="1117" spans="1:57" x14ac:dyDescent="0.35">
      <c r="A1117" s="66" t="s">
        <v>5151</v>
      </c>
      <c r="B1117" s="67"/>
      <c r="C1117" s="67"/>
      <c r="D1117" s="68"/>
      <c r="E1117" s="94"/>
      <c r="F1117" s="93" t="str">
        <f>HYPERLINK("https://pbs.twimg.com/profile_images/1435754968552775688/MYLr8TWQ_normal.jpg")</f>
        <v>https://pbs.twimg.com/profile_images/1435754968552775688/MYLr8TWQ_normal.jpg</v>
      </c>
      <c r="G1117" s="95"/>
      <c r="H1117" s="71"/>
      <c r="I1117" s="72"/>
      <c r="J1117" s="96"/>
      <c r="K1117" s="71" t="s">
        <v>12165</v>
      </c>
      <c r="L1117" s="97"/>
      <c r="M1117" s="76"/>
      <c r="N1117" s="76"/>
      <c r="O1117" s="77"/>
      <c r="P1117" s="78"/>
      <c r="Q1117" s="78"/>
      <c r="R1117" s="92"/>
      <c r="S1117" s="92"/>
      <c r="T1117" s="92"/>
      <c r="U1117" s="92"/>
      <c r="V1117" s="52"/>
      <c r="W1117" s="52"/>
      <c r="X1117" s="52"/>
      <c r="Y1117" s="52"/>
      <c r="Z1117" s="51"/>
      <c r="AA1117" s="73"/>
      <c r="AB1117" s="73"/>
      <c r="AC1117" s="74"/>
      <c r="AD1117" s="81" t="s">
        <v>8787</v>
      </c>
      <c r="AE1117" s="86" t="s">
        <v>7899</v>
      </c>
      <c r="AF1117" s="81">
        <v>2567</v>
      </c>
      <c r="AG1117" s="81">
        <v>196646</v>
      </c>
      <c r="AH1117" s="81">
        <v>482580</v>
      </c>
      <c r="AI1117" s="81">
        <v>100258</v>
      </c>
      <c r="AJ1117" s="81"/>
      <c r="AK1117" s="81" t="s">
        <v>10690</v>
      </c>
      <c r="AL1117" s="81"/>
      <c r="AM1117" s="81"/>
      <c r="AN1117" s="81"/>
      <c r="AO1117" s="83">
        <v>39833.748854166668</v>
      </c>
      <c r="AP1117" s="84" t="str">
        <f>HYPERLINK("https://pbs.twimg.com/profile_banners/19247625/1522205432")</f>
        <v>https://pbs.twimg.com/profile_banners/19247625/1522205432</v>
      </c>
      <c r="AQ1117" s="81" t="b">
        <v>0</v>
      </c>
      <c r="AR1117" s="81" t="b">
        <v>0</v>
      </c>
      <c r="AS1117" s="81" t="b">
        <v>0</v>
      </c>
      <c r="AT1117" s="81"/>
      <c r="AU1117" s="81">
        <v>481</v>
      </c>
      <c r="AV1117" s="84" t="str">
        <f>HYPERLINK("https://abs.twimg.com/images/themes/theme6/bg.gif")</f>
        <v>https://abs.twimg.com/images/themes/theme6/bg.gif</v>
      </c>
      <c r="AW1117" s="81" t="b">
        <v>1</v>
      </c>
      <c r="AX1117" s="81" t="s">
        <v>3728</v>
      </c>
      <c r="AY1117" s="84" t="str">
        <f>HYPERLINK("https://twitter.com/omalestafeito")</f>
        <v>https://twitter.com/omalestafeito</v>
      </c>
      <c r="AZ1117" s="81" t="s">
        <v>65</v>
      </c>
      <c r="BA1117" s="2"/>
      <c r="BB1117" s="3"/>
      <c r="BC1117" s="3"/>
      <c r="BD1117" s="3"/>
      <c r="BE1117" s="3"/>
    </row>
    <row r="1118" spans="1:57" x14ac:dyDescent="0.35">
      <c r="A1118" s="66" t="s">
        <v>4762</v>
      </c>
      <c r="B1118" s="67"/>
      <c r="C1118" s="67"/>
      <c r="D1118" s="68"/>
      <c r="E1118" s="94"/>
      <c r="F1118" s="93" t="str">
        <f>HYPERLINK("https://pbs.twimg.com/profile_images/1431009655753412611/uNskWPjD_normal.jpg")</f>
        <v>https://pbs.twimg.com/profile_images/1431009655753412611/uNskWPjD_normal.jpg</v>
      </c>
      <c r="G1118" s="95"/>
      <c r="H1118" s="71"/>
      <c r="I1118" s="72"/>
      <c r="J1118" s="96"/>
      <c r="K1118" s="71" t="s">
        <v>12166</v>
      </c>
      <c r="L1118" s="97"/>
      <c r="M1118" s="76"/>
      <c r="N1118" s="76"/>
      <c r="O1118" s="77"/>
      <c r="P1118" s="78"/>
      <c r="Q1118" s="78"/>
      <c r="R1118" s="92"/>
      <c r="S1118" s="92"/>
      <c r="T1118" s="92"/>
      <c r="U1118" s="92"/>
      <c r="V1118" s="52"/>
      <c r="W1118" s="52"/>
      <c r="X1118" s="52"/>
      <c r="Y1118" s="52"/>
      <c r="Z1118" s="51"/>
      <c r="AA1118" s="73"/>
      <c r="AB1118" s="73"/>
      <c r="AC1118" s="74"/>
      <c r="AD1118" s="81" t="s">
        <v>8788</v>
      </c>
      <c r="AE1118" s="86" t="s">
        <v>9770</v>
      </c>
      <c r="AF1118" s="81">
        <v>240</v>
      </c>
      <c r="AG1118" s="81">
        <v>18</v>
      </c>
      <c r="AH1118" s="81">
        <v>6636</v>
      </c>
      <c r="AI1118" s="81">
        <v>5518</v>
      </c>
      <c r="AJ1118" s="81"/>
      <c r="AK1118" s="81" t="s">
        <v>10691</v>
      </c>
      <c r="AL1118" s="81" t="s">
        <v>11148</v>
      </c>
      <c r="AM1118" s="81"/>
      <c r="AN1118" s="81"/>
      <c r="AO1118" s="83">
        <v>43793.61105324074</v>
      </c>
      <c r="AP1118" s="84" t="str">
        <f>HYPERLINK("https://pbs.twimg.com/profile_banners/1198612170310856706/1574607015")</f>
        <v>https://pbs.twimg.com/profile_banners/1198612170310856706/1574607015</v>
      </c>
      <c r="AQ1118" s="81" t="b">
        <v>1</v>
      </c>
      <c r="AR1118" s="81" t="b">
        <v>0</v>
      </c>
      <c r="AS1118" s="81" t="b">
        <v>0</v>
      </c>
      <c r="AT1118" s="81"/>
      <c r="AU1118" s="81">
        <v>0</v>
      </c>
      <c r="AV1118" s="81"/>
      <c r="AW1118" s="81" t="b">
        <v>0</v>
      </c>
      <c r="AX1118" s="81" t="s">
        <v>3728</v>
      </c>
      <c r="AY1118" s="84" t="str">
        <f>HYPERLINK("https://twitter.com/osodrac_pt")</f>
        <v>https://twitter.com/osodrac_pt</v>
      </c>
      <c r="AZ1118" s="81" t="s">
        <v>66</v>
      </c>
      <c r="BA1118" s="2"/>
      <c r="BB1118" s="3"/>
      <c r="BC1118" s="3"/>
      <c r="BD1118" s="3"/>
      <c r="BE1118" s="3"/>
    </row>
    <row r="1119" spans="1:57" x14ac:dyDescent="0.35">
      <c r="A1119" s="66" t="s">
        <v>504</v>
      </c>
      <c r="B1119" s="67"/>
      <c r="C1119" s="67"/>
      <c r="D1119" s="68"/>
      <c r="E1119" s="94"/>
      <c r="F1119" s="93" t="str">
        <f>HYPERLINK("https://pbs.twimg.com/profile_images/1258369905016975361/BuhU3A0Q_normal.jpg")</f>
        <v>https://pbs.twimg.com/profile_images/1258369905016975361/BuhU3A0Q_normal.jpg</v>
      </c>
      <c r="G1119" s="95"/>
      <c r="H1119" s="71"/>
      <c r="I1119" s="72"/>
      <c r="J1119" s="96"/>
      <c r="K1119" s="71" t="s">
        <v>4064</v>
      </c>
      <c r="L1119" s="97"/>
      <c r="M1119" s="76"/>
      <c r="N1119" s="76"/>
      <c r="O1119" s="77"/>
      <c r="P1119" s="78"/>
      <c r="Q1119" s="78"/>
      <c r="R1119" s="92"/>
      <c r="S1119" s="92"/>
      <c r="T1119" s="92"/>
      <c r="U1119" s="92"/>
      <c r="V1119" s="52"/>
      <c r="W1119" s="52"/>
      <c r="X1119" s="52"/>
      <c r="Y1119" s="52"/>
      <c r="Z1119" s="51"/>
      <c r="AA1119" s="73"/>
      <c r="AB1119" s="73"/>
      <c r="AC1119" s="74"/>
      <c r="AD1119" s="81" t="s">
        <v>2575</v>
      </c>
      <c r="AE1119" s="86" t="s">
        <v>2991</v>
      </c>
      <c r="AF1119" s="81">
        <v>674</v>
      </c>
      <c r="AG1119" s="81">
        <v>17</v>
      </c>
      <c r="AH1119" s="81">
        <v>6191</v>
      </c>
      <c r="AI1119" s="81">
        <v>223</v>
      </c>
      <c r="AJ1119" s="81"/>
      <c r="AK1119" s="81" t="s">
        <v>3403</v>
      </c>
      <c r="AL1119" s="81"/>
      <c r="AM1119" s="84" t="str">
        <f>HYPERLINK("https://t.co/tfpkGQ7yad")</f>
        <v>https://t.co/tfpkGQ7yad</v>
      </c>
      <c r="AN1119" s="81"/>
      <c r="AO1119" s="83">
        <v>43958.507060185184</v>
      </c>
      <c r="AP1119" s="84" t="str">
        <f>HYPERLINK("https://pbs.twimg.com/profile_banners/1258368464026132480/1588853925")</f>
        <v>https://pbs.twimg.com/profile_banners/1258368464026132480/1588853925</v>
      </c>
      <c r="AQ1119" s="81" t="b">
        <v>1</v>
      </c>
      <c r="AR1119" s="81" t="b">
        <v>0</v>
      </c>
      <c r="AS1119" s="81" t="b">
        <v>0</v>
      </c>
      <c r="AT1119" s="81"/>
      <c r="AU1119" s="81">
        <v>0</v>
      </c>
      <c r="AV1119" s="81"/>
      <c r="AW1119" s="81" t="b">
        <v>0</v>
      </c>
      <c r="AX1119" s="81" t="s">
        <v>3728</v>
      </c>
      <c r="AY1119" s="84" t="str">
        <f>HYPERLINK("https://twitter.com/along_pura")</f>
        <v>https://twitter.com/along_pura</v>
      </c>
      <c r="AZ1119" s="81" t="s">
        <v>66</v>
      </c>
      <c r="BA1119" s="2"/>
      <c r="BB1119" s="3"/>
      <c r="BC1119" s="3"/>
      <c r="BD1119" s="3"/>
      <c r="BE1119" s="3"/>
    </row>
    <row r="1120" spans="1:57" x14ac:dyDescent="0.35">
      <c r="A1120" s="66" t="s">
        <v>670</v>
      </c>
      <c r="B1120" s="67"/>
      <c r="C1120" s="67"/>
      <c r="D1120" s="68"/>
      <c r="E1120" s="94"/>
      <c r="F1120" s="93" t="str">
        <f>HYPERLINK("https://pbs.twimg.com/profile_images/1429375081252147206/8sdognPv_normal.jpg")</f>
        <v>https://pbs.twimg.com/profile_images/1429375081252147206/8sdognPv_normal.jpg</v>
      </c>
      <c r="G1120" s="95"/>
      <c r="H1120" s="71"/>
      <c r="I1120" s="72"/>
      <c r="J1120" s="96"/>
      <c r="K1120" s="71" t="s">
        <v>4065</v>
      </c>
      <c r="L1120" s="97"/>
      <c r="M1120" s="76"/>
      <c r="N1120" s="76"/>
      <c r="O1120" s="77"/>
      <c r="P1120" s="78"/>
      <c r="Q1120" s="78"/>
      <c r="R1120" s="92"/>
      <c r="S1120" s="92"/>
      <c r="T1120" s="92"/>
      <c r="U1120" s="92"/>
      <c r="V1120" s="52"/>
      <c r="W1120" s="52"/>
      <c r="X1120" s="52"/>
      <c r="Y1120" s="52"/>
      <c r="Z1120" s="51"/>
      <c r="AA1120" s="73"/>
      <c r="AB1120" s="73"/>
      <c r="AC1120" s="74"/>
      <c r="AD1120" s="81" t="s">
        <v>2576</v>
      </c>
      <c r="AE1120" s="86" t="s">
        <v>2992</v>
      </c>
      <c r="AF1120" s="81">
        <v>1578</v>
      </c>
      <c r="AG1120" s="81">
        <v>2600</v>
      </c>
      <c r="AH1120" s="81">
        <v>30840</v>
      </c>
      <c r="AI1120" s="81">
        <v>46932</v>
      </c>
      <c r="AJ1120" s="81"/>
      <c r="AK1120" s="81" t="s">
        <v>3404</v>
      </c>
      <c r="AL1120" s="81" t="s">
        <v>3683</v>
      </c>
      <c r="AM1120" s="84" t="str">
        <f>HYPERLINK("https://t.co/C8281TsDFv")</f>
        <v>https://t.co/C8281TsDFv</v>
      </c>
      <c r="AN1120" s="81"/>
      <c r="AO1120" s="83">
        <v>43620.43310185185</v>
      </c>
      <c r="AP1120" s="84" t="str">
        <f>HYPERLINK("https://pbs.twimg.com/profile_banners/1135854626136137733/1624024351")</f>
        <v>https://pbs.twimg.com/profile_banners/1135854626136137733/1624024351</v>
      </c>
      <c r="AQ1120" s="81" t="b">
        <v>1</v>
      </c>
      <c r="AR1120" s="81" t="b">
        <v>0</v>
      </c>
      <c r="AS1120" s="81" t="b">
        <v>0</v>
      </c>
      <c r="AT1120" s="81"/>
      <c r="AU1120" s="81">
        <v>6</v>
      </c>
      <c r="AV1120" s="81"/>
      <c r="AW1120" s="81" t="b">
        <v>0</v>
      </c>
      <c r="AX1120" s="81" t="s">
        <v>3728</v>
      </c>
      <c r="AY1120" s="84" t="str">
        <f>HYPERLINK("https://twitter.com/relyourbae2")</f>
        <v>https://twitter.com/relyourbae2</v>
      </c>
      <c r="AZ1120" s="81" t="s">
        <v>65</v>
      </c>
      <c r="BA1120" s="2"/>
      <c r="BB1120" s="3"/>
      <c r="BC1120" s="3"/>
      <c r="BD1120" s="3"/>
      <c r="BE1120" s="3"/>
    </row>
    <row r="1121" spans="1:57" x14ac:dyDescent="0.35">
      <c r="A1121" s="66" t="s">
        <v>644</v>
      </c>
      <c r="B1121" s="67"/>
      <c r="C1121" s="67"/>
      <c r="D1121" s="68"/>
      <c r="E1121" s="94"/>
      <c r="F1121" s="93" t="str">
        <f>HYPERLINK("https://pbs.twimg.com/profile_images/1431849883267309569/rkF0CRD2_normal.jpg")</f>
        <v>https://pbs.twimg.com/profile_images/1431849883267309569/rkF0CRD2_normal.jpg</v>
      </c>
      <c r="G1121" s="95"/>
      <c r="H1121" s="71"/>
      <c r="I1121" s="72"/>
      <c r="J1121" s="96"/>
      <c r="K1121" s="71" t="s">
        <v>3939</v>
      </c>
      <c r="L1121" s="97"/>
      <c r="M1121" s="76"/>
      <c r="N1121" s="76"/>
      <c r="O1121" s="77"/>
      <c r="P1121" s="78"/>
      <c r="Q1121" s="78"/>
      <c r="R1121" s="92"/>
      <c r="S1121" s="92"/>
      <c r="T1121" s="92"/>
      <c r="U1121" s="92"/>
      <c r="V1121" s="52"/>
      <c r="W1121" s="52"/>
      <c r="X1121" s="52"/>
      <c r="Y1121" s="52"/>
      <c r="Z1121" s="51"/>
      <c r="AA1121" s="73"/>
      <c r="AB1121" s="73"/>
      <c r="AC1121" s="74"/>
      <c r="AD1121" s="81" t="s">
        <v>2458</v>
      </c>
      <c r="AE1121" s="86" t="s">
        <v>2119</v>
      </c>
      <c r="AF1121" s="81">
        <v>106</v>
      </c>
      <c r="AG1121" s="81">
        <v>9876</v>
      </c>
      <c r="AH1121" s="81">
        <v>4941</v>
      </c>
      <c r="AI1121" s="81">
        <v>18069</v>
      </c>
      <c r="AJ1121" s="81"/>
      <c r="AK1121" s="81" t="s">
        <v>3290</v>
      </c>
      <c r="AL1121" s="81" t="s">
        <v>3634</v>
      </c>
      <c r="AM1121" s="81"/>
      <c r="AN1121" s="81"/>
      <c r="AO1121" s="83">
        <v>44251.191643518519</v>
      </c>
      <c r="AP1121" s="84" t="str">
        <f>HYPERLINK("https://pbs.twimg.com/profile_banners/1364433736524197892/1630214588")</f>
        <v>https://pbs.twimg.com/profile_banners/1364433736524197892/1630214588</v>
      </c>
      <c r="AQ1121" s="81" t="b">
        <v>1</v>
      </c>
      <c r="AR1121" s="81" t="b">
        <v>0</v>
      </c>
      <c r="AS1121" s="81" t="b">
        <v>0</v>
      </c>
      <c r="AT1121" s="81"/>
      <c r="AU1121" s="81">
        <v>11</v>
      </c>
      <c r="AV1121" s="81"/>
      <c r="AW1121" s="81" t="b">
        <v>0</v>
      </c>
      <c r="AX1121" s="81" t="s">
        <v>3728</v>
      </c>
      <c r="AY1121" s="84" t="str">
        <f>HYPERLINK("https://twitter.com/squidwrd__")</f>
        <v>https://twitter.com/squidwrd__</v>
      </c>
      <c r="AZ1121" s="81" t="s">
        <v>65</v>
      </c>
      <c r="BA1121" s="2"/>
      <c r="BB1121" s="3"/>
      <c r="BC1121" s="3"/>
      <c r="BD1121" s="3"/>
      <c r="BE1121" s="3"/>
    </row>
    <row r="1122" spans="1:57" x14ac:dyDescent="0.35">
      <c r="A1122" s="66" t="s">
        <v>659</v>
      </c>
      <c r="B1122" s="67"/>
      <c r="C1122" s="67"/>
      <c r="D1122" s="68"/>
      <c r="E1122" s="94"/>
      <c r="F1122" s="93" t="str">
        <f>HYPERLINK("https://pbs.twimg.com/profile_images/1418197430999257091/Y_Uq25r__normal.jpg")</f>
        <v>https://pbs.twimg.com/profile_images/1418197430999257091/Y_Uq25r__normal.jpg</v>
      </c>
      <c r="G1122" s="95"/>
      <c r="H1122" s="71"/>
      <c r="I1122" s="72"/>
      <c r="J1122" s="96"/>
      <c r="K1122" s="71" t="s">
        <v>4026</v>
      </c>
      <c r="L1122" s="97"/>
      <c r="M1122" s="76"/>
      <c r="N1122" s="76"/>
      <c r="O1122" s="77"/>
      <c r="P1122" s="78"/>
      <c r="Q1122" s="78"/>
      <c r="R1122" s="92"/>
      <c r="S1122" s="92"/>
      <c r="T1122" s="92"/>
      <c r="U1122" s="92"/>
      <c r="V1122" s="52"/>
      <c r="W1122" s="52"/>
      <c r="X1122" s="52"/>
      <c r="Y1122" s="52"/>
      <c r="Z1122" s="51"/>
      <c r="AA1122" s="73"/>
      <c r="AB1122" s="73"/>
      <c r="AC1122" s="74"/>
      <c r="AD1122" s="81" t="s">
        <v>2540</v>
      </c>
      <c r="AE1122" s="86" t="s">
        <v>2126</v>
      </c>
      <c r="AF1122" s="81">
        <v>3614</v>
      </c>
      <c r="AG1122" s="81">
        <v>52642</v>
      </c>
      <c r="AH1122" s="81">
        <v>78377</v>
      </c>
      <c r="AI1122" s="81">
        <v>7</v>
      </c>
      <c r="AJ1122" s="81"/>
      <c r="AK1122" s="81" t="s">
        <v>3368</v>
      </c>
      <c r="AL1122" s="81" t="s">
        <v>3522</v>
      </c>
      <c r="AM1122" s="81"/>
      <c r="AN1122" s="81"/>
      <c r="AO1122" s="83">
        <v>43930.821805555555</v>
      </c>
      <c r="AP1122" s="84" t="str">
        <f>HYPERLINK("https://pbs.twimg.com/profile_banners/1248335621988311041/1626943736")</f>
        <v>https://pbs.twimg.com/profile_banners/1248335621988311041/1626943736</v>
      </c>
      <c r="AQ1122" s="81" t="b">
        <v>1</v>
      </c>
      <c r="AR1122" s="81" t="b">
        <v>0</v>
      </c>
      <c r="AS1122" s="81" t="b">
        <v>0</v>
      </c>
      <c r="AT1122" s="81"/>
      <c r="AU1122" s="81">
        <v>220</v>
      </c>
      <c r="AV1122" s="81"/>
      <c r="AW1122" s="81" t="b">
        <v>0</v>
      </c>
      <c r="AX1122" s="81" t="s">
        <v>3728</v>
      </c>
      <c r="AY1122" s="84" t="str">
        <f>HYPERLINK("https://twitter.com/bdngfess")</f>
        <v>https://twitter.com/bdngfess</v>
      </c>
      <c r="AZ1122" s="81" t="s">
        <v>65</v>
      </c>
      <c r="BA1122" s="2"/>
      <c r="BB1122" s="3"/>
      <c r="BC1122" s="3"/>
      <c r="BD1122" s="3"/>
      <c r="BE1122" s="3"/>
    </row>
    <row r="1123" spans="1:57" x14ac:dyDescent="0.35">
      <c r="A1123" s="66" t="s">
        <v>671</v>
      </c>
      <c r="B1123" s="67"/>
      <c r="C1123" s="67"/>
      <c r="D1123" s="68"/>
      <c r="E1123" s="94"/>
      <c r="F1123" s="93" t="str">
        <f>HYPERLINK("https://pbs.twimg.com/profile_images/1443143302136565762/YEGk3_fU_normal.jpg")</f>
        <v>https://pbs.twimg.com/profile_images/1443143302136565762/YEGk3_fU_normal.jpg</v>
      </c>
      <c r="G1123" s="95"/>
      <c r="H1123" s="71"/>
      <c r="I1123" s="72"/>
      <c r="J1123" s="96"/>
      <c r="K1123" s="71" t="s">
        <v>4066</v>
      </c>
      <c r="L1123" s="97"/>
      <c r="M1123" s="76"/>
      <c r="N1123" s="76"/>
      <c r="O1123" s="77"/>
      <c r="P1123" s="78"/>
      <c r="Q1123" s="78"/>
      <c r="R1123" s="92"/>
      <c r="S1123" s="92"/>
      <c r="T1123" s="92"/>
      <c r="U1123" s="92"/>
      <c r="V1123" s="52"/>
      <c r="W1123" s="52"/>
      <c r="X1123" s="52"/>
      <c r="Y1123" s="52"/>
      <c r="Z1123" s="51"/>
      <c r="AA1123" s="73"/>
      <c r="AB1123" s="73"/>
      <c r="AC1123" s="74"/>
      <c r="AD1123" s="81" t="s">
        <v>2577</v>
      </c>
      <c r="AE1123" s="86" t="s">
        <v>2138</v>
      </c>
      <c r="AF1123" s="81">
        <v>2486</v>
      </c>
      <c r="AG1123" s="81">
        <v>7959</v>
      </c>
      <c r="AH1123" s="81">
        <v>39982</v>
      </c>
      <c r="AI1123" s="81">
        <v>37199</v>
      </c>
      <c r="AJ1123" s="81"/>
      <c r="AK1123" s="81" t="s">
        <v>3405</v>
      </c>
      <c r="AL1123" s="81" t="s">
        <v>3573</v>
      </c>
      <c r="AM1123" s="81"/>
      <c r="AN1123" s="81"/>
      <c r="AO1123" s="83">
        <v>43971.240451388891</v>
      </c>
      <c r="AP1123" s="84" t="str">
        <f>HYPERLINK("https://pbs.twimg.com/profile_banners/1262982872207470593/1632709447")</f>
        <v>https://pbs.twimg.com/profile_banners/1262982872207470593/1632709447</v>
      </c>
      <c r="AQ1123" s="81" t="b">
        <v>1</v>
      </c>
      <c r="AR1123" s="81" t="b">
        <v>0</v>
      </c>
      <c r="AS1123" s="81" t="b">
        <v>1</v>
      </c>
      <c r="AT1123" s="81"/>
      <c r="AU1123" s="81">
        <v>0</v>
      </c>
      <c r="AV1123" s="81"/>
      <c r="AW1123" s="81" t="b">
        <v>0</v>
      </c>
      <c r="AX1123" s="81" t="s">
        <v>3728</v>
      </c>
      <c r="AY1123" s="84" t="str">
        <f>HYPERLINK("https://twitter.com/geboyy__")</f>
        <v>https://twitter.com/geboyy__</v>
      </c>
      <c r="AZ1123" s="81" t="s">
        <v>65</v>
      </c>
      <c r="BA1123" s="2"/>
      <c r="BB1123" s="3"/>
      <c r="BC1123" s="3"/>
      <c r="BD1123" s="3"/>
      <c r="BE1123" s="3"/>
    </row>
    <row r="1124" spans="1:57" x14ac:dyDescent="0.35">
      <c r="A1124" s="66" t="s">
        <v>672</v>
      </c>
      <c r="B1124" s="67"/>
      <c r="C1124" s="67"/>
      <c r="D1124" s="68"/>
      <c r="E1124" s="94"/>
      <c r="F1124" s="93" t="str">
        <f>HYPERLINK("https://pbs.twimg.com/profile_images/1441779187740594185/v__1nvc7_normal.jpg")</f>
        <v>https://pbs.twimg.com/profile_images/1441779187740594185/v__1nvc7_normal.jpg</v>
      </c>
      <c r="G1124" s="95"/>
      <c r="H1124" s="71"/>
      <c r="I1124" s="72"/>
      <c r="J1124" s="96"/>
      <c r="K1124" s="71" t="s">
        <v>4067</v>
      </c>
      <c r="L1124" s="97"/>
      <c r="M1124" s="76"/>
      <c r="N1124" s="76"/>
      <c r="O1124" s="77"/>
      <c r="P1124" s="78"/>
      <c r="Q1124" s="78"/>
      <c r="R1124" s="92"/>
      <c r="S1124" s="92"/>
      <c r="T1124" s="92"/>
      <c r="U1124" s="92"/>
      <c r="V1124" s="52"/>
      <c r="W1124" s="52"/>
      <c r="X1124" s="52"/>
      <c r="Y1124" s="52"/>
      <c r="Z1124" s="51"/>
      <c r="AA1124" s="73"/>
      <c r="AB1124" s="73"/>
      <c r="AC1124" s="74"/>
      <c r="AD1124" s="81" t="s">
        <v>2578</v>
      </c>
      <c r="AE1124" s="86" t="s">
        <v>2139</v>
      </c>
      <c r="AF1124" s="81">
        <v>638</v>
      </c>
      <c r="AG1124" s="81">
        <v>2103</v>
      </c>
      <c r="AH1124" s="81">
        <v>8300</v>
      </c>
      <c r="AI1124" s="81">
        <v>7273</v>
      </c>
      <c r="AJ1124" s="81"/>
      <c r="AK1124" s="81" t="s">
        <v>3406</v>
      </c>
      <c r="AL1124" s="81" t="s">
        <v>3684</v>
      </c>
      <c r="AM1124" s="84" t="str">
        <f>HYPERLINK("https://t.co/OY6zF2oIch")</f>
        <v>https://t.co/OY6zF2oIch</v>
      </c>
      <c r="AN1124" s="81"/>
      <c r="AO1124" s="83">
        <v>44142.562673611108</v>
      </c>
      <c r="AP1124" s="84" t="str">
        <f>HYPERLINK("https://pbs.twimg.com/profile_banners/1325068002979504133/1632582582")</f>
        <v>https://pbs.twimg.com/profile_banners/1325068002979504133/1632582582</v>
      </c>
      <c r="AQ1124" s="81" t="b">
        <v>1</v>
      </c>
      <c r="AR1124" s="81" t="b">
        <v>0</v>
      </c>
      <c r="AS1124" s="81" t="b">
        <v>1</v>
      </c>
      <c r="AT1124" s="81"/>
      <c r="AU1124" s="81">
        <v>2</v>
      </c>
      <c r="AV1124" s="81"/>
      <c r="AW1124" s="81" t="b">
        <v>0</v>
      </c>
      <c r="AX1124" s="81" t="s">
        <v>3728</v>
      </c>
      <c r="AY1124" s="84" t="str">
        <f>HYPERLINK("https://twitter.com/masgah_")</f>
        <v>https://twitter.com/masgah_</v>
      </c>
      <c r="AZ1124" s="81" t="s">
        <v>65</v>
      </c>
      <c r="BA1124" s="2"/>
      <c r="BB1124" s="3"/>
      <c r="BC1124" s="3"/>
      <c r="BD1124" s="3"/>
      <c r="BE1124" s="3"/>
    </row>
    <row r="1125" spans="1:57" x14ac:dyDescent="0.35">
      <c r="A1125" s="66" t="s">
        <v>673</v>
      </c>
      <c r="B1125" s="67"/>
      <c r="C1125" s="67"/>
      <c r="D1125" s="68"/>
      <c r="E1125" s="94"/>
      <c r="F1125" s="93" t="str">
        <f>HYPERLINK("https://pbs.twimg.com/profile_images/1424330656163667968/OmurZGzK_normal.jpg")</f>
        <v>https://pbs.twimg.com/profile_images/1424330656163667968/OmurZGzK_normal.jpg</v>
      </c>
      <c r="G1125" s="95"/>
      <c r="H1125" s="71"/>
      <c r="I1125" s="72"/>
      <c r="J1125" s="96"/>
      <c r="K1125" s="71" t="s">
        <v>4068</v>
      </c>
      <c r="L1125" s="97"/>
      <c r="M1125" s="76"/>
      <c r="N1125" s="76"/>
      <c r="O1125" s="77"/>
      <c r="P1125" s="78"/>
      <c r="Q1125" s="78"/>
      <c r="R1125" s="92"/>
      <c r="S1125" s="92"/>
      <c r="T1125" s="92"/>
      <c r="U1125" s="92"/>
      <c r="V1125" s="52"/>
      <c r="W1125" s="52"/>
      <c r="X1125" s="52"/>
      <c r="Y1125" s="52"/>
      <c r="Z1125" s="51"/>
      <c r="AA1125" s="73"/>
      <c r="AB1125" s="73"/>
      <c r="AC1125" s="74"/>
      <c r="AD1125" s="81" t="s">
        <v>2579</v>
      </c>
      <c r="AE1125" s="86" t="s">
        <v>2140</v>
      </c>
      <c r="AF1125" s="81">
        <v>700</v>
      </c>
      <c r="AG1125" s="81">
        <v>17733</v>
      </c>
      <c r="AH1125" s="81">
        <v>21625</v>
      </c>
      <c r="AI1125" s="81">
        <v>25036</v>
      </c>
      <c r="AJ1125" s="81"/>
      <c r="AK1125" s="81" t="s">
        <v>3407</v>
      </c>
      <c r="AL1125" s="81" t="s">
        <v>2202</v>
      </c>
      <c r="AM1125" s="84" t="str">
        <f>HYPERLINK("https://t.co/PMGTLTfbSc")</f>
        <v>https://t.co/PMGTLTfbSc</v>
      </c>
      <c r="AN1125" s="81"/>
      <c r="AO1125" s="83">
        <v>43812.306087962963</v>
      </c>
      <c r="AP1125" s="84" t="str">
        <f>HYPERLINK("https://pbs.twimg.com/profile_banners/1205386987621863425/1629159004")</f>
        <v>https://pbs.twimg.com/profile_banners/1205386987621863425/1629159004</v>
      </c>
      <c r="AQ1125" s="81" t="b">
        <v>1</v>
      </c>
      <c r="AR1125" s="81" t="b">
        <v>0</v>
      </c>
      <c r="AS1125" s="81" t="b">
        <v>0</v>
      </c>
      <c r="AT1125" s="81"/>
      <c r="AU1125" s="81">
        <v>0</v>
      </c>
      <c r="AV1125" s="81"/>
      <c r="AW1125" s="81" t="b">
        <v>0</v>
      </c>
      <c r="AX1125" s="81" t="s">
        <v>3728</v>
      </c>
      <c r="AY1125" s="84" t="str">
        <f>HYPERLINK("https://twitter.com/ayydafryanti")</f>
        <v>https://twitter.com/ayydafryanti</v>
      </c>
      <c r="AZ1125" s="81" t="s">
        <v>65</v>
      </c>
      <c r="BA1125" s="2"/>
      <c r="BB1125" s="3"/>
      <c r="BC1125" s="3"/>
      <c r="BD1125" s="3"/>
      <c r="BE1125" s="3"/>
    </row>
    <row r="1126" spans="1:57" x14ac:dyDescent="0.35">
      <c r="A1126" s="66" t="s">
        <v>674</v>
      </c>
      <c r="B1126" s="67"/>
      <c r="C1126" s="67"/>
      <c r="D1126" s="68"/>
      <c r="E1126" s="94"/>
      <c r="F1126" s="93" t="str">
        <f>HYPERLINK("https://pbs.twimg.com/profile_images/1440935977933959174/B8UP6lCk_normal.jpg")</f>
        <v>https://pbs.twimg.com/profile_images/1440935977933959174/B8UP6lCk_normal.jpg</v>
      </c>
      <c r="G1126" s="95"/>
      <c r="H1126" s="71"/>
      <c r="I1126" s="72"/>
      <c r="J1126" s="96"/>
      <c r="K1126" s="71" t="s">
        <v>4069</v>
      </c>
      <c r="L1126" s="97"/>
      <c r="M1126" s="76"/>
      <c r="N1126" s="76"/>
      <c r="O1126" s="77"/>
      <c r="P1126" s="78"/>
      <c r="Q1126" s="78"/>
      <c r="R1126" s="92"/>
      <c r="S1126" s="92"/>
      <c r="T1126" s="92"/>
      <c r="U1126" s="92"/>
      <c r="V1126" s="52"/>
      <c r="W1126" s="52"/>
      <c r="X1126" s="52"/>
      <c r="Y1126" s="52"/>
      <c r="Z1126" s="51"/>
      <c r="AA1126" s="73"/>
      <c r="AB1126" s="73"/>
      <c r="AC1126" s="74"/>
      <c r="AD1126" s="81" t="s">
        <v>2580</v>
      </c>
      <c r="AE1126" s="86" t="s">
        <v>2141</v>
      </c>
      <c r="AF1126" s="81">
        <v>6799</v>
      </c>
      <c r="AG1126" s="81">
        <v>13543</v>
      </c>
      <c r="AH1126" s="81">
        <v>94846</v>
      </c>
      <c r="AI1126" s="81">
        <v>5451</v>
      </c>
      <c r="AJ1126" s="81"/>
      <c r="AK1126" s="81" t="s">
        <v>3408</v>
      </c>
      <c r="AL1126" s="81" t="s">
        <v>3685</v>
      </c>
      <c r="AM1126" s="84" t="str">
        <f>HYPERLINK("https://t.co/9bQTRY7hXJ")</f>
        <v>https://t.co/9bQTRY7hXJ</v>
      </c>
      <c r="AN1126" s="81"/>
      <c r="AO1126" s="83">
        <v>43935.446481481478</v>
      </c>
      <c r="AP1126" s="84" t="str">
        <f>HYPERLINK("https://pbs.twimg.com/profile_banners/1250011483821359105/1631425388")</f>
        <v>https://pbs.twimg.com/profile_banners/1250011483821359105/1631425388</v>
      </c>
      <c r="AQ1126" s="81" t="b">
        <v>1</v>
      </c>
      <c r="AR1126" s="81" t="b">
        <v>0</v>
      </c>
      <c r="AS1126" s="81" t="b">
        <v>0</v>
      </c>
      <c r="AT1126" s="81"/>
      <c r="AU1126" s="81">
        <v>17</v>
      </c>
      <c r="AV1126" s="81"/>
      <c r="AW1126" s="81" t="b">
        <v>0</v>
      </c>
      <c r="AX1126" s="81" t="s">
        <v>3728</v>
      </c>
      <c r="AY1126" s="84" t="str">
        <f>HYPERLINK("https://twitter.com/lindrayyy")</f>
        <v>https://twitter.com/lindrayyy</v>
      </c>
      <c r="AZ1126" s="81" t="s">
        <v>65</v>
      </c>
      <c r="BA1126" s="2"/>
      <c r="BB1126" s="3"/>
      <c r="BC1126" s="3"/>
      <c r="BD1126" s="3"/>
      <c r="BE1126" s="3"/>
    </row>
    <row r="1127" spans="1:57" x14ac:dyDescent="0.35">
      <c r="A1127" s="66" t="s">
        <v>604</v>
      </c>
      <c r="B1127" s="67"/>
      <c r="C1127" s="67"/>
      <c r="D1127" s="68"/>
      <c r="E1127" s="94"/>
      <c r="F1127" s="93" t="str">
        <f>HYPERLINK("https://pbs.twimg.com/profile_images/1252937701671620608/FyULSMou_normal.jpg")</f>
        <v>https://pbs.twimg.com/profile_images/1252937701671620608/FyULSMou_normal.jpg</v>
      </c>
      <c r="G1127" s="95"/>
      <c r="H1127" s="71"/>
      <c r="I1127" s="72"/>
      <c r="J1127" s="96"/>
      <c r="K1127" s="71" t="s">
        <v>3734</v>
      </c>
      <c r="L1127" s="97"/>
      <c r="M1127" s="76"/>
      <c r="N1127" s="76"/>
      <c r="O1127" s="77"/>
      <c r="P1127" s="78"/>
      <c r="Q1127" s="78"/>
      <c r="R1127" s="92"/>
      <c r="S1127" s="92"/>
      <c r="T1127" s="92"/>
      <c r="U1127" s="92"/>
      <c r="V1127" s="52"/>
      <c r="W1127" s="52"/>
      <c r="X1127" s="52"/>
      <c r="Y1127" s="52"/>
      <c r="Z1127" s="51"/>
      <c r="AA1127" s="73"/>
      <c r="AB1127" s="73"/>
      <c r="AC1127" s="74"/>
      <c r="AD1127" s="81" t="s">
        <v>2244</v>
      </c>
      <c r="AE1127" s="86" t="s">
        <v>2087</v>
      </c>
      <c r="AF1127" s="81">
        <v>2818</v>
      </c>
      <c r="AG1127" s="81">
        <v>65735</v>
      </c>
      <c r="AH1127" s="81">
        <v>120593</v>
      </c>
      <c r="AI1127" s="81">
        <v>81</v>
      </c>
      <c r="AJ1127" s="81"/>
      <c r="AK1127" s="81" t="s">
        <v>3084</v>
      </c>
      <c r="AL1127" s="81"/>
      <c r="AM1127" s="84" t="str">
        <f>HYPERLINK("https://t.co/cdVKUr7huA")</f>
        <v>https://t.co/cdVKUr7huA</v>
      </c>
      <c r="AN1127" s="81"/>
      <c r="AO1127" s="83">
        <v>43685.406944444447</v>
      </c>
      <c r="AP1127" s="84" t="str">
        <f>HYPERLINK("https://pbs.twimg.com/profile_banners/1159400358482833408/1616760666")</f>
        <v>https://pbs.twimg.com/profile_banners/1159400358482833408/1616760666</v>
      </c>
      <c r="AQ1127" s="81" t="b">
        <v>1</v>
      </c>
      <c r="AR1127" s="81" t="b">
        <v>0</v>
      </c>
      <c r="AS1127" s="81" t="b">
        <v>1</v>
      </c>
      <c r="AT1127" s="81"/>
      <c r="AU1127" s="81">
        <v>235</v>
      </c>
      <c r="AV1127" s="81"/>
      <c r="AW1127" s="81" t="b">
        <v>0</v>
      </c>
      <c r="AX1127" s="81" t="s">
        <v>3728</v>
      </c>
      <c r="AY1127" s="84" t="str">
        <f>HYPERLINK("https://twitter.com/ngalamfess")</f>
        <v>https://twitter.com/ngalamfess</v>
      </c>
      <c r="AZ1127" s="81" t="s">
        <v>65</v>
      </c>
      <c r="BA1127" s="2"/>
      <c r="BB1127" s="3"/>
      <c r="BC1127" s="3"/>
      <c r="BD1127" s="3"/>
      <c r="BE1127" s="3"/>
    </row>
    <row r="1128" spans="1:57" x14ac:dyDescent="0.35">
      <c r="A1128" s="66" t="s">
        <v>675</v>
      </c>
      <c r="B1128" s="67"/>
      <c r="C1128" s="67"/>
      <c r="D1128" s="68"/>
      <c r="E1128" s="94"/>
      <c r="F1128" s="93" t="str">
        <f>HYPERLINK("https://pbs.twimg.com/profile_images/1441743552896135172/0oUQ5wgK_normal.jpg")</f>
        <v>https://pbs.twimg.com/profile_images/1441743552896135172/0oUQ5wgK_normal.jpg</v>
      </c>
      <c r="G1128" s="95"/>
      <c r="H1128" s="71"/>
      <c r="I1128" s="72"/>
      <c r="J1128" s="96"/>
      <c r="K1128" s="71" t="s">
        <v>4070</v>
      </c>
      <c r="L1128" s="97"/>
      <c r="M1128" s="76"/>
      <c r="N1128" s="76"/>
      <c r="O1128" s="77"/>
      <c r="P1128" s="78"/>
      <c r="Q1128" s="78"/>
      <c r="R1128" s="92"/>
      <c r="S1128" s="92"/>
      <c r="T1128" s="92"/>
      <c r="U1128" s="92"/>
      <c r="V1128" s="52"/>
      <c r="W1128" s="52"/>
      <c r="X1128" s="52"/>
      <c r="Y1128" s="52"/>
      <c r="Z1128" s="51"/>
      <c r="AA1128" s="73"/>
      <c r="AB1128" s="73"/>
      <c r="AC1128" s="74"/>
      <c r="AD1128" s="81" t="s">
        <v>2581</v>
      </c>
      <c r="AE1128" s="86" t="s">
        <v>2142</v>
      </c>
      <c r="AF1128" s="81">
        <v>372</v>
      </c>
      <c r="AG1128" s="81">
        <v>13488</v>
      </c>
      <c r="AH1128" s="81">
        <v>6153</v>
      </c>
      <c r="AI1128" s="81">
        <v>10625</v>
      </c>
      <c r="AJ1128" s="81"/>
      <c r="AK1128" s="81" t="s">
        <v>3409</v>
      </c>
      <c r="AL1128" s="81" t="s">
        <v>3686</v>
      </c>
      <c r="AM1128" s="81"/>
      <c r="AN1128" s="81"/>
      <c r="AO1128" s="83">
        <v>44024.253020833334</v>
      </c>
      <c r="AP1128" s="84" t="str">
        <f>HYPERLINK("https://pbs.twimg.com/profile_banners/1282194002725400576/1608919119")</f>
        <v>https://pbs.twimg.com/profile_banners/1282194002725400576/1608919119</v>
      </c>
      <c r="AQ1128" s="81" t="b">
        <v>1</v>
      </c>
      <c r="AR1128" s="81" t="b">
        <v>0</v>
      </c>
      <c r="AS1128" s="81" t="b">
        <v>0</v>
      </c>
      <c r="AT1128" s="81"/>
      <c r="AU1128" s="81">
        <v>6</v>
      </c>
      <c r="AV1128" s="81"/>
      <c r="AW1128" s="81" t="b">
        <v>0</v>
      </c>
      <c r="AX1128" s="81" t="s">
        <v>3728</v>
      </c>
      <c r="AY1128" s="84" t="str">
        <f>HYPERLINK("https://twitter.com/diaryfirda")</f>
        <v>https://twitter.com/diaryfirda</v>
      </c>
      <c r="AZ1128" s="81" t="s">
        <v>65</v>
      </c>
      <c r="BA1128" s="2"/>
      <c r="BB1128" s="3"/>
      <c r="BC1128" s="3"/>
      <c r="BD1128" s="3"/>
      <c r="BE1128" s="3"/>
    </row>
    <row r="1129" spans="1:57" x14ac:dyDescent="0.35">
      <c r="A1129" s="66" t="s">
        <v>676</v>
      </c>
      <c r="B1129" s="67"/>
      <c r="C1129" s="67"/>
      <c r="D1129" s="68"/>
      <c r="E1129" s="94"/>
      <c r="F1129" s="93" t="str">
        <f>HYPERLINK("https://pbs.twimg.com/profile_images/1440244619422306305/USlpg7R7_normal.jpg")</f>
        <v>https://pbs.twimg.com/profile_images/1440244619422306305/USlpg7R7_normal.jpg</v>
      </c>
      <c r="G1129" s="95"/>
      <c r="H1129" s="71"/>
      <c r="I1129" s="72"/>
      <c r="J1129" s="96"/>
      <c r="K1129" s="71" t="s">
        <v>4071</v>
      </c>
      <c r="L1129" s="97"/>
      <c r="M1129" s="76"/>
      <c r="N1129" s="76"/>
      <c r="O1129" s="77"/>
      <c r="P1129" s="78"/>
      <c r="Q1129" s="78"/>
      <c r="R1129" s="92"/>
      <c r="S1129" s="92"/>
      <c r="T1129" s="92"/>
      <c r="U1129" s="92"/>
      <c r="V1129" s="52"/>
      <c r="W1129" s="52"/>
      <c r="X1129" s="52"/>
      <c r="Y1129" s="52"/>
      <c r="Z1129" s="51"/>
      <c r="AA1129" s="73"/>
      <c r="AB1129" s="73"/>
      <c r="AC1129" s="74"/>
      <c r="AD1129" s="81" t="s">
        <v>2582</v>
      </c>
      <c r="AE1129" s="86" t="s">
        <v>2143</v>
      </c>
      <c r="AF1129" s="81">
        <v>928</v>
      </c>
      <c r="AG1129" s="81">
        <v>546023</v>
      </c>
      <c r="AH1129" s="81">
        <v>48791</v>
      </c>
      <c r="AI1129" s="81">
        <v>13004</v>
      </c>
      <c r="AJ1129" s="81"/>
      <c r="AK1129" s="81" t="s">
        <v>3410</v>
      </c>
      <c r="AL1129" s="81"/>
      <c r="AM1129" s="84" t="str">
        <f>HYPERLINK("https://t.co/Ak0X7aIuQV")</f>
        <v>https://t.co/Ak0X7aIuQV</v>
      </c>
      <c r="AN1129" s="81"/>
      <c r="AO1129" s="83">
        <v>43414.116122685184</v>
      </c>
      <c r="AP1129" s="84" t="str">
        <f>HYPERLINK("https://pbs.twimg.com/profile_banners/1061087853399105538/1573012580")</f>
        <v>https://pbs.twimg.com/profile_banners/1061087853399105538/1573012580</v>
      </c>
      <c r="AQ1129" s="81" t="b">
        <v>1</v>
      </c>
      <c r="AR1129" s="81" t="b">
        <v>0</v>
      </c>
      <c r="AS1129" s="81" t="b">
        <v>1</v>
      </c>
      <c r="AT1129" s="81"/>
      <c r="AU1129" s="81">
        <v>67</v>
      </c>
      <c r="AV1129" s="81"/>
      <c r="AW1129" s="81" t="b">
        <v>0</v>
      </c>
      <c r="AX1129" s="81" t="s">
        <v>3728</v>
      </c>
      <c r="AY1129" s="84" t="str">
        <f>HYPERLINK("https://twitter.com/ayubsr")</f>
        <v>https://twitter.com/ayubsr</v>
      </c>
      <c r="AZ1129" s="81" t="s">
        <v>65</v>
      </c>
      <c r="BA1129" s="2"/>
      <c r="BB1129" s="3"/>
      <c r="BC1129" s="3"/>
      <c r="BD1129" s="3"/>
      <c r="BE1129" s="3"/>
    </row>
    <row r="1130" spans="1:57" x14ac:dyDescent="0.35">
      <c r="A1130" s="66" t="s">
        <v>677</v>
      </c>
      <c r="B1130" s="67"/>
      <c r="C1130" s="67"/>
      <c r="D1130" s="68"/>
      <c r="E1130" s="94"/>
      <c r="F1130" s="93" t="str">
        <f>HYPERLINK("https://pbs.twimg.com/profile_images/1407635760409313280/Wz_HtFUA_normal.jpg")</f>
        <v>https://pbs.twimg.com/profile_images/1407635760409313280/Wz_HtFUA_normal.jpg</v>
      </c>
      <c r="G1130" s="95"/>
      <c r="H1130" s="71"/>
      <c r="I1130" s="72"/>
      <c r="J1130" s="96"/>
      <c r="K1130" s="71" t="s">
        <v>4072</v>
      </c>
      <c r="L1130" s="97"/>
      <c r="M1130" s="76"/>
      <c r="N1130" s="76"/>
      <c r="O1130" s="77"/>
      <c r="P1130" s="78"/>
      <c r="Q1130" s="78"/>
      <c r="R1130" s="92"/>
      <c r="S1130" s="92"/>
      <c r="T1130" s="92"/>
      <c r="U1130" s="92"/>
      <c r="V1130" s="52"/>
      <c r="W1130" s="52"/>
      <c r="X1130" s="52"/>
      <c r="Y1130" s="52"/>
      <c r="Z1130" s="51"/>
      <c r="AA1130" s="73"/>
      <c r="AB1130" s="73"/>
      <c r="AC1130" s="74"/>
      <c r="AD1130" s="81" t="s">
        <v>2583</v>
      </c>
      <c r="AE1130" s="86" t="s">
        <v>2144</v>
      </c>
      <c r="AF1130" s="81">
        <v>4475</v>
      </c>
      <c r="AG1130" s="81">
        <v>6217</v>
      </c>
      <c r="AH1130" s="81">
        <v>24733</v>
      </c>
      <c r="AI1130" s="81">
        <v>5219</v>
      </c>
      <c r="AJ1130" s="81"/>
      <c r="AK1130" s="81" t="s">
        <v>3411</v>
      </c>
      <c r="AL1130" s="81"/>
      <c r="AM1130" s="81"/>
      <c r="AN1130" s="81"/>
      <c r="AO1130" s="83">
        <v>44046.285451388889</v>
      </c>
      <c r="AP1130" s="84" t="str">
        <f>HYPERLINK("https://pbs.twimg.com/profile_banners/1290178278393700357/1621478215")</f>
        <v>https://pbs.twimg.com/profile_banners/1290178278393700357/1621478215</v>
      </c>
      <c r="AQ1130" s="81" t="b">
        <v>1</v>
      </c>
      <c r="AR1130" s="81" t="b">
        <v>0</v>
      </c>
      <c r="AS1130" s="81" t="b">
        <v>0</v>
      </c>
      <c r="AT1130" s="81"/>
      <c r="AU1130" s="81">
        <v>4</v>
      </c>
      <c r="AV1130" s="81"/>
      <c r="AW1130" s="81" t="b">
        <v>0</v>
      </c>
      <c r="AX1130" s="81" t="s">
        <v>3728</v>
      </c>
      <c r="AY1130" s="84" t="str">
        <f>HYPERLINK("https://twitter.com/morethanurbby")</f>
        <v>https://twitter.com/morethanurbby</v>
      </c>
      <c r="AZ1130" s="81" t="s">
        <v>65</v>
      </c>
      <c r="BA1130" s="2"/>
      <c r="BB1130" s="3"/>
      <c r="BC1130" s="3"/>
      <c r="BD1130" s="3"/>
      <c r="BE1130" s="3"/>
    </row>
    <row r="1131" spans="1:57" x14ac:dyDescent="0.35">
      <c r="A1131" s="66" t="s">
        <v>678</v>
      </c>
      <c r="B1131" s="67"/>
      <c r="C1131" s="67"/>
      <c r="D1131" s="68"/>
      <c r="E1131" s="94"/>
      <c r="F1131" s="93" t="str">
        <f>HYPERLINK("https://pbs.twimg.com/profile_images/1441412849922822157/cW549JzC_normal.jpg")</f>
        <v>https://pbs.twimg.com/profile_images/1441412849922822157/cW549JzC_normal.jpg</v>
      </c>
      <c r="G1131" s="95"/>
      <c r="H1131" s="71"/>
      <c r="I1131" s="72"/>
      <c r="J1131" s="96"/>
      <c r="K1131" s="71" t="s">
        <v>4073</v>
      </c>
      <c r="L1131" s="97"/>
      <c r="M1131" s="76"/>
      <c r="N1131" s="76"/>
      <c r="O1131" s="77"/>
      <c r="P1131" s="78"/>
      <c r="Q1131" s="78"/>
      <c r="R1131" s="92"/>
      <c r="S1131" s="92"/>
      <c r="T1131" s="92"/>
      <c r="U1131" s="92"/>
      <c r="V1131" s="52"/>
      <c r="W1131" s="52"/>
      <c r="X1131" s="52"/>
      <c r="Y1131" s="52"/>
      <c r="Z1131" s="51"/>
      <c r="AA1131" s="73"/>
      <c r="AB1131" s="73"/>
      <c r="AC1131" s="74"/>
      <c r="AD1131" s="81" t="s">
        <v>2584</v>
      </c>
      <c r="AE1131" s="86" t="s">
        <v>2993</v>
      </c>
      <c r="AF1131" s="81">
        <v>968</v>
      </c>
      <c r="AG1131" s="81">
        <v>8738</v>
      </c>
      <c r="AH1131" s="81">
        <v>20142</v>
      </c>
      <c r="AI1131" s="81">
        <v>32977</v>
      </c>
      <c r="AJ1131" s="81"/>
      <c r="AK1131" s="81" t="s">
        <v>3412</v>
      </c>
      <c r="AL1131" s="81" t="s">
        <v>3687</v>
      </c>
      <c r="AM1131" s="81"/>
      <c r="AN1131" s="81"/>
      <c r="AO1131" s="83">
        <v>43571.358275462961</v>
      </c>
      <c r="AP1131" s="84" t="str">
        <f>HYPERLINK("https://pbs.twimg.com/profile_banners/1118070502042390529/1611032531")</f>
        <v>https://pbs.twimg.com/profile_banners/1118070502042390529/1611032531</v>
      </c>
      <c r="AQ1131" s="81" t="b">
        <v>1</v>
      </c>
      <c r="AR1131" s="81" t="b">
        <v>0</v>
      </c>
      <c r="AS1131" s="81" t="b">
        <v>1</v>
      </c>
      <c r="AT1131" s="81"/>
      <c r="AU1131" s="81">
        <v>1</v>
      </c>
      <c r="AV1131" s="81"/>
      <c r="AW1131" s="81" t="b">
        <v>0</v>
      </c>
      <c r="AX1131" s="81" t="s">
        <v>3728</v>
      </c>
      <c r="AY1131" s="84" t="str">
        <f>HYPERLINK("https://twitter.com/deviinaja")</f>
        <v>https://twitter.com/deviinaja</v>
      </c>
      <c r="AZ1131" s="81" t="s">
        <v>65</v>
      </c>
      <c r="BA1131" s="2"/>
      <c r="BB1131" s="3"/>
      <c r="BC1131" s="3"/>
      <c r="BD1131" s="3"/>
      <c r="BE1131" s="3"/>
    </row>
    <row r="1132" spans="1:57" x14ac:dyDescent="0.35">
      <c r="A1132" s="66" t="s">
        <v>679</v>
      </c>
      <c r="B1132" s="67"/>
      <c r="C1132" s="67"/>
      <c r="D1132" s="68"/>
      <c r="E1132" s="94"/>
      <c r="F1132" s="93" t="str">
        <f>HYPERLINK("https://pbs.twimg.com/profile_images/1348755708423110656/Pb93Jjan_normal.jpg")</f>
        <v>https://pbs.twimg.com/profile_images/1348755708423110656/Pb93Jjan_normal.jpg</v>
      </c>
      <c r="G1132" s="95"/>
      <c r="H1132" s="71"/>
      <c r="I1132" s="72"/>
      <c r="J1132" s="96"/>
      <c r="K1132" s="71" t="s">
        <v>4074</v>
      </c>
      <c r="L1132" s="97"/>
      <c r="M1132" s="76"/>
      <c r="N1132" s="76"/>
      <c r="O1132" s="77"/>
      <c r="P1132" s="78"/>
      <c r="Q1132" s="78"/>
      <c r="R1132" s="92"/>
      <c r="S1132" s="92"/>
      <c r="T1132" s="92"/>
      <c r="U1132" s="92"/>
      <c r="V1132" s="52"/>
      <c r="W1132" s="52"/>
      <c r="X1132" s="52"/>
      <c r="Y1132" s="52"/>
      <c r="Z1132" s="51"/>
      <c r="AA1132" s="73"/>
      <c r="AB1132" s="73"/>
      <c r="AC1132" s="74"/>
      <c r="AD1132" s="81" t="s">
        <v>2585</v>
      </c>
      <c r="AE1132" s="86" t="s">
        <v>2145</v>
      </c>
      <c r="AF1132" s="81">
        <v>1037</v>
      </c>
      <c r="AG1132" s="81">
        <v>38121</v>
      </c>
      <c r="AH1132" s="81">
        <v>70445</v>
      </c>
      <c r="AI1132" s="81">
        <v>26266</v>
      </c>
      <c r="AJ1132" s="81"/>
      <c r="AK1132" s="81" t="s">
        <v>3413</v>
      </c>
      <c r="AL1132" s="81" t="s">
        <v>3688</v>
      </c>
      <c r="AM1132" s="81"/>
      <c r="AN1132" s="81"/>
      <c r="AO1132" s="83">
        <v>43966.892754629633</v>
      </c>
      <c r="AP1132" s="84" t="str">
        <f>HYPERLINK("https://pbs.twimg.com/profile_banners/1261407231964258304/1600856719")</f>
        <v>https://pbs.twimg.com/profile_banners/1261407231964258304/1600856719</v>
      </c>
      <c r="AQ1132" s="81" t="b">
        <v>1</v>
      </c>
      <c r="AR1132" s="81" t="b">
        <v>0</v>
      </c>
      <c r="AS1132" s="81" t="b">
        <v>0</v>
      </c>
      <c r="AT1132" s="81"/>
      <c r="AU1132" s="81">
        <v>311</v>
      </c>
      <c r="AV1132" s="81"/>
      <c r="AW1132" s="81" t="b">
        <v>0</v>
      </c>
      <c r="AX1132" s="81" t="s">
        <v>3728</v>
      </c>
      <c r="AY1132" s="84" t="str">
        <f>HYPERLINK("https://twitter.com/mutuallandfess")</f>
        <v>https://twitter.com/mutuallandfess</v>
      </c>
      <c r="AZ1132" s="81" t="s">
        <v>65</v>
      </c>
      <c r="BA1132" s="2"/>
      <c r="BB1132" s="3"/>
      <c r="BC1132" s="3"/>
      <c r="BD1132" s="3"/>
      <c r="BE1132" s="3"/>
    </row>
    <row r="1133" spans="1:57" x14ac:dyDescent="0.35">
      <c r="A1133" s="66" t="s">
        <v>680</v>
      </c>
      <c r="B1133" s="67"/>
      <c r="C1133" s="67"/>
      <c r="D1133" s="68"/>
      <c r="E1133" s="94"/>
      <c r="F1133" s="93" t="str">
        <f>HYPERLINK("https://pbs.twimg.com/profile_images/1437215048376614914/-jxhNrXE_normal.jpg")</f>
        <v>https://pbs.twimg.com/profile_images/1437215048376614914/-jxhNrXE_normal.jpg</v>
      </c>
      <c r="G1133" s="95"/>
      <c r="H1133" s="71"/>
      <c r="I1133" s="72"/>
      <c r="J1133" s="96"/>
      <c r="K1133" s="71" t="s">
        <v>4075</v>
      </c>
      <c r="L1133" s="97"/>
      <c r="M1133" s="76"/>
      <c r="N1133" s="76"/>
      <c r="O1133" s="77"/>
      <c r="P1133" s="78"/>
      <c r="Q1133" s="78"/>
      <c r="R1133" s="92"/>
      <c r="S1133" s="92"/>
      <c r="T1133" s="92"/>
      <c r="U1133" s="92"/>
      <c r="V1133" s="52"/>
      <c r="W1133" s="52"/>
      <c r="X1133" s="52"/>
      <c r="Y1133" s="52"/>
      <c r="Z1133" s="51"/>
      <c r="AA1133" s="73"/>
      <c r="AB1133" s="73"/>
      <c r="AC1133" s="74"/>
      <c r="AD1133" s="81" t="s">
        <v>2586</v>
      </c>
      <c r="AE1133" s="86" t="s">
        <v>2146</v>
      </c>
      <c r="AF1133" s="81">
        <v>49</v>
      </c>
      <c r="AG1133" s="81">
        <v>10160</v>
      </c>
      <c r="AH1133" s="81">
        <v>5706</v>
      </c>
      <c r="AI1133" s="81">
        <v>12269</v>
      </c>
      <c r="AJ1133" s="81"/>
      <c r="AK1133" s="81"/>
      <c r="AL1133" s="81" t="s">
        <v>2202</v>
      </c>
      <c r="AM1133" s="81"/>
      <c r="AN1133" s="81"/>
      <c r="AO1133" s="83">
        <v>44069.601168981484</v>
      </c>
      <c r="AP1133" s="84" t="str">
        <f>HYPERLINK("https://pbs.twimg.com/profile_banners/1298627580996640769/1622983839")</f>
        <v>https://pbs.twimg.com/profile_banners/1298627580996640769/1622983839</v>
      </c>
      <c r="AQ1133" s="81" t="b">
        <v>1</v>
      </c>
      <c r="AR1133" s="81" t="b">
        <v>0</v>
      </c>
      <c r="AS1133" s="81" t="b">
        <v>1</v>
      </c>
      <c r="AT1133" s="81"/>
      <c r="AU1133" s="81">
        <v>8</v>
      </c>
      <c r="AV1133" s="81"/>
      <c r="AW1133" s="81" t="b">
        <v>0</v>
      </c>
      <c r="AX1133" s="81" t="s">
        <v>3728</v>
      </c>
      <c r="AY1133" s="84" t="str">
        <f>HYPERLINK("https://twitter.com/billaameliaa")</f>
        <v>https://twitter.com/billaameliaa</v>
      </c>
      <c r="AZ1133" s="81" t="s">
        <v>65</v>
      </c>
      <c r="BA1133" s="2"/>
      <c r="BB1133" s="3"/>
      <c r="BC1133" s="3"/>
      <c r="BD1133" s="3"/>
      <c r="BE1133" s="3"/>
    </row>
    <row r="1134" spans="1:57" x14ac:dyDescent="0.35">
      <c r="A1134" s="66" t="s">
        <v>681</v>
      </c>
      <c r="B1134" s="67"/>
      <c r="C1134" s="67"/>
      <c r="D1134" s="68"/>
      <c r="E1134" s="94"/>
      <c r="F1134" s="93" t="str">
        <f>HYPERLINK("https://pbs.twimg.com/profile_images/1438199041452478465/k_fxRPEU_normal.jpg")</f>
        <v>https://pbs.twimg.com/profile_images/1438199041452478465/k_fxRPEU_normal.jpg</v>
      </c>
      <c r="G1134" s="95"/>
      <c r="H1134" s="71"/>
      <c r="I1134" s="72"/>
      <c r="J1134" s="96"/>
      <c r="K1134" s="71" t="s">
        <v>4076</v>
      </c>
      <c r="L1134" s="97"/>
      <c r="M1134" s="76"/>
      <c r="N1134" s="76"/>
      <c r="O1134" s="77"/>
      <c r="P1134" s="78"/>
      <c r="Q1134" s="78"/>
      <c r="R1134" s="92"/>
      <c r="S1134" s="92"/>
      <c r="T1134" s="92"/>
      <c r="U1134" s="92"/>
      <c r="V1134" s="52"/>
      <c r="W1134" s="52"/>
      <c r="X1134" s="52"/>
      <c r="Y1134" s="52"/>
      <c r="Z1134" s="51"/>
      <c r="AA1134" s="73"/>
      <c r="AB1134" s="73"/>
      <c r="AC1134" s="74"/>
      <c r="AD1134" s="81" t="s">
        <v>2587</v>
      </c>
      <c r="AE1134" s="86" t="s">
        <v>2994</v>
      </c>
      <c r="AF1134" s="81">
        <v>103</v>
      </c>
      <c r="AG1134" s="81">
        <v>677903</v>
      </c>
      <c r="AH1134" s="81">
        <v>7061</v>
      </c>
      <c r="AI1134" s="81">
        <v>11425</v>
      </c>
      <c r="AJ1134" s="81"/>
      <c r="AK1134" s="81" t="s">
        <v>13942</v>
      </c>
      <c r="AL1134" s="81"/>
      <c r="AM1134" s="84" t="str">
        <f>HYPERLINK("https://t.co/DjKLSthn9r")</f>
        <v>https://t.co/DjKLSthn9r</v>
      </c>
      <c r="AN1134" s="81"/>
      <c r="AO1134" s="83">
        <v>42374.818680555552</v>
      </c>
      <c r="AP1134" s="84" t="str">
        <f>HYPERLINK("https://pbs.twimg.com/profile_banners/4717740148/1631689648")</f>
        <v>https://pbs.twimg.com/profile_banners/4717740148/1631689648</v>
      </c>
      <c r="AQ1134" s="81" t="b">
        <v>0</v>
      </c>
      <c r="AR1134" s="81" t="b">
        <v>0</v>
      </c>
      <c r="AS1134" s="81" t="b">
        <v>0</v>
      </c>
      <c r="AT1134" s="81"/>
      <c r="AU1134" s="81">
        <v>182</v>
      </c>
      <c r="AV1134" s="84" t="str">
        <f>HYPERLINK("https://abs.twimg.com/images/themes/theme1/bg.png")</f>
        <v>https://abs.twimg.com/images/themes/theme1/bg.png</v>
      </c>
      <c r="AW1134" s="81" t="b">
        <v>0</v>
      </c>
      <c r="AX1134" s="81" t="s">
        <v>3728</v>
      </c>
      <c r="AY1134" s="84" t="str">
        <f>HYPERLINK("https://twitter.com/kingnftpromoter")</f>
        <v>https://twitter.com/kingnftpromoter</v>
      </c>
      <c r="AZ1134" s="81" t="s">
        <v>65</v>
      </c>
      <c r="BA1134" s="2"/>
      <c r="BB1134" s="3"/>
      <c r="BC1134" s="3"/>
      <c r="BD1134" s="3"/>
      <c r="BE1134" s="3"/>
    </row>
    <row r="1135" spans="1:57" x14ac:dyDescent="0.35">
      <c r="A1135" s="66" t="s">
        <v>682</v>
      </c>
      <c r="B1135" s="67"/>
      <c r="C1135" s="67"/>
      <c r="D1135" s="68"/>
      <c r="E1135" s="94"/>
      <c r="F1135" s="93" t="str">
        <f>HYPERLINK("https://pbs.twimg.com/profile_images/1443087916721324034/S0T7DapC_normal.png")</f>
        <v>https://pbs.twimg.com/profile_images/1443087916721324034/S0T7DapC_normal.png</v>
      </c>
      <c r="G1135" s="95"/>
      <c r="H1135" s="71"/>
      <c r="I1135" s="72"/>
      <c r="J1135" s="96"/>
      <c r="K1135" s="71" t="s">
        <v>4077</v>
      </c>
      <c r="L1135" s="97"/>
      <c r="M1135" s="76"/>
      <c r="N1135" s="76"/>
      <c r="O1135" s="77"/>
      <c r="P1135" s="78"/>
      <c r="Q1135" s="78"/>
      <c r="R1135" s="92"/>
      <c r="S1135" s="92"/>
      <c r="T1135" s="92"/>
      <c r="U1135" s="92"/>
      <c r="V1135" s="52"/>
      <c r="W1135" s="52"/>
      <c r="X1135" s="52"/>
      <c r="Y1135" s="52"/>
      <c r="Z1135" s="51"/>
      <c r="AA1135" s="73"/>
      <c r="AB1135" s="73"/>
      <c r="AC1135" s="74"/>
      <c r="AD1135" s="81" t="s">
        <v>13484</v>
      </c>
      <c r="AE1135" s="86" t="s">
        <v>2995</v>
      </c>
      <c r="AF1135" s="81">
        <v>1486</v>
      </c>
      <c r="AG1135" s="81">
        <v>846</v>
      </c>
      <c r="AH1135" s="81">
        <v>46911</v>
      </c>
      <c r="AI1135" s="81">
        <v>4159</v>
      </c>
      <c r="AJ1135" s="81"/>
      <c r="AK1135" s="81" t="s">
        <v>13943</v>
      </c>
      <c r="AL1135" s="81"/>
      <c r="AM1135" s="84" t="str">
        <f>HYPERLINK("https://t.co/OeNUkmFE5E")</f>
        <v>https://t.co/OeNUkmFE5E</v>
      </c>
      <c r="AN1135" s="81"/>
      <c r="AO1135" s="83">
        <v>41313.476342592592</v>
      </c>
      <c r="AP1135" s="84" t="str">
        <f>HYPERLINK("https://pbs.twimg.com/profile_banners/1159893816/1632806308")</f>
        <v>https://pbs.twimg.com/profile_banners/1159893816/1632806308</v>
      </c>
      <c r="AQ1135" s="81" t="b">
        <v>1</v>
      </c>
      <c r="AR1135" s="81" t="b">
        <v>0</v>
      </c>
      <c r="AS1135" s="81" t="b">
        <v>0</v>
      </c>
      <c r="AT1135" s="81"/>
      <c r="AU1135" s="81">
        <v>1</v>
      </c>
      <c r="AV1135" s="84" t="str">
        <f>HYPERLINK("https://abs.twimg.com/images/themes/theme1/bg.png")</f>
        <v>https://abs.twimg.com/images/themes/theme1/bg.png</v>
      </c>
      <c r="AW1135" s="81" t="b">
        <v>0</v>
      </c>
      <c r="AX1135" s="81" t="s">
        <v>3728</v>
      </c>
      <c r="AY1135" s="84" t="str">
        <f>HYPERLINK("https://twitter.com/noviadmyy")</f>
        <v>https://twitter.com/noviadmyy</v>
      </c>
      <c r="AZ1135" s="81" t="s">
        <v>65</v>
      </c>
      <c r="BA1135" s="2"/>
      <c r="BB1135" s="3"/>
      <c r="BC1135" s="3"/>
      <c r="BD1135" s="3"/>
      <c r="BE1135" s="3"/>
    </row>
    <row r="1136" spans="1:57" x14ac:dyDescent="0.35">
      <c r="A1136" s="66" t="s">
        <v>683</v>
      </c>
      <c r="B1136" s="67"/>
      <c r="C1136" s="67"/>
      <c r="D1136" s="68"/>
      <c r="E1136" s="94"/>
      <c r="F1136" s="93" t="str">
        <f>HYPERLINK("https://pbs.twimg.com/profile_images/1426843091785248770/5546H6M2_normal.jpg")</f>
        <v>https://pbs.twimg.com/profile_images/1426843091785248770/5546H6M2_normal.jpg</v>
      </c>
      <c r="G1136" s="95"/>
      <c r="H1136" s="71"/>
      <c r="I1136" s="72"/>
      <c r="J1136" s="96"/>
      <c r="K1136" s="71" t="s">
        <v>4078</v>
      </c>
      <c r="L1136" s="97"/>
      <c r="M1136" s="76"/>
      <c r="N1136" s="76"/>
      <c r="O1136" s="77"/>
      <c r="P1136" s="78"/>
      <c r="Q1136" s="78"/>
      <c r="R1136" s="92"/>
      <c r="S1136" s="92"/>
      <c r="T1136" s="92"/>
      <c r="U1136" s="92"/>
      <c r="V1136" s="52"/>
      <c r="W1136" s="52"/>
      <c r="X1136" s="52"/>
      <c r="Y1136" s="52"/>
      <c r="Z1136" s="51"/>
      <c r="AA1136" s="73"/>
      <c r="AB1136" s="73"/>
      <c r="AC1136" s="74"/>
      <c r="AD1136" s="81" t="s">
        <v>2588</v>
      </c>
      <c r="AE1136" s="86" t="s">
        <v>2147</v>
      </c>
      <c r="AF1136" s="81">
        <v>871</v>
      </c>
      <c r="AG1136" s="81">
        <v>222517</v>
      </c>
      <c r="AH1136" s="81">
        <v>18121</v>
      </c>
      <c r="AI1136" s="81">
        <v>15993</v>
      </c>
      <c r="AJ1136" s="81"/>
      <c r="AK1136" s="81" t="s">
        <v>3414</v>
      </c>
      <c r="AL1136" s="81"/>
      <c r="AM1136" s="84" t="str">
        <f>HYPERLINK("https://t.co/93eccdgkxf")</f>
        <v>https://t.co/93eccdgkxf</v>
      </c>
      <c r="AN1136" s="81"/>
      <c r="AO1136" s="83">
        <v>44169.796909722223</v>
      </c>
      <c r="AP1136" s="84" t="str">
        <f>HYPERLINK("https://pbs.twimg.com/profile_banners/1334937336690327552/1629080666")</f>
        <v>https://pbs.twimg.com/profile_banners/1334937336690327552/1629080666</v>
      </c>
      <c r="AQ1136" s="81" t="b">
        <v>1</v>
      </c>
      <c r="AR1136" s="81" t="b">
        <v>0</v>
      </c>
      <c r="AS1136" s="81" t="b">
        <v>0</v>
      </c>
      <c r="AT1136" s="81"/>
      <c r="AU1136" s="81">
        <v>1346</v>
      </c>
      <c r="AV1136" s="81"/>
      <c r="AW1136" s="81" t="b">
        <v>0</v>
      </c>
      <c r="AX1136" s="81" t="s">
        <v>3728</v>
      </c>
      <c r="AY1136" s="84" t="str">
        <f>HYPERLINK("https://twitter.com/chitaglorya")</f>
        <v>https://twitter.com/chitaglorya</v>
      </c>
      <c r="AZ1136" s="81" t="s">
        <v>65</v>
      </c>
      <c r="BA1136" s="2"/>
      <c r="BB1136" s="3"/>
      <c r="BC1136" s="3"/>
      <c r="BD1136" s="3"/>
      <c r="BE1136" s="3"/>
    </row>
    <row r="1137" spans="1:57" x14ac:dyDescent="0.35">
      <c r="A1137" s="66" t="s">
        <v>684</v>
      </c>
      <c r="B1137" s="67"/>
      <c r="C1137" s="67"/>
      <c r="D1137" s="68"/>
      <c r="E1137" s="94"/>
      <c r="F1137" s="93" t="str">
        <f>HYPERLINK("https://pbs.twimg.com/profile_images/1442994135720345611/VUH_AyJ1_normal.jpg")</f>
        <v>https://pbs.twimg.com/profile_images/1442994135720345611/VUH_AyJ1_normal.jpg</v>
      </c>
      <c r="G1137" s="95"/>
      <c r="H1137" s="71"/>
      <c r="I1137" s="72"/>
      <c r="J1137" s="96"/>
      <c r="K1137" s="71" t="s">
        <v>4079</v>
      </c>
      <c r="L1137" s="97"/>
      <c r="M1137" s="76"/>
      <c r="N1137" s="76"/>
      <c r="O1137" s="77"/>
      <c r="P1137" s="78"/>
      <c r="Q1137" s="78"/>
      <c r="R1137" s="92"/>
      <c r="S1137" s="92"/>
      <c r="T1137" s="92"/>
      <c r="U1137" s="92"/>
      <c r="V1137" s="52"/>
      <c r="W1137" s="52"/>
      <c r="X1137" s="52"/>
      <c r="Y1137" s="52"/>
      <c r="Z1137" s="51"/>
      <c r="AA1137" s="73"/>
      <c r="AB1137" s="73"/>
      <c r="AC1137" s="74"/>
      <c r="AD1137" s="81" t="s">
        <v>13485</v>
      </c>
      <c r="AE1137" s="86" t="s">
        <v>2148</v>
      </c>
      <c r="AF1137" s="81">
        <v>1493</v>
      </c>
      <c r="AG1137" s="81">
        <v>9019</v>
      </c>
      <c r="AH1137" s="81">
        <v>18866</v>
      </c>
      <c r="AI1137" s="81">
        <v>15201</v>
      </c>
      <c r="AJ1137" s="81"/>
      <c r="AK1137" s="81"/>
      <c r="AL1137" s="81" t="s">
        <v>3689</v>
      </c>
      <c r="AM1137" s="81"/>
      <c r="AN1137" s="81"/>
      <c r="AO1137" s="83">
        <v>41687.513692129629</v>
      </c>
      <c r="AP1137" s="84" t="str">
        <f>HYPERLINK("https://pbs.twimg.com/profile_banners/2348394144/1632888652")</f>
        <v>https://pbs.twimg.com/profile_banners/2348394144/1632888652</v>
      </c>
      <c r="AQ1137" s="81" t="b">
        <v>1</v>
      </c>
      <c r="AR1137" s="81" t="b">
        <v>0</v>
      </c>
      <c r="AS1137" s="81" t="b">
        <v>1</v>
      </c>
      <c r="AT1137" s="81"/>
      <c r="AU1137" s="81">
        <v>8</v>
      </c>
      <c r="AV1137" s="84" t="str">
        <f>HYPERLINK("https://abs.twimg.com/images/themes/theme1/bg.png")</f>
        <v>https://abs.twimg.com/images/themes/theme1/bg.png</v>
      </c>
      <c r="AW1137" s="81" t="b">
        <v>0</v>
      </c>
      <c r="AX1137" s="81" t="s">
        <v>3728</v>
      </c>
      <c r="AY1137" s="84" t="str">
        <f>HYPERLINK("https://twitter.com/jbartspace_nft")</f>
        <v>https://twitter.com/jbartspace_nft</v>
      </c>
      <c r="AZ1137" s="81" t="s">
        <v>65</v>
      </c>
      <c r="BA1137" s="2"/>
      <c r="BB1137" s="3"/>
      <c r="BC1137" s="3"/>
      <c r="BD1137" s="3"/>
      <c r="BE1137" s="3"/>
    </row>
    <row r="1138" spans="1:57" x14ac:dyDescent="0.35">
      <c r="A1138" s="66" t="s">
        <v>685</v>
      </c>
      <c r="B1138" s="67"/>
      <c r="C1138" s="67"/>
      <c r="D1138" s="68"/>
      <c r="E1138" s="94"/>
      <c r="F1138" s="93" t="str">
        <f>HYPERLINK("https://pbs.twimg.com/profile_images/1435070927151140868/tkyQK-sw_normal.jpg")</f>
        <v>https://pbs.twimg.com/profile_images/1435070927151140868/tkyQK-sw_normal.jpg</v>
      </c>
      <c r="G1138" s="95"/>
      <c r="H1138" s="71"/>
      <c r="I1138" s="72"/>
      <c r="J1138" s="96"/>
      <c r="K1138" s="71" t="s">
        <v>4080</v>
      </c>
      <c r="L1138" s="97"/>
      <c r="M1138" s="76"/>
      <c r="N1138" s="76"/>
      <c r="O1138" s="77"/>
      <c r="P1138" s="78"/>
      <c r="Q1138" s="78"/>
      <c r="R1138" s="92"/>
      <c r="S1138" s="92"/>
      <c r="T1138" s="92"/>
      <c r="U1138" s="92"/>
      <c r="V1138" s="52"/>
      <c r="W1138" s="52"/>
      <c r="X1138" s="52"/>
      <c r="Y1138" s="52"/>
      <c r="Z1138" s="51"/>
      <c r="AA1138" s="73"/>
      <c r="AB1138" s="73"/>
      <c r="AC1138" s="74"/>
      <c r="AD1138" s="81" t="s">
        <v>2589</v>
      </c>
      <c r="AE1138" s="86" t="s">
        <v>2149</v>
      </c>
      <c r="AF1138" s="81">
        <v>1506</v>
      </c>
      <c r="AG1138" s="81">
        <v>51652</v>
      </c>
      <c r="AH1138" s="81">
        <v>53681</v>
      </c>
      <c r="AI1138" s="81">
        <v>30766</v>
      </c>
      <c r="AJ1138" s="81"/>
      <c r="AK1138" s="81" t="s">
        <v>3415</v>
      </c>
      <c r="AL1138" s="81" t="s">
        <v>3690</v>
      </c>
      <c r="AM1138" s="84" t="str">
        <f>HYPERLINK("https://t.co/TdILU4hQlk")</f>
        <v>https://t.co/TdILU4hQlk</v>
      </c>
      <c r="AN1138" s="81"/>
      <c r="AO1138" s="83">
        <v>41270.251539351855</v>
      </c>
      <c r="AP1138" s="84" t="str">
        <f>HYPERLINK("https://pbs.twimg.com/profile_banners/1038942409/1592837546")</f>
        <v>https://pbs.twimg.com/profile_banners/1038942409/1592837546</v>
      </c>
      <c r="AQ1138" s="81" t="b">
        <v>0</v>
      </c>
      <c r="AR1138" s="81" t="b">
        <v>0</v>
      </c>
      <c r="AS1138" s="81" t="b">
        <v>1</v>
      </c>
      <c r="AT1138" s="81"/>
      <c r="AU1138" s="81">
        <v>3</v>
      </c>
      <c r="AV1138" s="84" t="str">
        <f>HYPERLINK("https://abs.twimg.com/images/themes/theme11/bg.gif")</f>
        <v>https://abs.twimg.com/images/themes/theme11/bg.gif</v>
      </c>
      <c r="AW1138" s="81" t="b">
        <v>0</v>
      </c>
      <c r="AX1138" s="81" t="s">
        <v>3728</v>
      </c>
      <c r="AY1138" s="84" t="str">
        <f>HYPERLINK("https://twitter.com/rindubeneran")</f>
        <v>https://twitter.com/rindubeneran</v>
      </c>
      <c r="AZ1138" s="81" t="s">
        <v>65</v>
      </c>
      <c r="BA1138" s="2"/>
      <c r="BB1138" s="3"/>
      <c r="BC1138" s="3"/>
      <c r="BD1138" s="3"/>
      <c r="BE1138" s="3"/>
    </row>
    <row r="1139" spans="1:57" x14ac:dyDescent="0.35">
      <c r="A1139" s="66" t="s">
        <v>4763</v>
      </c>
      <c r="B1139" s="67"/>
      <c r="C1139" s="67"/>
      <c r="D1139" s="68"/>
      <c r="E1139" s="94"/>
      <c r="F1139" s="93" t="str">
        <f>HYPERLINK("https://pbs.twimg.com/profile_images/1398447281171484675/W2Z6UH8N_normal.jpg")</f>
        <v>https://pbs.twimg.com/profile_images/1398447281171484675/W2Z6UH8N_normal.jpg</v>
      </c>
      <c r="G1139" s="95"/>
      <c r="H1139" s="71"/>
      <c r="I1139" s="72"/>
      <c r="J1139" s="96"/>
      <c r="K1139" s="71" t="s">
        <v>12167</v>
      </c>
      <c r="L1139" s="97"/>
      <c r="M1139" s="76"/>
      <c r="N1139" s="76"/>
      <c r="O1139" s="77"/>
      <c r="P1139" s="78"/>
      <c r="Q1139" s="78"/>
      <c r="R1139" s="92"/>
      <c r="S1139" s="92"/>
      <c r="T1139" s="92"/>
      <c r="U1139" s="92"/>
      <c r="V1139" s="52"/>
      <c r="W1139" s="52"/>
      <c r="X1139" s="52"/>
      <c r="Y1139" s="52"/>
      <c r="Z1139" s="51"/>
      <c r="AA1139" s="73"/>
      <c r="AB1139" s="73"/>
      <c r="AC1139" s="74"/>
      <c r="AD1139" s="81" t="s">
        <v>8789</v>
      </c>
      <c r="AE1139" s="86" t="s">
        <v>9771</v>
      </c>
      <c r="AF1139" s="81">
        <v>1454</v>
      </c>
      <c r="AG1139" s="81">
        <v>577</v>
      </c>
      <c r="AH1139" s="81">
        <v>4339</v>
      </c>
      <c r="AI1139" s="81">
        <v>27065</v>
      </c>
      <c r="AJ1139" s="81"/>
      <c r="AK1139" s="81"/>
      <c r="AL1139" s="81" t="s">
        <v>10985</v>
      </c>
      <c r="AM1139" s="81"/>
      <c r="AN1139" s="81"/>
      <c r="AO1139" s="83">
        <v>43792.443912037037</v>
      </c>
      <c r="AP1139" s="81"/>
      <c r="AQ1139" s="81" t="b">
        <v>1</v>
      </c>
      <c r="AR1139" s="81" t="b">
        <v>0</v>
      </c>
      <c r="AS1139" s="81" t="b">
        <v>0</v>
      </c>
      <c r="AT1139" s="81"/>
      <c r="AU1139" s="81">
        <v>0</v>
      </c>
      <c r="AV1139" s="81"/>
      <c r="AW1139" s="81" t="b">
        <v>0</v>
      </c>
      <c r="AX1139" s="81" t="s">
        <v>3728</v>
      </c>
      <c r="AY1139" s="84" t="str">
        <f>HYPERLINK("https://twitter.com/ricardo00805054")</f>
        <v>https://twitter.com/ricardo00805054</v>
      </c>
      <c r="AZ1139" s="81" t="s">
        <v>66</v>
      </c>
      <c r="BA1139" s="2"/>
      <c r="BB1139" s="3"/>
      <c r="BC1139" s="3"/>
      <c r="BD1139" s="3"/>
      <c r="BE1139" s="3"/>
    </row>
    <row r="1140" spans="1:57" x14ac:dyDescent="0.35">
      <c r="A1140" s="66" t="s">
        <v>4829</v>
      </c>
      <c r="B1140" s="67"/>
      <c r="C1140" s="67"/>
      <c r="D1140" s="68"/>
      <c r="E1140" s="94"/>
      <c r="F1140" s="93" t="str">
        <f>HYPERLINK("https://pbs.twimg.com/profile_images/1426869750009901057/6iIVkjuU_normal.jpg")</f>
        <v>https://pbs.twimg.com/profile_images/1426869750009901057/6iIVkjuU_normal.jpg</v>
      </c>
      <c r="G1140" s="95"/>
      <c r="H1140" s="71"/>
      <c r="I1140" s="72"/>
      <c r="J1140" s="96"/>
      <c r="K1140" s="71" t="s">
        <v>12168</v>
      </c>
      <c r="L1140" s="97"/>
      <c r="M1140" s="76"/>
      <c r="N1140" s="76"/>
      <c r="O1140" s="77"/>
      <c r="P1140" s="78"/>
      <c r="Q1140" s="78"/>
      <c r="R1140" s="92"/>
      <c r="S1140" s="92"/>
      <c r="T1140" s="92"/>
      <c r="U1140" s="92"/>
      <c r="V1140" s="52"/>
      <c r="W1140" s="52"/>
      <c r="X1140" s="52"/>
      <c r="Y1140" s="52"/>
      <c r="Z1140" s="51"/>
      <c r="AA1140" s="73"/>
      <c r="AB1140" s="73"/>
      <c r="AC1140" s="74"/>
      <c r="AD1140" s="81" t="s">
        <v>8790</v>
      </c>
      <c r="AE1140" s="86" t="s">
        <v>9772</v>
      </c>
      <c r="AF1140" s="81">
        <v>416</v>
      </c>
      <c r="AG1140" s="81">
        <v>376</v>
      </c>
      <c r="AH1140" s="81">
        <v>3936</v>
      </c>
      <c r="AI1140" s="81">
        <v>11859</v>
      </c>
      <c r="AJ1140" s="81"/>
      <c r="AK1140" s="81" t="s">
        <v>10692</v>
      </c>
      <c r="AL1140" s="81" t="s">
        <v>11268</v>
      </c>
      <c r="AM1140" s="81"/>
      <c r="AN1140" s="81"/>
      <c r="AO1140" s="83">
        <v>43563.573738425926</v>
      </c>
      <c r="AP1140" s="84" t="str">
        <f>HYPERLINK("https://pbs.twimg.com/profile_banners/1115249481602215937/1629027234")</f>
        <v>https://pbs.twimg.com/profile_banners/1115249481602215937/1629027234</v>
      </c>
      <c r="AQ1140" s="81" t="b">
        <v>1</v>
      </c>
      <c r="AR1140" s="81" t="b">
        <v>0</v>
      </c>
      <c r="AS1140" s="81" t="b">
        <v>0</v>
      </c>
      <c r="AT1140" s="81"/>
      <c r="AU1140" s="81">
        <v>0</v>
      </c>
      <c r="AV1140" s="81"/>
      <c r="AW1140" s="81" t="b">
        <v>0</v>
      </c>
      <c r="AX1140" s="81" t="s">
        <v>3728</v>
      </c>
      <c r="AY1140" s="84" t="str">
        <f>HYPERLINK("https://twitter.com/wallace11268754")</f>
        <v>https://twitter.com/wallace11268754</v>
      </c>
      <c r="AZ1140" s="81" t="s">
        <v>66</v>
      </c>
      <c r="BA1140" s="2"/>
      <c r="BB1140" s="3"/>
      <c r="BC1140" s="3"/>
      <c r="BD1140" s="3"/>
      <c r="BE1140" s="3"/>
    </row>
    <row r="1141" spans="1:57" x14ac:dyDescent="0.35">
      <c r="A1141" s="66" t="s">
        <v>4764</v>
      </c>
      <c r="B1141" s="67"/>
      <c r="C1141" s="67"/>
      <c r="D1141" s="68"/>
      <c r="E1141" s="94"/>
      <c r="F1141" s="93" t="str">
        <f>HYPERLINK("https://pbs.twimg.com/profile_images/1376937027099373571/GEVTNTlE_normal.jpg")</f>
        <v>https://pbs.twimg.com/profile_images/1376937027099373571/GEVTNTlE_normal.jpg</v>
      </c>
      <c r="G1141" s="95"/>
      <c r="H1141" s="71"/>
      <c r="I1141" s="72"/>
      <c r="J1141" s="96"/>
      <c r="K1141" s="71" t="s">
        <v>12169</v>
      </c>
      <c r="L1141" s="97"/>
      <c r="M1141" s="76"/>
      <c r="N1141" s="76"/>
      <c r="O1141" s="77"/>
      <c r="P1141" s="78"/>
      <c r="Q1141" s="78"/>
      <c r="R1141" s="92"/>
      <c r="S1141" s="92"/>
      <c r="T1141" s="92"/>
      <c r="U1141" s="92"/>
      <c r="V1141" s="52"/>
      <c r="W1141" s="52"/>
      <c r="X1141" s="52"/>
      <c r="Y1141" s="52"/>
      <c r="Z1141" s="51"/>
      <c r="AA1141" s="73"/>
      <c r="AB1141" s="73"/>
      <c r="AC1141" s="74"/>
      <c r="AD1141" s="81" t="s">
        <v>8791</v>
      </c>
      <c r="AE1141" s="86" t="s">
        <v>9773</v>
      </c>
      <c r="AF1141" s="81">
        <v>1145</v>
      </c>
      <c r="AG1141" s="81">
        <v>892</v>
      </c>
      <c r="AH1141" s="81">
        <v>77000</v>
      </c>
      <c r="AI1141" s="81">
        <v>95738</v>
      </c>
      <c r="AJ1141" s="81"/>
      <c r="AK1141" s="81" t="s">
        <v>10693</v>
      </c>
      <c r="AL1141" s="81"/>
      <c r="AM1141" s="81"/>
      <c r="AN1141" s="81"/>
      <c r="AO1141" s="83">
        <v>44285.691678240742</v>
      </c>
      <c r="AP1141" s="81"/>
      <c r="AQ1141" s="81" t="b">
        <v>1</v>
      </c>
      <c r="AR1141" s="81" t="b">
        <v>0</v>
      </c>
      <c r="AS1141" s="81" t="b">
        <v>1</v>
      </c>
      <c r="AT1141" s="81"/>
      <c r="AU1141" s="81">
        <v>0</v>
      </c>
      <c r="AV1141" s="81"/>
      <c r="AW1141" s="81" t="b">
        <v>0</v>
      </c>
      <c r="AX1141" s="81" t="s">
        <v>3728</v>
      </c>
      <c r="AY1141" s="84" t="str">
        <f>HYPERLINK("https://twitter.com/miranimota")</f>
        <v>https://twitter.com/miranimota</v>
      </c>
      <c r="AZ1141" s="81" t="s">
        <v>66</v>
      </c>
      <c r="BA1141" s="2"/>
      <c r="BB1141" s="3"/>
      <c r="BC1141" s="3"/>
      <c r="BD1141" s="3"/>
      <c r="BE1141" s="3"/>
    </row>
    <row r="1142" spans="1:57" x14ac:dyDescent="0.35">
      <c r="A1142" s="66" t="s">
        <v>4765</v>
      </c>
      <c r="B1142" s="67"/>
      <c r="C1142" s="67"/>
      <c r="D1142" s="68"/>
      <c r="E1142" s="94"/>
      <c r="F1142" s="93" t="str">
        <f>HYPERLINK("https://pbs.twimg.com/profile_images/1438359878494527491/Hkb1GCOX_normal.jpg")</f>
        <v>https://pbs.twimg.com/profile_images/1438359878494527491/Hkb1GCOX_normal.jpg</v>
      </c>
      <c r="G1142" s="95"/>
      <c r="H1142" s="71"/>
      <c r="I1142" s="72"/>
      <c r="J1142" s="96"/>
      <c r="K1142" s="71" t="s">
        <v>12170</v>
      </c>
      <c r="L1142" s="97"/>
      <c r="M1142" s="76"/>
      <c r="N1142" s="76"/>
      <c r="O1142" s="77"/>
      <c r="P1142" s="78"/>
      <c r="Q1142" s="78"/>
      <c r="R1142" s="92"/>
      <c r="S1142" s="92"/>
      <c r="T1142" s="92"/>
      <c r="U1142" s="92"/>
      <c r="V1142" s="52"/>
      <c r="W1142" s="52"/>
      <c r="X1142" s="52"/>
      <c r="Y1142" s="52"/>
      <c r="Z1142" s="51"/>
      <c r="AA1142" s="73"/>
      <c r="AB1142" s="73"/>
      <c r="AC1142" s="74"/>
      <c r="AD1142" s="81" t="s">
        <v>8792</v>
      </c>
      <c r="AE1142" s="86" t="s">
        <v>9774</v>
      </c>
      <c r="AF1142" s="81">
        <v>2663</v>
      </c>
      <c r="AG1142" s="81">
        <v>756</v>
      </c>
      <c r="AH1142" s="81">
        <v>91088</v>
      </c>
      <c r="AI1142" s="81">
        <v>133512</v>
      </c>
      <c r="AJ1142" s="81"/>
      <c r="AK1142" s="81" t="s">
        <v>10694</v>
      </c>
      <c r="AL1142" s="81"/>
      <c r="AM1142" s="81"/>
      <c r="AN1142" s="81"/>
      <c r="AO1142" s="83">
        <v>39429.760763888888</v>
      </c>
      <c r="AP1142" s="84" t="str">
        <f>HYPERLINK("https://pbs.twimg.com/profile_banners/11136302/1631766694")</f>
        <v>https://pbs.twimg.com/profile_banners/11136302/1631766694</v>
      </c>
      <c r="AQ1142" s="81" t="b">
        <v>0</v>
      </c>
      <c r="AR1142" s="81" t="b">
        <v>0</v>
      </c>
      <c r="AS1142" s="81" t="b">
        <v>0</v>
      </c>
      <c r="AT1142" s="81"/>
      <c r="AU1142" s="81">
        <v>3</v>
      </c>
      <c r="AV1142" s="84" t="str">
        <f>HYPERLINK("https://abs.twimg.com/images/themes/theme7/bg.gif")</f>
        <v>https://abs.twimg.com/images/themes/theme7/bg.gif</v>
      </c>
      <c r="AW1142" s="81" t="b">
        <v>0</v>
      </c>
      <c r="AX1142" s="81" t="s">
        <v>3728</v>
      </c>
      <c r="AY1142" s="84" t="str">
        <f>HYPERLINK("https://twitter.com/jessilva")</f>
        <v>https://twitter.com/jessilva</v>
      </c>
      <c r="AZ1142" s="81" t="s">
        <v>66</v>
      </c>
      <c r="BA1142" s="2"/>
      <c r="BB1142" s="3"/>
      <c r="BC1142" s="3"/>
      <c r="BD1142" s="3"/>
      <c r="BE1142" s="3"/>
    </row>
    <row r="1143" spans="1:57" x14ac:dyDescent="0.35">
      <c r="A1143" s="66" t="s">
        <v>4766</v>
      </c>
      <c r="B1143" s="67"/>
      <c r="C1143" s="67"/>
      <c r="D1143" s="68"/>
      <c r="E1143" s="94"/>
      <c r="F1143" s="93" t="str">
        <f>HYPERLINK("https://pbs.twimg.com/profile_images/1335761711970865153/7gf-xVNg_normal.jpg")</f>
        <v>https://pbs.twimg.com/profile_images/1335761711970865153/7gf-xVNg_normal.jpg</v>
      </c>
      <c r="G1143" s="95"/>
      <c r="H1143" s="71"/>
      <c r="I1143" s="72"/>
      <c r="J1143" s="96"/>
      <c r="K1143" s="71" t="s">
        <v>12171</v>
      </c>
      <c r="L1143" s="97"/>
      <c r="M1143" s="76"/>
      <c r="N1143" s="76"/>
      <c r="O1143" s="77"/>
      <c r="P1143" s="78"/>
      <c r="Q1143" s="78"/>
      <c r="R1143" s="92"/>
      <c r="S1143" s="92"/>
      <c r="T1143" s="92"/>
      <c r="U1143" s="92"/>
      <c r="V1143" s="52"/>
      <c r="W1143" s="52"/>
      <c r="X1143" s="52"/>
      <c r="Y1143" s="52"/>
      <c r="Z1143" s="51"/>
      <c r="AA1143" s="73"/>
      <c r="AB1143" s="73"/>
      <c r="AC1143" s="74"/>
      <c r="AD1143" s="81" t="s">
        <v>8793</v>
      </c>
      <c r="AE1143" s="86" t="s">
        <v>9775</v>
      </c>
      <c r="AF1143" s="81">
        <v>273</v>
      </c>
      <c r="AG1143" s="81">
        <v>237</v>
      </c>
      <c r="AH1143" s="81">
        <v>15820</v>
      </c>
      <c r="AI1143" s="81">
        <v>1253</v>
      </c>
      <c r="AJ1143" s="81"/>
      <c r="AK1143" s="81"/>
      <c r="AL1143" s="81"/>
      <c r="AM1143" s="81"/>
      <c r="AN1143" s="81"/>
      <c r="AO1143" s="83">
        <v>43909.007037037038</v>
      </c>
      <c r="AP1143" s="81"/>
      <c r="AQ1143" s="81" t="b">
        <v>1</v>
      </c>
      <c r="AR1143" s="81" t="b">
        <v>0</v>
      </c>
      <c r="AS1143" s="81" t="b">
        <v>0</v>
      </c>
      <c r="AT1143" s="81"/>
      <c r="AU1143" s="81">
        <v>0</v>
      </c>
      <c r="AV1143" s="81"/>
      <c r="AW1143" s="81" t="b">
        <v>0</v>
      </c>
      <c r="AX1143" s="81" t="s">
        <v>3728</v>
      </c>
      <c r="AY1143" s="84" t="str">
        <f>HYPERLINK("https://twitter.com/amamolli")</f>
        <v>https://twitter.com/amamolli</v>
      </c>
      <c r="AZ1143" s="81" t="s">
        <v>66</v>
      </c>
      <c r="BA1143" s="2"/>
      <c r="BB1143" s="3"/>
      <c r="BC1143" s="3"/>
      <c r="BD1143" s="3"/>
      <c r="BE1143" s="3"/>
    </row>
    <row r="1144" spans="1:57" x14ac:dyDescent="0.35">
      <c r="A1144" s="66" t="s">
        <v>505</v>
      </c>
      <c r="B1144" s="67"/>
      <c r="C1144" s="67"/>
      <c r="D1144" s="68"/>
      <c r="E1144" s="94"/>
      <c r="F1144" s="93" t="str">
        <f>HYPERLINK("https://pbs.twimg.com/profile_images/1403596950310690819/APV6OKNE_normal.jpg")</f>
        <v>https://pbs.twimg.com/profile_images/1403596950310690819/APV6OKNE_normal.jpg</v>
      </c>
      <c r="G1144" s="95"/>
      <c r="H1144" s="71"/>
      <c r="I1144" s="72"/>
      <c r="J1144" s="96"/>
      <c r="K1144" s="71" t="s">
        <v>4081</v>
      </c>
      <c r="L1144" s="97"/>
      <c r="M1144" s="76"/>
      <c r="N1144" s="76"/>
      <c r="O1144" s="77"/>
      <c r="P1144" s="78"/>
      <c r="Q1144" s="78"/>
      <c r="R1144" s="92"/>
      <c r="S1144" s="92"/>
      <c r="T1144" s="92"/>
      <c r="U1144" s="92"/>
      <c r="V1144" s="52"/>
      <c r="W1144" s="52"/>
      <c r="X1144" s="52"/>
      <c r="Y1144" s="52"/>
      <c r="Z1144" s="51"/>
      <c r="AA1144" s="73"/>
      <c r="AB1144" s="73"/>
      <c r="AC1144" s="74"/>
      <c r="AD1144" s="81" t="s">
        <v>2590</v>
      </c>
      <c r="AE1144" s="86" t="s">
        <v>2996</v>
      </c>
      <c r="AF1144" s="81">
        <v>39</v>
      </c>
      <c r="AG1144" s="81">
        <v>0</v>
      </c>
      <c r="AH1144" s="81">
        <v>77</v>
      </c>
      <c r="AI1144" s="81">
        <v>55</v>
      </c>
      <c r="AJ1144" s="81"/>
      <c r="AK1144" s="81" t="s">
        <v>3416</v>
      </c>
      <c r="AL1144" s="81"/>
      <c r="AM1144" s="84" t="str">
        <f>HYPERLINK("https://t.co/sf9aGNxv5y")</f>
        <v>https://t.co/sf9aGNxv5y</v>
      </c>
      <c r="AN1144" s="81"/>
      <c r="AO1144" s="83">
        <v>44359.251967592594</v>
      </c>
      <c r="AP1144" s="84" t="str">
        <f>HYPERLINK("https://pbs.twimg.com/profile_banners/1403593491385487362/1623478271")</f>
        <v>https://pbs.twimg.com/profile_banners/1403593491385487362/1623478271</v>
      </c>
      <c r="AQ1144" s="81" t="b">
        <v>1</v>
      </c>
      <c r="AR1144" s="81" t="b">
        <v>0</v>
      </c>
      <c r="AS1144" s="81" t="b">
        <v>0</v>
      </c>
      <c r="AT1144" s="81"/>
      <c r="AU1144" s="81">
        <v>0</v>
      </c>
      <c r="AV1144" s="81"/>
      <c r="AW1144" s="81" t="b">
        <v>0</v>
      </c>
      <c r="AX1144" s="81" t="s">
        <v>3728</v>
      </c>
      <c r="AY1144" s="84" t="str">
        <f>HYPERLINK("https://twitter.com/lib1_alfawy")</f>
        <v>https://twitter.com/lib1_alfawy</v>
      </c>
      <c r="AZ1144" s="81" t="s">
        <v>66</v>
      </c>
      <c r="BA1144" s="2"/>
      <c r="BB1144" s="3"/>
      <c r="BC1144" s="3"/>
      <c r="BD1144" s="3"/>
      <c r="BE1144" s="3"/>
    </row>
    <row r="1145" spans="1:57" x14ac:dyDescent="0.35">
      <c r="A1145" s="66" t="s">
        <v>4767</v>
      </c>
      <c r="B1145" s="67"/>
      <c r="C1145" s="67"/>
      <c r="D1145" s="68"/>
      <c r="E1145" s="94"/>
      <c r="F1145" s="93" t="str">
        <f>HYPERLINK("https://pbs.twimg.com/profile_images/1079558613914578944/3PWsyFlI_normal.jpg")</f>
        <v>https://pbs.twimg.com/profile_images/1079558613914578944/3PWsyFlI_normal.jpg</v>
      </c>
      <c r="G1145" s="95"/>
      <c r="H1145" s="71"/>
      <c r="I1145" s="72"/>
      <c r="J1145" s="96"/>
      <c r="K1145" s="71" t="s">
        <v>12172</v>
      </c>
      <c r="L1145" s="97"/>
      <c r="M1145" s="76"/>
      <c r="N1145" s="76"/>
      <c r="O1145" s="77"/>
      <c r="P1145" s="78"/>
      <c r="Q1145" s="78"/>
      <c r="R1145" s="92"/>
      <c r="S1145" s="92"/>
      <c r="T1145" s="92"/>
      <c r="U1145" s="92"/>
      <c r="V1145" s="52"/>
      <c r="W1145" s="52"/>
      <c r="X1145" s="52"/>
      <c r="Y1145" s="52"/>
      <c r="Z1145" s="51"/>
      <c r="AA1145" s="73"/>
      <c r="AB1145" s="73"/>
      <c r="AC1145" s="74"/>
      <c r="AD1145" s="81" t="s">
        <v>8794</v>
      </c>
      <c r="AE1145" s="86" t="s">
        <v>9776</v>
      </c>
      <c r="AF1145" s="81">
        <v>1269</v>
      </c>
      <c r="AG1145" s="81">
        <v>2257</v>
      </c>
      <c r="AH1145" s="81">
        <v>173198</v>
      </c>
      <c r="AI1145" s="81">
        <v>78993</v>
      </c>
      <c r="AJ1145" s="81"/>
      <c r="AK1145" s="81" t="s">
        <v>10695</v>
      </c>
      <c r="AL1145" s="81"/>
      <c r="AM1145" s="81"/>
      <c r="AN1145" s="81"/>
      <c r="AO1145" s="83">
        <v>42169.764027777775</v>
      </c>
      <c r="AP1145" s="84" t="str">
        <f>HYPERLINK("https://pbs.twimg.com/profile_banners/3325338610/1522950407")</f>
        <v>https://pbs.twimg.com/profile_banners/3325338610/1522950407</v>
      </c>
      <c r="AQ1145" s="81" t="b">
        <v>0</v>
      </c>
      <c r="AR1145" s="81" t="b">
        <v>0</v>
      </c>
      <c r="AS1145" s="81" t="b">
        <v>0</v>
      </c>
      <c r="AT1145" s="81"/>
      <c r="AU1145" s="81">
        <v>15</v>
      </c>
      <c r="AV1145" s="84" t="str">
        <f>HYPERLINK("https://abs.twimg.com/images/themes/theme1/bg.png")</f>
        <v>https://abs.twimg.com/images/themes/theme1/bg.png</v>
      </c>
      <c r="AW1145" s="81" t="b">
        <v>0</v>
      </c>
      <c r="AX1145" s="81" t="s">
        <v>3728</v>
      </c>
      <c r="AY1145" s="84" t="str">
        <f>HYPERLINK("https://twitter.com/odara_10")</f>
        <v>https://twitter.com/odara_10</v>
      </c>
      <c r="AZ1145" s="81" t="s">
        <v>66</v>
      </c>
      <c r="BA1145" s="2"/>
      <c r="BB1145" s="3"/>
      <c r="BC1145" s="3"/>
      <c r="BD1145" s="3"/>
      <c r="BE1145" s="3"/>
    </row>
    <row r="1146" spans="1:57" x14ac:dyDescent="0.35">
      <c r="A1146" s="66" t="s">
        <v>4768</v>
      </c>
      <c r="B1146" s="67"/>
      <c r="C1146" s="67"/>
      <c r="D1146" s="68"/>
      <c r="E1146" s="94"/>
      <c r="F1146" s="93" t="str">
        <f>HYPERLINK("https://pbs.twimg.com/profile_images/1352479207234953216/Rw6_wlJY_normal.jpg")</f>
        <v>https://pbs.twimg.com/profile_images/1352479207234953216/Rw6_wlJY_normal.jpg</v>
      </c>
      <c r="G1146" s="95"/>
      <c r="H1146" s="71"/>
      <c r="I1146" s="72"/>
      <c r="J1146" s="96"/>
      <c r="K1146" s="71" t="s">
        <v>12173</v>
      </c>
      <c r="L1146" s="97"/>
      <c r="M1146" s="76"/>
      <c r="N1146" s="76"/>
      <c r="O1146" s="77"/>
      <c r="P1146" s="78"/>
      <c r="Q1146" s="78"/>
      <c r="R1146" s="92"/>
      <c r="S1146" s="92"/>
      <c r="T1146" s="92"/>
      <c r="U1146" s="92"/>
      <c r="V1146" s="52"/>
      <c r="W1146" s="52"/>
      <c r="X1146" s="52"/>
      <c r="Y1146" s="52"/>
      <c r="Z1146" s="51"/>
      <c r="AA1146" s="73"/>
      <c r="AB1146" s="73"/>
      <c r="AC1146" s="74"/>
      <c r="AD1146" s="81" t="s">
        <v>8795</v>
      </c>
      <c r="AE1146" s="86" t="s">
        <v>7900</v>
      </c>
      <c r="AF1146" s="81">
        <v>592</v>
      </c>
      <c r="AG1146" s="81">
        <v>212</v>
      </c>
      <c r="AH1146" s="81">
        <v>650</v>
      </c>
      <c r="AI1146" s="81">
        <v>719</v>
      </c>
      <c r="AJ1146" s="81"/>
      <c r="AK1146" s="81" t="s">
        <v>10696</v>
      </c>
      <c r="AL1146" s="81" t="s">
        <v>11269</v>
      </c>
      <c r="AM1146" s="81"/>
      <c r="AN1146" s="81"/>
      <c r="AO1146" s="83">
        <v>42366.758263888885</v>
      </c>
      <c r="AP1146" s="84" t="str">
        <f>HYPERLINK("https://pbs.twimg.com/profile_banners/4634782175/1611291145")</f>
        <v>https://pbs.twimg.com/profile_banners/4634782175/1611291145</v>
      </c>
      <c r="AQ1146" s="81" t="b">
        <v>1</v>
      </c>
      <c r="AR1146" s="81" t="b">
        <v>0</v>
      </c>
      <c r="AS1146" s="81" t="b">
        <v>0</v>
      </c>
      <c r="AT1146" s="81"/>
      <c r="AU1146" s="81">
        <v>0</v>
      </c>
      <c r="AV1146" s="81"/>
      <c r="AW1146" s="81" t="b">
        <v>0</v>
      </c>
      <c r="AX1146" s="81" t="s">
        <v>3728</v>
      </c>
      <c r="AY1146" s="84" t="str">
        <f>HYPERLINK("https://twitter.com/nayaraayres")</f>
        <v>https://twitter.com/nayaraayres</v>
      </c>
      <c r="AZ1146" s="81" t="s">
        <v>66</v>
      </c>
      <c r="BA1146" s="2"/>
      <c r="BB1146" s="3"/>
      <c r="BC1146" s="3"/>
      <c r="BD1146" s="3"/>
      <c r="BE1146" s="3"/>
    </row>
    <row r="1147" spans="1:57" x14ac:dyDescent="0.35">
      <c r="A1147" s="66" t="s">
        <v>5152</v>
      </c>
      <c r="B1147" s="67"/>
      <c r="C1147" s="67"/>
      <c r="D1147" s="68"/>
      <c r="E1147" s="94"/>
      <c r="F1147" s="93" t="str">
        <f>HYPERLINK("https://pbs.twimg.com/profile_images/1321089251535106057/BFaVFzhy_normal.jpg")</f>
        <v>https://pbs.twimg.com/profile_images/1321089251535106057/BFaVFzhy_normal.jpg</v>
      </c>
      <c r="G1147" s="95"/>
      <c r="H1147" s="71"/>
      <c r="I1147" s="72"/>
      <c r="J1147" s="96"/>
      <c r="K1147" s="71" t="s">
        <v>12174</v>
      </c>
      <c r="L1147" s="97"/>
      <c r="M1147" s="76"/>
      <c r="N1147" s="76"/>
      <c r="O1147" s="77"/>
      <c r="P1147" s="78"/>
      <c r="Q1147" s="78"/>
      <c r="R1147" s="92"/>
      <c r="S1147" s="92"/>
      <c r="T1147" s="92"/>
      <c r="U1147" s="92"/>
      <c r="V1147" s="52"/>
      <c r="W1147" s="52"/>
      <c r="X1147" s="52"/>
      <c r="Y1147" s="52"/>
      <c r="Z1147" s="51"/>
      <c r="AA1147" s="73"/>
      <c r="AB1147" s="73"/>
      <c r="AC1147" s="74"/>
      <c r="AD1147" s="81" t="s">
        <v>8796</v>
      </c>
      <c r="AE1147" s="86" t="s">
        <v>9777</v>
      </c>
      <c r="AF1147" s="81">
        <v>637</v>
      </c>
      <c r="AG1147" s="81">
        <v>37967</v>
      </c>
      <c r="AH1147" s="81">
        <v>33098</v>
      </c>
      <c r="AI1147" s="81">
        <v>23356</v>
      </c>
      <c r="AJ1147" s="81"/>
      <c r="AK1147" s="81" t="s">
        <v>10697</v>
      </c>
      <c r="AL1147" s="81" t="s">
        <v>10985</v>
      </c>
      <c r="AM1147" s="84" t="str">
        <f>HYPERLINK("https://t.co/zrh2cHqORN")</f>
        <v>https://t.co/zrh2cHqORN</v>
      </c>
      <c r="AN1147" s="81"/>
      <c r="AO1147" s="83">
        <v>42782.888564814813</v>
      </c>
      <c r="AP1147" s="84" t="str">
        <f>HYPERLINK("https://pbs.twimg.com/profile_banners/832338648234356736/1603807198")</f>
        <v>https://pbs.twimg.com/profile_banners/832338648234356736/1603807198</v>
      </c>
      <c r="AQ1147" s="81" t="b">
        <v>0</v>
      </c>
      <c r="AR1147" s="81" t="b">
        <v>0</v>
      </c>
      <c r="AS1147" s="81" t="b">
        <v>0</v>
      </c>
      <c r="AT1147" s="81"/>
      <c r="AU1147" s="81">
        <v>228</v>
      </c>
      <c r="AV1147" s="84" t="str">
        <f>HYPERLINK("https://abs.twimg.com/images/themes/theme1/bg.png")</f>
        <v>https://abs.twimg.com/images/themes/theme1/bg.png</v>
      </c>
      <c r="AW1147" s="81" t="b">
        <v>0</v>
      </c>
      <c r="AX1147" s="81" t="s">
        <v>3728</v>
      </c>
      <c r="AY1147" s="84" t="str">
        <f>HYPERLINK("https://twitter.com/albertocalmeida")</f>
        <v>https://twitter.com/albertocalmeida</v>
      </c>
      <c r="AZ1147" s="81" t="s">
        <v>65</v>
      </c>
      <c r="BA1147" s="2"/>
      <c r="BB1147" s="3"/>
      <c r="BC1147" s="3"/>
      <c r="BD1147" s="3"/>
      <c r="BE1147" s="3"/>
    </row>
    <row r="1148" spans="1:57" x14ac:dyDescent="0.35">
      <c r="A1148" s="66" t="s">
        <v>5153</v>
      </c>
      <c r="B1148" s="67"/>
      <c r="C1148" s="67"/>
      <c r="D1148" s="68"/>
      <c r="E1148" s="94"/>
      <c r="F1148" s="93" t="str">
        <f>HYPERLINK("https://pbs.twimg.com/profile_images/1414728680073482244/BUg6CT7G_normal.jpg")</f>
        <v>https://pbs.twimg.com/profile_images/1414728680073482244/BUg6CT7G_normal.jpg</v>
      </c>
      <c r="G1148" s="95"/>
      <c r="H1148" s="71"/>
      <c r="I1148" s="72"/>
      <c r="J1148" s="96"/>
      <c r="K1148" s="71" t="s">
        <v>12175</v>
      </c>
      <c r="L1148" s="97"/>
      <c r="M1148" s="76"/>
      <c r="N1148" s="76"/>
      <c r="O1148" s="77"/>
      <c r="P1148" s="78"/>
      <c r="Q1148" s="78"/>
      <c r="R1148" s="92"/>
      <c r="S1148" s="92"/>
      <c r="T1148" s="92"/>
      <c r="U1148" s="92"/>
      <c r="V1148" s="52"/>
      <c r="W1148" s="52"/>
      <c r="X1148" s="52"/>
      <c r="Y1148" s="52"/>
      <c r="Z1148" s="51"/>
      <c r="AA1148" s="73"/>
      <c r="AB1148" s="73"/>
      <c r="AC1148" s="74"/>
      <c r="AD1148" s="81" t="s">
        <v>8797</v>
      </c>
      <c r="AE1148" s="86" t="s">
        <v>9778</v>
      </c>
      <c r="AF1148" s="81">
        <v>283</v>
      </c>
      <c r="AG1148" s="81">
        <v>271</v>
      </c>
      <c r="AH1148" s="81">
        <v>8000</v>
      </c>
      <c r="AI1148" s="81">
        <v>10662</v>
      </c>
      <c r="AJ1148" s="81"/>
      <c r="AK1148" s="81" t="s">
        <v>10698</v>
      </c>
      <c r="AL1148" s="81"/>
      <c r="AM1148" s="81"/>
      <c r="AN1148" s="81"/>
      <c r="AO1148" s="83">
        <v>40027.683449074073</v>
      </c>
      <c r="AP1148" s="81"/>
      <c r="AQ1148" s="81" t="b">
        <v>1</v>
      </c>
      <c r="AR1148" s="81" t="b">
        <v>0</v>
      </c>
      <c r="AS1148" s="81" t="b">
        <v>0</v>
      </c>
      <c r="AT1148" s="81"/>
      <c r="AU1148" s="81">
        <v>1</v>
      </c>
      <c r="AV1148" s="84" t="str">
        <f>HYPERLINK("https://abs.twimg.com/images/themes/theme1/bg.png")</f>
        <v>https://abs.twimg.com/images/themes/theme1/bg.png</v>
      </c>
      <c r="AW1148" s="81" t="b">
        <v>0</v>
      </c>
      <c r="AX1148" s="81" t="s">
        <v>3728</v>
      </c>
      <c r="AY1148" s="84" t="str">
        <f>HYPERLINK("https://twitter.com/brunomaracci")</f>
        <v>https://twitter.com/brunomaracci</v>
      </c>
      <c r="AZ1148" s="81" t="s">
        <v>65</v>
      </c>
      <c r="BA1148" s="2"/>
      <c r="BB1148" s="3"/>
      <c r="BC1148" s="3"/>
      <c r="BD1148" s="3"/>
      <c r="BE1148" s="3"/>
    </row>
    <row r="1149" spans="1:57" x14ac:dyDescent="0.35">
      <c r="A1149" s="66" t="s">
        <v>4769</v>
      </c>
      <c r="B1149" s="67"/>
      <c r="C1149" s="67"/>
      <c r="D1149" s="68"/>
      <c r="E1149" s="94"/>
      <c r="F1149" s="93" t="str">
        <f>HYPERLINK("https://pbs.twimg.com/profile_images/1431856508669763586/ADOMx2MI_normal.jpg")</f>
        <v>https://pbs.twimg.com/profile_images/1431856508669763586/ADOMx2MI_normal.jpg</v>
      </c>
      <c r="G1149" s="95"/>
      <c r="H1149" s="71"/>
      <c r="I1149" s="72"/>
      <c r="J1149" s="96"/>
      <c r="K1149" s="71" t="s">
        <v>12176</v>
      </c>
      <c r="L1149" s="97"/>
      <c r="M1149" s="76"/>
      <c r="N1149" s="76"/>
      <c r="O1149" s="77"/>
      <c r="P1149" s="78"/>
      <c r="Q1149" s="78"/>
      <c r="R1149" s="92"/>
      <c r="S1149" s="92"/>
      <c r="T1149" s="92"/>
      <c r="U1149" s="92"/>
      <c r="V1149" s="52"/>
      <c r="W1149" s="52"/>
      <c r="X1149" s="52"/>
      <c r="Y1149" s="52"/>
      <c r="Z1149" s="51"/>
      <c r="AA1149" s="73"/>
      <c r="AB1149" s="73"/>
      <c r="AC1149" s="74"/>
      <c r="AD1149" s="81" t="s">
        <v>8798</v>
      </c>
      <c r="AE1149" s="86" t="s">
        <v>9779</v>
      </c>
      <c r="AF1149" s="81">
        <v>7860</v>
      </c>
      <c r="AG1149" s="81">
        <v>11582</v>
      </c>
      <c r="AH1149" s="81">
        <v>623994</v>
      </c>
      <c r="AI1149" s="81">
        <v>780</v>
      </c>
      <c r="AJ1149" s="81"/>
      <c r="AK1149" s="81" t="s">
        <v>10699</v>
      </c>
      <c r="AL1149" s="81"/>
      <c r="AM1149" s="81"/>
      <c r="AN1149" s="81"/>
      <c r="AO1149" s="83">
        <v>41275.959178240744</v>
      </c>
      <c r="AP1149" s="84" t="str">
        <f>HYPERLINK("https://pbs.twimg.com/profile_banners/1053681848/1523573199")</f>
        <v>https://pbs.twimg.com/profile_banners/1053681848/1523573199</v>
      </c>
      <c r="AQ1149" s="81" t="b">
        <v>0</v>
      </c>
      <c r="AR1149" s="81" t="b">
        <v>0</v>
      </c>
      <c r="AS1149" s="81" t="b">
        <v>1</v>
      </c>
      <c r="AT1149" s="81"/>
      <c r="AU1149" s="81">
        <v>46</v>
      </c>
      <c r="AV1149" s="84" t="str">
        <f>HYPERLINK("https://abs.twimg.com/images/themes/theme11/bg.gif")</f>
        <v>https://abs.twimg.com/images/themes/theme11/bg.gif</v>
      </c>
      <c r="AW1149" s="81" t="b">
        <v>0</v>
      </c>
      <c r="AX1149" s="81" t="s">
        <v>3728</v>
      </c>
      <c r="AY1149" s="84" t="str">
        <f>HYPERLINK("https://twitter.com/sandra_miria")</f>
        <v>https://twitter.com/sandra_miria</v>
      </c>
      <c r="AZ1149" s="81" t="s">
        <v>66</v>
      </c>
      <c r="BA1149" s="2"/>
      <c r="BB1149" s="3"/>
      <c r="BC1149" s="3"/>
      <c r="BD1149" s="3"/>
      <c r="BE1149" s="3"/>
    </row>
    <row r="1150" spans="1:57" x14ac:dyDescent="0.35">
      <c r="A1150" s="66" t="s">
        <v>4770</v>
      </c>
      <c r="B1150" s="67"/>
      <c r="C1150" s="67"/>
      <c r="D1150" s="68"/>
      <c r="E1150" s="94"/>
      <c r="F1150" s="93" t="str">
        <f>HYPERLINK("https://pbs.twimg.com/profile_images/1402972391379251208/7fbH09bn_normal.jpg")</f>
        <v>https://pbs.twimg.com/profile_images/1402972391379251208/7fbH09bn_normal.jpg</v>
      </c>
      <c r="G1150" s="95"/>
      <c r="H1150" s="71"/>
      <c r="I1150" s="72"/>
      <c r="J1150" s="96"/>
      <c r="K1150" s="71" t="s">
        <v>12177</v>
      </c>
      <c r="L1150" s="97"/>
      <c r="M1150" s="76"/>
      <c r="N1150" s="76"/>
      <c r="O1150" s="77"/>
      <c r="P1150" s="78"/>
      <c r="Q1150" s="78"/>
      <c r="R1150" s="92"/>
      <c r="S1150" s="92"/>
      <c r="T1150" s="92"/>
      <c r="U1150" s="92"/>
      <c r="V1150" s="52"/>
      <c r="W1150" s="52"/>
      <c r="X1150" s="52"/>
      <c r="Y1150" s="52"/>
      <c r="Z1150" s="51"/>
      <c r="AA1150" s="73"/>
      <c r="AB1150" s="73"/>
      <c r="AC1150" s="74"/>
      <c r="AD1150" s="81" t="s">
        <v>8799</v>
      </c>
      <c r="AE1150" s="86" t="s">
        <v>9780</v>
      </c>
      <c r="AF1150" s="81">
        <v>1590</v>
      </c>
      <c r="AG1150" s="81">
        <v>24134</v>
      </c>
      <c r="AH1150" s="81">
        <v>87888</v>
      </c>
      <c r="AI1150" s="81">
        <v>38309</v>
      </c>
      <c r="AJ1150" s="81"/>
      <c r="AK1150" s="81" t="s">
        <v>10700</v>
      </c>
      <c r="AL1150" s="81" t="s">
        <v>11270</v>
      </c>
      <c r="AM1150" s="84" t="str">
        <f>HYPERLINK("https://t.co/bqE2WXHhLG")</f>
        <v>https://t.co/bqE2WXHhLG</v>
      </c>
      <c r="AN1150" s="81"/>
      <c r="AO1150" s="83">
        <v>40851.916921296295</v>
      </c>
      <c r="AP1150" s="84" t="str">
        <f>HYPERLINK("https://pbs.twimg.com/profile_banners/405123394/1541644412")</f>
        <v>https://pbs.twimg.com/profile_banners/405123394/1541644412</v>
      </c>
      <c r="AQ1150" s="81" t="b">
        <v>0</v>
      </c>
      <c r="AR1150" s="81" t="b">
        <v>0</v>
      </c>
      <c r="AS1150" s="81" t="b">
        <v>1</v>
      </c>
      <c r="AT1150" s="81"/>
      <c r="AU1150" s="81">
        <v>158</v>
      </c>
      <c r="AV1150" s="84" t="str">
        <f>HYPERLINK("https://abs.twimg.com/images/themes/theme1/bg.png")</f>
        <v>https://abs.twimg.com/images/themes/theme1/bg.png</v>
      </c>
      <c r="AW1150" s="81" t="b">
        <v>0</v>
      </c>
      <c r="AX1150" s="81" t="s">
        <v>3728</v>
      </c>
      <c r="AY1150" s="84" t="str">
        <f>HYPERLINK("https://twitter.com/inespedrosa_pt")</f>
        <v>https://twitter.com/inespedrosa_pt</v>
      </c>
      <c r="AZ1150" s="81" t="s">
        <v>66</v>
      </c>
      <c r="BA1150" s="2"/>
      <c r="BB1150" s="3"/>
      <c r="BC1150" s="3"/>
      <c r="BD1150" s="3"/>
      <c r="BE1150" s="3"/>
    </row>
    <row r="1151" spans="1:57" x14ac:dyDescent="0.35">
      <c r="A1151" s="66" t="s">
        <v>5154</v>
      </c>
      <c r="B1151" s="67"/>
      <c r="C1151" s="67"/>
      <c r="D1151" s="68"/>
      <c r="E1151" s="94"/>
      <c r="F1151" s="93" t="str">
        <f>HYPERLINK("https://pbs.twimg.com/profile_images/1375946661093068805/x2Yr20DI_normal.jpg")</f>
        <v>https://pbs.twimg.com/profile_images/1375946661093068805/x2Yr20DI_normal.jpg</v>
      </c>
      <c r="G1151" s="95"/>
      <c r="H1151" s="71"/>
      <c r="I1151" s="72"/>
      <c r="J1151" s="96"/>
      <c r="K1151" s="71" t="s">
        <v>12178</v>
      </c>
      <c r="L1151" s="97"/>
      <c r="M1151" s="76"/>
      <c r="N1151" s="76"/>
      <c r="O1151" s="77"/>
      <c r="P1151" s="78"/>
      <c r="Q1151" s="78"/>
      <c r="R1151" s="92"/>
      <c r="S1151" s="92"/>
      <c r="T1151" s="92"/>
      <c r="U1151" s="92"/>
      <c r="V1151" s="52"/>
      <c r="W1151" s="52"/>
      <c r="X1151" s="52"/>
      <c r="Y1151" s="52"/>
      <c r="Z1151" s="51"/>
      <c r="AA1151" s="73"/>
      <c r="AB1151" s="73"/>
      <c r="AC1151" s="74"/>
      <c r="AD1151" s="81" t="s">
        <v>8800</v>
      </c>
      <c r="AE1151" s="86" t="s">
        <v>7901</v>
      </c>
      <c r="AF1151" s="81">
        <v>191</v>
      </c>
      <c r="AG1151" s="81">
        <v>1943</v>
      </c>
      <c r="AH1151" s="81">
        <v>46333</v>
      </c>
      <c r="AI1151" s="81">
        <v>26873</v>
      </c>
      <c r="AJ1151" s="81"/>
      <c r="AK1151" s="81" t="s">
        <v>10701</v>
      </c>
      <c r="AL1151" s="81" t="s">
        <v>10990</v>
      </c>
      <c r="AM1151" s="84" t="str">
        <f>HYPERLINK("https://t.co/h4UOL4EuKC")</f>
        <v>https://t.co/h4UOL4EuKC</v>
      </c>
      <c r="AN1151" s="81"/>
      <c r="AO1151" s="83">
        <v>39852.060671296298</v>
      </c>
      <c r="AP1151" s="84" t="str">
        <f>HYPERLINK("https://pbs.twimg.com/profile_banners/20345378/1611101495")</f>
        <v>https://pbs.twimg.com/profile_banners/20345378/1611101495</v>
      </c>
      <c r="AQ1151" s="81" t="b">
        <v>0</v>
      </c>
      <c r="AR1151" s="81" t="b">
        <v>0</v>
      </c>
      <c r="AS1151" s="81" t="b">
        <v>0</v>
      </c>
      <c r="AT1151" s="81"/>
      <c r="AU1151" s="81">
        <v>19</v>
      </c>
      <c r="AV1151" s="84" t="str">
        <f>HYPERLINK("https://abs.twimg.com/images/themes/theme18/bg.gif")</f>
        <v>https://abs.twimg.com/images/themes/theme18/bg.gif</v>
      </c>
      <c r="AW1151" s="81" t="b">
        <v>0</v>
      </c>
      <c r="AX1151" s="81" t="s">
        <v>3728</v>
      </c>
      <c r="AY1151" s="84" t="str">
        <f>HYPERLINK("https://twitter.com/ricardogalves")</f>
        <v>https://twitter.com/ricardogalves</v>
      </c>
      <c r="AZ1151" s="81" t="s">
        <v>65</v>
      </c>
      <c r="BA1151" s="2"/>
      <c r="BB1151" s="3"/>
      <c r="BC1151" s="3"/>
      <c r="BD1151" s="3"/>
      <c r="BE1151" s="3"/>
    </row>
    <row r="1152" spans="1:57" x14ac:dyDescent="0.35">
      <c r="A1152" s="66" t="s">
        <v>506</v>
      </c>
      <c r="B1152" s="67"/>
      <c r="C1152" s="67"/>
      <c r="D1152" s="68"/>
      <c r="E1152" s="94"/>
      <c r="F1152" s="93" t="str">
        <f>HYPERLINK("https://pbs.twimg.com/profile_images/1321791301872803840/j7W_f3i3_normal.jpg")</f>
        <v>https://pbs.twimg.com/profile_images/1321791301872803840/j7W_f3i3_normal.jpg</v>
      </c>
      <c r="G1152" s="95"/>
      <c r="H1152" s="71"/>
      <c r="I1152" s="72"/>
      <c r="J1152" s="96"/>
      <c r="K1152" s="71" t="s">
        <v>12179</v>
      </c>
      <c r="L1152" s="97"/>
      <c r="M1152" s="76"/>
      <c r="N1152" s="76"/>
      <c r="O1152" s="77"/>
      <c r="P1152" s="78"/>
      <c r="Q1152" s="78"/>
      <c r="R1152" s="92"/>
      <c r="S1152" s="92"/>
      <c r="T1152" s="92"/>
      <c r="U1152" s="92"/>
      <c r="V1152" s="52"/>
      <c r="W1152" s="52"/>
      <c r="X1152" s="52"/>
      <c r="Y1152" s="52"/>
      <c r="Z1152" s="51"/>
      <c r="AA1152" s="73"/>
      <c r="AB1152" s="73"/>
      <c r="AC1152" s="74"/>
      <c r="AD1152" s="81" t="s">
        <v>2591</v>
      </c>
      <c r="AE1152" s="86" t="s">
        <v>2150</v>
      </c>
      <c r="AF1152" s="81">
        <v>76</v>
      </c>
      <c r="AG1152" s="81">
        <v>546</v>
      </c>
      <c r="AH1152" s="81">
        <v>9212</v>
      </c>
      <c r="AI1152" s="81">
        <v>80</v>
      </c>
      <c r="AJ1152" s="81"/>
      <c r="AK1152" s="81" t="s">
        <v>3417</v>
      </c>
      <c r="AL1152" s="81" t="s">
        <v>3691</v>
      </c>
      <c r="AM1152" s="84" t="str">
        <f>HYPERLINK("https://t.co/8sEdshczt9")</f>
        <v>https://t.co/8sEdshczt9</v>
      </c>
      <c r="AN1152" s="81"/>
      <c r="AO1152" s="83">
        <v>41339.870289351849</v>
      </c>
      <c r="AP1152" s="84" t="str">
        <f>HYPERLINK("https://pbs.twimg.com/profile_banners/1247110849/1623139968")</f>
        <v>https://pbs.twimg.com/profile_banners/1247110849/1623139968</v>
      </c>
      <c r="AQ1152" s="81" t="b">
        <v>0</v>
      </c>
      <c r="AR1152" s="81" t="b">
        <v>0</v>
      </c>
      <c r="AS1152" s="81" t="b">
        <v>1</v>
      </c>
      <c r="AT1152" s="81"/>
      <c r="AU1152" s="81">
        <v>1</v>
      </c>
      <c r="AV1152" s="84" t="str">
        <f>HYPERLINK("https://abs.twimg.com/images/themes/theme9/bg.gif")</f>
        <v>https://abs.twimg.com/images/themes/theme9/bg.gif</v>
      </c>
      <c r="AW1152" s="81" t="b">
        <v>0</v>
      </c>
      <c r="AX1152" s="81" t="s">
        <v>3728</v>
      </c>
      <c r="AY1152" s="84" t="str">
        <f>HYPERLINK("https://twitter.com/himafifmipaunri")</f>
        <v>https://twitter.com/himafifmipaunri</v>
      </c>
      <c r="AZ1152" s="81" t="s">
        <v>66</v>
      </c>
      <c r="BA1152" s="2"/>
      <c r="BB1152" s="3"/>
      <c r="BC1152" s="3"/>
      <c r="BD1152" s="3"/>
      <c r="BE1152" s="3"/>
    </row>
    <row r="1153" spans="1:57" x14ac:dyDescent="0.35">
      <c r="A1153" s="66" t="s">
        <v>507</v>
      </c>
      <c r="B1153" s="67"/>
      <c r="C1153" s="67"/>
      <c r="D1153" s="68"/>
      <c r="E1153" s="94"/>
      <c r="F1153" s="93" t="str">
        <f>HYPERLINK("https://pbs.twimg.com/profile_images/1399869317907292186/HZoGTX0__normal.jpg")</f>
        <v>https://pbs.twimg.com/profile_images/1399869317907292186/HZoGTX0__normal.jpg</v>
      </c>
      <c r="G1153" s="95"/>
      <c r="H1153" s="71"/>
      <c r="I1153" s="72"/>
      <c r="J1153" s="96"/>
      <c r="K1153" s="71" t="s">
        <v>4082</v>
      </c>
      <c r="L1153" s="97"/>
      <c r="M1153" s="76"/>
      <c r="N1153" s="76"/>
      <c r="O1153" s="77"/>
      <c r="P1153" s="78"/>
      <c r="Q1153" s="78"/>
      <c r="R1153" s="92"/>
      <c r="S1153" s="92"/>
      <c r="T1153" s="92"/>
      <c r="U1153" s="92"/>
      <c r="V1153" s="52"/>
      <c r="W1153" s="52"/>
      <c r="X1153" s="52"/>
      <c r="Y1153" s="52"/>
      <c r="Z1153" s="51"/>
      <c r="AA1153" s="73"/>
      <c r="AB1153" s="73"/>
      <c r="AC1153" s="74"/>
      <c r="AD1153" s="81" t="s">
        <v>2592</v>
      </c>
      <c r="AE1153" s="86" t="s">
        <v>2997</v>
      </c>
      <c r="AF1153" s="81">
        <v>999</v>
      </c>
      <c r="AG1153" s="81">
        <v>994</v>
      </c>
      <c r="AH1153" s="81">
        <v>229</v>
      </c>
      <c r="AI1153" s="81">
        <v>217</v>
      </c>
      <c r="AJ1153" s="81"/>
      <c r="AK1153" s="81" t="s">
        <v>3418</v>
      </c>
      <c r="AL1153" s="81"/>
      <c r="AM1153" s="81"/>
      <c r="AN1153" s="81"/>
      <c r="AO1153" s="83">
        <v>44348.974432870367</v>
      </c>
      <c r="AP1153" s="81"/>
      <c r="AQ1153" s="81" t="b">
        <v>1</v>
      </c>
      <c r="AR1153" s="81" t="b">
        <v>0</v>
      </c>
      <c r="AS1153" s="81" t="b">
        <v>0</v>
      </c>
      <c r="AT1153" s="81"/>
      <c r="AU1153" s="81">
        <v>0</v>
      </c>
      <c r="AV1153" s="81"/>
      <c r="AW1153" s="81" t="b">
        <v>0</v>
      </c>
      <c r="AX1153" s="81" t="s">
        <v>3728</v>
      </c>
      <c r="AY1153" s="84" t="str">
        <f>HYPERLINK("https://twitter.com/d4mbpoltekpos")</f>
        <v>https://twitter.com/d4mbpoltekpos</v>
      </c>
      <c r="AZ1153" s="81" t="s">
        <v>66</v>
      </c>
      <c r="BA1153" s="2"/>
      <c r="BB1153" s="3"/>
      <c r="BC1153" s="3"/>
      <c r="BD1153" s="3"/>
      <c r="BE1153" s="3"/>
    </row>
    <row r="1154" spans="1:57" x14ac:dyDescent="0.35">
      <c r="A1154" s="66" t="s">
        <v>510</v>
      </c>
      <c r="B1154" s="67"/>
      <c r="C1154" s="67"/>
      <c r="D1154" s="68"/>
      <c r="E1154" s="94"/>
      <c r="F1154" s="93" t="str">
        <f>HYPERLINK("https://pbs.twimg.com/profile_images/1360891565317578757/rDH9DhR7_normal.jpg")</f>
        <v>https://pbs.twimg.com/profile_images/1360891565317578757/rDH9DhR7_normal.jpg</v>
      </c>
      <c r="G1154" s="95"/>
      <c r="H1154" s="71"/>
      <c r="I1154" s="72"/>
      <c r="J1154" s="96"/>
      <c r="K1154" s="71" t="s">
        <v>4084</v>
      </c>
      <c r="L1154" s="97"/>
      <c r="M1154" s="76"/>
      <c r="N1154" s="76"/>
      <c r="O1154" s="77"/>
      <c r="P1154" s="78"/>
      <c r="Q1154" s="78"/>
      <c r="R1154" s="92"/>
      <c r="S1154" s="92"/>
      <c r="T1154" s="92"/>
      <c r="U1154" s="92"/>
      <c r="V1154" s="52"/>
      <c r="W1154" s="52"/>
      <c r="X1154" s="52"/>
      <c r="Y1154" s="52"/>
      <c r="Z1154" s="51"/>
      <c r="AA1154" s="73"/>
      <c r="AB1154" s="73"/>
      <c r="AC1154" s="74"/>
      <c r="AD1154" s="81" t="s">
        <v>2595</v>
      </c>
      <c r="AE1154" s="86" t="s">
        <v>3001</v>
      </c>
      <c r="AF1154" s="81">
        <v>649</v>
      </c>
      <c r="AG1154" s="81">
        <v>956</v>
      </c>
      <c r="AH1154" s="81">
        <v>7396</v>
      </c>
      <c r="AI1154" s="81">
        <v>11571</v>
      </c>
      <c r="AJ1154" s="81"/>
      <c r="AK1154" s="81" t="s">
        <v>3421</v>
      </c>
      <c r="AL1154" s="81" t="s">
        <v>3693</v>
      </c>
      <c r="AM1154" s="81"/>
      <c r="AN1154" s="81"/>
      <c r="AO1154" s="83">
        <v>43051.735266203701</v>
      </c>
      <c r="AP1154" s="84" t="str">
        <f>HYPERLINK("https://pbs.twimg.com/profile_banners/929765430897422337/1629572005")</f>
        <v>https://pbs.twimg.com/profile_banners/929765430897422337/1629572005</v>
      </c>
      <c r="AQ1154" s="81" t="b">
        <v>0</v>
      </c>
      <c r="AR1154" s="81" t="b">
        <v>0</v>
      </c>
      <c r="AS1154" s="81" t="b">
        <v>1</v>
      </c>
      <c r="AT1154" s="81"/>
      <c r="AU1154" s="81">
        <v>2</v>
      </c>
      <c r="AV1154" s="84" t="str">
        <f>HYPERLINK("https://abs.twimg.com/images/themes/theme1/bg.png")</f>
        <v>https://abs.twimg.com/images/themes/theme1/bg.png</v>
      </c>
      <c r="AW1154" s="81" t="b">
        <v>0</v>
      </c>
      <c r="AX1154" s="81" t="s">
        <v>3728</v>
      </c>
      <c r="AY1154" s="84" t="str">
        <f>HYPERLINK("https://twitter.com/loeyyeojaa")</f>
        <v>https://twitter.com/loeyyeojaa</v>
      </c>
      <c r="AZ1154" s="81" t="s">
        <v>66</v>
      </c>
      <c r="BA1154" s="2"/>
      <c r="BB1154" s="3"/>
      <c r="BC1154" s="3"/>
      <c r="BD1154" s="3"/>
      <c r="BE1154" s="3"/>
    </row>
    <row r="1155" spans="1:57" x14ac:dyDescent="0.35">
      <c r="A1155" s="66" t="s">
        <v>512</v>
      </c>
      <c r="B1155" s="67"/>
      <c r="C1155" s="67"/>
      <c r="D1155" s="68"/>
      <c r="E1155" s="94"/>
      <c r="F1155" s="93" t="str">
        <f>HYPERLINK("https://pbs.twimg.com/profile_images/1436221301866205195/VoqX6apL_normal.jpg")</f>
        <v>https://pbs.twimg.com/profile_images/1436221301866205195/VoqX6apL_normal.jpg</v>
      </c>
      <c r="G1155" s="95"/>
      <c r="H1155" s="71"/>
      <c r="I1155" s="72"/>
      <c r="J1155" s="96"/>
      <c r="K1155" s="71" t="s">
        <v>4085</v>
      </c>
      <c r="L1155" s="97"/>
      <c r="M1155" s="76"/>
      <c r="N1155" s="76"/>
      <c r="O1155" s="77"/>
      <c r="P1155" s="78"/>
      <c r="Q1155" s="78"/>
      <c r="R1155" s="92"/>
      <c r="S1155" s="92"/>
      <c r="T1155" s="92"/>
      <c r="U1155" s="92"/>
      <c r="V1155" s="52"/>
      <c r="W1155" s="52"/>
      <c r="X1155" s="52"/>
      <c r="Y1155" s="52"/>
      <c r="Z1155" s="51"/>
      <c r="AA1155" s="73"/>
      <c r="AB1155" s="73"/>
      <c r="AC1155" s="74"/>
      <c r="AD1155" s="81" t="s">
        <v>2596</v>
      </c>
      <c r="AE1155" s="86" t="s">
        <v>3002</v>
      </c>
      <c r="AF1155" s="81">
        <v>836</v>
      </c>
      <c r="AG1155" s="81">
        <v>1050</v>
      </c>
      <c r="AH1155" s="81">
        <v>23949</v>
      </c>
      <c r="AI1155" s="81">
        <v>50309</v>
      </c>
      <c r="AJ1155" s="81"/>
      <c r="AK1155" s="81" t="s">
        <v>3422</v>
      </c>
      <c r="AL1155" s="81" t="s">
        <v>3670</v>
      </c>
      <c r="AM1155" s="81"/>
      <c r="AN1155" s="81"/>
      <c r="AO1155" s="83">
        <v>41188.26289351852</v>
      </c>
      <c r="AP1155" s="84" t="str">
        <f>HYPERLINK("https://pbs.twimg.com/profile_banners/864220260/1619073243")</f>
        <v>https://pbs.twimg.com/profile_banners/864220260/1619073243</v>
      </c>
      <c r="AQ1155" s="81" t="b">
        <v>0</v>
      </c>
      <c r="AR1155" s="81" t="b">
        <v>0</v>
      </c>
      <c r="AS1155" s="81" t="b">
        <v>1</v>
      </c>
      <c r="AT1155" s="81"/>
      <c r="AU1155" s="81">
        <v>0</v>
      </c>
      <c r="AV1155" s="84" t="str">
        <f>HYPERLINK("https://abs.twimg.com/images/themes/theme14/bg.gif")</f>
        <v>https://abs.twimg.com/images/themes/theme14/bg.gif</v>
      </c>
      <c r="AW1155" s="81" t="b">
        <v>0</v>
      </c>
      <c r="AX1155" s="81" t="s">
        <v>3728</v>
      </c>
      <c r="AY1155" s="84" t="str">
        <f>HYPERLINK("https://twitter.com/oshh____")</f>
        <v>https://twitter.com/oshh____</v>
      </c>
      <c r="AZ1155" s="81" t="s">
        <v>66</v>
      </c>
      <c r="BA1155" s="2"/>
      <c r="BB1155" s="3"/>
      <c r="BC1155" s="3"/>
      <c r="BD1155" s="3"/>
      <c r="BE1155" s="3"/>
    </row>
    <row r="1156" spans="1:57" x14ac:dyDescent="0.35">
      <c r="A1156" s="66" t="s">
        <v>4771</v>
      </c>
      <c r="B1156" s="67"/>
      <c r="C1156" s="67"/>
      <c r="D1156" s="68"/>
      <c r="E1156" s="94"/>
      <c r="F1156" s="93" t="str">
        <f>HYPERLINK("https://pbs.twimg.com/profile_images/1419337551265943552/8j0NpTAB_normal.jpg")</f>
        <v>https://pbs.twimg.com/profile_images/1419337551265943552/8j0NpTAB_normal.jpg</v>
      </c>
      <c r="G1156" s="95"/>
      <c r="H1156" s="71"/>
      <c r="I1156" s="72"/>
      <c r="J1156" s="96"/>
      <c r="K1156" s="71" t="s">
        <v>12180</v>
      </c>
      <c r="L1156" s="97"/>
      <c r="M1156" s="76"/>
      <c r="N1156" s="76"/>
      <c r="O1156" s="77"/>
      <c r="P1156" s="78"/>
      <c r="Q1156" s="78"/>
      <c r="R1156" s="92"/>
      <c r="S1156" s="92"/>
      <c r="T1156" s="92"/>
      <c r="U1156" s="92"/>
      <c r="V1156" s="52"/>
      <c r="W1156" s="52"/>
      <c r="X1156" s="52"/>
      <c r="Y1156" s="52"/>
      <c r="Z1156" s="51"/>
      <c r="AA1156" s="73"/>
      <c r="AB1156" s="73"/>
      <c r="AC1156" s="74"/>
      <c r="AD1156" s="81" t="s">
        <v>8802</v>
      </c>
      <c r="AE1156" s="86" t="s">
        <v>9781</v>
      </c>
      <c r="AF1156" s="81">
        <v>287</v>
      </c>
      <c r="AG1156" s="81">
        <v>334</v>
      </c>
      <c r="AH1156" s="81">
        <v>25952</v>
      </c>
      <c r="AI1156" s="81">
        <v>17834</v>
      </c>
      <c r="AJ1156" s="81"/>
      <c r="AK1156" s="81" t="s">
        <v>10702</v>
      </c>
      <c r="AL1156" s="81"/>
      <c r="AM1156" s="81"/>
      <c r="AN1156" s="81"/>
      <c r="AO1156" s="83">
        <v>42250.186041666668</v>
      </c>
      <c r="AP1156" s="84" t="str">
        <f>HYPERLINK("https://pbs.twimg.com/profile_banners/3433164013/1589515127")</f>
        <v>https://pbs.twimg.com/profile_banners/3433164013/1589515127</v>
      </c>
      <c r="AQ1156" s="81" t="b">
        <v>1</v>
      </c>
      <c r="AR1156" s="81" t="b">
        <v>0</v>
      </c>
      <c r="AS1156" s="81" t="b">
        <v>0</v>
      </c>
      <c r="AT1156" s="81"/>
      <c r="AU1156" s="81">
        <v>5</v>
      </c>
      <c r="AV1156" s="84" t="str">
        <f>HYPERLINK("https://abs.twimg.com/images/themes/theme1/bg.png")</f>
        <v>https://abs.twimg.com/images/themes/theme1/bg.png</v>
      </c>
      <c r="AW1156" s="81" t="b">
        <v>0</v>
      </c>
      <c r="AX1156" s="81" t="s">
        <v>3728</v>
      </c>
      <c r="AY1156" s="84" t="str">
        <f>HYPERLINK("https://twitter.com/muimui_zunda")</f>
        <v>https://twitter.com/muimui_zunda</v>
      </c>
      <c r="AZ1156" s="81" t="s">
        <v>66</v>
      </c>
      <c r="BA1156" s="2"/>
      <c r="BB1156" s="3"/>
      <c r="BC1156" s="3"/>
      <c r="BD1156" s="3"/>
      <c r="BE1156" s="3"/>
    </row>
    <row r="1157" spans="1:57" x14ac:dyDescent="0.35">
      <c r="A1157" s="66" t="s">
        <v>5155</v>
      </c>
      <c r="B1157" s="67"/>
      <c r="C1157" s="67"/>
      <c r="D1157" s="68"/>
      <c r="E1157" s="94"/>
      <c r="F1157" s="93" t="str">
        <f>HYPERLINK("https://pbs.twimg.com/profile_images/1403050982309695492/_mQlI2t-_normal.jpg")</f>
        <v>https://pbs.twimg.com/profile_images/1403050982309695492/_mQlI2t-_normal.jpg</v>
      </c>
      <c r="G1157" s="95"/>
      <c r="H1157" s="71"/>
      <c r="I1157" s="72"/>
      <c r="J1157" s="96"/>
      <c r="K1157" s="71" t="s">
        <v>12181</v>
      </c>
      <c r="L1157" s="97"/>
      <c r="M1157" s="76"/>
      <c r="N1157" s="76"/>
      <c r="O1157" s="77"/>
      <c r="P1157" s="78"/>
      <c r="Q1157" s="78"/>
      <c r="R1157" s="92"/>
      <c r="S1157" s="92"/>
      <c r="T1157" s="92"/>
      <c r="U1157" s="92"/>
      <c r="V1157" s="52"/>
      <c r="W1157" s="52"/>
      <c r="X1157" s="52"/>
      <c r="Y1157" s="52"/>
      <c r="Z1157" s="51"/>
      <c r="AA1157" s="73"/>
      <c r="AB1157" s="73"/>
      <c r="AC1157" s="74"/>
      <c r="AD1157" s="81" t="s">
        <v>8803</v>
      </c>
      <c r="AE1157" s="86" t="s">
        <v>7902</v>
      </c>
      <c r="AF1157" s="81">
        <v>602</v>
      </c>
      <c r="AG1157" s="81">
        <v>931</v>
      </c>
      <c r="AH1157" s="81">
        <v>70399</v>
      </c>
      <c r="AI1157" s="81">
        <v>26231</v>
      </c>
      <c r="AJ1157" s="81"/>
      <c r="AK1157" s="81" t="s">
        <v>10703</v>
      </c>
      <c r="AL1157" s="81"/>
      <c r="AM1157" s="84" t="str">
        <f>HYPERLINK("https://t.co/9merGsD2xX")</f>
        <v>https://t.co/9merGsD2xX</v>
      </c>
      <c r="AN1157" s="81"/>
      <c r="AO1157" s="83">
        <v>42885.114201388889</v>
      </c>
      <c r="AP1157" s="84" t="str">
        <f>HYPERLINK("https://pbs.twimg.com/profile_banners/869383977844342784/1632616521")</f>
        <v>https://pbs.twimg.com/profile_banners/869383977844342784/1632616521</v>
      </c>
      <c r="AQ1157" s="81" t="b">
        <v>1</v>
      </c>
      <c r="AR1157" s="81" t="b">
        <v>0</v>
      </c>
      <c r="AS1157" s="81" t="b">
        <v>0</v>
      </c>
      <c r="AT1157" s="81"/>
      <c r="AU1157" s="81">
        <v>31</v>
      </c>
      <c r="AV1157" s="81"/>
      <c r="AW1157" s="81" t="b">
        <v>0</v>
      </c>
      <c r="AX1157" s="81" t="s">
        <v>3728</v>
      </c>
      <c r="AY1157" s="84" t="str">
        <f>HYPERLINK("https://twitter.com/me10n4")</f>
        <v>https://twitter.com/me10n4</v>
      </c>
      <c r="AZ1157" s="81" t="s">
        <v>65</v>
      </c>
      <c r="BA1157" s="2"/>
      <c r="BB1157" s="3"/>
      <c r="BC1157" s="3"/>
      <c r="BD1157" s="3"/>
      <c r="BE1157" s="3"/>
    </row>
    <row r="1158" spans="1:57" x14ac:dyDescent="0.35">
      <c r="A1158" s="66" t="s">
        <v>4772</v>
      </c>
      <c r="B1158" s="67"/>
      <c r="C1158" s="67"/>
      <c r="D1158" s="68"/>
      <c r="E1158" s="94"/>
      <c r="F1158" s="93" t="str">
        <f>HYPERLINK("https://pbs.twimg.com/profile_images/1442275691194732547/Ik1fcMiE_normal.jpg")</f>
        <v>https://pbs.twimg.com/profile_images/1442275691194732547/Ik1fcMiE_normal.jpg</v>
      </c>
      <c r="G1158" s="95"/>
      <c r="H1158" s="71"/>
      <c r="I1158" s="72"/>
      <c r="J1158" s="96"/>
      <c r="K1158" s="71" t="s">
        <v>12182</v>
      </c>
      <c r="L1158" s="97"/>
      <c r="M1158" s="76"/>
      <c r="N1158" s="76"/>
      <c r="O1158" s="77"/>
      <c r="P1158" s="78"/>
      <c r="Q1158" s="78"/>
      <c r="R1158" s="92"/>
      <c r="S1158" s="92"/>
      <c r="T1158" s="92"/>
      <c r="U1158" s="92"/>
      <c r="V1158" s="52"/>
      <c r="W1158" s="52"/>
      <c r="X1158" s="52"/>
      <c r="Y1158" s="52"/>
      <c r="Z1158" s="51"/>
      <c r="AA1158" s="73"/>
      <c r="AB1158" s="73"/>
      <c r="AC1158" s="74"/>
      <c r="AD1158" s="81" t="s">
        <v>8804</v>
      </c>
      <c r="AE1158" s="86" t="s">
        <v>9782</v>
      </c>
      <c r="AF1158" s="81">
        <v>5002</v>
      </c>
      <c r="AG1158" s="81">
        <v>3992</v>
      </c>
      <c r="AH1158" s="81">
        <v>69599</v>
      </c>
      <c r="AI1158" s="81">
        <v>72935</v>
      </c>
      <c r="AJ1158" s="81"/>
      <c r="AK1158" s="81" t="s">
        <v>10704</v>
      </c>
      <c r="AL1158" s="81" t="s">
        <v>11271</v>
      </c>
      <c r="AM1158" s="81"/>
      <c r="AN1158" s="81"/>
      <c r="AO1158" s="83">
        <v>40524.13685185185</v>
      </c>
      <c r="AP1158" s="84" t="str">
        <f>HYPERLINK("https://pbs.twimg.com/profile_banners/225649635/1632700746")</f>
        <v>https://pbs.twimg.com/profile_banners/225649635/1632700746</v>
      </c>
      <c r="AQ1158" s="81" t="b">
        <v>1</v>
      </c>
      <c r="AR1158" s="81" t="b">
        <v>0</v>
      </c>
      <c r="AS1158" s="81" t="b">
        <v>1</v>
      </c>
      <c r="AT1158" s="81"/>
      <c r="AU1158" s="81">
        <v>2</v>
      </c>
      <c r="AV1158" s="84" t="str">
        <f>HYPERLINK("https://abs.twimg.com/images/themes/theme1/bg.png")</f>
        <v>https://abs.twimg.com/images/themes/theme1/bg.png</v>
      </c>
      <c r="AW1158" s="81" t="b">
        <v>0</v>
      </c>
      <c r="AX1158" s="81" t="s">
        <v>3728</v>
      </c>
      <c r="AY1158" s="84" t="str">
        <f>HYPERLINK("https://twitter.com/martinholistica")</f>
        <v>https://twitter.com/martinholistica</v>
      </c>
      <c r="AZ1158" s="81" t="s">
        <v>66</v>
      </c>
      <c r="BA1158" s="2"/>
      <c r="BB1158" s="3"/>
      <c r="BC1158" s="3"/>
      <c r="BD1158" s="3"/>
      <c r="BE1158" s="3"/>
    </row>
    <row r="1159" spans="1:57" x14ac:dyDescent="0.35">
      <c r="A1159" s="66" t="s">
        <v>4773</v>
      </c>
      <c r="B1159" s="67"/>
      <c r="C1159" s="67"/>
      <c r="D1159" s="68"/>
      <c r="E1159" s="94"/>
      <c r="F1159" s="93" t="str">
        <f>HYPERLINK("https://pbs.twimg.com/profile_images/1358956419630964739/ZhbbUl5B_normal.jpg")</f>
        <v>https://pbs.twimg.com/profile_images/1358956419630964739/ZhbbUl5B_normal.jpg</v>
      </c>
      <c r="G1159" s="95"/>
      <c r="H1159" s="71"/>
      <c r="I1159" s="72"/>
      <c r="J1159" s="96"/>
      <c r="K1159" s="71" t="s">
        <v>12183</v>
      </c>
      <c r="L1159" s="97"/>
      <c r="M1159" s="76"/>
      <c r="N1159" s="76"/>
      <c r="O1159" s="77"/>
      <c r="P1159" s="78"/>
      <c r="Q1159" s="78"/>
      <c r="R1159" s="92"/>
      <c r="S1159" s="92"/>
      <c r="T1159" s="92"/>
      <c r="U1159" s="92"/>
      <c r="V1159" s="52"/>
      <c r="W1159" s="52"/>
      <c r="X1159" s="52"/>
      <c r="Y1159" s="52"/>
      <c r="Z1159" s="51"/>
      <c r="AA1159" s="73"/>
      <c r="AB1159" s="73"/>
      <c r="AC1159" s="74"/>
      <c r="AD1159" s="81" t="s">
        <v>8805</v>
      </c>
      <c r="AE1159" s="86" t="s">
        <v>9783</v>
      </c>
      <c r="AF1159" s="81">
        <v>121</v>
      </c>
      <c r="AG1159" s="81">
        <v>151</v>
      </c>
      <c r="AH1159" s="81">
        <v>6803</v>
      </c>
      <c r="AI1159" s="81">
        <v>3645</v>
      </c>
      <c r="AJ1159" s="81"/>
      <c r="AK1159" s="86" t="s">
        <v>10705</v>
      </c>
      <c r="AL1159" s="81" t="s">
        <v>11272</v>
      </c>
      <c r="AM1159" s="81"/>
      <c r="AN1159" s="81"/>
      <c r="AO1159" s="83">
        <v>44042.155868055554</v>
      </c>
      <c r="AP1159" s="84" t="str">
        <f>HYPERLINK("https://pbs.twimg.com/profile_banners/1288681806502465536/1596082005")</f>
        <v>https://pbs.twimg.com/profile_banners/1288681806502465536/1596082005</v>
      </c>
      <c r="AQ1159" s="81" t="b">
        <v>1</v>
      </c>
      <c r="AR1159" s="81" t="b">
        <v>0</v>
      </c>
      <c r="AS1159" s="81" t="b">
        <v>1</v>
      </c>
      <c r="AT1159" s="81"/>
      <c r="AU1159" s="81">
        <v>0</v>
      </c>
      <c r="AV1159" s="81"/>
      <c r="AW1159" s="81" t="b">
        <v>0</v>
      </c>
      <c r="AX1159" s="81" t="s">
        <v>3728</v>
      </c>
      <c r="AY1159" s="84" t="str">
        <f>HYPERLINK("https://twitter.com/phbcarmona")</f>
        <v>https://twitter.com/phbcarmona</v>
      </c>
      <c r="AZ1159" s="81" t="s">
        <v>66</v>
      </c>
      <c r="BA1159" s="2"/>
      <c r="BB1159" s="3"/>
      <c r="BC1159" s="3"/>
      <c r="BD1159" s="3"/>
      <c r="BE1159" s="3"/>
    </row>
    <row r="1160" spans="1:57" x14ac:dyDescent="0.35">
      <c r="A1160" s="66" t="s">
        <v>4774</v>
      </c>
      <c r="B1160" s="67"/>
      <c r="C1160" s="67"/>
      <c r="D1160" s="68"/>
      <c r="E1160" s="94"/>
      <c r="F1160" s="93" t="str">
        <f>HYPERLINK("https://pbs.twimg.com/profile_images/1053095393771380736/ih7zgV8I_normal.jpg")</f>
        <v>https://pbs.twimg.com/profile_images/1053095393771380736/ih7zgV8I_normal.jpg</v>
      </c>
      <c r="G1160" s="95"/>
      <c r="H1160" s="71"/>
      <c r="I1160" s="72"/>
      <c r="J1160" s="96"/>
      <c r="K1160" s="71" t="s">
        <v>12184</v>
      </c>
      <c r="L1160" s="97"/>
      <c r="M1160" s="76"/>
      <c r="N1160" s="76"/>
      <c r="O1160" s="77"/>
      <c r="P1160" s="78"/>
      <c r="Q1160" s="78"/>
      <c r="R1160" s="92"/>
      <c r="S1160" s="92"/>
      <c r="T1160" s="92"/>
      <c r="U1160" s="92"/>
      <c r="V1160" s="52"/>
      <c r="W1160" s="52"/>
      <c r="X1160" s="52"/>
      <c r="Y1160" s="52"/>
      <c r="Z1160" s="51"/>
      <c r="AA1160" s="73"/>
      <c r="AB1160" s="73"/>
      <c r="AC1160" s="74"/>
      <c r="AD1160" s="81" t="s">
        <v>8806</v>
      </c>
      <c r="AE1160" s="86" t="s">
        <v>9784</v>
      </c>
      <c r="AF1160" s="81">
        <v>306</v>
      </c>
      <c r="AG1160" s="81">
        <v>71</v>
      </c>
      <c r="AH1160" s="81">
        <v>4698</v>
      </c>
      <c r="AI1160" s="81">
        <v>11437</v>
      </c>
      <c r="AJ1160" s="81"/>
      <c r="AK1160" s="81" t="s">
        <v>10706</v>
      </c>
      <c r="AL1160" s="81" t="s">
        <v>11214</v>
      </c>
      <c r="AM1160" s="81"/>
      <c r="AN1160" s="81"/>
      <c r="AO1160" s="83">
        <v>40100.566030092596</v>
      </c>
      <c r="AP1160" s="84" t="str">
        <f>HYPERLINK("https://pbs.twimg.com/profile_banners/82360247/1385480606")</f>
        <v>https://pbs.twimg.com/profile_banners/82360247/1385480606</v>
      </c>
      <c r="AQ1160" s="81" t="b">
        <v>0</v>
      </c>
      <c r="AR1160" s="81" t="b">
        <v>0</v>
      </c>
      <c r="AS1160" s="81" t="b">
        <v>1</v>
      </c>
      <c r="AT1160" s="81"/>
      <c r="AU1160" s="81">
        <v>1</v>
      </c>
      <c r="AV1160" s="84" t="str">
        <f>HYPERLINK("https://abs.twimg.com/images/themes/theme14/bg.gif")</f>
        <v>https://abs.twimg.com/images/themes/theme14/bg.gif</v>
      </c>
      <c r="AW1160" s="81" t="b">
        <v>0</v>
      </c>
      <c r="AX1160" s="81" t="s">
        <v>3728</v>
      </c>
      <c r="AY1160" s="84" t="str">
        <f>HYPERLINK("https://twitter.com/ndressa_alves")</f>
        <v>https://twitter.com/ndressa_alves</v>
      </c>
      <c r="AZ1160" s="81" t="s">
        <v>66</v>
      </c>
      <c r="BA1160" s="2"/>
      <c r="BB1160" s="3"/>
      <c r="BC1160" s="3"/>
      <c r="BD1160" s="3"/>
      <c r="BE1160" s="3"/>
    </row>
    <row r="1161" spans="1:57" x14ac:dyDescent="0.35">
      <c r="A1161" s="66" t="s">
        <v>513</v>
      </c>
      <c r="B1161" s="67"/>
      <c r="C1161" s="67"/>
      <c r="D1161" s="68"/>
      <c r="E1161" s="94"/>
      <c r="F1161" s="93" t="str">
        <f>HYPERLINK("https://pbs.twimg.com/profile_images/1267031154193952770/dsv7qv8Y_normal.jpg")</f>
        <v>https://pbs.twimg.com/profile_images/1267031154193952770/dsv7qv8Y_normal.jpg</v>
      </c>
      <c r="G1161" s="95"/>
      <c r="H1161" s="71"/>
      <c r="I1161" s="72"/>
      <c r="J1161" s="96"/>
      <c r="K1161" s="71" t="s">
        <v>12185</v>
      </c>
      <c r="L1161" s="97"/>
      <c r="M1161" s="76"/>
      <c r="N1161" s="76"/>
      <c r="O1161" s="77"/>
      <c r="P1161" s="78"/>
      <c r="Q1161" s="78"/>
      <c r="R1161" s="92"/>
      <c r="S1161" s="92"/>
      <c r="T1161" s="92"/>
      <c r="U1161" s="92"/>
      <c r="V1161" s="52"/>
      <c r="W1161" s="52"/>
      <c r="X1161" s="52"/>
      <c r="Y1161" s="52"/>
      <c r="Z1161" s="51"/>
      <c r="AA1161" s="73"/>
      <c r="AB1161" s="73"/>
      <c r="AC1161" s="74"/>
      <c r="AD1161" s="81" t="s">
        <v>2597</v>
      </c>
      <c r="AE1161" s="86" t="s">
        <v>2151</v>
      </c>
      <c r="AF1161" s="81">
        <v>5</v>
      </c>
      <c r="AG1161" s="81">
        <v>14</v>
      </c>
      <c r="AH1161" s="81">
        <v>415</v>
      </c>
      <c r="AI1161" s="81">
        <v>5</v>
      </c>
      <c r="AJ1161" s="81"/>
      <c r="AK1161" s="81" t="s">
        <v>3423</v>
      </c>
      <c r="AL1161" s="81" t="s">
        <v>3694</v>
      </c>
      <c r="AM1161" s="84" t="str">
        <f>HYPERLINK("https://t.co/UxJuri8MTW")</f>
        <v>https://t.co/UxJuri8MTW</v>
      </c>
      <c r="AN1161" s="81"/>
      <c r="AO1161" s="83">
        <v>43982.348124999997</v>
      </c>
      <c r="AP1161" s="84" t="str">
        <f>HYPERLINK("https://pbs.twimg.com/profile_banners/1267008173832994816/1619018738")</f>
        <v>https://pbs.twimg.com/profile_banners/1267008173832994816/1619018738</v>
      </c>
      <c r="AQ1161" s="81" t="b">
        <v>1</v>
      </c>
      <c r="AR1161" s="81" t="b">
        <v>0</v>
      </c>
      <c r="AS1161" s="81" t="b">
        <v>0</v>
      </c>
      <c r="AT1161" s="81"/>
      <c r="AU1161" s="81">
        <v>0</v>
      </c>
      <c r="AV1161" s="81"/>
      <c r="AW1161" s="81" t="b">
        <v>0</v>
      </c>
      <c r="AX1161" s="81" t="s">
        <v>3728</v>
      </c>
      <c r="AY1161" s="84" t="str">
        <f>HYPERLINK("https://twitter.com/himasejarahfkip")</f>
        <v>https://twitter.com/himasejarahfkip</v>
      </c>
      <c r="AZ1161" s="81" t="s">
        <v>66</v>
      </c>
      <c r="BA1161" s="2"/>
      <c r="BB1161" s="3"/>
      <c r="BC1161" s="3"/>
      <c r="BD1161" s="3"/>
      <c r="BE1161" s="3"/>
    </row>
    <row r="1162" spans="1:57" x14ac:dyDescent="0.35">
      <c r="A1162" s="66" t="s">
        <v>4775</v>
      </c>
      <c r="B1162" s="67"/>
      <c r="C1162" s="67"/>
      <c r="D1162" s="68"/>
      <c r="E1162" s="94"/>
      <c r="F1162" s="93" t="str">
        <f>HYPERLINK("https://pbs.twimg.com/profile_images/1109724009053081601/_35i1NxS_normal.jpg")</f>
        <v>https://pbs.twimg.com/profile_images/1109724009053081601/_35i1NxS_normal.jpg</v>
      </c>
      <c r="G1162" s="95"/>
      <c r="H1162" s="71"/>
      <c r="I1162" s="72"/>
      <c r="J1162" s="96"/>
      <c r="K1162" s="71" t="s">
        <v>12186</v>
      </c>
      <c r="L1162" s="97"/>
      <c r="M1162" s="76"/>
      <c r="N1162" s="76"/>
      <c r="O1162" s="77"/>
      <c r="P1162" s="78"/>
      <c r="Q1162" s="78"/>
      <c r="R1162" s="92"/>
      <c r="S1162" s="92"/>
      <c r="T1162" s="92"/>
      <c r="U1162" s="92"/>
      <c r="V1162" s="52"/>
      <c r="W1162" s="52"/>
      <c r="X1162" s="52"/>
      <c r="Y1162" s="52"/>
      <c r="Z1162" s="51"/>
      <c r="AA1162" s="73"/>
      <c r="AB1162" s="73"/>
      <c r="AC1162" s="74"/>
      <c r="AD1162" s="81" t="s">
        <v>8807</v>
      </c>
      <c r="AE1162" s="86" t="s">
        <v>9785</v>
      </c>
      <c r="AF1162" s="81">
        <v>144</v>
      </c>
      <c r="AG1162" s="81">
        <v>10</v>
      </c>
      <c r="AH1162" s="81">
        <v>5</v>
      </c>
      <c r="AI1162" s="81">
        <v>0</v>
      </c>
      <c r="AJ1162" s="81"/>
      <c r="AK1162" s="81" t="s">
        <v>10707</v>
      </c>
      <c r="AL1162" s="81" t="s">
        <v>3686</v>
      </c>
      <c r="AM1162" s="81"/>
      <c r="AN1162" s="81"/>
      <c r="AO1162" s="83">
        <v>42598.107511574075</v>
      </c>
      <c r="AP1162" s="81"/>
      <c r="AQ1162" s="81" t="b">
        <v>1</v>
      </c>
      <c r="AR1162" s="81" t="b">
        <v>0</v>
      </c>
      <c r="AS1162" s="81" t="b">
        <v>0</v>
      </c>
      <c r="AT1162" s="81"/>
      <c r="AU1162" s="81">
        <v>0</v>
      </c>
      <c r="AV1162" s="81"/>
      <c r="AW1162" s="81" t="b">
        <v>0</v>
      </c>
      <c r="AX1162" s="81" t="s">
        <v>3728</v>
      </c>
      <c r="AY1162" s="84" t="str">
        <f>HYPERLINK("https://twitter.com/ritayul12")</f>
        <v>https://twitter.com/ritayul12</v>
      </c>
      <c r="AZ1162" s="81" t="s">
        <v>66</v>
      </c>
      <c r="BA1162" s="2"/>
      <c r="BB1162" s="3"/>
      <c r="BC1162" s="3"/>
      <c r="BD1162" s="3"/>
      <c r="BE1162" s="3"/>
    </row>
    <row r="1163" spans="1:57" x14ac:dyDescent="0.35">
      <c r="A1163" s="66" t="s">
        <v>4901</v>
      </c>
      <c r="B1163" s="67"/>
      <c r="C1163" s="67"/>
      <c r="D1163" s="68"/>
      <c r="E1163" s="94"/>
      <c r="F1163" s="93" t="str">
        <f>HYPERLINK("https://pbs.twimg.com/profile_images/894410793705365504/gKLX0MkN_normal.jpg")</f>
        <v>https://pbs.twimg.com/profile_images/894410793705365504/gKLX0MkN_normal.jpg</v>
      </c>
      <c r="G1163" s="95"/>
      <c r="H1163" s="71"/>
      <c r="I1163" s="72"/>
      <c r="J1163" s="96"/>
      <c r="K1163" s="71" t="s">
        <v>12187</v>
      </c>
      <c r="L1163" s="97"/>
      <c r="M1163" s="76"/>
      <c r="N1163" s="76"/>
      <c r="O1163" s="77"/>
      <c r="P1163" s="78"/>
      <c r="Q1163" s="78"/>
      <c r="R1163" s="92"/>
      <c r="S1163" s="92"/>
      <c r="T1163" s="92"/>
      <c r="U1163" s="92"/>
      <c r="V1163" s="52"/>
      <c r="W1163" s="52"/>
      <c r="X1163" s="52"/>
      <c r="Y1163" s="52"/>
      <c r="Z1163" s="51"/>
      <c r="AA1163" s="73"/>
      <c r="AB1163" s="73"/>
      <c r="AC1163" s="74"/>
      <c r="AD1163" s="81" t="s">
        <v>8808</v>
      </c>
      <c r="AE1163" s="86" t="s">
        <v>9786</v>
      </c>
      <c r="AF1163" s="81">
        <v>22</v>
      </c>
      <c r="AG1163" s="81">
        <v>417521</v>
      </c>
      <c r="AH1163" s="81">
        <v>319892</v>
      </c>
      <c r="AI1163" s="81">
        <v>900</v>
      </c>
      <c r="AJ1163" s="81"/>
      <c r="AK1163" s="81" t="s">
        <v>10708</v>
      </c>
      <c r="AL1163" s="81" t="s">
        <v>3503</v>
      </c>
      <c r="AM1163" s="84" t="str">
        <f>HYPERLINK("https://t.co/vwwcw02o6h")</f>
        <v>https://t.co/vwwcw02o6h</v>
      </c>
      <c r="AN1163" s="81"/>
      <c r="AO1163" s="83">
        <v>40191.747939814813</v>
      </c>
      <c r="AP1163" s="84" t="str">
        <f>HYPERLINK("https://pbs.twimg.com/profile_banners/104556071/1613357336")</f>
        <v>https://pbs.twimg.com/profile_banners/104556071/1613357336</v>
      </c>
      <c r="AQ1163" s="81" t="b">
        <v>0</v>
      </c>
      <c r="AR1163" s="81" t="b">
        <v>0</v>
      </c>
      <c r="AS1163" s="81" t="b">
        <v>0</v>
      </c>
      <c r="AT1163" s="81"/>
      <c r="AU1163" s="81">
        <v>521</v>
      </c>
      <c r="AV1163" s="84" t="str">
        <f>HYPERLINK("https://abs.twimg.com/images/themes/theme1/bg.png")</f>
        <v>https://abs.twimg.com/images/themes/theme1/bg.png</v>
      </c>
      <c r="AW1163" s="81" t="b">
        <v>1</v>
      </c>
      <c r="AX1163" s="81" t="s">
        <v>3728</v>
      </c>
      <c r="AY1163" s="84" t="str">
        <f>HYPERLINK("https://twitter.com/pt_transjakarta")</f>
        <v>https://twitter.com/pt_transjakarta</v>
      </c>
      <c r="AZ1163" s="81" t="s">
        <v>66</v>
      </c>
      <c r="BA1163" s="2"/>
      <c r="BB1163" s="3"/>
      <c r="BC1163" s="3"/>
      <c r="BD1163" s="3"/>
      <c r="BE1163" s="3"/>
    </row>
    <row r="1164" spans="1:57" x14ac:dyDescent="0.35">
      <c r="A1164" s="66" t="s">
        <v>515</v>
      </c>
      <c r="B1164" s="67"/>
      <c r="C1164" s="67"/>
      <c r="D1164" s="68"/>
      <c r="E1164" s="94"/>
      <c r="F1164" s="93" t="str">
        <f>HYPERLINK("https://pbs.twimg.com/profile_images/1439954480020135940/DhB-sGUa_normal.jpg")</f>
        <v>https://pbs.twimg.com/profile_images/1439954480020135940/DhB-sGUa_normal.jpg</v>
      </c>
      <c r="G1164" s="95"/>
      <c r="H1164" s="71"/>
      <c r="I1164" s="72"/>
      <c r="J1164" s="96"/>
      <c r="K1164" s="71" t="s">
        <v>4086</v>
      </c>
      <c r="L1164" s="97"/>
      <c r="M1164" s="76"/>
      <c r="N1164" s="76"/>
      <c r="O1164" s="77"/>
      <c r="P1164" s="78"/>
      <c r="Q1164" s="78"/>
      <c r="R1164" s="92"/>
      <c r="S1164" s="92"/>
      <c r="T1164" s="92"/>
      <c r="U1164" s="92"/>
      <c r="V1164" s="52"/>
      <c r="W1164" s="52"/>
      <c r="X1164" s="52"/>
      <c r="Y1164" s="52"/>
      <c r="Z1164" s="51"/>
      <c r="AA1164" s="73"/>
      <c r="AB1164" s="73"/>
      <c r="AC1164" s="74"/>
      <c r="AD1164" s="81" t="s">
        <v>2599</v>
      </c>
      <c r="AE1164" s="86" t="s">
        <v>3004</v>
      </c>
      <c r="AF1164" s="81">
        <v>1447</v>
      </c>
      <c r="AG1164" s="81">
        <v>1332</v>
      </c>
      <c r="AH1164" s="81">
        <v>5238</v>
      </c>
      <c r="AI1164" s="81">
        <v>2523</v>
      </c>
      <c r="AJ1164" s="81"/>
      <c r="AK1164" s="81" t="s">
        <v>3425</v>
      </c>
      <c r="AL1164" s="81"/>
      <c r="AM1164" s="84" t="str">
        <f>HYPERLINK("https://t.co/yqlu2j2kP9")</f>
        <v>https://t.co/yqlu2j2kP9</v>
      </c>
      <c r="AN1164" s="81"/>
      <c r="AO1164" s="83">
        <v>44189.064097222225</v>
      </c>
      <c r="AP1164" s="84" t="str">
        <f>HYPERLINK("https://pbs.twimg.com/profile_banners/1341919558555209730/1632146876")</f>
        <v>https://pbs.twimg.com/profile_banners/1341919558555209730/1632146876</v>
      </c>
      <c r="AQ1164" s="81" t="b">
        <v>1</v>
      </c>
      <c r="AR1164" s="81" t="b">
        <v>0</v>
      </c>
      <c r="AS1164" s="81" t="b">
        <v>0</v>
      </c>
      <c r="AT1164" s="81"/>
      <c r="AU1164" s="81">
        <v>7</v>
      </c>
      <c r="AV1164" s="81"/>
      <c r="AW1164" s="81" t="b">
        <v>0</v>
      </c>
      <c r="AX1164" s="81" t="s">
        <v>3728</v>
      </c>
      <c r="AY1164" s="84" t="str">
        <f>HYPERLINK("https://twitter.com/xxllyamr")</f>
        <v>https://twitter.com/xxllyamr</v>
      </c>
      <c r="AZ1164" s="81" t="s">
        <v>66</v>
      </c>
      <c r="BA1164" s="2"/>
      <c r="BB1164" s="3"/>
      <c r="BC1164" s="3"/>
      <c r="BD1164" s="3"/>
      <c r="BE1164" s="3"/>
    </row>
    <row r="1165" spans="1:57" x14ac:dyDescent="0.35">
      <c r="A1165" s="66" t="s">
        <v>686</v>
      </c>
      <c r="B1165" s="67"/>
      <c r="C1165" s="67"/>
      <c r="D1165" s="68"/>
      <c r="E1165" s="94"/>
      <c r="F1165" s="93" t="str">
        <f>HYPERLINK("https://pbs.twimg.com/profile_images/1433061275961999367/ap2gjluB_normal.jpg")</f>
        <v>https://pbs.twimg.com/profile_images/1433061275961999367/ap2gjluB_normal.jpg</v>
      </c>
      <c r="G1165" s="95"/>
      <c r="H1165" s="71"/>
      <c r="I1165" s="72"/>
      <c r="J1165" s="96"/>
      <c r="K1165" s="71" t="s">
        <v>4087</v>
      </c>
      <c r="L1165" s="97"/>
      <c r="M1165" s="76"/>
      <c r="N1165" s="76"/>
      <c r="O1165" s="77"/>
      <c r="P1165" s="78"/>
      <c r="Q1165" s="78"/>
      <c r="R1165" s="92"/>
      <c r="S1165" s="92"/>
      <c r="T1165" s="92"/>
      <c r="U1165" s="92"/>
      <c r="V1165" s="52"/>
      <c r="W1165" s="52"/>
      <c r="X1165" s="52"/>
      <c r="Y1165" s="52"/>
      <c r="Z1165" s="51"/>
      <c r="AA1165" s="73"/>
      <c r="AB1165" s="73"/>
      <c r="AC1165" s="74"/>
      <c r="AD1165" s="81" t="s">
        <v>2600</v>
      </c>
      <c r="AE1165" s="86" t="s">
        <v>2152</v>
      </c>
      <c r="AF1165" s="81">
        <v>425</v>
      </c>
      <c r="AG1165" s="81">
        <v>351</v>
      </c>
      <c r="AH1165" s="81">
        <v>1502</v>
      </c>
      <c r="AI1165" s="81">
        <v>2768</v>
      </c>
      <c r="AJ1165" s="81"/>
      <c r="AK1165" s="81" t="s">
        <v>3426</v>
      </c>
      <c r="AL1165" s="81" t="s">
        <v>3695</v>
      </c>
      <c r="AM1165" s="84" t="str">
        <f>HYPERLINK("https://t.co/WMzToFy7Ls")</f>
        <v>https://t.co/WMzToFy7Ls</v>
      </c>
      <c r="AN1165" s="81"/>
      <c r="AO1165" s="83">
        <v>44372.632430555554</v>
      </c>
      <c r="AP1165" s="84" t="str">
        <f>HYPERLINK("https://pbs.twimg.com/profile_banners/1408442491955671043/1630503453")</f>
        <v>https://pbs.twimg.com/profile_banners/1408442491955671043/1630503453</v>
      </c>
      <c r="AQ1165" s="81" t="b">
        <v>1</v>
      </c>
      <c r="AR1165" s="81" t="b">
        <v>0</v>
      </c>
      <c r="AS1165" s="81" t="b">
        <v>0</v>
      </c>
      <c r="AT1165" s="81"/>
      <c r="AU1165" s="81">
        <v>3</v>
      </c>
      <c r="AV1165" s="81"/>
      <c r="AW1165" s="81" t="b">
        <v>0</v>
      </c>
      <c r="AX1165" s="81" t="s">
        <v>3728</v>
      </c>
      <c r="AY1165" s="84" t="str">
        <f>HYPERLINK("https://twitter.com/rmdhntyamanda19")</f>
        <v>https://twitter.com/rmdhntyamanda19</v>
      </c>
      <c r="AZ1165" s="81" t="s">
        <v>65</v>
      </c>
      <c r="BA1165" s="2"/>
      <c r="BB1165" s="3"/>
      <c r="BC1165" s="3"/>
      <c r="BD1165" s="3"/>
      <c r="BE1165" s="3"/>
    </row>
    <row r="1166" spans="1:57" x14ac:dyDescent="0.35">
      <c r="A1166" s="66" t="s">
        <v>4776</v>
      </c>
      <c r="B1166" s="67"/>
      <c r="C1166" s="67"/>
      <c r="D1166" s="68"/>
      <c r="E1166" s="94"/>
      <c r="F1166" s="93" t="str">
        <f>HYPERLINK("https://pbs.twimg.com/profile_images/1434499510651310083/XQYkdA___normal.jpg")</f>
        <v>https://pbs.twimg.com/profile_images/1434499510651310083/XQYkdA___normal.jpg</v>
      </c>
      <c r="G1166" s="95"/>
      <c r="H1166" s="71"/>
      <c r="I1166" s="72"/>
      <c r="J1166" s="96"/>
      <c r="K1166" s="71" t="s">
        <v>12188</v>
      </c>
      <c r="L1166" s="97"/>
      <c r="M1166" s="76"/>
      <c r="N1166" s="76"/>
      <c r="O1166" s="77"/>
      <c r="P1166" s="78"/>
      <c r="Q1166" s="78"/>
      <c r="R1166" s="92"/>
      <c r="S1166" s="92"/>
      <c r="T1166" s="92"/>
      <c r="U1166" s="92"/>
      <c r="V1166" s="52"/>
      <c r="W1166" s="52"/>
      <c r="X1166" s="52"/>
      <c r="Y1166" s="52"/>
      <c r="Z1166" s="51"/>
      <c r="AA1166" s="73"/>
      <c r="AB1166" s="73"/>
      <c r="AC1166" s="74"/>
      <c r="AD1166" s="81" t="s">
        <v>8809</v>
      </c>
      <c r="AE1166" s="86" t="s">
        <v>9787</v>
      </c>
      <c r="AF1166" s="81">
        <v>1750</v>
      </c>
      <c r="AG1166" s="81">
        <v>1255</v>
      </c>
      <c r="AH1166" s="81">
        <v>20821</v>
      </c>
      <c r="AI1166" s="81">
        <v>19133</v>
      </c>
      <c r="AJ1166" s="81"/>
      <c r="AK1166" s="81" t="s">
        <v>10709</v>
      </c>
      <c r="AL1166" s="81" t="s">
        <v>10985</v>
      </c>
      <c r="AM1166" s="81"/>
      <c r="AN1166" s="81"/>
      <c r="AO1166" s="83">
        <v>40005.819421296299</v>
      </c>
      <c r="AP1166" s="84" t="str">
        <f>HYPERLINK("https://pbs.twimg.com/profile_banners/55910443/1632653940")</f>
        <v>https://pbs.twimg.com/profile_banners/55910443/1632653940</v>
      </c>
      <c r="AQ1166" s="81" t="b">
        <v>0</v>
      </c>
      <c r="AR1166" s="81" t="b">
        <v>0</v>
      </c>
      <c r="AS1166" s="81" t="b">
        <v>0</v>
      </c>
      <c r="AT1166" s="81"/>
      <c r="AU1166" s="81">
        <v>0</v>
      </c>
      <c r="AV1166" s="84" t="str">
        <f>HYPERLINK("https://abs.twimg.com/images/themes/theme3/bg.gif")</f>
        <v>https://abs.twimg.com/images/themes/theme3/bg.gif</v>
      </c>
      <c r="AW1166" s="81" t="b">
        <v>0</v>
      </c>
      <c r="AX1166" s="81" t="s">
        <v>3728</v>
      </c>
      <c r="AY1166" s="84" t="str">
        <f>HYPERLINK("https://twitter.com/fattoconsumado")</f>
        <v>https://twitter.com/fattoconsumado</v>
      </c>
      <c r="AZ1166" s="81" t="s">
        <v>66</v>
      </c>
      <c r="BA1166" s="2"/>
      <c r="BB1166" s="3"/>
      <c r="BC1166" s="3"/>
      <c r="BD1166" s="3"/>
      <c r="BE1166" s="3"/>
    </row>
    <row r="1167" spans="1:57" x14ac:dyDescent="0.35">
      <c r="A1167" s="66" t="s">
        <v>4777</v>
      </c>
      <c r="B1167" s="67"/>
      <c r="C1167" s="67"/>
      <c r="D1167" s="68"/>
      <c r="E1167" s="94"/>
      <c r="F1167" s="93" t="str">
        <f>HYPERLINK("https://pbs.twimg.com/profile_images/1438840839501795332/oGiabnXC_normal.png")</f>
        <v>https://pbs.twimg.com/profile_images/1438840839501795332/oGiabnXC_normal.png</v>
      </c>
      <c r="G1167" s="95"/>
      <c r="H1167" s="71"/>
      <c r="I1167" s="72"/>
      <c r="J1167" s="96"/>
      <c r="K1167" s="71" t="s">
        <v>12189</v>
      </c>
      <c r="L1167" s="97"/>
      <c r="M1167" s="76"/>
      <c r="N1167" s="76"/>
      <c r="O1167" s="77"/>
      <c r="P1167" s="78"/>
      <c r="Q1167" s="78"/>
      <c r="R1167" s="92"/>
      <c r="S1167" s="92"/>
      <c r="T1167" s="92"/>
      <c r="U1167" s="92"/>
      <c r="V1167" s="52"/>
      <c r="W1167" s="52"/>
      <c r="X1167" s="52"/>
      <c r="Y1167" s="52"/>
      <c r="Z1167" s="51"/>
      <c r="AA1167" s="73"/>
      <c r="AB1167" s="73"/>
      <c r="AC1167" s="74"/>
      <c r="AD1167" s="81" t="s">
        <v>13486</v>
      </c>
      <c r="AE1167" s="86" t="s">
        <v>9788</v>
      </c>
      <c r="AF1167" s="81">
        <v>505</v>
      </c>
      <c r="AG1167" s="81">
        <v>425</v>
      </c>
      <c r="AH1167" s="81">
        <v>7469</v>
      </c>
      <c r="AI1167" s="81">
        <v>15258</v>
      </c>
      <c r="AJ1167" s="81"/>
      <c r="AK1167" s="81" t="s">
        <v>10710</v>
      </c>
      <c r="AL1167" s="81" t="s">
        <v>11273</v>
      </c>
      <c r="AM1167" s="84" t="str">
        <f>HYPERLINK("https://t.co/US7wAsLKJu")</f>
        <v>https://t.co/US7wAsLKJu</v>
      </c>
      <c r="AN1167" s="81"/>
      <c r="AO1167" s="83">
        <v>43819.279432870368</v>
      </c>
      <c r="AP1167" s="84" t="str">
        <f>HYPERLINK("https://pbs.twimg.com/profile_banners/1207914082273153025/1631881464")</f>
        <v>https://pbs.twimg.com/profile_banners/1207914082273153025/1631881464</v>
      </c>
      <c r="AQ1167" s="81" t="b">
        <v>1</v>
      </c>
      <c r="AR1167" s="81" t="b">
        <v>0</v>
      </c>
      <c r="AS1167" s="81" t="b">
        <v>0</v>
      </c>
      <c r="AT1167" s="81"/>
      <c r="AU1167" s="81">
        <v>4</v>
      </c>
      <c r="AV1167" s="81"/>
      <c r="AW1167" s="81" t="b">
        <v>0</v>
      </c>
      <c r="AX1167" s="81" t="s">
        <v>3728</v>
      </c>
      <c r="AY1167" s="84" t="str">
        <f>HYPERLINK("https://twitter.com/kimnryn")</f>
        <v>https://twitter.com/kimnryn</v>
      </c>
      <c r="AZ1167" s="81" t="s">
        <v>66</v>
      </c>
      <c r="BA1167" s="2"/>
      <c r="BB1167" s="3"/>
      <c r="BC1167" s="3"/>
      <c r="BD1167" s="3"/>
      <c r="BE1167" s="3"/>
    </row>
    <row r="1168" spans="1:57" x14ac:dyDescent="0.35">
      <c r="A1168" s="66" t="s">
        <v>4778</v>
      </c>
      <c r="B1168" s="67"/>
      <c r="C1168" s="67"/>
      <c r="D1168" s="68"/>
      <c r="E1168" s="94"/>
      <c r="F1168" s="93" t="str">
        <f>HYPERLINK("https://pbs.twimg.com/profile_images/1442668990904471552/w9oYMO9W_normal.jpg")</f>
        <v>https://pbs.twimg.com/profile_images/1442668990904471552/w9oYMO9W_normal.jpg</v>
      </c>
      <c r="G1168" s="95"/>
      <c r="H1168" s="71"/>
      <c r="I1168" s="72"/>
      <c r="J1168" s="96"/>
      <c r="K1168" s="71" t="s">
        <v>12190</v>
      </c>
      <c r="L1168" s="97"/>
      <c r="M1168" s="76"/>
      <c r="N1168" s="76"/>
      <c r="O1168" s="77"/>
      <c r="P1168" s="78"/>
      <c r="Q1168" s="78"/>
      <c r="R1168" s="92"/>
      <c r="S1168" s="92"/>
      <c r="T1168" s="92"/>
      <c r="U1168" s="92"/>
      <c r="V1168" s="52"/>
      <c r="W1168" s="52"/>
      <c r="X1168" s="52"/>
      <c r="Y1168" s="52"/>
      <c r="Z1168" s="51"/>
      <c r="AA1168" s="73"/>
      <c r="AB1168" s="73"/>
      <c r="AC1168" s="74"/>
      <c r="AD1168" s="81" t="s">
        <v>13487</v>
      </c>
      <c r="AE1168" s="86" t="s">
        <v>9789</v>
      </c>
      <c r="AF1168" s="81">
        <v>180</v>
      </c>
      <c r="AG1168" s="81">
        <v>108</v>
      </c>
      <c r="AH1168" s="81">
        <v>7373</v>
      </c>
      <c r="AI1168" s="81">
        <v>12611</v>
      </c>
      <c r="AJ1168" s="81"/>
      <c r="AK1168" s="81" t="s">
        <v>13944</v>
      </c>
      <c r="AL1168" s="81"/>
      <c r="AM1168" s="84" t="str">
        <f>HYPERLINK("https://t.co/UOTIDbPiM1")</f>
        <v>https://t.co/UOTIDbPiM1</v>
      </c>
      <c r="AN1168" s="81"/>
      <c r="AO1168" s="83">
        <v>43757.484710648147</v>
      </c>
      <c r="AP1168" s="84" t="str">
        <f>HYPERLINK("https://pbs.twimg.com/profile_banners/1185520377738362880/1632794065")</f>
        <v>https://pbs.twimg.com/profile_banners/1185520377738362880/1632794065</v>
      </c>
      <c r="AQ1168" s="81" t="b">
        <v>1</v>
      </c>
      <c r="AR1168" s="81" t="b">
        <v>0</v>
      </c>
      <c r="AS1168" s="81" t="b">
        <v>0</v>
      </c>
      <c r="AT1168" s="81"/>
      <c r="AU1168" s="81">
        <v>0</v>
      </c>
      <c r="AV1168" s="81"/>
      <c r="AW1168" s="81" t="b">
        <v>0</v>
      </c>
      <c r="AX1168" s="81" t="s">
        <v>3728</v>
      </c>
      <c r="AY1168" s="84" t="str">
        <f>HYPERLINK("https://twitter.com/nicholepwue")</f>
        <v>https://twitter.com/nicholepwue</v>
      </c>
      <c r="AZ1168" s="81" t="s">
        <v>66</v>
      </c>
      <c r="BA1168" s="2"/>
      <c r="BB1168" s="3"/>
      <c r="BC1168" s="3"/>
      <c r="BD1168" s="3"/>
      <c r="BE1168" s="3"/>
    </row>
    <row r="1169" spans="1:57" x14ac:dyDescent="0.35">
      <c r="A1169" s="66" t="s">
        <v>516</v>
      </c>
      <c r="B1169" s="67"/>
      <c r="C1169" s="67"/>
      <c r="D1169" s="68"/>
      <c r="E1169" s="94"/>
      <c r="F1169" s="93" t="str">
        <f>HYPERLINK("https://pbs.twimg.com/profile_images/1050608418191331328/f_aM8ogA_normal.jpg")</f>
        <v>https://pbs.twimg.com/profile_images/1050608418191331328/f_aM8ogA_normal.jpg</v>
      </c>
      <c r="G1169" s="95"/>
      <c r="H1169" s="71"/>
      <c r="I1169" s="72"/>
      <c r="J1169" s="96"/>
      <c r="K1169" s="71" t="s">
        <v>4088</v>
      </c>
      <c r="L1169" s="97"/>
      <c r="M1169" s="76"/>
      <c r="N1169" s="76"/>
      <c r="O1169" s="77"/>
      <c r="P1169" s="78"/>
      <c r="Q1169" s="78"/>
      <c r="R1169" s="92"/>
      <c r="S1169" s="92"/>
      <c r="T1169" s="92"/>
      <c r="U1169" s="92"/>
      <c r="V1169" s="52"/>
      <c r="W1169" s="52"/>
      <c r="X1169" s="52"/>
      <c r="Y1169" s="52"/>
      <c r="Z1169" s="51"/>
      <c r="AA1169" s="73"/>
      <c r="AB1169" s="73"/>
      <c r="AC1169" s="74"/>
      <c r="AD1169" s="81" t="s">
        <v>2601</v>
      </c>
      <c r="AE1169" s="86" t="s">
        <v>3005</v>
      </c>
      <c r="AF1169" s="81">
        <v>114</v>
      </c>
      <c r="AG1169" s="81">
        <v>9258</v>
      </c>
      <c r="AH1169" s="81">
        <v>79760</v>
      </c>
      <c r="AI1169" s="81">
        <v>435</v>
      </c>
      <c r="AJ1169" s="81"/>
      <c r="AK1169" s="81" t="s">
        <v>3427</v>
      </c>
      <c r="AL1169" s="81" t="s">
        <v>3512</v>
      </c>
      <c r="AM1169" s="84" t="str">
        <f>HYPERLINK("https://t.co/95zO5Kdk4c")</f>
        <v>https://t.co/95zO5Kdk4c</v>
      </c>
      <c r="AN1169" s="81"/>
      <c r="AO1169" s="83">
        <v>41303.142951388887</v>
      </c>
      <c r="AP1169" s="84" t="str">
        <f>HYPERLINK("https://pbs.twimg.com/profile_banners/1129936609/1539319842")</f>
        <v>https://pbs.twimg.com/profile_banners/1129936609/1539319842</v>
      </c>
      <c r="AQ1169" s="81" t="b">
        <v>0</v>
      </c>
      <c r="AR1169" s="81" t="b">
        <v>0</v>
      </c>
      <c r="AS1169" s="81" t="b">
        <v>1</v>
      </c>
      <c r="AT1169" s="81"/>
      <c r="AU1169" s="81">
        <v>31</v>
      </c>
      <c r="AV1169" s="84" t="str">
        <f>HYPERLINK("https://abs.twimg.com/images/themes/theme1/bg.png")</f>
        <v>https://abs.twimg.com/images/themes/theme1/bg.png</v>
      </c>
      <c r="AW1169" s="81" t="b">
        <v>1</v>
      </c>
      <c r="AX1169" s="81" t="s">
        <v>3728</v>
      </c>
      <c r="AY1169" s="84" t="str">
        <f>HYPERLINK("https://twitter.com/rriprograma3")</f>
        <v>https://twitter.com/rriprograma3</v>
      </c>
      <c r="AZ1169" s="81" t="s">
        <v>66</v>
      </c>
      <c r="BA1169" s="2"/>
      <c r="BB1169" s="3"/>
      <c r="BC1169" s="3"/>
      <c r="BD1169" s="3"/>
      <c r="BE1169" s="3"/>
    </row>
    <row r="1170" spans="1:57" x14ac:dyDescent="0.35">
      <c r="A1170" s="66" t="s">
        <v>517</v>
      </c>
      <c r="B1170" s="67"/>
      <c r="C1170" s="67"/>
      <c r="D1170" s="68"/>
      <c r="E1170" s="94"/>
      <c r="F1170" s="93" t="str">
        <f>HYPERLINK("https://pbs.twimg.com/profile_images/764999946449788930/DJGwvVPd_normal.jpg")</f>
        <v>https://pbs.twimg.com/profile_images/764999946449788930/DJGwvVPd_normal.jpg</v>
      </c>
      <c r="G1170" s="95"/>
      <c r="H1170" s="71"/>
      <c r="I1170" s="72"/>
      <c r="J1170" s="96"/>
      <c r="K1170" s="71" t="s">
        <v>4089</v>
      </c>
      <c r="L1170" s="97"/>
      <c r="M1170" s="76"/>
      <c r="N1170" s="76"/>
      <c r="O1170" s="77"/>
      <c r="P1170" s="78"/>
      <c r="Q1170" s="78"/>
      <c r="R1170" s="92"/>
      <c r="S1170" s="92"/>
      <c r="T1170" s="92"/>
      <c r="U1170" s="92"/>
      <c r="V1170" s="52"/>
      <c r="W1170" s="52"/>
      <c r="X1170" s="52"/>
      <c r="Y1170" s="52"/>
      <c r="Z1170" s="51"/>
      <c r="AA1170" s="73"/>
      <c r="AB1170" s="73"/>
      <c r="AC1170" s="74"/>
      <c r="AD1170" s="81" t="s">
        <v>2602</v>
      </c>
      <c r="AE1170" s="86" t="s">
        <v>2153</v>
      </c>
      <c r="AF1170" s="81">
        <v>385</v>
      </c>
      <c r="AG1170" s="81">
        <v>734</v>
      </c>
      <c r="AH1170" s="81">
        <v>4873</v>
      </c>
      <c r="AI1170" s="81">
        <v>56</v>
      </c>
      <c r="AJ1170" s="81"/>
      <c r="AK1170" s="81" t="s">
        <v>3428</v>
      </c>
      <c r="AL1170" s="81" t="s">
        <v>3697</v>
      </c>
      <c r="AM1170" s="84" t="str">
        <f>HYPERLINK("https://t.co/Q9PAKiREEs")</f>
        <v>https://t.co/Q9PAKiREEs</v>
      </c>
      <c r="AN1170" s="81"/>
      <c r="AO1170" s="83">
        <v>41038.518437500003</v>
      </c>
      <c r="AP1170" s="84" t="str">
        <f>HYPERLINK("https://pbs.twimg.com/profile_banners/575312554/1495614154")</f>
        <v>https://pbs.twimg.com/profile_banners/575312554/1495614154</v>
      </c>
      <c r="AQ1170" s="81" t="b">
        <v>0</v>
      </c>
      <c r="AR1170" s="81" t="b">
        <v>0</v>
      </c>
      <c r="AS1170" s="81" t="b">
        <v>1</v>
      </c>
      <c r="AT1170" s="81"/>
      <c r="AU1170" s="81">
        <v>0</v>
      </c>
      <c r="AV1170" s="84" t="str">
        <f>HYPERLINK("https://abs.twimg.com/images/themes/theme1/bg.png")</f>
        <v>https://abs.twimg.com/images/themes/theme1/bg.png</v>
      </c>
      <c r="AW1170" s="81" t="b">
        <v>0</v>
      </c>
      <c r="AX1170" s="81" t="s">
        <v>3728</v>
      </c>
      <c r="AY1170" s="84" t="str">
        <f>HYPERLINK("https://twitter.com/himapentikaunri")</f>
        <v>https://twitter.com/himapentikaunri</v>
      </c>
      <c r="AZ1170" s="81" t="s">
        <v>66</v>
      </c>
      <c r="BA1170" s="2"/>
      <c r="BB1170" s="3"/>
      <c r="BC1170" s="3"/>
      <c r="BD1170" s="3"/>
      <c r="BE1170" s="3"/>
    </row>
    <row r="1171" spans="1:57" x14ac:dyDescent="0.35">
      <c r="A1171" s="66" t="s">
        <v>4779</v>
      </c>
      <c r="B1171" s="67"/>
      <c r="C1171" s="67"/>
      <c r="D1171" s="68"/>
      <c r="E1171" s="94"/>
      <c r="F1171" s="93" t="str">
        <f>HYPERLINK("https://pbs.twimg.com/profile_images/1421983924549529607/JbJM3l0P_normal.jpg")</f>
        <v>https://pbs.twimg.com/profile_images/1421983924549529607/JbJM3l0P_normal.jpg</v>
      </c>
      <c r="G1171" s="95"/>
      <c r="H1171" s="71"/>
      <c r="I1171" s="72"/>
      <c r="J1171" s="96"/>
      <c r="K1171" s="71" t="s">
        <v>12191</v>
      </c>
      <c r="L1171" s="97"/>
      <c r="M1171" s="76"/>
      <c r="N1171" s="76"/>
      <c r="O1171" s="77"/>
      <c r="P1171" s="78"/>
      <c r="Q1171" s="78"/>
      <c r="R1171" s="92"/>
      <c r="S1171" s="92"/>
      <c r="T1171" s="92"/>
      <c r="U1171" s="92"/>
      <c r="V1171" s="52"/>
      <c r="W1171" s="52"/>
      <c r="X1171" s="52"/>
      <c r="Y1171" s="52"/>
      <c r="Z1171" s="51"/>
      <c r="AA1171" s="73"/>
      <c r="AB1171" s="73"/>
      <c r="AC1171" s="74"/>
      <c r="AD1171" s="81" t="s">
        <v>8810</v>
      </c>
      <c r="AE1171" s="86" t="s">
        <v>9790</v>
      </c>
      <c r="AF1171" s="81">
        <v>1851</v>
      </c>
      <c r="AG1171" s="81">
        <v>1978</v>
      </c>
      <c r="AH1171" s="81">
        <v>224332</v>
      </c>
      <c r="AI1171" s="81">
        <v>352571</v>
      </c>
      <c r="AJ1171" s="81"/>
      <c r="AK1171" s="81" t="s">
        <v>10711</v>
      </c>
      <c r="AL1171" s="81"/>
      <c r="AM1171" s="84" t="str">
        <f>HYPERLINK("https://t.co/MnUn9tZPOA")</f>
        <v>https://t.co/MnUn9tZPOA</v>
      </c>
      <c r="AN1171" s="81"/>
      <c r="AO1171" s="83">
        <v>39902.650069444448</v>
      </c>
      <c r="AP1171" s="84" t="str">
        <f>HYPERLINK("https://pbs.twimg.com/profile_banners/27660599/1630936510")</f>
        <v>https://pbs.twimg.com/profile_banners/27660599/1630936510</v>
      </c>
      <c r="AQ1171" s="81" t="b">
        <v>0</v>
      </c>
      <c r="AR1171" s="81" t="b">
        <v>0</v>
      </c>
      <c r="AS1171" s="81" t="b">
        <v>0</v>
      </c>
      <c r="AT1171" s="81"/>
      <c r="AU1171" s="81">
        <v>6</v>
      </c>
      <c r="AV1171" s="84" t="str">
        <f>HYPERLINK("https://abs.twimg.com/images/themes/theme1/bg.png")</f>
        <v>https://abs.twimg.com/images/themes/theme1/bg.png</v>
      </c>
      <c r="AW1171" s="81" t="b">
        <v>0</v>
      </c>
      <c r="AX1171" s="81" t="s">
        <v>3728</v>
      </c>
      <c r="AY1171" s="84" t="str">
        <f>HYPERLINK("https://twitter.com/wilmenbr")</f>
        <v>https://twitter.com/wilmenbr</v>
      </c>
      <c r="AZ1171" s="81" t="s">
        <v>66</v>
      </c>
      <c r="BA1171" s="2"/>
      <c r="BB1171" s="3"/>
      <c r="BC1171" s="3"/>
      <c r="BD1171" s="3"/>
      <c r="BE1171" s="3"/>
    </row>
    <row r="1172" spans="1:57" x14ac:dyDescent="0.35">
      <c r="A1172" s="66" t="s">
        <v>4780</v>
      </c>
      <c r="B1172" s="67"/>
      <c r="C1172" s="67"/>
      <c r="D1172" s="68"/>
      <c r="E1172" s="94"/>
      <c r="F1172" s="93" t="str">
        <f>HYPERLINK("https://pbs.twimg.com/profile_images/1254184236359266305/uSGefB49_normal.jpg")</f>
        <v>https://pbs.twimg.com/profile_images/1254184236359266305/uSGefB49_normal.jpg</v>
      </c>
      <c r="G1172" s="95"/>
      <c r="H1172" s="71"/>
      <c r="I1172" s="72"/>
      <c r="J1172" s="96"/>
      <c r="K1172" s="71" t="s">
        <v>12192</v>
      </c>
      <c r="L1172" s="97"/>
      <c r="M1172" s="76"/>
      <c r="N1172" s="76"/>
      <c r="O1172" s="77"/>
      <c r="P1172" s="78"/>
      <c r="Q1172" s="78"/>
      <c r="R1172" s="92"/>
      <c r="S1172" s="92"/>
      <c r="T1172" s="92"/>
      <c r="U1172" s="92"/>
      <c r="V1172" s="52"/>
      <c r="W1172" s="52"/>
      <c r="X1172" s="52"/>
      <c r="Y1172" s="52"/>
      <c r="Z1172" s="51"/>
      <c r="AA1172" s="73"/>
      <c r="AB1172" s="73"/>
      <c r="AC1172" s="74"/>
      <c r="AD1172" s="81" t="s">
        <v>8811</v>
      </c>
      <c r="AE1172" s="86" t="s">
        <v>9791</v>
      </c>
      <c r="AF1172" s="81">
        <v>1414</v>
      </c>
      <c r="AG1172" s="81">
        <v>1468</v>
      </c>
      <c r="AH1172" s="81">
        <v>32094</v>
      </c>
      <c r="AI1172" s="81">
        <v>47896</v>
      </c>
      <c r="AJ1172" s="81"/>
      <c r="AK1172" s="81" t="s">
        <v>10712</v>
      </c>
      <c r="AL1172" s="81" t="s">
        <v>11274</v>
      </c>
      <c r="AM1172" s="81"/>
      <c r="AN1172" s="81"/>
      <c r="AO1172" s="83">
        <v>39985.104907407411</v>
      </c>
      <c r="AP1172" s="81"/>
      <c r="AQ1172" s="81" t="b">
        <v>1</v>
      </c>
      <c r="AR1172" s="81" t="b">
        <v>0</v>
      </c>
      <c r="AS1172" s="81" t="b">
        <v>0</v>
      </c>
      <c r="AT1172" s="81"/>
      <c r="AU1172" s="81">
        <v>0</v>
      </c>
      <c r="AV1172" s="84" t="str">
        <f>HYPERLINK("https://abs.twimg.com/images/themes/theme1/bg.png")</f>
        <v>https://abs.twimg.com/images/themes/theme1/bg.png</v>
      </c>
      <c r="AW1172" s="81" t="b">
        <v>0</v>
      </c>
      <c r="AX1172" s="81" t="s">
        <v>3728</v>
      </c>
      <c r="AY1172" s="84" t="str">
        <f>HYPERLINK("https://twitter.com/richymuller4")</f>
        <v>https://twitter.com/richymuller4</v>
      </c>
      <c r="AZ1172" s="81" t="s">
        <v>66</v>
      </c>
      <c r="BA1172" s="2"/>
      <c r="BB1172" s="3"/>
      <c r="BC1172" s="3"/>
      <c r="BD1172" s="3"/>
      <c r="BE1172" s="3"/>
    </row>
    <row r="1173" spans="1:57" x14ac:dyDescent="0.35">
      <c r="A1173" s="66" t="s">
        <v>518</v>
      </c>
      <c r="B1173" s="67"/>
      <c r="C1173" s="67"/>
      <c r="D1173" s="68"/>
      <c r="E1173" s="94"/>
      <c r="F1173" s="93" t="str">
        <f>HYPERLINK("https://pbs.twimg.com/profile_images/915028163700285440/_AUDht47_normal.jpg")</f>
        <v>https://pbs.twimg.com/profile_images/915028163700285440/_AUDht47_normal.jpg</v>
      </c>
      <c r="G1173" s="95"/>
      <c r="H1173" s="71"/>
      <c r="I1173" s="72"/>
      <c r="J1173" s="96"/>
      <c r="K1173" s="71" t="s">
        <v>4090</v>
      </c>
      <c r="L1173" s="97"/>
      <c r="M1173" s="76"/>
      <c r="N1173" s="76"/>
      <c r="O1173" s="77"/>
      <c r="P1173" s="78"/>
      <c r="Q1173" s="78"/>
      <c r="R1173" s="92"/>
      <c r="S1173" s="92"/>
      <c r="T1173" s="92"/>
      <c r="U1173" s="92"/>
      <c r="V1173" s="52"/>
      <c r="W1173" s="52"/>
      <c r="X1173" s="52"/>
      <c r="Y1173" s="52"/>
      <c r="Z1173" s="51"/>
      <c r="AA1173" s="73"/>
      <c r="AB1173" s="73"/>
      <c r="AC1173" s="74"/>
      <c r="AD1173" s="81" t="s">
        <v>2603</v>
      </c>
      <c r="AE1173" s="86" t="s">
        <v>2154</v>
      </c>
      <c r="AF1173" s="81">
        <v>184</v>
      </c>
      <c r="AG1173" s="81">
        <v>66930</v>
      </c>
      <c r="AH1173" s="81">
        <v>27308</v>
      </c>
      <c r="AI1173" s="81">
        <v>1433</v>
      </c>
      <c r="AJ1173" s="81"/>
      <c r="AK1173" s="81" t="s">
        <v>3429</v>
      </c>
      <c r="AL1173" s="81" t="s">
        <v>2203</v>
      </c>
      <c r="AM1173" s="84" t="str">
        <f>HYPERLINK("https://t.co/cTiPd265Sr")</f>
        <v>https://t.co/cTiPd265Sr</v>
      </c>
      <c r="AN1173" s="81"/>
      <c r="AO1173" s="83">
        <v>42705.367662037039</v>
      </c>
      <c r="AP1173" s="84" t="str">
        <f>HYPERLINK("https://pbs.twimg.com/profile_banners/804246011837190145/1546842847")</f>
        <v>https://pbs.twimg.com/profile_banners/804246011837190145/1546842847</v>
      </c>
      <c r="AQ1173" s="81" t="b">
        <v>1</v>
      </c>
      <c r="AR1173" s="81" t="b">
        <v>0</v>
      </c>
      <c r="AS1173" s="81" t="b">
        <v>1</v>
      </c>
      <c r="AT1173" s="81"/>
      <c r="AU1173" s="81">
        <v>63</v>
      </c>
      <c r="AV1173" s="81"/>
      <c r="AW1173" s="81" t="b">
        <v>1</v>
      </c>
      <c r="AX1173" s="81" t="s">
        <v>3728</v>
      </c>
      <c r="AY1173" s="84" t="str">
        <f>HYPERLINK("https://twitter.com/humas_jogja")</f>
        <v>https://twitter.com/humas_jogja</v>
      </c>
      <c r="AZ1173" s="81" t="s">
        <v>66</v>
      </c>
      <c r="BA1173" s="2"/>
      <c r="BB1173" s="3"/>
      <c r="BC1173" s="3"/>
      <c r="BD1173" s="3"/>
      <c r="BE1173" s="3"/>
    </row>
    <row r="1174" spans="1:57" x14ac:dyDescent="0.35">
      <c r="A1174" s="66" t="s">
        <v>4781</v>
      </c>
      <c r="B1174" s="67"/>
      <c r="C1174" s="67"/>
      <c r="D1174" s="68"/>
      <c r="E1174" s="94"/>
      <c r="F1174" s="93" t="str">
        <f>HYPERLINK("https://pbs.twimg.com/profile_images/1431604717285777413/uH73aDzL_normal.jpg")</f>
        <v>https://pbs.twimg.com/profile_images/1431604717285777413/uH73aDzL_normal.jpg</v>
      </c>
      <c r="G1174" s="95"/>
      <c r="H1174" s="71"/>
      <c r="I1174" s="72"/>
      <c r="J1174" s="96"/>
      <c r="K1174" s="71" t="s">
        <v>12193</v>
      </c>
      <c r="L1174" s="97"/>
      <c r="M1174" s="76"/>
      <c r="N1174" s="76"/>
      <c r="O1174" s="77"/>
      <c r="P1174" s="78"/>
      <c r="Q1174" s="78"/>
      <c r="R1174" s="92"/>
      <c r="S1174" s="92"/>
      <c r="T1174" s="92"/>
      <c r="U1174" s="92"/>
      <c r="V1174" s="52"/>
      <c r="W1174" s="52"/>
      <c r="X1174" s="52"/>
      <c r="Y1174" s="52"/>
      <c r="Z1174" s="51"/>
      <c r="AA1174" s="73"/>
      <c r="AB1174" s="73"/>
      <c r="AC1174" s="74"/>
      <c r="AD1174" s="81" t="s">
        <v>8812</v>
      </c>
      <c r="AE1174" s="86" t="s">
        <v>9792</v>
      </c>
      <c r="AF1174" s="81">
        <v>4990</v>
      </c>
      <c r="AG1174" s="81">
        <v>1795</v>
      </c>
      <c r="AH1174" s="81">
        <v>128545</v>
      </c>
      <c r="AI1174" s="81">
        <v>220633</v>
      </c>
      <c r="AJ1174" s="81"/>
      <c r="AK1174" s="81" t="s">
        <v>10713</v>
      </c>
      <c r="AL1174" s="81" t="s">
        <v>11275</v>
      </c>
      <c r="AM1174" s="84" t="str">
        <f>HYPERLINK("https://t.co/dYbTS7YHGU")</f>
        <v>https://t.co/dYbTS7YHGU</v>
      </c>
      <c r="AN1174" s="81"/>
      <c r="AO1174" s="83">
        <v>40144.606111111112</v>
      </c>
      <c r="AP1174" s="84" t="str">
        <f>HYPERLINK("https://pbs.twimg.com/profile_banners/92979491/1629934165")</f>
        <v>https://pbs.twimg.com/profile_banners/92979491/1629934165</v>
      </c>
      <c r="AQ1174" s="81" t="b">
        <v>0</v>
      </c>
      <c r="AR1174" s="81" t="b">
        <v>0</v>
      </c>
      <c r="AS1174" s="81" t="b">
        <v>0</v>
      </c>
      <c r="AT1174" s="81"/>
      <c r="AU1174" s="81">
        <v>8</v>
      </c>
      <c r="AV1174" s="84" t="str">
        <f>HYPERLINK("https://abs.twimg.com/images/themes/theme14/bg.gif")</f>
        <v>https://abs.twimg.com/images/themes/theme14/bg.gif</v>
      </c>
      <c r="AW1174" s="81" t="b">
        <v>0</v>
      </c>
      <c r="AX1174" s="81" t="s">
        <v>3728</v>
      </c>
      <c r="AY1174" s="84" t="str">
        <f>HYPERLINK("https://twitter.com/eipaulorossi")</f>
        <v>https://twitter.com/eipaulorossi</v>
      </c>
      <c r="AZ1174" s="81" t="s">
        <v>66</v>
      </c>
      <c r="BA1174" s="2"/>
      <c r="BB1174" s="3"/>
      <c r="BC1174" s="3"/>
      <c r="BD1174" s="3"/>
      <c r="BE1174" s="3"/>
    </row>
    <row r="1175" spans="1:57" x14ac:dyDescent="0.35">
      <c r="A1175" s="66" t="s">
        <v>4782</v>
      </c>
      <c r="B1175" s="67"/>
      <c r="C1175" s="67"/>
      <c r="D1175" s="68"/>
      <c r="E1175" s="94"/>
      <c r="F1175" s="93" t="str">
        <f>HYPERLINK("https://pbs.twimg.com/profile_images/1435472877676072960/EZbGdYeN_normal.jpg")</f>
        <v>https://pbs.twimg.com/profile_images/1435472877676072960/EZbGdYeN_normal.jpg</v>
      </c>
      <c r="G1175" s="95"/>
      <c r="H1175" s="71"/>
      <c r="I1175" s="72"/>
      <c r="J1175" s="96"/>
      <c r="K1175" s="71" t="s">
        <v>12194</v>
      </c>
      <c r="L1175" s="97"/>
      <c r="M1175" s="76"/>
      <c r="N1175" s="76"/>
      <c r="O1175" s="77"/>
      <c r="P1175" s="78"/>
      <c r="Q1175" s="78"/>
      <c r="R1175" s="92"/>
      <c r="S1175" s="92"/>
      <c r="T1175" s="92"/>
      <c r="U1175" s="92"/>
      <c r="V1175" s="52"/>
      <c r="W1175" s="52"/>
      <c r="X1175" s="52"/>
      <c r="Y1175" s="52"/>
      <c r="Z1175" s="51"/>
      <c r="AA1175" s="73"/>
      <c r="AB1175" s="73"/>
      <c r="AC1175" s="74"/>
      <c r="AD1175" s="81" t="s">
        <v>8813</v>
      </c>
      <c r="AE1175" s="86" t="s">
        <v>9793</v>
      </c>
      <c r="AF1175" s="81">
        <v>844</v>
      </c>
      <c r="AG1175" s="81">
        <v>1467</v>
      </c>
      <c r="AH1175" s="81">
        <v>72667</v>
      </c>
      <c r="AI1175" s="81">
        <v>157940</v>
      </c>
      <c r="AJ1175" s="81"/>
      <c r="AK1175" s="81" t="s">
        <v>10714</v>
      </c>
      <c r="AL1175" s="81" t="s">
        <v>11276</v>
      </c>
      <c r="AM1175" s="81"/>
      <c r="AN1175" s="81"/>
      <c r="AO1175" s="83">
        <v>40228.725370370368</v>
      </c>
      <c r="AP1175" s="84" t="str">
        <f>HYPERLINK("https://pbs.twimg.com/profile_banners/115716741/1631056850")</f>
        <v>https://pbs.twimg.com/profile_banners/115716741/1631056850</v>
      </c>
      <c r="AQ1175" s="81" t="b">
        <v>0</v>
      </c>
      <c r="AR1175" s="81" t="b">
        <v>0</v>
      </c>
      <c r="AS1175" s="81" t="b">
        <v>0</v>
      </c>
      <c r="AT1175" s="81"/>
      <c r="AU1175" s="81">
        <v>1</v>
      </c>
      <c r="AV1175" s="84" t="str">
        <f>HYPERLINK("https://abs.twimg.com/images/themes/theme1/bg.png")</f>
        <v>https://abs.twimg.com/images/themes/theme1/bg.png</v>
      </c>
      <c r="AW1175" s="81" t="b">
        <v>0</v>
      </c>
      <c r="AX1175" s="81" t="s">
        <v>3728</v>
      </c>
      <c r="AY1175" s="84" t="str">
        <f>HYPERLINK("https://twitter.com/ivancarmito")</f>
        <v>https://twitter.com/ivancarmito</v>
      </c>
      <c r="AZ1175" s="81" t="s">
        <v>66</v>
      </c>
      <c r="BA1175" s="2"/>
      <c r="BB1175" s="3"/>
      <c r="BC1175" s="3"/>
      <c r="BD1175" s="3"/>
      <c r="BE1175" s="3"/>
    </row>
    <row r="1176" spans="1:57" x14ac:dyDescent="0.35">
      <c r="A1176" s="66" t="s">
        <v>519</v>
      </c>
      <c r="B1176" s="67"/>
      <c r="C1176" s="67"/>
      <c r="D1176" s="68"/>
      <c r="E1176" s="94"/>
      <c r="F1176" s="93" t="str">
        <f>HYPERLINK("https://pbs.twimg.com/profile_images/1441630301524926467/A1mkAW7c_normal.jpg")</f>
        <v>https://pbs.twimg.com/profile_images/1441630301524926467/A1mkAW7c_normal.jpg</v>
      </c>
      <c r="G1176" s="95"/>
      <c r="H1176" s="71"/>
      <c r="I1176" s="72"/>
      <c r="J1176" s="96"/>
      <c r="K1176" s="71" t="s">
        <v>4091</v>
      </c>
      <c r="L1176" s="97"/>
      <c r="M1176" s="76"/>
      <c r="N1176" s="76"/>
      <c r="O1176" s="77"/>
      <c r="P1176" s="78"/>
      <c r="Q1176" s="78"/>
      <c r="R1176" s="92"/>
      <c r="S1176" s="92"/>
      <c r="T1176" s="92"/>
      <c r="U1176" s="92"/>
      <c r="V1176" s="52"/>
      <c r="W1176" s="52"/>
      <c r="X1176" s="52"/>
      <c r="Y1176" s="52"/>
      <c r="Z1176" s="51"/>
      <c r="AA1176" s="73"/>
      <c r="AB1176" s="73"/>
      <c r="AC1176" s="74"/>
      <c r="AD1176" s="81" t="s">
        <v>2604</v>
      </c>
      <c r="AE1176" s="86" t="s">
        <v>3006</v>
      </c>
      <c r="AF1176" s="81">
        <v>567</v>
      </c>
      <c r="AG1176" s="81">
        <v>1471</v>
      </c>
      <c r="AH1176" s="81">
        <v>14295</v>
      </c>
      <c r="AI1176" s="81">
        <v>64334</v>
      </c>
      <c r="AJ1176" s="81"/>
      <c r="AK1176" s="81" t="s">
        <v>3430</v>
      </c>
      <c r="AL1176" s="81" t="s">
        <v>3699</v>
      </c>
      <c r="AM1176" s="81"/>
      <c r="AN1176" s="81"/>
      <c r="AO1176" s="83">
        <v>43258.335138888891</v>
      </c>
      <c r="AP1176" s="84" t="str">
        <f>HYPERLINK("https://pbs.twimg.com/profile_banners/1004634715364589569/1630221987")</f>
        <v>https://pbs.twimg.com/profile_banners/1004634715364589569/1630221987</v>
      </c>
      <c r="AQ1176" s="81" t="b">
        <v>1</v>
      </c>
      <c r="AR1176" s="81" t="b">
        <v>0</v>
      </c>
      <c r="AS1176" s="81" t="b">
        <v>0</v>
      </c>
      <c r="AT1176" s="81"/>
      <c r="AU1176" s="81">
        <v>1</v>
      </c>
      <c r="AV1176" s="81"/>
      <c r="AW1176" s="81" t="b">
        <v>0</v>
      </c>
      <c r="AX1176" s="81" t="s">
        <v>3728</v>
      </c>
      <c r="AY1176" s="84" t="str">
        <f>HYPERLINK("https://twitter.com/nisazain_")</f>
        <v>https://twitter.com/nisazain_</v>
      </c>
      <c r="AZ1176" s="81" t="s">
        <v>66</v>
      </c>
      <c r="BA1176" s="2"/>
      <c r="BB1176" s="3"/>
      <c r="BC1176" s="3"/>
      <c r="BD1176" s="3"/>
      <c r="BE1176" s="3"/>
    </row>
    <row r="1177" spans="1:57" x14ac:dyDescent="0.35">
      <c r="A1177" s="66" t="s">
        <v>4783</v>
      </c>
      <c r="B1177" s="67"/>
      <c r="C1177" s="67"/>
      <c r="D1177" s="68"/>
      <c r="E1177" s="94"/>
      <c r="F1177" s="93" t="str">
        <f>HYPERLINK("https://pbs.twimg.com/profile_images/1408349163792838656/d-TfpjQe_normal.jpg")</f>
        <v>https://pbs.twimg.com/profile_images/1408349163792838656/d-TfpjQe_normal.jpg</v>
      </c>
      <c r="G1177" s="95"/>
      <c r="H1177" s="71"/>
      <c r="I1177" s="72"/>
      <c r="J1177" s="96"/>
      <c r="K1177" s="71" t="s">
        <v>12195</v>
      </c>
      <c r="L1177" s="97"/>
      <c r="M1177" s="76"/>
      <c r="N1177" s="76"/>
      <c r="O1177" s="77"/>
      <c r="P1177" s="78"/>
      <c r="Q1177" s="78"/>
      <c r="R1177" s="92"/>
      <c r="S1177" s="92"/>
      <c r="T1177" s="92"/>
      <c r="U1177" s="92"/>
      <c r="V1177" s="52"/>
      <c r="W1177" s="52"/>
      <c r="X1177" s="52"/>
      <c r="Y1177" s="52"/>
      <c r="Z1177" s="51"/>
      <c r="AA1177" s="73"/>
      <c r="AB1177" s="73"/>
      <c r="AC1177" s="74"/>
      <c r="AD1177" s="81" t="s">
        <v>8814</v>
      </c>
      <c r="AE1177" s="86" t="s">
        <v>9794</v>
      </c>
      <c r="AF1177" s="81">
        <v>246</v>
      </c>
      <c r="AG1177" s="81">
        <v>50</v>
      </c>
      <c r="AH1177" s="81">
        <v>623</v>
      </c>
      <c r="AI1177" s="81">
        <v>2184</v>
      </c>
      <c r="AJ1177" s="81"/>
      <c r="AK1177" s="81" t="s">
        <v>10715</v>
      </c>
      <c r="AL1177" s="81"/>
      <c r="AM1177" s="81"/>
      <c r="AN1177" s="81"/>
      <c r="AO1177" s="83">
        <v>44372.373541666668</v>
      </c>
      <c r="AP1177" s="81"/>
      <c r="AQ1177" s="81" t="b">
        <v>1</v>
      </c>
      <c r="AR1177" s="81" t="b">
        <v>0</v>
      </c>
      <c r="AS1177" s="81" t="b">
        <v>0</v>
      </c>
      <c r="AT1177" s="81"/>
      <c r="AU1177" s="81">
        <v>0</v>
      </c>
      <c r="AV1177" s="81"/>
      <c r="AW1177" s="81" t="b">
        <v>0</v>
      </c>
      <c r="AX1177" s="81" t="s">
        <v>3728</v>
      </c>
      <c r="AY1177" s="84" t="str">
        <f>HYPERLINK("https://twitter.com/augustoleito2")</f>
        <v>https://twitter.com/augustoleito2</v>
      </c>
      <c r="AZ1177" s="81" t="s">
        <v>66</v>
      </c>
      <c r="BA1177" s="2"/>
      <c r="BB1177" s="3"/>
      <c r="BC1177" s="3"/>
      <c r="BD1177" s="3"/>
      <c r="BE1177" s="3"/>
    </row>
    <row r="1178" spans="1:57" x14ac:dyDescent="0.35">
      <c r="A1178" s="66" t="s">
        <v>5156</v>
      </c>
      <c r="B1178" s="67"/>
      <c r="C1178" s="67"/>
      <c r="D1178" s="68"/>
      <c r="E1178" s="94"/>
      <c r="F1178" s="93" t="str">
        <f>HYPERLINK("https://pbs.twimg.com/profile_images/959009969977856001/1izMt8Og_normal.jpg")</f>
        <v>https://pbs.twimg.com/profile_images/959009969977856001/1izMt8Og_normal.jpg</v>
      </c>
      <c r="G1178" s="95"/>
      <c r="H1178" s="71"/>
      <c r="I1178" s="72"/>
      <c r="J1178" s="96"/>
      <c r="K1178" s="71" t="s">
        <v>12196</v>
      </c>
      <c r="L1178" s="97"/>
      <c r="M1178" s="76"/>
      <c r="N1178" s="76"/>
      <c r="O1178" s="77"/>
      <c r="P1178" s="78"/>
      <c r="Q1178" s="78"/>
      <c r="R1178" s="92"/>
      <c r="S1178" s="92"/>
      <c r="T1178" s="92"/>
      <c r="U1178" s="92"/>
      <c r="V1178" s="52"/>
      <c r="W1178" s="52"/>
      <c r="X1178" s="52"/>
      <c r="Y1178" s="52"/>
      <c r="Z1178" s="51"/>
      <c r="AA1178" s="73"/>
      <c r="AB1178" s="73"/>
      <c r="AC1178" s="74"/>
      <c r="AD1178" s="81" t="s">
        <v>8815</v>
      </c>
      <c r="AE1178" s="86" t="s">
        <v>7903</v>
      </c>
      <c r="AF1178" s="81">
        <v>22</v>
      </c>
      <c r="AG1178" s="81">
        <v>142341</v>
      </c>
      <c r="AH1178" s="81">
        <v>74835</v>
      </c>
      <c r="AI1178" s="81">
        <v>14</v>
      </c>
      <c r="AJ1178" s="81"/>
      <c r="AK1178" s="81" t="s">
        <v>10716</v>
      </c>
      <c r="AL1178" s="81" t="s">
        <v>10971</v>
      </c>
      <c r="AM1178" s="84" t="str">
        <f>HYPERLINK("http://t.co/ry0HrndioF")</f>
        <v>http://t.co/ry0HrndioF</v>
      </c>
      <c r="AN1178" s="81"/>
      <c r="AO1178" s="83">
        <v>39892.709016203706</v>
      </c>
      <c r="AP1178" s="84" t="str">
        <f>HYPERLINK("https://pbs.twimg.com/profile_banners/25535042/1611266627")</f>
        <v>https://pbs.twimg.com/profile_banners/25535042/1611266627</v>
      </c>
      <c r="AQ1178" s="81" t="b">
        <v>0</v>
      </c>
      <c r="AR1178" s="81" t="b">
        <v>0</v>
      </c>
      <c r="AS1178" s="81" t="b">
        <v>0</v>
      </c>
      <c r="AT1178" s="81"/>
      <c r="AU1178" s="81">
        <v>681</v>
      </c>
      <c r="AV1178" s="84" t="str">
        <f>HYPERLINK("https://abs.twimg.com/images/themes/theme9/bg.gif")</f>
        <v>https://abs.twimg.com/images/themes/theme9/bg.gif</v>
      </c>
      <c r="AW1178" s="81" t="b">
        <v>0</v>
      </c>
      <c r="AX1178" s="81" t="s">
        <v>3728</v>
      </c>
      <c r="AY1178" s="84" t="str">
        <f>HYPERLINK("https://twitter.com/visao_pt")</f>
        <v>https://twitter.com/visao_pt</v>
      </c>
      <c r="AZ1178" s="81" t="s">
        <v>65</v>
      </c>
      <c r="BA1178" s="2"/>
      <c r="BB1178" s="3"/>
      <c r="BC1178" s="3"/>
      <c r="BD1178" s="3"/>
      <c r="BE1178" s="3"/>
    </row>
    <row r="1179" spans="1:57" x14ac:dyDescent="0.35">
      <c r="A1179" s="66" t="s">
        <v>520</v>
      </c>
      <c r="B1179" s="67"/>
      <c r="C1179" s="67"/>
      <c r="D1179" s="68"/>
      <c r="E1179" s="94"/>
      <c r="F1179" s="93" t="str">
        <f>HYPERLINK("https://pbs.twimg.com/profile_images/1145856503/MediaLowongan_normal.gif")</f>
        <v>https://pbs.twimg.com/profile_images/1145856503/MediaLowongan_normal.gif</v>
      </c>
      <c r="G1179" s="95"/>
      <c r="H1179" s="71"/>
      <c r="I1179" s="72"/>
      <c r="J1179" s="96"/>
      <c r="K1179" s="71" t="s">
        <v>4092</v>
      </c>
      <c r="L1179" s="97"/>
      <c r="M1179" s="76"/>
      <c r="N1179" s="76"/>
      <c r="O1179" s="77"/>
      <c r="P1179" s="78"/>
      <c r="Q1179" s="78"/>
      <c r="R1179" s="92"/>
      <c r="S1179" s="92"/>
      <c r="T1179" s="92"/>
      <c r="U1179" s="92"/>
      <c r="V1179" s="52"/>
      <c r="W1179" s="52"/>
      <c r="X1179" s="52"/>
      <c r="Y1179" s="52"/>
      <c r="Z1179" s="51"/>
      <c r="AA1179" s="73"/>
      <c r="AB1179" s="73"/>
      <c r="AC1179" s="74"/>
      <c r="AD1179" s="81" t="s">
        <v>2605</v>
      </c>
      <c r="AE1179" s="86" t="s">
        <v>3007</v>
      </c>
      <c r="AF1179" s="81">
        <v>50</v>
      </c>
      <c r="AG1179" s="81">
        <v>1521</v>
      </c>
      <c r="AH1179" s="81">
        <v>4597</v>
      </c>
      <c r="AI1179" s="81">
        <v>0</v>
      </c>
      <c r="AJ1179" s="81"/>
      <c r="AK1179" s="81" t="s">
        <v>3431</v>
      </c>
      <c r="AL1179" s="81" t="s">
        <v>2202</v>
      </c>
      <c r="AM1179" s="84" t="str">
        <f>HYPERLINK("https://t.co/P7Kem6Rafa")</f>
        <v>https://t.co/P7Kem6Rafa</v>
      </c>
      <c r="AN1179" s="81"/>
      <c r="AO1179" s="83">
        <v>40466.652812499997</v>
      </c>
      <c r="AP1179" s="84" t="str">
        <f>HYPERLINK("https://pbs.twimg.com/profile_banners/203119665/1607934197")</f>
        <v>https://pbs.twimg.com/profile_banners/203119665/1607934197</v>
      </c>
      <c r="AQ1179" s="81" t="b">
        <v>0</v>
      </c>
      <c r="AR1179" s="81" t="b">
        <v>0</v>
      </c>
      <c r="AS1179" s="81" t="b">
        <v>0</v>
      </c>
      <c r="AT1179" s="81"/>
      <c r="AU1179" s="81">
        <v>5</v>
      </c>
      <c r="AV1179" s="84" t="str">
        <f>HYPERLINK("https://abs.twimg.com/images/themes/theme15/bg.png")</f>
        <v>https://abs.twimg.com/images/themes/theme15/bg.png</v>
      </c>
      <c r="AW1179" s="81" t="b">
        <v>0</v>
      </c>
      <c r="AX1179" s="81" t="s">
        <v>3728</v>
      </c>
      <c r="AY1179" s="84" t="str">
        <f>HYPERLINK("https://twitter.com/medilow")</f>
        <v>https://twitter.com/medilow</v>
      </c>
      <c r="AZ1179" s="81" t="s">
        <v>66</v>
      </c>
      <c r="BA1179" s="2"/>
      <c r="BB1179" s="3"/>
      <c r="BC1179" s="3"/>
      <c r="BD1179" s="3"/>
      <c r="BE1179" s="3"/>
    </row>
    <row r="1180" spans="1:57" x14ac:dyDescent="0.35">
      <c r="A1180" s="66" t="s">
        <v>522</v>
      </c>
      <c r="B1180" s="67"/>
      <c r="C1180" s="67"/>
      <c r="D1180" s="68"/>
      <c r="E1180" s="94"/>
      <c r="F1180" s="93" t="str">
        <f>HYPERLINK("https://pbs.twimg.com/profile_images/1426139466310197259/aBpEw-qS_normal.jpg")</f>
        <v>https://pbs.twimg.com/profile_images/1426139466310197259/aBpEw-qS_normal.jpg</v>
      </c>
      <c r="G1180" s="95"/>
      <c r="H1180" s="71"/>
      <c r="I1180" s="72"/>
      <c r="J1180" s="96"/>
      <c r="K1180" s="71" t="s">
        <v>4093</v>
      </c>
      <c r="L1180" s="97"/>
      <c r="M1180" s="76"/>
      <c r="N1180" s="76"/>
      <c r="O1180" s="77"/>
      <c r="P1180" s="78"/>
      <c r="Q1180" s="78"/>
      <c r="R1180" s="92"/>
      <c r="S1180" s="92"/>
      <c r="T1180" s="92"/>
      <c r="U1180" s="92"/>
      <c r="V1180" s="52"/>
      <c r="W1180" s="52"/>
      <c r="X1180" s="52"/>
      <c r="Y1180" s="52"/>
      <c r="Z1180" s="51"/>
      <c r="AA1180" s="73"/>
      <c r="AB1180" s="73"/>
      <c r="AC1180" s="74"/>
      <c r="AD1180" s="81" t="s">
        <v>2606</v>
      </c>
      <c r="AE1180" s="86" t="s">
        <v>3008</v>
      </c>
      <c r="AF1180" s="81">
        <v>864</v>
      </c>
      <c r="AG1180" s="81">
        <v>2057</v>
      </c>
      <c r="AH1180" s="81">
        <v>73236</v>
      </c>
      <c r="AI1180" s="81">
        <v>86243</v>
      </c>
      <c r="AJ1180" s="81"/>
      <c r="AK1180" s="81" t="s">
        <v>3432</v>
      </c>
      <c r="AL1180" s="81" t="s">
        <v>3700</v>
      </c>
      <c r="AM1180" s="84" t="str">
        <f>HYPERLINK("https://t.co/V0LyYcdoex")</f>
        <v>https://t.co/V0LyYcdoex</v>
      </c>
      <c r="AN1180" s="81"/>
      <c r="AO1180" s="83">
        <v>43742.929780092592</v>
      </c>
      <c r="AP1180" s="84" t="str">
        <f>HYPERLINK("https://pbs.twimg.com/profile_banners/1180245895142506496/1625379123")</f>
        <v>https://pbs.twimg.com/profile_banners/1180245895142506496/1625379123</v>
      </c>
      <c r="AQ1180" s="81" t="b">
        <v>1</v>
      </c>
      <c r="AR1180" s="81" t="b">
        <v>0</v>
      </c>
      <c r="AS1180" s="81" t="b">
        <v>0</v>
      </c>
      <c r="AT1180" s="81"/>
      <c r="AU1180" s="81">
        <v>3</v>
      </c>
      <c r="AV1180" s="81"/>
      <c r="AW1180" s="81" t="b">
        <v>0</v>
      </c>
      <c r="AX1180" s="81" t="s">
        <v>3728</v>
      </c>
      <c r="AY1180" s="84" t="str">
        <f>HYPERLINK("https://twitter.com/immaturekids_")</f>
        <v>https://twitter.com/immaturekids_</v>
      </c>
      <c r="AZ1180" s="81" t="s">
        <v>66</v>
      </c>
      <c r="BA1180" s="2"/>
      <c r="BB1180" s="3"/>
      <c r="BC1180" s="3"/>
      <c r="BD1180" s="3"/>
      <c r="BE1180" s="3"/>
    </row>
    <row r="1181" spans="1:57" x14ac:dyDescent="0.35">
      <c r="A1181" s="66" t="s">
        <v>521</v>
      </c>
      <c r="B1181" s="67"/>
      <c r="C1181" s="67"/>
      <c r="D1181" s="68"/>
      <c r="E1181" s="94"/>
      <c r="F1181" s="93" t="str">
        <f>HYPERLINK("https://pbs.twimg.com/profile_images/1434757477573091331/4MqC9Lhg_normal.jpg")</f>
        <v>https://pbs.twimg.com/profile_images/1434757477573091331/4MqC9Lhg_normal.jpg</v>
      </c>
      <c r="G1181" s="95"/>
      <c r="H1181" s="71"/>
      <c r="I1181" s="72"/>
      <c r="J1181" s="96"/>
      <c r="K1181" s="71" t="s">
        <v>4083</v>
      </c>
      <c r="L1181" s="97"/>
      <c r="M1181" s="76"/>
      <c r="N1181" s="76"/>
      <c r="O1181" s="77"/>
      <c r="P1181" s="78"/>
      <c r="Q1181" s="78"/>
      <c r="R1181" s="92"/>
      <c r="S1181" s="92"/>
      <c r="T1181" s="92"/>
      <c r="U1181" s="92"/>
      <c r="V1181" s="52"/>
      <c r="W1181" s="52"/>
      <c r="X1181" s="52"/>
      <c r="Y1181" s="52"/>
      <c r="Z1181" s="51"/>
      <c r="AA1181" s="73"/>
      <c r="AB1181" s="73"/>
      <c r="AC1181" s="74"/>
      <c r="AD1181" s="81" t="s">
        <v>2594</v>
      </c>
      <c r="AE1181" s="86" t="s">
        <v>3000</v>
      </c>
      <c r="AF1181" s="81">
        <v>467</v>
      </c>
      <c r="AG1181" s="81">
        <v>410</v>
      </c>
      <c r="AH1181" s="81">
        <v>1653</v>
      </c>
      <c r="AI1181" s="81">
        <v>3210</v>
      </c>
      <c r="AJ1181" s="81"/>
      <c r="AK1181" s="81" t="s">
        <v>3420</v>
      </c>
      <c r="AL1181" s="81"/>
      <c r="AM1181" s="81"/>
      <c r="AN1181" s="81"/>
      <c r="AO1181" s="83">
        <v>43858.399988425925</v>
      </c>
      <c r="AP1181" s="84" t="str">
        <f>HYPERLINK("https://pbs.twimg.com/profile_banners/1222090893525520385/1630907814")</f>
        <v>https://pbs.twimg.com/profile_banners/1222090893525520385/1630907814</v>
      </c>
      <c r="AQ1181" s="81" t="b">
        <v>1</v>
      </c>
      <c r="AR1181" s="81" t="b">
        <v>0</v>
      </c>
      <c r="AS1181" s="81" t="b">
        <v>0</v>
      </c>
      <c r="AT1181" s="81"/>
      <c r="AU1181" s="81">
        <v>0</v>
      </c>
      <c r="AV1181" s="81"/>
      <c r="AW1181" s="81" t="b">
        <v>0</v>
      </c>
      <c r="AX1181" s="81" t="s">
        <v>3728</v>
      </c>
      <c r="AY1181" s="84" t="str">
        <f>HYPERLINK("https://twitter.com/ikimlyth")</f>
        <v>https://twitter.com/ikimlyth</v>
      </c>
      <c r="AZ1181" s="81" t="s">
        <v>66</v>
      </c>
      <c r="BA1181" s="2"/>
      <c r="BB1181" s="3"/>
      <c r="BC1181" s="3"/>
      <c r="BD1181" s="3"/>
      <c r="BE1181" s="3"/>
    </row>
    <row r="1182" spans="1:57" x14ac:dyDescent="0.35">
      <c r="A1182" s="66" t="s">
        <v>4784</v>
      </c>
      <c r="B1182" s="67"/>
      <c r="C1182" s="67"/>
      <c r="D1182" s="68"/>
      <c r="E1182" s="94"/>
      <c r="F1182" s="93" t="str">
        <f>HYPERLINK("https://pbs.twimg.com/profile_images/1435512341353975810/hvwKdVeE_normal.jpg")</f>
        <v>https://pbs.twimg.com/profile_images/1435512341353975810/hvwKdVeE_normal.jpg</v>
      </c>
      <c r="G1182" s="95"/>
      <c r="H1182" s="71"/>
      <c r="I1182" s="72"/>
      <c r="J1182" s="96"/>
      <c r="K1182" s="71" t="s">
        <v>12197</v>
      </c>
      <c r="L1182" s="97"/>
      <c r="M1182" s="76"/>
      <c r="N1182" s="76"/>
      <c r="O1182" s="77"/>
      <c r="P1182" s="78"/>
      <c r="Q1182" s="78"/>
      <c r="R1182" s="92"/>
      <c r="S1182" s="92"/>
      <c r="T1182" s="92"/>
      <c r="U1182" s="92"/>
      <c r="V1182" s="52"/>
      <c r="W1182" s="52"/>
      <c r="X1182" s="52"/>
      <c r="Y1182" s="52"/>
      <c r="Z1182" s="51"/>
      <c r="AA1182" s="73"/>
      <c r="AB1182" s="73"/>
      <c r="AC1182" s="74"/>
      <c r="AD1182" s="81" t="s">
        <v>8816</v>
      </c>
      <c r="AE1182" s="86" t="s">
        <v>9795</v>
      </c>
      <c r="AF1182" s="81">
        <v>2376</v>
      </c>
      <c r="AG1182" s="81">
        <v>3290</v>
      </c>
      <c r="AH1182" s="81">
        <v>25659</v>
      </c>
      <c r="AI1182" s="81">
        <v>184</v>
      </c>
      <c r="AJ1182" s="81"/>
      <c r="AK1182" s="81" t="s">
        <v>10717</v>
      </c>
      <c r="AL1182" s="81" t="s">
        <v>10971</v>
      </c>
      <c r="AM1182" s="84" t="str">
        <f>HYPERLINK("https://t.co/mNLfCIQ7b4")</f>
        <v>https://t.co/mNLfCIQ7b4</v>
      </c>
      <c r="AN1182" s="81"/>
      <c r="AO1182" s="83">
        <v>41035.44394675926</v>
      </c>
      <c r="AP1182" s="84" t="str">
        <f>HYPERLINK("https://pbs.twimg.com/profile_banners/572511136/1631087788")</f>
        <v>https://pbs.twimg.com/profile_banners/572511136/1631087788</v>
      </c>
      <c r="AQ1182" s="81" t="b">
        <v>0</v>
      </c>
      <c r="AR1182" s="81" t="b">
        <v>0</v>
      </c>
      <c r="AS1182" s="81" t="b">
        <v>1</v>
      </c>
      <c r="AT1182" s="81"/>
      <c r="AU1182" s="81">
        <v>54</v>
      </c>
      <c r="AV1182" s="84" t="str">
        <f>HYPERLINK("https://abs.twimg.com/images/themes/theme1/bg.png")</f>
        <v>https://abs.twimg.com/images/themes/theme1/bg.png</v>
      </c>
      <c r="AW1182" s="81" t="b">
        <v>0</v>
      </c>
      <c r="AX1182" s="81" t="s">
        <v>3728</v>
      </c>
      <c r="AY1182" s="84" t="str">
        <f>HYPERLINK("https://twitter.com/marketingidiota")</f>
        <v>https://twitter.com/marketingidiota</v>
      </c>
      <c r="AZ1182" s="81" t="s">
        <v>66</v>
      </c>
      <c r="BA1182" s="2"/>
      <c r="BB1182" s="3"/>
      <c r="BC1182" s="3"/>
      <c r="BD1182" s="3"/>
      <c r="BE1182" s="3"/>
    </row>
    <row r="1183" spans="1:57" x14ac:dyDescent="0.35">
      <c r="A1183" s="66" t="s">
        <v>523</v>
      </c>
      <c r="B1183" s="67"/>
      <c r="C1183" s="67"/>
      <c r="D1183" s="68"/>
      <c r="E1183" s="94"/>
      <c r="F1183" s="93" t="str">
        <f>HYPERLINK("https://pbs.twimg.com/profile_images/1402909467239337987/9r1lkNHt_normal.jpg")</f>
        <v>https://pbs.twimg.com/profile_images/1402909467239337987/9r1lkNHt_normal.jpg</v>
      </c>
      <c r="G1183" s="95"/>
      <c r="H1183" s="71"/>
      <c r="I1183" s="72"/>
      <c r="J1183" s="96"/>
      <c r="K1183" s="71" t="s">
        <v>4094</v>
      </c>
      <c r="L1183" s="97"/>
      <c r="M1183" s="76"/>
      <c r="N1183" s="76"/>
      <c r="O1183" s="77"/>
      <c r="P1183" s="78"/>
      <c r="Q1183" s="78"/>
      <c r="R1183" s="92"/>
      <c r="S1183" s="92"/>
      <c r="T1183" s="92"/>
      <c r="U1183" s="92"/>
      <c r="V1183" s="52"/>
      <c r="W1183" s="52"/>
      <c r="X1183" s="52"/>
      <c r="Y1183" s="52"/>
      <c r="Z1183" s="51"/>
      <c r="AA1183" s="73"/>
      <c r="AB1183" s="73"/>
      <c r="AC1183" s="74"/>
      <c r="AD1183" s="81" t="s">
        <v>2607</v>
      </c>
      <c r="AE1183" s="86" t="s">
        <v>3009</v>
      </c>
      <c r="AF1183" s="81">
        <v>75</v>
      </c>
      <c r="AG1183" s="81">
        <v>58</v>
      </c>
      <c r="AH1183" s="81">
        <v>5644</v>
      </c>
      <c r="AI1183" s="81">
        <v>4237</v>
      </c>
      <c r="AJ1183" s="81"/>
      <c r="AK1183" s="81" t="s">
        <v>3433</v>
      </c>
      <c r="AL1183" s="81"/>
      <c r="AM1183" s="81"/>
      <c r="AN1183" s="81"/>
      <c r="AO1183" s="83">
        <v>44222.129027777781</v>
      </c>
      <c r="AP1183" s="84" t="str">
        <f>HYPERLINK("https://pbs.twimg.com/profile_banners/1353901713342664704/1611631857")</f>
        <v>https://pbs.twimg.com/profile_banners/1353901713342664704/1611631857</v>
      </c>
      <c r="AQ1183" s="81" t="b">
        <v>1</v>
      </c>
      <c r="AR1183" s="81" t="b">
        <v>0</v>
      </c>
      <c r="AS1183" s="81" t="b">
        <v>0</v>
      </c>
      <c r="AT1183" s="81"/>
      <c r="AU1183" s="81">
        <v>0</v>
      </c>
      <c r="AV1183" s="81"/>
      <c r="AW1183" s="81" t="b">
        <v>0</v>
      </c>
      <c r="AX1183" s="81" t="s">
        <v>3728</v>
      </c>
      <c r="AY1183" s="84" t="str">
        <f>HYPERLINK("https://twitter.com/myaccnotyours_")</f>
        <v>https://twitter.com/myaccnotyours_</v>
      </c>
      <c r="AZ1183" s="81" t="s">
        <v>66</v>
      </c>
      <c r="BA1183" s="2"/>
      <c r="BB1183" s="3"/>
      <c r="BC1183" s="3"/>
      <c r="BD1183" s="3"/>
      <c r="BE1183" s="3"/>
    </row>
    <row r="1184" spans="1:57" x14ac:dyDescent="0.35">
      <c r="A1184" s="66" t="s">
        <v>524</v>
      </c>
      <c r="B1184" s="67"/>
      <c r="C1184" s="67"/>
      <c r="D1184" s="68"/>
      <c r="E1184" s="94"/>
      <c r="F1184" s="93" t="str">
        <f>HYPERLINK("https://pbs.twimg.com/profile_images/1443117125493669890/VCZhVTfL_normal.png")</f>
        <v>https://pbs.twimg.com/profile_images/1443117125493669890/VCZhVTfL_normal.png</v>
      </c>
      <c r="G1184" s="95"/>
      <c r="H1184" s="71"/>
      <c r="I1184" s="72"/>
      <c r="J1184" s="96"/>
      <c r="K1184" s="71" t="s">
        <v>4095</v>
      </c>
      <c r="L1184" s="97"/>
      <c r="M1184" s="76"/>
      <c r="N1184" s="76"/>
      <c r="O1184" s="77"/>
      <c r="P1184" s="78"/>
      <c r="Q1184" s="78"/>
      <c r="R1184" s="92"/>
      <c r="S1184" s="92"/>
      <c r="T1184" s="92"/>
      <c r="U1184" s="92"/>
      <c r="V1184" s="52"/>
      <c r="W1184" s="52"/>
      <c r="X1184" s="52"/>
      <c r="Y1184" s="52"/>
      <c r="Z1184" s="51"/>
      <c r="AA1184" s="73"/>
      <c r="AB1184" s="73"/>
      <c r="AC1184" s="74"/>
      <c r="AD1184" s="81" t="s">
        <v>2608</v>
      </c>
      <c r="AE1184" s="86" t="s">
        <v>3010</v>
      </c>
      <c r="AF1184" s="81">
        <v>350</v>
      </c>
      <c r="AG1184" s="81">
        <v>205</v>
      </c>
      <c r="AH1184" s="81">
        <v>7384</v>
      </c>
      <c r="AI1184" s="81">
        <v>14277</v>
      </c>
      <c r="AJ1184" s="81"/>
      <c r="AK1184" s="81" t="s">
        <v>3434</v>
      </c>
      <c r="AL1184" s="81" t="s">
        <v>3701</v>
      </c>
      <c r="AM1184" s="84" t="str">
        <f>HYPERLINK("https://t.co/GrsQ6QCp3m")</f>
        <v>https://t.co/GrsQ6QCp3m</v>
      </c>
      <c r="AN1184" s="81"/>
      <c r="AO1184" s="83">
        <v>44223.507418981484</v>
      </c>
      <c r="AP1184" s="84" t="str">
        <f>HYPERLINK("https://pbs.twimg.com/profile_banners/1354401400558522377/1632843432")</f>
        <v>https://pbs.twimg.com/profile_banners/1354401400558522377/1632843432</v>
      </c>
      <c r="AQ1184" s="81" t="b">
        <v>1</v>
      </c>
      <c r="AR1184" s="81" t="b">
        <v>0</v>
      </c>
      <c r="AS1184" s="81" t="b">
        <v>0</v>
      </c>
      <c r="AT1184" s="81"/>
      <c r="AU1184" s="81">
        <v>2</v>
      </c>
      <c r="AV1184" s="81"/>
      <c r="AW1184" s="81" t="b">
        <v>0</v>
      </c>
      <c r="AX1184" s="81" t="s">
        <v>3728</v>
      </c>
      <c r="AY1184" s="84" t="str">
        <f>HYPERLINK("https://twitter.com/jiniretkkami")</f>
        <v>https://twitter.com/jiniretkkami</v>
      </c>
      <c r="AZ1184" s="81" t="s">
        <v>66</v>
      </c>
      <c r="BA1184" s="2"/>
      <c r="BB1184" s="3"/>
      <c r="BC1184" s="3"/>
      <c r="BD1184" s="3"/>
      <c r="BE1184" s="3"/>
    </row>
    <row r="1185" spans="1:57" x14ac:dyDescent="0.35">
      <c r="A1185" s="66" t="s">
        <v>525</v>
      </c>
      <c r="B1185" s="67"/>
      <c r="C1185" s="67"/>
      <c r="D1185" s="68"/>
      <c r="E1185" s="94"/>
      <c r="F1185" s="93" t="str">
        <f>HYPERLINK("https://pbs.twimg.com/profile_images/1443077225234919428/uDI0t60t_normal.jpg")</f>
        <v>https://pbs.twimg.com/profile_images/1443077225234919428/uDI0t60t_normal.jpg</v>
      </c>
      <c r="G1185" s="95"/>
      <c r="H1185" s="71"/>
      <c r="I1185" s="72"/>
      <c r="J1185" s="96"/>
      <c r="K1185" s="71" t="s">
        <v>4096</v>
      </c>
      <c r="L1185" s="97"/>
      <c r="M1185" s="76"/>
      <c r="N1185" s="76"/>
      <c r="O1185" s="77"/>
      <c r="P1185" s="78"/>
      <c r="Q1185" s="78"/>
      <c r="R1185" s="92"/>
      <c r="S1185" s="92"/>
      <c r="T1185" s="92"/>
      <c r="U1185" s="92"/>
      <c r="V1185" s="52"/>
      <c r="W1185" s="52"/>
      <c r="X1185" s="52"/>
      <c r="Y1185" s="52"/>
      <c r="Z1185" s="51"/>
      <c r="AA1185" s="73"/>
      <c r="AB1185" s="73"/>
      <c r="AC1185" s="74"/>
      <c r="AD1185" s="81" t="s">
        <v>13488</v>
      </c>
      <c r="AE1185" s="86" t="s">
        <v>3011</v>
      </c>
      <c r="AF1185" s="81">
        <v>3021</v>
      </c>
      <c r="AG1185" s="81">
        <v>3029</v>
      </c>
      <c r="AH1185" s="81">
        <v>25163</v>
      </c>
      <c r="AI1185" s="81">
        <v>24855</v>
      </c>
      <c r="AJ1185" s="81"/>
      <c r="AK1185" s="81" t="s">
        <v>3435</v>
      </c>
      <c r="AL1185" s="81" t="s">
        <v>3702</v>
      </c>
      <c r="AM1185" s="84" t="str">
        <f>HYPERLINK("https://t.co/1o62bFz3P5")</f>
        <v>https://t.co/1o62bFz3P5</v>
      </c>
      <c r="AN1185" s="81"/>
      <c r="AO1185" s="83">
        <v>44294.134502314817</v>
      </c>
      <c r="AP1185" s="84" t="str">
        <f>HYPERLINK("https://pbs.twimg.com/profile_banners/1379995794892222467/1632891322")</f>
        <v>https://pbs.twimg.com/profile_banners/1379995794892222467/1632891322</v>
      </c>
      <c r="AQ1185" s="81" t="b">
        <v>1</v>
      </c>
      <c r="AR1185" s="81" t="b">
        <v>0</v>
      </c>
      <c r="AS1185" s="81" t="b">
        <v>1</v>
      </c>
      <c r="AT1185" s="81"/>
      <c r="AU1185" s="81">
        <v>16</v>
      </c>
      <c r="AV1185" s="81"/>
      <c r="AW1185" s="81" t="b">
        <v>0</v>
      </c>
      <c r="AX1185" s="81" t="s">
        <v>3728</v>
      </c>
      <c r="AY1185" s="84" t="str">
        <f>HYPERLINK("https://twitter.com/frckleslixie")</f>
        <v>https://twitter.com/frckleslixie</v>
      </c>
      <c r="AZ1185" s="81" t="s">
        <v>66</v>
      </c>
      <c r="BA1185" s="2"/>
      <c r="BB1185" s="3"/>
      <c r="BC1185" s="3"/>
      <c r="BD1185" s="3"/>
      <c r="BE1185" s="3"/>
    </row>
    <row r="1186" spans="1:57" x14ac:dyDescent="0.35">
      <c r="A1186" s="66" t="s">
        <v>4785</v>
      </c>
      <c r="B1186" s="67"/>
      <c r="C1186" s="67"/>
      <c r="D1186" s="68"/>
      <c r="E1186" s="94"/>
      <c r="F1186" s="93" t="str">
        <f>HYPERLINK("https://pbs.twimg.com/profile_images/1443185257360998401/ZFRm4gai_normal.jpg")</f>
        <v>https://pbs.twimg.com/profile_images/1443185257360998401/ZFRm4gai_normal.jpg</v>
      </c>
      <c r="G1186" s="95"/>
      <c r="H1186" s="71"/>
      <c r="I1186" s="72"/>
      <c r="J1186" s="96"/>
      <c r="K1186" s="71" t="s">
        <v>12198</v>
      </c>
      <c r="L1186" s="97"/>
      <c r="M1186" s="76"/>
      <c r="N1186" s="76"/>
      <c r="O1186" s="77"/>
      <c r="P1186" s="78"/>
      <c r="Q1186" s="78"/>
      <c r="R1186" s="92"/>
      <c r="S1186" s="92"/>
      <c r="T1186" s="92"/>
      <c r="U1186" s="92"/>
      <c r="V1186" s="52"/>
      <c r="W1186" s="52"/>
      <c r="X1186" s="52"/>
      <c r="Y1186" s="52"/>
      <c r="Z1186" s="51"/>
      <c r="AA1186" s="73"/>
      <c r="AB1186" s="73"/>
      <c r="AC1186" s="74"/>
      <c r="AD1186" s="81" t="s">
        <v>13489</v>
      </c>
      <c r="AE1186" s="86" t="s">
        <v>9796</v>
      </c>
      <c r="AF1186" s="81">
        <v>510</v>
      </c>
      <c r="AG1186" s="81">
        <v>565</v>
      </c>
      <c r="AH1186" s="81">
        <v>14582</v>
      </c>
      <c r="AI1186" s="81">
        <v>25912</v>
      </c>
      <c r="AJ1186" s="81"/>
      <c r="AK1186" s="81" t="s">
        <v>13945</v>
      </c>
      <c r="AL1186" s="81" t="s">
        <v>11277</v>
      </c>
      <c r="AM1186" s="84" t="str">
        <f>HYPERLINK("https://t.co/pQUlYez2uh")</f>
        <v>https://t.co/pQUlYez2uh</v>
      </c>
      <c r="AN1186" s="81"/>
      <c r="AO1186" s="83">
        <v>44424.066203703704</v>
      </c>
      <c r="AP1186" s="84" t="str">
        <f>HYPERLINK("https://pbs.twimg.com/profile_banners/1427081472582709249/1632917303")</f>
        <v>https://pbs.twimg.com/profile_banners/1427081472582709249/1632917303</v>
      </c>
      <c r="AQ1186" s="81" t="b">
        <v>1</v>
      </c>
      <c r="AR1186" s="81" t="b">
        <v>0</v>
      </c>
      <c r="AS1186" s="81" t="b">
        <v>0</v>
      </c>
      <c r="AT1186" s="81"/>
      <c r="AU1186" s="81">
        <v>18</v>
      </c>
      <c r="AV1186" s="81"/>
      <c r="AW1186" s="81" t="b">
        <v>0</v>
      </c>
      <c r="AX1186" s="81" t="s">
        <v>3728</v>
      </c>
      <c r="AY1186" s="84" t="str">
        <f>HYPERLINK("https://twitter.com/salv1e")</f>
        <v>https://twitter.com/salv1e</v>
      </c>
      <c r="AZ1186" s="81" t="s">
        <v>66</v>
      </c>
      <c r="BA1186" s="2"/>
      <c r="BB1186" s="3"/>
      <c r="BC1186" s="3"/>
      <c r="BD1186" s="3"/>
      <c r="BE1186" s="3"/>
    </row>
    <row r="1187" spans="1:57" x14ac:dyDescent="0.35">
      <c r="A1187" s="66" t="s">
        <v>526</v>
      </c>
      <c r="B1187" s="67"/>
      <c r="C1187" s="67"/>
      <c r="D1187" s="68"/>
      <c r="E1187" s="94"/>
      <c r="F1187" s="93" t="str">
        <f>HYPERLINK("https://pbs.twimg.com/profile_images/1436630333047275520/6jcnMf2h_normal.png")</f>
        <v>https://pbs.twimg.com/profile_images/1436630333047275520/6jcnMf2h_normal.png</v>
      </c>
      <c r="G1187" s="95"/>
      <c r="H1187" s="71"/>
      <c r="I1187" s="72"/>
      <c r="J1187" s="96"/>
      <c r="K1187" s="71" t="s">
        <v>4097</v>
      </c>
      <c r="L1187" s="97"/>
      <c r="M1187" s="76"/>
      <c r="N1187" s="76"/>
      <c r="O1187" s="77"/>
      <c r="P1187" s="78"/>
      <c r="Q1187" s="78"/>
      <c r="R1187" s="92"/>
      <c r="S1187" s="92"/>
      <c r="T1187" s="92"/>
      <c r="U1187" s="92"/>
      <c r="V1187" s="52"/>
      <c r="W1187" s="52"/>
      <c r="X1187" s="52"/>
      <c r="Y1187" s="52"/>
      <c r="Z1187" s="51"/>
      <c r="AA1187" s="73"/>
      <c r="AB1187" s="73"/>
      <c r="AC1187" s="74"/>
      <c r="AD1187" s="81" t="s">
        <v>2609</v>
      </c>
      <c r="AE1187" s="86" t="s">
        <v>3012</v>
      </c>
      <c r="AF1187" s="81">
        <v>1104</v>
      </c>
      <c r="AG1187" s="81">
        <v>1109</v>
      </c>
      <c r="AH1187" s="81">
        <v>12816</v>
      </c>
      <c r="AI1187" s="81">
        <v>5445</v>
      </c>
      <c r="AJ1187" s="81"/>
      <c r="AK1187" s="81" t="s">
        <v>3436</v>
      </c>
      <c r="AL1187" s="81" t="s">
        <v>11278</v>
      </c>
      <c r="AM1187" s="84" t="str">
        <f>HYPERLINK("https://t.co/y3XDsISFnc")</f>
        <v>https://t.co/y3XDsISFnc</v>
      </c>
      <c r="AN1187" s="81"/>
      <c r="AO1187" s="83">
        <v>44178.118634259263</v>
      </c>
      <c r="AP1187" s="84" t="str">
        <f>HYPERLINK("https://pbs.twimg.com/profile_banners/1337953051294896129/1631354307")</f>
        <v>https://pbs.twimg.com/profile_banners/1337953051294896129/1631354307</v>
      </c>
      <c r="AQ1187" s="81" t="b">
        <v>1</v>
      </c>
      <c r="AR1187" s="81" t="b">
        <v>0</v>
      </c>
      <c r="AS1187" s="81" t="b">
        <v>0</v>
      </c>
      <c r="AT1187" s="81"/>
      <c r="AU1187" s="81">
        <v>9</v>
      </c>
      <c r="AV1187" s="81"/>
      <c r="AW1187" s="81" t="b">
        <v>0</v>
      </c>
      <c r="AX1187" s="81" t="s">
        <v>3728</v>
      </c>
      <c r="AY1187" s="84" t="str">
        <f>HYPERLINK("https://twitter.com/xoicedteaa")</f>
        <v>https://twitter.com/xoicedteaa</v>
      </c>
      <c r="AZ1187" s="81" t="s">
        <v>66</v>
      </c>
      <c r="BA1187" s="2"/>
      <c r="BB1187" s="3"/>
      <c r="BC1187" s="3"/>
      <c r="BD1187" s="3"/>
      <c r="BE1187" s="3"/>
    </row>
    <row r="1188" spans="1:57" x14ac:dyDescent="0.35">
      <c r="A1188" s="66" t="s">
        <v>4786</v>
      </c>
      <c r="B1188" s="67"/>
      <c r="C1188" s="67"/>
      <c r="D1188" s="68"/>
      <c r="E1188" s="94"/>
      <c r="F1188" s="93" t="str">
        <f>HYPERLINK("https://pbs.twimg.com/profile_images/1328337773867233282/ETEK9YRT_normal.jpg")</f>
        <v>https://pbs.twimg.com/profile_images/1328337773867233282/ETEK9YRT_normal.jpg</v>
      </c>
      <c r="G1188" s="95"/>
      <c r="H1188" s="71"/>
      <c r="I1188" s="72"/>
      <c r="J1188" s="96"/>
      <c r="K1188" s="71" t="s">
        <v>12199</v>
      </c>
      <c r="L1188" s="97"/>
      <c r="M1188" s="76"/>
      <c r="N1188" s="76"/>
      <c r="O1188" s="77"/>
      <c r="P1188" s="78"/>
      <c r="Q1188" s="78"/>
      <c r="R1188" s="92"/>
      <c r="S1188" s="92"/>
      <c r="T1188" s="92"/>
      <c r="U1188" s="92"/>
      <c r="V1188" s="52"/>
      <c r="W1188" s="52"/>
      <c r="X1188" s="52"/>
      <c r="Y1188" s="52"/>
      <c r="Z1188" s="51"/>
      <c r="AA1188" s="73"/>
      <c r="AB1188" s="73"/>
      <c r="AC1188" s="74"/>
      <c r="AD1188" s="81" t="s">
        <v>8817</v>
      </c>
      <c r="AE1188" s="86" t="s">
        <v>9797</v>
      </c>
      <c r="AF1188" s="81">
        <v>939</v>
      </c>
      <c r="AG1188" s="81">
        <v>211488</v>
      </c>
      <c r="AH1188" s="81">
        <v>242932</v>
      </c>
      <c r="AI1188" s="81">
        <v>15</v>
      </c>
      <c r="AJ1188" s="81"/>
      <c r="AK1188" s="81" t="s">
        <v>10718</v>
      </c>
      <c r="AL1188" s="81" t="s">
        <v>10990</v>
      </c>
      <c r="AM1188" s="84" t="str">
        <f>HYPERLINK("http://t.co/gyaDbDKwSj")</f>
        <v>http://t.co/gyaDbDKwSj</v>
      </c>
      <c r="AN1188" s="81"/>
      <c r="AO1188" s="83">
        <v>39896.716157407405</v>
      </c>
      <c r="AP1188" s="84" t="str">
        <f>HYPERLINK("https://pbs.twimg.com/profile_banners/26276346/1545400351")</f>
        <v>https://pbs.twimg.com/profile_banners/26276346/1545400351</v>
      </c>
      <c r="AQ1188" s="81" t="b">
        <v>0</v>
      </c>
      <c r="AR1188" s="81" t="b">
        <v>0</v>
      </c>
      <c r="AS1188" s="81" t="b">
        <v>1</v>
      </c>
      <c r="AT1188" s="81"/>
      <c r="AU1188" s="81">
        <v>1144</v>
      </c>
      <c r="AV1188" s="84" t="str">
        <f>HYPERLINK("https://abs.twimg.com/images/themes/theme1/bg.png")</f>
        <v>https://abs.twimg.com/images/themes/theme1/bg.png</v>
      </c>
      <c r="AW1188" s="81" t="b">
        <v>0</v>
      </c>
      <c r="AX1188" s="81" t="s">
        <v>3728</v>
      </c>
      <c r="AY1188" s="84" t="str">
        <f>HYPERLINK("https://twitter.com/itwitting")</f>
        <v>https://twitter.com/itwitting</v>
      </c>
      <c r="AZ1188" s="81" t="s">
        <v>66</v>
      </c>
      <c r="BA1188" s="2"/>
      <c r="BB1188" s="3"/>
      <c r="BC1188" s="3"/>
      <c r="BD1188" s="3"/>
      <c r="BE1188" s="3"/>
    </row>
    <row r="1189" spans="1:57" x14ac:dyDescent="0.35">
      <c r="A1189" s="66" t="s">
        <v>527</v>
      </c>
      <c r="B1189" s="67"/>
      <c r="C1189" s="67"/>
      <c r="D1189" s="68"/>
      <c r="E1189" s="94"/>
      <c r="F1189" s="93" t="str">
        <f>HYPERLINK("https://pbs.twimg.com/profile_images/1427650058795712513/T56aIf_L_normal.jpg")</f>
        <v>https://pbs.twimg.com/profile_images/1427650058795712513/T56aIf_L_normal.jpg</v>
      </c>
      <c r="G1189" s="95"/>
      <c r="H1189" s="71"/>
      <c r="I1189" s="72"/>
      <c r="J1189" s="96"/>
      <c r="K1189" s="71" t="s">
        <v>4098</v>
      </c>
      <c r="L1189" s="97"/>
      <c r="M1189" s="76"/>
      <c r="N1189" s="76"/>
      <c r="O1189" s="77"/>
      <c r="P1189" s="78"/>
      <c r="Q1189" s="78"/>
      <c r="R1189" s="92"/>
      <c r="S1189" s="92"/>
      <c r="T1189" s="92"/>
      <c r="U1189" s="92"/>
      <c r="V1189" s="52"/>
      <c r="W1189" s="52"/>
      <c r="X1189" s="52"/>
      <c r="Y1189" s="52"/>
      <c r="Z1189" s="51"/>
      <c r="AA1189" s="73"/>
      <c r="AB1189" s="73"/>
      <c r="AC1189" s="74"/>
      <c r="AD1189" s="81" t="s">
        <v>2610</v>
      </c>
      <c r="AE1189" s="86" t="s">
        <v>3013</v>
      </c>
      <c r="AF1189" s="81">
        <v>631</v>
      </c>
      <c r="AG1189" s="81">
        <v>303</v>
      </c>
      <c r="AH1189" s="81">
        <v>23842</v>
      </c>
      <c r="AI1189" s="81">
        <v>39643</v>
      </c>
      <c r="AJ1189" s="81"/>
      <c r="AK1189" s="81" t="s">
        <v>3437</v>
      </c>
      <c r="AL1189" s="81" t="s">
        <v>3703</v>
      </c>
      <c r="AM1189" s="84" t="str">
        <f>HYPERLINK("https://t.co/qAvj9L8NsY")</f>
        <v>https://t.co/qAvj9L8NsY</v>
      </c>
      <c r="AN1189" s="81"/>
      <c r="AO1189" s="83">
        <v>44179.586655092593</v>
      </c>
      <c r="AP1189" s="84" t="str">
        <f>HYPERLINK("https://pbs.twimg.com/profile_banners/1338485044529119232/1629612091")</f>
        <v>https://pbs.twimg.com/profile_banners/1338485044529119232/1629612091</v>
      </c>
      <c r="AQ1189" s="81" t="b">
        <v>1</v>
      </c>
      <c r="AR1189" s="81" t="b">
        <v>0</v>
      </c>
      <c r="AS1189" s="81" t="b">
        <v>0</v>
      </c>
      <c r="AT1189" s="81"/>
      <c r="AU1189" s="81">
        <v>4</v>
      </c>
      <c r="AV1189" s="81"/>
      <c r="AW1189" s="81" t="b">
        <v>0</v>
      </c>
      <c r="AX1189" s="81" t="s">
        <v>3728</v>
      </c>
      <c r="AY1189" s="84" t="str">
        <f>HYPERLINK("https://twitter.com/knowleebb")</f>
        <v>https://twitter.com/knowleebb</v>
      </c>
      <c r="AZ1189" s="81" t="s">
        <v>66</v>
      </c>
      <c r="BA1189" s="2"/>
      <c r="BB1189" s="3"/>
      <c r="BC1189" s="3"/>
      <c r="BD1189" s="3"/>
      <c r="BE1189" s="3"/>
    </row>
    <row r="1190" spans="1:57" x14ac:dyDescent="0.35">
      <c r="A1190" s="66" t="s">
        <v>4787</v>
      </c>
      <c r="B1190" s="67"/>
      <c r="C1190" s="67"/>
      <c r="D1190" s="68"/>
      <c r="E1190" s="94"/>
      <c r="F1190" s="93" t="str">
        <f>HYPERLINK("https://abs.twimg.com/sticky/default_profile_images/default_profile_normal.png")</f>
        <v>https://abs.twimg.com/sticky/default_profile_images/default_profile_normal.png</v>
      </c>
      <c r="G1190" s="95"/>
      <c r="H1190" s="71"/>
      <c r="I1190" s="72"/>
      <c r="J1190" s="96"/>
      <c r="K1190" s="71" t="s">
        <v>12200</v>
      </c>
      <c r="L1190" s="97"/>
      <c r="M1190" s="76"/>
      <c r="N1190" s="76"/>
      <c r="O1190" s="77"/>
      <c r="P1190" s="78"/>
      <c r="Q1190" s="78"/>
      <c r="R1190" s="92"/>
      <c r="S1190" s="92"/>
      <c r="T1190" s="92"/>
      <c r="U1190" s="92"/>
      <c r="V1190" s="52"/>
      <c r="W1190" s="52"/>
      <c r="X1190" s="52"/>
      <c r="Y1190" s="52"/>
      <c r="Z1190" s="51"/>
      <c r="AA1190" s="73"/>
      <c r="AB1190" s="73"/>
      <c r="AC1190" s="74"/>
      <c r="AD1190" s="81" t="s">
        <v>8818</v>
      </c>
      <c r="AE1190" s="86" t="s">
        <v>9798</v>
      </c>
      <c r="AF1190" s="81">
        <v>46</v>
      </c>
      <c r="AG1190" s="81">
        <v>4</v>
      </c>
      <c r="AH1190" s="81">
        <v>220</v>
      </c>
      <c r="AI1190" s="81">
        <v>36</v>
      </c>
      <c r="AJ1190" s="81"/>
      <c r="AK1190" s="81"/>
      <c r="AL1190" s="81"/>
      <c r="AM1190" s="81"/>
      <c r="AN1190" s="81"/>
      <c r="AO1190" s="83">
        <v>41652.083993055552</v>
      </c>
      <c r="AP1190" s="81"/>
      <c r="AQ1190" s="81" t="b">
        <v>1</v>
      </c>
      <c r="AR1190" s="81" t="b">
        <v>1</v>
      </c>
      <c r="AS1190" s="81" t="b">
        <v>1</v>
      </c>
      <c r="AT1190" s="81"/>
      <c r="AU1190" s="81">
        <v>0</v>
      </c>
      <c r="AV1190" s="84" t="str">
        <f>HYPERLINK("https://abs.twimg.com/images/themes/theme1/bg.png")</f>
        <v>https://abs.twimg.com/images/themes/theme1/bg.png</v>
      </c>
      <c r="AW1190" s="81" t="b">
        <v>0</v>
      </c>
      <c r="AX1190" s="81" t="s">
        <v>3728</v>
      </c>
      <c r="AY1190" s="84" t="str">
        <f>HYPERLINK("https://twitter.com/eabpen")</f>
        <v>https://twitter.com/eabpen</v>
      </c>
      <c r="AZ1190" s="81" t="s">
        <v>66</v>
      </c>
      <c r="BA1190" s="2"/>
      <c r="BB1190" s="3"/>
      <c r="BC1190" s="3"/>
      <c r="BD1190" s="3"/>
      <c r="BE1190" s="3"/>
    </row>
    <row r="1191" spans="1:57" x14ac:dyDescent="0.35">
      <c r="A1191" s="66" t="s">
        <v>599</v>
      </c>
      <c r="B1191" s="67"/>
      <c r="C1191" s="67"/>
      <c r="D1191" s="68"/>
      <c r="E1191" s="94"/>
      <c r="F1191" s="93" t="str">
        <f>HYPERLINK("https://pbs.twimg.com/profile_images/1432961033979645952/ZdLIUvML_normal.jpg")</f>
        <v>https://pbs.twimg.com/profile_images/1432961033979645952/ZdLIUvML_normal.jpg</v>
      </c>
      <c r="G1191" s="95"/>
      <c r="H1191" s="71"/>
      <c r="I1191" s="72"/>
      <c r="J1191" s="96"/>
      <c r="K1191" s="71" t="s">
        <v>11401</v>
      </c>
      <c r="L1191" s="97"/>
      <c r="M1191" s="76"/>
      <c r="N1191" s="76"/>
      <c r="O1191" s="77"/>
      <c r="P1191" s="78"/>
      <c r="Q1191" s="78"/>
      <c r="R1191" s="92"/>
      <c r="S1191" s="92"/>
      <c r="T1191" s="92"/>
      <c r="U1191" s="92"/>
      <c r="V1191" s="52"/>
      <c r="W1191" s="52"/>
      <c r="X1191" s="52"/>
      <c r="Y1191" s="52"/>
      <c r="Z1191" s="51"/>
      <c r="AA1191" s="73"/>
      <c r="AB1191" s="73"/>
      <c r="AC1191" s="74"/>
      <c r="AD1191" s="81" t="s">
        <v>2296</v>
      </c>
      <c r="AE1191" s="86" t="s">
        <v>2092</v>
      </c>
      <c r="AF1191" s="81">
        <v>35</v>
      </c>
      <c r="AG1191" s="81">
        <v>29339</v>
      </c>
      <c r="AH1191" s="81">
        <v>89328</v>
      </c>
      <c r="AI1191" s="81">
        <v>262</v>
      </c>
      <c r="AJ1191" s="81"/>
      <c r="AK1191" s="81" t="s">
        <v>3131</v>
      </c>
      <c r="AL1191" s="81" t="s">
        <v>2202</v>
      </c>
      <c r="AM1191" s="84" t="str">
        <f>HYPERLINK("https://t.co/ckH89eGev6")</f>
        <v>https://t.co/ckH89eGev6</v>
      </c>
      <c r="AN1191" s="81"/>
      <c r="AO1191" s="83">
        <v>42339.259120370371</v>
      </c>
      <c r="AP1191" s="84" t="str">
        <f>HYPERLINK("https://pbs.twimg.com/profile_banners/4417582514/1628645715")</f>
        <v>https://pbs.twimg.com/profile_banners/4417582514/1628645715</v>
      </c>
      <c r="AQ1191" s="81" t="b">
        <v>0</v>
      </c>
      <c r="AR1191" s="81" t="b">
        <v>0</v>
      </c>
      <c r="AS1191" s="81" t="b">
        <v>0</v>
      </c>
      <c r="AT1191" s="81"/>
      <c r="AU1191" s="81">
        <v>9</v>
      </c>
      <c r="AV1191" s="84" t="str">
        <f>HYPERLINK("https://abs.twimg.com/images/themes/theme1/bg.png")</f>
        <v>https://abs.twimg.com/images/themes/theme1/bg.png</v>
      </c>
      <c r="AW1191" s="81" t="b">
        <v>0</v>
      </c>
      <c r="AX1191" s="81" t="s">
        <v>3728</v>
      </c>
      <c r="AY1191" s="84" t="str">
        <f>HYPERLINK("https://twitter.com/sicepat_ekspres")</f>
        <v>https://twitter.com/sicepat_ekspres</v>
      </c>
      <c r="AZ1191" s="81" t="s">
        <v>65</v>
      </c>
      <c r="BA1191" s="2"/>
      <c r="BB1191" s="3"/>
      <c r="BC1191" s="3"/>
      <c r="BD1191" s="3"/>
      <c r="BE1191" s="3"/>
    </row>
    <row r="1192" spans="1:57" x14ac:dyDescent="0.35">
      <c r="A1192" s="66" t="s">
        <v>528</v>
      </c>
      <c r="B1192" s="67"/>
      <c r="C1192" s="67"/>
      <c r="D1192" s="68"/>
      <c r="E1192" s="94"/>
      <c r="F1192" s="93" t="str">
        <f>HYPERLINK("https://pbs.twimg.com/profile_images/1418904067582177286/pO26cIc3_normal.jpg")</f>
        <v>https://pbs.twimg.com/profile_images/1418904067582177286/pO26cIc3_normal.jpg</v>
      </c>
      <c r="G1192" s="95"/>
      <c r="H1192" s="71"/>
      <c r="I1192" s="72"/>
      <c r="J1192" s="96"/>
      <c r="K1192" s="71" t="s">
        <v>4099</v>
      </c>
      <c r="L1192" s="97"/>
      <c r="M1192" s="76"/>
      <c r="N1192" s="76"/>
      <c r="O1192" s="77"/>
      <c r="P1192" s="78"/>
      <c r="Q1192" s="78"/>
      <c r="R1192" s="92"/>
      <c r="S1192" s="92"/>
      <c r="T1192" s="92"/>
      <c r="U1192" s="92"/>
      <c r="V1192" s="52"/>
      <c r="W1192" s="52"/>
      <c r="X1192" s="52"/>
      <c r="Y1192" s="52"/>
      <c r="Z1192" s="51"/>
      <c r="AA1192" s="73"/>
      <c r="AB1192" s="73"/>
      <c r="AC1192" s="74"/>
      <c r="AD1192" s="81" t="s">
        <v>2611</v>
      </c>
      <c r="AE1192" s="86" t="s">
        <v>3014</v>
      </c>
      <c r="AF1192" s="81">
        <v>115</v>
      </c>
      <c r="AG1192" s="81">
        <v>88</v>
      </c>
      <c r="AH1192" s="81">
        <v>1171</v>
      </c>
      <c r="AI1192" s="81">
        <v>3480</v>
      </c>
      <c r="AJ1192" s="81"/>
      <c r="AK1192" s="81" t="s">
        <v>3438</v>
      </c>
      <c r="AL1192" s="81"/>
      <c r="AM1192" s="81"/>
      <c r="AN1192" s="81"/>
      <c r="AO1192" s="83">
        <v>44333.177546296298</v>
      </c>
      <c r="AP1192" s="84" t="str">
        <f>HYPERLINK("https://pbs.twimg.com/profile_banners/1394144343280128000/1627128061")</f>
        <v>https://pbs.twimg.com/profile_banners/1394144343280128000/1627128061</v>
      </c>
      <c r="AQ1192" s="81" t="b">
        <v>1</v>
      </c>
      <c r="AR1192" s="81" t="b">
        <v>0</v>
      </c>
      <c r="AS1192" s="81" t="b">
        <v>0</v>
      </c>
      <c r="AT1192" s="81"/>
      <c r="AU1192" s="81">
        <v>0</v>
      </c>
      <c r="AV1192" s="81"/>
      <c r="AW1192" s="81" t="b">
        <v>0</v>
      </c>
      <c r="AX1192" s="81" t="s">
        <v>3728</v>
      </c>
      <c r="AY1192" s="84" t="str">
        <f>HYPERLINK("https://twitter.com/anshaeyn")</f>
        <v>https://twitter.com/anshaeyn</v>
      </c>
      <c r="AZ1192" s="81" t="s">
        <v>66</v>
      </c>
      <c r="BA1192" s="2"/>
      <c r="BB1192" s="3"/>
      <c r="BC1192" s="3"/>
      <c r="BD1192" s="3"/>
      <c r="BE1192" s="3"/>
    </row>
    <row r="1193" spans="1:57" x14ac:dyDescent="0.35">
      <c r="A1193" s="66" t="s">
        <v>529</v>
      </c>
      <c r="B1193" s="67"/>
      <c r="C1193" s="67"/>
      <c r="D1193" s="68"/>
      <c r="E1193" s="94"/>
      <c r="F1193" s="93" t="str">
        <f>HYPERLINK("https://pbs.twimg.com/profile_images/1407616852683935747/Iza4f9mP_normal.jpg")</f>
        <v>https://pbs.twimg.com/profile_images/1407616852683935747/Iza4f9mP_normal.jpg</v>
      </c>
      <c r="G1193" s="95"/>
      <c r="H1193" s="71"/>
      <c r="I1193" s="72"/>
      <c r="J1193" s="96"/>
      <c r="K1193" s="71" t="s">
        <v>4100</v>
      </c>
      <c r="L1193" s="97"/>
      <c r="M1193" s="76"/>
      <c r="N1193" s="76"/>
      <c r="O1193" s="77"/>
      <c r="P1193" s="78"/>
      <c r="Q1193" s="78"/>
      <c r="R1193" s="92"/>
      <c r="S1193" s="92"/>
      <c r="T1193" s="92"/>
      <c r="U1193" s="92"/>
      <c r="V1193" s="52"/>
      <c r="W1193" s="52"/>
      <c r="X1193" s="52"/>
      <c r="Y1193" s="52"/>
      <c r="Z1193" s="51"/>
      <c r="AA1193" s="73"/>
      <c r="AB1193" s="73"/>
      <c r="AC1193" s="74"/>
      <c r="AD1193" s="81" t="s">
        <v>2612</v>
      </c>
      <c r="AE1193" s="86" t="s">
        <v>2155</v>
      </c>
      <c r="AF1193" s="81">
        <v>590</v>
      </c>
      <c r="AG1193" s="81">
        <v>11936</v>
      </c>
      <c r="AH1193" s="81">
        <v>19294</v>
      </c>
      <c r="AI1193" s="81">
        <v>1468</v>
      </c>
      <c r="AJ1193" s="81"/>
      <c r="AK1193" s="81" t="s">
        <v>3439</v>
      </c>
      <c r="AL1193" s="81" t="s">
        <v>3696</v>
      </c>
      <c r="AM1193" s="84" t="str">
        <f>HYPERLINK("https://t.co/G8JKW3XuRA")</f>
        <v>https://t.co/G8JKW3XuRA</v>
      </c>
      <c r="AN1193" s="81"/>
      <c r="AO1193" s="83">
        <v>42564.186099537037</v>
      </c>
      <c r="AP1193" s="84" t="str">
        <f>HYPERLINK("https://pbs.twimg.com/profile_banners/753083526019514369/1624855906")</f>
        <v>https://pbs.twimg.com/profile_banners/753083526019514369/1624855906</v>
      </c>
      <c r="AQ1193" s="81" t="b">
        <v>0</v>
      </c>
      <c r="AR1193" s="81" t="b">
        <v>0</v>
      </c>
      <c r="AS1193" s="81" t="b">
        <v>1</v>
      </c>
      <c r="AT1193" s="81"/>
      <c r="AU1193" s="81">
        <v>35</v>
      </c>
      <c r="AV1193" s="84" t="str">
        <f>HYPERLINK("https://abs.twimg.com/images/themes/theme1/bg.png")</f>
        <v>https://abs.twimg.com/images/themes/theme1/bg.png</v>
      </c>
      <c r="AW1193" s="81" t="b">
        <v>0</v>
      </c>
      <c r="AX1193" s="81" t="s">
        <v>3728</v>
      </c>
      <c r="AY1193" s="84" t="str">
        <f>HYPERLINK("https://twitter.com/bandung_goid")</f>
        <v>https://twitter.com/bandung_goid</v>
      </c>
      <c r="AZ1193" s="81" t="s">
        <v>66</v>
      </c>
      <c r="BA1193" s="2"/>
      <c r="BB1193" s="3"/>
      <c r="BC1193" s="3"/>
      <c r="BD1193" s="3"/>
      <c r="BE1193" s="3"/>
    </row>
    <row r="1194" spans="1:57" x14ac:dyDescent="0.35">
      <c r="A1194" s="66" t="s">
        <v>530</v>
      </c>
      <c r="B1194" s="67"/>
      <c r="C1194" s="67"/>
      <c r="D1194" s="68"/>
      <c r="E1194" s="94"/>
      <c r="F1194" s="93" t="str">
        <f>HYPERLINK("https://pbs.twimg.com/profile_images/1348465021190250500/poqw-sp__normal.jpg")</f>
        <v>https://pbs.twimg.com/profile_images/1348465021190250500/poqw-sp__normal.jpg</v>
      </c>
      <c r="G1194" s="95"/>
      <c r="H1194" s="71"/>
      <c r="I1194" s="72"/>
      <c r="J1194" s="96"/>
      <c r="K1194" s="71" t="s">
        <v>4101</v>
      </c>
      <c r="L1194" s="97"/>
      <c r="M1194" s="76"/>
      <c r="N1194" s="76"/>
      <c r="O1194" s="77"/>
      <c r="P1194" s="78"/>
      <c r="Q1194" s="78"/>
      <c r="R1194" s="92"/>
      <c r="S1194" s="92"/>
      <c r="T1194" s="92"/>
      <c r="U1194" s="92"/>
      <c r="V1194" s="52"/>
      <c r="W1194" s="52"/>
      <c r="X1194" s="52"/>
      <c r="Y1194" s="52"/>
      <c r="Z1194" s="51"/>
      <c r="AA1194" s="73"/>
      <c r="AB1194" s="73"/>
      <c r="AC1194" s="74"/>
      <c r="AD1194" s="81" t="s">
        <v>2613</v>
      </c>
      <c r="AE1194" s="86" t="s">
        <v>3015</v>
      </c>
      <c r="AF1194" s="81">
        <v>234</v>
      </c>
      <c r="AG1194" s="81">
        <v>152</v>
      </c>
      <c r="AH1194" s="81">
        <v>7259</v>
      </c>
      <c r="AI1194" s="81">
        <v>37</v>
      </c>
      <c r="AJ1194" s="81"/>
      <c r="AK1194" s="81" t="s">
        <v>3440</v>
      </c>
      <c r="AL1194" s="81"/>
      <c r="AM1194" s="81"/>
      <c r="AN1194" s="81"/>
      <c r="AO1194" s="83">
        <v>44207.12158564815</v>
      </c>
      <c r="AP1194" s="84" t="str">
        <f>HYPERLINK("https://pbs.twimg.com/profile_banners/1348463360296112132/1610334106")</f>
        <v>https://pbs.twimg.com/profile_banners/1348463360296112132/1610334106</v>
      </c>
      <c r="AQ1194" s="81" t="b">
        <v>1</v>
      </c>
      <c r="AR1194" s="81" t="b">
        <v>0</v>
      </c>
      <c r="AS1194" s="81" t="b">
        <v>1</v>
      </c>
      <c r="AT1194" s="81"/>
      <c r="AU1194" s="81">
        <v>0</v>
      </c>
      <c r="AV1194" s="81"/>
      <c r="AW1194" s="81" t="b">
        <v>0</v>
      </c>
      <c r="AX1194" s="81" t="s">
        <v>3728</v>
      </c>
      <c r="AY1194" s="84" t="str">
        <f>HYPERLINK("https://twitter.com/seputaran_bdg")</f>
        <v>https://twitter.com/seputaran_bdg</v>
      </c>
      <c r="AZ1194" s="81" t="s">
        <v>66</v>
      </c>
      <c r="BA1194" s="2"/>
      <c r="BB1194" s="3"/>
      <c r="BC1194" s="3"/>
      <c r="BD1194" s="3"/>
      <c r="BE1194" s="3"/>
    </row>
    <row r="1195" spans="1:57" x14ac:dyDescent="0.35">
      <c r="A1195" s="66" t="s">
        <v>531</v>
      </c>
      <c r="B1195" s="67"/>
      <c r="C1195" s="67"/>
      <c r="D1195" s="68"/>
      <c r="E1195" s="94"/>
      <c r="F1195" s="93" t="str">
        <f>HYPERLINK("https://pbs.twimg.com/profile_images/1362232870316613637/0ZhZ15at_normal.jpg")</f>
        <v>https://pbs.twimg.com/profile_images/1362232870316613637/0ZhZ15at_normal.jpg</v>
      </c>
      <c r="G1195" s="95"/>
      <c r="H1195" s="71"/>
      <c r="I1195" s="72"/>
      <c r="J1195" s="96"/>
      <c r="K1195" s="71" t="s">
        <v>4102</v>
      </c>
      <c r="L1195" s="97"/>
      <c r="M1195" s="76"/>
      <c r="N1195" s="76"/>
      <c r="O1195" s="77"/>
      <c r="P1195" s="78"/>
      <c r="Q1195" s="78"/>
      <c r="R1195" s="92"/>
      <c r="S1195" s="92"/>
      <c r="T1195" s="92"/>
      <c r="U1195" s="92"/>
      <c r="V1195" s="52"/>
      <c r="W1195" s="52"/>
      <c r="X1195" s="52"/>
      <c r="Y1195" s="52"/>
      <c r="Z1195" s="51"/>
      <c r="AA1195" s="73"/>
      <c r="AB1195" s="73"/>
      <c r="AC1195" s="74"/>
      <c r="AD1195" s="81" t="s">
        <v>2614</v>
      </c>
      <c r="AE1195" s="86" t="s">
        <v>2156</v>
      </c>
      <c r="AF1195" s="81">
        <v>169</v>
      </c>
      <c r="AG1195" s="81">
        <v>2632</v>
      </c>
      <c r="AH1195" s="81">
        <v>186</v>
      </c>
      <c r="AI1195" s="81">
        <v>188</v>
      </c>
      <c r="AJ1195" s="81"/>
      <c r="AK1195" s="81" t="s">
        <v>3441</v>
      </c>
      <c r="AL1195" s="81" t="s">
        <v>3704</v>
      </c>
      <c r="AM1195" s="84" t="str">
        <f>HYPERLINK("https://t.co/3GwHlUlt6W")</f>
        <v>https://t.co/3GwHlUlt6W</v>
      </c>
      <c r="AN1195" s="81"/>
      <c r="AO1195" s="83">
        <v>44245.075428240743</v>
      </c>
      <c r="AP1195" s="84" t="str">
        <f>HYPERLINK("https://pbs.twimg.com/profile_banners/1362217357729361923/1613616184")</f>
        <v>https://pbs.twimg.com/profile_banners/1362217357729361923/1613616184</v>
      </c>
      <c r="AQ1195" s="81" t="b">
        <v>1</v>
      </c>
      <c r="AR1195" s="81" t="b">
        <v>0</v>
      </c>
      <c r="AS1195" s="81" t="b">
        <v>1</v>
      </c>
      <c r="AT1195" s="81"/>
      <c r="AU1195" s="81">
        <v>0</v>
      </c>
      <c r="AV1195" s="81"/>
      <c r="AW1195" s="81" t="b">
        <v>0</v>
      </c>
      <c r="AX1195" s="81" t="s">
        <v>3728</v>
      </c>
      <c r="AY1195" s="84" t="str">
        <f>HYPERLINK("https://twitter.com/orangekampus")</f>
        <v>https://twitter.com/orangekampus</v>
      </c>
      <c r="AZ1195" s="81" t="s">
        <v>66</v>
      </c>
      <c r="BA1195" s="2"/>
      <c r="BB1195" s="3"/>
      <c r="BC1195" s="3"/>
      <c r="BD1195" s="3"/>
      <c r="BE1195" s="3"/>
    </row>
    <row r="1196" spans="1:57" x14ac:dyDescent="0.35">
      <c r="A1196" s="66" t="s">
        <v>532</v>
      </c>
      <c r="B1196" s="67"/>
      <c r="C1196" s="67"/>
      <c r="D1196" s="68"/>
      <c r="E1196" s="94"/>
      <c r="F1196" s="93" t="str">
        <f>HYPERLINK("https://pbs.twimg.com/profile_images/1442812996120498183/YY0eSUOS_normal.jpg")</f>
        <v>https://pbs.twimg.com/profile_images/1442812996120498183/YY0eSUOS_normal.jpg</v>
      </c>
      <c r="G1196" s="95"/>
      <c r="H1196" s="71"/>
      <c r="I1196" s="72"/>
      <c r="J1196" s="96"/>
      <c r="K1196" s="71" t="s">
        <v>4103</v>
      </c>
      <c r="L1196" s="97"/>
      <c r="M1196" s="76"/>
      <c r="N1196" s="76"/>
      <c r="O1196" s="77"/>
      <c r="P1196" s="78"/>
      <c r="Q1196" s="78"/>
      <c r="R1196" s="92"/>
      <c r="S1196" s="92"/>
      <c r="T1196" s="92"/>
      <c r="U1196" s="92"/>
      <c r="V1196" s="52"/>
      <c r="W1196" s="52"/>
      <c r="X1196" s="52"/>
      <c r="Y1196" s="52"/>
      <c r="Z1196" s="51"/>
      <c r="AA1196" s="73"/>
      <c r="AB1196" s="73"/>
      <c r="AC1196" s="74"/>
      <c r="AD1196" s="81" t="s">
        <v>2615</v>
      </c>
      <c r="AE1196" s="86" t="s">
        <v>3016</v>
      </c>
      <c r="AF1196" s="81">
        <v>239</v>
      </c>
      <c r="AG1196" s="81">
        <v>109</v>
      </c>
      <c r="AH1196" s="81">
        <v>14329</v>
      </c>
      <c r="AI1196" s="81">
        <v>31172</v>
      </c>
      <c r="AJ1196" s="81"/>
      <c r="AK1196" s="81" t="s">
        <v>3442</v>
      </c>
      <c r="AL1196" s="81"/>
      <c r="AM1196" s="81"/>
      <c r="AN1196" s="81"/>
      <c r="AO1196" s="83">
        <v>44301.585775462961</v>
      </c>
      <c r="AP1196" s="84" t="str">
        <f>HYPERLINK("https://pbs.twimg.com/profile_banners/1382696043901562887/1618495722")</f>
        <v>https://pbs.twimg.com/profile_banners/1382696043901562887/1618495722</v>
      </c>
      <c r="AQ1196" s="81" t="b">
        <v>1</v>
      </c>
      <c r="AR1196" s="81" t="b">
        <v>0</v>
      </c>
      <c r="AS1196" s="81" t="b">
        <v>0</v>
      </c>
      <c r="AT1196" s="81"/>
      <c r="AU1196" s="81">
        <v>0</v>
      </c>
      <c r="AV1196" s="81"/>
      <c r="AW1196" s="81" t="b">
        <v>0</v>
      </c>
      <c r="AX1196" s="81" t="s">
        <v>3728</v>
      </c>
      <c r="AY1196" s="84" t="str">
        <f>HYPERLINK("https://twitter.com/linomeow_8")</f>
        <v>https://twitter.com/linomeow_8</v>
      </c>
      <c r="AZ1196" s="81" t="s">
        <v>66</v>
      </c>
      <c r="BA1196" s="2"/>
      <c r="BB1196" s="3"/>
      <c r="BC1196" s="3"/>
      <c r="BD1196" s="3"/>
      <c r="BE1196" s="3"/>
    </row>
    <row r="1197" spans="1:57" x14ac:dyDescent="0.35">
      <c r="A1197" s="66" t="s">
        <v>4788</v>
      </c>
      <c r="B1197" s="67"/>
      <c r="C1197" s="67"/>
      <c r="D1197" s="68"/>
      <c r="E1197" s="94"/>
      <c r="F1197" s="93" t="str">
        <f>HYPERLINK("https://pbs.twimg.com/profile_images/1210693161405894658/a-NnraFt_normal.jpg")</f>
        <v>https://pbs.twimg.com/profile_images/1210693161405894658/a-NnraFt_normal.jpg</v>
      </c>
      <c r="G1197" s="95"/>
      <c r="H1197" s="71"/>
      <c r="I1197" s="72"/>
      <c r="J1197" s="96"/>
      <c r="K1197" s="71" t="s">
        <v>12201</v>
      </c>
      <c r="L1197" s="97"/>
      <c r="M1197" s="76"/>
      <c r="N1197" s="76"/>
      <c r="O1197" s="77"/>
      <c r="P1197" s="78"/>
      <c r="Q1197" s="78"/>
      <c r="R1197" s="92"/>
      <c r="S1197" s="92"/>
      <c r="T1197" s="92"/>
      <c r="U1197" s="92"/>
      <c r="V1197" s="52"/>
      <c r="W1197" s="52"/>
      <c r="X1197" s="52"/>
      <c r="Y1197" s="52"/>
      <c r="Z1197" s="51"/>
      <c r="AA1197" s="73"/>
      <c r="AB1197" s="73"/>
      <c r="AC1197" s="74"/>
      <c r="AD1197" s="81" t="s">
        <v>8819</v>
      </c>
      <c r="AE1197" s="86" t="s">
        <v>9799</v>
      </c>
      <c r="AF1197" s="81">
        <v>87</v>
      </c>
      <c r="AG1197" s="81">
        <v>42</v>
      </c>
      <c r="AH1197" s="81">
        <v>6125</v>
      </c>
      <c r="AI1197" s="81">
        <v>28578</v>
      </c>
      <c r="AJ1197" s="81"/>
      <c r="AK1197" s="81"/>
      <c r="AL1197" s="81"/>
      <c r="AM1197" s="81"/>
      <c r="AN1197" s="81"/>
      <c r="AO1197" s="83">
        <v>43756.066238425927</v>
      </c>
      <c r="AP1197" s="84" t="str">
        <f>HYPERLINK("https://pbs.twimg.com/profile_banners/1185006297923641347/1571363631")</f>
        <v>https://pbs.twimg.com/profile_banners/1185006297923641347/1571363631</v>
      </c>
      <c r="AQ1197" s="81" t="b">
        <v>1</v>
      </c>
      <c r="AR1197" s="81" t="b">
        <v>0</v>
      </c>
      <c r="AS1197" s="81" t="b">
        <v>0</v>
      </c>
      <c r="AT1197" s="81"/>
      <c r="AU1197" s="81">
        <v>0</v>
      </c>
      <c r="AV1197" s="81"/>
      <c r="AW1197" s="81" t="b">
        <v>0</v>
      </c>
      <c r="AX1197" s="81" t="s">
        <v>3728</v>
      </c>
      <c r="AY1197" s="84" t="str">
        <f>HYPERLINK("https://twitter.com/driaaventureir1")</f>
        <v>https://twitter.com/driaaventureir1</v>
      </c>
      <c r="AZ1197" s="81" t="s">
        <v>66</v>
      </c>
      <c r="BA1197" s="2"/>
      <c r="BB1197" s="3"/>
      <c r="BC1197" s="3"/>
      <c r="BD1197" s="3"/>
      <c r="BE1197" s="3"/>
    </row>
    <row r="1198" spans="1:57" x14ac:dyDescent="0.35">
      <c r="A1198" s="66" t="s">
        <v>4789</v>
      </c>
      <c r="B1198" s="67"/>
      <c r="C1198" s="67"/>
      <c r="D1198" s="68"/>
      <c r="E1198" s="94"/>
      <c r="F1198" s="93" t="str">
        <f>HYPERLINK("https://pbs.twimg.com/profile_images/1358668898497880064/tNM51_4b_normal.jpg")</f>
        <v>https://pbs.twimg.com/profile_images/1358668898497880064/tNM51_4b_normal.jpg</v>
      </c>
      <c r="G1198" s="95"/>
      <c r="H1198" s="71"/>
      <c r="I1198" s="72"/>
      <c r="J1198" s="96"/>
      <c r="K1198" s="71" t="s">
        <v>12202</v>
      </c>
      <c r="L1198" s="97"/>
      <c r="M1198" s="76"/>
      <c r="N1198" s="76"/>
      <c r="O1198" s="77"/>
      <c r="P1198" s="78"/>
      <c r="Q1198" s="78"/>
      <c r="R1198" s="92"/>
      <c r="S1198" s="92"/>
      <c r="T1198" s="92"/>
      <c r="U1198" s="92"/>
      <c r="V1198" s="52"/>
      <c r="W1198" s="52"/>
      <c r="X1198" s="52"/>
      <c r="Y1198" s="52"/>
      <c r="Z1198" s="51"/>
      <c r="AA1198" s="73"/>
      <c r="AB1198" s="73"/>
      <c r="AC1198" s="74"/>
      <c r="AD1198" s="81" t="s">
        <v>8820</v>
      </c>
      <c r="AE1198" s="86" t="s">
        <v>9800</v>
      </c>
      <c r="AF1198" s="81">
        <v>1427</v>
      </c>
      <c r="AG1198" s="81">
        <v>1716</v>
      </c>
      <c r="AH1198" s="81">
        <v>174145</v>
      </c>
      <c r="AI1198" s="81">
        <v>330928</v>
      </c>
      <c r="AJ1198" s="81"/>
      <c r="AK1198" s="81"/>
      <c r="AL1198" s="81" t="s">
        <v>10970</v>
      </c>
      <c r="AM1198" s="81"/>
      <c r="AN1198" s="81"/>
      <c r="AO1198" s="83">
        <v>40067.714074074072</v>
      </c>
      <c r="AP1198" s="81"/>
      <c r="AQ1198" s="81" t="b">
        <v>1</v>
      </c>
      <c r="AR1198" s="81" t="b">
        <v>0</v>
      </c>
      <c r="AS1198" s="81" t="b">
        <v>1</v>
      </c>
      <c r="AT1198" s="81"/>
      <c r="AU1198" s="81">
        <v>0</v>
      </c>
      <c r="AV1198" s="84" t="str">
        <f>HYPERLINK("https://abs.twimg.com/images/themes/theme1/bg.png")</f>
        <v>https://abs.twimg.com/images/themes/theme1/bg.png</v>
      </c>
      <c r="AW1198" s="81" t="b">
        <v>0</v>
      </c>
      <c r="AX1198" s="81" t="s">
        <v>3728</v>
      </c>
      <c r="AY1198" s="84" t="str">
        <f>HYPERLINK("https://twitter.com/vanrenaultpsi")</f>
        <v>https://twitter.com/vanrenaultpsi</v>
      </c>
      <c r="AZ1198" s="81" t="s">
        <v>66</v>
      </c>
      <c r="BA1198" s="2"/>
      <c r="BB1198" s="3"/>
      <c r="BC1198" s="3"/>
      <c r="BD1198" s="3"/>
      <c r="BE1198" s="3"/>
    </row>
    <row r="1199" spans="1:57" x14ac:dyDescent="0.35">
      <c r="A1199" s="66" t="s">
        <v>4790</v>
      </c>
      <c r="B1199" s="67"/>
      <c r="C1199" s="67"/>
      <c r="D1199" s="68"/>
      <c r="E1199" s="94"/>
      <c r="F1199" s="93" t="str">
        <f>HYPERLINK("https://pbs.twimg.com/profile_images/1277802774894428160/S5J-K6V6_normal.jpg")</f>
        <v>https://pbs.twimg.com/profile_images/1277802774894428160/S5J-K6V6_normal.jpg</v>
      </c>
      <c r="G1199" s="95"/>
      <c r="H1199" s="71"/>
      <c r="I1199" s="72"/>
      <c r="J1199" s="96"/>
      <c r="K1199" s="71" t="s">
        <v>12203</v>
      </c>
      <c r="L1199" s="97"/>
      <c r="M1199" s="76"/>
      <c r="N1199" s="76"/>
      <c r="O1199" s="77"/>
      <c r="P1199" s="78"/>
      <c r="Q1199" s="78"/>
      <c r="R1199" s="92"/>
      <c r="S1199" s="92"/>
      <c r="T1199" s="92"/>
      <c r="U1199" s="92"/>
      <c r="V1199" s="52"/>
      <c r="W1199" s="52"/>
      <c r="X1199" s="52"/>
      <c r="Y1199" s="52"/>
      <c r="Z1199" s="51"/>
      <c r="AA1199" s="73"/>
      <c r="AB1199" s="73"/>
      <c r="AC1199" s="74"/>
      <c r="AD1199" s="81" t="s">
        <v>8821</v>
      </c>
      <c r="AE1199" s="86" t="s">
        <v>9801</v>
      </c>
      <c r="AF1199" s="81">
        <v>343</v>
      </c>
      <c r="AG1199" s="81">
        <v>28</v>
      </c>
      <c r="AH1199" s="81">
        <v>1214</v>
      </c>
      <c r="AI1199" s="81">
        <v>253</v>
      </c>
      <c r="AJ1199" s="81"/>
      <c r="AK1199" s="81" t="s">
        <v>10719</v>
      </c>
      <c r="AL1199" s="81" t="s">
        <v>11279</v>
      </c>
      <c r="AM1199" s="81"/>
      <c r="AN1199" s="81"/>
      <c r="AO1199" s="83">
        <v>43474.884641203702</v>
      </c>
      <c r="AP1199" s="84" t="str">
        <f>HYPERLINK("https://pbs.twimg.com/profile_banners/1083109629138292743/1579904376")</f>
        <v>https://pbs.twimg.com/profile_banners/1083109629138292743/1579904376</v>
      </c>
      <c r="AQ1199" s="81" t="b">
        <v>1</v>
      </c>
      <c r="AR1199" s="81" t="b">
        <v>0</v>
      </c>
      <c r="AS1199" s="81" t="b">
        <v>0</v>
      </c>
      <c r="AT1199" s="81"/>
      <c r="AU1199" s="81">
        <v>0</v>
      </c>
      <c r="AV1199" s="81"/>
      <c r="AW1199" s="81" t="b">
        <v>0</v>
      </c>
      <c r="AX1199" s="81" t="s">
        <v>3728</v>
      </c>
      <c r="AY1199" s="84" t="str">
        <f>HYPERLINK("https://twitter.com/cristia56019993")</f>
        <v>https://twitter.com/cristia56019993</v>
      </c>
      <c r="AZ1199" s="81" t="s">
        <v>66</v>
      </c>
      <c r="BA1199" s="2"/>
      <c r="BB1199" s="3"/>
      <c r="BC1199" s="3"/>
      <c r="BD1199" s="3"/>
      <c r="BE1199" s="3"/>
    </row>
    <row r="1200" spans="1:57" x14ac:dyDescent="0.35">
      <c r="A1200" s="66" t="s">
        <v>534</v>
      </c>
      <c r="B1200" s="67"/>
      <c r="C1200" s="67"/>
      <c r="D1200" s="68"/>
      <c r="E1200" s="94"/>
      <c r="F1200" s="93" t="str">
        <f>HYPERLINK("https://pbs.twimg.com/profile_images/1442814919557017604/WHMJ3ro-_normal.jpg")</f>
        <v>https://pbs.twimg.com/profile_images/1442814919557017604/WHMJ3ro-_normal.jpg</v>
      </c>
      <c r="G1200" s="95"/>
      <c r="H1200" s="71"/>
      <c r="I1200" s="72"/>
      <c r="J1200" s="96"/>
      <c r="K1200" s="71" t="s">
        <v>4105</v>
      </c>
      <c r="L1200" s="97"/>
      <c r="M1200" s="76"/>
      <c r="N1200" s="76"/>
      <c r="O1200" s="77"/>
      <c r="P1200" s="78"/>
      <c r="Q1200" s="78"/>
      <c r="R1200" s="92"/>
      <c r="S1200" s="92"/>
      <c r="T1200" s="92"/>
      <c r="U1200" s="92"/>
      <c r="V1200" s="52"/>
      <c r="W1200" s="52"/>
      <c r="X1200" s="52"/>
      <c r="Y1200" s="52"/>
      <c r="Z1200" s="51"/>
      <c r="AA1200" s="73"/>
      <c r="AB1200" s="73"/>
      <c r="AC1200" s="74"/>
      <c r="AD1200" s="81" t="s">
        <v>2617</v>
      </c>
      <c r="AE1200" s="86" t="s">
        <v>3017</v>
      </c>
      <c r="AF1200" s="81">
        <v>467</v>
      </c>
      <c r="AG1200" s="81">
        <v>99</v>
      </c>
      <c r="AH1200" s="81">
        <v>8301</v>
      </c>
      <c r="AI1200" s="81">
        <v>4096</v>
      </c>
      <c r="AJ1200" s="81"/>
      <c r="AK1200" s="81" t="s">
        <v>3444</v>
      </c>
      <c r="AL1200" s="81"/>
      <c r="AM1200" s="84" t="str">
        <f>HYPERLINK("https://t.co/nbDOUd7MRu")</f>
        <v>https://t.co/nbDOUd7MRu</v>
      </c>
      <c r="AN1200" s="81"/>
      <c r="AO1200" s="83">
        <v>42753.660694444443</v>
      </c>
      <c r="AP1200" s="84" t="str">
        <f>HYPERLINK("https://pbs.twimg.com/profile_banners/821746821441556480/1621764702")</f>
        <v>https://pbs.twimg.com/profile_banners/821746821441556480/1621764702</v>
      </c>
      <c r="AQ1200" s="81" t="b">
        <v>0</v>
      </c>
      <c r="AR1200" s="81" t="b">
        <v>0</v>
      </c>
      <c r="AS1200" s="81" t="b">
        <v>0</v>
      </c>
      <c r="AT1200" s="81"/>
      <c r="AU1200" s="81">
        <v>0</v>
      </c>
      <c r="AV1200" s="84" t="str">
        <f>HYPERLINK("https://abs.twimg.com/images/themes/theme1/bg.png")</f>
        <v>https://abs.twimg.com/images/themes/theme1/bg.png</v>
      </c>
      <c r="AW1200" s="81" t="b">
        <v>0</v>
      </c>
      <c r="AX1200" s="81" t="s">
        <v>3728</v>
      </c>
      <c r="AY1200" s="84" t="str">
        <f>HYPERLINK("https://twitter.com/x4riph0bi4")</f>
        <v>https://twitter.com/x4riph0bi4</v>
      </c>
      <c r="AZ1200" s="81" t="s">
        <v>66</v>
      </c>
      <c r="BA1200" s="2"/>
      <c r="BB1200" s="3"/>
      <c r="BC1200" s="3"/>
      <c r="BD1200" s="3"/>
      <c r="BE1200" s="3"/>
    </row>
    <row r="1201" spans="1:57" x14ac:dyDescent="0.35">
      <c r="A1201" s="66" t="s">
        <v>535</v>
      </c>
      <c r="B1201" s="67"/>
      <c r="C1201" s="67"/>
      <c r="D1201" s="68"/>
      <c r="E1201" s="94"/>
      <c r="F1201" s="93" t="str">
        <f>HYPERLINK("https://pbs.twimg.com/profile_images/812107715338125312/Hho_ylHR_normal.jpg")</f>
        <v>https://pbs.twimg.com/profile_images/812107715338125312/Hho_ylHR_normal.jpg</v>
      </c>
      <c r="G1201" s="95"/>
      <c r="H1201" s="71"/>
      <c r="I1201" s="72"/>
      <c r="J1201" s="96"/>
      <c r="K1201" s="71" t="s">
        <v>4106</v>
      </c>
      <c r="L1201" s="97"/>
      <c r="M1201" s="76"/>
      <c r="N1201" s="76"/>
      <c r="O1201" s="77"/>
      <c r="P1201" s="78"/>
      <c r="Q1201" s="78"/>
      <c r="R1201" s="92"/>
      <c r="S1201" s="92"/>
      <c r="T1201" s="92"/>
      <c r="U1201" s="92"/>
      <c r="V1201" s="52"/>
      <c r="W1201" s="52"/>
      <c r="X1201" s="52"/>
      <c r="Y1201" s="52"/>
      <c r="Z1201" s="51"/>
      <c r="AA1201" s="73"/>
      <c r="AB1201" s="73"/>
      <c r="AC1201" s="74"/>
      <c r="AD1201" s="81" t="s">
        <v>2618</v>
      </c>
      <c r="AE1201" s="86" t="s">
        <v>2158</v>
      </c>
      <c r="AF1201" s="81">
        <v>354</v>
      </c>
      <c r="AG1201" s="81">
        <v>932</v>
      </c>
      <c r="AH1201" s="81">
        <v>3622</v>
      </c>
      <c r="AI1201" s="81">
        <v>12</v>
      </c>
      <c r="AJ1201" s="81"/>
      <c r="AK1201" s="81" t="s">
        <v>3445</v>
      </c>
      <c r="AL1201" s="81" t="s">
        <v>3696</v>
      </c>
      <c r="AM1201" s="84" t="str">
        <f>HYPERLINK("https://t.co/mBqr2yw1vn")</f>
        <v>https://t.co/mBqr2yw1vn</v>
      </c>
      <c r="AN1201" s="81"/>
      <c r="AO1201" s="83">
        <v>40941.293009259258</v>
      </c>
      <c r="AP1201" s="84" t="str">
        <f>HYPERLINK("https://pbs.twimg.com/profile_banners/481039005/1533739585")</f>
        <v>https://pbs.twimg.com/profile_banners/481039005/1533739585</v>
      </c>
      <c r="AQ1201" s="81" t="b">
        <v>0</v>
      </c>
      <c r="AR1201" s="81" t="b">
        <v>0</v>
      </c>
      <c r="AS1201" s="81" t="b">
        <v>0</v>
      </c>
      <c r="AT1201" s="81"/>
      <c r="AU1201" s="81">
        <v>6</v>
      </c>
      <c r="AV1201" s="84" t="str">
        <f>HYPERLINK("https://abs.twimg.com/images/themes/theme1/bg.png")</f>
        <v>https://abs.twimg.com/images/themes/theme1/bg.png</v>
      </c>
      <c r="AW1201" s="81" t="b">
        <v>0</v>
      </c>
      <c r="AX1201" s="81" t="s">
        <v>3728</v>
      </c>
      <c r="AY1201" s="84" t="str">
        <f>HYPERLINK("https://twitter.com/himakompolban")</f>
        <v>https://twitter.com/himakompolban</v>
      </c>
      <c r="AZ1201" s="81" t="s">
        <v>66</v>
      </c>
      <c r="BA1201" s="2"/>
      <c r="BB1201" s="3"/>
      <c r="BC1201" s="3"/>
      <c r="BD1201" s="3"/>
      <c r="BE1201" s="3"/>
    </row>
    <row r="1202" spans="1:57" x14ac:dyDescent="0.35">
      <c r="A1202" s="66" t="s">
        <v>4791</v>
      </c>
      <c r="B1202" s="67"/>
      <c r="C1202" s="67"/>
      <c r="D1202" s="68"/>
      <c r="E1202" s="94"/>
      <c r="F1202" s="93" t="str">
        <f>HYPERLINK("https://pbs.twimg.com/profile_images/1282525746985140225/bTXHoR6U_normal.jpg")</f>
        <v>https://pbs.twimg.com/profile_images/1282525746985140225/bTXHoR6U_normal.jpg</v>
      </c>
      <c r="G1202" s="95"/>
      <c r="H1202" s="71"/>
      <c r="I1202" s="72"/>
      <c r="J1202" s="96"/>
      <c r="K1202" s="71" t="s">
        <v>12204</v>
      </c>
      <c r="L1202" s="97"/>
      <c r="M1202" s="76"/>
      <c r="N1202" s="76"/>
      <c r="O1202" s="77"/>
      <c r="P1202" s="78"/>
      <c r="Q1202" s="78"/>
      <c r="R1202" s="92"/>
      <c r="S1202" s="92"/>
      <c r="T1202" s="92"/>
      <c r="U1202" s="92"/>
      <c r="V1202" s="52"/>
      <c r="W1202" s="52"/>
      <c r="X1202" s="52"/>
      <c r="Y1202" s="52"/>
      <c r="Z1202" s="51"/>
      <c r="AA1202" s="73"/>
      <c r="AB1202" s="73"/>
      <c r="AC1202" s="74"/>
      <c r="AD1202" s="81" t="s">
        <v>8822</v>
      </c>
      <c r="AE1202" s="86" t="s">
        <v>9802</v>
      </c>
      <c r="AF1202" s="81">
        <v>73</v>
      </c>
      <c r="AG1202" s="81">
        <v>28</v>
      </c>
      <c r="AH1202" s="81">
        <v>172</v>
      </c>
      <c r="AI1202" s="81">
        <v>7004</v>
      </c>
      <c r="AJ1202" s="81"/>
      <c r="AK1202" s="81"/>
      <c r="AL1202" s="81" t="s">
        <v>11280</v>
      </c>
      <c r="AM1202" s="81"/>
      <c r="AN1202" s="81"/>
      <c r="AO1202" s="83">
        <v>41746.934884259259</v>
      </c>
      <c r="AP1202" s="84" t="str">
        <f>HYPERLINK("https://pbs.twimg.com/profile_banners/2490738257/1594613007")</f>
        <v>https://pbs.twimg.com/profile_banners/2490738257/1594613007</v>
      </c>
      <c r="AQ1202" s="81" t="b">
        <v>1</v>
      </c>
      <c r="AR1202" s="81" t="b">
        <v>0</v>
      </c>
      <c r="AS1202" s="81" t="b">
        <v>0</v>
      </c>
      <c r="AT1202" s="81"/>
      <c r="AU1202" s="81">
        <v>1</v>
      </c>
      <c r="AV1202" s="84" t="str">
        <f>HYPERLINK("https://abs.twimg.com/images/themes/theme1/bg.png")</f>
        <v>https://abs.twimg.com/images/themes/theme1/bg.png</v>
      </c>
      <c r="AW1202" s="81" t="b">
        <v>0</v>
      </c>
      <c r="AX1202" s="81" t="s">
        <v>3728</v>
      </c>
      <c r="AY1202" s="84" t="str">
        <f>HYPERLINK("https://twitter.com/pivozleal")</f>
        <v>https://twitter.com/pivozleal</v>
      </c>
      <c r="AZ1202" s="81" t="s">
        <v>66</v>
      </c>
      <c r="BA1202" s="2"/>
      <c r="BB1202" s="3"/>
      <c r="BC1202" s="3"/>
      <c r="BD1202" s="3"/>
      <c r="BE1202" s="3"/>
    </row>
    <row r="1203" spans="1:57" x14ac:dyDescent="0.35">
      <c r="A1203" s="66" t="s">
        <v>536</v>
      </c>
      <c r="B1203" s="67"/>
      <c r="C1203" s="67"/>
      <c r="D1203" s="68"/>
      <c r="E1203" s="94"/>
      <c r="F1203" s="93" t="str">
        <f>HYPERLINK("https://pbs.twimg.com/profile_images/1433447016797851655/cYElKfNs_normal.jpg")</f>
        <v>https://pbs.twimg.com/profile_images/1433447016797851655/cYElKfNs_normal.jpg</v>
      </c>
      <c r="G1203" s="95"/>
      <c r="H1203" s="71"/>
      <c r="I1203" s="72"/>
      <c r="J1203" s="96"/>
      <c r="K1203" s="71" t="s">
        <v>4107</v>
      </c>
      <c r="L1203" s="97"/>
      <c r="M1203" s="76"/>
      <c r="N1203" s="76"/>
      <c r="O1203" s="77"/>
      <c r="P1203" s="78"/>
      <c r="Q1203" s="78"/>
      <c r="R1203" s="92"/>
      <c r="S1203" s="92"/>
      <c r="T1203" s="92"/>
      <c r="U1203" s="92"/>
      <c r="V1203" s="52"/>
      <c r="W1203" s="52"/>
      <c r="X1203" s="52"/>
      <c r="Y1203" s="52"/>
      <c r="Z1203" s="51"/>
      <c r="AA1203" s="73"/>
      <c r="AB1203" s="73"/>
      <c r="AC1203" s="74"/>
      <c r="AD1203" s="81" t="s">
        <v>2619</v>
      </c>
      <c r="AE1203" s="86" t="s">
        <v>3018</v>
      </c>
      <c r="AF1203" s="81">
        <v>444</v>
      </c>
      <c r="AG1203" s="81">
        <v>117</v>
      </c>
      <c r="AH1203" s="81">
        <v>9252</v>
      </c>
      <c r="AI1203" s="81">
        <v>3443</v>
      </c>
      <c r="AJ1203" s="81"/>
      <c r="AK1203" s="81"/>
      <c r="AL1203" s="81" t="s">
        <v>3706</v>
      </c>
      <c r="AM1203" s="81"/>
      <c r="AN1203" s="81"/>
      <c r="AO1203" s="83">
        <v>43725.160243055558</v>
      </c>
      <c r="AP1203" s="84" t="str">
        <f>HYPERLINK("https://pbs.twimg.com/profile_banners/1173806418429804544/1621954638")</f>
        <v>https://pbs.twimg.com/profile_banners/1173806418429804544/1621954638</v>
      </c>
      <c r="AQ1203" s="81" t="b">
        <v>1</v>
      </c>
      <c r="AR1203" s="81" t="b">
        <v>0</v>
      </c>
      <c r="AS1203" s="81" t="b">
        <v>1</v>
      </c>
      <c r="AT1203" s="81"/>
      <c r="AU1203" s="81">
        <v>0</v>
      </c>
      <c r="AV1203" s="81"/>
      <c r="AW1203" s="81" t="b">
        <v>0</v>
      </c>
      <c r="AX1203" s="81" t="s">
        <v>3728</v>
      </c>
      <c r="AY1203" s="84" t="str">
        <f>HYPERLINK("https://twitter.com/mhafizzz19")</f>
        <v>https://twitter.com/mhafizzz19</v>
      </c>
      <c r="AZ1203" s="81" t="s">
        <v>66</v>
      </c>
      <c r="BA1203" s="2"/>
      <c r="BB1203" s="3"/>
      <c r="BC1203" s="3"/>
      <c r="BD1203" s="3"/>
      <c r="BE1203" s="3"/>
    </row>
    <row r="1204" spans="1:57" x14ac:dyDescent="0.35">
      <c r="A1204" s="66" t="s">
        <v>537</v>
      </c>
      <c r="B1204" s="67"/>
      <c r="C1204" s="67"/>
      <c r="D1204" s="68"/>
      <c r="E1204" s="94"/>
      <c r="F1204" s="93" t="str">
        <f>HYPERLINK("https://pbs.twimg.com/profile_images/1366717356429348865/Xf7LKXij_normal.jpg")</f>
        <v>https://pbs.twimg.com/profile_images/1366717356429348865/Xf7LKXij_normal.jpg</v>
      </c>
      <c r="G1204" s="95"/>
      <c r="H1204" s="71"/>
      <c r="I1204" s="72"/>
      <c r="J1204" s="96"/>
      <c r="K1204" s="71" t="s">
        <v>4108</v>
      </c>
      <c r="L1204" s="97"/>
      <c r="M1204" s="76"/>
      <c r="N1204" s="76"/>
      <c r="O1204" s="77"/>
      <c r="P1204" s="78"/>
      <c r="Q1204" s="78"/>
      <c r="R1204" s="92"/>
      <c r="S1204" s="92"/>
      <c r="T1204" s="92"/>
      <c r="U1204" s="92"/>
      <c r="V1204" s="52"/>
      <c r="W1204" s="52"/>
      <c r="X1204" s="52"/>
      <c r="Y1204" s="52"/>
      <c r="Z1204" s="51"/>
      <c r="AA1204" s="73"/>
      <c r="AB1204" s="73"/>
      <c r="AC1204" s="74"/>
      <c r="AD1204" s="81" t="s">
        <v>2620</v>
      </c>
      <c r="AE1204" s="86" t="s">
        <v>3019</v>
      </c>
      <c r="AF1204" s="81">
        <v>213</v>
      </c>
      <c r="AG1204" s="81">
        <v>19933</v>
      </c>
      <c r="AH1204" s="81">
        <v>15136</v>
      </c>
      <c r="AI1204" s="81">
        <v>128</v>
      </c>
      <c r="AJ1204" s="81"/>
      <c r="AK1204" s="81" t="s">
        <v>3446</v>
      </c>
      <c r="AL1204" s="81" t="s">
        <v>3698</v>
      </c>
      <c r="AM1204" s="84" t="str">
        <f>HYPERLINK("https://t.co/jsnUYL0NiR")</f>
        <v>https://t.co/jsnUYL0NiR</v>
      </c>
      <c r="AN1204" s="81"/>
      <c r="AO1204" s="83">
        <v>40934.495706018519</v>
      </c>
      <c r="AP1204" s="84" t="str">
        <f>HYPERLINK("https://pbs.twimg.com/profile_banners/474836414/1614578818")</f>
        <v>https://pbs.twimg.com/profile_banners/474836414/1614578818</v>
      </c>
      <c r="AQ1204" s="81" t="b">
        <v>0</v>
      </c>
      <c r="AR1204" s="81" t="b">
        <v>0</v>
      </c>
      <c r="AS1204" s="81" t="b">
        <v>1</v>
      </c>
      <c r="AT1204" s="81"/>
      <c r="AU1204" s="81">
        <v>42</v>
      </c>
      <c r="AV1204" s="84" t="str">
        <f>HYPERLINK("https://abs.twimg.com/images/themes/theme14/bg.gif")</f>
        <v>https://abs.twimg.com/images/themes/theme14/bg.gif</v>
      </c>
      <c r="AW1204" s="81" t="b">
        <v>1</v>
      </c>
      <c r="AX1204" s="81" t="s">
        <v>3728</v>
      </c>
      <c r="AY1204" s="84" t="str">
        <f>HYPERLINK("https://twitter.com/denpasarkota")</f>
        <v>https://twitter.com/denpasarkota</v>
      </c>
      <c r="AZ1204" s="81" t="s">
        <v>66</v>
      </c>
      <c r="BA1204" s="2"/>
      <c r="BB1204" s="3"/>
      <c r="BC1204" s="3"/>
      <c r="BD1204" s="3"/>
      <c r="BE1204" s="3"/>
    </row>
    <row r="1205" spans="1:57" x14ac:dyDescent="0.35">
      <c r="A1205" s="66" t="s">
        <v>4792</v>
      </c>
      <c r="B1205" s="67"/>
      <c r="C1205" s="67"/>
      <c r="D1205" s="68"/>
      <c r="E1205" s="94"/>
      <c r="F1205" s="93" t="str">
        <f>HYPERLINK("https://pbs.twimg.com/profile_images/1406714760427720709/M3RsqkyO_normal.jpg")</f>
        <v>https://pbs.twimg.com/profile_images/1406714760427720709/M3RsqkyO_normal.jpg</v>
      </c>
      <c r="G1205" s="95"/>
      <c r="H1205" s="71"/>
      <c r="I1205" s="72"/>
      <c r="J1205" s="96"/>
      <c r="K1205" s="71" t="s">
        <v>12205</v>
      </c>
      <c r="L1205" s="97"/>
      <c r="M1205" s="76"/>
      <c r="N1205" s="76"/>
      <c r="O1205" s="77"/>
      <c r="P1205" s="78"/>
      <c r="Q1205" s="78"/>
      <c r="R1205" s="92"/>
      <c r="S1205" s="92"/>
      <c r="T1205" s="92"/>
      <c r="U1205" s="92"/>
      <c r="V1205" s="52"/>
      <c r="W1205" s="52"/>
      <c r="X1205" s="52"/>
      <c r="Y1205" s="52"/>
      <c r="Z1205" s="51"/>
      <c r="AA1205" s="73"/>
      <c r="AB1205" s="73"/>
      <c r="AC1205" s="74"/>
      <c r="AD1205" s="81" t="s">
        <v>8823</v>
      </c>
      <c r="AE1205" s="86" t="s">
        <v>9803</v>
      </c>
      <c r="AF1205" s="81">
        <v>224</v>
      </c>
      <c r="AG1205" s="81">
        <v>18</v>
      </c>
      <c r="AH1205" s="81">
        <v>540</v>
      </c>
      <c r="AI1205" s="81">
        <v>1470</v>
      </c>
      <c r="AJ1205" s="81"/>
      <c r="AK1205" s="81" t="s">
        <v>10720</v>
      </c>
      <c r="AL1205" s="81" t="s">
        <v>11070</v>
      </c>
      <c r="AM1205" s="81"/>
      <c r="AN1205" s="81"/>
      <c r="AO1205" s="83">
        <v>44367.851365740738</v>
      </c>
      <c r="AP1205" s="84" t="str">
        <f>HYPERLINK("https://pbs.twimg.com/profile_banners/1406709876370333702/1629055474")</f>
        <v>https://pbs.twimg.com/profile_banners/1406709876370333702/1629055474</v>
      </c>
      <c r="AQ1205" s="81" t="b">
        <v>1</v>
      </c>
      <c r="AR1205" s="81" t="b">
        <v>0</v>
      </c>
      <c r="AS1205" s="81" t="b">
        <v>0</v>
      </c>
      <c r="AT1205" s="81"/>
      <c r="AU1205" s="81">
        <v>0</v>
      </c>
      <c r="AV1205" s="81"/>
      <c r="AW1205" s="81" t="b">
        <v>0</v>
      </c>
      <c r="AX1205" s="81" t="s">
        <v>3728</v>
      </c>
      <c r="AY1205" s="84" t="str">
        <f>HYPERLINK("https://twitter.com/dianinha_mea")</f>
        <v>https://twitter.com/dianinha_mea</v>
      </c>
      <c r="AZ1205" s="81" t="s">
        <v>66</v>
      </c>
      <c r="BA1205" s="2"/>
      <c r="BB1205" s="3"/>
      <c r="BC1205" s="3"/>
      <c r="BD1205" s="3"/>
      <c r="BE1205" s="3"/>
    </row>
    <row r="1206" spans="1:57" x14ac:dyDescent="0.35">
      <c r="A1206" s="66" t="s">
        <v>4793</v>
      </c>
      <c r="B1206" s="67"/>
      <c r="C1206" s="67"/>
      <c r="D1206" s="68"/>
      <c r="E1206" s="94"/>
      <c r="F1206" s="93" t="str">
        <f>HYPERLINK("https://pbs.twimg.com/profile_images/664984878124040192/E3qTIS_F_normal.jpg")</f>
        <v>https://pbs.twimg.com/profile_images/664984878124040192/E3qTIS_F_normal.jpg</v>
      </c>
      <c r="G1206" s="95"/>
      <c r="H1206" s="71"/>
      <c r="I1206" s="72"/>
      <c r="J1206" s="96"/>
      <c r="K1206" s="71" t="s">
        <v>12206</v>
      </c>
      <c r="L1206" s="97"/>
      <c r="M1206" s="76"/>
      <c r="N1206" s="76"/>
      <c r="O1206" s="77"/>
      <c r="P1206" s="78"/>
      <c r="Q1206" s="78"/>
      <c r="R1206" s="92"/>
      <c r="S1206" s="92"/>
      <c r="T1206" s="92"/>
      <c r="U1206" s="92"/>
      <c r="V1206" s="52"/>
      <c r="W1206" s="52"/>
      <c r="X1206" s="52"/>
      <c r="Y1206" s="52"/>
      <c r="Z1206" s="51"/>
      <c r="AA1206" s="73"/>
      <c r="AB1206" s="73"/>
      <c r="AC1206" s="74"/>
      <c r="AD1206" s="81" t="s">
        <v>8824</v>
      </c>
      <c r="AE1206" s="86" t="s">
        <v>9804</v>
      </c>
      <c r="AF1206" s="81">
        <v>677</v>
      </c>
      <c r="AG1206" s="81">
        <v>292</v>
      </c>
      <c r="AH1206" s="81">
        <v>22205</v>
      </c>
      <c r="AI1206" s="81">
        <v>15254</v>
      </c>
      <c r="AJ1206" s="81"/>
      <c r="AK1206" s="81" t="s">
        <v>10721</v>
      </c>
      <c r="AL1206" s="81"/>
      <c r="AM1206" s="81"/>
      <c r="AN1206" s="81"/>
      <c r="AO1206" s="83">
        <v>41263.947280092594</v>
      </c>
      <c r="AP1206" s="84" t="str">
        <f>HYPERLINK("https://pbs.twimg.com/profile_banners/1025174702/1444396948")</f>
        <v>https://pbs.twimg.com/profile_banners/1025174702/1444396948</v>
      </c>
      <c r="AQ1206" s="81" t="b">
        <v>0</v>
      </c>
      <c r="AR1206" s="81" t="b">
        <v>0</v>
      </c>
      <c r="AS1206" s="81" t="b">
        <v>1</v>
      </c>
      <c r="AT1206" s="81"/>
      <c r="AU1206" s="81">
        <v>4</v>
      </c>
      <c r="AV1206" s="84" t="str">
        <f>HYPERLINK("https://abs.twimg.com/images/themes/theme1/bg.png")</f>
        <v>https://abs.twimg.com/images/themes/theme1/bg.png</v>
      </c>
      <c r="AW1206" s="81" t="b">
        <v>0</v>
      </c>
      <c r="AX1206" s="81" t="s">
        <v>3728</v>
      </c>
      <c r="AY1206" s="84" t="str">
        <f>HYPERLINK("https://twitter.com/hgrcst")</f>
        <v>https://twitter.com/hgrcst</v>
      </c>
      <c r="AZ1206" s="81" t="s">
        <v>66</v>
      </c>
      <c r="BA1206" s="2"/>
      <c r="BB1206" s="3"/>
      <c r="BC1206" s="3"/>
      <c r="BD1206" s="3"/>
      <c r="BE1206" s="3"/>
    </row>
    <row r="1207" spans="1:57" x14ac:dyDescent="0.35">
      <c r="A1207" s="66" t="s">
        <v>4794</v>
      </c>
      <c r="B1207" s="67"/>
      <c r="C1207" s="67"/>
      <c r="D1207" s="68"/>
      <c r="E1207" s="94"/>
      <c r="F1207" s="93" t="str">
        <f>HYPERLINK("https://pbs.twimg.com/profile_images/1088808858372489216/PT9Jlq1S_normal.jpg")</f>
        <v>https://pbs.twimg.com/profile_images/1088808858372489216/PT9Jlq1S_normal.jpg</v>
      </c>
      <c r="G1207" s="95"/>
      <c r="H1207" s="71"/>
      <c r="I1207" s="72"/>
      <c r="J1207" s="96"/>
      <c r="K1207" s="71" t="s">
        <v>12207</v>
      </c>
      <c r="L1207" s="97"/>
      <c r="M1207" s="76"/>
      <c r="N1207" s="76"/>
      <c r="O1207" s="77"/>
      <c r="P1207" s="78"/>
      <c r="Q1207" s="78"/>
      <c r="R1207" s="92"/>
      <c r="S1207" s="92"/>
      <c r="T1207" s="92"/>
      <c r="U1207" s="92"/>
      <c r="V1207" s="52"/>
      <c r="W1207" s="52"/>
      <c r="X1207" s="52"/>
      <c r="Y1207" s="52"/>
      <c r="Z1207" s="51"/>
      <c r="AA1207" s="73"/>
      <c r="AB1207" s="73"/>
      <c r="AC1207" s="74"/>
      <c r="AD1207" s="81" t="s">
        <v>8825</v>
      </c>
      <c r="AE1207" s="86" t="s">
        <v>9805</v>
      </c>
      <c r="AF1207" s="81">
        <v>153</v>
      </c>
      <c r="AG1207" s="81">
        <v>1368</v>
      </c>
      <c r="AH1207" s="81">
        <v>2232</v>
      </c>
      <c r="AI1207" s="81">
        <v>100</v>
      </c>
      <c r="AJ1207" s="81"/>
      <c r="AK1207" s="81" t="s">
        <v>10722</v>
      </c>
      <c r="AL1207" s="81" t="s">
        <v>10998</v>
      </c>
      <c r="AM1207" s="84" t="str">
        <f>HYPERLINK("https://t.co/pVEcUPFnCF")</f>
        <v>https://t.co/pVEcUPFnCF</v>
      </c>
      <c r="AN1207" s="81"/>
      <c r="AO1207" s="83">
        <v>40260.462500000001</v>
      </c>
      <c r="AP1207" s="84" t="str">
        <f>HYPERLINK("https://pbs.twimg.com/profile_banners/125625907/1615371209")</f>
        <v>https://pbs.twimg.com/profile_banners/125625907/1615371209</v>
      </c>
      <c r="AQ1207" s="81" t="b">
        <v>0</v>
      </c>
      <c r="AR1207" s="81" t="b">
        <v>0</v>
      </c>
      <c r="AS1207" s="81" t="b">
        <v>0</v>
      </c>
      <c r="AT1207" s="81"/>
      <c r="AU1207" s="81">
        <v>31</v>
      </c>
      <c r="AV1207" s="84" t="str">
        <f>HYPERLINK("https://abs.twimg.com/images/themes/theme1/bg.png")</f>
        <v>https://abs.twimg.com/images/themes/theme1/bg.png</v>
      </c>
      <c r="AW1207" s="81" t="b">
        <v>0</v>
      </c>
      <c r="AX1207" s="81" t="s">
        <v>3728</v>
      </c>
      <c r="AY1207" s="84" t="str">
        <f>HYPERLINK("https://twitter.com/uaberta")</f>
        <v>https://twitter.com/uaberta</v>
      </c>
      <c r="AZ1207" s="81" t="s">
        <v>66</v>
      </c>
      <c r="BA1207" s="2"/>
      <c r="BB1207" s="3"/>
      <c r="BC1207" s="3"/>
      <c r="BD1207" s="3"/>
      <c r="BE1207" s="3"/>
    </row>
    <row r="1208" spans="1:57" x14ac:dyDescent="0.35">
      <c r="A1208" s="66" t="s">
        <v>538</v>
      </c>
      <c r="B1208" s="67"/>
      <c r="C1208" s="67"/>
      <c r="D1208" s="68"/>
      <c r="E1208" s="94"/>
      <c r="F1208" s="93" t="str">
        <f>HYPERLINK("https://pbs.twimg.com/profile_images/1435937779603501064/TdkJ_Cxy_normal.jpg")</f>
        <v>https://pbs.twimg.com/profile_images/1435937779603501064/TdkJ_Cxy_normal.jpg</v>
      </c>
      <c r="G1208" s="95"/>
      <c r="H1208" s="71"/>
      <c r="I1208" s="72"/>
      <c r="J1208" s="96"/>
      <c r="K1208" s="71" t="s">
        <v>4109</v>
      </c>
      <c r="L1208" s="97"/>
      <c r="M1208" s="76"/>
      <c r="N1208" s="76"/>
      <c r="O1208" s="77"/>
      <c r="P1208" s="78"/>
      <c r="Q1208" s="78"/>
      <c r="R1208" s="92"/>
      <c r="S1208" s="92"/>
      <c r="T1208" s="92"/>
      <c r="U1208" s="92"/>
      <c r="V1208" s="52"/>
      <c r="W1208" s="52"/>
      <c r="X1208" s="52"/>
      <c r="Y1208" s="52"/>
      <c r="Z1208" s="51"/>
      <c r="AA1208" s="73"/>
      <c r="AB1208" s="73"/>
      <c r="AC1208" s="74"/>
      <c r="AD1208" s="81" t="s">
        <v>2621</v>
      </c>
      <c r="AE1208" s="86" t="s">
        <v>3020</v>
      </c>
      <c r="AF1208" s="81">
        <v>3609</v>
      </c>
      <c r="AG1208" s="81">
        <v>3220</v>
      </c>
      <c r="AH1208" s="81">
        <v>17319</v>
      </c>
      <c r="AI1208" s="81">
        <v>35086</v>
      </c>
      <c r="AJ1208" s="81"/>
      <c r="AK1208" s="81" t="s">
        <v>3447</v>
      </c>
      <c r="AL1208" s="81" t="s">
        <v>3707</v>
      </c>
      <c r="AM1208" s="81"/>
      <c r="AN1208" s="81"/>
      <c r="AO1208" s="83">
        <v>44117.041331018518</v>
      </c>
      <c r="AP1208" s="84" t="str">
        <f>HYPERLINK("https://pbs.twimg.com/profile_banners/1315819202033315840/1624052466")</f>
        <v>https://pbs.twimg.com/profile_banners/1315819202033315840/1624052466</v>
      </c>
      <c r="AQ1208" s="81" t="b">
        <v>1</v>
      </c>
      <c r="AR1208" s="81" t="b">
        <v>0</v>
      </c>
      <c r="AS1208" s="81" t="b">
        <v>1</v>
      </c>
      <c r="AT1208" s="81"/>
      <c r="AU1208" s="81">
        <v>1</v>
      </c>
      <c r="AV1208" s="81"/>
      <c r="AW1208" s="81" t="b">
        <v>0</v>
      </c>
      <c r="AX1208" s="81" t="s">
        <v>3728</v>
      </c>
      <c r="AY1208" s="84" t="str">
        <f>HYPERLINK("https://twitter.com/fattireyz")</f>
        <v>https://twitter.com/fattireyz</v>
      </c>
      <c r="AZ1208" s="81" t="s">
        <v>66</v>
      </c>
      <c r="BA1208" s="2"/>
      <c r="BB1208" s="3"/>
      <c r="BC1208" s="3"/>
      <c r="BD1208" s="3"/>
      <c r="BE1208" s="3"/>
    </row>
    <row r="1209" spans="1:57" x14ac:dyDescent="0.35">
      <c r="A1209" s="66" t="s">
        <v>578</v>
      </c>
      <c r="B1209" s="67"/>
      <c r="C1209" s="67"/>
      <c r="D1209" s="68"/>
      <c r="E1209" s="94"/>
      <c r="F1209" s="93" t="str">
        <f>HYPERLINK("https://pbs.twimg.com/profile_images/1407481907349053441/tfZyVC6S_normal.jpg")</f>
        <v>https://pbs.twimg.com/profile_images/1407481907349053441/tfZyVC6S_normal.jpg</v>
      </c>
      <c r="G1209" s="95"/>
      <c r="H1209" s="71"/>
      <c r="I1209" s="72"/>
      <c r="J1209" s="96"/>
      <c r="K1209" s="71" t="s">
        <v>4110</v>
      </c>
      <c r="L1209" s="97"/>
      <c r="M1209" s="76"/>
      <c r="N1209" s="76"/>
      <c r="O1209" s="77"/>
      <c r="P1209" s="78"/>
      <c r="Q1209" s="78"/>
      <c r="R1209" s="92"/>
      <c r="S1209" s="92"/>
      <c r="T1209" s="92"/>
      <c r="U1209" s="92"/>
      <c r="V1209" s="52"/>
      <c r="W1209" s="52"/>
      <c r="X1209" s="52"/>
      <c r="Y1209" s="52"/>
      <c r="Z1209" s="51"/>
      <c r="AA1209" s="73"/>
      <c r="AB1209" s="73"/>
      <c r="AC1209" s="74"/>
      <c r="AD1209" s="81" t="s">
        <v>2622</v>
      </c>
      <c r="AE1209" s="86" t="s">
        <v>3021</v>
      </c>
      <c r="AF1209" s="81">
        <v>3544</v>
      </c>
      <c r="AG1209" s="81">
        <v>15009</v>
      </c>
      <c r="AH1209" s="81">
        <v>13000</v>
      </c>
      <c r="AI1209" s="81">
        <v>20534</v>
      </c>
      <c r="AJ1209" s="81"/>
      <c r="AK1209" s="81" t="s">
        <v>3448</v>
      </c>
      <c r="AL1209" s="81" t="s">
        <v>3510</v>
      </c>
      <c r="AM1209" s="81"/>
      <c r="AN1209" s="81"/>
      <c r="AO1209" s="83">
        <v>43767.6249537037</v>
      </c>
      <c r="AP1209" s="84" t="str">
        <f>HYPERLINK("https://pbs.twimg.com/profile_banners/1189195077836398592/1611289611")</f>
        <v>https://pbs.twimg.com/profile_banners/1189195077836398592/1611289611</v>
      </c>
      <c r="AQ1209" s="81" t="b">
        <v>1</v>
      </c>
      <c r="AR1209" s="81" t="b">
        <v>0</v>
      </c>
      <c r="AS1209" s="81" t="b">
        <v>0</v>
      </c>
      <c r="AT1209" s="81"/>
      <c r="AU1209" s="81">
        <v>5</v>
      </c>
      <c r="AV1209" s="81"/>
      <c r="AW1209" s="81" t="b">
        <v>0</v>
      </c>
      <c r="AX1209" s="81" t="s">
        <v>3728</v>
      </c>
      <c r="AY1209" s="84" t="str">
        <f>HYPERLINK("https://twitter.com/zomet13")</f>
        <v>https://twitter.com/zomet13</v>
      </c>
      <c r="AZ1209" s="81" t="s">
        <v>66</v>
      </c>
      <c r="BA1209" s="2"/>
      <c r="BB1209" s="3"/>
      <c r="BC1209" s="3"/>
      <c r="BD1209" s="3"/>
      <c r="BE1209" s="3"/>
    </row>
    <row r="1210" spans="1:57" x14ac:dyDescent="0.35">
      <c r="A1210" s="66" t="s">
        <v>4795</v>
      </c>
      <c r="B1210" s="67"/>
      <c r="C1210" s="67"/>
      <c r="D1210" s="68"/>
      <c r="E1210" s="94"/>
      <c r="F1210" s="93" t="str">
        <f>HYPERLINK("https://pbs.twimg.com/profile_images/1258748811092152321/8iDFrErW_normal.jpg")</f>
        <v>https://pbs.twimg.com/profile_images/1258748811092152321/8iDFrErW_normal.jpg</v>
      </c>
      <c r="G1210" s="95"/>
      <c r="H1210" s="71"/>
      <c r="I1210" s="72"/>
      <c r="J1210" s="96"/>
      <c r="K1210" s="71" t="s">
        <v>12208</v>
      </c>
      <c r="L1210" s="97"/>
      <c r="M1210" s="76"/>
      <c r="N1210" s="76"/>
      <c r="O1210" s="77"/>
      <c r="P1210" s="78"/>
      <c r="Q1210" s="78"/>
      <c r="R1210" s="92"/>
      <c r="S1210" s="92"/>
      <c r="T1210" s="92"/>
      <c r="U1210" s="92"/>
      <c r="V1210" s="52"/>
      <c r="W1210" s="52"/>
      <c r="X1210" s="52"/>
      <c r="Y1210" s="52"/>
      <c r="Z1210" s="51"/>
      <c r="AA1210" s="73"/>
      <c r="AB1210" s="73"/>
      <c r="AC1210" s="74"/>
      <c r="AD1210" s="81" t="s">
        <v>8826</v>
      </c>
      <c r="AE1210" s="86" t="s">
        <v>9806</v>
      </c>
      <c r="AF1210" s="81">
        <v>267</v>
      </c>
      <c r="AG1210" s="81">
        <v>1279</v>
      </c>
      <c r="AH1210" s="81">
        <v>1534</v>
      </c>
      <c r="AI1210" s="81">
        <v>220</v>
      </c>
      <c r="AJ1210" s="81"/>
      <c r="AK1210" s="81" t="s">
        <v>10723</v>
      </c>
      <c r="AL1210" s="81"/>
      <c r="AM1210" s="84" t="str">
        <f>HYPERLINK("http://t.co/pJbPvKASza")</f>
        <v>http://t.co/pJbPvKASza</v>
      </c>
      <c r="AN1210" s="81"/>
      <c r="AO1210" s="83">
        <v>41667.690787037034</v>
      </c>
      <c r="AP1210" s="84" t="str">
        <f>HYPERLINK("https://pbs.twimg.com/profile_banners/2315756742/1624628791")</f>
        <v>https://pbs.twimg.com/profile_banners/2315756742/1624628791</v>
      </c>
      <c r="AQ1210" s="81" t="b">
        <v>0</v>
      </c>
      <c r="AR1210" s="81" t="b">
        <v>0</v>
      </c>
      <c r="AS1210" s="81" t="b">
        <v>0</v>
      </c>
      <c r="AT1210" s="81"/>
      <c r="AU1210" s="81">
        <v>9</v>
      </c>
      <c r="AV1210" s="84" t="str">
        <f>HYPERLINK("https://abs.twimg.com/images/themes/theme14/bg.gif")</f>
        <v>https://abs.twimg.com/images/themes/theme14/bg.gif</v>
      </c>
      <c r="AW1210" s="81" t="b">
        <v>0</v>
      </c>
      <c r="AX1210" s="81" t="s">
        <v>3728</v>
      </c>
      <c r="AY1210" s="84" t="str">
        <f>HYPERLINK("https://twitter.com/enbombeiros")</f>
        <v>https://twitter.com/enbombeiros</v>
      </c>
      <c r="AZ1210" s="81" t="s">
        <v>66</v>
      </c>
      <c r="BA1210" s="2"/>
      <c r="BB1210" s="3"/>
      <c r="BC1210" s="3"/>
      <c r="BD1210" s="3"/>
      <c r="BE1210" s="3"/>
    </row>
    <row r="1211" spans="1:57" x14ac:dyDescent="0.35">
      <c r="A1211" s="66" t="s">
        <v>4796</v>
      </c>
      <c r="B1211" s="67"/>
      <c r="C1211" s="67"/>
      <c r="D1211" s="68"/>
      <c r="E1211" s="94"/>
      <c r="F1211" s="93" t="str">
        <f>HYPERLINK("https://pbs.twimg.com/profile_images/1370774450388541449/tKHUIHby_normal.jpg")</f>
        <v>https://pbs.twimg.com/profile_images/1370774450388541449/tKHUIHby_normal.jpg</v>
      </c>
      <c r="G1211" s="95"/>
      <c r="H1211" s="71"/>
      <c r="I1211" s="72"/>
      <c r="J1211" s="96"/>
      <c r="K1211" s="71" t="s">
        <v>12209</v>
      </c>
      <c r="L1211" s="97"/>
      <c r="M1211" s="76"/>
      <c r="N1211" s="76"/>
      <c r="O1211" s="77"/>
      <c r="P1211" s="78"/>
      <c r="Q1211" s="78"/>
      <c r="R1211" s="92"/>
      <c r="S1211" s="92"/>
      <c r="T1211" s="92"/>
      <c r="U1211" s="92"/>
      <c r="V1211" s="52"/>
      <c r="W1211" s="52"/>
      <c r="X1211" s="52"/>
      <c r="Y1211" s="52"/>
      <c r="Z1211" s="51"/>
      <c r="AA1211" s="73"/>
      <c r="AB1211" s="73"/>
      <c r="AC1211" s="74"/>
      <c r="AD1211" s="81" t="s">
        <v>8827</v>
      </c>
      <c r="AE1211" s="86" t="s">
        <v>9807</v>
      </c>
      <c r="AF1211" s="81">
        <v>461</v>
      </c>
      <c r="AG1211" s="81">
        <v>87</v>
      </c>
      <c r="AH1211" s="81">
        <v>3524</v>
      </c>
      <c r="AI1211" s="81">
        <v>15657</v>
      </c>
      <c r="AJ1211" s="81"/>
      <c r="AK1211" s="81" t="s">
        <v>10724</v>
      </c>
      <c r="AL1211" s="81" t="s">
        <v>11281</v>
      </c>
      <c r="AM1211" s="81"/>
      <c r="AN1211" s="81"/>
      <c r="AO1211" s="83">
        <v>44268.671817129631</v>
      </c>
      <c r="AP1211" s="84" t="str">
        <f>HYPERLINK("https://pbs.twimg.com/profile_banners/1370768318634819584/1628374427")</f>
        <v>https://pbs.twimg.com/profile_banners/1370768318634819584/1628374427</v>
      </c>
      <c r="AQ1211" s="81" t="b">
        <v>1</v>
      </c>
      <c r="AR1211" s="81" t="b">
        <v>0</v>
      </c>
      <c r="AS1211" s="81" t="b">
        <v>1</v>
      </c>
      <c r="AT1211" s="81"/>
      <c r="AU1211" s="81">
        <v>0</v>
      </c>
      <c r="AV1211" s="81"/>
      <c r="AW1211" s="81" t="b">
        <v>0</v>
      </c>
      <c r="AX1211" s="81" t="s">
        <v>3728</v>
      </c>
      <c r="AY1211" s="84" t="str">
        <f>HYPERLINK("https://twitter.com/tiagocatrola77")</f>
        <v>https://twitter.com/tiagocatrola77</v>
      </c>
      <c r="AZ1211" s="81" t="s">
        <v>66</v>
      </c>
      <c r="BA1211" s="2"/>
      <c r="BB1211" s="3"/>
      <c r="BC1211" s="3"/>
      <c r="BD1211" s="3"/>
      <c r="BE1211" s="3"/>
    </row>
    <row r="1212" spans="1:57" x14ac:dyDescent="0.35">
      <c r="A1212" s="66" t="s">
        <v>4798</v>
      </c>
      <c r="B1212" s="67"/>
      <c r="C1212" s="67"/>
      <c r="D1212" s="68"/>
      <c r="E1212" s="94"/>
      <c r="F1212" s="93" t="str">
        <f>HYPERLINK("https://pbs.twimg.com/profile_images/1399502154721792002/wBtlt1o2_normal.jpg")</f>
        <v>https://pbs.twimg.com/profile_images/1399502154721792002/wBtlt1o2_normal.jpg</v>
      </c>
      <c r="G1212" s="95"/>
      <c r="H1212" s="71"/>
      <c r="I1212" s="72"/>
      <c r="J1212" s="96"/>
      <c r="K1212" s="71" t="s">
        <v>12210</v>
      </c>
      <c r="L1212" s="97"/>
      <c r="M1212" s="76"/>
      <c r="N1212" s="76"/>
      <c r="O1212" s="77"/>
      <c r="P1212" s="78"/>
      <c r="Q1212" s="78"/>
      <c r="R1212" s="92"/>
      <c r="S1212" s="92"/>
      <c r="T1212" s="92"/>
      <c r="U1212" s="92"/>
      <c r="V1212" s="52"/>
      <c r="W1212" s="52"/>
      <c r="X1212" s="52"/>
      <c r="Y1212" s="52"/>
      <c r="Z1212" s="51"/>
      <c r="AA1212" s="73"/>
      <c r="AB1212" s="73"/>
      <c r="AC1212" s="74"/>
      <c r="AD1212" s="81" t="s">
        <v>8828</v>
      </c>
      <c r="AE1212" s="86" t="s">
        <v>9808</v>
      </c>
      <c r="AF1212" s="81">
        <v>742</v>
      </c>
      <c r="AG1212" s="81">
        <v>218</v>
      </c>
      <c r="AH1212" s="81">
        <v>9124</v>
      </c>
      <c r="AI1212" s="81">
        <v>32704</v>
      </c>
      <c r="AJ1212" s="81"/>
      <c r="AK1212" s="81"/>
      <c r="AL1212" s="81" t="s">
        <v>11282</v>
      </c>
      <c r="AM1212" s="81"/>
      <c r="AN1212" s="81"/>
      <c r="AO1212" s="83">
        <v>42549.781701388885</v>
      </c>
      <c r="AP1212" s="84" t="str">
        <f>HYPERLINK("https://pbs.twimg.com/profile_banners/747863545686155265/1589569273")</f>
        <v>https://pbs.twimg.com/profile_banners/747863545686155265/1589569273</v>
      </c>
      <c r="AQ1212" s="81" t="b">
        <v>1</v>
      </c>
      <c r="AR1212" s="81" t="b">
        <v>0</v>
      </c>
      <c r="AS1212" s="81" t="b">
        <v>0</v>
      </c>
      <c r="AT1212" s="81"/>
      <c r="AU1212" s="81">
        <v>0</v>
      </c>
      <c r="AV1212" s="81"/>
      <c r="AW1212" s="81" t="b">
        <v>0</v>
      </c>
      <c r="AX1212" s="81" t="s">
        <v>3728</v>
      </c>
      <c r="AY1212" s="84" t="str">
        <f>HYPERLINK("https://twitter.com/bortolini_e")</f>
        <v>https://twitter.com/bortolini_e</v>
      </c>
      <c r="AZ1212" s="81" t="s">
        <v>66</v>
      </c>
      <c r="BA1212" s="2"/>
      <c r="BB1212" s="3"/>
      <c r="BC1212" s="3"/>
      <c r="BD1212" s="3"/>
      <c r="BE1212" s="3"/>
    </row>
    <row r="1213" spans="1:57" x14ac:dyDescent="0.35">
      <c r="A1213" s="66" t="s">
        <v>4799</v>
      </c>
      <c r="B1213" s="67"/>
      <c r="C1213" s="67"/>
      <c r="D1213" s="68"/>
      <c r="E1213" s="94"/>
      <c r="F1213" s="93" t="str">
        <f>HYPERLINK("https://pbs.twimg.com/profile_images/963128595106410497/Fewdf1Wi_normal.jpg")</f>
        <v>https://pbs.twimg.com/profile_images/963128595106410497/Fewdf1Wi_normal.jpg</v>
      </c>
      <c r="G1213" s="95"/>
      <c r="H1213" s="71"/>
      <c r="I1213" s="72"/>
      <c r="J1213" s="96"/>
      <c r="K1213" s="71" t="s">
        <v>12211</v>
      </c>
      <c r="L1213" s="97"/>
      <c r="M1213" s="76"/>
      <c r="N1213" s="76"/>
      <c r="O1213" s="77"/>
      <c r="P1213" s="78"/>
      <c r="Q1213" s="78"/>
      <c r="R1213" s="92"/>
      <c r="S1213" s="92"/>
      <c r="T1213" s="92"/>
      <c r="U1213" s="92"/>
      <c r="V1213" s="52"/>
      <c r="W1213" s="52"/>
      <c r="X1213" s="52"/>
      <c r="Y1213" s="52"/>
      <c r="Z1213" s="51"/>
      <c r="AA1213" s="73"/>
      <c r="AB1213" s="73"/>
      <c r="AC1213" s="74"/>
      <c r="AD1213" s="81" t="s">
        <v>8829</v>
      </c>
      <c r="AE1213" s="86" t="s">
        <v>9809</v>
      </c>
      <c r="AF1213" s="81">
        <v>108</v>
      </c>
      <c r="AG1213" s="81">
        <v>16</v>
      </c>
      <c r="AH1213" s="81">
        <v>300</v>
      </c>
      <c r="AI1213" s="81">
        <v>599</v>
      </c>
      <c r="AJ1213" s="81"/>
      <c r="AK1213" s="81"/>
      <c r="AL1213" s="81"/>
      <c r="AM1213" s="81"/>
      <c r="AN1213" s="81"/>
      <c r="AO1213" s="83">
        <v>41250.839108796295</v>
      </c>
      <c r="AP1213" s="81"/>
      <c r="AQ1213" s="81" t="b">
        <v>1</v>
      </c>
      <c r="AR1213" s="81" t="b">
        <v>0</v>
      </c>
      <c r="AS1213" s="81" t="b">
        <v>0</v>
      </c>
      <c r="AT1213" s="81"/>
      <c r="AU1213" s="81">
        <v>1</v>
      </c>
      <c r="AV1213" s="84" t="str">
        <f>HYPERLINK("https://abs.twimg.com/images/themes/theme1/bg.png")</f>
        <v>https://abs.twimg.com/images/themes/theme1/bg.png</v>
      </c>
      <c r="AW1213" s="81" t="b">
        <v>0</v>
      </c>
      <c r="AX1213" s="81" t="s">
        <v>3728</v>
      </c>
      <c r="AY1213" s="84" t="str">
        <f>HYPERLINK("https://twitter.com/paulpessoa18")</f>
        <v>https://twitter.com/paulpessoa18</v>
      </c>
      <c r="AZ1213" s="81" t="s">
        <v>66</v>
      </c>
      <c r="BA1213" s="2"/>
      <c r="BB1213" s="3"/>
      <c r="BC1213" s="3"/>
      <c r="BD1213" s="3"/>
      <c r="BE1213" s="3"/>
    </row>
    <row r="1214" spans="1:57" x14ac:dyDescent="0.35">
      <c r="A1214" s="66" t="s">
        <v>539</v>
      </c>
      <c r="B1214" s="67"/>
      <c r="C1214" s="67"/>
      <c r="D1214" s="68"/>
      <c r="E1214" s="94"/>
      <c r="F1214" s="93" t="str">
        <f>HYPERLINK("https://pbs.twimg.com/profile_images/1443141862307422216/XBYXPnx9_normal.jpg")</f>
        <v>https://pbs.twimg.com/profile_images/1443141862307422216/XBYXPnx9_normal.jpg</v>
      </c>
      <c r="G1214" s="95"/>
      <c r="H1214" s="71"/>
      <c r="I1214" s="72"/>
      <c r="J1214" s="96"/>
      <c r="K1214" s="71" t="s">
        <v>4111</v>
      </c>
      <c r="L1214" s="97"/>
      <c r="M1214" s="76"/>
      <c r="N1214" s="76"/>
      <c r="O1214" s="77"/>
      <c r="P1214" s="78"/>
      <c r="Q1214" s="78"/>
      <c r="R1214" s="92"/>
      <c r="S1214" s="92"/>
      <c r="T1214" s="92"/>
      <c r="U1214" s="92"/>
      <c r="V1214" s="52"/>
      <c r="W1214" s="52"/>
      <c r="X1214" s="52"/>
      <c r="Y1214" s="52"/>
      <c r="Z1214" s="51"/>
      <c r="AA1214" s="73"/>
      <c r="AB1214" s="73"/>
      <c r="AC1214" s="74"/>
      <c r="AD1214" s="81" t="s">
        <v>2623</v>
      </c>
      <c r="AE1214" s="86" t="s">
        <v>2159</v>
      </c>
      <c r="AF1214" s="81">
        <v>223</v>
      </c>
      <c r="AG1214" s="81">
        <v>1558</v>
      </c>
      <c r="AH1214" s="81">
        <v>168756</v>
      </c>
      <c r="AI1214" s="81">
        <v>41352</v>
      </c>
      <c r="AJ1214" s="81"/>
      <c r="AK1214" s="81" t="s">
        <v>13946</v>
      </c>
      <c r="AL1214" s="81" t="s">
        <v>11283</v>
      </c>
      <c r="AM1214" s="84" t="str">
        <f>HYPERLINK("https://t.co/a8XVYPg5zR")</f>
        <v>https://t.co/a8XVYPg5zR</v>
      </c>
      <c r="AN1214" s="81"/>
      <c r="AO1214" s="83">
        <v>40801.542534722219</v>
      </c>
      <c r="AP1214" s="84" t="str">
        <f>HYPERLINK("https://pbs.twimg.com/profile_banners/373946658/1632906806")</f>
        <v>https://pbs.twimg.com/profile_banners/373946658/1632906806</v>
      </c>
      <c r="AQ1214" s="81" t="b">
        <v>0</v>
      </c>
      <c r="AR1214" s="81" t="b">
        <v>0</v>
      </c>
      <c r="AS1214" s="81" t="b">
        <v>1</v>
      </c>
      <c r="AT1214" s="81"/>
      <c r="AU1214" s="81">
        <v>8</v>
      </c>
      <c r="AV1214" s="84" t="str">
        <f>HYPERLINK("https://abs.twimg.com/images/themes/theme1/bg.png")</f>
        <v>https://abs.twimg.com/images/themes/theme1/bg.png</v>
      </c>
      <c r="AW1214" s="81" t="b">
        <v>0</v>
      </c>
      <c r="AX1214" s="81" t="s">
        <v>3728</v>
      </c>
      <c r="AY1214" s="84" t="str">
        <f>HYPERLINK("https://twitter.com/juyeonspicy")</f>
        <v>https://twitter.com/juyeonspicy</v>
      </c>
      <c r="AZ1214" s="81" t="s">
        <v>66</v>
      </c>
      <c r="BA1214" s="2"/>
      <c r="BB1214" s="3"/>
      <c r="BC1214" s="3"/>
      <c r="BD1214" s="3"/>
      <c r="BE1214" s="3"/>
    </row>
    <row r="1215" spans="1:57" x14ac:dyDescent="0.35">
      <c r="A1215" s="66" t="s">
        <v>540</v>
      </c>
      <c r="B1215" s="67"/>
      <c r="C1215" s="67"/>
      <c r="D1215" s="68"/>
      <c r="E1215" s="94"/>
      <c r="F1215" s="93" t="str">
        <f>HYPERLINK("https://pbs.twimg.com/profile_images/1307219680436711424/SeUn4vA2_normal.jpg")</f>
        <v>https://pbs.twimg.com/profile_images/1307219680436711424/SeUn4vA2_normal.jpg</v>
      </c>
      <c r="G1215" s="95"/>
      <c r="H1215" s="71"/>
      <c r="I1215" s="72"/>
      <c r="J1215" s="96"/>
      <c r="K1215" s="71" t="s">
        <v>4112</v>
      </c>
      <c r="L1215" s="97"/>
      <c r="M1215" s="76"/>
      <c r="N1215" s="76"/>
      <c r="O1215" s="77"/>
      <c r="P1215" s="78"/>
      <c r="Q1215" s="78"/>
      <c r="R1215" s="92"/>
      <c r="S1215" s="92"/>
      <c r="T1215" s="92"/>
      <c r="U1215" s="92"/>
      <c r="V1215" s="52"/>
      <c r="W1215" s="52"/>
      <c r="X1215" s="52"/>
      <c r="Y1215" s="52"/>
      <c r="Z1215" s="51"/>
      <c r="AA1215" s="73"/>
      <c r="AB1215" s="73"/>
      <c r="AC1215" s="74"/>
      <c r="AD1215" s="81" t="s">
        <v>2624</v>
      </c>
      <c r="AE1215" s="86" t="s">
        <v>3022</v>
      </c>
      <c r="AF1215" s="81">
        <v>509</v>
      </c>
      <c r="AG1215" s="81">
        <v>1517</v>
      </c>
      <c r="AH1215" s="81">
        <v>90472</v>
      </c>
      <c r="AI1215" s="81">
        <v>1977</v>
      </c>
      <c r="AJ1215" s="81"/>
      <c r="AK1215" s="81" t="s">
        <v>3449</v>
      </c>
      <c r="AL1215" s="81" t="s">
        <v>3514</v>
      </c>
      <c r="AM1215" s="81"/>
      <c r="AN1215" s="81"/>
      <c r="AO1215" s="83">
        <v>40794.806122685186</v>
      </c>
      <c r="AP1215" s="84" t="str">
        <f>HYPERLINK("https://pbs.twimg.com/profile_banners/370282927/1590831366")</f>
        <v>https://pbs.twimg.com/profile_banners/370282927/1590831366</v>
      </c>
      <c r="AQ1215" s="81" t="b">
        <v>0</v>
      </c>
      <c r="AR1215" s="81" t="b">
        <v>0</v>
      </c>
      <c r="AS1215" s="81" t="b">
        <v>1</v>
      </c>
      <c r="AT1215" s="81"/>
      <c r="AU1215" s="81">
        <v>0</v>
      </c>
      <c r="AV1215" s="84" t="str">
        <f>HYPERLINK("https://abs.twimg.com/images/themes/theme1/bg.png")</f>
        <v>https://abs.twimg.com/images/themes/theme1/bg.png</v>
      </c>
      <c r="AW1215" s="81" t="b">
        <v>0</v>
      </c>
      <c r="AX1215" s="81" t="s">
        <v>3728</v>
      </c>
      <c r="AY1215" s="84" t="str">
        <f>HYPERLINK("https://twitter.com/mmrrllssyyffqq")</f>
        <v>https://twitter.com/mmrrllssyyffqq</v>
      </c>
      <c r="AZ1215" s="81" t="s">
        <v>66</v>
      </c>
      <c r="BA1215" s="2"/>
      <c r="BB1215" s="3"/>
      <c r="BC1215" s="3"/>
      <c r="BD1215" s="3"/>
      <c r="BE1215" s="3"/>
    </row>
    <row r="1216" spans="1:57" x14ac:dyDescent="0.35">
      <c r="A1216" s="66" t="s">
        <v>4800</v>
      </c>
      <c r="B1216" s="67"/>
      <c r="C1216" s="67"/>
      <c r="D1216" s="68"/>
      <c r="E1216" s="94"/>
      <c r="F1216" s="93" t="str">
        <f>HYPERLINK("https://pbs.twimg.com/profile_images/586290282716598273/R3utUO_R_normal.png")</f>
        <v>https://pbs.twimg.com/profile_images/586290282716598273/R3utUO_R_normal.png</v>
      </c>
      <c r="G1216" s="95"/>
      <c r="H1216" s="71"/>
      <c r="I1216" s="72"/>
      <c r="J1216" s="96"/>
      <c r="K1216" s="71" t="s">
        <v>12212</v>
      </c>
      <c r="L1216" s="97"/>
      <c r="M1216" s="76"/>
      <c r="N1216" s="76"/>
      <c r="O1216" s="77"/>
      <c r="P1216" s="78"/>
      <c r="Q1216" s="78"/>
      <c r="R1216" s="92"/>
      <c r="S1216" s="92"/>
      <c r="T1216" s="92"/>
      <c r="U1216" s="92"/>
      <c r="V1216" s="52"/>
      <c r="W1216" s="52"/>
      <c r="X1216" s="52"/>
      <c r="Y1216" s="52"/>
      <c r="Z1216" s="51"/>
      <c r="AA1216" s="73"/>
      <c r="AB1216" s="73"/>
      <c r="AC1216" s="74"/>
      <c r="AD1216" s="81" t="s">
        <v>8830</v>
      </c>
      <c r="AE1216" s="86" t="s">
        <v>9810</v>
      </c>
      <c r="AF1216" s="81">
        <v>1972</v>
      </c>
      <c r="AG1216" s="81">
        <v>6477</v>
      </c>
      <c r="AH1216" s="81">
        <v>17203</v>
      </c>
      <c r="AI1216" s="81">
        <v>2324</v>
      </c>
      <c r="AJ1216" s="81"/>
      <c r="AK1216" s="81" t="s">
        <v>10725</v>
      </c>
      <c r="AL1216" s="81" t="s">
        <v>10990</v>
      </c>
      <c r="AM1216" s="84" t="str">
        <f>HYPERLINK("http://t.co/Y7bwYo9YEa")</f>
        <v>http://t.co/Y7bwYo9YEa</v>
      </c>
      <c r="AN1216" s="81"/>
      <c r="AO1216" s="83">
        <v>42053.974872685183</v>
      </c>
      <c r="AP1216" s="84" t="str">
        <f>HYPERLINK("https://pbs.twimg.com/profile_banners/3044716233/1631959361")</f>
        <v>https://pbs.twimg.com/profile_banners/3044716233/1631959361</v>
      </c>
      <c r="AQ1216" s="81" t="b">
        <v>0</v>
      </c>
      <c r="AR1216" s="81" t="b">
        <v>0</v>
      </c>
      <c r="AS1216" s="81" t="b">
        <v>0</v>
      </c>
      <c r="AT1216" s="81"/>
      <c r="AU1216" s="81">
        <v>30</v>
      </c>
      <c r="AV1216" s="84" t="str">
        <f>HYPERLINK("https://abs.twimg.com/images/themes/theme1/bg.png")</f>
        <v>https://abs.twimg.com/images/themes/theme1/bg.png</v>
      </c>
      <c r="AW1216" s="81" t="b">
        <v>0</v>
      </c>
      <c r="AX1216" s="81" t="s">
        <v>3728</v>
      </c>
      <c r="AY1216" s="84" t="str">
        <f>HYPERLINK("https://twitter.com/rimasebatidas")</f>
        <v>https://twitter.com/rimasebatidas</v>
      </c>
      <c r="AZ1216" s="81" t="s">
        <v>66</v>
      </c>
      <c r="BA1216" s="2"/>
      <c r="BB1216" s="3"/>
      <c r="BC1216" s="3"/>
      <c r="BD1216" s="3"/>
      <c r="BE1216" s="3"/>
    </row>
    <row r="1217" spans="1:57" x14ac:dyDescent="0.35">
      <c r="A1217" s="66" t="s">
        <v>4801</v>
      </c>
      <c r="B1217" s="67"/>
      <c r="C1217" s="67"/>
      <c r="D1217" s="68"/>
      <c r="E1217" s="94"/>
      <c r="F1217" s="93" t="str">
        <f>HYPERLINK("https://pbs.twimg.com/profile_images/1406260039040569346/ccIjMo8s_normal.jpg")</f>
        <v>https://pbs.twimg.com/profile_images/1406260039040569346/ccIjMo8s_normal.jpg</v>
      </c>
      <c r="G1217" s="95"/>
      <c r="H1217" s="71"/>
      <c r="I1217" s="72"/>
      <c r="J1217" s="96"/>
      <c r="K1217" s="71" t="s">
        <v>12213</v>
      </c>
      <c r="L1217" s="97"/>
      <c r="M1217" s="76"/>
      <c r="N1217" s="76"/>
      <c r="O1217" s="77"/>
      <c r="P1217" s="78"/>
      <c r="Q1217" s="78"/>
      <c r="R1217" s="92"/>
      <c r="S1217" s="92"/>
      <c r="T1217" s="92"/>
      <c r="U1217" s="92"/>
      <c r="V1217" s="52"/>
      <c r="W1217" s="52"/>
      <c r="X1217" s="52"/>
      <c r="Y1217" s="52"/>
      <c r="Z1217" s="51"/>
      <c r="AA1217" s="73"/>
      <c r="AB1217" s="73"/>
      <c r="AC1217" s="74"/>
      <c r="AD1217" s="86" t="s">
        <v>8831</v>
      </c>
      <c r="AE1217" s="86" t="s">
        <v>9811</v>
      </c>
      <c r="AF1217" s="81">
        <v>842</v>
      </c>
      <c r="AG1217" s="81">
        <v>564</v>
      </c>
      <c r="AH1217" s="81">
        <v>5976</v>
      </c>
      <c r="AI1217" s="81">
        <v>40312</v>
      </c>
      <c r="AJ1217" s="81"/>
      <c r="AK1217" s="81"/>
      <c r="AL1217" s="81" t="s">
        <v>11284</v>
      </c>
      <c r="AM1217" s="81"/>
      <c r="AN1217" s="81"/>
      <c r="AO1217" s="83">
        <v>43656.95175925926</v>
      </c>
      <c r="AP1217" s="84" t="str">
        <f>HYPERLINK("https://pbs.twimg.com/profile_banners/1149088543140175872/1566642636")</f>
        <v>https://pbs.twimg.com/profile_banners/1149088543140175872/1566642636</v>
      </c>
      <c r="AQ1217" s="81" t="b">
        <v>1</v>
      </c>
      <c r="AR1217" s="81" t="b">
        <v>0</v>
      </c>
      <c r="AS1217" s="81" t="b">
        <v>0</v>
      </c>
      <c r="AT1217" s="81"/>
      <c r="AU1217" s="81">
        <v>0</v>
      </c>
      <c r="AV1217" s="81"/>
      <c r="AW1217" s="81" t="b">
        <v>0</v>
      </c>
      <c r="AX1217" s="81" t="s">
        <v>3728</v>
      </c>
      <c r="AY1217" s="84" t="str">
        <f>HYPERLINK("https://twitter.com/aurintheo2")</f>
        <v>https://twitter.com/aurintheo2</v>
      </c>
      <c r="AZ1217" s="81" t="s">
        <v>66</v>
      </c>
      <c r="BA1217" s="2"/>
      <c r="BB1217" s="3"/>
      <c r="BC1217" s="3"/>
      <c r="BD1217" s="3"/>
      <c r="BE1217" s="3"/>
    </row>
    <row r="1218" spans="1:57" x14ac:dyDescent="0.35">
      <c r="A1218" s="66" t="s">
        <v>4802</v>
      </c>
      <c r="B1218" s="67"/>
      <c r="C1218" s="67"/>
      <c r="D1218" s="68"/>
      <c r="E1218" s="94"/>
      <c r="F1218" s="93" t="str">
        <f>HYPERLINK("https://pbs.twimg.com/profile_images/1336006333372506115/6cacw-rC_normal.jpg")</f>
        <v>https://pbs.twimg.com/profile_images/1336006333372506115/6cacw-rC_normal.jpg</v>
      </c>
      <c r="G1218" s="95"/>
      <c r="H1218" s="71"/>
      <c r="I1218" s="72"/>
      <c r="J1218" s="96"/>
      <c r="K1218" s="71" t="s">
        <v>12214</v>
      </c>
      <c r="L1218" s="97"/>
      <c r="M1218" s="76"/>
      <c r="N1218" s="76"/>
      <c r="O1218" s="77"/>
      <c r="P1218" s="78"/>
      <c r="Q1218" s="78"/>
      <c r="R1218" s="92"/>
      <c r="S1218" s="92"/>
      <c r="T1218" s="92"/>
      <c r="U1218" s="92"/>
      <c r="V1218" s="52"/>
      <c r="W1218" s="52"/>
      <c r="X1218" s="52"/>
      <c r="Y1218" s="52"/>
      <c r="Z1218" s="51"/>
      <c r="AA1218" s="73"/>
      <c r="AB1218" s="73"/>
      <c r="AC1218" s="74"/>
      <c r="AD1218" s="81" t="s">
        <v>8832</v>
      </c>
      <c r="AE1218" s="86" t="s">
        <v>9812</v>
      </c>
      <c r="AF1218" s="81">
        <v>1106</v>
      </c>
      <c r="AG1218" s="81">
        <v>194</v>
      </c>
      <c r="AH1218" s="81">
        <v>4627</v>
      </c>
      <c r="AI1218" s="81">
        <v>24625</v>
      </c>
      <c r="AJ1218" s="81"/>
      <c r="AK1218" s="81" t="s">
        <v>10726</v>
      </c>
      <c r="AL1218" s="81" t="s">
        <v>10972</v>
      </c>
      <c r="AM1218" s="81"/>
      <c r="AN1218" s="81"/>
      <c r="AO1218" s="83">
        <v>39941.061620370368</v>
      </c>
      <c r="AP1218" s="81"/>
      <c r="AQ1218" s="81" t="b">
        <v>0</v>
      </c>
      <c r="AR1218" s="81" t="b">
        <v>0</v>
      </c>
      <c r="AS1218" s="81" t="b">
        <v>1</v>
      </c>
      <c r="AT1218" s="81"/>
      <c r="AU1218" s="81">
        <v>0</v>
      </c>
      <c r="AV1218" s="84" t="str">
        <f>HYPERLINK("https://abs.twimg.com/images/themes/theme1/bg.png")</f>
        <v>https://abs.twimg.com/images/themes/theme1/bg.png</v>
      </c>
      <c r="AW1218" s="81" t="b">
        <v>0</v>
      </c>
      <c r="AX1218" s="81" t="s">
        <v>3728</v>
      </c>
      <c r="AY1218" s="84" t="str">
        <f>HYPERLINK("https://twitter.com/tiagojferreira")</f>
        <v>https://twitter.com/tiagojferreira</v>
      </c>
      <c r="AZ1218" s="81" t="s">
        <v>66</v>
      </c>
      <c r="BA1218" s="2"/>
      <c r="BB1218" s="3"/>
      <c r="BC1218" s="3"/>
      <c r="BD1218" s="3"/>
      <c r="BE1218" s="3"/>
    </row>
    <row r="1219" spans="1:57" x14ac:dyDescent="0.35">
      <c r="A1219" s="66" t="s">
        <v>542</v>
      </c>
      <c r="B1219" s="67"/>
      <c r="C1219" s="67"/>
      <c r="D1219" s="68"/>
      <c r="E1219" s="94"/>
      <c r="F1219" s="93" t="str">
        <f>HYPERLINK("https://pbs.twimg.com/profile_images/1022491401689300992/z39-NKi0_normal.jpg")</f>
        <v>https://pbs.twimg.com/profile_images/1022491401689300992/z39-NKi0_normal.jpg</v>
      </c>
      <c r="G1219" s="95"/>
      <c r="H1219" s="71"/>
      <c r="I1219" s="72"/>
      <c r="J1219" s="96"/>
      <c r="K1219" s="71" t="s">
        <v>4113</v>
      </c>
      <c r="L1219" s="97"/>
      <c r="M1219" s="76"/>
      <c r="N1219" s="76"/>
      <c r="O1219" s="77"/>
      <c r="P1219" s="78"/>
      <c r="Q1219" s="78"/>
      <c r="R1219" s="92"/>
      <c r="S1219" s="92"/>
      <c r="T1219" s="92"/>
      <c r="U1219" s="92"/>
      <c r="V1219" s="52"/>
      <c r="W1219" s="52"/>
      <c r="X1219" s="52"/>
      <c r="Y1219" s="52"/>
      <c r="Z1219" s="51"/>
      <c r="AA1219" s="73"/>
      <c r="AB1219" s="73"/>
      <c r="AC1219" s="74"/>
      <c r="AD1219" s="81" t="s">
        <v>2625</v>
      </c>
      <c r="AE1219" s="86" t="s">
        <v>3023</v>
      </c>
      <c r="AF1219" s="81">
        <v>403</v>
      </c>
      <c r="AG1219" s="81">
        <v>31</v>
      </c>
      <c r="AH1219" s="81">
        <v>3317</v>
      </c>
      <c r="AI1219" s="81">
        <v>36296</v>
      </c>
      <c r="AJ1219" s="81"/>
      <c r="AK1219" s="81" t="s">
        <v>3450</v>
      </c>
      <c r="AL1219" s="81"/>
      <c r="AM1219" s="81"/>
      <c r="AN1219" s="81"/>
      <c r="AO1219" s="83">
        <v>43247.344756944447</v>
      </c>
      <c r="AP1219" s="81"/>
      <c r="AQ1219" s="81" t="b">
        <v>1</v>
      </c>
      <c r="AR1219" s="81" t="b">
        <v>0</v>
      </c>
      <c r="AS1219" s="81" t="b">
        <v>0</v>
      </c>
      <c r="AT1219" s="81"/>
      <c r="AU1219" s="81">
        <v>0</v>
      </c>
      <c r="AV1219" s="81"/>
      <c r="AW1219" s="81" t="b">
        <v>0</v>
      </c>
      <c r="AX1219" s="81" t="s">
        <v>3728</v>
      </c>
      <c r="AY1219" s="84" t="str">
        <f>HYPERLINK("https://twitter.com/repkemanz")</f>
        <v>https://twitter.com/repkemanz</v>
      </c>
      <c r="AZ1219" s="81" t="s">
        <v>66</v>
      </c>
      <c r="BA1219" s="2"/>
      <c r="BB1219" s="3"/>
      <c r="BC1219" s="3"/>
      <c r="BD1219" s="3"/>
      <c r="BE1219" s="3"/>
    </row>
    <row r="1220" spans="1:57" x14ac:dyDescent="0.35">
      <c r="A1220" s="66" t="s">
        <v>687</v>
      </c>
      <c r="B1220" s="67"/>
      <c r="C1220" s="67"/>
      <c r="D1220" s="68"/>
      <c r="E1220" s="94"/>
      <c r="F1220" s="93" t="str">
        <f>HYPERLINK("https://pbs.twimg.com/profile_images/1433806480990298118/lEVGIS_L_normal.jpg")</f>
        <v>https://pbs.twimg.com/profile_images/1433806480990298118/lEVGIS_L_normal.jpg</v>
      </c>
      <c r="G1220" s="95"/>
      <c r="H1220" s="71"/>
      <c r="I1220" s="72"/>
      <c r="J1220" s="96"/>
      <c r="K1220" s="71" t="s">
        <v>4114</v>
      </c>
      <c r="L1220" s="97"/>
      <c r="M1220" s="76"/>
      <c r="N1220" s="76"/>
      <c r="O1220" s="77"/>
      <c r="P1220" s="78"/>
      <c r="Q1220" s="78"/>
      <c r="R1220" s="92"/>
      <c r="S1220" s="92"/>
      <c r="T1220" s="92"/>
      <c r="U1220" s="92"/>
      <c r="V1220" s="52"/>
      <c r="W1220" s="52"/>
      <c r="X1220" s="52"/>
      <c r="Y1220" s="52"/>
      <c r="Z1220" s="51"/>
      <c r="AA1220" s="73"/>
      <c r="AB1220" s="73"/>
      <c r="AC1220" s="74"/>
      <c r="AD1220" s="81" t="s">
        <v>2626</v>
      </c>
      <c r="AE1220" s="86" t="s">
        <v>2160</v>
      </c>
      <c r="AF1220" s="81">
        <v>599</v>
      </c>
      <c r="AG1220" s="81">
        <v>7962</v>
      </c>
      <c r="AH1220" s="81">
        <v>67543</v>
      </c>
      <c r="AI1220" s="81">
        <v>11838</v>
      </c>
      <c r="AJ1220" s="81"/>
      <c r="AK1220" s="81" t="s">
        <v>3451</v>
      </c>
      <c r="AL1220" s="81" t="s">
        <v>3708</v>
      </c>
      <c r="AM1220" s="81"/>
      <c r="AN1220" s="81"/>
      <c r="AO1220" s="83">
        <v>39940.390451388892</v>
      </c>
      <c r="AP1220" s="84" t="str">
        <f>HYPERLINK("https://pbs.twimg.com/profile_banners/38400817/1631327553")</f>
        <v>https://pbs.twimg.com/profile_banners/38400817/1631327553</v>
      </c>
      <c r="AQ1220" s="81" t="b">
        <v>0</v>
      </c>
      <c r="AR1220" s="81" t="b">
        <v>0</v>
      </c>
      <c r="AS1220" s="81" t="b">
        <v>0</v>
      </c>
      <c r="AT1220" s="81"/>
      <c r="AU1220" s="81">
        <v>31</v>
      </c>
      <c r="AV1220" s="84" t="str">
        <f>HYPERLINK("https://abs.twimg.com/images/themes/theme5/bg.gif")</f>
        <v>https://abs.twimg.com/images/themes/theme5/bg.gif</v>
      </c>
      <c r="AW1220" s="81" t="b">
        <v>0</v>
      </c>
      <c r="AX1220" s="81" t="s">
        <v>3728</v>
      </c>
      <c r="AY1220" s="84" t="str">
        <f>HYPERLINK("https://twitter.com/ckinoza")</f>
        <v>https://twitter.com/ckinoza</v>
      </c>
      <c r="AZ1220" s="81" t="s">
        <v>65</v>
      </c>
      <c r="BA1220" s="2"/>
      <c r="BB1220" s="3"/>
      <c r="BC1220" s="3"/>
      <c r="BD1220" s="3"/>
      <c r="BE1220" s="3"/>
    </row>
    <row r="1221" spans="1:57" x14ac:dyDescent="0.35">
      <c r="A1221" s="66" t="s">
        <v>543</v>
      </c>
      <c r="B1221" s="67"/>
      <c r="C1221" s="67"/>
      <c r="D1221" s="68"/>
      <c r="E1221" s="94"/>
      <c r="F1221" s="93" t="str">
        <f>HYPERLINK("https://pbs.twimg.com/profile_images/1427476009440354306/SvtC46Ya_normal.jpg")</f>
        <v>https://pbs.twimg.com/profile_images/1427476009440354306/SvtC46Ya_normal.jpg</v>
      </c>
      <c r="G1221" s="95"/>
      <c r="H1221" s="71"/>
      <c r="I1221" s="72"/>
      <c r="J1221" s="96"/>
      <c r="K1221" s="71" t="s">
        <v>4115</v>
      </c>
      <c r="L1221" s="97"/>
      <c r="M1221" s="76"/>
      <c r="N1221" s="76"/>
      <c r="O1221" s="77"/>
      <c r="P1221" s="78"/>
      <c r="Q1221" s="78"/>
      <c r="R1221" s="92"/>
      <c r="S1221" s="92"/>
      <c r="T1221" s="92"/>
      <c r="U1221" s="92"/>
      <c r="V1221" s="52"/>
      <c r="W1221" s="52"/>
      <c r="X1221" s="52"/>
      <c r="Y1221" s="52"/>
      <c r="Z1221" s="51"/>
      <c r="AA1221" s="73"/>
      <c r="AB1221" s="73"/>
      <c r="AC1221" s="74"/>
      <c r="AD1221" s="81" t="s">
        <v>543</v>
      </c>
      <c r="AE1221" s="86" t="s">
        <v>3024</v>
      </c>
      <c r="AF1221" s="81">
        <v>1952</v>
      </c>
      <c r="AG1221" s="81">
        <v>403</v>
      </c>
      <c r="AH1221" s="81">
        <v>5615</v>
      </c>
      <c r="AI1221" s="81">
        <v>1370</v>
      </c>
      <c r="AJ1221" s="81"/>
      <c r="AK1221" s="81" t="s">
        <v>3452</v>
      </c>
      <c r="AL1221" s="81"/>
      <c r="AM1221" s="81"/>
      <c r="AN1221" s="81"/>
      <c r="AO1221" s="83">
        <v>44425.149039351854</v>
      </c>
      <c r="AP1221" s="81"/>
      <c r="AQ1221" s="81" t="b">
        <v>1</v>
      </c>
      <c r="AR1221" s="81" t="b">
        <v>0</v>
      </c>
      <c r="AS1221" s="81" t="b">
        <v>0</v>
      </c>
      <c r="AT1221" s="81"/>
      <c r="AU1221" s="81">
        <v>0</v>
      </c>
      <c r="AV1221" s="81"/>
      <c r="AW1221" s="81" t="b">
        <v>0</v>
      </c>
      <c r="AX1221" s="81" t="s">
        <v>3728</v>
      </c>
      <c r="AY1221" s="84" t="str">
        <f>HYPERLINK("https://twitter.com/ide2nesia")</f>
        <v>https://twitter.com/ide2nesia</v>
      </c>
      <c r="AZ1221" s="81" t="s">
        <v>66</v>
      </c>
      <c r="BA1221" s="2"/>
      <c r="BB1221" s="3"/>
      <c r="BC1221" s="3"/>
      <c r="BD1221" s="3"/>
      <c r="BE1221" s="3"/>
    </row>
    <row r="1222" spans="1:57" x14ac:dyDescent="0.35">
      <c r="A1222" s="66" t="s">
        <v>544</v>
      </c>
      <c r="B1222" s="67"/>
      <c r="C1222" s="67"/>
      <c r="D1222" s="68"/>
      <c r="E1222" s="94"/>
      <c r="F1222" s="93" t="str">
        <f>HYPERLINK("https://pbs.twimg.com/profile_images/1438432618953928705/X21tt8HN_normal.jpg")</f>
        <v>https://pbs.twimg.com/profile_images/1438432618953928705/X21tt8HN_normal.jpg</v>
      </c>
      <c r="G1222" s="95"/>
      <c r="H1222" s="71"/>
      <c r="I1222" s="72"/>
      <c r="J1222" s="96"/>
      <c r="K1222" s="71" t="s">
        <v>4116</v>
      </c>
      <c r="L1222" s="97"/>
      <c r="M1222" s="76"/>
      <c r="N1222" s="76"/>
      <c r="O1222" s="77"/>
      <c r="P1222" s="78"/>
      <c r="Q1222" s="78"/>
      <c r="R1222" s="92"/>
      <c r="S1222" s="92"/>
      <c r="T1222" s="92"/>
      <c r="U1222" s="92"/>
      <c r="V1222" s="52"/>
      <c r="W1222" s="52"/>
      <c r="X1222" s="52"/>
      <c r="Y1222" s="52"/>
      <c r="Z1222" s="51"/>
      <c r="AA1222" s="73"/>
      <c r="AB1222" s="73"/>
      <c r="AC1222" s="74"/>
      <c r="AD1222" s="81" t="s">
        <v>2627</v>
      </c>
      <c r="AE1222" s="86" t="s">
        <v>3025</v>
      </c>
      <c r="AF1222" s="81">
        <v>439</v>
      </c>
      <c r="AG1222" s="81">
        <v>621</v>
      </c>
      <c r="AH1222" s="81">
        <v>72773</v>
      </c>
      <c r="AI1222" s="81">
        <v>5265</v>
      </c>
      <c r="AJ1222" s="81"/>
      <c r="AK1222" s="81"/>
      <c r="AL1222" s="81" t="s">
        <v>3709</v>
      </c>
      <c r="AM1222" s="81"/>
      <c r="AN1222" s="81"/>
      <c r="AO1222" s="83">
        <v>41069.216458333336</v>
      </c>
      <c r="AP1222" s="84" t="str">
        <f>HYPERLINK("https://pbs.twimg.com/profile_banners/603327770/1627291013")</f>
        <v>https://pbs.twimg.com/profile_banners/603327770/1627291013</v>
      </c>
      <c r="AQ1222" s="81" t="b">
        <v>0</v>
      </c>
      <c r="AR1222" s="81" t="b">
        <v>0</v>
      </c>
      <c r="AS1222" s="81" t="b">
        <v>1</v>
      </c>
      <c r="AT1222" s="81"/>
      <c r="AU1222" s="81">
        <v>3</v>
      </c>
      <c r="AV1222" s="84" t="str">
        <f>HYPERLINK("https://abs.twimg.com/images/themes/theme13/bg.gif")</f>
        <v>https://abs.twimg.com/images/themes/theme13/bg.gif</v>
      </c>
      <c r="AW1222" s="81" t="b">
        <v>0</v>
      </c>
      <c r="AX1222" s="81" t="s">
        <v>3728</v>
      </c>
      <c r="AY1222" s="84" t="str">
        <f>HYPERLINK("https://twitter.com/nikfaez_")</f>
        <v>https://twitter.com/nikfaez_</v>
      </c>
      <c r="AZ1222" s="81" t="s">
        <v>66</v>
      </c>
      <c r="BA1222" s="2"/>
      <c r="BB1222" s="3"/>
      <c r="BC1222" s="3"/>
      <c r="BD1222" s="3"/>
      <c r="BE1222" s="3"/>
    </row>
    <row r="1223" spans="1:57" x14ac:dyDescent="0.35">
      <c r="A1223" s="66" t="s">
        <v>4803</v>
      </c>
      <c r="B1223" s="67"/>
      <c r="C1223" s="67"/>
      <c r="D1223" s="68"/>
      <c r="E1223" s="94"/>
      <c r="F1223" s="93" t="str">
        <f>HYPERLINK("https://pbs.twimg.com/profile_images/1186747238342635520/SKULVfnJ_normal.jpg")</f>
        <v>https://pbs.twimg.com/profile_images/1186747238342635520/SKULVfnJ_normal.jpg</v>
      </c>
      <c r="G1223" s="95"/>
      <c r="H1223" s="71"/>
      <c r="I1223" s="72"/>
      <c r="J1223" s="96"/>
      <c r="K1223" s="71" t="s">
        <v>12215</v>
      </c>
      <c r="L1223" s="97"/>
      <c r="M1223" s="76"/>
      <c r="N1223" s="76"/>
      <c r="O1223" s="77"/>
      <c r="P1223" s="78"/>
      <c r="Q1223" s="78"/>
      <c r="R1223" s="92"/>
      <c r="S1223" s="92"/>
      <c r="T1223" s="92"/>
      <c r="U1223" s="92"/>
      <c r="V1223" s="52"/>
      <c r="W1223" s="52"/>
      <c r="X1223" s="52"/>
      <c r="Y1223" s="52"/>
      <c r="Z1223" s="51"/>
      <c r="AA1223" s="73"/>
      <c r="AB1223" s="73"/>
      <c r="AC1223" s="74"/>
      <c r="AD1223" s="81" t="s">
        <v>8833</v>
      </c>
      <c r="AE1223" s="86" t="s">
        <v>9813</v>
      </c>
      <c r="AF1223" s="81">
        <v>3270</v>
      </c>
      <c r="AG1223" s="81">
        <v>1077</v>
      </c>
      <c r="AH1223" s="81">
        <v>26536</v>
      </c>
      <c r="AI1223" s="81">
        <v>1839</v>
      </c>
      <c r="AJ1223" s="81"/>
      <c r="AK1223" s="81" t="s">
        <v>10727</v>
      </c>
      <c r="AL1223" s="81" t="s">
        <v>10975</v>
      </c>
      <c r="AM1223" s="84" t="str">
        <f>HYPERLINK("https://t.co/RJrMqNcAWh")</f>
        <v>https://t.co/RJrMqNcAWh</v>
      </c>
      <c r="AN1223" s="81"/>
      <c r="AO1223" s="83">
        <v>39434.737141203703</v>
      </c>
      <c r="AP1223" s="84" t="str">
        <f>HYPERLINK("https://pbs.twimg.com/profile_banners/11302782/1553792779")</f>
        <v>https://pbs.twimg.com/profile_banners/11302782/1553792779</v>
      </c>
      <c r="AQ1223" s="81" t="b">
        <v>0</v>
      </c>
      <c r="AR1223" s="81" t="b">
        <v>0</v>
      </c>
      <c r="AS1223" s="81" t="b">
        <v>1</v>
      </c>
      <c r="AT1223" s="81"/>
      <c r="AU1223" s="81">
        <v>9</v>
      </c>
      <c r="AV1223" s="84" t="str">
        <f>HYPERLINK("https://abs.twimg.com/images/themes/theme3/bg.gif")</f>
        <v>https://abs.twimg.com/images/themes/theme3/bg.gif</v>
      </c>
      <c r="AW1223" s="81" t="b">
        <v>0</v>
      </c>
      <c r="AX1223" s="81" t="s">
        <v>3728</v>
      </c>
      <c r="AY1223" s="84" t="str">
        <f>HYPERLINK("https://twitter.com/marcelocoutinho")</f>
        <v>https://twitter.com/marcelocoutinho</v>
      </c>
      <c r="AZ1223" s="81" t="s">
        <v>66</v>
      </c>
      <c r="BA1223" s="2"/>
      <c r="BB1223" s="3"/>
      <c r="BC1223" s="3"/>
      <c r="BD1223" s="3"/>
      <c r="BE1223" s="3"/>
    </row>
    <row r="1224" spans="1:57" x14ac:dyDescent="0.35">
      <c r="A1224" s="66" t="s">
        <v>4804</v>
      </c>
      <c r="B1224" s="67"/>
      <c r="C1224" s="67"/>
      <c r="D1224" s="68"/>
      <c r="E1224" s="94"/>
      <c r="F1224" s="93" t="str">
        <f>HYPERLINK("https://pbs.twimg.com/profile_images/1427401916183625731/Lvm2yoat_normal.jpg")</f>
        <v>https://pbs.twimg.com/profile_images/1427401916183625731/Lvm2yoat_normal.jpg</v>
      </c>
      <c r="G1224" s="95"/>
      <c r="H1224" s="71"/>
      <c r="I1224" s="72"/>
      <c r="J1224" s="96"/>
      <c r="K1224" s="71" t="s">
        <v>12216</v>
      </c>
      <c r="L1224" s="97"/>
      <c r="M1224" s="76"/>
      <c r="N1224" s="76"/>
      <c r="O1224" s="77"/>
      <c r="P1224" s="78"/>
      <c r="Q1224" s="78"/>
      <c r="R1224" s="92"/>
      <c r="S1224" s="92"/>
      <c r="T1224" s="92"/>
      <c r="U1224" s="92"/>
      <c r="V1224" s="52"/>
      <c r="W1224" s="52"/>
      <c r="X1224" s="52"/>
      <c r="Y1224" s="52"/>
      <c r="Z1224" s="51"/>
      <c r="AA1224" s="73"/>
      <c r="AB1224" s="73"/>
      <c r="AC1224" s="74"/>
      <c r="AD1224" s="81" t="s">
        <v>8834</v>
      </c>
      <c r="AE1224" s="86" t="s">
        <v>9814</v>
      </c>
      <c r="AF1224" s="81">
        <v>3495</v>
      </c>
      <c r="AG1224" s="81">
        <v>7361</v>
      </c>
      <c r="AH1224" s="81">
        <v>19841</v>
      </c>
      <c r="AI1224" s="81">
        <v>31990</v>
      </c>
      <c r="AJ1224" s="81"/>
      <c r="AK1224" s="81" t="s">
        <v>10728</v>
      </c>
      <c r="AL1224" s="81" t="s">
        <v>11285</v>
      </c>
      <c r="AM1224" s="81"/>
      <c r="AN1224" s="81"/>
      <c r="AO1224" s="83">
        <v>41426.72210648148</v>
      </c>
      <c r="AP1224" s="84" t="str">
        <f>HYPERLINK("https://pbs.twimg.com/profile_banners/1475239706/1556944565")</f>
        <v>https://pbs.twimg.com/profile_banners/1475239706/1556944565</v>
      </c>
      <c r="AQ1224" s="81" t="b">
        <v>1</v>
      </c>
      <c r="AR1224" s="81" t="b">
        <v>0</v>
      </c>
      <c r="AS1224" s="81" t="b">
        <v>0</v>
      </c>
      <c r="AT1224" s="81"/>
      <c r="AU1224" s="81">
        <v>5</v>
      </c>
      <c r="AV1224" s="84" t="str">
        <f>HYPERLINK("https://abs.twimg.com/images/themes/theme1/bg.png")</f>
        <v>https://abs.twimg.com/images/themes/theme1/bg.png</v>
      </c>
      <c r="AW1224" s="81" t="b">
        <v>0</v>
      </c>
      <c r="AX1224" s="81" t="s">
        <v>3728</v>
      </c>
      <c r="AY1224" s="84" t="str">
        <f>HYPERLINK("https://twitter.com/marcopevieira")</f>
        <v>https://twitter.com/marcopevieira</v>
      </c>
      <c r="AZ1224" s="81" t="s">
        <v>66</v>
      </c>
      <c r="BA1224" s="2"/>
      <c r="BB1224" s="3"/>
      <c r="BC1224" s="3"/>
      <c r="BD1224" s="3"/>
      <c r="BE1224" s="3"/>
    </row>
    <row r="1225" spans="1:57" x14ac:dyDescent="0.35">
      <c r="A1225" s="66" t="s">
        <v>4805</v>
      </c>
      <c r="B1225" s="67"/>
      <c r="C1225" s="67"/>
      <c r="D1225" s="68"/>
      <c r="E1225" s="94"/>
      <c r="F1225" s="93" t="str">
        <f>HYPERLINK("https://pbs.twimg.com/profile_images/1393242274566262790/f-fZ4GrR_normal.jpg")</f>
        <v>https://pbs.twimg.com/profile_images/1393242274566262790/f-fZ4GrR_normal.jpg</v>
      </c>
      <c r="G1225" s="95"/>
      <c r="H1225" s="71"/>
      <c r="I1225" s="72"/>
      <c r="J1225" s="96"/>
      <c r="K1225" s="71" t="s">
        <v>12217</v>
      </c>
      <c r="L1225" s="97"/>
      <c r="M1225" s="76"/>
      <c r="N1225" s="76"/>
      <c r="O1225" s="77"/>
      <c r="P1225" s="78"/>
      <c r="Q1225" s="78"/>
      <c r="R1225" s="92"/>
      <c r="S1225" s="92"/>
      <c r="T1225" s="92"/>
      <c r="U1225" s="92"/>
      <c r="V1225" s="52"/>
      <c r="W1225" s="52"/>
      <c r="X1225" s="52"/>
      <c r="Y1225" s="52"/>
      <c r="Z1225" s="51"/>
      <c r="AA1225" s="73"/>
      <c r="AB1225" s="73"/>
      <c r="AC1225" s="74"/>
      <c r="AD1225" s="81" t="s">
        <v>8835</v>
      </c>
      <c r="AE1225" s="86" t="s">
        <v>7905</v>
      </c>
      <c r="AF1225" s="81">
        <v>314</v>
      </c>
      <c r="AG1225" s="81">
        <v>1274</v>
      </c>
      <c r="AH1225" s="81">
        <v>66808</v>
      </c>
      <c r="AI1225" s="81">
        <v>19417</v>
      </c>
      <c r="AJ1225" s="81"/>
      <c r="AK1225" s="81" t="s">
        <v>10729</v>
      </c>
      <c r="AL1225" s="81" t="s">
        <v>3584</v>
      </c>
      <c r="AM1225" s="81"/>
      <c r="AN1225" s="81"/>
      <c r="AO1225" s="83">
        <v>41077.39534722222</v>
      </c>
      <c r="AP1225" s="84" t="str">
        <f>HYPERLINK("https://pbs.twimg.com/profile_banners/610666504/1594283777")</f>
        <v>https://pbs.twimg.com/profile_banners/610666504/1594283777</v>
      </c>
      <c r="AQ1225" s="81" t="b">
        <v>0</v>
      </c>
      <c r="AR1225" s="81" t="b">
        <v>0</v>
      </c>
      <c r="AS1225" s="81" t="b">
        <v>1</v>
      </c>
      <c r="AT1225" s="81"/>
      <c r="AU1225" s="81">
        <v>5</v>
      </c>
      <c r="AV1225" s="84" t="str">
        <f>HYPERLINK("https://abs.twimg.com/images/themes/theme1/bg.png")</f>
        <v>https://abs.twimg.com/images/themes/theme1/bg.png</v>
      </c>
      <c r="AW1225" s="81" t="b">
        <v>0</v>
      </c>
      <c r="AX1225" s="81" t="s">
        <v>3728</v>
      </c>
      <c r="AY1225" s="84" t="str">
        <f>HYPERLINK("https://twitter.com/elkrstyyy")</f>
        <v>https://twitter.com/elkrstyyy</v>
      </c>
      <c r="AZ1225" s="81" t="s">
        <v>66</v>
      </c>
      <c r="BA1225" s="2"/>
      <c r="BB1225" s="3"/>
      <c r="BC1225" s="3"/>
      <c r="BD1225" s="3"/>
      <c r="BE1225" s="3"/>
    </row>
    <row r="1226" spans="1:57" x14ac:dyDescent="0.35">
      <c r="A1226" s="66" t="s">
        <v>4806</v>
      </c>
      <c r="B1226" s="67"/>
      <c r="C1226" s="67"/>
      <c r="D1226" s="68"/>
      <c r="E1226" s="94"/>
      <c r="F1226" s="93" t="str">
        <f>HYPERLINK("https://pbs.twimg.com/profile_images/1441921693933518857/xXEzi0T9_normal.jpg")</f>
        <v>https://pbs.twimg.com/profile_images/1441921693933518857/xXEzi0T9_normal.jpg</v>
      </c>
      <c r="G1226" s="95"/>
      <c r="H1226" s="71"/>
      <c r="I1226" s="72"/>
      <c r="J1226" s="96"/>
      <c r="K1226" s="71" t="s">
        <v>12218</v>
      </c>
      <c r="L1226" s="97"/>
      <c r="M1226" s="76"/>
      <c r="N1226" s="76"/>
      <c r="O1226" s="77"/>
      <c r="P1226" s="78"/>
      <c r="Q1226" s="78"/>
      <c r="R1226" s="92"/>
      <c r="S1226" s="92"/>
      <c r="T1226" s="92"/>
      <c r="U1226" s="92"/>
      <c r="V1226" s="52"/>
      <c r="W1226" s="52"/>
      <c r="X1226" s="52"/>
      <c r="Y1226" s="52"/>
      <c r="Z1226" s="51"/>
      <c r="AA1226" s="73"/>
      <c r="AB1226" s="73"/>
      <c r="AC1226" s="74"/>
      <c r="AD1226" s="81" t="s">
        <v>8836</v>
      </c>
      <c r="AE1226" s="86" t="s">
        <v>9815</v>
      </c>
      <c r="AF1226" s="81">
        <v>2396</v>
      </c>
      <c r="AG1226" s="81">
        <v>2758</v>
      </c>
      <c r="AH1226" s="81">
        <v>177172</v>
      </c>
      <c r="AI1226" s="81">
        <v>208680</v>
      </c>
      <c r="AJ1226" s="81"/>
      <c r="AK1226" s="81" t="s">
        <v>10730</v>
      </c>
      <c r="AL1226" s="81"/>
      <c r="AM1226" s="81"/>
      <c r="AN1226" s="81"/>
      <c r="AO1226" s="83">
        <v>42949.852337962962</v>
      </c>
      <c r="AP1226" s="81"/>
      <c r="AQ1226" s="81" t="b">
        <v>1</v>
      </c>
      <c r="AR1226" s="81" t="b">
        <v>0</v>
      </c>
      <c r="AS1226" s="81" t="b">
        <v>0</v>
      </c>
      <c r="AT1226" s="81"/>
      <c r="AU1226" s="81">
        <v>3</v>
      </c>
      <c r="AV1226" s="81"/>
      <c r="AW1226" s="81" t="b">
        <v>0</v>
      </c>
      <c r="AX1226" s="81" t="s">
        <v>3728</v>
      </c>
      <c r="AY1226" s="84" t="str">
        <f>HYPERLINK("https://twitter.com/barbara49962035")</f>
        <v>https://twitter.com/barbara49962035</v>
      </c>
      <c r="AZ1226" s="81" t="s">
        <v>66</v>
      </c>
      <c r="BA1226" s="2"/>
      <c r="BB1226" s="3"/>
      <c r="BC1226" s="3"/>
      <c r="BD1226" s="3"/>
      <c r="BE1226" s="3"/>
    </row>
    <row r="1227" spans="1:57" x14ac:dyDescent="0.35">
      <c r="A1227" s="66" t="s">
        <v>4807</v>
      </c>
      <c r="B1227" s="67"/>
      <c r="C1227" s="67"/>
      <c r="D1227" s="68"/>
      <c r="E1227" s="94"/>
      <c r="F1227" s="93" t="str">
        <f>HYPERLINK("https://pbs.twimg.com/profile_images/455164203058200576/OH17z0wL_normal.jpeg")</f>
        <v>https://pbs.twimg.com/profile_images/455164203058200576/OH17z0wL_normal.jpeg</v>
      </c>
      <c r="G1227" s="95"/>
      <c r="H1227" s="71"/>
      <c r="I1227" s="72"/>
      <c r="J1227" s="96"/>
      <c r="K1227" s="71" t="s">
        <v>12219</v>
      </c>
      <c r="L1227" s="97"/>
      <c r="M1227" s="76"/>
      <c r="N1227" s="76"/>
      <c r="O1227" s="77"/>
      <c r="P1227" s="78"/>
      <c r="Q1227" s="78"/>
      <c r="R1227" s="92"/>
      <c r="S1227" s="92"/>
      <c r="T1227" s="92"/>
      <c r="U1227" s="92"/>
      <c r="V1227" s="52"/>
      <c r="W1227" s="52"/>
      <c r="X1227" s="52"/>
      <c r="Y1227" s="52"/>
      <c r="Z1227" s="51"/>
      <c r="AA1227" s="73"/>
      <c r="AB1227" s="73"/>
      <c r="AC1227" s="74"/>
      <c r="AD1227" s="81" t="s">
        <v>8837</v>
      </c>
      <c r="AE1227" s="86" t="s">
        <v>9816</v>
      </c>
      <c r="AF1227" s="81">
        <v>2970</v>
      </c>
      <c r="AG1227" s="81">
        <v>2001</v>
      </c>
      <c r="AH1227" s="81">
        <v>89877</v>
      </c>
      <c r="AI1227" s="81">
        <v>179</v>
      </c>
      <c r="AJ1227" s="81"/>
      <c r="AK1227" s="81"/>
      <c r="AL1227" s="81"/>
      <c r="AM1227" s="81"/>
      <c r="AN1227" s="81"/>
      <c r="AO1227" s="83">
        <v>41349.575601851851</v>
      </c>
      <c r="AP1227" s="81"/>
      <c r="AQ1227" s="81" t="b">
        <v>1</v>
      </c>
      <c r="AR1227" s="81" t="b">
        <v>0</v>
      </c>
      <c r="AS1227" s="81" t="b">
        <v>0</v>
      </c>
      <c r="AT1227" s="81"/>
      <c r="AU1227" s="81">
        <v>0</v>
      </c>
      <c r="AV1227" s="84" t="str">
        <f>HYPERLINK("https://abs.twimg.com/images/themes/theme1/bg.png")</f>
        <v>https://abs.twimg.com/images/themes/theme1/bg.png</v>
      </c>
      <c r="AW1227" s="81" t="b">
        <v>0</v>
      </c>
      <c r="AX1227" s="81" t="s">
        <v>3728</v>
      </c>
      <c r="AY1227" s="84" t="str">
        <f>HYPERLINK("https://twitter.com/lctessima")</f>
        <v>https://twitter.com/lctessima</v>
      </c>
      <c r="AZ1227" s="81" t="s">
        <v>66</v>
      </c>
      <c r="BA1227" s="2"/>
      <c r="BB1227" s="3"/>
      <c r="BC1227" s="3"/>
      <c r="BD1227" s="3"/>
      <c r="BE1227" s="3"/>
    </row>
    <row r="1228" spans="1:57" x14ac:dyDescent="0.35">
      <c r="A1228" s="66" t="s">
        <v>4808</v>
      </c>
      <c r="B1228" s="67"/>
      <c r="C1228" s="67"/>
      <c r="D1228" s="68"/>
      <c r="E1228" s="94"/>
      <c r="F1228" s="93" t="str">
        <f>HYPERLINK("https://pbs.twimg.com/profile_images/1391426959134142467/ndM9zLAS_normal.jpg")</f>
        <v>https://pbs.twimg.com/profile_images/1391426959134142467/ndM9zLAS_normal.jpg</v>
      </c>
      <c r="G1228" s="95"/>
      <c r="H1228" s="71"/>
      <c r="I1228" s="72"/>
      <c r="J1228" s="96"/>
      <c r="K1228" s="71" t="s">
        <v>12220</v>
      </c>
      <c r="L1228" s="97"/>
      <c r="M1228" s="76"/>
      <c r="N1228" s="76"/>
      <c r="O1228" s="77"/>
      <c r="P1228" s="78"/>
      <c r="Q1228" s="78"/>
      <c r="R1228" s="92"/>
      <c r="S1228" s="92"/>
      <c r="T1228" s="92"/>
      <c r="U1228" s="92"/>
      <c r="V1228" s="52"/>
      <c r="W1228" s="52"/>
      <c r="X1228" s="52"/>
      <c r="Y1228" s="52"/>
      <c r="Z1228" s="51"/>
      <c r="AA1228" s="73"/>
      <c r="AB1228" s="73"/>
      <c r="AC1228" s="74"/>
      <c r="AD1228" s="81" t="s">
        <v>8838</v>
      </c>
      <c r="AE1228" s="86" t="s">
        <v>9817</v>
      </c>
      <c r="AF1228" s="81">
        <v>1264</v>
      </c>
      <c r="AG1228" s="81">
        <v>949</v>
      </c>
      <c r="AH1228" s="81">
        <v>13806</v>
      </c>
      <c r="AI1228" s="81">
        <v>10366</v>
      </c>
      <c r="AJ1228" s="81"/>
      <c r="AK1228" s="81" t="s">
        <v>10731</v>
      </c>
      <c r="AL1228" s="81"/>
      <c r="AM1228" s="81"/>
      <c r="AN1228" s="81"/>
      <c r="AO1228" s="83">
        <v>40979.728449074071</v>
      </c>
      <c r="AP1228" s="81"/>
      <c r="AQ1228" s="81" t="b">
        <v>0</v>
      </c>
      <c r="AR1228" s="81" t="b">
        <v>0</v>
      </c>
      <c r="AS1228" s="81" t="b">
        <v>0</v>
      </c>
      <c r="AT1228" s="81"/>
      <c r="AU1228" s="81">
        <v>6</v>
      </c>
      <c r="AV1228" s="84" t="str">
        <f>HYPERLINK("https://abs.twimg.com/images/themes/theme4/bg.gif")</f>
        <v>https://abs.twimg.com/images/themes/theme4/bg.gif</v>
      </c>
      <c r="AW1228" s="81" t="b">
        <v>0</v>
      </c>
      <c r="AX1228" s="81" t="s">
        <v>3728</v>
      </c>
      <c r="AY1228" s="84" t="str">
        <f>HYPERLINK("https://twitter.com/vacinadaefeliz")</f>
        <v>https://twitter.com/vacinadaefeliz</v>
      </c>
      <c r="AZ1228" s="81" t="s">
        <v>66</v>
      </c>
      <c r="BA1228" s="2"/>
      <c r="BB1228" s="3"/>
      <c r="BC1228" s="3"/>
      <c r="BD1228" s="3"/>
      <c r="BE1228" s="3"/>
    </row>
    <row r="1229" spans="1:57" x14ac:dyDescent="0.35">
      <c r="A1229" s="66" t="s">
        <v>4809</v>
      </c>
      <c r="B1229" s="67"/>
      <c r="C1229" s="67"/>
      <c r="D1229" s="68"/>
      <c r="E1229" s="94"/>
      <c r="F1229" s="93" t="str">
        <f>HYPERLINK("https://pbs.twimg.com/profile_images/1353467171746283522/YgqU-jLR_normal.jpg")</f>
        <v>https://pbs.twimg.com/profile_images/1353467171746283522/YgqU-jLR_normal.jpg</v>
      </c>
      <c r="G1229" s="95"/>
      <c r="H1229" s="71"/>
      <c r="I1229" s="72"/>
      <c r="J1229" s="96"/>
      <c r="K1229" s="71" t="s">
        <v>12221</v>
      </c>
      <c r="L1229" s="97"/>
      <c r="M1229" s="76"/>
      <c r="N1229" s="76"/>
      <c r="O1229" s="77"/>
      <c r="P1229" s="78"/>
      <c r="Q1229" s="78"/>
      <c r="R1229" s="92"/>
      <c r="S1229" s="92"/>
      <c r="T1229" s="92"/>
      <c r="U1229" s="92"/>
      <c r="V1229" s="52"/>
      <c r="W1229" s="52"/>
      <c r="X1229" s="52"/>
      <c r="Y1229" s="52"/>
      <c r="Z1229" s="51"/>
      <c r="AA1229" s="73"/>
      <c r="AB1229" s="73"/>
      <c r="AC1229" s="74"/>
      <c r="AD1229" s="81" t="s">
        <v>8839</v>
      </c>
      <c r="AE1229" s="86" t="s">
        <v>9818</v>
      </c>
      <c r="AF1229" s="81">
        <v>571</v>
      </c>
      <c r="AG1229" s="81">
        <v>310</v>
      </c>
      <c r="AH1229" s="81">
        <v>14507</v>
      </c>
      <c r="AI1229" s="81">
        <v>1656</v>
      </c>
      <c r="AJ1229" s="81"/>
      <c r="AK1229" s="81" t="s">
        <v>10732</v>
      </c>
      <c r="AL1229" s="81" t="s">
        <v>11286</v>
      </c>
      <c r="AM1229" s="81"/>
      <c r="AN1229" s="81"/>
      <c r="AO1229" s="83">
        <v>40337.136736111112</v>
      </c>
      <c r="AP1229" s="84" t="str">
        <f>HYPERLINK("https://pbs.twimg.com/profile_banners/153268173/1583881726")</f>
        <v>https://pbs.twimg.com/profile_banners/153268173/1583881726</v>
      </c>
      <c r="AQ1229" s="81" t="b">
        <v>0</v>
      </c>
      <c r="AR1229" s="81" t="b">
        <v>0</v>
      </c>
      <c r="AS1229" s="81" t="b">
        <v>1</v>
      </c>
      <c r="AT1229" s="81"/>
      <c r="AU1229" s="81">
        <v>1</v>
      </c>
      <c r="AV1229" s="84" t="str">
        <f>HYPERLINK("https://abs.twimg.com/images/themes/theme9/bg.gif")</f>
        <v>https://abs.twimg.com/images/themes/theme9/bg.gif</v>
      </c>
      <c r="AW1229" s="81" t="b">
        <v>0</v>
      </c>
      <c r="AX1229" s="81" t="s">
        <v>3728</v>
      </c>
      <c r="AY1229" s="84" t="str">
        <f>HYPERLINK("https://twitter.com/jorge84rjr")</f>
        <v>https://twitter.com/jorge84rjr</v>
      </c>
      <c r="AZ1229" s="81" t="s">
        <v>66</v>
      </c>
      <c r="BA1229" s="2"/>
      <c r="BB1229" s="3"/>
      <c r="BC1229" s="3"/>
      <c r="BD1229" s="3"/>
      <c r="BE1229" s="3"/>
    </row>
    <row r="1230" spans="1:57" x14ac:dyDescent="0.35">
      <c r="A1230" s="66" t="s">
        <v>5157</v>
      </c>
      <c r="B1230" s="67"/>
      <c r="C1230" s="67"/>
      <c r="D1230" s="68"/>
      <c r="E1230" s="94"/>
      <c r="F1230" s="93" t="str">
        <f>HYPERLINK("https://pbs.twimg.com/profile_images/1413276624016052228/z8Z88rFu_normal.jpg")</f>
        <v>https://pbs.twimg.com/profile_images/1413276624016052228/z8Z88rFu_normal.jpg</v>
      </c>
      <c r="G1230" s="95"/>
      <c r="H1230" s="71"/>
      <c r="I1230" s="72"/>
      <c r="J1230" s="96"/>
      <c r="K1230" s="71" t="s">
        <v>12222</v>
      </c>
      <c r="L1230" s="97"/>
      <c r="M1230" s="76"/>
      <c r="N1230" s="76"/>
      <c r="O1230" s="77"/>
      <c r="P1230" s="78"/>
      <c r="Q1230" s="78"/>
      <c r="R1230" s="92"/>
      <c r="S1230" s="92"/>
      <c r="T1230" s="92"/>
      <c r="U1230" s="92"/>
      <c r="V1230" s="52"/>
      <c r="W1230" s="52"/>
      <c r="X1230" s="52"/>
      <c r="Y1230" s="52"/>
      <c r="Z1230" s="51"/>
      <c r="AA1230" s="73"/>
      <c r="AB1230" s="73"/>
      <c r="AC1230" s="74"/>
      <c r="AD1230" s="81" t="s">
        <v>8840</v>
      </c>
      <c r="AE1230" s="86" t="s">
        <v>9819</v>
      </c>
      <c r="AF1230" s="81">
        <v>1077</v>
      </c>
      <c r="AG1230" s="81">
        <v>131809</v>
      </c>
      <c r="AH1230" s="81">
        <v>61918</v>
      </c>
      <c r="AI1230" s="81">
        <v>55555</v>
      </c>
      <c r="AJ1230" s="81"/>
      <c r="AK1230" s="81" t="s">
        <v>10733</v>
      </c>
      <c r="AL1230" s="81" t="s">
        <v>11287</v>
      </c>
      <c r="AM1230" s="84" t="str">
        <f>HYPERLINK("https://t.co/RjTCzmXeej")</f>
        <v>https://t.co/RjTCzmXeej</v>
      </c>
      <c r="AN1230" s="81"/>
      <c r="AO1230" s="83">
        <v>40010.799143518518</v>
      </c>
      <c r="AP1230" s="84" t="str">
        <f>HYPERLINK("https://pbs.twimg.com/profile_banners/57417211/1581650487")</f>
        <v>https://pbs.twimg.com/profile_banners/57417211/1581650487</v>
      </c>
      <c r="AQ1230" s="81" t="b">
        <v>0</v>
      </c>
      <c r="AR1230" s="81" t="b">
        <v>0</v>
      </c>
      <c r="AS1230" s="81" t="b">
        <v>1</v>
      </c>
      <c r="AT1230" s="81"/>
      <c r="AU1230" s="81">
        <v>141</v>
      </c>
      <c r="AV1230" s="84" t="str">
        <f>HYPERLINK("https://abs.twimg.com/images/themes/theme1/bg.png")</f>
        <v>https://abs.twimg.com/images/themes/theme1/bg.png</v>
      </c>
      <c r="AW1230" s="81" t="b">
        <v>1</v>
      </c>
      <c r="AX1230" s="81" t="s">
        <v>3728</v>
      </c>
      <c r="AY1230" s="84" t="str">
        <f>HYPERLINK("https://twitter.com/zeluizlhesdiz")</f>
        <v>https://twitter.com/zeluizlhesdiz</v>
      </c>
      <c r="AZ1230" s="81" t="s">
        <v>65</v>
      </c>
      <c r="BA1230" s="2"/>
      <c r="BB1230" s="3"/>
      <c r="BC1230" s="3"/>
      <c r="BD1230" s="3"/>
      <c r="BE1230" s="3"/>
    </row>
    <row r="1231" spans="1:57" x14ac:dyDescent="0.35">
      <c r="A1231" s="66" t="s">
        <v>5158</v>
      </c>
      <c r="B1231" s="67"/>
      <c r="C1231" s="67"/>
      <c r="D1231" s="68"/>
      <c r="E1231" s="94"/>
      <c r="F1231" s="93" t="str">
        <f>HYPERLINK("https://pbs.twimg.com/profile_images/787131248124825600/zbChFFAy_normal.jpg")</f>
        <v>https://pbs.twimg.com/profile_images/787131248124825600/zbChFFAy_normal.jpg</v>
      </c>
      <c r="G1231" s="95"/>
      <c r="H1231" s="71"/>
      <c r="I1231" s="72"/>
      <c r="J1231" s="96"/>
      <c r="K1231" s="71" t="s">
        <v>12223</v>
      </c>
      <c r="L1231" s="97"/>
      <c r="M1231" s="76"/>
      <c r="N1231" s="76"/>
      <c r="O1231" s="77"/>
      <c r="P1231" s="78"/>
      <c r="Q1231" s="78"/>
      <c r="R1231" s="92"/>
      <c r="S1231" s="92"/>
      <c r="T1231" s="92"/>
      <c r="U1231" s="92"/>
      <c r="V1231" s="52"/>
      <c r="W1231" s="52"/>
      <c r="X1231" s="52"/>
      <c r="Y1231" s="52"/>
      <c r="Z1231" s="51"/>
      <c r="AA1231" s="73"/>
      <c r="AB1231" s="73"/>
      <c r="AC1231" s="74"/>
      <c r="AD1231" s="81" t="s">
        <v>8567</v>
      </c>
      <c r="AE1231" s="86" t="s">
        <v>9820</v>
      </c>
      <c r="AF1231" s="81">
        <v>433</v>
      </c>
      <c r="AG1231" s="81">
        <v>172</v>
      </c>
      <c r="AH1231" s="81">
        <v>1324</v>
      </c>
      <c r="AI1231" s="81">
        <v>2462</v>
      </c>
      <c r="AJ1231" s="81"/>
      <c r="AK1231" s="81" t="s">
        <v>10734</v>
      </c>
      <c r="AL1231" s="81" t="s">
        <v>11288</v>
      </c>
      <c r="AM1231" s="81"/>
      <c r="AN1231" s="81"/>
      <c r="AO1231" s="83">
        <v>42658.125555555554</v>
      </c>
      <c r="AP1231" s="84" t="str">
        <f>HYPERLINK("https://pbs.twimg.com/profile_banners/787126046105755648/1596576493")</f>
        <v>https://pbs.twimg.com/profile_banners/787126046105755648/1596576493</v>
      </c>
      <c r="AQ1231" s="81" t="b">
        <v>1</v>
      </c>
      <c r="AR1231" s="81" t="b">
        <v>0</v>
      </c>
      <c r="AS1231" s="81" t="b">
        <v>0</v>
      </c>
      <c r="AT1231" s="81"/>
      <c r="AU1231" s="81">
        <v>1</v>
      </c>
      <c r="AV1231" s="81"/>
      <c r="AW1231" s="81" t="b">
        <v>0</v>
      </c>
      <c r="AX1231" s="81" t="s">
        <v>3728</v>
      </c>
      <c r="AY1231" s="84" t="str">
        <f>HYPERLINK("https://twitter.com/diegoalbertodos")</f>
        <v>https://twitter.com/diegoalbertodos</v>
      </c>
      <c r="AZ1231" s="81" t="s">
        <v>65</v>
      </c>
      <c r="BA1231" s="2"/>
      <c r="BB1231" s="3"/>
      <c r="BC1231" s="3"/>
      <c r="BD1231" s="3"/>
      <c r="BE1231" s="3"/>
    </row>
    <row r="1232" spans="1:57" x14ac:dyDescent="0.35">
      <c r="A1232" s="66" t="s">
        <v>5159</v>
      </c>
      <c r="B1232" s="67"/>
      <c r="C1232" s="67"/>
      <c r="D1232" s="68"/>
      <c r="E1232" s="94"/>
      <c r="F1232" s="93" t="str">
        <f>HYPERLINK("https://pbs.twimg.com/profile_images/1393195946524164099/yagV7LWo_normal.jpg")</f>
        <v>https://pbs.twimg.com/profile_images/1393195946524164099/yagV7LWo_normal.jpg</v>
      </c>
      <c r="G1232" s="95"/>
      <c r="H1232" s="71"/>
      <c r="I1232" s="72"/>
      <c r="J1232" s="96"/>
      <c r="K1232" s="71" t="s">
        <v>12224</v>
      </c>
      <c r="L1232" s="97"/>
      <c r="M1232" s="76"/>
      <c r="N1232" s="76"/>
      <c r="O1232" s="77"/>
      <c r="P1232" s="78"/>
      <c r="Q1232" s="78"/>
      <c r="R1232" s="92"/>
      <c r="S1232" s="92"/>
      <c r="T1232" s="92"/>
      <c r="U1232" s="92"/>
      <c r="V1232" s="52"/>
      <c r="W1232" s="52"/>
      <c r="X1232" s="52"/>
      <c r="Y1232" s="52"/>
      <c r="Z1232" s="51"/>
      <c r="AA1232" s="73"/>
      <c r="AB1232" s="73"/>
      <c r="AC1232" s="74"/>
      <c r="AD1232" s="81" t="s">
        <v>8841</v>
      </c>
      <c r="AE1232" s="86" t="s">
        <v>9821</v>
      </c>
      <c r="AF1232" s="81">
        <v>397</v>
      </c>
      <c r="AG1232" s="81">
        <v>227</v>
      </c>
      <c r="AH1232" s="81">
        <v>9158</v>
      </c>
      <c r="AI1232" s="81">
        <v>107002</v>
      </c>
      <c r="AJ1232" s="81"/>
      <c r="AK1232" s="81" t="s">
        <v>10735</v>
      </c>
      <c r="AL1232" s="81" t="s">
        <v>11289</v>
      </c>
      <c r="AM1232" s="81"/>
      <c r="AN1232" s="81"/>
      <c r="AO1232" s="83">
        <v>39959.648460648146</v>
      </c>
      <c r="AP1232" s="84" t="str">
        <f>HYPERLINK("https://pbs.twimg.com/profile_banners/42648104/1530068479")</f>
        <v>https://pbs.twimg.com/profile_banners/42648104/1530068479</v>
      </c>
      <c r="AQ1232" s="81" t="b">
        <v>0</v>
      </c>
      <c r="AR1232" s="81" t="b">
        <v>0</v>
      </c>
      <c r="AS1232" s="81" t="b">
        <v>1</v>
      </c>
      <c r="AT1232" s="81"/>
      <c r="AU1232" s="81">
        <v>4</v>
      </c>
      <c r="AV1232" s="84" t="str">
        <f>HYPERLINK("https://abs.twimg.com/images/themes/theme19/bg.gif")</f>
        <v>https://abs.twimg.com/images/themes/theme19/bg.gif</v>
      </c>
      <c r="AW1232" s="81" t="b">
        <v>0</v>
      </c>
      <c r="AX1232" s="81" t="s">
        <v>3728</v>
      </c>
      <c r="AY1232" s="84" t="str">
        <f>HYPERLINK("https://twitter.com/jacquebri")</f>
        <v>https://twitter.com/jacquebri</v>
      </c>
      <c r="AZ1232" s="81" t="s">
        <v>65</v>
      </c>
      <c r="BA1232" s="2"/>
      <c r="BB1232" s="3"/>
      <c r="BC1232" s="3"/>
      <c r="BD1232" s="3"/>
      <c r="BE1232" s="3"/>
    </row>
    <row r="1233" spans="1:57" x14ac:dyDescent="0.35">
      <c r="A1233" s="66" t="s">
        <v>5160</v>
      </c>
      <c r="B1233" s="67"/>
      <c r="C1233" s="67"/>
      <c r="D1233" s="68"/>
      <c r="E1233" s="94"/>
      <c r="F1233" s="93" t="str">
        <f>HYPERLINK("https://pbs.twimg.com/profile_images/1230514423795552263/nudpHceF_normal.jpg")</f>
        <v>https://pbs.twimg.com/profile_images/1230514423795552263/nudpHceF_normal.jpg</v>
      </c>
      <c r="G1233" s="95"/>
      <c r="H1233" s="71"/>
      <c r="I1233" s="72"/>
      <c r="J1233" s="96"/>
      <c r="K1233" s="71" t="s">
        <v>12225</v>
      </c>
      <c r="L1233" s="97"/>
      <c r="M1233" s="76"/>
      <c r="N1233" s="76"/>
      <c r="O1233" s="77"/>
      <c r="P1233" s="78"/>
      <c r="Q1233" s="78"/>
      <c r="R1233" s="92"/>
      <c r="S1233" s="92"/>
      <c r="T1233" s="92"/>
      <c r="U1233" s="92"/>
      <c r="V1233" s="52"/>
      <c r="W1233" s="52"/>
      <c r="X1233" s="52"/>
      <c r="Y1233" s="52"/>
      <c r="Z1233" s="51"/>
      <c r="AA1233" s="73"/>
      <c r="AB1233" s="73"/>
      <c r="AC1233" s="74"/>
      <c r="AD1233" s="81" t="s">
        <v>8842</v>
      </c>
      <c r="AE1233" s="86" t="s">
        <v>7906</v>
      </c>
      <c r="AF1233" s="81">
        <v>169</v>
      </c>
      <c r="AG1233" s="81">
        <v>18</v>
      </c>
      <c r="AH1233" s="81">
        <v>1306</v>
      </c>
      <c r="AI1233" s="81">
        <v>1963</v>
      </c>
      <c r="AJ1233" s="81"/>
      <c r="AK1233" s="81" t="s">
        <v>10736</v>
      </c>
      <c r="AL1233" s="81" t="s">
        <v>11290</v>
      </c>
      <c r="AM1233" s="81"/>
      <c r="AN1233" s="81"/>
      <c r="AO1233" s="83">
        <v>43018.454618055555</v>
      </c>
      <c r="AP1233" s="84" t="str">
        <f>HYPERLINK("https://pbs.twimg.com/profile_banners/917704927388094464/1618872482")</f>
        <v>https://pbs.twimg.com/profile_banners/917704927388094464/1618872482</v>
      </c>
      <c r="AQ1233" s="81" t="b">
        <v>1</v>
      </c>
      <c r="AR1233" s="81" t="b">
        <v>0</v>
      </c>
      <c r="AS1233" s="81" t="b">
        <v>0</v>
      </c>
      <c r="AT1233" s="81"/>
      <c r="AU1233" s="81">
        <v>0</v>
      </c>
      <c r="AV1233" s="81"/>
      <c r="AW1233" s="81" t="b">
        <v>0</v>
      </c>
      <c r="AX1233" s="81" t="s">
        <v>3728</v>
      </c>
      <c r="AY1233" s="84" t="str">
        <f>HYPERLINK("https://twitter.com/emanuelbissiatt")</f>
        <v>https://twitter.com/emanuelbissiatt</v>
      </c>
      <c r="AZ1233" s="81" t="s">
        <v>65</v>
      </c>
      <c r="BA1233" s="2"/>
      <c r="BB1233" s="3"/>
      <c r="BC1233" s="3"/>
      <c r="BD1233" s="3"/>
      <c r="BE1233" s="3"/>
    </row>
    <row r="1234" spans="1:57" x14ac:dyDescent="0.35">
      <c r="A1234" s="66" t="s">
        <v>546</v>
      </c>
      <c r="B1234" s="67"/>
      <c r="C1234" s="67"/>
      <c r="D1234" s="68"/>
      <c r="E1234" s="94"/>
      <c r="F1234" s="93" t="str">
        <f>HYPERLINK("https://pbs.twimg.com/profile_images/1436919955828604933/ss6ZnITh_normal.jpg")</f>
        <v>https://pbs.twimg.com/profile_images/1436919955828604933/ss6ZnITh_normal.jpg</v>
      </c>
      <c r="G1234" s="95"/>
      <c r="H1234" s="71"/>
      <c r="I1234" s="72"/>
      <c r="J1234" s="96"/>
      <c r="K1234" s="71" t="s">
        <v>3732</v>
      </c>
      <c r="L1234" s="97"/>
      <c r="M1234" s="76"/>
      <c r="N1234" s="76"/>
      <c r="O1234" s="77"/>
      <c r="P1234" s="78"/>
      <c r="Q1234" s="78"/>
      <c r="R1234" s="92"/>
      <c r="S1234" s="92"/>
      <c r="T1234" s="92"/>
      <c r="U1234" s="92"/>
      <c r="V1234" s="52"/>
      <c r="W1234" s="52"/>
      <c r="X1234" s="52"/>
      <c r="Y1234" s="52"/>
      <c r="Z1234" s="51"/>
      <c r="AA1234" s="73"/>
      <c r="AB1234" s="73"/>
      <c r="AC1234" s="74"/>
      <c r="AD1234" s="81" t="s">
        <v>2240</v>
      </c>
      <c r="AE1234" s="86" t="s">
        <v>2683</v>
      </c>
      <c r="AF1234" s="81">
        <v>11247</v>
      </c>
      <c r="AG1234" s="81">
        <v>16736</v>
      </c>
      <c r="AH1234" s="81">
        <v>53579</v>
      </c>
      <c r="AI1234" s="81">
        <v>116255</v>
      </c>
      <c r="AJ1234" s="81"/>
      <c r="AK1234" s="81" t="s">
        <v>3081</v>
      </c>
      <c r="AL1234" s="81" t="s">
        <v>3510</v>
      </c>
      <c r="AM1234" s="81"/>
      <c r="AN1234" s="81"/>
      <c r="AO1234" s="83">
        <v>43932.666701388887</v>
      </c>
      <c r="AP1234" s="84" t="str">
        <f>HYPERLINK("https://pbs.twimg.com/profile_banners/1249004237004009474/1626715709")</f>
        <v>https://pbs.twimg.com/profile_banners/1249004237004009474/1626715709</v>
      </c>
      <c r="AQ1234" s="81" t="b">
        <v>1</v>
      </c>
      <c r="AR1234" s="81" t="b">
        <v>0</v>
      </c>
      <c r="AS1234" s="81" t="b">
        <v>0</v>
      </c>
      <c r="AT1234" s="81"/>
      <c r="AU1234" s="81">
        <v>4</v>
      </c>
      <c r="AV1234" s="81"/>
      <c r="AW1234" s="81" t="b">
        <v>0</v>
      </c>
      <c r="AX1234" s="81" t="s">
        <v>3728</v>
      </c>
      <c r="AY1234" s="84" t="str">
        <f>HYPERLINK("https://twitter.com/gojekmilitan")</f>
        <v>https://twitter.com/gojekmilitan</v>
      </c>
      <c r="AZ1234" s="81" t="s">
        <v>66</v>
      </c>
      <c r="BA1234" s="2"/>
      <c r="BB1234" s="3"/>
      <c r="BC1234" s="3"/>
      <c r="BD1234" s="3"/>
      <c r="BE1234" s="3"/>
    </row>
    <row r="1235" spans="1:57" x14ac:dyDescent="0.35">
      <c r="A1235" s="66" t="s">
        <v>547</v>
      </c>
      <c r="B1235" s="67"/>
      <c r="C1235" s="67"/>
      <c r="D1235" s="68"/>
      <c r="E1235" s="94"/>
      <c r="F1235" s="93" t="str">
        <f>HYPERLINK("https://pbs.twimg.com/profile_images/1414279213985660938/0fbg4ekt_normal.jpg")</f>
        <v>https://pbs.twimg.com/profile_images/1414279213985660938/0fbg4ekt_normal.jpg</v>
      </c>
      <c r="G1235" s="95"/>
      <c r="H1235" s="71"/>
      <c r="I1235" s="72"/>
      <c r="J1235" s="96"/>
      <c r="K1235" s="71" t="s">
        <v>4117</v>
      </c>
      <c r="L1235" s="97"/>
      <c r="M1235" s="76"/>
      <c r="N1235" s="76"/>
      <c r="O1235" s="77"/>
      <c r="P1235" s="78"/>
      <c r="Q1235" s="78"/>
      <c r="R1235" s="92"/>
      <c r="S1235" s="92"/>
      <c r="T1235" s="92"/>
      <c r="U1235" s="92"/>
      <c r="V1235" s="52"/>
      <c r="W1235" s="52"/>
      <c r="X1235" s="52"/>
      <c r="Y1235" s="52"/>
      <c r="Z1235" s="51"/>
      <c r="AA1235" s="73"/>
      <c r="AB1235" s="73"/>
      <c r="AC1235" s="74"/>
      <c r="AD1235" s="81" t="s">
        <v>2629</v>
      </c>
      <c r="AE1235" s="86" t="s">
        <v>3026</v>
      </c>
      <c r="AF1235" s="81">
        <v>150</v>
      </c>
      <c r="AG1235" s="81">
        <v>18</v>
      </c>
      <c r="AH1235" s="81">
        <v>3791</v>
      </c>
      <c r="AI1235" s="81">
        <v>1595</v>
      </c>
      <c r="AJ1235" s="81"/>
      <c r="AK1235" s="81" t="s">
        <v>3454</v>
      </c>
      <c r="AL1235" s="81" t="s">
        <v>3711</v>
      </c>
      <c r="AM1235" s="81"/>
      <c r="AN1235" s="81"/>
      <c r="AO1235" s="83">
        <v>43149.150706018518</v>
      </c>
      <c r="AP1235" s="84" t="str">
        <f>HYPERLINK("https://pbs.twimg.com/profile_banners/965067604330102785/1626025414")</f>
        <v>https://pbs.twimg.com/profile_banners/965067604330102785/1626025414</v>
      </c>
      <c r="AQ1235" s="81" t="b">
        <v>1</v>
      </c>
      <c r="AR1235" s="81" t="b">
        <v>0</v>
      </c>
      <c r="AS1235" s="81" t="b">
        <v>0</v>
      </c>
      <c r="AT1235" s="81"/>
      <c r="AU1235" s="81">
        <v>0</v>
      </c>
      <c r="AV1235" s="81"/>
      <c r="AW1235" s="81" t="b">
        <v>0</v>
      </c>
      <c r="AX1235" s="81" t="s">
        <v>3728</v>
      </c>
      <c r="AY1235" s="84" t="str">
        <f>HYPERLINK("https://twitter.com/_averain99")</f>
        <v>https://twitter.com/_averain99</v>
      </c>
      <c r="AZ1235" s="81" t="s">
        <v>66</v>
      </c>
      <c r="BA1235" s="2"/>
      <c r="BB1235" s="3"/>
      <c r="BC1235" s="3"/>
      <c r="BD1235" s="3"/>
      <c r="BE1235" s="3"/>
    </row>
    <row r="1236" spans="1:57" x14ac:dyDescent="0.35">
      <c r="A1236" s="66" t="s">
        <v>548</v>
      </c>
      <c r="B1236" s="67"/>
      <c r="C1236" s="67"/>
      <c r="D1236" s="68"/>
      <c r="E1236" s="94"/>
      <c r="F1236" s="93" t="str">
        <f>HYPERLINK("https://pbs.twimg.com/profile_images/1442425427570544641/4tFgXwgV_normal.jpg")</f>
        <v>https://pbs.twimg.com/profile_images/1442425427570544641/4tFgXwgV_normal.jpg</v>
      </c>
      <c r="G1236" s="95"/>
      <c r="H1236" s="71"/>
      <c r="I1236" s="72"/>
      <c r="J1236" s="96"/>
      <c r="K1236" s="71" t="s">
        <v>4118</v>
      </c>
      <c r="L1236" s="97"/>
      <c r="M1236" s="76"/>
      <c r="N1236" s="76"/>
      <c r="O1236" s="77"/>
      <c r="P1236" s="78"/>
      <c r="Q1236" s="78"/>
      <c r="R1236" s="92"/>
      <c r="S1236" s="92"/>
      <c r="T1236" s="92"/>
      <c r="U1236" s="92"/>
      <c r="V1236" s="52"/>
      <c r="W1236" s="52"/>
      <c r="X1236" s="52"/>
      <c r="Y1236" s="52"/>
      <c r="Z1236" s="51"/>
      <c r="AA1236" s="73"/>
      <c r="AB1236" s="73"/>
      <c r="AC1236" s="74"/>
      <c r="AD1236" s="81" t="s">
        <v>2630</v>
      </c>
      <c r="AE1236" s="86" t="s">
        <v>3027</v>
      </c>
      <c r="AF1236" s="81">
        <v>422</v>
      </c>
      <c r="AG1236" s="81">
        <v>351</v>
      </c>
      <c r="AH1236" s="81">
        <v>4401</v>
      </c>
      <c r="AI1236" s="81">
        <v>32189</v>
      </c>
      <c r="AJ1236" s="81"/>
      <c r="AK1236" s="81" t="s">
        <v>3455</v>
      </c>
      <c r="AL1236" s="81" t="s">
        <v>3712</v>
      </c>
      <c r="AM1236" s="81"/>
      <c r="AN1236" s="81"/>
      <c r="AO1236" s="83">
        <v>44022.686030092591</v>
      </c>
      <c r="AP1236" s="84" t="str">
        <f>HYPERLINK("https://pbs.twimg.com/profile_banners/1281626082945282049/1632307169")</f>
        <v>https://pbs.twimg.com/profile_banners/1281626082945282049/1632307169</v>
      </c>
      <c r="AQ1236" s="81" t="b">
        <v>1</v>
      </c>
      <c r="AR1236" s="81" t="b">
        <v>0</v>
      </c>
      <c r="AS1236" s="81" t="b">
        <v>0</v>
      </c>
      <c r="AT1236" s="81"/>
      <c r="AU1236" s="81">
        <v>2</v>
      </c>
      <c r="AV1236" s="81"/>
      <c r="AW1236" s="81" t="b">
        <v>0</v>
      </c>
      <c r="AX1236" s="81" t="s">
        <v>3728</v>
      </c>
      <c r="AY1236" s="84" t="str">
        <f>HYPERLINK("https://twitter.com/nynassuh")</f>
        <v>https://twitter.com/nynassuh</v>
      </c>
      <c r="AZ1236" s="81" t="s">
        <v>66</v>
      </c>
      <c r="BA1236" s="2"/>
      <c r="BB1236" s="3"/>
      <c r="BC1236" s="3"/>
      <c r="BD1236" s="3"/>
      <c r="BE1236" s="3"/>
    </row>
    <row r="1237" spans="1:57" x14ac:dyDescent="0.35">
      <c r="A1237" s="66" t="s">
        <v>569</v>
      </c>
      <c r="B1237" s="67"/>
      <c r="C1237" s="67"/>
      <c r="D1237" s="68"/>
      <c r="E1237" s="94"/>
      <c r="F1237" s="93" t="str">
        <f>HYPERLINK("https://pbs.twimg.com/profile_images/1438475751502745601/6n73M59b_normal.jpg")</f>
        <v>https://pbs.twimg.com/profile_images/1438475751502745601/6n73M59b_normal.jpg</v>
      </c>
      <c r="G1237" s="95"/>
      <c r="H1237" s="71"/>
      <c r="I1237" s="72"/>
      <c r="J1237" s="96"/>
      <c r="K1237" s="71" t="s">
        <v>4119</v>
      </c>
      <c r="L1237" s="97"/>
      <c r="M1237" s="76"/>
      <c r="N1237" s="76"/>
      <c r="O1237" s="77"/>
      <c r="P1237" s="78"/>
      <c r="Q1237" s="78"/>
      <c r="R1237" s="92"/>
      <c r="S1237" s="92"/>
      <c r="T1237" s="92"/>
      <c r="U1237" s="92"/>
      <c r="V1237" s="52"/>
      <c r="W1237" s="52"/>
      <c r="X1237" s="52"/>
      <c r="Y1237" s="52"/>
      <c r="Z1237" s="51"/>
      <c r="AA1237" s="73"/>
      <c r="AB1237" s="73"/>
      <c r="AC1237" s="74"/>
      <c r="AD1237" s="81" t="s">
        <v>2631</v>
      </c>
      <c r="AE1237" s="86" t="s">
        <v>3028</v>
      </c>
      <c r="AF1237" s="81">
        <v>897</v>
      </c>
      <c r="AG1237" s="81">
        <v>754</v>
      </c>
      <c r="AH1237" s="81">
        <v>33864</v>
      </c>
      <c r="AI1237" s="81">
        <v>20779</v>
      </c>
      <c r="AJ1237" s="81"/>
      <c r="AK1237" s="81" t="s">
        <v>3456</v>
      </c>
      <c r="AL1237" s="81"/>
      <c r="AM1237" s="81"/>
      <c r="AN1237" s="81"/>
      <c r="AO1237" s="83">
        <v>42355.43167824074</v>
      </c>
      <c r="AP1237" s="84" t="str">
        <f>HYPERLINK("https://pbs.twimg.com/profile_banners/4583592733/1569223311")</f>
        <v>https://pbs.twimg.com/profile_banners/4583592733/1569223311</v>
      </c>
      <c r="AQ1237" s="81" t="b">
        <v>1</v>
      </c>
      <c r="AR1237" s="81" t="b">
        <v>0</v>
      </c>
      <c r="AS1237" s="81" t="b">
        <v>0</v>
      </c>
      <c r="AT1237" s="81"/>
      <c r="AU1237" s="81">
        <v>3</v>
      </c>
      <c r="AV1237" s="81"/>
      <c r="AW1237" s="81" t="b">
        <v>0</v>
      </c>
      <c r="AX1237" s="81" t="s">
        <v>3728</v>
      </c>
      <c r="AY1237" s="84" t="str">
        <f>HYPERLINK("https://twitter.com/fullsunbb_")</f>
        <v>https://twitter.com/fullsunbb_</v>
      </c>
      <c r="AZ1237" s="81" t="s">
        <v>66</v>
      </c>
      <c r="BA1237" s="2"/>
      <c r="BB1237" s="3"/>
      <c r="BC1237" s="3"/>
      <c r="BD1237" s="3"/>
      <c r="BE1237" s="3"/>
    </row>
    <row r="1238" spans="1:57" x14ac:dyDescent="0.35">
      <c r="A1238" s="66" t="s">
        <v>4810</v>
      </c>
      <c r="B1238" s="67"/>
      <c r="C1238" s="67"/>
      <c r="D1238" s="68"/>
      <c r="E1238" s="94"/>
      <c r="F1238" s="93" t="str">
        <f>HYPERLINK("https://pbs.twimg.com/profile_images/1398592630817239046/Io2AsI_0_normal.jpg")</f>
        <v>https://pbs.twimg.com/profile_images/1398592630817239046/Io2AsI_0_normal.jpg</v>
      </c>
      <c r="G1238" s="95"/>
      <c r="H1238" s="71"/>
      <c r="I1238" s="72"/>
      <c r="J1238" s="96"/>
      <c r="K1238" s="71" t="s">
        <v>12226</v>
      </c>
      <c r="L1238" s="97"/>
      <c r="M1238" s="76"/>
      <c r="N1238" s="76"/>
      <c r="O1238" s="77"/>
      <c r="P1238" s="78"/>
      <c r="Q1238" s="78"/>
      <c r="R1238" s="92"/>
      <c r="S1238" s="92"/>
      <c r="T1238" s="92"/>
      <c r="U1238" s="92"/>
      <c r="V1238" s="52"/>
      <c r="W1238" s="52"/>
      <c r="X1238" s="52"/>
      <c r="Y1238" s="52"/>
      <c r="Z1238" s="51"/>
      <c r="AA1238" s="73"/>
      <c r="AB1238" s="73"/>
      <c r="AC1238" s="74"/>
      <c r="AD1238" s="81" t="s">
        <v>8843</v>
      </c>
      <c r="AE1238" s="86" t="s">
        <v>9822</v>
      </c>
      <c r="AF1238" s="81">
        <v>174</v>
      </c>
      <c r="AG1238" s="81">
        <v>42</v>
      </c>
      <c r="AH1238" s="81">
        <v>2728</v>
      </c>
      <c r="AI1238" s="81">
        <v>8292</v>
      </c>
      <c r="AJ1238" s="81"/>
      <c r="AK1238" s="81" t="s">
        <v>10737</v>
      </c>
      <c r="AL1238" s="81"/>
      <c r="AM1238" s="81"/>
      <c r="AN1238" s="81"/>
      <c r="AO1238" s="83">
        <v>44344.095532407409</v>
      </c>
      <c r="AP1238" s="84" t="str">
        <f>HYPERLINK("https://pbs.twimg.com/profile_banners/1398101071336202250/1622942000")</f>
        <v>https://pbs.twimg.com/profile_banners/1398101071336202250/1622942000</v>
      </c>
      <c r="AQ1238" s="81" t="b">
        <v>1</v>
      </c>
      <c r="AR1238" s="81" t="b">
        <v>0</v>
      </c>
      <c r="AS1238" s="81" t="b">
        <v>0</v>
      </c>
      <c r="AT1238" s="81"/>
      <c r="AU1238" s="81">
        <v>0</v>
      </c>
      <c r="AV1238" s="81"/>
      <c r="AW1238" s="81" t="b">
        <v>0</v>
      </c>
      <c r="AX1238" s="81" t="s">
        <v>3728</v>
      </c>
      <c r="AY1238" s="84" t="str">
        <f>HYPERLINK("https://twitter.com/influencersqn")</f>
        <v>https://twitter.com/influencersqn</v>
      </c>
      <c r="AZ1238" s="81" t="s">
        <v>66</v>
      </c>
      <c r="BA1238" s="2"/>
      <c r="BB1238" s="3"/>
      <c r="BC1238" s="3"/>
      <c r="BD1238" s="3"/>
      <c r="BE1238" s="3"/>
    </row>
    <row r="1239" spans="1:57" x14ac:dyDescent="0.35">
      <c r="A1239" s="66" t="s">
        <v>4811</v>
      </c>
      <c r="B1239" s="67"/>
      <c r="C1239" s="67"/>
      <c r="D1239" s="68"/>
      <c r="E1239" s="94"/>
      <c r="F1239" s="93" t="str">
        <f>HYPERLINK("https://pbs.twimg.com/profile_images/1441786156581011459/6O88zYuU_normal.jpg")</f>
        <v>https://pbs.twimg.com/profile_images/1441786156581011459/6O88zYuU_normal.jpg</v>
      </c>
      <c r="G1239" s="95"/>
      <c r="H1239" s="71"/>
      <c r="I1239" s="72"/>
      <c r="J1239" s="96"/>
      <c r="K1239" s="71" t="s">
        <v>12227</v>
      </c>
      <c r="L1239" s="97"/>
      <c r="M1239" s="76"/>
      <c r="N1239" s="76"/>
      <c r="O1239" s="77"/>
      <c r="P1239" s="78"/>
      <c r="Q1239" s="78"/>
      <c r="R1239" s="92"/>
      <c r="S1239" s="92"/>
      <c r="T1239" s="92"/>
      <c r="U1239" s="92"/>
      <c r="V1239" s="52"/>
      <c r="W1239" s="52"/>
      <c r="X1239" s="52"/>
      <c r="Y1239" s="52"/>
      <c r="Z1239" s="51"/>
      <c r="AA1239" s="73"/>
      <c r="AB1239" s="73"/>
      <c r="AC1239" s="74"/>
      <c r="AD1239" s="81" t="s">
        <v>8844</v>
      </c>
      <c r="AE1239" s="86" t="s">
        <v>9823</v>
      </c>
      <c r="AF1239" s="81">
        <v>364</v>
      </c>
      <c r="AG1239" s="81">
        <v>584</v>
      </c>
      <c r="AH1239" s="81">
        <v>44916</v>
      </c>
      <c r="AI1239" s="81">
        <v>168292</v>
      </c>
      <c r="AJ1239" s="81"/>
      <c r="AK1239" s="81" t="s">
        <v>10738</v>
      </c>
      <c r="AL1239" s="81" t="s">
        <v>11291</v>
      </c>
      <c r="AM1239" s="81"/>
      <c r="AN1239" s="81"/>
      <c r="AO1239" s="83">
        <v>40049.951365740744</v>
      </c>
      <c r="AP1239" s="84" t="str">
        <f>HYPERLINK("https://pbs.twimg.com/profile_banners/68533741/1557870337")</f>
        <v>https://pbs.twimg.com/profile_banners/68533741/1557870337</v>
      </c>
      <c r="AQ1239" s="81" t="b">
        <v>0</v>
      </c>
      <c r="AR1239" s="81" t="b">
        <v>0</v>
      </c>
      <c r="AS1239" s="81" t="b">
        <v>0</v>
      </c>
      <c r="AT1239" s="81"/>
      <c r="AU1239" s="81">
        <v>6</v>
      </c>
      <c r="AV1239" s="84" t="str">
        <f>HYPERLINK("https://abs.twimg.com/images/themes/theme18/bg.gif")</f>
        <v>https://abs.twimg.com/images/themes/theme18/bg.gif</v>
      </c>
      <c r="AW1239" s="81" t="b">
        <v>0</v>
      </c>
      <c r="AX1239" s="81" t="s">
        <v>3728</v>
      </c>
      <c r="AY1239" s="84" t="str">
        <f>HYPERLINK("https://twitter.com/joicereis_")</f>
        <v>https://twitter.com/joicereis_</v>
      </c>
      <c r="AZ1239" s="81" t="s">
        <v>66</v>
      </c>
      <c r="BA1239" s="2"/>
      <c r="BB1239" s="3"/>
      <c r="BC1239" s="3"/>
      <c r="BD1239" s="3"/>
      <c r="BE1239" s="3"/>
    </row>
    <row r="1240" spans="1:57" x14ac:dyDescent="0.35">
      <c r="A1240" s="66" t="s">
        <v>5161</v>
      </c>
      <c r="B1240" s="67"/>
      <c r="C1240" s="67"/>
      <c r="D1240" s="68"/>
      <c r="E1240" s="94"/>
      <c r="F1240" s="93" t="str">
        <f>HYPERLINK("https://pbs.twimg.com/profile_images/1397389277986795521/sGjypLBB_normal.jpg")</f>
        <v>https://pbs.twimg.com/profile_images/1397389277986795521/sGjypLBB_normal.jpg</v>
      </c>
      <c r="G1240" s="95"/>
      <c r="H1240" s="71"/>
      <c r="I1240" s="72"/>
      <c r="J1240" s="96"/>
      <c r="K1240" s="71" t="s">
        <v>12228</v>
      </c>
      <c r="L1240" s="97"/>
      <c r="M1240" s="76"/>
      <c r="N1240" s="76"/>
      <c r="O1240" s="77"/>
      <c r="P1240" s="78"/>
      <c r="Q1240" s="78"/>
      <c r="R1240" s="92"/>
      <c r="S1240" s="92"/>
      <c r="T1240" s="92"/>
      <c r="U1240" s="92"/>
      <c r="V1240" s="52"/>
      <c r="W1240" s="52"/>
      <c r="X1240" s="52"/>
      <c r="Y1240" s="52"/>
      <c r="Z1240" s="51"/>
      <c r="AA1240" s="73"/>
      <c r="AB1240" s="73"/>
      <c r="AC1240" s="74"/>
      <c r="AD1240" s="81" t="s">
        <v>8845</v>
      </c>
      <c r="AE1240" s="86" t="s">
        <v>9824</v>
      </c>
      <c r="AF1240" s="81">
        <v>5002</v>
      </c>
      <c r="AG1240" s="81">
        <v>2386</v>
      </c>
      <c r="AH1240" s="81">
        <v>39351</v>
      </c>
      <c r="AI1240" s="81">
        <v>49238</v>
      </c>
      <c r="AJ1240" s="81"/>
      <c r="AK1240" s="81" t="s">
        <v>10739</v>
      </c>
      <c r="AL1240" s="81"/>
      <c r="AM1240" s="81"/>
      <c r="AN1240" s="81"/>
      <c r="AO1240" s="83">
        <v>43490.041921296295</v>
      </c>
      <c r="AP1240" s="81"/>
      <c r="AQ1240" s="81" t="b">
        <v>1</v>
      </c>
      <c r="AR1240" s="81" t="b">
        <v>0</v>
      </c>
      <c r="AS1240" s="81" t="b">
        <v>0</v>
      </c>
      <c r="AT1240" s="81"/>
      <c r="AU1240" s="81">
        <v>5</v>
      </c>
      <c r="AV1240" s="81"/>
      <c r="AW1240" s="81" t="b">
        <v>0</v>
      </c>
      <c r="AX1240" s="81" t="s">
        <v>3728</v>
      </c>
      <c r="AY1240" s="84" t="str">
        <f>HYPERLINK("https://twitter.com/rafaelg64084392")</f>
        <v>https://twitter.com/rafaelg64084392</v>
      </c>
      <c r="AZ1240" s="81" t="s">
        <v>65</v>
      </c>
      <c r="BA1240" s="2"/>
      <c r="BB1240" s="3"/>
      <c r="BC1240" s="3"/>
      <c r="BD1240" s="3"/>
      <c r="BE1240" s="3"/>
    </row>
    <row r="1241" spans="1:57" x14ac:dyDescent="0.35">
      <c r="A1241" s="66" t="s">
        <v>5162</v>
      </c>
      <c r="B1241" s="67"/>
      <c r="C1241" s="67"/>
      <c r="D1241" s="68"/>
      <c r="E1241" s="94"/>
      <c r="F1241" s="93" t="str">
        <f>HYPERLINK("https://pbs.twimg.com/profile_images/1303150249150742532/T8Z3HiAR_normal.jpg")</f>
        <v>https://pbs.twimg.com/profile_images/1303150249150742532/T8Z3HiAR_normal.jpg</v>
      </c>
      <c r="G1241" s="95"/>
      <c r="H1241" s="71"/>
      <c r="I1241" s="72"/>
      <c r="J1241" s="96"/>
      <c r="K1241" s="71" t="s">
        <v>12229</v>
      </c>
      <c r="L1241" s="97"/>
      <c r="M1241" s="76"/>
      <c r="N1241" s="76"/>
      <c r="O1241" s="77"/>
      <c r="P1241" s="78"/>
      <c r="Q1241" s="78"/>
      <c r="R1241" s="92"/>
      <c r="S1241" s="92"/>
      <c r="T1241" s="92"/>
      <c r="U1241" s="92"/>
      <c r="V1241" s="52"/>
      <c r="W1241" s="52"/>
      <c r="X1241" s="52"/>
      <c r="Y1241" s="52"/>
      <c r="Z1241" s="51"/>
      <c r="AA1241" s="73"/>
      <c r="AB1241" s="73"/>
      <c r="AC1241" s="74"/>
      <c r="AD1241" s="81" t="s">
        <v>8846</v>
      </c>
      <c r="AE1241" s="86" t="s">
        <v>9825</v>
      </c>
      <c r="AF1241" s="81">
        <v>4998</v>
      </c>
      <c r="AG1241" s="81">
        <v>3321</v>
      </c>
      <c r="AH1241" s="81">
        <v>46020</v>
      </c>
      <c r="AI1241" s="81">
        <v>130516</v>
      </c>
      <c r="AJ1241" s="81"/>
      <c r="AK1241" s="81" t="s">
        <v>10740</v>
      </c>
      <c r="AL1241" s="81"/>
      <c r="AM1241" s="81"/>
      <c r="AN1241" s="81"/>
      <c r="AO1241" s="83">
        <v>40147.518136574072</v>
      </c>
      <c r="AP1241" s="84" t="str">
        <f>HYPERLINK("https://pbs.twimg.com/profile_banners/93619760/1612651184")</f>
        <v>https://pbs.twimg.com/profile_banners/93619760/1612651184</v>
      </c>
      <c r="AQ1241" s="81" t="b">
        <v>1</v>
      </c>
      <c r="AR1241" s="81" t="b">
        <v>0</v>
      </c>
      <c r="AS1241" s="81" t="b">
        <v>1</v>
      </c>
      <c r="AT1241" s="81"/>
      <c r="AU1241" s="81">
        <v>1</v>
      </c>
      <c r="AV1241" s="84" t="str">
        <f>HYPERLINK("https://abs.twimg.com/images/themes/theme1/bg.png")</f>
        <v>https://abs.twimg.com/images/themes/theme1/bg.png</v>
      </c>
      <c r="AW1241" s="81" t="b">
        <v>0</v>
      </c>
      <c r="AX1241" s="81" t="s">
        <v>3728</v>
      </c>
      <c r="AY1241" s="84" t="str">
        <f>HYPERLINK("https://twitter.com/eldacarvalhobsb")</f>
        <v>https://twitter.com/eldacarvalhobsb</v>
      </c>
      <c r="AZ1241" s="81" t="s">
        <v>65</v>
      </c>
      <c r="BA1241" s="2"/>
      <c r="BB1241" s="3"/>
      <c r="BC1241" s="3"/>
      <c r="BD1241" s="3"/>
      <c r="BE1241" s="3"/>
    </row>
    <row r="1242" spans="1:57" x14ac:dyDescent="0.35">
      <c r="A1242" s="66" t="s">
        <v>5163</v>
      </c>
      <c r="B1242" s="67"/>
      <c r="C1242" s="67"/>
      <c r="D1242" s="68"/>
      <c r="E1242" s="94"/>
      <c r="F1242" s="93" t="str">
        <f>HYPERLINK("https://pbs.twimg.com/profile_images/1269941730851332096/B_mR-PyR_normal.jpg")</f>
        <v>https://pbs.twimg.com/profile_images/1269941730851332096/B_mR-PyR_normal.jpg</v>
      </c>
      <c r="G1242" s="95"/>
      <c r="H1242" s="71"/>
      <c r="I1242" s="72"/>
      <c r="J1242" s="96"/>
      <c r="K1242" s="71" t="s">
        <v>12230</v>
      </c>
      <c r="L1242" s="97"/>
      <c r="M1242" s="76"/>
      <c r="N1242" s="76"/>
      <c r="O1242" s="77"/>
      <c r="P1242" s="78"/>
      <c r="Q1242" s="78"/>
      <c r="R1242" s="92"/>
      <c r="S1242" s="92"/>
      <c r="T1242" s="92"/>
      <c r="U1242" s="92"/>
      <c r="V1242" s="52"/>
      <c r="W1242" s="52"/>
      <c r="X1242" s="52"/>
      <c r="Y1242" s="52"/>
      <c r="Z1242" s="51"/>
      <c r="AA1242" s="73"/>
      <c r="AB1242" s="73"/>
      <c r="AC1242" s="74"/>
      <c r="AD1242" s="81" t="s">
        <v>8847</v>
      </c>
      <c r="AE1242" s="86" t="s">
        <v>9826</v>
      </c>
      <c r="AF1242" s="81">
        <v>506</v>
      </c>
      <c r="AG1242" s="81">
        <v>8005</v>
      </c>
      <c r="AH1242" s="81">
        <v>7038</v>
      </c>
      <c r="AI1242" s="81">
        <v>11726</v>
      </c>
      <c r="AJ1242" s="81"/>
      <c r="AK1242" s="81" t="s">
        <v>10741</v>
      </c>
      <c r="AL1242" s="81"/>
      <c r="AM1242" s="81"/>
      <c r="AN1242" s="81"/>
      <c r="AO1242" s="83">
        <v>43368.165972222225</v>
      </c>
      <c r="AP1242" s="84" t="str">
        <f>HYPERLINK("https://pbs.twimg.com/profile_banners/1044436079372382208/1538449823")</f>
        <v>https://pbs.twimg.com/profile_banners/1044436079372382208/1538449823</v>
      </c>
      <c r="AQ1242" s="81" t="b">
        <v>0</v>
      </c>
      <c r="AR1242" s="81" t="b">
        <v>0</v>
      </c>
      <c r="AS1242" s="81" t="b">
        <v>0</v>
      </c>
      <c r="AT1242" s="81"/>
      <c r="AU1242" s="81">
        <v>9</v>
      </c>
      <c r="AV1242" s="84" t="str">
        <f>HYPERLINK("https://abs.twimg.com/images/themes/theme1/bg.png")</f>
        <v>https://abs.twimg.com/images/themes/theme1/bg.png</v>
      </c>
      <c r="AW1242" s="81" t="b">
        <v>0</v>
      </c>
      <c r="AX1242" s="81" t="s">
        <v>3728</v>
      </c>
      <c r="AY1242" s="84" t="str">
        <f>HYPERLINK("https://twitter.com/daciolocable")</f>
        <v>https://twitter.com/daciolocable</v>
      </c>
      <c r="AZ1242" s="81" t="s">
        <v>65</v>
      </c>
      <c r="BA1242" s="2"/>
      <c r="BB1242" s="3"/>
      <c r="BC1242" s="3"/>
      <c r="BD1242" s="3"/>
      <c r="BE1242" s="3"/>
    </row>
    <row r="1243" spans="1:57" x14ac:dyDescent="0.35">
      <c r="A1243" s="66" t="s">
        <v>5164</v>
      </c>
      <c r="B1243" s="67"/>
      <c r="C1243" s="67"/>
      <c r="D1243" s="68"/>
      <c r="E1243" s="94"/>
      <c r="F1243" s="93" t="str">
        <f>HYPERLINK("https://pbs.twimg.com/profile_images/1351485231161872386/5Hl0st6M_normal.jpg")</f>
        <v>https://pbs.twimg.com/profile_images/1351485231161872386/5Hl0st6M_normal.jpg</v>
      </c>
      <c r="G1243" s="95"/>
      <c r="H1243" s="71"/>
      <c r="I1243" s="72"/>
      <c r="J1243" s="96"/>
      <c r="K1243" s="71" t="s">
        <v>12231</v>
      </c>
      <c r="L1243" s="97"/>
      <c r="M1243" s="76"/>
      <c r="N1243" s="76"/>
      <c r="O1243" s="77"/>
      <c r="P1243" s="78"/>
      <c r="Q1243" s="78"/>
      <c r="R1243" s="92"/>
      <c r="S1243" s="92"/>
      <c r="T1243" s="92"/>
      <c r="U1243" s="92"/>
      <c r="V1243" s="52"/>
      <c r="W1243" s="52"/>
      <c r="X1243" s="52"/>
      <c r="Y1243" s="52"/>
      <c r="Z1243" s="51"/>
      <c r="AA1243" s="73"/>
      <c r="AB1243" s="73"/>
      <c r="AC1243" s="74"/>
      <c r="AD1243" s="81" t="s">
        <v>8848</v>
      </c>
      <c r="AE1243" s="86" t="s">
        <v>9827</v>
      </c>
      <c r="AF1243" s="81">
        <v>234</v>
      </c>
      <c r="AG1243" s="81">
        <v>61</v>
      </c>
      <c r="AH1243" s="81">
        <v>1715</v>
      </c>
      <c r="AI1243" s="81">
        <v>581</v>
      </c>
      <c r="AJ1243" s="81"/>
      <c r="AK1243" s="81"/>
      <c r="AL1243" s="81"/>
      <c r="AM1243" s="81"/>
      <c r="AN1243" s="81"/>
      <c r="AO1243" s="83">
        <v>43571.901006944441</v>
      </c>
      <c r="AP1243" s="81"/>
      <c r="AQ1243" s="81" t="b">
        <v>1</v>
      </c>
      <c r="AR1243" s="81" t="b">
        <v>0</v>
      </c>
      <c r="AS1243" s="81" t="b">
        <v>1</v>
      </c>
      <c r="AT1243" s="81"/>
      <c r="AU1243" s="81">
        <v>0</v>
      </c>
      <c r="AV1243" s="81"/>
      <c r="AW1243" s="81" t="b">
        <v>0</v>
      </c>
      <c r="AX1243" s="81" t="s">
        <v>3728</v>
      </c>
      <c r="AY1243" s="84" t="str">
        <f>HYPERLINK("https://twitter.com/leticialopes171")</f>
        <v>https://twitter.com/leticialopes171</v>
      </c>
      <c r="AZ1243" s="81" t="s">
        <v>65</v>
      </c>
      <c r="BA1243" s="2"/>
      <c r="BB1243" s="3"/>
      <c r="BC1243" s="3"/>
      <c r="BD1243" s="3"/>
      <c r="BE1243" s="3"/>
    </row>
    <row r="1244" spans="1:57" x14ac:dyDescent="0.35">
      <c r="A1244" s="66" t="s">
        <v>5165</v>
      </c>
      <c r="B1244" s="67"/>
      <c r="C1244" s="67"/>
      <c r="D1244" s="68"/>
      <c r="E1244" s="94"/>
      <c r="F1244" s="93" t="str">
        <f>HYPERLINK("https://pbs.twimg.com/profile_images/1181558560288858112/mwN00tLE_normal.jpg")</f>
        <v>https://pbs.twimg.com/profile_images/1181558560288858112/mwN00tLE_normal.jpg</v>
      </c>
      <c r="G1244" s="95"/>
      <c r="H1244" s="71"/>
      <c r="I1244" s="72"/>
      <c r="J1244" s="96"/>
      <c r="K1244" s="71" t="s">
        <v>12232</v>
      </c>
      <c r="L1244" s="97"/>
      <c r="M1244" s="76"/>
      <c r="N1244" s="76"/>
      <c r="O1244" s="77"/>
      <c r="P1244" s="78"/>
      <c r="Q1244" s="78"/>
      <c r="R1244" s="92"/>
      <c r="S1244" s="92"/>
      <c r="T1244" s="92"/>
      <c r="U1244" s="92"/>
      <c r="V1244" s="52"/>
      <c r="W1244" s="52"/>
      <c r="X1244" s="52"/>
      <c r="Y1244" s="52"/>
      <c r="Z1244" s="51"/>
      <c r="AA1244" s="73"/>
      <c r="AB1244" s="73"/>
      <c r="AC1244" s="74"/>
      <c r="AD1244" s="81" t="s">
        <v>8849</v>
      </c>
      <c r="AE1244" s="86" t="s">
        <v>7907</v>
      </c>
      <c r="AF1244" s="81">
        <v>174</v>
      </c>
      <c r="AG1244" s="81">
        <v>2</v>
      </c>
      <c r="AH1244" s="81">
        <v>350</v>
      </c>
      <c r="AI1244" s="81">
        <v>702</v>
      </c>
      <c r="AJ1244" s="81"/>
      <c r="AK1244" s="81"/>
      <c r="AL1244" s="81"/>
      <c r="AM1244" s="81"/>
      <c r="AN1244" s="81"/>
      <c r="AO1244" s="83">
        <v>43743.905428240738</v>
      </c>
      <c r="AP1244" s="84" t="str">
        <f>HYPERLINK("https://pbs.twimg.com/profile_banners/1180599378408562688/1570540596")</f>
        <v>https://pbs.twimg.com/profile_banners/1180599378408562688/1570540596</v>
      </c>
      <c r="AQ1244" s="81" t="b">
        <v>1</v>
      </c>
      <c r="AR1244" s="81" t="b">
        <v>0</v>
      </c>
      <c r="AS1244" s="81" t="b">
        <v>0</v>
      </c>
      <c r="AT1244" s="81"/>
      <c r="AU1244" s="81">
        <v>0</v>
      </c>
      <c r="AV1244" s="81"/>
      <c r="AW1244" s="81" t="b">
        <v>0</v>
      </c>
      <c r="AX1244" s="81" t="s">
        <v>3728</v>
      </c>
      <c r="AY1244" s="84" t="str">
        <f>HYPERLINK("https://twitter.com/cludiavilardi1")</f>
        <v>https://twitter.com/cludiavilardi1</v>
      </c>
      <c r="AZ1244" s="81" t="s">
        <v>65</v>
      </c>
      <c r="BA1244" s="2"/>
      <c r="BB1244" s="3"/>
      <c r="BC1244" s="3"/>
      <c r="BD1244" s="3"/>
      <c r="BE1244" s="3"/>
    </row>
    <row r="1245" spans="1:57" x14ac:dyDescent="0.35">
      <c r="A1245" s="66" t="s">
        <v>4812</v>
      </c>
      <c r="B1245" s="67"/>
      <c r="C1245" s="67"/>
      <c r="D1245" s="68"/>
      <c r="E1245" s="94"/>
      <c r="F1245" s="93" t="str">
        <f>HYPERLINK("https://pbs.twimg.com/profile_images/1431285506646724611/i6ZhUMy5_normal.jpg")</f>
        <v>https://pbs.twimg.com/profile_images/1431285506646724611/i6ZhUMy5_normal.jpg</v>
      </c>
      <c r="G1245" s="95"/>
      <c r="H1245" s="71"/>
      <c r="I1245" s="72"/>
      <c r="J1245" s="96"/>
      <c r="K1245" s="71" t="s">
        <v>12233</v>
      </c>
      <c r="L1245" s="97"/>
      <c r="M1245" s="76"/>
      <c r="N1245" s="76"/>
      <c r="O1245" s="77"/>
      <c r="P1245" s="78"/>
      <c r="Q1245" s="78"/>
      <c r="R1245" s="92"/>
      <c r="S1245" s="92"/>
      <c r="T1245" s="92"/>
      <c r="U1245" s="92"/>
      <c r="V1245" s="52"/>
      <c r="W1245" s="52"/>
      <c r="X1245" s="52"/>
      <c r="Y1245" s="52"/>
      <c r="Z1245" s="51"/>
      <c r="AA1245" s="73"/>
      <c r="AB1245" s="73"/>
      <c r="AC1245" s="74"/>
      <c r="AD1245" s="81" t="s">
        <v>8850</v>
      </c>
      <c r="AE1245" s="86" t="s">
        <v>7908</v>
      </c>
      <c r="AF1245" s="81">
        <v>353</v>
      </c>
      <c r="AG1245" s="81">
        <v>172</v>
      </c>
      <c r="AH1245" s="81">
        <v>1792</v>
      </c>
      <c r="AI1245" s="81">
        <v>13268</v>
      </c>
      <c r="AJ1245" s="81"/>
      <c r="AK1245" s="81" t="s">
        <v>10742</v>
      </c>
      <c r="AL1245" s="81"/>
      <c r="AM1245" s="84" t="str">
        <f>HYPERLINK("https://t.co/jkQKUpWp0n")</f>
        <v>https://t.co/jkQKUpWp0n</v>
      </c>
      <c r="AN1245" s="81"/>
      <c r="AO1245" s="83">
        <v>44242.073437500003</v>
      </c>
      <c r="AP1245" s="84" t="str">
        <f>HYPERLINK("https://pbs.twimg.com/profile_banners/1361129485471518725/1616428471")</f>
        <v>https://pbs.twimg.com/profile_banners/1361129485471518725/1616428471</v>
      </c>
      <c r="AQ1245" s="81" t="b">
        <v>1</v>
      </c>
      <c r="AR1245" s="81" t="b">
        <v>0</v>
      </c>
      <c r="AS1245" s="81" t="b">
        <v>0</v>
      </c>
      <c r="AT1245" s="81"/>
      <c r="AU1245" s="81">
        <v>0</v>
      </c>
      <c r="AV1245" s="81"/>
      <c r="AW1245" s="81" t="b">
        <v>0</v>
      </c>
      <c r="AX1245" s="81" t="s">
        <v>3728</v>
      </c>
      <c r="AY1245" s="84" t="str">
        <f>HYPERLINK("https://twitter.com/codasiuri")</f>
        <v>https://twitter.com/codasiuri</v>
      </c>
      <c r="AZ1245" s="81" t="s">
        <v>66</v>
      </c>
      <c r="BA1245" s="2"/>
      <c r="BB1245" s="3"/>
      <c r="BC1245" s="3"/>
      <c r="BD1245" s="3"/>
      <c r="BE1245" s="3"/>
    </row>
    <row r="1246" spans="1:57" x14ac:dyDescent="0.35">
      <c r="A1246" s="66" t="s">
        <v>549</v>
      </c>
      <c r="B1246" s="67"/>
      <c r="C1246" s="67"/>
      <c r="D1246" s="68"/>
      <c r="E1246" s="94"/>
      <c r="F1246" s="93" t="str">
        <f>HYPERLINK("https://pbs.twimg.com/profile_images/1442888069699362824/frPfxF9k_normal.jpg")</f>
        <v>https://pbs.twimg.com/profile_images/1442888069699362824/frPfxF9k_normal.jpg</v>
      </c>
      <c r="G1246" s="95"/>
      <c r="H1246" s="71"/>
      <c r="I1246" s="72"/>
      <c r="J1246" s="96"/>
      <c r="K1246" s="71" t="s">
        <v>4120</v>
      </c>
      <c r="L1246" s="97"/>
      <c r="M1246" s="76"/>
      <c r="N1246" s="76"/>
      <c r="O1246" s="77"/>
      <c r="P1246" s="78"/>
      <c r="Q1246" s="78"/>
      <c r="R1246" s="92"/>
      <c r="S1246" s="92"/>
      <c r="T1246" s="92"/>
      <c r="U1246" s="92"/>
      <c r="V1246" s="52"/>
      <c r="W1246" s="52"/>
      <c r="X1246" s="52"/>
      <c r="Y1246" s="52"/>
      <c r="Z1246" s="51"/>
      <c r="AA1246" s="73"/>
      <c r="AB1246" s="73"/>
      <c r="AC1246" s="74"/>
      <c r="AD1246" s="81" t="s">
        <v>2632</v>
      </c>
      <c r="AE1246" s="86" t="s">
        <v>3029</v>
      </c>
      <c r="AF1246" s="81">
        <v>413</v>
      </c>
      <c r="AG1246" s="81">
        <v>6705</v>
      </c>
      <c r="AH1246" s="81">
        <v>71864</v>
      </c>
      <c r="AI1246" s="81">
        <v>474</v>
      </c>
      <c r="AJ1246" s="81"/>
      <c r="AK1246" s="81" t="s">
        <v>3457</v>
      </c>
      <c r="AL1246" s="81"/>
      <c r="AM1246" s="84" t="str">
        <f>HYPERLINK("https://t.co/mJauMEiUky")</f>
        <v>https://t.co/mJauMEiUky</v>
      </c>
      <c r="AN1246" s="81"/>
      <c r="AO1246" s="83">
        <v>40776.183425925927</v>
      </c>
      <c r="AP1246" s="84" t="str">
        <f>HYPERLINK("https://pbs.twimg.com/profile_banners/359177627/1632051563")</f>
        <v>https://pbs.twimg.com/profile_banners/359177627/1632051563</v>
      </c>
      <c r="AQ1246" s="81" t="b">
        <v>0</v>
      </c>
      <c r="AR1246" s="81" t="b">
        <v>0</v>
      </c>
      <c r="AS1246" s="81" t="b">
        <v>0</v>
      </c>
      <c r="AT1246" s="81"/>
      <c r="AU1246" s="81">
        <v>23</v>
      </c>
      <c r="AV1246" s="84" t="str">
        <f>HYPERLINK("https://abs.twimg.com/images/themes/theme14/bg.gif")</f>
        <v>https://abs.twimg.com/images/themes/theme14/bg.gif</v>
      </c>
      <c r="AW1246" s="81" t="b">
        <v>0</v>
      </c>
      <c r="AX1246" s="81" t="s">
        <v>3728</v>
      </c>
      <c r="AY1246" s="84" t="str">
        <f>HYPERLINK("https://twitter.com/tuanwidi")</f>
        <v>https://twitter.com/tuanwidi</v>
      </c>
      <c r="AZ1246" s="81" t="s">
        <v>66</v>
      </c>
      <c r="BA1246" s="2"/>
      <c r="BB1246" s="3"/>
      <c r="BC1246" s="3"/>
      <c r="BD1246" s="3"/>
      <c r="BE1246" s="3"/>
    </row>
    <row r="1247" spans="1:57" x14ac:dyDescent="0.35">
      <c r="A1247" s="66" t="s">
        <v>550</v>
      </c>
      <c r="B1247" s="67"/>
      <c r="C1247" s="67"/>
      <c r="D1247" s="68"/>
      <c r="E1247" s="94"/>
      <c r="F1247" s="93" t="str">
        <f>HYPERLINK("https://pbs.twimg.com/profile_images/1443141119374622720/xJEFsk7u_normal.jpg")</f>
        <v>https://pbs.twimg.com/profile_images/1443141119374622720/xJEFsk7u_normal.jpg</v>
      </c>
      <c r="G1247" s="95"/>
      <c r="H1247" s="71"/>
      <c r="I1247" s="72"/>
      <c r="J1247" s="96"/>
      <c r="K1247" s="71" t="s">
        <v>4121</v>
      </c>
      <c r="L1247" s="97"/>
      <c r="M1247" s="76"/>
      <c r="N1247" s="76"/>
      <c r="O1247" s="77"/>
      <c r="P1247" s="78"/>
      <c r="Q1247" s="78"/>
      <c r="R1247" s="92"/>
      <c r="S1247" s="92"/>
      <c r="T1247" s="92"/>
      <c r="U1247" s="92"/>
      <c r="V1247" s="52"/>
      <c r="W1247" s="52"/>
      <c r="X1247" s="52"/>
      <c r="Y1247" s="52"/>
      <c r="Z1247" s="51"/>
      <c r="AA1247" s="73"/>
      <c r="AB1247" s="73"/>
      <c r="AC1247" s="74"/>
      <c r="AD1247" s="81" t="s">
        <v>2633</v>
      </c>
      <c r="AE1247" s="86" t="s">
        <v>3030</v>
      </c>
      <c r="AF1247" s="81">
        <v>807</v>
      </c>
      <c r="AG1247" s="81">
        <v>4224</v>
      </c>
      <c r="AH1247" s="81">
        <v>134993</v>
      </c>
      <c r="AI1247" s="81">
        <v>1898</v>
      </c>
      <c r="AJ1247" s="81"/>
      <c r="AK1247" s="81" t="s">
        <v>3458</v>
      </c>
      <c r="AL1247" s="81" t="s">
        <v>3548</v>
      </c>
      <c r="AM1247" s="84" t="str">
        <f>HYPERLINK("https://t.co/Dnjrjcmmrg")</f>
        <v>https://t.co/Dnjrjcmmrg</v>
      </c>
      <c r="AN1247" s="81"/>
      <c r="AO1247" s="83">
        <v>40559.39435185185</v>
      </c>
      <c r="AP1247" s="84" t="str">
        <f>HYPERLINK("https://pbs.twimg.com/profile_banners/238908321/1452176959")</f>
        <v>https://pbs.twimg.com/profile_banners/238908321/1452176959</v>
      </c>
      <c r="AQ1247" s="81" t="b">
        <v>0</v>
      </c>
      <c r="AR1247" s="81" t="b">
        <v>0</v>
      </c>
      <c r="AS1247" s="81" t="b">
        <v>1</v>
      </c>
      <c r="AT1247" s="81"/>
      <c r="AU1247" s="81">
        <v>19</v>
      </c>
      <c r="AV1247" s="84" t="str">
        <f>HYPERLINK("https://abs.twimg.com/images/themes/theme1/bg.png")</f>
        <v>https://abs.twimg.com/images/themes/theme1/bg.png</v>
      </c>
      <c r="AW1247" s="81" t="b">
        <v>0</v>
      </c>
      <c r="AX1247" s="81" t="s">
        <v>3728</v>
      </c>
      <c r="AY1247" s="84" t="str">
        <f>HYPERLINK("https://twitter.com/whenscarves")</f>
        <v>https://twitter.com/whenscarves</v>
      </c>
      <c r="AZ1247" s="81" t="s">
        <v>66</v>
      </c>
      <c r="BA1247" s="2"/>
      <c r="BB1247" s="3"/>
      <c r="BC1247" s="3"/>
      <c r="BD1247" s="3"/>
      <c r="BE1247" s="3"/>
    </row>
    <row r="1248" spans="1:57" x14ac:dyDescent="0.35">
      <c r="A1248" s="66" t="s">
        <v>551</v>
      </c>
      <c r="B1248" s="67"/>
      <c r="C1248" s="67"/>
      <c r="D1248" s="68"/>
      <c r="E1248" s="94"/>
      <c r="F1248" s="93" t="str">
        <f>HYPERLINK("https://pbs.twimg.com/profile_images/1417286703199395858/JGiJoMLz_normal.jpg")</f>
        <v>https://pbs.twimg.com/profile_images/1417286703199395858/JGiJoMLz_normal.jpg</v>
      </c>
      <c r="G1248" s="95"/>
      <c r="H1248" s="71"/>
      <c r="I1248" s="72"/>
      <c r="J1248" s="96"/>
      <c r="K1248" s="71" t="s">
        <v>4122</v>
      </c>
      <c r="L1248" s="97"/>
      <c r="M1248" s="76"/>
      <c r="N1248" s="76"/>
      <c r="O1248" s="77"/>
      <c r="P1248" s="78"/>
      <c r="Q1248" s="78"/>
      <c r="R1248" s="92"/>
      <c r="S1248" s="92"/>
      <c r="T1248" s="92"/>
      <c r="U1248" s="92"/>
      <c r="V1248" s="52"/>
      <c r="W1248" s="52"/>
      <c r="X1248" s="52"/>
      <c r="Y1248" s="52"/>
      <c r="Z1248" s="51"/>
      <c r="AA1248" s="73"/>
      <c r="AB1248" s="73"/>
      <c r="AC1248" s="74"/>
      <c r="AD1248" s="81" t="s">
        <v>2634</v>
      </c>
      <c r="AE1248" s="86" t="s">
        <v>3031</v>
      </c>
      <c r="AF1248" s="81">
        <v>173</v>
      </c>
      <c r="AG1248" s="81">
        <v>4927</v>
      </c>
      <c r="AH1248" s="81">
        <v>22587</v>
      </c>
      <c r="AI1248" s="81">
        <v>1581</v>
      </c>
      <c r="AJ1248" s="81"/>
      <c r="AK1248" s="81" t="s">
        <v>3459</v>
      </c>
      <c r="AL1248" s="81" t="s">
        <v>3705</v>
      </c>
      <c r="AM1248" s="84" t="str">
        <f>HYPERLINK("https://t.co/pSiwkziD0C")</f>
        <v>https://t.co/pSiwkziD0C</v>
      </c>
      <c r="AN1248" s="81"/>
      <c r="AO1248" s="83">
        <v>40791.305208333331</v>
      </c>
      <c r="AP1248" s="84" t="str">
        <f>HYPERLINK("https://pbs.twimg.com/profile_banners/368194171/1631187323")</f>
        <v>https://pbs.twimg.com/profile_banners/368194171/1631187323</v>
      </c>
      <c r="AQ1248" s="81" t="b">
        <v>0</v>
      </c>
      <c r="AR1248" s="81" t="b">
        <v>0</v>
      </c>
      <c r="AS1248" s="81" t="b">
        <v>0</v>
      </c>
      <c r="AT1248" s="81"/>
      <c r="AU1248" s="81">
        <v>38</v>
      </c>
      <c r="AV1248" s="84" t="str">
        <f>HYPERLINK("https://abs.twimg.com/images/themes/theme17/bg.gif")</f>
        <v>https://abs.twimg.com/images/themes/theme17/bg.gif</v>
      </c>
      <c r="AW1248" s="81" t="b">
        <v>0</v>
      </c>
      <c r="AX1248" s="81" t="s">
        <v>3728</v>
      </c>
      <c r="AY1248" s="84" t="str">
        <f>HYPERLINK("https://twitter.com/jiaeffendie")</f>
        <v>https://twitter.com/jiaeffendie</v>
      </c>
      <c r="AZ1248" s="81" t="s">
        <v>66</v>
      </c>
      <c r="BA1248" s="2"/>
      <c r="BB1248" s="3"/>
      <c r="BC1248" s="3"/>
      <c r="BD1248" s="3"/>
      <c r="BE1248" s="3"/>
    </row>
    <row r="1249" spans="1:57" x14ac:dyDescent="0.35">
      <c r="A1249" s="66" t="s">
        <v>552</v>
      </c>
      <c r="B1249" s="67"/>
      <c r="C1249" s="67"/>
      <c r="D1249" s="68"/>
      <c r="E1249" s="94"/>
      <c r="F1249" s="93" t="str">
        <f>HYPERLINK("https://pbs.twimg.com/profile_images/1433077129080557569/fuNxTrKB_normal.jpg")</f>
        <v>https://pbs.twimg.com/profile_images/1433077129080557569/fuNxTrKB_normal.jpg</v>
      </c>
      <c r="G1249" s="95"/>
      <c r="H1249" s="71"/>
      <c r="I1249" s="72"/>
      <c r="J1249" s="96"/>
      <c r="K1249" s="71" t="s">
        <v>4123</v>
      </c>
      <c r="L1249" s="97"/>
      <c r="M1249" s="76"/>
      <c r="N1249" s="76"/>
      <c r="O1249" s="77"/>
      <c r="P1249" s="78"/>
      <c r="Q1249" s="78"/>
      <c r="R1249" s="92"/>
      <c r="S1249" s="92"/>
      <c r="T1249" s="92"/>
      <c r="U1249" s="92"/>
      <c r="V1249" s="52"/>
      <c r="W1249" s="52"/>
      <c r="X1249" s="52"/>
      <c r="Y1249" s="52"/>
      <c r="Z1249" s="51"/>
      <c r="AA1249" s="73"/>
      <c r="AB1249" s="73"/>
      <c r="AC1249" s="74"/>
      <c r="AD1249" s="81" t="s">
        <v>2635</v>
      </c>
      <c r="AE1249" s="86" t="s">
        <v>3032</v>
      </c>
      <c r="AF1249" s="81">
        <v>999</v>
      </c>
      <c r="AG1249" s="81">
        <v>12163</v>
      </c>
      <c r="AH1249" s="81">
        <v>264219</v>
      </c>
      <c r="AI1249" s="81">
        <v>5777</v>
      </c>
      <c r="AJ1249" s="81"/>
      <c r="AK1249" s="81" t="s">
        <v>3460</v>
      </c>
      <c r="AL1249" s="81" t="s">
        <v>3713</v>
      </c>
      <c r="AM1249" s="84" t="str">
        <f>HYPERLINK("https://t.co/7T3Q0Nh8xi")</f>
        <v>https://t.co/7T3Q0Nh8xi</v>
      </c>
      <c r="AN1249" s="81"/>
      <c r="AO1249" s="83">
        <v>40452.700740740744</v>
      </c>
      <c r="AP1249" s="84" t="str">
        <f>HYPERLINK("https://pbs.twimg.com/profile_banners/197488018/1455779749")</f>
        <v>https://pbs.twimg.com/profile_banners/197488018/1455779749</v>
      </c>
      <c r="AQ1249" s="81" t="b">
        <v>0</v>
      </c>
      <c r="AR1249" s="81" t="b">
        <v>0</v>
      </c>
      <c r="AS1249" s="81" t="b">
        <v>1</v>
      </c>
      <c r="AT1249" s="81"/>
      <c r="AU1249" s="81">
        <v>76</v>
      </c>
      <c r="AV1249" s="84" t="str">
        <f>HYPERLINK("https://abs.twimg.com/images/themes/theme1/bg.png")</f>
        <v>https://abs.twimg.com/images/themes/theme1/bg.png</v>
      </c>
      <c r="AW1249" s="81" t="b">
        <v>1</v>
      </c>
      <c r="AX1249" s="81" t="s">
        <v>3728</v>
      </c>
      <c r="AY1249" s="84" t="str">
        <f>HYPERLINK("https://twitter.com/torantula")</f>
        <v>https://twitter.com/torantula</v>
      </c>
      <c r="AZ1249" s="81" t="s">
        <v>66</v>
      </c>
      <c r="BA1249" s="2"/>
      <c r="BB1249" s="3"/>
      <c r="BC1249" s="3"/>
      <c r="BD1249" s="3"/>
      <c r="BE1249" s="3"/>
    </row>
    <row r="1250" spans="1:57" x14ac:dyDescent="0.35">
      <c r="A1250" s="66" t="s">
        <v>553</v>
      </c>
      <c r="B1250" s="67"/>
      <c r="C1250" s="67"/>
      <c r="D1250" s="68"/>
      <c r="E1250" s="94"/>
      <c r="F1250" s="93" t="str">
        <f>HYPERLINK("https://pbs.twimg.com/profile_images/1437953686609612806/i0WGmfAB_normal.jpg")</f>
        <v>https://pbs.twimg.com/profile_images/1437953686609612806/i0WGmfAB_normal.jpg</v>
      </c>
      <c r="G1250" s="95"/>
      <c r="H1250" s="71"/>
      <c r="I1250" s="72"/>
      <c r="J1250" s="96"/>
      <c r="K1250" s="71" t="s">
        <v>4124</v>
      </c>
      <c r="L1250" s="97"/>
      <c r="M1250" s="76"/>
      <c r="N1250" s="76"/>
      <c r="O1250" s="77"/>
      <c r="P1250" s="78"/>
      <c r="Q1250" s="78"/>
      <c r="R1250" s="92"/>
      <c r="S1250" s="92"/>
      <c r="T1250" s="92"/>
      <c r="U1250" s="92"/>
      <c r="V1250" s="52"/>
      <c r="W1250" s="52"/>
      <c r="X1250" s="52"/>
      <c r="Y1250" s="52"/>
      <c r="Z1250" s="51"/>
      <c r="AA1250" s="73"/>
      <c r="AB1250" s="73"/>
      <c r="AC1250" s="74"/>
      <c r="AD1250" s="81" t="s">
        <v>2636</v>
      </c>
      <c r="AE1250" s="86" t="s">
        <v>3033</v>
      </c>
      <c r="AF1250" s="81">
        <v>1231</v>
      </c>
      <c r="AG1250" s="81">
        <v>64196</v>
      </c>
      <c r="AH1250" s="81">
        <v>354140</v>
      </c>
      <c r="AI1250" s="81">
        <v>1031</v>
      </c>
      <c r="AJ1250" s="81"/>
      <c r="AK1250" s="81" t="s">
        <v>3461</v>
      </c>
      <c r="AL1250" s="81" t="s">
        <v>3714</v>
      </c>
      <c r="AM1250" s="81"/>
      <c r="AN1250" s="81"/>
      <c r="AO1250" s="83">
        <v>40556.074374999997</v>
      </c>
      <c r="AP1250" s="84" t="str">
        <f>HYPERLINK("https://pbs.twimg.com/profile_banners/237530329/1632050316")</f>
        <v>https://pbs.twimg.com/profile_banners/237530329/1632050316</v>
      </c>
      <c r="AQ1250" s="81" t="b">
        <v>0</v>
      </c>
      <c r="AR1250" s="81" t="b">
        <v>0</v>
      </c>
      <c r="AS1250" s="81" t="b">
        <v>1</v>
      </c>
      <c r="AT1250" s="81"/>
      <c r="AU1250" s="81">
        <v>118</v>
      </c>
      <c r="AV1250" s="84" t="str">
        <f>HYPERLINK("https://abs.twimg.com/images/themes/theme1/bg.png")</f>
        <v>https://abs.twimg.com/images/themes/theme1/bg.png</v>
      </c>
      <c r="AW1250" s="81" t="b">
        <v>0</v>
      </c>
      <c r="AX1250" s="81" t="s">
        <v>3728</v>
      </c>
      <c r="AY1250" s="84" t="str">
        <f>HYPERLINK("https://twitter.com/funjunkies")</f>
        <v>https://twitter.com/funjunkies</v>
      </c>
      <c r="AZ1250" s="81" t="s">
        <v>66</v>
      </c>
      <c r="BA1250" s="2"/>
      <c r="BB1250" s="3"/>
      <c r="BC1250" s="3"/>
      <c r="BD1250" s="3"/>
      <c r="BE1250" s="3"/>
    </row>
    <row r="1251" spans="1:57" x14ac:dyDescent="0.35">
      <c r="A1251" s="66" t="s">
        <v>4813</v>
      </c>
      <c r="B1251" s="67"/>
      <c r="C1251" s="67"/>
      <c r="D1251" s="68"/>
      <c r="E1251" s="94"/>
      <c r="F1251" s="93" t="str">
        <f>HYPERLINK("https://pbs.twimg.com/profile_images/1399037569829060610/HJ_SAGM7_normal.jpg")</f>
        <v>https://pbs.twimg.com/profile_images/1399037569829060610/HJ_SAGM7_normal.jpg</v>
      </c>
      <c r="G1251" s="95"/>
      <c r="H1251" s="71"/>
      <c r="I1251" s="72"/>
      <c r="J1251" s="96"/>
      <c r="K1251" s="71" t="s">
        <v>12234</v>
      </c>
      <c r="L1251" s="97"/>
      <c r="M1251" s="76"/>
      <c r="N1251" s="76"/>
      <c r="O1251" s="77"/>
      <c r="P1251" s="78"/>
      <c r="Q1251" s="78"/>
      <c r="R1251" s="92"/>
      <c r="S1251" s="92"/>
      <c r="T1251" s="92"/>
      <c r="U1251" s="92"/>
      <c r="V1251" s="52"/>
      <c r="W1251" s="52"/>
      <c r="X1251" s="52"/>
      <c r="Y1251" s="52"/>
      <c r="Z1251" s="51"/>
      <c r="AA1251" s="73"/>
      <c r="AB1251" s="73"/>
      <c r="AC1251" s="74"/>
      <c r="AD1251" s="81" t="s">
        <v>8851</v>
      </c>
      <c r="AE1251" s="86" t="s">
        <v>9828</v>
      </c>
      <c r="AF1251" s="81">
        <v>645</v>
      </c>
      <c r="AG1251" s="81">
        <v>497</v>
      </c>
      <c r="AH1251" s="81">
        <v>20926</v>
      </c>
      <c r="AI1251" s="81">
        <v>25473</v>
      </c>
      <c r="AJ1251" s="81"/>
      <c r="AK1251" s="81" t="s">
        <v>10743</v>
      </c>
      <c r="AL1251" s="81" t="s">
        <v>11292</v>
      </c>
      <c r="AM1251" s="81"/>
      <c r="AN1251" s="81"/>
      <c r="AO1251" s="83">
        <v>40695.875659722224</v>
      </c>
      <c r="AP1251" s="84" t="str">
        <f>HYPERLINK("https://pbs.twimg.com/profile_banners/309286569/1558285514")</f>
        <v>https://pbs.twimg.com/profile_banners/309286569/1558285514</v>
      </c>
      <c r="AQ1251" s="81" t="b">
        <v>1</v>
      </c>
      <c r="AR1251" s="81" t="b">
        <v>0</v>
      </c>
      <c r="AS1251" s="81" t="b">
        <v>1</v>
      </c>
      <c r="AT1251" s="81"/>
      <c r="AU1251" s="81">
        <v>1</v>
      </c>
      <c r="AV1251" s="84" t="str">
        <f>HYPERLINK("https://abs.twimg.com/images/themes/theme1/bg.png")</f>
        <v>https://abs.twimg.com/images/themes/theme1/bg.png</v>
      </c>
      <c r="AW1251" s="81" t="b">
        <v>0</v>
      </c>
      <c r="AX1251" s="81" t="s">
        <v>3728</v>
      </c>
      <c r="AY1251" s="84" t="str">
        <f>HYPERLINK("https://twitter.com/aftaminas")</f>
        <v>https://twitter.com/aftaminas</v>
      </c>
      <c r="AZ1251" s="81" t="s">
        <v>66</v>
      </c>
      <c r="BA1251" s="2"/>
      <c r="BB1251" s="3"/>
      <c r="BC1251" s="3"/>
      <c r="BD1251" s="3"/>
      <c r="BE1251" s="3"/>
    </row>
    <row r="1252" spans="1:57" x14ac:dyDescent="0.35">
      <c r="A1252" s="66" t="s">
        <v>4841</v>
      </c>
      <c r="B1252" s="67"/>
      <c r="C1252" s="67"/>
      <c r="D1252" s="68"/>
      <c r="E1252" s="94"/>
      <c r="F1252" s="93" t="str">
        <f>HYPERLINK("https://pbs.twimg.com/profile_images/1442576970806702083/UFjpoybx_normal.jpg")</f>
        <v>https://pbs.twimg.com/profile_images/1442576970806702083/UFjpoybx_normal.jpg</v>
      </c>
      <c r="G1252" s="95"/>
      <c r="H1252" s="71"/>
      <c r="I1252" s="72"/>
      <c r="J1252" s="96"/>
      <c r="K1252" s="71" t="s">
        <v>12235</v>
      </c>
      <c r="L1252" s="97"/>
      <c r="M1252" s="76"/>
      <c r="N1252" s="76"/>
      <c r="O1252" s="77"/>
      <c r="P1252" s="78"/>
      <c r="Q1252" s="78"/>
      <c r="R1252" s="92"/>
      <c r="S1252" s="92"/>
      <c r="T1252" s="92"/>
      <c r="U1252" s="92"/>
      <c r="V1252" s="52"/>
      <c r="W1252" s="52"/>
      <c r="X1252" s="52"/>
      <c r="Y1252" s="52"/>
      <c r="Z1252" s="51"/>
      <c r="AA1252" s="73"/>
      <c r="AB1252" s="73"/>
      <c r="AC1252" s="74"/>
      <c r="AD1252" s="81" t="s">
        <v>8852</v>
      </c>
      <c r="AE1252" s="86" t="s">
        <v>9829</v>
      </c>
      <c r="AF1252" s="81">
        <v>80</v>
      </c>
      <c r="AG1252" s="81">
        <v>433</v>
      </c>
      <c r="AH1252" s="81">
        <v>1513</v>
      </c>
      <c r="AI1252" s="81">
        <v>2272</v>
      </c>
      <c r="AJ1252" s="81"/>
      <c r="AK1252" s="81" t="s">
        <v>10744</v>
      </c>
      <c r="AL1252" s="81" t="s">
        <v>11293</v>
      </c>
      <c r="AM1252" s="84" t="str">
        <f>HYPERLINK("https://t.co/4PSZdCn3oe")</f>
        <v>https://t.co/4PSZdCn3oe</v>
      </c>
      <c r="AN1252" s="81"/>
      <c r="AO1252" s="83">
        <v>43854.676932870374</v>
      </c>
      <c r="AP1252" s="84" t="str">
        <f>HYPERLINK("https://pbs.twimg.com/profile_banners/1220741249117847552/1627999798")</f>
        <v>https://pbs.twimg.com/profile_banners/1220741249117847552/1627999798</v>
      </c>
      <c r="AQ1252" s="81" t="b">
        <v>1</v>
      </c>
      <c r="AR1252" s="81" t="b">
        <v>0</v>
      </c>
      <c r="AS1252" s="81" t="b">
        <v>1</v>
      </c>
      <c r="AT1252" s="81"/>
      <c r="AU1252" s="81">
        <v>4</v>
      </c>
      <c r="AV1252" s="81"/>
      <c r="AW1252" s="81" t="b">
        <v>0</v>
      </c>
      <c r="AX1252" s="81" t="s">
        <v>3728</v>
      </c>
      <c r="AY1252" s="84" t="str">
        <f>HYPERLINK("https://twitter.com/coimbraliberal")</f>
        <v>https://twitter.com/coimbraliberal</v>
      </c>
      <c r="AZ1252" s="81" t="s">
        <v>66</v>
      </c>
      <c r="BA1252" s="2"/>
      <c r="BB1252" s="3"/>
      <c r="BC1252" s="3"/>
      <c r="BD1252" s="3"/>
      <c r="BE1252" s="3"/>
    </row>
    <row r="1253" spans="1:57" x14ac:dyDescent="0.35">
      <c r="A1253" s="66" t="s">
        <v>4814</v>
      </c>
      <c r="B1253" s="67"/>
      <c r="C1253" s="67"/>
      <c r="D1253" s="68"/>
      <c r="E1253" s="94"/>
      <c r="F1253" s="93" t="str">
        <f>HYPERLINK("https://pbs.twimg.com/profile_images/1438551671492202496/o-7eDB2I_normal.jpg")</f>
        <v>https://pbs.twimg.com/profile_images/1438551671492202496/o-7eDB2I_normal.jpg</v>
      </c>
      <c r="G1253" s="95"/>
      <c r="H1253" s="71"/>
      <c r="I1253" s="72"/>
      <c r="J1253" s="96"/>
      <c r="K1253" s="71" t="s">
        <v>12236</v>
      </c>
      <c r="L1253" s="97"/>
      <c r="M1253" s="76"/>
      <c r="N1253" s="76"/>
      <c r="O1253" s="77"/>
      <c r="P1253" s="78"/>
      <c r="Q1253" s="78"/>
      <c r="R1253" s="92"/>
      <c r="S1253" s="92"/>
      <c r="T1253" s="92"/>
      <c r="U1253" s="92"/>
      <c r="V1253" s="52"/>
      <c r="W1253" s="52"/>
      <c r="X1253" s="52"/>
      <c r="Y1253" s="52"/>
      <c r="Z1253" s="51"/>
      <c r="AA1253" s="73"/>
      <c r="AB1253" s="73"/>
      <c r="AC1253" s="74"/>
      <c r="AD1253" s="81" t="s">
        <v>8853</v>
      </c>
      <c r="AE1253" s="86" t="s">
        <v>9830</v>
      </c>
      <c r="AF1253" s="81">
        <v>903</v>
      </c>
      <c r="AG1253" s="81">
        <v>991</v>
      </c>
      <c r="AH1253" s="81">
        <v>49927</v>
      </c>
      <c r="AI1253" s="81">
        <v>34285</v>
      </c>
      <c r="AJ1253" s="81"/>
      <c r="AK1253" s="81" t="s">
        <v>2242</v>
      </c>
      <c r="AL1253" s="81" t="s">
        <v>10970</v>
      </c>
      <c r="AM1253" s="81"/>
      <c r="AN1253" s="81"/>
      <c r="AO1253" s="83">
        <v>43940.572905092595</v>
      </c>
      <c r="AP1253" s="81"/>
      <c r="AQ1253" s="81" t="b">
        <v>1</v>
      </c>
      <c r="AR1253" s="81" t="b">
        <v>0</v>
      </c>
      <c r="AS1253" s="81" t="b">
        <v>0</v>
      </c>
      <c r="AT1253" s="81"/>
      <c r="AU1253" s="81">
        <v>1</v>
      </c>
      <c r="AV1253" s="81"/>
      <c r="AW1253" s="81" t="b">
        <v>0</v>
      </c>
      <c r="AX1253" s="81" t="s">
        <v>3728</v>
      </c>
      <c r="AY1253" s="84" t="str">
        <f>HYPERLINK("https://twitter.com/abell417")</f>
        <v>https://twitter.com/abell417</v>
      </c>
      <c r="AZ1253" s="81" t="s">
        <v>66</v>
      </c>
      <c r="BA1253" s="2"/>
      <c r="BB1253" s="3"/>
      <c r="BC1253" s="3"/>
      <c r="BD1253" s="3"/>
      <c r="BE1253" s="3"/>
    </row>
    <row r="1254" spans="1:57" x14ac:dyDescent="0.35">
      <c r="A1254" s="66" t="s">
        <v>554</v>
      </c>
      <c r="B1254" s="67"/>
      <c r="C1254" s="67"/>
      <c r="D1254" s="68"/>
      <c r="E1254" s="94"/>
      <c r="F1254" s="93" t="str">
        <f>HYPERLINK("https://pbs.twimg.com/profile_images/1434161726795116547/ZGm-lc9C_normal.jpg")</f>
        <v>https://pbs.twimg.com/profile_images/1434161726795116547/ZGm-lc9C_normal.jpg</v>
      </c>
      <c r="G1254" s="95"/>
      <c r="H1254" s="71"/>
      <c r="I1254" s="72"/>
      <c r="J1254" s="96"/>
      <c r="K1254" s="71" t="s">
        <v>4125</v>
      </c>
      <c r="L1254" s="97"/>
      <c r="M1254" s="76"/>
      <c r="N1254" s="76"/>
      <c r="O1254" s="77"/>
      <c r="P1254" s="78"/>
      <c r="Q1254" s="78"/>
      <c r="R1254" s="92"/>
      <c r="S1254" s="92"/>
      <c r="T1254" s="92"/>
      <c r="U1254" s="92"/>
      <c r="V1254" s="52"/>
      <c r="W1254" s="52"/>
      <c r="X1254" s="52"/>
      <c r="Y1254" s="52"/>
      <c r="Z1254" s="51"/>
      <c r="AA1254" s="73"/>
      <c r="AB1254" s="73"/>
      <c r="AC1254" s="74"/>
      <c r="AD1254" s="81" t="s">
        <v>2637</v>
      </c>
      <c r="AE1254" s="86" t="s">
        <v>3034</v>
      </c>
      <c r="AF1254" s="81">
        <v>699</v>
      </c>
      <c r="AG1254" s="81">
        <v>506</v>
      </c>
      <c r="AH1254" s="81">
        <v>27162</v>
      </c>
      <c r="AI1254" s="81">
        <v>1900</v>
      </c>
      <c r="AJ1254" s="81"/>
      <c r="AK1254" s="81" t="s">
        <v>3462</v>
      </c>
      <c r="AL1254" s="81" t="s">
        <v>3715</v>
      </c>
      <c r="AM1254" s="81"/>
      <c r="AN1254" s="81"/>
      <c r="AO1254" s="83">
        <v>40285.119062500002</v>
      </c>
      <c r="AP1254" s="84" t="str">
        <f>HYPERLINK("https://pbs.twimg.com/profile_banners/133957073/1483380306")</f>
        <v>https://pbs.twimg.com/profile_banners/133957073/1483380306</v>
      </c>
      <c r="AQ1254" s="81" t="b">
        <v>0</v>
      </c>
      <c r="AR1254" s="81" t="b">
        <v>0</v>
      </c>
      <c r="AS1254" s="81" t="b">
        <v>1</v>
      </c>
      <c r="AT1254" s="81"/>
      <c r="AU1254" s="81">
        <v>6</v>
      </c>
      <c r="AV1254" s="84" t="str">
        <f>HYPERLINK("https://abs.twimg.com/images/themes/theme5/bg.gif")</f>
        <v>https://abs.twimg.com/images/themes/theme5/bg.gif</v>
      </c>
      <c r="AW1254" s="81" t="b">
        <v>0</v>
      </c>
      <c r="AX1254" s="81" t="s">
        <v>3728</v>
      </c>
      <c r="AY1254" s="84" t="str">
        <f>HYPERLINK("https://twitter.com/dipurwantto")</f>
        <v>https://twitter.com/dipurwantto</v>
      </c>
      <c r="AZ1254" s="81" t="s">
        <v>66</v>
      </c>
      <c r="BA1254" s="2"/>
      <c r="BB1254" s="3"/>
      <c r="BC1254" s="3"/>
      <c r="BD1254" s="3"/>
      <c r="BE1254" s="3"/>
    </row>
    <row r="1255" spans="1:57" x14ac:dyDescent="0.35">
      <c r="A1255" s="66" t="s">
        <v>580</v>
      </c>
      <c r="B1255" s="67"/>
      <c r="C1255" s="67"/>
      <c r="D1255" s="68"/>
      <c r="E1255" s="94"/>
      <c r="F1255" s="93" t="str">
        <f>HYPERLINK("https://pbs.twimg.com/profile_images/1240484448593838082/MeLHHW97_normal.jpg")</f>
        <v>https://pbs.twimg.com/profile_images/1240484448593838082/MeLHHW97_normal.jpg</v>
      </c>
      <c r="G1255" s="95"/>
      <c r="H1255" s="71"/>
      <c r="I1255" s="72"/>
      <c r="J1255" s="96"/>
      <c r="K1255" s="71" t="s">
        <v>4126</v>
      </c>
      <c r="L1255" s="97"/>
      <c r="M1255" s="76"/>
      <c r="N1255" s="76"/>
      <c r="O1255" s="77"/>
      <c r="P1255" s="78"/>
      <c r="Q1255" s="78"/>
      <c r="R1255" s="92"/>
      <c r="S1255" s="92"/>
      <c r="T1255" s="92"/>
      <c r="U1255" s="92"/>
      <c r="V1255" s="52"/>
      <c r="W1255" s="52"/>
      <c r="X1255" s="52"/>
      <c r="Y1255" s="52"/>
      <c r="Z1255" s="51"/>
      <c r="AA1255" s="73"/>
      <c r="AB1255" s="73"/>
      <c r="AC1255" s="74"/>
      <c r="AD1255" s="81" t="s">
        <v>2638</v>
      </c>
      <c r="AE1255" s="86" t="s">
        <v>3035</v>
      </c>
      <c r="AF1255" s="81">
        <v>271</v>
      </c>
      <c r="AG1255" s="81">
        <v>865</v>
      </c>
      <c r="AH1255" s="81">
        <v>2199</v>
      </c>
      <c r="AI1255" s="81">
        <v>2699</v>
      </c>
      <c r="AJ1255" s="81"/>
      <c r="AK1255" s="81" t="s">
        <v>3463</v>
      </c>
      <c r="AL1255" s="81" t="s">
        <v>3716</v>
      </c>
      <c r="AM1255" s="81"/>
      <c r="AN1255" s="81"/>
      <c r="AO1255" s="83">
        <v>43139.075497685182</v>
      </c>
      <c r="AP1255" s="84" t="str">
        <f>HYPERLINK("https://pbs.twimg.com/profile_banners/961416468763037696/1630897129")</f>
        <v>https://pbs.twimg.com/profile_banners/961416468763037696/1630897129</v>
      </c>
      <c r="AQ1255" s="81" t="b">
        <v>1</v>
      </c>
      <c r="AR1255" s="81" t="b">
        <v>0</v>
      </c>
      <c r="AS1255" s="81" t="b">
        <v>0</v>
      </c>
      <c r="AT1255" s="81"/>
      <c r="AU1255" s="81">
        <v>2</v>
      </c>
      <c r="AV1255" s="81"/>
      <c r="AW1255" s="81" t="b">
        <v>0</v>
      </c>
      <c r="AX1255" s="81" t="s">
        <v>3728</v>
      </c>
      <c r="AY1255" s="84" t="str">
        <f>HYPERLINK("https://twitter.com/pmi_kabsemarang")</f>
        <v>https://twitter.com/pmi_kabsemarang</v>
      </c>
      <c r="AZ1255" s="81" t="s">
        <v>66</v>
      </c>
      <c r="BA1255" s="2"/>
      <c r="BB1255" s="3"/>
      <c r="BC1255" s="3"/>
      <c r="BD1255" s="3"/>
      <c r="BE1255" s="3"/>
    </row>
    <row r="1256" spans="1:57" x14ac:dyDescent="0.35">
      <c r="A1256" s="66" t="s">
        <v>581</v>
      </c>
      <c r="B1256" s="67"/>
      <c r="C1256" s="67"/>
      <c r="D1256" s="68"/>
      <c r="E1256" s="94"/>
      <c r="F1256" s="93" t="str">
        <f>HYPERLINK("https://pbs.twimg.com/profile_images/1204066861391863808/-RGmTZIn_normal.jpg")</f>
        <v>https://pbs.twimg.com/profile_images/1204066861391863808/-RGmTZIn_normal.jpg</v>
      </c>
      <c r="G1256" s="95"/>
      <c r="H1256" s="71"/>
      <c r="I1256" s="72"/>
      <c r="J1256" s="96"/>
      <c r="K1256" s="71" t="s">
        <v>4127</v>
      </c>
      <c r="L1256" s="97"/>
      <c r="M1256" s="76"/>
      <c r="N1256" s="76"/>
      <c r="O1256" s="77"/>
      <c r="P1256" s="78"/>
      <c r="Q1256" s="78"/>
      <c r="R1256" s="92"/>
      <c r="S1256" s="92"/>
      <c r="T1256" s="92"/>
      <c r="U1256" s="92"/>
      <c r="V1256" s="52"/>
      <c r="W1256" s="52"/>
      <c r="X1256" s="52"/>
      <c r="Y1256" s="52"/>
      <c r="Z1256" s="51"/>
      <c r="AA1256" s="73"/>
      <c r="AB1256" s="73"/>
      <c r="AC1256" s="74"/>
      <c r="AD1256" s="81" t="s">
        <v>2639</v>
      </c>
      <c r="AE1256" s="86" t="s">
        <v>3036</v>
      </c>
      <c r="AF1256" s="81">
        <v>174</v>
      </c>
      <c r="AG1256" s="81">
        <v>173757</v>
      </c>
      <c r="AH1256" s="81">
        <v>181256</v>
      </c>
      <c r="AI1256" s="81">
        <v>109</v>
      </c>
      <c r="AJ1256" s="81"/>
      <c r="AK1256" s="81" t="s">
        <v>3464</v>
      </c>
      <c r="AL1256" s="81" t="s">
        <v>2202</v>
      </c>
      <c r="AM1256" s="84" t="str">
        <f>HYPERLINK("https://t.co/IFlEoBRqqK")</f>
        <v>https://t.co/IFlEoBRqqK</v>
      </c>
      <c r="AN1256" s="81"/>
      <c r="AO1256" s="83">
        <v>40256.577835648146</v>
      </c>
      <c r="AP1256" s="84" t="str">
        <f>HYPERLINK("https://pbs.twimg.com/profile_banners/124466389/1597164371")</f>
        <v>https://pbs.twimg.com/profile_banners/124466389/1597164371</v>
      </c>
      <c r="AQ1256" s="81" t="b">
        <v>0</v>
      </c>
      <c r="AR1256" s="81" t="b">
        <v>0</v>
      </c>
      <c r="AS1256" s="81" t="b">
        <v>0</v>
      </c>
      <c r="AT1256" s="81"/>
      <c r="AU1256" s="81">
        <v>195</v>
      </c>
      <c r="AV1256" s="84" t="str">
        <f>HYPERLINK("https://abs.twimg.com/images/themes/theme17/bg.gif")</f>
        <v>https://abs.twimg.com/images/themes/theme17/bg.gif</v>
      </c>
      <c r="AW1256" s="81" t="b">
        <v>0</v>
      </c>
      <c r="AX1256" s="81" t="s">
        <v>3728</v>
      </c>
      <c r="AY1256" s="84" t="str">
        <f>HYPERLINK("https://twitter.com/blood4lifeid")</f>
        <v>https://twitter.com/blood4lifeid</v>
      </c>
      <c r="AZ1256" s="81" t="s">
        <v>66</v>
      </c>
      <c r="BA1256" s="2"/>
      <c r="BB1256" s="3"/>
      <c r="BC1256" s="3"/>
      <c r="BD1256" s="3"/>
      <c r="BE1256" s="3"/>
    </row>
    <row r="1257" spans="1:57" x14ac:dyDescent="0.35">
      <c r="A1257" s="66" t="s">
        <v>555</v>
      </c>
      <c r="B1257" s="67"/>
      <c r="C1257" s="67"/>
      <c r="D1257" s="68"/>
      <c r="E1257" s="94"/>
      <c r="F1257" s="93" t="str">
        <f>HYPERLINK("https://pbs.twimg.com/profile_images/1350424337124188160/EPv9b8Jd_normal.jpg")</f>
        <v>https://pbs.twimg.com/profile_images/1350424337124188160/EPv9b8Jd_normal.jpg</v>
      </c>
      <c r="G1257" s="95"/>
      <c r="H1257" s="71"/>
      <c r="I1257" s="72"/>
      <c r="J1257" s="96"/>
      <c r="K1257" s="71" t="s">
        <v>4128</v>
      </c>
      <c r="L1257" s="97"/>
      <c r="M1257" s="76"/>
      <c r="N1257" s="76"/>
      <c r="O1257" s="77"/>
      <c r="P1257" s="78"/>
      <c r="Q1257" s="78"/>
      <c r="R1257" s="92"/>
      <c r="S1257" s="92"/>
      <c r="T1257" s="92"/>
      <c r="U1257" s="92"/>
      <c r="V1257" s="52"/>
      <c r="W1257" s="52"/>
      <c r="X1257" s="52"/>
      <c r="Y1257" s="52"/>
      <c r="Z1257" s="51"/>
      <c r="AA1257" s="73"/>
      <c r="AB1257" s="73"/>
      <c r="AC1257" s="74"/>
      <c r="AD1257" s="81" t="s">
        <v>2640</v>
      </c>
      <c r="AE1257" s="86" t="s">
        <v>3037</v>
      </c>
      <c r="AF1257" s="81">
        <v>164</v>
      </c>
      <c r="AG1257" s="81">
        <v>103</v>
      </c>
      <c r="AH1257" s="81">
        <v>10517</v>
      </c>
      <c r="AI1257" s="81">
        <v>1284</v>
      </c>
      <c r="AJ1257" s="81"/>
      <c r="AK1257" s="81">
        <v>2021</v>
      </c>
      <c r="AL1257" s="81"/>
      <c r="AM1257" s="81"/>
      <c r="AN1257" s="81"/>
      <c r="AO1257" s="83">
        <v>41729.160370370373</v>
      </c>
      <c r="AP1257" s="84" t="str">
        <f>HYPERLINK("https://pbs.twimg.com/profile_banners/2419940252/1546349966")</f>
        <v>https://pbs.twimg.com/profile_banners/2419940252/1546349966</v>
      </c>
      <c r="AQ1257" s="81" t="b">
        <v>0</v>
      </c>
      <c r="AR1257" s="81" t="b">
        <v>0</v>
      </c>
      <c r="AS1257" s="81" t="b">
        <v>0</v>
      </c>
      <c r="AT1257" s="81"/>
      <c r="AU1257" s="81">
        <v>0</v>
      </c>
      <c r="AV1257" s="84" t="str">
        <f>HYPERLINK("https://abs.twimg.com/images/themes/theme9/bg.gif")</f>
        <v>https://abs.twimg.com/images/themes/theme9/bg.gif</v>
      </c>
      <c r="AW1257" s="81" t="b">
        <v>0</v>
      </c>
      <c r="AX1257" s="81" t="s">
        <v>3728</v>
      </c>
      <c r="AY1257" s="84" t="str">
        <f>HYPERLINK("https://twitter.com/dw19kur")</f>
        <v>https://twitter.com/dw19kur</v>
      </c>
      <c r="AZ1257" s="81" t="s">
        <v>66</v>
      </c>
      <c r="BA1257" s="2"/>
      <c r="BB1257" s="3"/>
      <c r="BC1257" s="3"/>
      <c r="BD1257" s="3"/>
      <c r="BE1257" s="3"/>
    </row>
    <row r="1258" spans="1:57" x14ac:dyDescent="0.35">
      <c r="A1258" s="66" t="s">
        <v>556</v>
      </c>
      <c r="B1258" s="67"/>
      <c r="C1258" s="67"/>
      <c r="D1258" s="68"/>
      <c r="E1258" s="94"/>
      <c r="F1258" s="93" t="str">
        <f>HYPERLINK("https://pbs.twimg.com/profile_images/1383682987229794312/PA1pHn2N_normal.jpg")</f>
        <v>https://pbs.twimg.com/profile_images/1383682987229794312/PA1pHn2N_normal.jpg</v>
      </c>
      <c r="G1258" s="95"/>
      <c r="H1258" s="71"/>
      <c r="I1258" s="72"/>
      <c r="J1258" s="96"/>
      <c r="K1258" s="71" t="s">
        <v>4129</v>
      </c>
      <c r="L1258" s="97"/>
      <c r="M1258" s="76"/>
      <c r="N1258" s="76"/>
      <c r="O1258" s="77"/>
      <c r="P1258" s="78"/>
      <c r="Q1258" s="78"/>
      <c r="R1258" s="92"/>
      <c r="S1258" s="92"/>
      <c r="T1258" s="92"/>
      <c r="U1258" s="92"/>
      <c r="V1258" s="52"/>
      <c r="W1258" s="52"/>
      <c r="X1258" s="52"/>
      <c r="Y1258" s="52"/>
      <c r="Z1258" s="51"/>
      <c r="AA1258" s="73"/>
      <c r="AB1258" s="73"/>
      <c r="AC1258" s="74"/>
      <c r="AD1258" s="81" t="s">
        <v>2641</v>
      </c>
      <c r="AE1258" s="86" t="s">
        <v>3038</v>
      </c>
      <c r="AF1258" s="81">
        <v>341</v>
      </c>
      <c r="AG1258" s="81">
        <v>316</v>
      </c>
      <c r="AH1258" s="81">
        <v>22187</v>
      </c>
      <c r="AI1258" s="81">
        <v>549</v>
      </c>
      <c r="AJ1258" s="81"/>
      <c r="AK1258" s="81" t="s">
        <v>3465</v>
      </c>
      <c r="AL1258" s="81"/>
      <c r="AM1258" s="84" t="str">
        <f>HYPERLINK("https://t.co/lhhkmuqJmV")</f>
        <v>https://t.co/lhhkmuqJmV</v>
      </c>
      <c r="AN1258" s="81"/>
      <c r="AO1258" s="83">
        <v>40816.59207175926</v>
      </c>
      <c r="AP1258" s="84" t="str">
        <f>HYPERLINK("https://pbs.twimg.com/profile_banners/382681603/1588066014")</f>
        <v>https://pbs.twimg.com/profile_banners/382681603/1588066014</v>
      </c>
      <c r="AQ1258" s="81" t="b">
        <v>0</v>
      </c>
      <c r="AR1258" s="81" t="b">
        <v>0</v>
      </c>
      <c r="AS1258" s="81" t="b">
        <v>1</v>
      </c>
      <c r="AT1258" s="81"/>
      <c r="AU1258" s="81">
        <v>1</v>
      </c>
      <c r="AV1258" s="84" t="str">
        <f>HYPERLINK("https://abs.twimg.com/images/themes/theme6/bg.gif")</f>
        <v>https://abs.twimg.com/images/themes/theme6/bg.gif</v>
      </c>
      <c r="AW1258" s="81" t="b">
        <v>0</v>
      </c>
      <c r="AX1258" s="81" t="s">
        <v>3728</v>
      </c>
      <c r="AY1258" s="84" t="str">
        <f>HYPERLINK("https://twitter.com/anisprasety")</f>
        <v>https://twitter.com/anisprasety</v>
      </c>
      <c r="AZ1258" s="81" t="s">
        <v>66</v>
      </c>
      <c r="BA1258" s="2"/>
      <c r="BB1258" s="3"/>
      <c r="BC1258" s="3"/>
      <c r="BD1258" s="3"/>
      <c r="BE1258" s="3"/>
    </row>
    <row r="1259" spans="1:57" x14ac:dyDescent="0.35">
      <c r="A1259" s="66" t="s">
        <v>557</v>
      </c>
      <c r="B1259" s="67"/>
      <c r="C1259" s="67"/>
      <c r="D1259" s="68"/>
      <c r="E1259" s="94"/>
      <c r="F1259" s="93" t="str">
        <f>HYPERLINK("https://pbs.twimg.com/profile_images/1359828572676923398/D6Eo-GNZ_normal.jpg")</f>
        <v>https://pbs.twimg.com/profile_images/1359828572676923398/D6Eo-GNZ_normal.jpg</v>
      </c>
      <c r="G1259" s="95"/>
      <c r="H1259" s="71"/>
      <c r="I1259" s="72"/>
      <c r="J1259" s="96"/>
      <c r="K1259" s="71" t="s">
        <v>4130</v>
      </c>
      <c r="L1259" s="97"/>
      <c r="M1259" s="76"/>
      <c r="N1259" s="76"/>
      <c r="O1259" s="77"/>
      <c r="P1259" s="78"/>
      <c r="Q1259" s="78"/>
      <c r="R1259" s="92"/>
      <c r="S1259" s="92"/>
      <c r="T1259" s="92"/>
      <c r="U1259" s="92"/>
      <c r="V1259" s="52"/>
      <c r="W1259" s="52"/>
      <c r="X1259" s="52"/>
      <c r="Y1259" s="52"/>
      <c r="Z1259" s="51"/>
      <c r="AA1259" s="73"/>
      <c r="AB1259" s="73"/>
      <c r="AC1259" s="74"/>
      <c r="AD1259" s="81" t="s">
        <v>2642</v>
      </c>
      <c r="AE1259" s="86" t="s">
        <v>3039</v>
      </c>
      <c r="AF1259" s="81">
        <v>1145</v>
      </c>
      <c r="AG1259" s="81">
        <v>389</v>
      </c>
      <c r="AH1259" s="81">
        <v>2606</v>
      </c>
      <c r="AI1259" s="81">
        <v>39189</v>
      </c>
      <c r="AJ1259" s="81"/>
      <c r="AK1259" s="81" t="s">
        <v>3466</v>
      </c>
      <c r="AL1259" s="81"/>
      <c r="AM1259" s="81"/>
      <c r="AN1259" s="81"/>
      <c r="AO1259" s="83">
        <v>40870.358993055554</v>
      </c>
      <c r="AP1259" s="84" t="str">
        <f>HYPERLINK("https://pbs.twimg.com/profile_banners/419376183/1539998478")</f>
        <v>https://pbs.twimg.com/profile_banners/419376183/1539998478</v>
      </c>
      <c r="AQ1259" s="81" t="b">
        <v>0</v>
      </c>
      <c r="AR1259" s="81" t="b">
        <v>0</v>
      </c>
      <c r="AS1259" s="81" t="b">
        <v>0</v>
      </c>
      <c r="AT1259" s="81"/>
      <c r="AU1259" s="81">
        <v>1</v>
      </c>
      <c r="AV1259" s="84" t="str">
        <f>HYPERLINK("https://abs.twimg.com/images/themes/theme1/bg.png")</f>
        <v>https://abs.twimg.com/images/themes/theme1/bg.png</v>
      </c>
      <c r="AW1259" s="81" t="b">
        <v>0</v>
      </c>
      <c r="AX1259" s="81" t="s">
        <v>3728</v>
      </c>
      <c r="AY1259" s="84" t="str">
        <f>HYPERLINK("https://twitter.com/el_maqnuah")</f>
        <v>https://twitter.com/el_maqnuah</v>
      </c>
      <c r="AZ1259" s="81" t="s">
        <v>66</v>
      </c>
      <c r="BA1259" s="2"/>
      <c r="BB1259" s="3"/>
      <c r="BC1259" s="3"/>
      <c r="BD1259" s="3"/>
      <c r="BE1259" s="3"/>
    </row>
    <row r="1260" spans="1:57" x14ac:dyDescent="0.35">
      <c r="A1260" s="66" t="s">
        <v>4815</v>
      </c>
      <c r="B1260" s="67"/>
      <c r="C1260" s="67"/>
      <c r="D1260" s="68"/>
      <c r="E1260" s="94"/>
      <c r="F1260" s="93" t="str">
        <f>HYPERLINK("https://pbs.twimg.com/profile_images/588757512331075584/MKiyQHpM_normal.jpg")</f>
        <v>https://pbs.twimg.com/profile_images/588757512331075584/MKiyQHpM_normal.jpg</v>
      </c>
      <c r="G1260" s="95"/>
      <c r="H1260" s="71"/>
      <c r="I1260" s="72"/>
      <c r="J1260" s="96"/>
      <c r="K1260" s="71" t="s">
        <v>12237</v>
      </c>
      <c r="L1260" s="97"/>
      <c r="M1260" s="76"/>
      <c r="N1260" s="76"/>
      <c r="O1260" s="77"/>
      <c r="P1260" s="78"/>
      <c r="Q1260" s="78"/>
      <c r="R1260" s="92"/>
      <c r="S1260" s="92"/>
      <c r="T1260" s="92"/>
      <c r="U1260" s="92"/>
      <c r="V1260" s="52"/>
      <c r="W1260" s="52"/>
      <c r="X1260" s="52"/>
      <c r="Y1260" s="52"/>
      <c r="Z1260" s="51"/>
      <c r="AA1260" s="73"/>
      <c r="AB1260" s="73"/>
      <c r="AC1260" s="74"/>
      <c r="AD1260" s="81" t="s">
        <v>4815</v>
      </c>
      <c r="AE1260" s="86" t="s">
        <v>9831</v>
      </c>
      <c r="AF1260" s="81">
        <v>836</v>
      </c>
      <c r="AG1260" s="81">
        <v>3030</v>
      </c>
      <c r="AH1260" s="81">
        <v>3786</v>
      </c>
      <c r="AI1260" s="81">
        <v>36</v>
      </c>
      <c r="AJ1260" s="81"/>
      <c r="AK1260" s="81" t="s">
        <v>10745</v>
      </c>
      <c r="AL1260" s="81" t="s">
        <v>11294</v>
      </c>
      <c r="AM1260" s="81"/>
      <c r="AN1260" s="81"/>
      <c r="AO1260" s="83">
        <v>39821.962094907409</v>
      </c>
      <c r="AP1260" s="81"/>
      <c r="AQ1260" s="81" t="b">
        <v>1</v>
      </c>
      <c r="AR1260" s="81" t="b">
        <v>0</v>
      </c>
      <c r="AS1260" s="81" t="b">
        <v>0</v>
      </c>
      <c r="AT1260" s="81"/>
      <c r="AU1260" s="81">
        <v>33</v>
      </c>
      <c r="AV1260" s="84" t="str">
        <f>HYPERLINK("https://abs.twimg.com/images/themes/theme1/bg.png")</f>
        <v>https://abs.twimg.com/images/themes/theme1/bg.png</v>
      </c>
      <c r="AW1260" s="81" t="b">
        <v>0</v>
      </c>
      <c r="AX1260" s="81" t="s">
        <v>3728</v>
      </c>
      <c r="AY1260" s="84" t="str">
        <f>HYPERLINK("https://twitter.com/antoniogalamba")</f>
        <v>https://twitter.com/antoniogalamba</v>
      </c>
      <c r="AZ1260" s="81" t="s">
        <v>66</v>
      </c>
      <c r="BA1260" s="2"/>
      <c r="BB1260" s="3"/>
      <c r="BC1260" s="3"/>
      <c r="BD1260" s="3"/>
      <c r="BE1260" s="3"/>
    </row>
    <row r="1261" spans="1:57" x14ac:dyDescent="0.35">
      <c r="A1261" s="66" t="s">
        <v>558</v>
      </c>
      <c r="B1261" s="67"/>
      <c r="C1261" s="67"/>
      <c r="D1261" s="68"/>
      <c r="E1261" s="94"/>
      <c r="F1261" s="93" t="str">
        <f>HYPERLINK("https://pbs.twimg.com/profile_images/1289976442655129600/5CJ3Qk-a_normal.jpg")</f>
        <v>https://pbs.twimg.com/profile_images/1289976442655129600/5CJ3Qk-a_normal.jpg</v>
      </c>
      <c r="G1261" s="95"/>
      <c r="H1261" s="71"/>
      <c r="I1261" s="72"/>
      <c r="J1261" s="96"/>
      <c r="K1261" s="71" t="s">
        <v>4131</v>
      </c>
      <c r="L1261" s="97"/>
      <c r="M1261" s="76"/>
      <c r="N1261" s="76"/>
      <c r="O1261" s="77"/>
      <c r="P1261" s="78"/>
      <c r="Q1261" s="78"/>
      <c r="R1261" s="92"/>
      <c r="S1261" s="92"/>
      <c r="T1261" s="92"/>
      <c r="U1261" s="92"/>
      <c r="V1261" s="52"/>
      <c r="W1261" s="52"/>
      <c r="X1261" s="52"/>
      <c r="Y1261" s="52"/>
      <c r="Z1261" s="51"/>
      <c r="AA1261" s="73"/>
      <c r="AB1261" s="73"/>
      <c r="AC1261" s="74"/>
      <c r="AD1261" s="81" t="s">
        <v>2643</v>
      </c>
      <c r="AE1261" s="86" t="s">
        <v>3040</v>
      </c>
      <c r="AF1261" s="81">
        <v>71</v>
      </c>
      <c r="AG1261" s="81">
        <v>55</v>
      </c>
      <c r="AH1261" s="81">
        <v>10299</v>
      </c>
      <c r="AI1261" s="81">
        <v>5809</v>
      </c>
      <c r="AJ1261" s="81"/>
      <c r="AK1261" s="81" t="s">
        <v>3467</v>
      </c>
      <c r="AL1261" s="81"/>
      <c r="AM1261" s="81"/>
      <c r="AN1261" s="81"/>
      <c r="AO1261" s="83">
        <v>41128.48877314815</v>
      </c>
      <c r="AP1261" s="84" t="str">
        <f>HYPERLINK("https://pbs.twimg.com/profile_banners/742738435/1596389325")</f>
        <v>https://pbs.twimg.com/profile_banners/742738435/1596389325</v>
      </c>
      <c r="AQ1261" s="81" t="b">
        <v>0</v>
      </c>
      <c r="AR1261" s="81" t="b">
        <v>0</v>
      </c>
      <c r="AS1261" s="81" t="b">
        <v>1</v>
      </c>
      <c r="AT1261" s="81"/>
      <c r="AU1261" s="81">
        <v>1</v>
      </c>
      <c r="AV1261" s="84" t="str">
        <f>HYPERLINK("https://abs.twimg.com/images/themes/theme10/bg.gif")</f>
        <v>https://abs.twimg.com/images/themes/theme10/bg.gif</v>
      </c>
      <c r="AW1261" s="81" t="b">
        <v>0</v>
      </c>
      <c r="AX1261" s="81" t="s">
        <v>3728</v>
      </c>
      <c r="AY1261" s="84" t="str">
        <f>HYPERLINK("https://twitter.com/_u5er5_")</f>
        <v>https://twitter.com/_u5er5_</v>
      </c>
      <c r="AZ1261" s="81" t="s">
        <v>66</v>
      </c>
      <c r="BA1261" s="2"/>
      <c r="BB1261" s="3"/>
      <c r="BC1261" s="3"/>
      <c r="BD1261" s="3"/>
      <c r="BE1261" s="3"/>
    </row>
    <row r="1262" spans="1:57" x14ac:dyDescent="0.35">
      <c r="A1262" s="66" t="s">
        <v>688</v>
      </c>
      <c r="B1262" s="67"/>
      <c r="C1262" s="67"/>
      <c r="D1262" s="68"/>
      <c r="E1262" s="94"/>
      <c r="F1262" s="93" t="str">
        <f>HYPERLINK("https://pbs.twimg.com/profile_images/1358697140545982467/6GuQW5Us_normal.jpg")</f>
        <v>https://pbs.twimg.com/profile_images/1358697140545982467/6GuQW5Us_normal.jpg</v>
      </c>
      <c r="G1262" s="95"/>
      <c r="H1262" s="71"/>
      <c r="I1262" s="72"/>
      <c r="J1262" s="96"/>
      <c r="K1262" s="71" t="s">
        <v>4132</v>
      </c>
      <c r="L1262" s="97"/>
      <c r="M1262" s="76"/>
      <c r="N1262" s="76"/>
      <c r="O1262" s="77"/>
      <c r="P1262" s="78"/>
      <c r="Q1262" s="78"/>
      <c r="R1262" s="92"/>
      <c r="S1262" s="92"/>
      <c r="T1262" s="92"/>
      <c r="U1262" s="92"/>
      <c r="V1262" s="52"/>
      <c r="W1262" s="52"/>
      <c r="X1262" s="52"/>
      <c r="Y1262" s="52"/>
      <c r="Z1262" s="51"/>
      <c r="AA1262" s="73"/>
      <c r="AB1262" s="73"/>
      <c r="AC1262" s="74"/>
      <c r="AD1262" s="81" t="s">
        <v>2644</v>
      </c>
      <c r="AE1262" s="86" t="s">
        <v>2162</v>
      </c>
      <c r="AF1262" s="81">
        <v>36</v>
      </c>
      <c r="AG1262" s="81">
        <v>70</v>
      </c>
      <c r="AH1262" s="81">
        <v>43252</v>
      </c>
      <c r="AI1262" s="81">
        <v>268</v>
      </c>
      <c r="AJ1262" s="81"/>
      <c r="AK1262" s="81" t="s">
        <v>3468</v>
      </c>
      <c r="AL1262" s="81"/>
      <c r="AM1262" s="81"/>
      <c r="AN1262" s="81"/>
      <c r="AO1262" s="83">
        <v>41448.59479166667</v>
      </c>
      <c r="AP1262" s="84" t="str">
        <f>HYPERLINK("https://pbs.twimg.com/profile_banners/1541082236/1591332200")</f>
        <v>https://pbs.twimg.com/profile_banners/1541082236/1591332200</v>
      </c>
      <c r="AQ1262" s="81" t="b">
        <v>0</v>
      </c>
      <c r="AR1262" s="81" t="b">
        <v>0</v>
      </c>
      <c r="AS1262" s="81" t="b">
        <v>1</v>
      </c>
      <c r="AT1262" s="81"/>
      <c r="AU1262" s="81">
        <v>2</v>
      </c>
      <c r="AV1262" s="84" t="str">
        <f>HYPERLINK("https://abs.twimg.com/images/themes/theme1/bg.png")</f>
        <v>https://abs.twimg.com/images/themes/theme1/bg.png</v>
      </c>
      <c r="AW1262" s="81" t="b">
        <v>0</v>
      </c>
      <c r="AX1262" s="81" t="s">
        <v>3728</v>
      </c>
      <c r="AY1262" s="84" t="str">
        <f>HYPERLINK("https://twitter.com/nanjirouechizen")</f>
        <v>https://twitter.com/nanjirouechizen</v>
      </c>
      <c r="AZ1262" s="81" t="s">
        <v>65</v>
      </c>
      <c r="BA1262" s="2"/>
      <c r="BB1262" s="3"/>
      <c r="BC1262" s="3"/>
      <c r="BD1262" s="3"/>
      <c r="BE1262" s="3"/>
    </row>
    <row r="1263" spans="1:57" x14ac:dyDescent="0.35">
      <c r="A1263" s="66" t="s">
        <v>4816</v>
      </c>
      <c r="B1263" s="67"/>
      <c r="C1263" s="67"/>
      <c r="D1263" s="68"/>
      <c r="E1263" s="94"/>
      <c r="F1263" s="93" t="str">
        <f>HYPERLINK("https://pbs.twimg.com/profile_images/1280974836592971777/7o_Rfccj_normal.jpg")</f>
        <v>https://pbs.twimg.com/profile_images/1280974836592971777/7o_Rfccj_normal.jpg</v>
      </c>
      <c r="G1263" s="95"/>
      <c r="H1263" s="71"/>
      <c r="I1263" s="72"/>
      <c r="J1263" s="96"/>
      <c r="K1263" s="71" t="s">
        <v>12238</v>
      </c>
      <c r="L1263" s="97"/>
      <c r="M1263" s="76"/>
      <c r="N1263" s="76"/>
      <c r="O1263" s="77"/>
      <c r="P1263" s="78"/>
      <c r="Q1263" s="78"/>
      <c r="R1263" s="92"/>
      <c r="S1263" s="92"/>
      <c r="T1263" s="92"/>
      <c r="U1263" s="92"/>
      <c r="V1263" s="52"/>
      <c r="W1263" s="52"/>
      <c r="X1263" s="52"/>
      <c r="Y1263" s="52"/>
      <c r="Z1263" s="51"/>
      <c r="AA1263" s="73"/>
      <c r="AB1263" s="73"/>
      <c r="AC1263" s="74"/>
      <c r="AD1263" s="81" t="s">
        <v>8854</v>
      </c>
      <c r="AE1263" s="86" t="s">
        <v>9832</v>
      </c>
      <c r="AF1263" s="81">
        <v>2186</v>
      </c>
      <c r="AG1263" s="81">
        <v>1844</v>
      </c>
      <c r="AH1263" s="81">
        <v>114381</v>
      </c>
      <c r="AI1263" s="81">
        <v>175418</v>
      </c>
      <c r="AJ1263" s="81"/>
      <c r="AK1263" s="81" t="s">
        <v>10746</v>
      </c>
      <c r="AL1263" s="81" t="s">
        <v>10973</v>
      </c>
      <c r="AM1263" s="81"/>
      <c r="AN1263" s="81"/>
      <c r="AO1263" s="83">
        <v>40012.980752314812</v>
      </c>
      <c r="AP1263" s="84" t="str">
        <f>HYPERLINK("https://pbs.twimg.com/profile_banners/58062081/1539797655")</f>
        <v>https://pbs.twimg.com/profile_banners/58062081/1539797655</v>
      </c>
      <c r="AQ1263" s="81" t="b">
        <v>0</v>
      </c>
      <c r="AR1263" s="81" t="b">
        <v>0</v>
      </c>
      <c r="AS1263" s="81" t="b">
        <v>0</v>
      </c>
      <c r="AT1263" s="81"/>
      <c r="AU1263" s="81">
        <v>12</v>
      </c>
      <c r="AV1263" s="84" t="str">
        <f>HYPERLINK("https://abs.twimg.com/images/themes/theme10/bg.gif")</f>
        <v>https://abs.twimg.com/images/themes/theme10/bg.gif</v>
      </c>
      <c r="AW1263" s="81" t="b">
        <v>0</v>
      </c>
      <c r="AX1263" s="81" t="s">
        <v>3728</v>
      </c>
      <c r="AY1263" s="84" t="str">
        <f>HYPERLINK("https://twitter.com/tg_meirelles")</f>
        <v>https://twitter.com/tg_meirelles</v>
      </c>
      <c r="AZ1263" s="81" t="s">
        <v>66</v>
      </c>
      <c r="BA1263" s="2"/>
      <c r="BB1263" s="3"/>
      <c r="BC1263" s="3"/>
      <c r="BD1263" s="3"/>
      <c r="BE1263" s="3"/>
    </row>
    <row r="1264" spans="1:57" x14ac:dyDescent="0.35">
      <c r="A1264" s="66" t="s">
        <v>559</v>
      </c>
      <c r="B1264" s="67"/>
      <c r="C1264" s="67"/>
      <c r="D1264" s="68"/>
      <c r="E1264" s="94"/>
      <c r="F1264" s="93" t="str">
        <f>HYPERLINK("https://pbs.twimg.com/profile_images/1332229354407903232/PNPiaKwJ_normal.jpg")</f>
        <v>https://pbs.twimg.com/profile_images/1332229354407903232/PNPiaKwJ_normal.jpg</v>
      </c>
      <c r="G1264" s="95"/>
      <c r="H1264" s="71"/>
      <c r="I1264" s="72"/>
      <c r="J1264" s="96"/>
      <c r="K1264" s="71" t="s">
        <v>4133</v>
      </c>
      <c r="L1264" s="97"/>
      <c r="M1264" s="76"/>
      <c r="N1264" s="76"/>
      <c r="O1264" s="77"/>
      <c r="P1264" s="78"/>
      <c r="Q1264" s="78"/>
      <c r="R1264" s="92"/>
      <c r="S1264" s="92"/>
      <c r="T1264" s="92"/>
      <c r="U1264" s="92"/>
      <c r="V1264" s="52"/>
      <c r="W1264" s="52"/>
      <c r="X1264" s="52"/>
      <c r="Y1264" s="52"/>
      <c r="Z1264" s="51"/>
      <c r="AA1264" s="73"/>
      <c r="AB1264" s="73"/>
      <c r="AC1264" s="74"/>
      <c r="AD1264" s="81" t="s">
        <v>2645</v>
      </c>
      <c r="AE1264" s="86" t="s">
        <v>3041</v>
      </c>
      <c r="AF1264" s="81">
        <v>1389</v>
      </c>
      <c r="AG1264" s="81">
        <v>150</v>
      </c>
      <c r="AH1264" s="81">
        <v>10537</v>
      </c>
      <c r="AI1264" s="81">
        <v>11656</v>
      </c>
      <c r="AJ1264" s="81"/>
      <c r="AK1264" s="81" t="s">
        <v>3469</v>
      </c>
      <c r="AL1264" s="81" t="s">
        <v>3717</v>
      </c>
      <c r="AM1264" s="81"/>
      <c r="AN1264" s="81"/>
      <c r="AO1264" s="83">
        <v>43931.502187500002</v>
      </c>
      <c r="AP1264" s="84" t="str">
        <f>HYPERLINK("https://pbs.twimg.com/profile_banners/1248582222350651392/1631890051")</f>
        <v>https://pbs.twimg.com/profile_banners/1248582222350651392/1631890051</v>
      </c>
      <c r="AQ1264" s="81" t="b">
        <v>1</v>
      </c>
      <c r="AR1264" s="81" t="b">
        <v>0</v>
      </c>
      <c r="AS1264" s="81" t="b">
        <v>1</v>
      </c>
      <c r="AT1264" s="81"/>
      <c r="AU1264" s="81">
        <v>0</v>
      </c>
      <c r="AV1264" s="81"/>
      <c r="AW1264" s="81" t="b">
        <v>0</v>
      </c>
      <c r="AX1264" s="81" t="s">
        <v>3728</v>
      </c>
      <c r="AY1264" s="84" t="str">
        <f>HYPERLINK("https://twitter.com/nararara17")</f>
        <v>https://twitter.com/nararara17</v>
      </c>
      <c r="AZ1264" s="81" t="s">
        <v>66</v>
      </c>
      <c r="BA1264" s="2"/>
      <c r="BB1264" s="3"/>
      <c r="BC1264" s="3"/>
      <c r="BD1264" s="3"/>
      <c r="BE1264" s="3"/>
    </row>
    <row r="1265" spans="1:57" x14ac:dyDescent="0.35">
      <c r="A1265" s="66" t="s">
        <v>560</v>
      </c>
      <c r="B1265" s="67"/>
      <c r="C1265" s="67"/>
      <c r="D1265" s="68"/>
      <c r="E1265" s="94"/>
      <c r="F1265" s="93" t="str">
        <f>HYPERLINK("https://pbs.twimg.com/profile_images/1283699520614707200/wYMU0kc0_normal.jpg")</f>
        <v>https://pbs.twimg.com/profile_images/1283699520614707200/wYMU0kc0_normal.jpg</v>
      </c>
      <c r="G1265" s="95"/>
      <c r="H1265" s="71"/>
      <c r="I1265" s="72"/>
      <c r="J1265" s="96"/>
      <c r="K1265" s="71" t="s">
        <v>4134</v>
      </c>
      <c r="L1265" s="97"/>
      <c r="M1265" s="76"/>
      <c r="N1265" s="76"/>
      <c r="O1265" s="77"/>
      <c r="P1265" s="78"/>
      <c r="Q1265" s="78"/>
      <c r="R1265" s="92"/>
      <c r="S1265" s="92"/>
      <c r="T1265" s="92"/>
      <c r="U1265" s="92"/>
      <c r="V1265" s="52"/>
      <c r="W1265" s="52"/>
      <c r="X1265" s="52"/>
      <c r="Y1265" s="52"/>
      <c r="Z1265" s="51"/>
      <c r="AA1265" s="73"/>
      <c r="AB1265" s="73"/>
      <c r="AC1265" s="74"/>
      <c r="AD1265" s="81" t="s">
        <v>2646</v>
      </c>
      <c r="AE1265" s="86" t="s">
        <v>3042</v>
      </c>
      <c r="AF1265" s="81">
        <v>247</v>
      </c>
      <c r="AG1265" s="81">
        <v>127</v>
      </c>
      <c r="AH1265" s="81">
        <v>768</v>
      </c>
      <c r="AI1265" s="81">
        <v>443</v>
      </c>
      <c r="AJ1265" s="81"/>
      <c r="AK1265" s="81"/>
      <c r="AL1265" s="81" t="s">
        <v>3718</v>
      </c>
      <c r="AM1265" s="84" t="str">
        <f>HYPERLINK("https://t.co/03qDTu4PcZ")</f>
        <v>https://t.co/03qDTu4PcZ</v>
      </c>
      <c r="AN1265" s="81"/>
      <c r="AO1265" s="83">
        <v>40076.338912037034</v>
      </c>
      <c r="AP1265" s="84" t="str">
        <f>HYPERLINK("https://pbs.twimg.com/profile_banners/75746290/1493443475")</f>
        <v>https://pbs.twimg.com/profile_banners/75746290/1493443475</v>
      </c>
      <c r="AQ1265" s="81" t="b">
        <v>0</v>
      </c>
      <c r="AR1265" s="81" t="b">
        <v>0</v>
      </c>
      <c r="AS1265" s="81" t="b">
        <v>1</v>
      </c>
      <c r="AT1265" s="81"/>
      <c r="AU1265" s="81">
        <v>0</v>
      </c>
      <c r="AV1265" s="84" t="str">
        <f>HYPERLINK("https://abs.twimg.com/images/themes/theme6/bg.gif")</f>
        <v>https://abs.twimg.com/images/themes/theme6/bg.gif</v>
      </c>
      <c r="AW1265" s="81" t="b">
        <v>0</v>
      </c>
      <c r="AX1265" s="81" t="s">
        <v>3728</v>
      </c>
      <c r="AY1265" s="84" t="str">
        <f>HYPERLINK("https://twitter.com/hendrichalid")</f>
        <v>https://twitter.com/hendrichalid</v>
      </c>
      <c r="AZ1265" s="81" t="s">
        <v>66</v>
      </c>
      <c r="BA1265" s="2"/>
      <c r="BB1265" s="3"/>
      <c r="BC1265" s="3"/>
      <c r="BD1265" s="3"/>
      <c r="BE1265" s="3"/>
    </row>
    <row r="1266" spans="1:57" x14ac:dyDescent="0.35">
      <c r="A1266" s="66" t="s">
        <v>561</v>
      </c>
      <c r="B1266" s="67"/>
      <c r="C1266" s="67"/>
      <c r="D1266" s="68"/>
      <c r="E1266" s="94"/>
      <c r="F1266" s="93" t="str">
        <f>HYPERLINK("https://pbs.twimg.com/profile_images/1265840072621883392/uUx7ESrO_normal.jpg")</f>
        <v>https://pbs.twimg.com/profile_images/1265840072621883392/uUx7ESrO_normal.jpg</v>
      </c>
      <c r="G1266" s="95"/>
      <c r="H1266" s="71"/>
      <c r="I1266" s="72"/>
      <c r="J1266" s="96"/>
      <c r="K1266" s="71" t="s">
        <v>4135</v>
      </c>
      <c r="L1266" s="97"/>
      <c r="M1266" s="76"/>
      <c r="N1266" s="76"/>
      <c r="O1266" s="77"/>
      <c r="P1266" s="78"/>
      <c r="Q1266" s="78"/>
      <c r="R1266" s="92"/>
      <c r="S1266" s="92"/>
      <c r="T1266" s="92"/>
      <c r="U1266" s="92"/>
      <c r="V1266" s="52"/>
      <c r="W1266" s="52"/>
      <c r="X1266" s="52"/>
      <c r="Y1266" s="52"/>
      <c r="Z1266" s="51"/>
      <c r="AA1266" s="73"/>
      <c r="AB1266" s="73"/>
      <c r="AC1266" s="74"/>
      <c r="AD1266" s="81" t="s">
        <v>2647</v>
      </c>
      <c r="AE1266" s="86" t="s">
        <v>3043</v>
      </c>
      <c r="AF1266" s="81">
        <v>3237</v>
      </c>
      <c r="AG1266" s="81">
        <v>3216</v>
      </c>
      <c r="AH1266" s="81">
        <v>72662</v>
      </c>
      <c r="AI1266" s="81">
        <v>100511</v>
      </c>
      <c r="AJ1266" s="81"/>
      <c r="AK1266" s="81" t="s">
        <v>3470</v>
      </c>
      <c r="AL1266" s="81" t="s">
        <v>3719</v>
      </c>
      <c r="AM1266" s="81"/>
      <c r="AN1266" s="81"/>
      <c r="AO1266" s="83">
        <v>41857.380543981482</v>
      </c>
      <c r="AP1266" s="84" t="str">
        <f>HYPERLINK("https://pbs.twimg.com/profile_banners/2711563154/1576738595")</f>
        <v>https://pbs.twimg.com/profile_banners/2711563154/1576738595</v>
      </c>
      <c r="AQ1266" s="81" t="b">
        <v>1</v>
      </c>
      <c r="AR1266" s="81" t="b">
        <v>0</v>
      </c>
      <c r="AS1266" s="81" t="b">
        <v>1</v>
      </c>
      <c r="AT1266" s="81"/>
      <c r="AU1266" s="81">
        <v>0</v>
      </c>
      <c r="AV1266" s="84" t="str">
        <f>HYPERLINK("https://abs.twimg.com/images/themes/theme1/bg.png")</f>
        <v>https://abs.twimg.com/images/themes/theme1/bg.png</v>
      </c>
      <c r="AW1266" s="81" t="b">
        <v>0</v>
      </c>
      <c r="AX1266" s="81" t="s">
        <v>3728</v>
      </c>
      <c r="AY1266" s="84" t="str">
        <f>HYPERLINK("https://twitter.com/negarakecil")</f>
        <v>https://twitter.com/negarakecil</v>
      </c>
      <c r="AZ1266" s="81" t="s">
        <v>66</v>
      </c>
      <c r="BA1266" s="2"/>
      <c r="BB1266" s="3"/>
      <c r="BC1266" s="3"/>
      <c r="BD1266" s="3"/>
      <c r="BE1266" s="3"/>
    </row>
    <row r="1267" spans="1:57" x14ac:dyDescent="0.35">
      <c r="A1267" s="66" t="s">
        <v>4817</v>
      </c>
      <c r="B1267" s="67"/>
      <c r="C1267" s="67"/>
      <c r="D1267" s="68"/>
      <c r="E1267" s="94"/>
      <c r="F1267" s="93" t="str">
        <f>HYPERLINK("https://pbs.twimg.com/profile_images/747100054972928000/-ROFHDyx_normal.jpg")</f>
        <v>https://pbs.twimg.com/profile_images/747100054972928000/-ROFHDyx_normal.jpg</v>
      </c>
      <c r="G1267" s="95"/>
      <c r="H1267" s="71"/>
      <c r="I1267" s="72"/>
      <c r="J1267" s="96"/>
      <c r="K1267" s="71" t="s">
        <v>12239</v>
      </c>
      <c r="L1267" s="97"/>
      <c r="M1267" s="76"/>
      <c r="N1267" s="76"/>
      <c r="O1267" s="77"/>
      <c r="P1267" s="78"/>
      <c r="Q1267" s="78"/>
      <c r="R1267" s="92"/>
      <c r="S1267" s="92"/>
      <c r="T1267" s="92"/>
      <c r="U1267" s="92"/>
      <c r="V1267" s="52"/>
      <c r="W1267" s="52"/>
      <c r="X1267" s="52"/>
      <c r="Y1267" s="52"/>
      <c r="Z1267" s="51"/>
      <c r="AA1267" s="73"/>
      <c r="AB1267" s="73"/>
      <c r="AC1267" s="74"/>
      <c r="AD1267" s="81" t="s">
        <v>8855</v>
      </c>
      <c r="AE1267" s="86" t="s">
        <v>9833</v>
      </c>
      <c r="AF1267" s="81">
        <v>1786</v>
      </c>
      <c r="AG1267" s="81">
        <v>894</v>
      </c>
      <c r="AH1267" s="81">
        <v>177535</v>
      </c>
      <c r="AI1267" s="81">
        <v>45559</v>
      </c>
      <c r="AJ1267" s="81"/>
      <c r="AK1267" s="81"/>
      <c r="AL1267" s="81"/>
      <c r="AM1267" s="81"/>
      <c r="AN1267" s="81"/>
      <c r="AO1267" s="83">
        <v>40473.914803240739</v>
      </c>
      <c r="AP1267" s="84" t="str">
        <f>HYPERLINK("https://pbs.twimg.com/profile_banners/206396925/1466957475")</f>
        <v>https://pbs.twimg.com/profile_banners/206396925/1466957475</v>
      </c>
      <c r="AQ1267" s="81" t="b">
        <v>1</v>
      </c>
      <c r="AR1267" s="81" t="b">
        <v>0</v>
      </c>
      <c r="AS1267" s="81" t="b">
        <v>0</v>
      </c>
      <c r="AT1267" s="81"/>
      <c r="AU1267" s="81">
        <v>18</v>
      </c>
      <c r="AV1267" s="84" t="str">
        <f>HYPERLINK("https://abs.twimg.com/images/themes/theme1/bg.png")</f>
        <v>https://abs.twimg.com/images/themes/theme1/bg.png</v>
      </c>
      <c r="AW1267" s="81" t="b">
        <v>0</v>
      </c>
      <c r="AX1267" s="81" t="s">
        <v>3728</v>
      </c>
      <c r="AY1267" s="84" t="str">
        <f>HYPERLINK("https://twitter.com/tizquadros")</f>
        <v>https://twitter.com/tizquadros</v>
      </c>
      <c r="AZ1267" s="81" t="s">
        <v>66</v>
      </c>
      <c r="BA1267" s="2"/>
      <c r="BB1267" s="3"/>
      <c r="BC1267" s="3"/>
      <c r="BD1267" s="3"/>
      <c r="BE1267" s="3"/>
    </row>
    <row r="1268" spans="1:57" x14ac:dyDescent="0.35">
      <c r="A1268" s="66" t="s">
        <v>562</v>
      </c>
      <c r="B1268" s="67"/>
      <c r="C1268" s="67"/>
      <c r="D1268" s="68"/>
      <c r="E1268" s="94"/>
      <c r="F1268" s="93" t="str">
        <f>HYPERLINK("https://pbs.twimg.com/profile_images/1416389115126247426/HID1IePG_normal.jpg")</f>
        <v>https://pbs.twimg.com/profile_images/1416389115126247426/HID1IePG_normal.jpg</v>
      </c>
      <c r="G1268" s="95"/>
      <c r="H1268" s="71"/>
      <c r="I1268" s="72"/>
      <c r="J1268" s="96"/>
      <c r="K1268" s="71" t="s">
        <v>4136</v>
      </c>
      <c r="L1268" s="97"/>
      <c r="M1268" s="76"/>
      <c r="N1268" s="76"/>
      <c r="O1268" s="77"/>
      <c r="P1268" s="78"/>
      <c r="Q1268" s="78"/>
      <c r="R1268" s="92"/>
      <c r="S1268" s="92"/>
      <c r="T1268" s="92"/>
      <c r="U1268" s="92"/>
      <c r="V1268" s="52"/>
      <c r="W1268" s="52"/>
      <c r="X1268" s="52"/>
      <c r="Y1268" s="52"/>
      <c r="Z1268" s="51"/>
      <c r="AA1268" s="73"/>
      <c r="AB1268" s="73"/>
      <c r="AC1268" s="74"/>
      <c r="AD1268" s="81" t="s">
        <v>13490</v>
      </c>
      <c r="AE1268" s="86" t="s">
        <v>3044</v>
      </c>
      <c r="AF1268" s="81">
        <v>92</v>
      </c>
      <c r="AG1268" s="81">
        <v>459</v>
      </c>
      <c r="AH1268" s="81">
        <v>8657</v>
      </c>
      <c r="AI1268" s="81">
        <v>6099</v>
      </c>
      <c r="AJ1268" s="81"/>
      <c r="AK1268" s="81" t="s">
        <v>3471</v>
      </c>
      <c r="AL1268" s="81" t="s">
        <v>3514</v>
      </c>
      <c r="AM1268" s="84" t="str">
        <f>HYPERLINK("https://t.co/eSjzA161lH")</f>
        <v>https://t.co/eSjzA161lH</v>
      </c>
      <c r="AN1268" s="81"/>
      <c r="AO1268" s="83">
        <v>44265.519942129627</v>
      </c>
      <c r="AP1268" s="84" t="str">
        <f>HYPERLINK("https://pbs.twimg.com/profile_banners/1369626206174281733/1626531567")</f>
        <v>https://pbs.twimg.com/profile_banners/1369626206174281733/1626531567</v>
      </c>
      <c r="AQ1268" s="81" t="b">
        <v>1</v>
      </c>
      <c r="AR1268" s="81" t="b">
        <v>0</v>
      </c>
      <c r="AS1268" s="81" t="b">
        <v>0</v>
      </c>
      <c r="AT1268" s="81"/>
      <c r="AU1268" s="81">
        <v>0</v>
      </c>
      <c r="AV1268" s="81"/>
      <c r="AW1268" s="81" t="b">
        <v>0</v>
      </c>
      <c r="AX1268" s="81" t="s">
        <v>3728</v>
      </c>
      <c r="AY1268" s="84" t="str">
        <f>HYPERLINK("https://twitter.com/mykimchillstore")</f>
        <v>https://twitter.com/mykimchillstore</v>
      </c>
      <c r="AZ1268" s="81" t="s">
        <v>66</v>
      </c>
      <c r="BA1268" s="2"/>
      <c r="BB1268" s="3"/>
      <c r="BC1268" s="3"/>
      <c r="BD1268" s="3"/>
      <c r="BE1268" s="3"/>
    </row>
    <row r="1269" spans="1:57" x14ac:dyDescent="0.35">
      <c r="A1269" s="66" t="s">
        <v>563</v>
      </c>
      <c r="B1269" s="67"/>
      <c r="C1269" s="67"/>
      <c r="D1269" s="68"/>
      <c r="E1269" s="94"/>
      <c r="F1269" s="93" t="str">
        <f>HYPERLINK("https://pbs.twimg.com/profile_images/1411138666718666757/NClcpgaI_normal.jpg")</f>
        <v>https://pbs.twimg.com/profile_images/1411138666718666757/NClcpgaI_normal.jpg</v>
      </c>
      <c r="G1269" s="95"/>
      <c r="H1269" s="71"/>
      <c r="I1269" s="72"/>
      <c r="J1269" s="96"/>
      <c r="K1269" s="71" t="s">
        <v>4137</v>
      </c>
      <c r="L1269" s="97"/>
      <c r="M1269" s="76"/>
      <c r="N1269" s="76"/>
      <c r="O1269" s="77"/>
      <c r="P1269" s="78"/>
      <c r="Q1269" s="78"/>
      <c r="R1269" s="92"/>
      <c r="S1269" s="92"/>
      <c r="T1269" s="92"/>
      <c r="U1269" s="92"/>
      <c r="V1269" s="52"/>
      <c r="W1269" s="52"/>
      <c r="X1269" s="52"/>
      <c r="Y1269" s="52"/>
      <c r="Z1269" s="51"/>
      <c r="AA1269" s="73"/>
      <c r="AB1269" s="73"/>
      <c r="AC1269" s="74"/>
      <c r="AD1269" s="81" t="s">
        <v>2648</v>
      </c>
      <c r="AE1269" s="86" t="s">
        <v>3045</v>
      </c>
      <c r="AF1269" s="81">
        <v>381</v>
      </c>
      <c r="AG1269" s="81">
        <v>530</v>
      </c>
      <c r="AH1269" s="81">
        <v>53280</v>
      </c>
      <c r="AI1269" s="81">
        <v>323</v>
      </c>
      <c r="AJ1269" s="81"/>
      <c r="AK1269" s="81" t="s">
        <v>3472</v>
      </c>
      <c r="AL1269" s="81" t="s">
        <v>3720</v>
      </c>
      <c r="AM1269" s="81"/>
      <c r="AN1269" s="81"/>
      <c r="AO1269" s="83">
        <v>39932.725381944445</v>
      </c>
      <c r="AP1269" s="84" t="str">
        <f>HYPERLINK("https://pbs.twimg.com/profile_banners/36414779/1359721401")</f>
        <v>https://pbs.twimg.com/profile_banners/36414779/1359721401</v>
      </c>
      <c r="AQ1269" s="81" t="b">
        <v>0</v>
      </c>
      <c r="AR1269" s="81" t="b">
        <v>0</v>
      </c>
      <c r="AS1269" s="81" t="b">
        <v>1</v>
      </c>
      <c r="AT1269" s="81"/>
      <c r="AU1269" s="81">
        <v>8</v>
      </c>
      <c r="AV1269" s="84" t="str">
        <f>HYPERLINK("https://abs.twimg.com/images/themes/theme1/bg.png")</f>
        <v>https://abs.twimg.com/images/themes/theme1/bg.png</v>
      </c>
      <c r="AW1269" s="81" t="b">
        <v>0</v>
      </c>
      <c r="AX1269" s="81" t="s">
        <v>3728</v>
      </c>
      <c r="AY1269" s="84" t="str">
        <f>HYPERLINK("https://twitter.com/elgowh")</f>
        <v>https://twitter.com/elgowh</v>
      </c>
      <c r="AZ1269" s="81" t="s">
        <v>66</v>
      </c>
      <c r="BA1269" s="2"/>
      <c r="BB1269" s="3"/>
      <c r="BC1269" s="3"/>
      <c r="BD1269" s="3"/>
      <c r="BE1269" s="3"/>
    </row>
    <row r="1270" spans="1:57" x14ac:dyDescent="0.35">
      <c r="A1270" s="66" t="s">
        <v>4818</v>
      </c>
      <c r="B1270" s="67"/>
      <c r="C1270" s="67"/>
      <c r="D1270" s="68"/>
      <c r="E1270" s="94"/>
      <c r="F1270" s="93" t="str">
        <f>HYPERLINK("https://pbs.twimg.com/profile_images/1443197102427889675/BIWCJ59G_normal.jpg")</f>
        <v>https://pbs.twimg.com/profile_images/1443197102427889675/BIWCJ59G_normal.jpg</v>
      </c>
      <c r="G1270" s="95"/>
      <c r="H1270" s="71"/>
      <c r="I1270" s="72"/>
      <c r="J1270" s="96"/>
      <c r="K1270" s="71" t="s">
        <v>12240</v>
      </c>
      <c r="L1270" s="97"/>
      <c r="M1270" s="76"/>
      <c r="N1270" s="76"/>
      <c r="O1270" s="77"/>
      <c r="P1270" s="78"/>
      <c r="Q1270" s="78"/>
      <c r="R1270" s="92"/>
      <c r="S1270" s="92"/>
      <c r="T1270" s="92"/>
      <c r="U1270" s="92"/>
      <c r="V1270" s="52"/>
      <c r="W1270" s="52"/>
      <c r="X1270" s="52"/>
      <c r="Y1270" s="52"/>
      <c r="Z1270" s="51"/>
      <c r="AA1270" s="73"/>
      <c r="AB1270" s="73"/>
      <c r="AC1270" s="74"/>
      <c r="AD1270" s="81" t="s">
        <v>8856</v>
      </c>
      <c r="AE1270" s="86" t="s">
        <v>9834</v>
      </c>
      <c r="AF1270" s="81">
        <v>4720</v>
      </c>
      <c r="AG1270" s="81">
        <v>3197</v>
      </c>
      <c r="AH1270" s="81">
        <v>15020</v>
      </c>
      <c r="AI1270" s="81">
        <v>8913</v>
      </c>
      <c r="AJ1270" s="81"/>
      <c r="AK1270" s="81" t="s">
        <v>13947</v>
      </c>
      <c r="AL1270" s="81" t="s">
        <v>10985</v>
      </c>
      <c r="AM1270" s="84" t="str">
        <f>HYPERLINK("https://t.co/YbRnnAU3A7")</f>
        <v>https://t.co/YbRnnAU3A7</v>
      </c>
      <c r="AN1270" s="81"/>
      <c r="AO1270" s="83">
        <v>44349.612314814818</v>
      </c>
      <c r="AP1270" s="84" t="str">
        <f>HYPERLINK("https://pbs.twimg.com/profile_banners/1400100177973854208/1632419114")</f>
        <v>https://pbs.twimg.com/profile_banners/1400100177973854208/1632419114</v>
      </c>
      <c r="AQ1270" s="81" t="b">
        <v>1</v>
      </c>
      <c r="AR1270" s="81" t="b">
        <v>0</v>
      </c>
      <c r="AS1270" s="81" t="b">
        <v>0</v>
      </c>
      <c r="AT1270" s="81"/>
      <c r="AU1270" s="81">
        <v>0</v>
      </c>
      <c r="AV1270" s="81"/>
      <c r="AW1270" s="81" t="b">
        <v>0</v>
      </c>
      <c r="AX1270" s="81" t="s">
        <v>3728</v>
      </c>
      <c r="AY1270" s="84" t="str">
        <f>HYPERLINK("https://twitter.com/ciencia_o")</f>
        <v>https://twitter.com/ciencia_o</v>
      </c>
      <c r="AZ1270" s="81" t="s">
        <v>66</v>
      </c>
      <c r="BA1270" s="2"/>
      <c r="BB1270" s="3"/>
      <c r="BC1270" s="3"/>
      <c r="BD1270" s="3"/>
      <c r="BE1270" s="3"/>
    </row>
    <row r="1271" spans="1:57" x14ac:dyDescent="0.35">
      <c r="A1271" s="66" t="s">
        <v>4819</v>
      </c>
      <c r="B1271" s="67"/>
      <c r="C1271" s="67"/>
      <c r="D1271" s="68"/>
      <c r="E1271" s="94"/>
      <c r="F1271" s="93" t="str">
        <f>HYPERLINK("https://pbs.twimg.com/profile_images/1343488344718766081/dO0f23sS_normal.jpg")</f>
        <v>https://pbs.twimg.com/profile_images/1343488344718766081/dO0f23sS_normal.jpg</v>
      </c>
      <c r="G1271" s="95"/>
      <c r="H1271" s="71"/>
      <c r="I1271" s="72"/>
      <c r="J1271" s="96"/>
      <c r="K1271" s="71" t="s">
        <v>12241</v>
      </c>
      <c r="L1271" s="97"/>
      <c r="M1271" s="76"/>
      <c r="N1271" s="76"/>
      <c r="O1271" s="77"/>
      <c r="P1271" s="78"/>
      <c r="Q1271" s="78"/>
      <c r="R1271" s="92"/>
      <c r="S1271" s="92"/>
      <c r="T1271" s="92"/>
      <c r="U1271" s="92"/>
      <c r="V1271" s="52"/>
      <c r="W1271" s="52"/>
      <c r="X1271" s="52"/>
      <c r="Y1271" s="52"/>
      <c r="Z1271" s="51"/>
      <c r="AA1271" s="73"/>
      <c r="AB1271" s="73"/>
      <c r="AC1271" s="74"/>
      <c r="AD1271" s="81" t="s">
        <v>8857</v>
      </c>
      <c r="AE1271" s="86" t="s">
        <v>9835</v>
      </c>
      <c r="AF1271" s="81">
        <v>17</v>
      </c>
      <c r="AG1271" s="81">
        <v>81</v>
      </c>
      <c r="AH1271" s="81">
        <v>704</v>
      </c>
      <c r="AI1271" s="81">
        <v>1</v>
      </c>
      <c r="AJ1271" s="81"/>
      <c r="AK1271" s="81"/>
      <c r="AL1271" s="81" t="s">
        <v>11070</v>
      </c>
      <c r="AM1271" s="84" t="str">
        <f>HYPERLINK("https://t.co/1ZPc5kQRT7")</f>
        <v>https://t.co/1ZPc5kQRT7</v>
      </c>
      <c r="AN1271" s="81"/>
      <c r="AO1271" s="83">
        <v>41557.869768518518</v>
      </c>
      <c r="AP1271" s="84" t="str">
        <f>HYPERLINK("https://pbs.twimg.com/profile_banners/1952597966/1630490581")</f>
        <v>https://pbs.twimg.com/profile_banners/1952597966/1630490581</v>
      </c>
      <c r="AQ1271" s="81" t="b">
        <v>0</v>
      </c>
      <c r="AR1271" s="81" t="b">
        <v>0</v>
      </c>
      <c r="AS1271" s="81" t="b">
        <v>0</v>
      </c>
      <c r="AT1271" s="81"/>
      <c r="AU1271" s="81">
        <v>1</v>
      </c>
      <c r="AV1271" s="84" t="str">
        <f>HYPERLINK("https://abs.twimg.com/images/themes/theme1/bg.png")</f>
        <v>https://abs.twimg.com/images/themes/theme1/bg.png</v>
      </c>
      <c r="AW1271" s="81" t="b">
        <v>0</v>
      </c>
      <c r="AX1271" s="81" t="s">
        <v>3728</v>
      </c>
      <c r="AY1271" s="84" t="str">
        <f>HYPERLINK("https://twitter.com/inspsic")</f>
        <v>https://twitter.com/inspsic</v>
      </c>
      <c r="AZ1271" s="81" t="s">
        <v>66</v>
      </c>
      <c r="BA1271" s="2"/>
      <c r="BB1271" s="3"/>
      <c r="BC1271" s="3"/>
      <c r="BD1271" s="3"/>
      <c r="BE1271" s="3"/>
    </row>
    <row r="1272" spans="1:57" x14ac:dyDescent="0.35">
      <c r="A1272" s="66" t="s">
        <v>4820</v>
      </c>
      <c r="B1272" s="67"/>
      <c r="C1272" s="67"/>
      <c r="D1272" s="68"/>
      <c r="E1272" s="94"/>
      <c r="F1272" s="93" t="str">
        <f>HYPERLINK("https://pbs.twimg.com/profile_images/1427998412117528578/BGsCucsK_normal.jpg")</f>
        <v>https://pbs.twimg.com/profile_images/1427998412117528578/BGsCucsK_normal.jpg</v>
      </c>
      <c r="G1272" s="95"/>
      <c r="H1272" s="71"/>
      <c r="I1272" s="72"/>
      <c r="J1272" s="96"/>
      <c r="K1272" s="71" t="s">
        <v>12242</v>
      </c>
      <c r="L1272" s="97"/>
      <c r="M1272" s="76"/>
      <c r="N1272" s="76"/>
      <c r="O1272" s="77"/>
      <c r="P1272" s="78"/>
      <c r="Q1272" s="78"/>
      <c r="R1272" s="92"/>
      <c r="S1272" s="92"/>
      <c r="T1272" s="92"/>
      <c r="U1272" s="92"/>
      <c r="V1272" s="52"/>
      <c r="W1272" s="52"/>
      <c r="X1272" s="52"/>
      <c r="Y1272" s="52"/>
      <c r="Z1272" s="51"/>
      <c r="AA1272" s="73"/>
      <c r="AB1272" s="73"/>
      <c r="AC1272" s="74"/>
      <c r="AD1272" s="81" t="s">
        <v>8858</v>
      </c>
      <c r="AE1272" s="86" t="s">
        <v>9836</v>
      </c>
      <c r="AF1272" s="81">
        <v>1092</v>
      </c>
      <c r="AG1272" s="81">
        <v>424</v>
      </c>
      <c r="AH1272" s="81">
        <v>1005</v>
      </c>
      <c r="AI1272" s="81">
        <v>3967</v>
      </c>
      <c r="AJ1272" s="81"/>
      <c r="AK1272" s="81" t="s">
        <v>10747</v>
      </c>
      <c r="AL1272" s="81" t="s">
        <v>11295</v>
      </c>
      <c r="AM1272" s="84" t="str">
        <f>HYPERLINK("https://t.co/fGoThnwb9z")</f>
        <v>https://t.co/fGoThnwb9z</v>
      </c>
      <c r="AN1272" s="81"/>
      <c r="AO1272" s="83">
        <v>41626.799039351848</v>
      </c>
      <c r="AP1272" s="84" t="str">
        <f>HYPERLINK("https://pbs.twimg.com/profile_banners/2252422640/1628013713")</f>
        <v>https://pbs.twimg.com/profile_banners/2252422640/1628013713</v>
      </c>
      <c r="AQ1272" s="81" t="b">
        <v>0</v>
      </c>
      <c r="AR1272" s="81" t="b">
        <v>0</v>
      </c>
      <c r="AS1272" s="81" t="b">
        <v>1</v>
      </c>
      <c r="AT1272" s="81"/>
      <c r="AU1272" s="81">
        <v>15</v>
      </c>
      <c r="AV1272" s="84" t="str">
        <f>HYPERLINK("https://abs.twimg.com/images/themes/theme3/bg.gif")</f>
        <v>https://abs.twimg.com/images/themes/theme3/bg.gif</v>
      </c>
      <c r="AW1272" s="81" t="b">
        <v>0</v>
      </c>
      <c r="AX1272" s="81" t="s">
        <v>3728</v>
      </c>
      <c r="AY1272" s="84" t="str">
        <f>HYPERLINK("https://twitter.com/csmboto")</f>
        <v>https://twitter.com/csmboto</v>
      </c>
      <c r="AZ1272" s="81" t="s">
        <v>66</v>
      </c>
      <c r="BA1272" s="2"/>
      <c r="BB1272" s="3"/>
      <c r="BC1272" s="3"/>
      <c r="BD1272" s="3"/>
      <c r="BE1272" s="3"/>
    </row>
    <row r="1273" spans="1:57" x14ac:dyDescent="0.35">
      <c r="A1273" s="66" t="s">
        <v>564</v>
      </c>
      <c r="B1273" s="67"/>
      <c r="C1273" s="67"/>
      <c r="D1273" s="68"/>
      <c r="E1273" s="94"/>
      <c r="F1273" s="93" t="str">
        <f>HYPERLINK("https://pbs.twimg.com/profile_images/1442527905259479043/KCyjZ3kH_normal.jpg")</f>
        <v>https://pbs.twimg.com/profile_images/1442527905259479043/KCyjZ3kH_normal.jpg</v>
      </c>
      <c r="G1273" s="95"/>
      <c r="H1273" s="71"/>
      <c r="I1273" s="72"/>
      <c r="J1273" s="96"/>
      <c r="K1273" s="71" t="s">
        <v>4138</v>
      </c>
      <c r="L1273" s="97"/>
      <c r="M1273" s="76"/>
      <c r="N1273" s="76"/>
      <c r="O1273" s="77"/>
      <c r="P1273" s="78"/>
      <c r="Q1273" s="78"/>
      <c r="R1273" s="92"/>
      <c r="S1273" s="92"/>
      <c r="T1273" s="92"/>
      <c r="U1273" s="92"/>
      <c r="V1273" s="52"/>
      <c r="W1273" s="52"/>
      <c r="X1273" s="52"/>
      <c r="Y1273" s="52"/>
      <c r="Z1273" s="51"/>
      <c r="AA1273" s="73"/>
      <c r="AB1273" s="73"/>
      <c r="AC1273" s="74"/>
      <c r="AD1273" s="81" t="s">
        <v>2649</v>
      </c>
      <c r="AE1273" s="86" t="s">
        <v>3046</v>
      </c>
      <c r="AF1273" s="81">
        <v>510</v>
      </c>
      <c r="AG1273" s="81">
        <v>13180</v>
      </c>
      <c r="AH1273" s="81">
        <v>15684</v>
      </c>
      <c r="AI1273" s="81">
        <v>5684</v>
      </c>
      <c r="AJ1273" s="81"/>
      <c r="AK1273" s="81" t="s">
        <v>3473</v>
      </c>
      <c r="AL1273" s="81"/>
      <c r="AM1273" s="81"/>
      <c r="AN1273" s="81"/>
      <c r="AO1273" s="83">
        <v>43759.764201388891</v>
      </c>
      <c r="AP1273" s="84" t="str">
        <f>HYPERLINK("https://pbs.twimg.com/profile_banners/1186346362574524416/1601642773")</f>
        <v>https://pbs.twimg.com/profile_banners/1186346362574524416/1601642773</v>
      </c>
      <c r="AQ1273" s="81" t="b">
        <v>1</v>
      </c>
      <c r="AR1273" s="81" t="b">
        <v>0</v>
      </c>
      <c r="AS1273" s="81" t="b">
        <v>1</v>
      </c>
      <c r="AT1273" s="81"/>
      <c r="AU1273" s="81">
        <v>0</v>
      </c>
      <c r="AV1273" s="81"/>
      <c r="AW1273" s="81" t="b">
        <v>0</v>
      </c>
      <c r="AX1273" s="81" t="s">
        <v>3728</v>
      </c>
      <c r="AY1273" s="84" t="str">
        <f>HYPERLINK("https://twitter.com/hash1r4_")</f>
        <v>https://twitter.com/hash1r4_</v>
      </c>
      <c r="AZ1273" s="81" t="s">
        <v>66</v>
      </c>
      <c r="BA1273" s="2"/>
      <c r="BB1273" s="3"/>
      <c r="BC1273" s="3"/>
      <c r="BD1273" s="3"/>
      <c r="BE1273" s="3"/>
    </row>
    <row r="1274" spans="1:57" x14ac:dyDescent="0.35">
      <c r="A1274" s="66" t="s">
        <v>689</v>
      </c>
      <c r="B1274" s="67"/>
      <c r="C1274" s="67"/>
      <c r="D1274" s="68"/>
      <c r="E1274" s="94"/>
      <c r="F1274" s="93" t="str">
        <f>HYPERLINK("https://pbs.twimg.com/profile_images/1435598704300331008/ykNYMtn7_normal.jpg")</f>
        <v>https://pbs.twimg.com/profile_images/1435598704300331008/ykNYMtn7_normal.jpg</v>
      </c>
      <c r="G1274" s="95"/>
      <c r="H1274" s="71"/>
      <c r="I1274" s="72"/>
      <c r="J1274" s="96"/>
      <c r="K1274" s="71" t="s">
        <v>4139</v>
      </c>
      <c r="L1274" s="97"/>
      <c r="M1274" s="76"/>
      <c r="N1274" s="76"/>
      <c r="O1274" s="77"/>
      <c r="P1274" s="78"/>
      <c r="Q1274" s="78"/>
      <c r="R1274" s="92"/>
      <c r="S1274" s="92"/>
      <c r="T1274" s="92"/>
      <c r="U1274" s="92"/>
      <c r="V1274" s="52"/>
      <c r="W1274" s="52"/>
      <c r="X1274" s="52"/>
      <c r="Y1274" s="52"/>
      <c r="Z1274" s="51"/>
      <c r="AA1274" s="73"/>
      <c r="AB1274" s="73"/>
      <c r="AC1274" s="74"/>
      <c r="AD1274" s="81" t="s">
        <v>2650</v>
      </c>
      <c r="AE1274" s="86" t="s">
        <v>2164</v>
      </c>
      <c r="AF1274" s="81">
        <v>272</v>
      </c>
      <c r="AG1274" s="81">
        <v>5456</v>
      </c>
      <c r="AH1274" s="81">
        <v>3278</v>
      </c>
      <c r="AI1274" s="81">
        <v>1020</v>
      </c>
      <c r="AJ1274" s="81"/>
      <c r="AK1274" s="81" t="s">
        <v>3474</v>
      </c>
      <c r="AL1274" s="81"/>
      <c r="AM1274" s="81"/>
      <c r="AN1274" s="81"/>
      <c r="AO1274" s="83">
        <v>44032.496620370373</v>
      </c>
      <c r="AP1274" s="84" t="str">
        <f>HYPERLINK("https://pbs.twimg.com/profile_banners/1285181380784078848/1626769450")</f>
        <v>https://pbs.twimg.com/profile_banners/1285181380784078848/1626769450</v>
      </c>
      <c r="AQ1274" s="81" t="b">
        <v>1</v>
      </c>
      <c r="AR1274" s="81" t="b">
        <v>0</v>
      </c>
      <c r="AS1274" s="81" t="b">
        <v>0</v>
      </c>
      <c r="AT1274" s="81"/>
      <c r="AU1274" s="81">
        <v>1</v>
      </c>
      <c r="AV1274" s="81"/>
      <c r="AW1274" s="81" t="b">
        <v>0</v>
      </c>
      <c r="AX1274" s="81" t="s">
        <v>3728</v>
      </c>
      <c r="AY1274" s="84" t="str">
        <f>HYPERLINK("https://twitter.com/rekkaal")</f>
        <v>https://twitter.com/rekkaal</v>
      </c>
      <c r="AZ1274" s="81" t="s">
        <v>65</v>
      </c>
      <c r="BA1274" s="2"/>
      <c r="BB1274" s="3"/>
      <c r="BC1274" s="3"/>
      <c r="BD1274" s="3"/>
      <c r="BE1274" s="3"/>
    </row>
    <row r="1275" spans="1:57" x14ac:dyDescent="0.35">
      <c r="A1275" s="66" t="s">
        <v>4821</v>
      </c>
      <c r="B1275" s="67"/>
      <c r="C1275" s="67"/>
      <c r="D1275" s="68"/>
      <c r="E1275" s="94"/>
      <c r="F1275" s="93" t="str">
        <f>HYPERLINK("https://pbs.twimg.com/profile_images/1435853259042852867/AcfLmnj0_normal.jpg")</f>
        <v>https://pbs.twimg.com/profile_images/1435853259042852867/AcfLmnj0_normal.jpg</v>
      </c>
      <c r="G1275" s="95"/>
      <c r="H1275" s="71"/>
      <c r="I1275" s="72"/>
      <c r="J1275" s="96"/>
      <c r="K1275" s="71" t="s">
        <v>12243</v>
      </c>
      <c r="L1275" s="97"/>
      <c r="M1275" s="76"/>
      <c r="N1275" s="76"/>
      <c r="O1275" s="77"/>
      <c r="P1275" s="78"/>
      <c r="Q1275" s="78"/>
      <c r="R1275" s="92"/>
      <c r="S1275" s="92"/>
      <c r="T1275" s="92"/>
      <c r="U1275" s="92"/>
      <c r="V1275" s="52"/>
      <c r="W1275" s="52"/>
      <c r="X1275" s="52"/>
      <c r="Y1275" s="52"/>
      <c r="Z1275" s="51"/>
      <c r="AA1275" s="73"/>
      <c r="AB1275" s="73"/>
      <c r="AC1275" s="74"/>
      <c r="AD1275" s="81" t="s">
        <v>8859</v>
      </c>
      <c r="AE1275" s="86" t="s">
        <v>9837</v>
      </c>
      <c r="AF1275" s="81">
        <v>2952</v>
      </c>
      <c r="AG1275" s="81">
        <v>469</v>
      </c>
      <c r="AH1275" s="81">
        <v>1109</v>
      </c>
      <c r="AI1275" s="81">
        <v>1421</v>
      </c>
      <c r="AJ1275" s="81"/>
      <c r="AK1275" s="81"/>
      <c r="AL1275" s="81"/>
      <c r="AM1275" s="81"/>
      <c r="AN1275" s="81"/>
      <c r="AO1275" s="83">
        <v>44446.584270833337</v>
      </c>
      <c r="AP1275" s="81"/>
      <c r="AQ1275" s="81" t="b">
        <v>1</v>
      </c>
      <c r="AR1275" s="81" t="b">
        <v>0</v>
      </c>
      <c r="AS1275" s="81" t="b">
        <v>0</v>
      </c>
      <c r="AT1275" s="81"/>
      <c r="AU1275" s="81">
        <v>0</v>
      </c>
      <c r="AV1275" s="81"/>
      <c r="AW1275" s="81" t="b">
        <v>0</v>
      </c>
      <c r="AX1275" s="81" t="s">
        <v>3728</v>
      </c>
      <c r="AY1275" s="84" t="str">
        <f>HYPERLINK("https://twitter.com/maro92084115")</f>
        <v>https://twitter.com/maro92084115</v>
      </c>
      <c r="AZ1275" s="81" t="s">
        <v>66</v>
      </c>
      <c r="BA1275" s="2"/>
      <c r="BB1275" s="3"/>
      <c r="BC1275" s="3"/>
      <c r="BD1275" s="3"/>
      <c r="BE1275" s="3"/>
    </row>
    <row r="1276" spans="1:57" x14ac:dyDescent="0.35">
      <c r="A1276" s="66" t="s">
        <v>5166</v>
      </c>
      <c r="B1276" s="67"/>
      <c r="C1276" s="67"/>
      <c r="D1276" s="68"/>
      <c r="E1276" s="94"/>
      <c r="F1276" s="93" t="str">
        <f>HYPERLINK("https://pbs.twimg.com/profile_images/1193671291334746112/77tZk-LB_normal.jpg")</f>
        <v>https://pbs.twimg.com/profile_images/1193671291334746112/77tZk-LB_normal.jpg</v>
      </c>
      <c r="G1276" s="95"/>
      <c r="H1276" s="71"/>
      <c r="I1276" s="72"/>
      <c r="J1276" s="96"/>
      <c r="K1276" s="71" t="s">
        <v>12244</v>
      </c>
      <c r="L1276" s="97"/>
      <c r="M1276" s="76"/>
      <c r="N1276" s="76"/>
      <c r="O1276" s="77"/>
      <c r="P1276" s="78"/>
      <c r="Q1276" s="78"/>
      <c r="R1276" s="92"/>
      <c r="S1276" s="92"/>
      <c r="T1276" s="92"/>
      <c r="U1276" s="92"/>
      <c r="V1276" s="52"/>
      <c r="W1276" s="52"/>
      <c r="X1276" s="52"/>
      <c r="Y1276" s="52"/>
      <c r="Z1276" s="51"/>
      <c r="AA1276" s="73"/>
      <c r="AB1276" s="73"/>
      <c r="AC1276" s="74"/>
      <c r="AD1276" s="81" t="s">
        <v>8860</v>
      </c>
      <c r="AE1276" s="86" t="s">
        <v>7909</v>
      </c>
      <c r="AF1276" s="81">
        <v>906</v>
      </c>
      <c r="AG1276" s="81">
        <v>28</v>
      </c>
      <c r="AH1276" s="81">
        <v>168</v>
      </c>
      <c r="AI1276" s="81">
        <v>32594</v>
      </c>
      <c r="AJ1276" s="81"/>
      <c r="AK1276" s="81"/>
      <c r="AL1276" s="81"/>
      <c r="AM1276" s="81"/>
      <c r="AN1276" s="81"/>
      <c r="AO1276" s="83">
        <v>43632.02679398148</v>
      </c>
      <c r="AP1276" s="81"/>
      <c r="AQ1276" s="81" t="b">
        <v>1</v>
      </c>
      <c r="AR1276" s="81" t="b">
        <v>0</v>
      </c>
      <c r="AS1276" s="81" t="b">
        <v>0</v>
      </c>
      <c r="AT1276" s="81"/>
      <c r="AU1276" s="81">
        <v>0</v>
      </c>
      <c r="AV1276" s="81"/>
      <c r="AW1276" s="81" t="b">
        <v>0</v>
      </c>
      <c r="AX1276" s="81" t="s">
        <v>3728</v>
      </c>
      <c r="AY1276" s="84" t="str">
        <f>HYPERLINK("https://twitter.com/mobysnatch")</f>
        <v>https://twitter.com/mobysnatch</v>
      </c>
      <c r="AZ1276" s="81" t="s">
        <v>65</v>
      </c>
      <c r="BA1276" s="2"/>
      <c r="BB1276" s="3"/>
      <c r="BC1276" s="3"/>
      <c r="BD1276" s="3"/>
      <c r="BE1276" s="3"/>
    </row>
    <row r="1277" spans="1:57" x14ac:dyDescent="0.35">
      <c r="A1277" s="66" t="s">
        <v>4822</v>
      </c>
      <c r="B1277" s="67"/>
      <c r="C1277" s="67"/>
      <c r="D1277" s="68"/>
      <c r="E1277" s="94"/>
      <c r="F1277" s="93" t="str">
        <f>HYPERLINK("https://abs.twimg.com/sticky/default_profile_images/default_profile_normal.png")</f>
        <v>https://abs.twimg.com/sticky/default_profile_images/default_profile_normal.png</v>
      </c>
      <c r="G1277" s="95"/>
      <c r="H1277" s="71"/>
      <c r="I1277" s="72"/>
      <c r="J1277" s="96"/>
      <c r="K1277" s="71" t="s">
        <v>12245</v>
      </c>
      <c r="L1277" s="97"/>
      <c r="M1277" s="76"/>
      <c r="N1277" s="76"/>
      <c r="O1277" s="77"/>
      <c r="P1277" s="78"/>
      <c r="Q1277" s="78"/>
      <c r="R1277" s="92"/>
      <c r="S1277" s="92"/>
      <c r="T1277" s="92"/>
      <c r="U1277" s="92"/>
      <c r="V1277" s="52"/>
      <c r="W1277" s="52"/>
      <c r="X1277" s="52"/>
      <c r="Y1277" s="52"/>
      <c r="Z1277" s="51"/>
      <c r="AA1277" s="73"/>
      <c r="AB1277" s="73"/>
      <c r="AC1277" s="74"/>
      <c r="AD1277" s="81" t="s">
        <v>8861</v>
      </c>
      <c r="AE1277" s="86" t="s">
        <v>9838</v>
      </c>
      <c r="AF1277" s="81">
        <v>21</v>
      </c>
      <c r="AG1277" s="81">
        <v>617</v>
      </c>
      <c r="AH1277" s="81">
        <v>66592</v>
      </c>
      <c r="AI1277" s="81">
        <v>690</v>
      </c>
      <c r="AJ1277" s="81"/>
      <c r="AK1277" s="81"/>
      <c r="AL1277" s="81"/>
      <c r="AM1277" s="81"/>
      <c r="AN1277" s="81"/>
      <c r="AO1277" s="83">
        <v>43195.913148148145</v>
      </c>
      <c r="AP1277" s="81"/>
      <c r="AQ1277" s="81" t="b">
        <v>1</v>
      </c>
      <c r="AR1277" s="81" t="b">
        <v>1</v>
      </c>
      <c r="AS1277" s="81" t="b">
        <v>0</v>
      </c>
      <c r="AT1277" s="81"/>
      <c r="AU1277" s="81">
        <v>15</v>
      </c>
      <c r="AV1277" s="81"/>
      <c r="AW1277" s="81" t="b">
        <v>0</v>
      </c>
      <c r="AX1277" s="81" t="s">
        <v>3728</v>
      </c>
      <c r="AY1277" s="84" t="str">
        <f>HYPERLINK("https://twitter.com/shaolintrader88")</f>
        <v>https://twitter.com/shaolintrader88</v>
      </c>
      <c r="AZ1277" s="81" t="s">
        <v>66</v>
      </c>
      <c r="BA1277" s="2"/>
      <c r="BB1277" s="3"/>
      <c r="BC1277" s="3"/>
      <c r="BD1277" s="3"/>
      <c r="BE1277" s="3"/>
    </row>
    <row r="1278" spans="1:57" x14ac:dyDescent="0.35">
      <c r="A1278" s="66" t="s">
        <v>565</v>
      </c>
      <c r="B1278" s="67"/>
      <c r="C1278" s="67"/>
      <c r="D1278" s="68"/>
      <c r="E1278" s="94"/>
      <c r="F1278" s="93" t="str">
        <f>HYPERLINK("https://pbs.twimg.com/profile_images/541215484788490241/BMpZp2ug_normal.jpeg")</f>
        <v>https://pbs.twimg.com/profile_images/541215484788490241/BMpZp2ug_normal.jpeg</v>
      </c>
      <c r="G1278" s="95"/>
      <c r="H1278" s="71"/>
      <c r="I1278" s="72"/>
      <c r="J1278" s="96"/>
      <c r="K1278" s="71" t="s">
        <v>4140</v>
      </c>
      <c r="L1278" s="97"/>
      <c r="M1278" s="76"/>
      <c r="N1278" s="76"/>
      <c r="O1278" s="77"/>
      <c r="P1278" s="78"/>
      <c r="Q1278" s="78"/>
      <c r="R1278" s="92"/>
      <c r="S1278" s="92"/>
      <c r="T1278" s="92"/>
      <c r="U1278" s="92"/>
      <c r="V1278" s="52"/>
      <c r="W1278" s="52"/>
      <c r="X1278" s="52"/>
      <c r="Y1278" s="52"/>
      <c r="Z1278" s="51"/>
      <c r="AA1278" s="73"/>
      <c r="AB1278" s="73"/>
      <c r="AC1278" s="74"/>
      <c r="AD1278" s="81" t="s">
        <v>2651</v>
      </c>
      <c r="AE1278" s="86" t="s">
        <v>3047</v>
      </c>
      <c r="AF1278" s="81">
        <v>997</v>
      </c>
      <c r="AG1278" s="81">
        <v>20624</v>
      </c>
      <c r="AH1278" s="81">
        <v>57529</v>
      </c>
      <c r="AI1278" s="81">
        <v>2250</v>
      </c>
      <c r="AJ1278" s="81"/>
      <c r="AK1278" s="81" t="s">
        <v>3475</v>
      </c>
      <c r="AL1278" s="81" t="s">
        <v>3721</v>
      </c>
      <c r="AM1278" s="84" t="str">
        <f>HYPERLINK("https://t.co/OMTe0P6Bja")</f>
        <v>https://t.co/OMTe0P6Bja</v>
      </c>
      <c r="AN1278" s="81"/>
      <c r="AO1278" s="83">
        <v>39872.089317129627</v>
      </c>
      <c r="AP1278" s="84" t="str">
        <f>HYPERLINK("https://pbs.twimg.com/profile_banners/22218406/1599453739")</f>
        <v>https://pbs.twimg.com/profile_banners/22218406/1599453739</v>
      </c>
      <c r="AQ1278" s="81" t="b">
        <v>0</v>
      </c>
      <c r="AR1278" s="81" t="b">
        <v>0</v>
      </c>
      <c r="AS1278" s="81" t="b">
        <v>1</v>
      </c>
      <c r="AT1278" s="81"/>
      <c r="AU1278" s="81">
        <v>185</v>
      </c>
      <c r="AV1278" s="84" t="str">
        <f>HYPERLINK("https://abs.twimg.com/images/themes/theme12/bg.gif")</f>
        <v>https://abs.twimg.com/images/themes/theme12/bg.gif</v>
      </c>
      <c r="AW1278" s="81" t="b">
        <v>0</v>
      </c>
      <c r="AX1278" s="81" t="s">
        <v>3728</v>
      </c>
      <c r="AY1278" s="84" t="str">
        <f>HYPERLINK("https://twitter.com/luluiii")</f>
        <v>https://twitter.com/luluiii</v>
      </c>
      <c r="AZ1278" s="81" t="s">
        <v>66</v>
      </c>
      <c r="BA1278" s="2"/>
      <c r="BB1278" s="3"/>
      <c r="BC1278" s="3"/>
      <c r="BD1278" s="3"/>
      <c r="BE1278" s="3"/>
    </row>
    <row r="1279" spans="1:57" x14ac:dyDescent="0.35">
      <c r="A1279" s="66" t="s">
        <v>4823</v>
      </c>
      <c r="B1279" s="67"/>
      <c r="C1279" s="67"/>
      <c r="D1279" s="68"/>
      <c r="E1279" s="94"/>
      <c r="F1279" s="93" t="str">
        <f>HYPERLINK("https://pbs.twimg.com/profile_images/1418565167692931079/phnF52vk_normal.jpg")</f>
        <v>https://pbs.twimg.com/profile_images/1418565167692931079/phnF52vk_normal.jpg</v>
      </c>
      <c r="G1279" s="95"/>
      <c r="H1279" s="71"/>
      <c r="I1279" s="72"/>
      <c r="J1279" s="96"/>
      <c r="K1279" s="71" t="s">
        <v>12246</v>
      </c>
      <c r="L1279" s="97"/>
      <c r="M1279" s="76"/>
      <c r="N1279" s="76"/>
      <c r="O1279" s="77"/>
      <c r="P1279" s="78"/>
      <c r="Q1279" s="78"/>
      <c r="R1279" s="92"/>
      <c r="S1279" s="92"/>
      <c r="T1279" s="92"/>
      <c r="U1279" s="92"/>
      <c r="V1279" s="52"/>
      <c r="W1279" s="52"/>
      <c r="X1279" s="52"/>
      <c r="Y1279" s="52"/>
      <c r="Z1279" s="51"/>
      <c r="AA1279" s="73"/>
      <c r="AB1279" s="73"/>
      <c r="AC1279" s="74"/>
      <c r="AD1279" s="81" t="s">
        <v>8862</v>
      </c>
      <c r="AE1279" s="86" t="s">
        <v>7911</v>
      </c>
      <c r="AF1279" s="81">
        <v>295</v>
      </c>
      <c r="AG1279" s="81">
        <v>272</v>
      </c>
      <c r="AH1279" s="81">
        <v>65</v>
      </c>
      <c r="AI1279" s="81">
        <v>1738</v>
      </c>
      <c r="AJ1279" s="81"/>
      <c r="AK1279" s="81" t="s">
        <v>10748</v>
      </c>
      <c r="AL1279" s="81"/>
      <c r="AM1279" s="81"/>
      <c r="AN1279" s="81"/>
      <c r="AO1279" s="83">
        <v>44392.494432870371</v>
      </c>
      <c r="AP1279" s="81"/>
      <c r="AQ1279" s="81" t="b">
        <v>1</v>
      </c>
      <c r="AR1279" s="81" t="b">
        <v>0</v>
      </c>
      <c r="AS1279" s="81" t="b">
        <v>0</v>
      </c>
      <c r="AT1279" s="81"/>
      <c r="AU1279" s="81">
        <v>0</v>
      </c>
      <c r="AV1279" s="81"/>
      <c r="AW1279" s="81" t="b">
        <v>0</v>
      </c>
      <c r="AX1279" s="81" t="s">
        <v>3728</v>
      </c>
      <c r="AY1279" s="84" t="str">
        <f>HYPERLINK("https://twitter.com/kanata_pt")</f>
        <v>https://twitter.com/kanata_pt</v>
      </c>
      <c r="AZ1279" s="81" t="s">
        <v>66</v>
      </c>
      <c r="BA1279" s="2"/>
      <c r="BB1279" s="3"/>
      <c r="BC1279" s="3"/>
      <c r="BD1279" s="3"/>
      <c r="BE1279" s="3"/>
    </row>
    <row r="1280" spans="1:57" x14ac:dyDescent="0.35">
      <c r="A1280" s="66" t="s">
        <v>4824</v>
      </c>
      <c r="B1280" s="67"/>
      <c r="C1280" s="67"/>
      <c r="D1280" s="68"/>
      <c r="E1280" s="94"/>
      <c r="F1280" s="93" t="str">
        <f>HYPERLINK("https://pbs.twimg.com/profile_images/1276929058245234688/65sEW69e_normal.jpg")</f>
        <v>https://pbs.twimg.com/profile_images/1276929058245234688/65sEW69e_normal.jpg</v>
      </c>
      <c r="G1280" s="95"/>
      <c r="H1280" s="71"/>
      <c r="I1280" s="72"/>
      <c r="J1280" s="96"/>
      <c r="K1280" s="71" t="s">
        <v>12247</v>
      </c>
      <c r="L1280" s="97"/>
      <c r="M1280" s="76"/>
      <c r="N1280" s="76"/>
      <c r="O1280" s="77"/>
      <c r="P1280" s="78"/>
      <c r="Q1280" s="78"/>
      <c r="R1280" s="92"/>
      <c r="S1280" s="92"/>
      <c r="T1280" s="92"/>
      <c r="U1280" s="92"/>
      <c r="V1280" s="52"/>
      <c r="W1280" s="52"/>
      <c r="X1280" s="52"/>
      <c r="Y1280" s="52"/>
      <c r="Z1280" s="51"/>
      <c r="AA1280" s="73"/>
      <c r="AB1280" s="73"/>
      <c r="AC1280" s="74"/>
      <c r="AD1280" s="81" t="s">
        <v>13491</v>
      </c>
      <c r="AE1280" s="86" t="s">
        <v>7910</v>
      </c>
      <c r="AF1280" s="81">
        <v>558</v>
      </c>
      <c r="AG1280" s="81">
        <v>844</v>
      </c>
      <c r="AH1280" s="81">
        <v>1409</v>
      </c>
      <c r="AI1280" s="81">
        <v>1178</v>
      </c>
      <c r="AJ1280" s="81"/>
      <c r="AK1280" s="81" t="s">
        <v>10749</v>
      </c>
      <c r="AL1280" s="81"/>
      <c r="AM1280" s="84" t="str">
        <f>HYPERLINK("https://t.co/xk96OqBicK")</f>
        <v>https://t.co/xk96OqBicK</v>
      </c>
      <c r="AN1280" s="81"/>
      <c r="AO1280" s="83">
        <v>40584.716446759259</v>
      </c>
      <c r="AP1280" s="84" t="str">
        <f>HYPERLINK("https://pbs.twimg.com/profile_banners/250217099/1626100916")</f>
        <v>https://pbs.twimg.com/profile_banners/250217099/1626100916</v>
      </c>
      <c r="AQ1280" s="81" t="b">
        <v>1</v>
      </c>
      <c r="AR1280" s="81" t="b">
        <v>0</v>
      </c>
      <c r="AS1280" s="81" t="b">
        <v>0</v>
      </c>
      <c r="AT1280" s="81"/>
      <c r="AU1280" s="81">
        <v>5</v>
      </c>
      <c r="AV1280" s="84" t="str">
        <f>HYPERLINK("https://abs.twimg.com/images/themes/theme1/bg.png")</f>
        <v>https://abs.twimg.com/images/themes/theme1/bg.png</v>
      </c>
      <c r="AW1280" s="81" t="b">
        <v>0</v>
      </c>
      <c r="AX1280" s="81" t="s">
        <v>3728</v>
      </c>
      <c r="AY1280" s="84" t="str">
        <f>HYPERLINK("https://twitter.com/pos_reha")</f>
        <v>https://twitter.com/pos_reha</v>
      </c>
      <c r="AZ1280" s="81" t="s">
        <v>66</v>
      </c>
      <c r="BA1280" s="2"/>
      <c r="BB1280" s="3"/>
      <c r="BC1280" s="3"/>
      <c r="BD1280" s="3"/>
      <c r="BE1280" s="3"/>
    </row>
    <row r="1281" spans="1:57" x14ac:dyDescent="0.35">
      <c r="A1281" s="66" t="s">
        <v>4825</v>
      </c>
      <c r="B1281" s="67"/>
      <c r="C1281" s="67"/>
      <c r="D1281" s="68"/>
      <c r="E1281" s="94"/>
      <c r="F1281" s="93" t="str">
        <f>HYPERLINK("https://pbs.twimg.com/profile_images/1441935431201865728/BJdagQVy_normal.jpg")</f>
        <v>https://pbs.twimg.com/profile_images/1441935431201865728/BJdagQVy_normal.jpg</v>
      </c>
      <c r="G1281" s="95"/>
      <c r="H1281" s="71"/>
      <c r="I1281" s="72"/>
      <c r="J1281" s="96"/>
      <c r="K1281" s="71" t="s">
        <v>12248</v>
      </c>
      <c r="L1281" s="97"/>
      <c r="M1281" s="76"/>
      <c r="N1281" s="76"/>
      <c r="O1281" s="77"/>
      <c r="P1281" s="78"/>
      <c r="Q1281" s="78"/>
      <c r="R1281" s="92"/>
      <c r="S1281" s="92"/>
      <c r="T1281" s="92"/>
      <c r="U1281" s="92"/>
      <c r="V1281" s="52"/>
      <c r="W1281" s="52"/>
      <c r="X1281" s="52"/>
      <c r="Y1281" s="52"/>
      <c r="Z1281" s="51"/>
      <c r="AA1281" s="73"/>
      <c r="AB1281" s="73"/>
      <c r="AC1281" s="74"/>
      <c r="AD1281" s="81" t="s">
        <v>8797</v>
      </c>
      <c r="AE1281" s="86" t="s">
        <v>9839</v>
      </c>
      <c r="AF1281" s="81">
        <v>1439</v>
      </c>
      <c r="AG1281" s="81">
        <v>1537</v>
      </c>
      <c r="AH1281" s="81">
        <v>30110</v>
      </c>
      <c r="AI1281" s="81">
        <v>112846</v>
      </c>
      <c r="AJ1281" s="81"/>
      <c r="AK1281" s="81" t="s">
        <v>10750</v>
      </c>
      <c r="AL1281" s="81" t="s">
        <v>10979</v>
      </c>
      <c r="AM1281" s="81"/>
      <c r="AN1281" s="81"/>
      <c r="AO1281" s="83">
        <v>42007.600208333337</v>
      </c>
      <c r="AP1281" s="84" t="str">
        <f>HYPERLINK("https://pbs.twimg.com/profile_banners/2958550972/1632619254")</f>
        <v>https://pbs.twimg.com/profile_banners/2958550972/1632619254</v>
      </c>
      <c r="AQ1281" s="81" t="b">
        <v>1</v>
      </c>
      <c r="AR1281" s="81" t="b">
        <v>0</v>
      </c>
      <c r="AS1281" s="81" t="b">
        <v>0</v>
      </c>
      <c r="AT1281" s="81"/>
      <c r="AU1281" s="81">
        <v>4</v>
      </c>
      <c r="AV1281" s="84" t="str">
        <f>HYPERLINK("https://abs.twimg.com/images/themes/theme1/bg.png")</f>
        <v>https://abs.twimg.com/images/themes/theme1/bg.png</v>
      </c>
      <c r="AW1281" s="81" t="b">
        <v>0</v>
      </c>
      <c r="AX1281" s="81" t="s">
        <v>3728</v>
      </c>
      <c r="AY1281" s="84" t="str">
        <f>HYPERLINK("https://twitter.com/youarecoringa")</f>
        <v>https://twitter.com/youarecoringa</v>
      </c>
      <c r="AZ1281" s="81" t="s">
        <v>66</v>
      </c>
      <c r="BA1281" s="2"/>
      <c r="BB1281" s="3"/>
      <c r="BC1281" s="3"/>
      <c r="BD1281" s="3"/>
      <c r="BE1281" s="3"/>
    </row>
    <row r="1282" spans="1:57" x14ac:dyDescent="0.35">
      <c r="A1282" s="66" t="s">
        <v>4826</v>
      </c>
      <c r="B1282" s="67"/>
      <c r="C1282" s="67"/>
      <c r="D1282" s="68"/>
      <c r="E1282" s="94"/>
      <c r="F1282" s="93" t="str">
        <f>HYPERLINK("https://pbs.twimg.com/profile_images/1435551136942071808/NfsJv-DW_normal.jpg")</f>
        <v>https://pbs.twimg.com/profile_images/1435551136942071808/NfsJv-DW_normal.jpg</v>
      </c>
      <c r="G1282" s="95"/>
      <c r="H1282" s="71"/>
      <c r="I1282" s="72"/>
      <c r="J1282" s="96"/>
      <c r="K1282" s="71" t="s">
        <v>12249</v>
      </c>
      <c r="L1282" s="97"/>
      <c r="M1282" s="76"/>
      <c r="N1282" s="76"/>
      <c r="O1282" s="77"/>
      <c r="P1282" s="78"/>
      <c r="Q1282" s="78"/>
      <c r="R1282" s="92"/>
      <c r="S1282" s="92"/>
      <c r="T1282" s="92"/>
      <c r="U1282" s="92"/>
      <c r="V1282" s="52"/>
      <c r="W1282" s="52"/>
      <c r="X1282" s="52"/>
      <c r="Y1282" s="52"/>
      <c r="Z1282" s="51"/>
      <c r="AA1282" s="73"/>
      <c r="AB1282" s="73"/>
      <c r="AC1282" s="74"/>
      <c r="AD1282" s="81" t="s">
        <v>8863</v>
      </c>
      <c r="AE1282" s="86" t="s">
        <v>9840</v>
      </c>
      <c r="AF1282" s="81">
        <v>6062</v>
      </c>
      <c r="AG1282" s="81">
        <v>5517</v>
      </c>
      <c r="AH1282" s="81">
        <v>47173</v>
      </c>
      <c r="AI1282" s="81">
        <v>43195</v>
      </c>
      <c r="AJ1282" s="81"/>
      <c r="AK1282" s="81" t="s">
        <v>10751</v>
      </c>
      <c r="AL1282" s="81"/>
      <c r="AM1282" s="81"/>
      <c r="AN1282" s="81"/>
      <c r="AO1282" s="83">
        <v>44340.497291666667</v>
      </c>
      <c r="AP1282" s="84" t="str">
        <f>HYPERLINK("https://pbs.twimg.com/profile_banners/1396796604930211846/1621864653")</f>
        <v>https://pbs.twimg.com/profile_banners/1396796604930211846/1621864653</v>
      </c>
      <c r="AQ1282" s="81" t="b">
        <v>1</v>
      </c>
      <c r="AR1282" s="81" t="b">
        <v>0</v>
      </c>
      <c r="AS1282" s="81" t="b">
        <v>0</v>
      </c>
      <c r="AT1282" s="81"/>
      <c r="AU1282" s="81">
        <v>1</v>
      </c>
      <c r="AV1282" s="81"/>
      <c r="AW1282" s="81" t="b">
        <v>0</v>
      </c>
      <c r="AX1282" s="81" t="s">
        <v>3728</v>
      </c>
      <c r="AY1282" s="84" t="str">
        <f>HYPERLINK("https://twitter.com/cludiosantosne2")</f>
        <v>https://twitter.com/cludiosantosne2</v>
      </c>
      <c r="AZ1282" s="81" t="s">
        <v>66</v>
      </c>
      <c r="BA1282" s="2"/>
      <c r="BB1282" s="3"/>
      <c r="BC1282" s="3"/>
      <c r="BD1282" s="3"/>
      <c r="BE1282" s="3"/>
    </row>
    <row r="1283" spans="1:57" x14ac:dyDescent="0.35">
      <c r="A1283" s="66" t="s">
        <v>4827</v>
      </c>
      <c r="B1283" s="67"/>
      <c r="C1283" s="67"/>
      <c r="D1283" s="68"/>
      <c r="E1283" s="94"/>
      <c r="F1283" s="93" t="str">
        <f>HYPERLINK("https://pbs.twimg.com/profile_images/2037470058/Foto0182_normal.jpg")</f>
        <v>https://pbs.twimg.com/profile_images/2037470058/Foto0182_normal.jpg</v>
      </c>
      <c r="G1283" s="95"/>
      <c r="H1283" s="71"/>
      <c r="I1283" s="72"/>
      <c r="J1283" s="96"/>
      <c r="K1283" s="71" t="s">
        <v>12250</v>
      </c>
      <c r="L1283" s="97"/>
      <c r="M1283" s="76"/>
      <c r="N1283" s="76"/>
      <c r="O1283" s="77"/>
      <c r="P1283" s="78"/>
      <c r="Q1283" s="78"/>
      <c r="R1283" s="92"/>
      <c r="S1283" s="92"/>
      <c r="T1283" s="92"/>
      <c r="U1283" s="92"/>
      <c r="V1283" s="52"/>
      <c r="W1283" s="52"/>
      <c r="X1283" s="52"/>
      <c r="Y1283" s="52"/>
      <c r="Z1283" s="51"/>
      <c r="AA1283" s="73"/>
      <c r="AB1283" s="73"/>
      <c r="AC1283" s="74"/>
      <c r="AD1283" s="81" t="s">
        <v>8864</v>
      </c>
      <c r="AE1283" s="86" t="s">
        <v>9841</v>
      </c>
      <c r="AF1283" s="81">
        <v>397</v>
      </c>
      <c r="AG1283" s="81">
        <v>236</v>
      </c>
      <c r="AH1283" s="81">
        <v>40676</v>
      </c>
      <c r="AI1283" s="81">
        <v>4769</v>
      </c>
      <c r="AJ1283" s="81"/>
      <c r="AK1283" s="81"/>
      <c r="AL1283" s="81"/>
      <c r="AM1283" s="84" t="str">
        <f>HYPERLINK("http://t.co/FGJNlKDnd3")</f>
        <v>http://t.co/FGJNlKDnd3</v>
      </c>
      <c r="AN1283" s="81"/>
      <c r="AO1283" s="83">
        <v>40019.165925925925</v>
      </c>
      <c r="AP1283" s="84" t="str">
        <f>HYPERLINK("https://pbs.twimg.com/profile_banners/59974085/1483648773")</f>
        <v>https://pbs.twimg.com/profile_banners/59974085/1483648773</v>
      </c>
      <c r="AQ1283" s="81" t="b">
        <v>0</v>
      </c>
      <c r="AR1283" s="81" t="b">
        <v>0</v>
      </c>
      <c r="AS1283" s="81" t="b">
        <v>0</v>
      </c>
      <c r="AT1283" s="81"/>
      <c r="AU1283" s="81">
        <v>2</v>
      </c>
      <c r="AV1283" s="84" t="str">
        <f>HYPERLINK("https://abs.twimg.com/images/themes/theme1/bg.png")</f>
        <v>https://abs.twimg.com/images/themes/theme1/bg.png</v>
      </c>
      <c r="AW1283" s="81" t="b">
        <v>0</v>
      </c>
      <c r="AX1283" s="81" t="s">
        <v>3728</v>
      </c>
      <c r="AY1283" s="84" t="str">
        <f>HYPERLINK("https://twitter.com/andreburiti")</f>
        <v>https://twitter.com/andreburiti</v>
      </c>
      <c r="AZ1283" s="81" t="s">
        <v>66</v>
      </c>
      <c r="BA1283" s="2"/>
      <c r="BB1283" s="3"/>
      <c r="BC1283" s="3"/>
      <c r="BD1283" s="3"/>
      <c r="BE1283" s="3"/>
    </row>
    <row r="1284" spans="1:57" x14ac:dyDescent="0.35">
      <c r="A1284" s="66" t="s">
        <v>566</v>
      </c>
      <c r="B1284" s="67"/>
      <c r="C1284" s="67"/>
      <c r="D1284" s="68"/>
      <c r="E1284" s="94"/>
      <c r="F1284" s="93" t="str">
        <f>HYPERLINK("https://pbs.twimg.com/profile_images/1417855706900799493/IXa_5t56_normal.jpg")</f>
        <v>https://pbs.twimg.com/profile_images/1417855706900799493/IXa_5t56_normal.jpg</v>
      </c>
      <c r="G1284" s="95"/>
      <c r="H1284" s="71"/>
      <c r="I1284" s="72"/>
      <c r="J1284" s="96"/>
      <c r="K1284" s="71" t="s">
        <v>4141</v>
      </c>
      <c r="L1284" s="97"/>
      <c r="M1284" s="76"/>
      <c r="N1284" s="76"/>
      <c r="O1284" s="77"/>
      <c r="P1284" s="78"/>
      <c r="Q1284" s="78"/>
      <c r="R1284" s="92"/>
      <c r="S1284" s="92"/>
      <c r="T1284" s="92"/>
      <c r="U1284" s="92"/>
      <c r="V1284" s="52"/>
      <c r="W1284" s="52"/>
      <c r="X1284" s="52"/>
      <c r="Y1284" s="52"/>
      <c r="Z1284" s="51"/>
      <c r="AA1284" s="73"/>
      <c r="AB1284" s="73"/>
      <c r="AC1284" s="74"/>
      <c r="AD1284" s="81" t="s">
        <v>2652</v>
      </c>
      <c r="AE1284" s="86" t="s">
        <v>3048</v>
      </c>
      <c r="AF1284" s="81">
        <v>132</v>
      </c>
      <c r="AG1284" s="81">
        <v>160</v>
      </c>
      <c r="AH1284" s="81">
        <v>5627</v>
      </c>
      <c r="AI1284" s="81">
        <v>176</v>
      </c>
      <c r="AJ1284" s="81"/>
      <c r="AK1284" s="81">
        <v>200</v>
      </c>
      <c r="AL1284" s="81" t="s">
        <v>3506</v>
      </c>
      <c r="AM1284" s="81"/>
      <c r="AN1284" s="81"/>
      <c r="AO1284" s="83">
        <v>43900.614050925928</v>
      </c>
      <c r="AP1284" s="84" t="str">
        <f>HYPERLINK("https://pbs.twimg.com/profile_banners/1237388705012187140/1621787245")</f>
        <v>https://pbs.twimg.com/profile_banners/1237388705012187140/1621787245</v>
      </c>
      <c r="AQ1284" s="81" t="b">
        <v>1</v>
      </c>
      <c r="AR1284" s="81" t="b">
        <v>0</v>
      </c>
      <c r="AS1284" s="81" t="b">
        <v>0</v>
      </c>
      <c r="AT1284" s="81"/>
      <c r="AU1284" s="81">
        <v>0</v>
      </c>
      <c r="AV1284" s="81"/>
      <c r="AW1284" s="81" t="b">
        <v>0</v>
      </c>
      <c r="AX1284" s="81" t="s">
        <v>3728</v>
      </c>
      <c r="AY1284" s="84" t="str">
        <f>HYPERLINK("https://twitter.com/hahakimiiiiii")</f>
        <v>https://twitter.com/hahakimiiiiii</v>
      </c>
      <c r="AZ1284" s="81" t="s">
        <v>66</v>
      </c>
      <c r="BA1284" s="2"/>
      <c r="BB1284" s="3"/>
      <c r="BC1284" s="3"/>
      <c r="BD1284" s="3"/>
      <c r="BE1284" s="3"/>
    </row>
    <row r="1285" spans="1:57" x14ac:dyDescent="0.35">
      <c r="A1285" s="66" t="s">
        <v>571</v>
      </c>
      <c r="B1285" s="67"/>
      <c r="C1285" s="67"/>
      <c r="D1285" s="68"/>
      <c r="E1285" s="94"/>
      <c r="F1285" s="93" t="str">
        <f>HYPERLINK("https://pbs.twimg.com/profile_images/1414295278312583173/H_eTP6Mq_normal.jpg")</f>
        <v>https://pbs.twimg.com/profile_images/1414295278312583173/H_eTP6Mq_normal.jpg</v>
      </c>
      <c r="G1285" s="95"/>
      <c r="H1285" s="71"/>
      <c r="I1285" s="72"/>
      <c r="J1285" s="96"/>
      <c r="K1285" s="71" t="s">
        <v>4142</v>
      </c>
      <c r="L1285" s="97"/>
      <c r="M1285" s="76"/>
      <c r="N1285" s="76"/>
      <c r="O1285" s="77"/>
      <c r="P1285" s="78"/>
      <c r="Q1285" s="78"/>
      <c r="R1285" s="92"/>
      <c r="S1285" s="92"/>
      <c r="T1285" s="92"/>
      <c r="U1285" s="92"/>
      <c r="V1285" s="52"/>
      <c r="W1285" s="52"/>
      <c r="X1285" s="52"/>
      <c r="Y1285" s="52"/>
      <c r="Z1285" s="51"/>
      <c r="AA1285" s="73"/>
      <c r="AB1285" s="73"/>
      <c r="AC1285" s="74"/>
      <c r="AD1285" s="81" t="s">
        <v>2653</v>
      </c>
      <c r="AE1285" s="86" t="s">
        <v>3049</v>
      </c>
      <c r="AF1285" s="81">
        <v>419</v>
      </c>
      <c r="AG1285" s="81">
        <v>668</v>
      </c>
      <c r="AH1285" s="81">
        <v>26941</v>
      </c>
      <c r="AI1285" s="81">
        <v>2747</v>
      </c>
      <c r="AJ1285" s="81"/>
      <c r="AK1285" s="81" t="s">
        <v>3476</v>
      </c>
      <c r="AL1285" s="81" t="s">
        <v>3722</v>
      </c>
      <c r="AM1285" s="81"/>
      <c r="AN1285" s="81"/>
      <c r="AO1285" s="83">
        <v>41030.738240740742</v>
      </c>
      <c r="AP1285" s="84" t="str">
        <f>HYPERLINK("https://pbs.twimg.com/profile_banners/568393913/1574339679")</f>
        <v>https://pbs.twimg.com/profile_banners/568393913/1574339679</v>
      </c>
      <c r="AQ1285" s="81" t="b">
        <v>1</v>
      </c>
      <c r="AR1285" s="81" t="b">
        <v>0</v>
      </c>
      <c r="AS1285" s="81" t="b">
        <v>1</v>
      </c>
      <c r="AT1285" s="81"/>
      <c r="AU1285" s="81">
        <v>0</v>
      </c>
      <c r="AV1285" s="84" t="str">
        <f>HYPERLINK("https://abs.twimg.com/images/themes/theme1/bg.png")</f>
        <v>https://abs.twimg.com/images/themes/theme1/bg.png</v>
      </c>
      <c r="AW1285" s="81" t="b">
        <v>0</v>
      </c>
      <c r="AX1285" s="81" t="s">
        <v>3728</v>
      </c>
      <c r="AY1285" s="84" t="str">
        <f>HYPERLINK("https://twitter.com/anwarkhairi")</f>
        <v>https://twitter.com/anwarkhairi</v>
      </c>
      <c r="AZ1285" s="81" t="s">
        <v>66</v>
      </c>
      <c r="BA1285" s="2"/>
      <c r="BB1285" s="3"/>
      <c r="BC1285" s="3"/>
      <c r="BD1285" s="3"/>
      <c r="BE1285" s="3"/>
    </row>
    <row r="1286" spans="1:57" x14ac:dyDescent="0.35">
      <c r="A1286" s="66" t="s">
        <v>12501</v>
      </c>
      <c r="B1286" s="67"/>
      <c r="C1286" s="67"/>
      <c r="D1286" s="68"/>
      <c r="E1286" s="94"/>
      <c r="F1286" s="93" t="str">
        <f>HYPERLINK("https://pbs.twimg.com/profile_images/1443403638525739010/jbZx1GP1_normal.jpg")</f>
        <v>https://pbs.twimg.com/profile_images/1443403638525739010/jbZx1GP1_normal.jpg</v>
      </c>
      <c r="G1286" s="95"/>
      <c r="H1286" s="71"/>
      <c r="I1286" s="72"/>
      <c r="J1286" s="96"/>
      <c r="K1286" s="71" t="s">
        <v>14277</v>
      </c>
      <c r="L1286" s="97"/>
      <c r="M1286" s="76"/>
      <c r="N1286" s="76"/>
      <c r="O1286" s="77"/>
      <c r="P1286" s="78"/>
      <c r="Q1286" s="78"/>
      <c r="R1286" s="92"/>
      <c r="S1286" s="92"/>
      <c r="T1286" s="92"/>
      <c r="U1286" s="92"/>
      <c r="V1286" s="52"/>
      <c r="W1286" s="52"/>
      <c r="X1286" s="52"/>
      <c r="Y1286" s="52"/>
      <c r="Z1286" s="51"/>
      <c r="AA1286" s="73"/>
      <c r="AB1286" s="73"/>
      <c r="AC1286" s="74"/>
      <c r="AD1286" s="81" t="s">
        <v>13492</v>
      </c>
      <c r="AE1286" s="86" t="s">
        <v>3050</v>
      </c>
      <c r="AF1286" s="81">
        <v>4344</v>
      </c>
      <c r="AG1286" s="81">
        <v>3758</v>
      </c>
      <c r="AH1286" s="81">
        <v>25546</v>
      </c>
      <c r="AI1286" s="81">
        <v>21208</v>
      </c>
      <c r="AJ1286" s="81"/>
      <c r="AK1286" s="81" t="s">
        <v>3477</v>
      </c>
      <c r="AL1286" s="81" t="s">
        <v>3723</v>
      </c>
      <c r="AM1286" s="81"/>
      <c r="AN1286" s="81"/>
      <c r="AO1286" s="83">
        <v>43321.434155092589</v>
      </c>
      <c r="AP1286" s="84" t="str">
        <f>HYPERLINK("https://pbs.twimg.com/profile_banners/1027501035353337857/1598679767")</f>
        <v>https://pbs.twimg.com/profile_banners/1027501035353337857/1598679767</v>
      </c>
      <c r="AQ1286" s="81" t="b">
        <v>1</v>
      </c>
      <c r="AR1286" s="81" t="b">
        <v>0</v>
      </c>
      <c r="AS1286" s="81" t="b">
        <v>0</v>
      </c>
      <c r="AT1286" s="81"/>
      <c r="AU1286" s="81">
        <v>2</v>
      </c>
      <c r="AV1286" s="81"/>
      <c r="AW1286" s="81" t="b">
        <v>0</v>
      </c>
      <c r="AX1286" s="81" t="s">
        <v>3728</v>
      </c>
      <c r="AY1286" s="84" t="str">
        <f>HYPERLINK("https://twitter.com/saawadikap")</f>
        <v>https://twitter.com/saawadikap</v>
      </c>
      <c r="AZ1286" s="81" t="s">
        <v>66</v>
      </c>
      <c r="BA1286" s="2"/>
      <c r="BB1286" s="3"/>
      <c r="BC1286" s="3"/>
      <c r="BD1286" s="3"/>
      <c r="BE1286" s="3"/>
    </row>
    <row r="1287" spans="1:57" x14ac:dyDescent="0.35">
      <c r="A1287" s="66" t="s">
        <v>4828</v>
      </c>
      <c r="B1287" s="67"/>
      <c r="C1287" s="67"/>
      <c r="D1287" s="68"/>
      <c r="E1287" s="94"/>
      <c r="F1287" s="93" t="str">
        <f>HYPERLINK("https://pbs.twimg.com/profile_images/1101149297607884800/_NjnR-Iz_normal.jpg")</f>
        <v>https://pbs.twimg.com/profile_images/1101149297607884800/_NjnR-Iz_normal.jpg</v>
      </c>
      <c r="G1287" s="95"/>
      <c r="H1287" s="71"/>
      <c r="I1287" s="72"/>
      <c r="J1287" s="96"/>
      <c r="K1287" s="71" t="s">
        <v>12251</v>
      </c>
      <c r="L1287" s="97"/>
      <c r="M1287" s="76"/>
      <c r="N1287" s="76"/>
      <c r="O1287" s="77"/>
      <c r="P1287" s="78"/>
      <c r="Q1287" s="78"/>
      <c r="R1287" s="92"/>
      <c r="S1287" s="92"/>
      <c r="T1287" s="92"/>
      <c r="U1287" s="92"/>
      <c r="V1287" s="52"/>
      <c r="W1287" s="52"/>
      <c r="X1287" s="52"/>
      <c r="Y1287" s="52"/>
      <c r="Z1287" s="51"/>
      <c r="AA1287" s="73"/>
      <c r="AB1287" s="73"/>
      <c r="AC1287" s="74"/>
      <c r="AD1287" s="81" t="s">
        <v>8865</v>
      </c>
      <c r="AE1287" s="86" t="s">
        <v>9842</v>
      </c>
      <c r="AF1287" s="81">
        <v>224</v>
      </c>
      <c r="AG1287" s="81">
        <v>222</v>
      </c>
      <c r="AH1287" s="81">
        <v>109827</v>
      </c>
      <c r="AI1287" s="81">
        <v>121331</v>
      </c>
      <c r="AJ1287" s="81"/>
      <c r="AK1287" s="81" t="s">
        <v>10752</v>
      </c>
      <c r="AL1287" s="81" t="s">
        <v>11296</v>
      </c>
      <c r="AM1287" s="81"/>
      <c r="AN1287" s="81"/>
      <c r="AO1287" s="83">
        <v>43324.002349537041</v>
      </c>
      <c r="AP1287" s="84" t="str">
        <f>HYPERLINK("https://pbs.twimg.com/profile_banners/1028431718083174400/1585744658")</f>
        <v>https://pbs.twimg.com/profile_banners/1028431718083174400/1585744658</v>
      </c>
      <c r="AQ1287" s="81" t="b">
        <v>1</v>
      </c>
      <c r="AR1287" s="81" t="b">
        <v>0</v>
      </c>
      <c r="AS1287" s="81" t="b">
        <v>0</v>
      </c>
      <c r="AT1287" s="81"/>
      <c r="AU1287" s="81">
        <v>0</v>
      </c>
      <c r="AV1287" s="81"/>
      <c r="AW1287" s="81" t="b">
        <v>0</v>
      </c>
      <c r="AX1287" s="81" t="s">
        <v>3728</v>
      </c>
      <c r="AY1287" s="84" t="str">
        <f>HYPERLINK("https://twitter.com/adanjonas2")</f>
        <v>https://twitter.com/adanjonas2</v>
      </c>
      <c r="AZ1287" s="81" t="s">
        <v>66</v>
      </c>
      <c r="BA1287" s="2"/>
      <c r="BB1287" s="3"/>
      <c r="BC1287" s="3"/>
      <c r="BD1287" s="3"/>
      <c r="BE1287" s="3"/>
    </row>
    <row r="1288" spans="1:57" x14ac:dyDescent="0.35">
      <c r="A1288" s="66" t="s">
        <v>4830</v>
      </c>
      <c r="B1288" s="67"/>
      <c r="C1288" s="67"/>
      <c r="D1288" s="68"/>
      <c r="E1288" s="94"/>
      <c r="F1288" s="93" t="str">
        <f>HYPERLINK("https://abs.twimg.com/sticky/default_profile_images/default_profile_normal.png")</f>
        <v>https://abs.twimg.com/sticky/default_profile_images/default_profile_normal.png</v>
      </c>
      <c r="G1288" s="95"/>
      <c r="H1288" s="71"/>
      <c r="I1288" s="72"/>
      <c r="J1288" s="96"/>
      <c r="K1288" s="71" t="s">
        <v>12252</v>
      </c>
      <c r="L1288" s="97"/>
      <c r="M1288" s="76"/>
      <c r="N1288" s="76"/>
      <c r="O1288" s="77"/>
      <c r="P1288" s="78"/>
      <c r="Q1288" s="78"/>
      <c r="R1288" s="92"/>
      <c r="S1288" s="92"/>
      <c r="T1288" s="92"/>
      <c r="U1288" s="92"/>
      <c r="V1288" s="52"/>
      <c r="W1288" s="52"/>
      <c r="X1288" s="52"/>
      <c r="Y1288" s="52"/>
      <c r="Z1288" s="51"/>
      <c r="AA1288" s="73"/>
      <c r="AB1288" s="73"/>
      <c r="AC1288" s="74"/>
      <c r="AD1288" s="81" t="s">
        <v>8866</v>
      </c>
      <c r="AE1288" s="86" t="s">
        <v>9843</v>
      </c>
      <c r="AF1288" s="81">
        <v>65</v>
      </c>
      <c r="AG1288" s="81">
        <v>182</v>
      </c>
      <c r="AH1288" s="81">
        <v>140247</v>
      </c>
      <c r="AI1288" s="81">
        <v>13450</v>
      </c>
      <c r="AJ1288" s="81"/>
      <c r="AK1288" s="81"/>
      <c r="AL1288" s="81"/>
      <c r="AM1288" s="81"/>
      <c r="AN1288" s="81"/>
      <c r="AO1288" s="83">
        <v>43932.753437500003</v>
      </c>
      <c r="AP1288" s="81"/>
      <c r="AQ1288" s="81" t="b">
        <v>1</v>
      </c>
      <c r="AR1288" s="81" t="b">
        <v>1</v>
      </c>
      <c r="AS1288" s="81" t="b">
        <v>0</v>
      </c>
      <c r="AT1288" s="81"/>
      <c r="AU1288" s="81">
        <v>1</v>
      </c>
      <c r="AV1288" s="81"/>
      <c r="AW1288" s="81" t="b">
        <v>0</v>
      </c>
      <c r="AX1288" s="81" t="s">
        <v>3728</v>
      </c>
      <c r="AY1288" s="84" t="str">
        <f>HYPERLINK("https://twitter.com/carlosa76979782")</f>
        <v>https://twitter.com/carlosa76979782</v>
      </c>
      <c r="AZ1288" s="81" t="s">
        <v>66</v>
      </c>
      <c r="BA1288" s="2"/>
      <c r="BB1288" s="3"/>
      <c r="BC1288" s="3"/>
      <c r="BD1288" s="3"/>
      <c r="BE1288" s="3"/>
    </row>
    <row r="1289" spans="1:57" x14ac:dyDescent="0.35">
      <c r="A1289" s="66" t="s">
        <v>567</v>
      </c>
      <c r="B1289" s="67"/>
      <c r="C1289" s="67"/>
      <c r="D1289" s="68"/>
      <c r="E1289" s="94"/>
      <c r="F1289" s="93" t="str">
        <f>HYPERLINK("https://pbs.twimg.com/profile_images/1381996153596604417/DEglrE2s_normal.jpg")</f>
        <v>https://pbs.twimg.com/profile_images/1381996153596604417/DEglrE2s_normal.jpg</v>
      </c>
      <c r="G1289" s="95"/>
      <c r="H1289" s="71"/>
      <c r="I1289" s="72"/>
      <c r="J1289" s="96"/>
      <c r="K1289" s="71" t="s">
        <v>4143</v>
      </c>
      <c r="L1289" s="97"/>
      <c r="M1289" s="76"/>
      <c r="N1289" s="76"/>
      <c r="O1289" s="77"/>
      <c r="P1289" s="78"/>
      <c r="Q1289" s="78"/>
      <c r="R1289" s="92"/>
      <c r="S1289" s="92"/>
      <c r="T1289" s="92"/>
      <c r="U1289" s="92"/>
      <c r="V1289" s="52"/>
      <c r="W1289" s="52"/>
      <c r="X1289" s="52"/>
      <c r="Y1289" s="52"/>
      <c r="Z1289" s="51"/>
      <c r="AA1289" s="73"/>
      <c r="AB1289" s="73"/>
      <c r="AC1289" s="74"/>
      <c r="AD1289" s="81" t="s">
        <v>2654</v>
      </c>
      <c r="AE1289" s="86" t="s">
        <v>3051</v>
      </c>
      <c r="AF1289" s="81">
        <v>581</v>
      </c>
      <c r="AG1289" s="81">
        <v>392</v>
      </c>
      <c r="AH1289" s="81">
        <v>19304</v>
      </c>
      <c r="AI1289" s="81">
        <v>2402</v>
      </c>
      <c r="AJ1289" s="81"/>
      <c r="AK1289" s="81" t="s">
        <v>3478</v>
      </c>
      <c r="AL1289" s="81" t="s">
        <v>3514</v>
      </c>
      <c r="AM1289" s="81"/>
      <c r="AN1289" s="81"/>
      <c r="AO1289" s="83">
        <v>43026.179814814815</v>
      </c>
      <c r="AP1289" s="84" t="str">
        <f>HYPERLINK("https://pbs.twimg.com/profile_banners/920504443799572480/1620663878")</f>
        <v>https://pbs.twimg.com/profile_banners/920504443799572480/1620663878</v>
      </c>
      <c r="AQ1289" s="81" t="b">
        <v>1</v>
      </c>
      <c r="AR1289" s="81" t="b">
        <v>0</v>
      </c>
      <c r="AS1289" s="81" t="b">
        <v>1</v>
      </c>
      <c r="AT1289" s="81"/>
      <c r="AU1289" s="81">
        <v>1</v>
      </c>
      <c r="AV1289" s="81"/>
      <c r="AW1289" s="81" t="b">
        <v>0</v>
      </c>
      <c r="AX1289" s="81" t="s">
        <v>3728</v>
      </c>
      <c r="AY1289" s="84" t="str">
        <f>HYPERLINK("https://twitter.com/adarndresser")</f>
        <v>https://twitter.com/adarndresser</v>
      </c>
      <c r="AZ1289" s="81" t="s">
        <v>66</v>
      </c>
      <c r="BA1289" s="2"/>
      <c r="BB1289" s="3"/>
      <c r="BC1289" s="3"/>
      <c r="BD1289" s="3"/>
      <c r="BE1289" s="3"/>
    </row>
    <row r="1290" spans="1:57" x14ac:dyDescent="0.35">
      <c r="A1290" s="66" t="s">
        <v>4831</v>
      </c>
      <c r="B1290" s="67"/>
      <c r="C1290" s="67"/>
      <c r="D1290" s="68"/>
      <c r="E1290" s="94"/>
      <c r="F1290" s="93" t="str">
        <f>HYPERLINK("https://pbs.twimg.com/profile_images/752788893867606016/PdKODsCt_normal.jpg")</f>
        <v>https://pbs.twimg.com/profile_images/752788893867606016/PdKODsCt_normal.jpg</v>
      </c>
      <c r="G1290" s="95"/>
      <c r="H1290" s="71"/>
      <c r="I1290" s="72"/>
      <c r="J1290" s="96"/>
      <c r="K1290" s="71" t="s">
        <v>12253</v>
      </c>
      <c r="L1290" s="97"/>
      <c r="M1290" s="76"/>
      <c r="N1290" s="76"/>
      <c r="O1290" s="77"/>
      <c r="P1290" s="78"/>
      <c r="Q1290" s="78"/>
      <c r="R1290" s="92"/>
      <c r="S1290" s="92"/>
      <c r="T1290" s="92"/>
      <c r="U1290" s="92"/>
      <c r="V1290" s="52"/>
      <c r="W1290" s="52"/>
      <c r="X1290" s="52"/>
      <c r="Y1290" s="52"/>
      <c r="Z1290" s="51"/>
      <c r="AA1290" s="73"/>
      <c r="AB1290" s="73"/>
      <c r="AC1290" s="74"/>
      <c r="AD1290" s="81" t="s">
        <v>8867</v>
      </c>
      <c r="AE1290" s="86" t="s">
        <v>9844</v>
      </c>
      <c r="AF1290" s="81">
        <v>174</v>
      </c>
      <c r="AG1290" s="81">
        <v>1193</v>
      </c>
      <c r="AH1290" s="81">
        <v>27887</v>
      </c>
      <c r="AI1290" s="81">
        <v>1068</v>
      </c>
      <c r="AJ1290" s="81"/>
      <c r="AK1290" s="81" t="s">
        <v>10753</v>
      </c>
      <c r="AL1290" s="81" t="s">
        <v>11297</v>
      </c>
      <c r="AM1290" s="84" t="str">
        <f>HYPERLINK("https://t.co/HSQ26Xv3ki")</f>
        <v>https://t.co/HSQ26Xv3ki</v>
      </c>
      <c r="AN1290" s="81"/>
      <c r="AO1290" s="83">
        <v>40631.499201388891</v>
      </c>
      <c r="AP1290" s="84" t="str">
        <f>HYPERLINK("https://pbs.twimg.com/profile_banners/273929133/1591476172")</f>
        <v>https://pbs.twimg.com/profile_banners/273929133/1591476172</v>
      </c>
      <c r="AQ1290" s="81" t="b">
        <v>0</v>
      </c>
      <c r="AR1290" s="81" t="b">
        <v>0</v>
      </c>
      <c r="AS1290" s="81" t="b">
        <v>1</v>
      </c>
      <c r="AT1290" s="81"/>
      <c r="AU1290" s="81">
        <v>15</v>
      </c>
      <c r="AV1290" s="84" t="str">
        <f>HYPERLINK("https://abs.twimg.com/images/themes/theme19/bg.gif")</f>
        <v>https://abs.twimg.com/images/themes/theme19/bg.gif</v>
      </c>
      <c r="AW1290" s="81" t="b">
        <v>0</v>
      </c>
      <c r="AX1290" s="81" t="s">
        <v>3728</v>
      </c>
      <c r="AY1290" s="84" t="str">
        <f>HYPERLINK("https://twitter.com/postaldoalgarve")</f>
        <v>https://twitter.com/postaldoalgarve</v>
      </c>
      <c r="AZ1290" s="81" t="s">
        <v>66</v>
      </c>
      <c r="BA1290" s="2"/>
      <c r="BB1290" s="3"/>
      <c r="BC1290" s="3"/>
      <c r="BD1290" s="3"/>
      <c r="BE1290" s="3"/>
    </row>
    <row r="1291" spans="1:57" x14ac:dyDescent="0.35">
      <c r="A1291" s="66" t="s">
        <v>568</v>
      </c>
      <c r="B1291" s="67"/>
      <c r="C1291" s="67"/>
      <c r="D1291" s="68"/>
      <c r="E1291" s="94"/>
      <c r="F1291" s="93" t="str">
        <f>HYPERLINK("https://pbs.twimg.com/profile_images/1405138706256699393/e9YJeydz_normal.jpg")</f>
        <v>https://pbs.twimg.com/profile_images/1405138706256699393/e9YJeydz_normal.jpg</v>
      </c>
      <c r="G1291" s="95"/>
      <c r="H1291" s="71"/>
      <c r="I1291" s="72"/>
      <c r="J1291" s="96"/>
      <c r="K1291" s="71" t="s">
        <v>4144</v>
      </c>
      <c r="L1291" s="97"/>
      <c r="M1291" s="76"/>
      <c r="N1291" s="76"/>
      <c r="O1291" s="77"/>
      <c r="P1291" s="78"/>
      <c r="Q1291" s="78"/>
      <c r="R1291" s="92"/>
      <c r="S1291" s="92"/>
      <c r="T1291" s="92"/>
      <c r="U1291" s="92"/>
      <c r="V1291" s="52"/>
      <c r="W1291" s="52"/>
      <c r="X1291" s="52"/>
      <c r="Y1291" s="52"/>
      <c r="Z1291" s="51"/>
      <c r="AA1291" s="73"/>
      <c r="AB1291" s="73"/>
      <c r="AC1291" s="74"/>
      <c r="AD1291" s="81" t="s">
        <v>2655</v>
      </c>
      <c r="AE1291" s="86" t="s">
        <v>3052</v>
      </c>
      <c r="AF1291" s="81">
        <v>1939</v>
      </c>
      <c r="AG1291" s="81">
        <v>821</v>
      </c>
      <c r="AH1291" s="81">
        <v>29709</v>
      </c>
      <c r="AI1291" s="81">
        <v>15597</v>
      </c>
      <c r="AJ1291" s="81"/>
      <c r="AK1291" s="81" t="s">
        <v>3479</v>
      </c>
      <c r="AL1291" s="81"/>
      <c r="AM1291" s="81"/>
      <c r="AN1291" s="81"/>
      <c r="AO1291" s="83">
        <v>44332.09202546296</v>
      </c>
      <c r="AP1291" s="84" t="str">
        <f>HYPERLINK("https://pbs.twimg.com/profile_banners/1393751130983698435/1623469159")</f>
        <v>https://pbs.twimg.com/profile_banners/1393751130983698435/1623469159</v>
      </c>
      <c r="AQ1291" s="81" t="b">
        <v>1</v>
      </c>
      <c r="AR1291" s="81" t="b">
        <v>0</v>
      </c>
      <c r="AS1291" s="81" t="b">
        <v>0</v>
      </c>
      <c r="AT1291" s="81"/>
      <c r="AU1291" s="81">
        <v>0</v>
      </c>
      <c r="AV1291" s="81"/>
      <c r="AW1291" s="81" t="b">
        <v>0</v>
      </c>
      <c r="AX1291" s="81" t="s">
        <v>3728</v>
      </c>
      <c r="AY1291" s="84" t="str">
        <f>HYPERLINK("https://twitter.com/3andalas")</f>
        <v>https://twitter.com/3andalas</v>
      </c>
      <c r="AZ1291" s="81" t="s">
        <v>66</v>
      </c>
      <c r="BA1291" s="2"/>
      <c r="BB1291" s="3"/>
      <c r="BC1291" s="3"/>
      <c r="BD1291" s="3"/>
      <c r="BE1291" s="3"/>
    </row>
    <row r="1292" spans="1:57" x14ac:dyDescent="0.35">
      <c r="A1292" s="66" t="s">
        <v>4832</v>
      </c>
      <c r="B1292" s="67"/>
      <c r="C1292" s="67"/>
      <c r="D1292" s="68"/>
      <c r="E1292" s="94"/>
      <c r="F1292" s="93" t="str">
        <f>HYPERLINK("https://pbs.twimg.com/profile_images/1434981984095326219/zjD-w_4d_normal.jpg")</f>
        <v>https://pbs.twimg.com/profile_images/1434981984095326219/zjD-w_4d_normal.jpg</v>
      </c>
      <c r="G1292" s="95"/>
      <c r="H1292" s="71"/>
      <c r="I1292" s="72"/>
      <c r="J1292" s="96"/>
      <c r="K1292" s="71" t="s">
        <v>12254</v>
      </c>
      <c r="L1292" s="97"/>
      <c r="M1292" s="76"/>
      <c r="N1292" s="76"/>
      <c r="O1292" s="77"/>
      <c r="P1292" s="78"/>
      <c r="Q1292" s="78"/>
      <c r="R1292" s="92"/>
      <c r="S1292" s="92"/>
      <c r="T1292" s="92"/>
      <c r="U1292" s="92"/>
      <c r="V1292" s="52"/>
      <c r="W1292" s="52"/>
      <c r="X1292" s="52"/>
      <c r="Y1292" s="52"/>
      <c r="Z1292" s="51"/>
      <c r="AA1292" s="73"/>
      <c r="AB1292" s="73"/>
      <c r="AC1292" s="74"/>
      <c r="AD1292" s="81" t="s">
        <v>8868</v>
      </c>
      <c r="AE1292" s="86" t="s">
        <v>9845</v>
      </c>
      <c r="AF1292" s="81">
        <v>239</v>
      </c>
      <c r="AG1292" s="81">
        <v>11</v>
      </c>
      <c r="AH1292" s="81">
        <v>1337</v>
      </c>
      <c r="AI1292" s="81">
        <v>77</v>
      </c>
      <c r="AJ1292" s="81"/>
      <c r="AK1292" s="81" t="s">
        <v>10754</v>
      </c>
      <c r="AL1292" s="81" t="s">
        <v>11298</v>
      </c>
      <c r="AM1292" s="81"/>
      <c r="AN1292" s="81"/>
      <c r="AO1292" s="83">
        <v>42887.917337962965</v>
      </c>
      <c r="AP1292" s="81"/>
      <c r="AQ1292" s="81" t="b">
        <v>1</v>
      </c>
      <c r="AR1292" s="81" t="b">
        <v>0</v>
      </c>
      <c r="AS1292" s="81" t="b">
        <v>0</v>
      </c>
      <c r="AT1292" s="81"/>
      <c r="AU1292" s="81">
        <v>0</v>
      </c>
      <c r="AV1292" s="81"/>
      <c r="AW1292" s="81" t="b">
        <v>0</v>
      </c>
      <c r="AX1292" s="81" t="s">
        <v>3728</v>
      </c>
      <c r="AY1292" s="84" t="str">
        <f>HYPERLINK("https://twitter.com/marceloperes28")</f>
        <v>https://twitter.com/marceloperes28</v>
      </c>
      <c r="AZ1292" s="81" t="s">
        <v>66</v>
      </c>
      <c r="BA1292" s="2"/>
      <c r="BB1292" s="3"/>
      <c r="BC1292" s="3"/>
      <c r="BD1292" s="3"/>
      <c r="BE1292" s="3"/>
    </row>
    <row r="1293" spans="1:57" x14ac:dyDescent="0.35">
      <c r="A1293" s="66" t="s">
        <v>5167</v>
      </c>
      <c r="B1293" s="67"/>
      <c r="C1293" s="67"/>
      <c r="D1293" s="68"/>
      <c r="E1293" s="94"/>
      <c r="F1293" s="93" t="str">
        <f>HYPERLINK("https://pbs.twimg.com/profile_images/1138512346207404032/ia2I3TS9_normal.png")</f>
        <v>https://pbs.twimg.com/profile_images/1138512346207404032/ia2I3TS9_normal.png</v>
      </c>
      <c r="G1293" s="95"/>
      <c r="H1293" s="71"/>
      <c r="I1293" s="72"/>
      <c r="J1293" s="96"/>
      <c r="K1293" s="71" t="s">
        <v>12255</v>
      </c>
      <c r="L1293" s="97"/>
      <c r="M1293" s="76"/>
      <c r="N1293" s="76"/>
      <c r="O1293" s="77"/>
      <c r="P1293" s="78"/>
      <c r="Q1293" s="78"/>
      <c r="R1293" s="92"/>
      <c r="S1293" s="92"/>
      <c r="T1293" s="92"/>
      <c r="U1293" s="92"/>
      <c r="V1293" s="52"/>
      <c r="W1293" s="52"/>
      <c r="X1293" s="52"/>
      <c r="Y1293" s="52"/>
      <c r="Z1293" s="51"/>
      <c r="AA1293" s="73"/>
      <c r="AB1293" s="73"/>
      <c r="AC1293" s="74"/>
      <c r="AD1293" s="81" t="s">
        <v>8869</v>
      </c>
      <c r="AE1293" s="86" t="s">
        <v>9846</v>
      </c>
      <c r="AF1293" s="81">
        <v>1086</v>
      </c>
      <c r="AG1293" s="81">
        <v>758</v>
      </c>
      <c r="AH1293" s="81">
        <v>17227</v>
      </c>
      <c r="AI1293" s="81">
        <v>9867</v>
      </c>
      <c r="AJ1293" s="81"/>
      <c r="AK1293" s="81"/>
      <c r="AL1293" s="81"/>
      <c r="AM1293" s="81"/>
      <c r="AN1293" s="81"/>
      <c r="AO1293" s="83">
        <v>43143.812581018516</v>
      </c>
      <c r="AP1293" s="81"/>
      <c r="AQ1293" s="81" t="b">
        <v>1</v>
      </c>
      <c r="AR1293" s="81" t="b">
        <v>0</v>
      </c>
      <c r="AS1293" s="81" t="b">
        <v>0</v>
      </c>
      <c r="AT1293" s="81"/>
      <c r="AU1293" s="81">
        <v>0</v>
      </c>
      <c r="AV1293" s="81"/>
      <c r="AW1293" s="81" t="b">
        <v>0</v>
      </c>
      <c r="AX1293" s="81" t="s">
        <v>3728</v>
      </c>
      <c r="AY1293" s="84" t="str">
        <f>HYPERLINK("https://twitter.com/candao20")</f>
        <v>https://twitter.com/candao20</v>
      </c>
      <c r="AZ1293" s="81" t="s">
        <v>65</v>
      </c>
      <c r="BA1293" s="2"/>
      <c r="BB1293" s="3"/>
      <c r="BC1293" s="3"/>
      <c r="BD1293" s="3"/>
      <c r="BE1293" s="3"/>
    </row>
    <row r="1294" spans="1:57" x14ac:dyDescent="0.35">
      <c r="A1294" s="66" t="s">
        <v>5168</v>
      </c>
      <c r="B1294" s="67"/>
      <c r="C1294" s="67"/>
      <c r="D1294" s="68"/>
      <c r="E1294" s="94"/>
      <c r="F1294" s="93" t="str">
        <f>HYPERLINK("https://pbs.twimg.com/profile_images/1357917636559069186/eeR_Gj9x_normal.jpg")</f>
        <v>https://pbs.twimg.com/profile_images/1357917636559069186/eeR_Gj9x_normal.jpg</v>
      </c>
      <c r="G1294" s="95"/>
      <c r="H1294" s="71"/>
      <c r="I1294" s="72"/>
      <c r="J1294" s="96"/>
      <c r="K1294" s="71" t="s">
        <v>12256</v>
      </c>
      <c r="L1294" s="97"/>
      <c r="M1294" s="76"/>
      <c r="N1294" s="76"/>
      <c r="O1294" s="77"/>
      <c r="P1294" s="78"/>
      <c r="Q1294" s="78"/>
      <c r="R1294" s="92"/>
      <c r="S1294" s="92"/>
      <c r="T1294" s="92"/>
      <c r="U1294" s="92"/>
      <c r="V1294" s="52"/>
      <c r="W1294" s="52"/>
      <c r="X1294" s="52"/>
      <c r="Y1294" s="52"/>
      <c r="Z1294" s="51"/>
      <c r="AA1294" s="73"/>
      <c r="AB1294" s="73"/>
      <c r="AC1294" s="74"/>
      <c r="AD1294" s="81" t="s">
        <v>8870</v>
      </c>
      <c r="AE1294" s="86" t="s">
        <v>7912</v>
      </c>
      <c r="AF1294" s="81">
        <v>917</v>
      </c>
      <c r="AG1294" s="81">
        <v>685</v>
      </c>
      <c r="AH1294" s="81">
        <v>22196</v>
      </c>
      <c r="AI1294" s="81">
        <v>15675</v>
      </c>
      <c r="AJ1294" s="81"/>
      <c r="AK1294" s="81" t="s">
        <v>10755</v>
      </c>
      <c r="AL1294" s="81"/>
      <c r="AM1294" s="81"/>
      <c r="AN1294" s="81"/>
      <c r="AO1294" s="83">
        <v>42923.974733796298</v>
      </c>
      <c r="AP1294" s="84" t="str">
        <f>HYPERLINK("https://pbs.twimg.com/profile_banners/883466562480594945/1502681777")</f>
        <v>https://pbs.twimg.com/profile_banners/883466562480594945/1502681777</v>
      </c>
      <c r="AQ1294" s="81" t="b">
        <v>1</v>
      </c>
      <c r="AR1294" s="81" t="b">
        <v>0</v>
      </c>
      <c r="AS1294" s="81" t="b">
        <v>1</v>
      </c>
      <c r="AT1294" s="81"/>
      <c r="AU1294" s="81">
        <v>1</v>
      </c>
      <c r="AV1294" s="81"/>
      <c r="AW1294" s="81" t="b">
        <v>0</v>
      </c>
      <c r="AX1294" s="81" t="s">
        <v>3728</v>
      </c>
      <c r="AY1294" s="84" t="str">
        <f>HYPERLINK("https://twitter.com/roserothermel")</f>
        <v>https://twitter.com/roserothermel</v>
      </c>
      <c r="AZ1294" s="81" t="s">
        <v>65</v>
      </c>
      <c r="BA1294" s="2"/>
      <c r="BB1294" s="3"/>
      <c r="BC1294" s="3"/>
      <c r="BD1294" s="3"/>
      <c r="BE1294" s="3"/>
    </row>
    <row r="1295" spans="1:57" x14ac:dyDescent="0.35">
      <c r="A1295" s="66" t="s">
        <v>4833</v>
      </c>
      <c r="B1295" s="67"/>
      <c r="C1295" s="67"/>
      <c r="D1295" s="68"/>
      <c r="E1295" s="94"/>
      <c r="F1295" s="93" t="str">
        <f>HYPERLINK("https://pbs.twimg.com/profile_images/1286101253739687937/cWEF1-Cl_normal.jpg")</f>
        <v>https://pbs.twimg.com/profile_images/1286101253739687937/cWEF1-Cl_normal.jpg</v>
      </c>
      <c r="G1295" s="95"/>
      <c r="H1295" s="71"/>
      <c r="I1295" s="72"/>
      <c r="J1295" s="96"/>
      <c r="K1295" s="71" t="s">
        <v>12257</v>
      </c>
      <c r="L1295" s="97"/>
      <c r="M1295" s="76"/>
      <c r="N1295" s="76"/>
      <c r="O1295" s="77"/>
      <c r="P1295" s="78"/>
      <c r="Q1295" s="78"/>
      <c r="R1295" s="92"/>
      <c r="S1295" s="92"/>
      <c r="T1295" s="92"/>
      <c r="U1295" s="92"/>
      <c r="V1295" s="52"/>
      <c r="W1295" s="52"/>
      <c r="X1295" s="52"/>
      <c r="Y1295" s="52"/>
      <c r="Z1295" s="51"/>
      <c r="AA1295" s="73"/>
      <c r="AB1295" s="73"/>
      <c r="AC1295" s="74"/>
      <c r="AD1295" s="81" t="s">
        <v>8871</v>
      </c>
      <c r="AE1295" s="86" t="s">
        <v>9847</v>
      </c>
      <c r="AF1295" s="81">
        <v>4662</v>
      </c>
      <c r="AG1295" s="81">
        <v>4355</v>
      </c>
      <c r="AH1295" s="81">
        <v>131503</v>
      </c>
      <c r="AI1295" s="81">
        <v>93539</v>
      </c>
      <c r="AJ1295" s="81"/>
      <c r="AK1295" s="81" t="s">
        <v>10756</v>
      </c>
      <c r="AL1295" s="81" t="s">
        <v>11299</v>
      </c>
      <c r="AM1295" s="84" t="str">
        <f>HYPERLINK("https://t.co/YiEK1QGhvg")</f>
        <v>https://t.co/YiEK1QGhvg</v>
      </c>
      <c r="AN1295" s="81"/>
      <c r="AO1295" s="83">
        <v>40481.685682870368</v>
      </c>
      <c r="AP1295" s="84" t="str">
        <f>HYPERLINK("https://pbs.twimg.com/profile_banners/210118514/1504548621")</f>
        <v>https://pbs.twimg.com/profile_banners/210118514/1504548621</v>
      </c>
      <c r="AQ1295" s="81" t="b">
        <v>0</v>
      </c>
      <c r="AR1295" s="81" t="b">
        <v>0</v>
      </c>
      <c r="AS1295" s="81" t="b">
        <v>0</v>
      </c>
      <c r="AT1295" s="81"/>
      <c r="AU1295" s="81">
        <v>39</v>
      </c>
      <c r="AV1295" s="84" t="str">
        <f>HYPERLINK("https://abs.twimg.com/images/themes/theme1/bg.png")</f>
        <v>https://abs.twimg.com/images/themes/theme1/bg.png</v>
      </c>
      <c r="AW1295" s="81" t="b">
        <v>0</v>
      </c>
      <c r="AX1295" s="81" t="s">
        <v>3728</v>
      </c>
      <c r="AY1295" s="84" t="str">
        <f>HYPERLINK("https://twitter.com/luindarkness")</f>
        <v>https://twitter.com/luindarkness</v>
      </c>
      <c r="AZ1295" s="81" t="s">
        <v>66</v>
      </c>
      <c r="BA1295" s="2"/>
      <c r="BB1295" s="3"/>
      <c r="BC1295" s="3"/>
      <c r="BD1295" s="3"/>
      <c r="BE1295" s="3"/>
    </row>
    <row r="1296" spans="1:57" x14ac:dyDescent="0.35">
      <c r="A1296" s="66" t="s">
        <v>4834</v>
      </c>
      <c r="B1296" s="67"/>
      <c r="C1296" s="67"/>
      <c r="D1296" s="68"/>
      <c r="E1296" s="94"/>
      <c r="F1296" s="93" t="str">
        <f>HYPERLINK("https://pbs.twimg.com/profile_images/1403343156452769794/2N5Z42kX_normal.jpg")</f>
        <v>https://pbs.twimg.com/profile_images/1403343156452769794/2N5Z42kX_normal.jpg</v>
      </c>
      <c r="G1296" s="95"/>
      <c r="H1296" s="71"/>
      <c r="I1296" s="72"/>
      <c r="J1296" s="96"/>
      <c r="K1296" s="71" t="s">
        <v>12258</v>
      </c>
      <c r="L1296" s="97"/>
      <c r="M1296" s="76"/>
      <c r="N1296" s="76"/>
      <c r="O1296" s="77"/>
      <c r="P1296" s="78"/>
      <c r="Q1296" s="78"/>
      <c r="R1296" s="92"/>
      <c r="S1296" s="92"/>
      <c r="T1296" s="92"/>
      <c r="U1296" s="92"/>
      <c r="V1296" s="52"/>
      <c r="W1296" s="52"/>
      <c r="X1296" s="52"/>
      <c r="Y1296" s="52"/>
      <c r="Z1296" s="51"/>
      <c r="AA1296" s="73"/>
      <c r="AB1296" s="73"/>
      <c r="AC1296" s="74"/>
      <c r="AD1296" s="81" t="s">
        <v>8872</v>
      </c>
      <c r="AE1296" s="86" t="s">
        <v>9848</v>
      </c>
      <c r="AF1296" s="81">
        <v>18497</v>
      </c>
      <c r="AG1296" s="81">
        <v>18821</v>
      </c>
      <c r="AH1296" s="81">
        <v>86955</v>
      </c>
      <c r="AI1296" s="81">
        <v>170892</v>
      </c>
      <c r="AJ1296" s="81"/>
      <c r="AK1296" s="81" t="s">
        <v>10757</v>
      </c>
      <c r="AL1296" s="81" t="s">
        <v>11300</v>
      </c>
      <c r="AM1296" s="81"/>
      <c r="AN1296" s="81"/>
      <c r="AO1296" s="83">
        <v>40008.875578703701</v>
      </c>
      <c r="AP1296" s="84" t="str">
        <f>HYPERLINK("https://pbs.twimg.com/profile_banners/56814907/1606966852")</f>
        <v>https://pbs.twimg.com/profile_banners/56814907/1606966852</v>
      </c>
      <c r="AQ1296" s="81" t="b">
        <v>0</v>
      </c>
      <c r="AR1296" s="81" t="b">
        <v>0</v>
      </c>
      <c r="AS1296" s="81" t="b">
        <v>1</v>
      </c>
      <c r="AT1296" s="81"/>
      <c r="AU1296" s="81">
        <v>18</v>
      </c>
      <c r="AV1296" s="84" t="str">
        <f>HYPERLINK("https://abs.twimg.com/images/themes/theme1/bg.png")</f>
        <v>https://abs.twimg.com/images/themes/theme1/bg.png</v>
      </c>
      <c r="AW1296" s="81" t="b">
        <v>0</v>
      </c>
      <c r="AX1296" s="81" t="s">
        <v>3728</v>
      </c>
      <c r="AY1296" s="84" t="str">
        <f>HYPERLINK("https://twitter.com/dfmartinha")</f>
        <v>https://twitter.com/dfmartinha</v>
      </c>
      <c r="AZ1296" s="81" t="s">
        <v>66</v>
      </c>
      <c r="BA1296" s="2"/>
      <c r="BB1296" s="3"/>
      <c r="BC1296" s="3"/>
      <c r="BD1296" s="3"/>
      <c r="BE1296" s="3"/>
    </row>
    <row r="1297" spans="1:57" x14ac:dyDescent="0.35">
      <c r="A1297" s="66" t="s">
        <v>570</v>
      </c>
      <c r="B1297" s="67"/>
      <c r="C1297" s="67"/>
      <c r="D1297" s="68"/>
      <c r="E1297" s="94"/>
      <c r="F1297" s="93" t="str">
        <f>HYPERLINK("https://pbs.twimg.com/profile_images/1443215221527486467/MuPnFblj_normal.jpg")</f>
        <v>https://pbs.twimg.com/profile_images/1443215221527486467/MuPnFblj_normal.jpg</v>
      </c>
      <c r="G1297" s="95"/>
      <c r="H1297" s="71"/>
      <c r="I1297" s="72"/>
      <c r="J1297" s="96"/>
      <c r="K1297" s="71" t="s">
        <v>4145</v>
      </c>
      <c r="L1297" s="97"/>
      <c r="M1297" s="76"/>
      <c r="N1297" s="76"/>
      <c r="O1297" s="77"/>
      <c r="P1297" s="78"/>
      <c r="Q1297" s="78"/>
      <c r="R1297" s="92"/>
      <c r="S1297" s="92"/>
      <c r="T1297" s="92"/>
      <c r="U1297" s="92"/>
      <c r="V1297" s="52"/>
      <c r="W1297" s="52"/>
      <c r="X1297" s="52"/>
      <c r="Y1297" s="52"/>
      <c r="Z1297" s="51"/>
      <c r="AA1297" s="73"/>
      <c r="AB1297" s="73"/>
      <c r="AC1297" s="74"/>
      <c r="AD1297" s="81" t="s">
        <v>2656</v>
      </c>
      <c r="AE1297" s="86" t="s">
        <v>3053</v>
      </c>
      <c r="AF1297" s="81">
        <v>170</v>
      </c>
      <c r="AG1297" s="81">
        <v>114</v>
      </c>
      <c r="AH1297" s="81">
        <v>24983</v>
      </c>
      <c r="AI1297" s="81">
        <v>43799</v>
      </c>
      <c r="AJ1297" s="81"/>
      <c r="AK1297" s="81" t="s">
        <v>3480</v>
      </c>
      <c r="AL1297" s="81" t="s">
        <v>3724</v>
      </c>
      <c r="AM1297" s="81"/>
      <c r="AN1297" s="81"/>
      <c r="AO1297" s="83">
        <v>43506.197372685187</v>
      </c>
      <c r="AP1297" s="84" t="str">
        <f>HYPERLINK("https://pbs.twimg.com/profile_banners/1094456984101826560/1632844264")</f>
        <v>https://pbs.twimg.com/profile_banners/1094456984101826560/1632844264</v>
      </c>
      <c r="AQ1297" s="81" t="b">
        <v>1</v>
      </c>
      <c r="AR1297" s="81" t="b">
        <v>0</v>
      </c>
      <c r="AS1297" s="81" t="b">
        <v>0</v>
      </c>
      <c r="AT1297" s="81"/>
      <c r="AU1297" s="81">
        <v>0</v>
      </c>
      <c r="AV1297" s="81"/>
      <c r="AW1297" s="81" t="b">
        <v>0</v>
      </c>
      <c r="AX1297" s="81" t="s">
        <v>3728</v>
      </c>
      <c r="AY1297" s="84" t="str">
        <f>HYPERLINK("https://twitter.com/littleboozi")</f>
        <v>https://twitter.com/littleboozi</v>
      </c>
      <c r="AZ1297" s="81" t="s">
        <v>66</v>
      </c>
      <c r="BA1297" s="2"/>
      <c r="BB1297" s="3"/>
      <c r="BC1297" s="3"/>
      <c r="BD1297" s="3"/>
      <c r="BE1297" s="3"/>
    </row>
    <row r="1298" spans="1:57" x14ac:dyDescent="0.35">
      <c r="A1298" s="66" t="s">
        <v>572</v>
      </c>
      <c r="B1298" s="67"/>
      <c r="C1298" s="67"/>
      <c r="D1298" s="68"/>
      <c r="E1298" s="94"/>
      <c r="F1298" s="93" t="str">
        <f>HYPERLINK("https://pbs.twimg.com/profile_images/1420000807534030855/FqO_nP8Y_normal.jpg")</f>
        <v>https://pbs.twimg.com/profile_images/1420000807534030855/FqO_nP8Y_normal.jpg</v>
      </c>
      <c r="G1298" s="95"/>
      <c r="H1298" s="71"/>
      <c r="I1298" s="72"/>
      <c r="J1298" s="96"/>
      <c r="K1298" s="71" t="s">
        <v>4146</v>
      </c>
      <c r="L1298" s="97"/>
      <c r="M1298" s="76"/>
      <c r="N1298" s="76"/>
      <c r="O1298" s="77"/>
      <c r="P1298" s="78"/>
      <c r="Q1298" s="78"/>
      <c r="R1298" s="92"/>
      <c r="S1298" s="92"/>
      <c r="T1298" s="92"/>
      <c r="U1298" s="92"/>
      <c r="V1298" s="52"/>
      <c r="W1298" s="52"/>
      <c r="X1298" s="52"/>
      <c r="Y1298" s="52"/>
      <c r="Z1298" s="51"/>
      <c r="AA1298" s="73"/>
      <c r="AB1298" s="73"/>
      <c r="AC1298" s="74"/>
      <c r="AD1298" s="81" t="s">
        <v>2657</v>
      </c>
      <c r="AE1298" s="86" t="s">
        <v>3054</v>
      </c>
      <c r="AF1298" s="81">
        <v>923</v>
      </c>
      <c r="AG1298" s="81">
        <v>1062</v>
      </c>
      <c r="AH1298" s="81">
        <v>38595</v>
      </c>
      <c r="AI1298" s="81">
        <v>11569</v>
      </c>
      <c r="AJ1298" s="81"/>
      <c r="AK1298" s="81" t="s">
        <v>3481</v>
      </c>
      <c r="AL1298" s="81" t="s">
        <v>3725</v>
      </c>
      <c r="AM1298" s="81"/>
      <c r="AN1298" s="81"/>
      <c r="AO1298" s="83">
        <v>40224.583148148151</v>
      </c>
      <c r="AP1298" s="84" t="str">
        <f>HYPERLINK("https://pbs.twimg.com/profile_banners/114461725/1603200389")</f>
        <v>https://pbs.twimg.com/profile_banners/114461725/1603200389</v>
      </c>
      <c r="AQ1298" s="81" t="b">
        <v>0</v>
      </c>
      <c r="AR1298" s="81" t="b">
        <v>0</v>
      </c>
      <c r="AS1298" s="81" t="b">
        <v>1</v>
      </c>
      <c r="AT1298" s="81"/>
      <c r="AU1298" s="81">
        <v>3</v>
      </c>
      <c r="AV1298" s="84" t="str">
        <f>HYPERLINK("https://abs.twimg.com/images/themes/theme19/bg.gif")</f>
        <v>https://abs.twimg.com/images/themes/theme19/bg.gif</v>
      </c>
      <c r="AW1298" s="81" t="b">
        <v>0</v>
      </c>
      <c r="AX1298" s="81" t="s">
        <v>3728</v>
      </c>
      <c r="AY1298" s="84" t="str">
        <f>HYPERLINK("https://twitter.com/nasruddinharon")</f>
        <v>https://twitter.com/nasruddinharon</v>
      </c>
      <c r="AZ1298" s="81" t="s">
        <v>66</v>
      </c>
      <c r="BA1298" s="2"/>
      <c r="BB1298" s="3"/>
      <c r="BC1298" s="3"/>
      <c r="BD1298" s="3"/>
      <c r="BE1298" s="3"/>
    </row>
    <row r="1299" spans="1:57" x14ac:dyDescent="0.35">
      <c r="A1299" s="66" t="s">
        <v>573</v>
      </c>
      <c r="B1299" s="67"/>
      <c r="C1299" s="67"/>
      <c r="D1299" s="68"/>
      <c r="E1299" s="94"/>
      <c r="F1299" s="93" t="str">
        <f>HYPERLINK("https://pbs.twimg.com/profile_images/1428009614474301440/eUhd8Mhe_normal.jpg")</f>
        <v>https://pbs.twimg.com/profile_images/1428009614474301440/eUhd8Mhe_normal.jpg</v>
      </c>
      <c r="G1299" s="95"/>
      <c r="H1299" s="71"/>
      <c r="I1299" s="72"/>
      <c r="J1299" s="96"/>
      <c r="K1299" s="71" t="s">
        <v>4147</v>
      </c>
      <c r="L1299" s="97"/>
      <c r="M1299" s="76"/>
      <c r="N1299" s="76"/>
      <c r="O1299" s="77"/>
      <c r="P1299" s="78"/>
      <c r="Q1299" s="78"/>
      <c r="R1299" s="92"/>
      <c r="S1299" s="92"/>
      <c r="T1299" s="92"/>
      <c r="U1299" s="92"/>
      <c r="V1299" s="52"/>
      <c r="W1299" s="52"/>
      <c r="X1299" s="52"/>
      <c r="Y1299" s="52"/>
      <c r="Z1299" s="51"/>
      <c r="AA1299" s="73"/>
      <c r="AB1299" s="73"/>
      <c r="AC1299" s="74"/>
      <c r="AD1299" s="81" t="s">
        <v>2658</v>
      </c>
      <c r="AE1299" s="86" t="s">
        <v>3055</v>
      </c>
      <c r="AF1299" s="81">
        <v>3018</v>
      </c>
      <c r="AG1299" s="81">
        <v>2877</v>
      </c>
      <c r="AH1299" s="81">
        <v>11090</v>
      </c>
      <c r="AI1299" s="81">
        <v>18232</v>
      </c>
      <c r="AJ1299" s="81"/>
      <c r="AK1299" s="81" t="s">
        <v>3482</v>
      </c>
      <c r="AL1299" s="81"/>
      <c r="AM1299" s="81"/>
      <c r="AN1299" s="81"/>
      <c r="AO1299" s="83">
        <v>44346.162152777775</v>
      </c>
      <c r="AP1299" s="84" t="str">
        <f>HYPERLINK("https://pbs.twimg.com/profile_banners/1398849952881668099/1627746664")</f>
        <v>https://pbs.twimg.com/profile_banners/1398849952881668099/1627746664</v>
      </c>
      <c r="AQ1299" s="81" t="b">
        <v>1</v>
      </c>
      <c r="AR1299" s="81" t="b">
        <v>0</v>
      </c>
      <c r="AS1299" s="81" t="b">
        <v>1</v>
      </c>
      <c r="AT1299" s="81"/>
      <c r="AU1299" s="81">
        <v>0</v>
      </c>
      <c r="AV1299" s="81"/>
      <c r="AW1299" s="81" t="b">
        <v>0</v>
      </c>
      <c r="AX1299" s="81" t="s">
        <v>3728</v>
      </c>
      <c r="AY1299" s="84" t="str">
        <f>HYPERLINK("https://twitter.com/alkecilsaja")</f>
        <v>https://twitter.com/alkecilsaja</v>
      </c>
      <c r="AZ1299" s="81" t="s">
        <v>66</v>
      </c>
      <c r="BA1299" s="2"/>
      <c r="BB1299" s="3"/>
      <c r="BC1299" s="3"/>
      <c r="BD1299" s="3"/>
      <c r="BE1299" s="3"/>
    </row>
    <row r="1300" spans="1:57" x14ac:dyDescent="0.35">
      <c r="A1300" s="66" t="s">
        <v>574</v>
      </c>
      <c r="B1300" s="67"/>
      <c r="C1300" s="67"/>
      <c r="D1300" s="68"/>
      <c r="E1300" s="94"/>
      <c r="F1300" s="93" t="str">
        <f>HYPERLINK("https://pbs.twimg.com/profile_images/1432063690627448835/jHPVXIcO_normal.jpg")</f>
        <v>https://pbs.twimg.com/profile_images/1432063690627448835/jHPVXIcO_normal.jpg</v>
      </c>
      <c r="G1300" s="95"/>
      <c r="H1300" s="71"/>
      <c r="I1300" s="72"/>
      <c r="J1300" s="96"/>
      <c r="K1300" s="71" t="s">
        <v>4148</v>
      </c>
      <c r="L1300" s="97"/>
      <c r="M1300" s="76"/>
      <c r="N1300" s="76"/>
      <c r="O1300" s="77"/>
      <c r="P1300" s="78"/>
      <c r="Q1300" s="78"/>
      <c r="R1300" s="92"/>
      <c r="S1300" s="92"/>
      <c r="T1300" s="92"/>
      <c r="U1300" s="92"/>
      <c r="V1300" s="52"/>
      <c r="W1300" s="52"/>
      <c r="X1300" s="52"/>
      <c r="Y1300" s="52"/>
      <c r="Z1300" s="51"/>
      <c r="AA1300" s="73"/>
      <c r="AB1300" s="73"/>
      <c r="AC1300" s="74"/>
      <c r="AD1300" s="81" t="s">
        <v>2659</v>
      </c>
      <c r="AE1300" s="86" t="s">
        <v>3056</v>
      </c>
      <c r="AF1300" s="81">
        <v>2112</v>
      </c>
      <c r="AG1300" s="81">
        <v>2986</v>
      </c>
      <c r="AH1300" s="81">
        <v>21107</v>
      </c>
      <c r="AI1300" s="81">
        <v>24628</v>
      </c>
      <c r="AJ1300" s="81"/>
      <c r="AK1300" s="81"/>
      <c r="AL1300" s="81"/>
      <c r="AM1300" s="81"/>
      <c r="AN1300" s="81"/>
      <c r="AO1300" s="83">
        <v>43352.758437500001</v>
      </c>
      <c r="AP1300" s="84" t="str">
        <f>HYPERLINK("https://pbs.twimg.com/profile_banners/1038852574378582017/1619336275")</f>
        <v>https://pbs.twimg.com/profile_banners/1038852574378582017/1619336275</v>
      </c>
      <c r="AQ1300" s="81" t="b">
        <v>1</v>
      </c>
      <c r="AR1300" s="81" t="b">
        <v>0</v>
      </c>
      <c r="AS1300" s="81" t="b">
        <v>1</v>
      </c>
      <c r="AT1300" s="81"/>
      <c r="AU1300" s="81">
        <v>1</v>
      </c>
      <c r="AV1300" s="81"/>
      <c r="AW1300" s="81" t="b">
        <v>0</v>
      </c>
      <c r="AX1300" s="81" t="s">
        <v>3728</v>
      </c>
      <c r="AY1300" s="84" t="str">
        <f>HYPERLINK("https://twitter.com/yanguning2")</f>
        <v>https://twitter.com/yanguning2</v>
      </c>
      <c r="AZ1300" s="81" t="s">
        <v>66</v>
      </c>
      <c r="BA1300" s="2"/>
      <c r="BB1300" s="3"/>
      <c r="BC1300" s="3"/>
      <c r="BD1300" s="3"/>
      <c r="BE1300" s="3"/>
    </row>
    <row r="1301" spans="1:57" x14ac:dyDescent="0.35">
      <c r="A1301" s="66" t="s">
        <v>575</v>
      </c>
      <c r="B1301" s="67"/>
      <c r="C1301" s="67"/>
      <c r="D1301" s="68"/>
      <c r="E1301" s="94"/>
      <c r="F1301" s="93" t="str">
        <f>HYPERLINK("https://pbs.twimg.com/profile_images/1371054343017795584/xcr1EY2r_normal.jpg")</f>
        <v>https://pbs.twimg.com/profile_images/1371054343017795584/xcr1EY2r_normal.jpg</v>
      </c>
      <c r="G1301" s="95"/>
      <c r="H1301" s="71"/>
      <c r="I1301" s="72"/>
      <c r="J1301" s="96"/>
      <c r="K1301" s="71" t="s">
        <v>4149</v>
      </c>
      <c r="L1301" s="97"/>
      <c r="M1301" s="76"/>
      <c r="N1301" s="76"/>
      <c r="O1301" s="77"/>
      <c r="P1301" s="78"/>
      <c r="Q1301" s="78"/>
      <c r="R1301" s="92"/>
      <c r="S1301" s="92"/>
      <c r="T1301" s="92"/>
      <c r="U1301" s="92"/>
      <c r="V1301" s="52"/>
      <c r="W1301" s="52"/>
      <c r="X1301" s="52"/>
      <c r="Y1301" s="52"/>
      <c r="Z1301" s="51"/>
      <c r="AA1301" s="73"/>
      <c r="AB1301" s="73"/>
      <c r="AC1301" s="74"/>
      <c r="AD1301" s="81" t="s">
        <v>2660</v>
      </c>
      <c r="AE1301" s="86" t="s">
        <v>3057</v>
      </c>
      <c r="AF1301" s="81">
        <v>585</v>
      </c>
      <c r="AG1301" s="81">
        <v>373</v>
      </c>
      <c r="AH1301" s="81">
        <v>18750</v>
      </c>
      <c r="AI1301" s="81">
        <v>4394</v>
      </c>
      <c r="AJ1301" s="81"/>
      <c r="AK1301" s="81" t="s">
        <v>3483</v>
      </c>
      <c r="AL1301" s="81"/>
      <c r="AM1301" s="84" t="str">
        <f>HYPERLINK("https://t.co/dklr51Lamj")</f>
        <v>https://t.co/dklr51Lamj</v>
      </c>
      <c r="AN1301" s="81"/>
      <c r="AO1301" s="83">
        <v>40186.548298611109</v>
      </c>
      <c r="AP1301" s="84" t="str">
        <f>HYPERLINK("https://pbs.twimg.com/profile_banners/102978388/1588434138")</f>
        <v>https://pbs.twimg.com/profile_banners/102978388/1588434138</v>
      </c>
      <c r="AQ1301" s="81" t="b">
        <v>0</v>
      </c>
      <c r="AR1301" s="81" t="b">
        <v>0</v>
      </c>
      <c r="AS1301" s="81" t="b">
        <v>0</v>
      </c>
      <c r="AT1301" s="81"/>
      <c r="AU1301" s="81">
        <v>0</v>
      </c>
      <c r="AV1301" s="84" t="str">
        <f>HYPERLINK("https://abs.twimg.com/images/themes/theme1/bg.png")</f>
        <v>https://abs.twimg.com/images/themes/theme1/bg.png</v>
      </c>
      <c r="AW1301" s="81" t="b">
        <v>0</v>
      </c>
      <c r="AX1301" s="81" t="s">
        <v>3728</v>
      </c>
      <c r="AY1301" s="84" t="str">
        <f>HYPERLINK("https://twitter.com/danicdanic")</f>
        <v>https://twitter.com/danicdanic</v>
      </c>
      <c r="AZ1301" s="81" t="s">
        <v>66</v>
      </c>
      <c r="BA1301" s="2"/>
      <c r="BB1301" s="3"/>
      <c r="BC1301" s="3"/>
      <c r="BD1301" s="3"/>
      <c r="BE1301" s="3"/>
    </row>
    <row r="1302" spans="1:57" x14ac:dyDescent="0.35">
      <c r="A1302" s="66" t="s">
        <v>4835</v>
      </c>
      <c r="B1302" s="67"/>
      <c r="C1302" s="67"/>
      <c r="D1302" s="68"/>
      <c r="E1302" s="94"/>
      <c r="F1302" s="93" t="str">
        <f>HYPERLINK("https://pbs.twimg.com/profile_images/1327615800375713792/U1_yIBEI_normal.jpg")</f>
        <v>https://pbs.twimg.com/profile_images/1327615800375713792/U1_yIBEI_normal.jpg</v>
      </c>
      <c r="G1302" s="95"/>
      <c r="H1302" s="71"/>
      <c r="I1302" s="72"/>
      <c r="J1302" s="96"/>
      <c r="K1302" s="71" t="s">
        <v>12259</v>
      </c>
      <c r="L1302" s="97"/>
      <c r="M1302" s="76"/>
      <c r="N1302" s="76"/>
      <c r="O1302" s="77"/>
      <c r="P1302" s="78"/>
      <c r="Q1302" s="78"/>
      <c r="R1302" s="92"/>
      <c r="S1302" s="92"/>
      <c r="T1302" s="92"/>
      <c r="U1302" s="92"/>
      <c r="V1302" s="52"/>
      <c r="W1302" s="52"/>
      <c r="X1302" s="52"/>
      <c r="Y1302" s="52"/>
      <c r="Z1302" s="51"/>
      <c r="AA1302" s="73"/>
      <c r="AB1302" s="73"/>
      <c r="AC1302" s="74"/>
      <c r="AD1302" s="81" t="s">
        <v>8873</v>
      </c>
      <c r="AE1302" s="86" t="s">
        <v>9849</v>
      </c>
      <c r="AF1302" s="81">
        <v>676</v>
      </c>
      <c r="AG1302" s="81">
        <v>342</v>
      </c>
      <c r="AH1302" s="81">
        <v>14785</v>
      </c>
      <c r="AI1302" s="81">
        <v>34750</v>
      </c>
      <c r="AJ1302" s="81"/>
      <c r="AK1302" s="81" t="s">
        <v>10758</v>
      </c>
      <c r="AL1302" s="81" t="s">
        <v>11301</v>
      </c>
      <c r="AM1302" s="81"/>
      <c r="AN1302" s="81"/>
      <c r="AO1302" s="83">
        <v>44008.488136574073</v>
      </c>
      <c r="AP1302" s="84" t="str">
        <f>HYPERLINK("https://pbs.twimg.com/profile_banners/1276480917998129155/1593208566")</f>
        <v>https://pbs.twimg.com/profile_banners/1276480917998129155/1593208566</v>
      </c>
      <c r="AQ1302" s="81" t="b">
        <v>1</v>
      </c>
      <c r="AR1302" s="81" t="b">
        <v>0</v>
      </c>
      <c r="AS1302" s="81" t="b">
        <v>0</v>
      </c>
      <c r="AT1302" s="81"/>
      <c r="AU1302" s="81">
        <v>0</v>
      </c>
      <c r="AV1302" s="81"/>
      <c r="AW1302" s="81" t="b">
        <v>0</v>
      </c>
      <c r="AX1302" s="81" t="s">
        <v>3728</v>
      </c>
      <c r="AY1302" s="84" t="str">
        <f>HYPERLINK("https://twitter.com/karmaisaroundus")</f>
        <v>https://twitter.com/karmaisaroundus</v>
      </c>
      <c r="AZ1302" s="81" t="s">
        <v>66</v>
      </c>
      <c r="BA1302" s="2"/>
      <c r="BB1302" s="3"/>
      <c r="BC1302" s="3"/>
      <c r="BD1302" s="3"/>
      <c r="BE1302" s="3"/>
    </row>
    <row r="1303" spans="1:57" x14ac:dyDescent="0.35">
      <c r="A1303" s="66" t="s">
        <v>5169</v>
      </c>
      <c r="B1303" s="67"/>
      <c r="C1303" s="67"/>
      <c r="D1303" s="68"/>
      <c r="E1303" s="94"/>
      <c r="F1303" s="93" t="str">
        <f>HYPERLINK("https://pbs.twimg.com/profile_images/1301924854451634186/Bm0Y5p7y_normal.jpg")</f>
        <v>https://pbs.twimg.com/profile_images/1301924854451634186/Bm0Y5p7y_normal.jpg</v>
      </c>
      <c r="G1303" s="95"/>
      <c r="H1303" s="71"/>
      <c r="I1303" s="72"/>
      <c r="J1303" s="96"/>
      <c r="K1303" s="71" t="s">
        <v>12260</v>
      </c>
      <c r="L1303" s="97"/>
      <c r="M1303" s="76"/>
      <c r="N1303" s="76"/>
      <c r="O1303" s="77"/>
      <c r="P1303" s="78"/>
      <c r="Q1303" s="78"/>
      <c r="R1303" s="92"/>
      <c r="S1303" s="92"/>
      <c r="T1303" s="92"/>
      <c r="U1303" s="92"/>
      <c r="V1303" s="52"/>
      <c r="W1303" s="52"/>
      <c r="X1303" s="52"/>
      <c r="Y1303" s="52"/>
      <c r="Z1303" s="51"/>
      <c r="AA1303" s="73"/>
      <c r="AB1303" s="73"/>
      <c r="AC1303" s="74"/>
      <c r="AD1303" s="81" t="s">
        <v>8874</v>
      </c>
      <c r="AE1303" s="86" t="s">
        <v>7913</v>
      </c>
      <c r="AF1303" s="81">
        <v>1259</v>
      </c>
      <c r="AG1303" s="81">
        <v>1794</v>
      </c>
      <c r="AH1303" s="81">
        <v>33691</v>
      </c>
      <c r="AI1303" s="81">
        <v>112781</v>
      </c>
      <c r="AJ1303" s="81"/>
      <c r="AK1303" s="81" t="s">
        <v>10759</v>
      </c>
      <c r="AL1303" s="81"/>
      <c r="AM1303" s="81"/>
      <c r="AN1303" s="81"/>
      <c r="AO1303" s="83">
        <v>43865.42827546296</v>
      </c>
      <c r="AP1303" s="84" t="str">
        <f>HYPERLINK("https://pbs.twimg.com/profile_banners/1224637848298672129/1608028394")</f>
        <v>https://pbs.twimg.com/profile_banners/1224637848298672129/1608028394</v>
      </c>
      <c r="AQ1303" s="81" t="b">
        <v>1</v>
      </c>
      <c r="AR1303" s="81" t="b">
        <v>0</v>
      </c>
      <c r="AS1303" s="81" t="b">
        <v>0</v>
      </c>
      <c r="AT1303" s="81"/>
      <c r="AU1303" s="81">
        <v>3</v>
      </c>
      <c r="AV1303" s="81"/>
      <c r="AW1303" s="81" t="b">
        <v>0</v>
      </c>
      <c r="AX1303" s="81" t="s">
        <v>3728</v>
      </c>
      <c r="AY1303" s="84" t="str">
        <f>HYPERLINK("https://twitter.com/statusanonim")</f>
        <v>https://twitter.com/statusanonim</v>
      </c>
      <c r="AZ1303" s="81" t="s">
        <v>65</v>
      </c>
      <c r="BA1303" s="2"/>
      <c r="BB1303" s="3"/>
      <c r="BC1303" s="3"/>
      <c r="BD1303" s="3"/>
      <c r="BE1303" s="3"/>
    </row>
    <row r="1304" spans="1:57" x14ac:dyDescent="0.35">
      <c r="A1304" s="66" t="s">
        <v>4836</v>
      </c>
      <c r="B1304" s="67"/>
      <c r="C1304" s="67"/>
      <c r="D1304" s="68"/>
      <c r="E1304" s="94"/>
      <c r="F1304" s="93" t="str">
        <f>HYPERLINK("https://pbs.twimg.com/profile_images/1429623932987092995/FEqcVl3n_normal.jpg")</f>
        <v>https://pbs.twimg.com/profile_images/1429623932987092995/FEqcVl3n_normal.jpg</v>
      </c>
      <c r="G1304" s="95"/>
      <c r="H1304" s="71"/>
      <c r="I1304" s="72"/>
      <c r="J1304" s="96"/>
      <c r="K1304" s="71" t="s">
        <v>12261</v>
      </c>
      <c r="L1304" s="97"/>
      <c r="M1304" s="76"/>
      <c r="N1304" s="76"/>
      <c r="O1304" s="77"/>
      <c r="P1304" s="78"/>
      <c r="Q1304" s="78"/>
      <c r="R1304" s="92"/>
      <c r="S1304" s="92"/>
      <c r="T1304" s="92"/>
      <c r="U1304" s="92"/>
      <c r="V1304" s="52"/>
      <c r="W1304" s="52"/>
      <c r="X1304" s="52"/>
      <c r="Y1304" s="52"/>
      <c r="Z1304" s="51"/>
      <c r="AA1304" s="73"/>
      <c r="AB1304" s="73"/>
      <c r="AC1304" s="74"/>
      <c r="AD1304" s="81" t="s">
        <v>8875</v>
      </c>
      <c r="AE1304" s="86" t="s">
        <v>9850</v>
      </c>
      <c r="AF1304" s="81">
        <v>183</v>
      </c>
      <c r="AG1304" s="81">
        <v>146</v>
      </c>
      <c r="AH1304" s="81">
        <v>7275</v>
      </c>
      <c r="AI1304" s="81">
        <v>3511</v>
      </c>
      <c r="AJ1304" s="81"/>
      <c r="AK1304" s="81" t="s">
        <v>10760</v>
      </c>
      <c r="AL1304" s="81" t="s">
        <v>11302</v>
      </c>
      <c r="AM1304" s="81"/>
      <c r="AN1304" s="81"/>
      <c r="AO1304" s="83">
        <v>43301.161921296298</v>
      </c>
      <c r="AP1304" s="84" t="str">
        <f>HYPERLINK("https://pbs.twimg.com/profile_banners/1020154622068043776/1564610315")</f>
        <v>https://pbs.twimg.com/profile_banners/1020154622068043776/1564610315</v>
      </c>
      <c r="AQ1304" s="81" t="b">
        <v>1</v>
      </c>
      <c r="AR1304" s="81" t="b">
        <v>0</v>
      </c>
      <c r="AS1304" s="81" t="b">
        <v>0</v>
      </c>
      <c r="AT1304" s="81"/>
      <c r="AU1304" s="81">
        <v>0</v>
      </c>
      <c r="AV1304" s="81"/>
      <c r="AW1304" s="81" t="b">
        <v>0</v>
      </c>
      <c r="AX1304" s="81" t="s">
        <v>3728</v>
      </c>
      <c r="AY1304" s="84" t="str">
        <f>HYPERLINK("https://twitter.com/anapxv")</f>
        <v>https://twitter.com/anapxv</v>
      </c>
      <c r="AZ1304" s="81" t="s">
        <v>66</v>
      </c>
      <c r="BA1304" s="2"/>
      <c r="BB1304" s="3"/>
      <c r="BC1304" s="3"/>
      <c r="BD1304" s="3"/>
      <c r="BE1304" s="3"/>
    </row>
    <row r="1305" spans="1:57" x14ac:dyDescent="0.35">
      <c r="A1305" s="66" t="s">
        <v>576</v>
      </c>
      <c r="B1305" s="67"/>
      <c r="C1305" s="67"/>
      <c r="D1305" s="68"/>
      <c r="E1305" s="94"/>
      <c r="F1305" s="93" t="str">
        <f>HYPERLINK("https://pbs.twimg.com/profile_images/1431619875605073920/NM_gdRDN_normal.jpg")</f>
        <v>https://pbs.twimg.com/profile_images/1431619875605073920/NM_gdRDN_normal.jpg</v>
      </c>
      <c r="G1305" s="95"/>
      <c r="H1305" s="71"/>
      <c r="I1305" s="72"/>
      <c r="J1305" s="96"/>
      <c r="K1305" s="71" t="s">
        <v>4150</v>
      </c>
      <c r="L1305" s="97"/>
      <c r="M1305" s="76"/>
      <c r="N1305" s="76"/>
      <c r="O1305" s="77"/>
      <c r="P1305" s="78"/>
      <c r="Q1305" s="78"/>
      <c r="R1305" s="92"/>
      <c r="S1305" s="92"/>
      <c r="T1305" s="92"/>
      <c r="U1305" s="92"/>
      <c r="V1305" s="52"/>
      <c r="W1305" s="52"/>
      <c r="X1305" s="52"/>
      <c r="Y1305" s="52"/>
      <c r="Z1305" s="51"/>
      <c r="AA1305" s="73"/>
      <c r="AB1305" s="73"/>
      <c r="AC1305" s="74"/>
      <c r="AD1305" s="81" t="s">
        <v>2661</v>
      </c>
      <c r="AE1305" s="86" t="s">
        <v>3058</v>
      </c>
      <c r="AF1305" s="81">
        <v>14</v>
      </c>
      <c r="AG1305" s="81">
        <v>3994</v>
      </c>
      <c r="AH1305" s="81">
        <v>25446</v>
      </c>
      <c r="AI1305" s="81">
        <v>10106</v>
      </c>
      <c r="AJ1305" s="81"/>
      <c r="AK1305" s="81" t="s">
        <v>3484</v>
      </c>
      <c r="AL1305" s="81" t="s">
        <v>3514</v>
      </c>
      <c r="AM1305" s="81"/>
      <c r="AN1305" s="81"/>
      <c r="AO1305" s="83">
        <v>44289.606956018521</v>
      </c>
      <c r="AP1305" s="84" t="str">
        <f>HYPERLINK("https://pbs.twimg.com/profile_banners/1378355050729197573/1630164430")</f>
        <v>https://pbs.twimg.com/profile_banners/1378355050729197573/1630164430</v>
      </c>
      <c r="AQ1305" s="81" t="b">
        <v>1</v>
      </c>
      <c r="AR1305" s="81" t="b">
        <v>0</v>
      </c>
      <c r="AS1305" s="81" t="b">
        <v>0</v>
      </c>
      <c r="AT1305" s="81"/>
      <c r="AU1305" s="81">
        <v>5</v>
      </c>
      <c r="AV1305" s="81"/>
      <c r="AW1305" s="81" t="b">
        <v>0</v>
      </c>
      <c r="AX1305" s="81" t="s">
        <v>3728</v>
      </c>
      <c r="AY1305" s="84" t="str">
        <f>HYPERLINK("https://twitter.com/btsmarketmy")</f>
        <v>https://twitter.com/btsmarketmy</v>
      </c>
      <c r="AZ1305" s="81" t="s">
        <v>66</v>
      </c>
      <c r="BA1305" s="2"/>
      <c r="BB1305" s="3"/>
      <c r="BC1305" s="3"/>
      <c r="BD1305" s="3"/>
      <c r="BE1305" s="3"/>
    </row>
    <row r="1306" spans="1:57" x14ac:dyDescent="0.35">
      <c r="A1306" s="66" t="s">
        <v>577</v>
      </c>
      <c r="B1306" s="67"/>
      <c r="C1306" s="67"/>
      <c r="D1306" s="68"/>
      <c r="E1306" s="94"/>
      <c r="F1306" s="93" t="str">
        <f>HYPERLINK("https://pbs.twimg.com/profile_images/1440534219957043200/2lklqiAO_normal.jpg")</f>
        <v>https://pbs.twimg.com/profile_images/1440534219957043200/2lklqiAO_normal.jpg</v>
      </c>
      <c r="G1306" s="95"/>
      <c r="H1306" s="71"/>
      <c r="I1306" s="72"/>
      <c r="J1306" s="96"/>
      <c r="K1306" s="71" t="s">
        <v>4151</v>
      </c>
      <c r="L1306" s="97"/>
      <c r="M1306" s="76"/>
      <c r="N1306" s="76"/>
      <c r="O1306" s="77"/>
      <c r="P1306" s="78"/>
      <c r="Q1306" s="78"/>
      <c r="R1306" s="92"/>
      <c r="S1306" s="92"/>
      <c r="T1306" s="92"/>
      <c r="U1306" s="92"/>
      <c r="V1306" s="52"/>
      <c r="W1306" s="52"/>
      <c r="X1306" s="52"/>
      <c r="Y1306" s="52"/>
      <c r="Z1306" s="51"/>
      <c r="AA1306" s="73"/>
      <c r="AB1306" s="73"/>
      <c r="AC1306" s="74"/>
      <c r="AD1306" s="81" t="s">
        <v>2662</v>
      </c>
      <c r="AE1306" s="86" t="s">
        <v>3059</v>
      </c>
      <c r="AF1306" s="81">
        <v>70</v>
      </c>
      <c r="AG1306" s="81">
        <v>5</v>
      </c>
      <c r="AH1306" s="81">
        <v>400</v>
      </c>
      <c r="AI1306" s="81">
        <v>451</v>
      </c>
      <c r="AJ1306" s="81"/>
      <c r="AK1306" s="81" t="s">
        <v>3485</v>
      </c>
      <c r="AL1306" s="81"/>
      <c r="AM1306" s="84" t="str">
        <f>HYPERLINK("https://t.co/qk4OhP9YPw")</f>
        <v>https://t.co/qk4OhP9YPw</v>
      </c>
      <c r="AN1306" s="81"/>
      <c r="AO1306" s="83">
        <v>44195.714583333334</v>
      </c>
      <c r="AP1306" s="84" t="str">
        <f>HYPERLINK("https://pbs.twimg.com/profile_banners/1344329608859009024/1632559713")</f>
        <v>https://pbs.twimg.com/profile_banners/1344329608859009024/1632559713</v>
      </c>
      <c r="AQ1306" s="81" t="b">
        <v>1</v>
      </c>
      <c r="AR1306" s="81" t="b">
        <v>0</v>
      </c>
      <c r="AS1306" s="81" t="b">
        <v>1</v>
      </c>
      <c r="AT1306" s="81"/>
      <c r="AU1306" s="81">
        <v>0</v>
      </c>
      <c r="AV1306" s="81"/>
      <c r="AW1306" s="81" t="b">
        <v>0</v>
      </c>
      <c r="AX1306" s="81" t="s">
        <v>3728</v>
      </c>
      <c r="AY1306" s="84" t="str">
        <f>HYPERLINK("https://twitter.com/blinkuelilies")</f>
        <v>https://twitter.com/blinkuelilies</v>
      </c>
      <c r="AZ1306" s="81" t="s">
        <v>66</v>
      </c>
      <c r="BA1306" s="2"/>
      <c r="BB1306" s="3"/>
      <c r="BC1306" s="3"/>
      <c r="BD1306" s="3"/>
      <c r="BE1306" s="3"/>
    </row>
    <row r="1307" spans="1:57" x14ac:dyDescent="0.35">
      <c r="A1307" s="66" t="s">
        <v>4837</v>
      </c>
      <c r="B1307" s="67"/>
      <c r="C1307" s="67"/>
      <c r="D1307" s="68"/>
      <c r="E1307" s="94"/>
      <c r="F1307" s="93" t="str">
        <f>HYPERLINK("https://pbs.twimg.com/profile_images/1442965777334734854/_sz2IYKq_normal.jpg")</f>
        <v>https://pbs.twimg.com/profile_images/1442965777334734854/_sz2IYKq_normal.jpg</v>
      </c>
      <c r="G1307" s="95"/>
      <c r="H1307" s="71"/>
      <c r="I1307" s="72"/>
      <c r="J1307" s="96"/>
      <c r="K1307" s="71" t="s">
        <v>12262</v>
      </c>
      <c r="L1307" s="97"/>
      <c r="M1307" s="76"/>
      <c r="N1307" s="76"/>
      <c r="O1307" s="77"/>
      <c r="P1307" s="78"/>
      <c r="Q1307" s="78"/>
      <c r="R1307" s="92"/>
      <c r="S1307" s="92"/>
      <c r="T1307" s="92"/>
      <c r="U1307" s="92"/>
      <c r="V1307" s="52"/>
      <c r="W1307" s="52"/>
      <c r="X1307" s="52"/>
      <c r="Y1307" s="52"/>
      <c r="Z1307" s="51"/>
      <c r="AA1307" s="73"/>
      <c r="AB1307" s="73"/>
      <c r="AC1307" s="74"/>
      <c r="AD1307" s="81" t="s">
        <v>8876</v>
      </c>
      <c r="AE1307" s="86" t="s">
        <v>7914</v>
      </c>
      <c r="AF1307" s="81">
        <v>134</v>
      </c>
      <c r="AG1307" s="81">
        <v>61</v>
      </c>
      <c r="AH1307" s="81">
        <v>594</v>
      </c>
      <c r="AI1307" s="81">
        <v>600</v>
      </c>
      <c r="AJ1307" s="81"/>
      <c r="AK1307" s="81" t="s">
        <v>10761</v>
      </c>
      <c r="AL1307" s="81" t="s">
        <v>11303</v>
      </c>
      <c r="AM1307" s="81"/>
      <c r="AN1307" s="81"/>
      <c r="AO1307" s="83">
        <v>44445.176712962966</v>
      </c>
      <c r="AP1307" s="84" t="str">
        <f>HYPERLINK("https://pbs.twimg.com/profile_banners/1434731542463528962/1632864811")</f>
        <v>https://pbs.twimg.com/profile_banners/1434731542463528962/1632864811</v>
      </c>
      <c r="AQ1307" s="81" t="b">
        <v>1</v>
      </c>
      <c r="AR1307" s="81" t="b">
        <v>0</v>
      </c>
      <c r="AS1307" s="81" t="b">
        <v>0</v>
      </c>
      <c r="AT1307" s="81"/>
      <c r="AU1307" s="81">
        <v>0</v>
      </c>
      <c r="AV1307" s="81"/>
      <c r="AW1307" s="81" t="b">
        <v>0</v>
      </c>
      <c r="AX1307" s="81" t="s">
        <v>3728</v>
      </c>
      <c r="AY1307" s="84" t="str">
        <f>HYPERLINK("https://twitter.com/traumacoeur")</f>
        <v>https://twitter.com/traumacoeur</v>
      </c>
      <c r="AZ1307" s="81" t="s">
        <v>66</v>
      </c>
      <c r="BA1307" s="2"/>
      <c r="BB1307" s="3"/>
      <c r="BC1307" s="3"/>
      <c r="BD1307" s="3"/>
      <c r="BE1307" s="3"/>
    </row>
    <row r="1308" spans="1:57" x14ac:dyDescent="0.35">
      <c r="A1308" s="66" t="s">
        <v>4838</v>
      </c>
      <c r="B1308" s="67"/>
      <c r="C1308" s="67"/>
      <c r="D1308" s="68"/>
      <c r="E1308" s="94"/>
      <c r="F1308" s="93" t="str">
        <f>HYPERLINK("https://pbs.twimg.com/profile_images/1251015585896464384/CuWk2HON_normal.jpg")</f>
        <v>https://pbs.twimg.com/profile_images/1251015585896464384/CuWk2HON_normal.jpg</v>
      </c>
      <c r="G1308" s="95"/>
      <c r="H1308" s="71"/>
      <c r="I1308" s="72"/>
      <c r="J1308" s="96"/>
      <c r="K1308" s="71" t="s">
        <v>12263</v>
      </c>
      <c r="L1308" s="97"/>
      <c r="M1308" s="76"/>
      <c r="N1308" s="76"/>
      <c r="O1308" s="77"/>
      <c r="P1308" s="78"/>
      <c r="Q1308" s="78"/>
      <c r="R1308" s="92"/>
      <c r="S1308" s="92"/>
      <c r="T1308" s="92"/>
      <c r="U1308" s="92"/>
      <c r="V1308" s="52"/>
      <c r="W1308" s="52"/>
      <c r="X1308" s="52"/>
      <c r="Y1308" s="52"/>
      <c r="Z1308" s="51"/>
      <c r="AA1308" s="73"/>
      <c r="AB1308" s="73"/>
      <c r="AC1308" s="74"/>
      <c r="AD1308" s="81" t="s">
        <v>8877</v>
      </c>
      <c r="AE1308" s="86" t="s">
        <v>9851</v>
      </c>
      <c r="AF1308" s="81">
        <v>858</v>
      </c>
      <c r="AG1308" s="81">
        <v>653</v>
      </c>
      <c r="AH1308" s="81">
        <v>15515</v>
      </c>
      <c r="AI1308" s="81">
        <v>57784</v>
      </c>
      <c r="AJ1308" s="81"/>
      <c r="AK1308" s="81" t="s">
        <v>10762</v>
      </c>
      <c r="AL1308" s="81" t="s">
        <v>10984</v>
      </c>
      <c r="AM1308" s="81"/>
      <c r="AN1308" s="81"/>
      <c r="AO1308" s="83">
        <v>42239.790879629632</v>
      </c>
      <c r="AP1308" s="84" t="str">
        <f>HYPERLINK("https://pbs.twimg.com/profile_banners/3437124874/1601773171")</f>
        <v>https://pbs.twimg.com/profile_banners/3437124874/1601773171</v>
      </c>
      <c r="AQ1308" s="81" t="b">
        <v>0</v>
      </c>
      <c r="AR1308" s="81" t="b">
        <v>0</v>
      </c>
      <c r="AS1308" s="81" t="b">
        <v>0</v>
      </c>
      <c r="AT1308" s="81"/>
      <c r="AU1308" s="81">
        <v>1</v>
      </c>
      <c r="AV1308" s="84" t="str">
        <f>HYPERLINK("https://abs.twimg.com/images/themes/theme1/bg.png")</f>
        <v>https://abs.twimg.com/images/themes/theme1/bg.png</v>
      </c>
      <c r="AW1308" s="81" t="b">
        <v>0</v>
      </c>
      <c r="AX1308" s="81" t="s">
        <v>3728</v>
      </c>
      <c r="AY1308" s="84" t="str">
        <f>HYPERLINK("https://twitter.com/fabiobra_sep")</f>
        <v>https://twitter.com/fabiobra_sep</v>
      </c>
      <c r="AZ1308" s="81" t="s">
        <v>66</v>
      </c>
      <c r="BA1308" s="2"/>
      <c r="BB1308" s="3"/>
      <c r="BC1308" s="3"/>
      <c r="BD1308" s="3"/>
      <c r="BE1308" s="3"/>
    </row>
    <row r="1309" spans="1:57" x14ac:dyDescent="0.35">
      <c r="A1309" s="66" t="s">
        <v>4839</v>
      </c>
      <c r="B1309" s="67"/>
      <c r="C1309" s="67"/>
      <c r="D1309" s="68"/>
      <c r="E1309" s="94"/>
      <c r="F1309" s="93" t="str">
        <f>HYPERLINK("https://pbs.twimg.com/profile_images/1347652156757827584/IkyD1khF_normal.jpg")</f>
        <v>https://pbs.twimg.com/profile_images/1347652156757827584/IkyD1khF_normal.jpg</v>
      </c>
      <c r="G1309" s="95"/>
      <c r="H1309" s="71"/>
      <c r="I1309" s="72"/>
      <c r="J1309" s="96"/>
      <c r="K1309" s="71" t="s">
        <v>12264</v>
      </c>
      <c r="L1309" s="97"/>
      <c r="M1309" s="76"/>
      <c r="N1309" s="76"/>
      <c r="O1309" s="77"/>
      <c r="P1309" s="78"/>
      <c r="Q1309" s="78"/>
      <c r="R1309" s="92"/>
      <c r="S1309" s="92"/>
      <c r="T1309" s="92"/>
      <c r="U1309" s="92"/>
      <c r="V1309" s="52"/>
      <c r="W1309" s="52"/>
      <c r="X1309" s="52"/>
      <c r="Y1309" s="52"/>
      <c r="Z1309" s="51"/>
      <c r="AA1309" s="73"/>
      <c r="AB1309" s="73"/>
      <c r="AC1309" s="74"/>
      <c r="AD1309" s="81" t="s">
        <v>8878</v>
      </c>
      <c r="AE1309" s="86" t="s">
        <v>9852</v>
      </c>
      <c r="AF1309" s="81">
        <v>2150</v>
      </c>
      <c r="AG1309" s="81">
        <v>1705</v>
      </c>
      <c r="AH1309" s="81">
        <v>15684</v>
      </c>
      <c r="AI1309" s="81">
        <v>141002</v>
      </c>
      <c r="AJ1309" s="81"/>
      <c r="AK1309" s="81" t="s">
        <v>10763</v>
      </c>
      <c r="AL1309" s="81" t="s">
        <v>11252</v>
      </c>
      <c r="AM1309" s="81"/>
      <c r="AN1309" s="81"/>
      <c r="AO1309" s="83">
        <v>39944.70045138889</v>
      </c>
      <c r="AP1309" s="84" t="str">
        <f>HYPERLINK("https://pbs.twimg.com/profile_banners/39287697/1581171127")</f>
        <v>https://pbs.twimg.com/profile_banners/39287697/1581171127</v>
      </c>
      <c r="AQ1309" s="81" t="b">
        <v>1</v>
      </c>
      <c r="AR1309" s="81" t="b">
        <v>0</v>
      </c>
      <c r="AS1309" s="81" t="b">
        <v>1</v>
      </c>
      <c r="AT1309" s="81"/>
      <c r="AU1309" s="81">
        <v>0</v>
      </c>
      <c r="AV1309" s="84" t="str">
        <f>HYPERLINK("https://abs.twimg.com/images/themes/theme1/bg.png")</f>
        <v>https://abs.twimg.com/images/themes/theme1/bg.png</v>
      </c>
      <c r="AW1309" s="81" t="b">
        <v>0</v>
      </c>
      <c r="AX1309" s="81" t="s">
        <v>3728</v>
      </c>
      <c r="AY1309" s="84" t="str">
        <f>HYPERLINK("https://twitter.com/mineirimgo")</f>
        <v>https://twitter.com/mineirimgo</v>
      </c>
      <c r="AZ1309" s="81" t="s">
        <v>66</v>
      </c>
      <c r="BA1309" s="2"/>
      <c r="BB1309" s="3"/>
      <c r="BC1309" s="3"/>
      <c r="BD1309" s="3"/>
      <c r="BE1309" s="3"/>
    </row>
    <row r="1310" spans="1:57" x14ac:dyDescent="0.35">
      <c r="A1310" s="66" t="s">
        <v>4840</v>
      </c>
      <c r="B1310" s="67"/>
      <c r="C1310" s="67"/>
      <c r="D1310" s="68"/>
      <c r="E1310" s="94"/>
      <c r="F1310" s="93" t="str">
        <f>HYPERLINK("https://pbs.twimg.com/profile_images/1392929308184809476/17El17dl_normal.jpg")</f>
        <v>https://pbs.twimg.com/profile_images/1392929308184809476/17El17dl_normal.jpg</v>
      </c>
      <c r="G1310" s="95"/>
      <c r="H1310" s="71"/>
      <c r="I1310" s="72"/>
      <c r="J1310" s="96"/>
      <c r="K1310" s="71" t="s">
        <v>12265</v>
      </c>
      <c r="L1310" s="97"/>
      <c r="M1310" s="76"/>
      <c r="N1310" s="76"/>
      <c r="O1310" s="77"/>
      <c r="P1310" s="78"/>
      <c r="Q1310" s="78"/>
      <c r="R1310" s="92"/>
      <c r="S1310" s="92"/>
      <c r="T1310" s="92"/>
      <c r="U1310" s="92"/>
      <c r="V1310" s="52"/>
      <c r="W1310" s="52"/>
      <c r="X1310" s="52"/>
      <c r="Y1310" s="52"/>
      <c r="Z1310" s="51"/>
      <c r="AA1310" s="73"/>
      <c r="AB1310" s="73"/>
      <c r="AC1310" s="74"/>
      <c r="AD1310" s="81" t="s">
        <v>8879</v>
      </c>
      <c r="AE1310" s="86" t="s">
        <v>9853</v>
      </c>
      <c r="AF1310" s="81">
        <v>1985</v>
      </c>
      <c r="AG1310" s="81">
        <v>756</v>
      </c>
      <c r="AH1310" s="81">
        <v>14163</v>
      </c>
      <c r="AI1310" s="81">
        <v>28838</v>
      </c>
      <c r="AJ1310" s="81"/>
      <c r="AK1310" s="81" t="s">
        <v>10764</v>
      </c>
      <c r="AL1310" s="81" t="s">
        <v>11304</v>
      </c>
      <c r="AM1310" s="84" t="str">
        <f>HYPERLINK("https://t.co/K0eukxF10L")</f>
        <v>https://t.co/K0eukxF10L</v>
      </c>
      <c r="AN1310" s="81"/>
      <c r="AO1310" s="83">
        <v>40003.997106481482</v>
      </c>
      <c r="AP1310" s="84" t="str">
        <f>HYPERLINK("https://pbs.twimg.com/profile_banners/55406681/1598941334")</f>
        <v>https://pbs.twimg.com/profile_banners/55406681/1598941334</v>
      </c>
      <c r="AQ1310" s="81" t="b">
        <v>0</v>
      </c>
      <c r="AR1310" s="81" t="b">
        <v>0</v>
      </c>
      <c r="AS1310" s="81" t="b">
        <v>1</v>
      </c>
      <c r="AT1310" s="81"/>
      <c r="AU1310" s="81">
        <v>0</v>
      </c>
      <c r="AV1310" s="84" t="str">
        <f>HYPERLINK("https://abs.twimg.com/images/themes/theme18/bg.gif")</f>
        <v>https://abs.twimg.com/images/themes/theme18/bg.gif</v>
      </c>
      <c r="AW1310" s="81" t="b">
        <v>0</v>
      </c>
      <c r="AX1310" s="81" t="s">
        <v>3728</v>
      </c>
      <c r="AY1310" s="84" t="str">
        <f>HYPERLINK("https://twitter.com/giovanidias")</f>
        <v>https://twitter.com/giovanidias</v>
      </c>
      <c r="AZ1310" s="81" t="s">
        <v>66</v>
      </c>
      <c r="BA1310" s="2"/>
      <c r="BB1310" s="3"/>
      <c r="BC1310" s="3"/>
      <c r="BD1310" s="3"/>
      <c r="BE1310" s="3"/>
    </row>
    <row r="1311" spans="1:57" x14ac:dyDescent="0.35">
      <c r="A1311" s="66" t="s">
        <v>5170</v>
      </c>
      <c r="B1311" s="67"/>
      <c r="C1311" s="67"/>
      <c r="D1311" s="68"/>
      <c r="E1311" s="94"/>
      <c r="F1311" s="93" t="str">
        <f>HYPERLINK("https://pbs.twimg.com/profile_images/1442258281167216642/zNp0tbj9_normal.jpg")</f>
        <v>https://pbs.twimg.com/profile_images/1442258281167216642/zNp0tbj9_normal.jpg</v>
      </c>
      <c r="G1311" s="95"/>
      <c r="H1311" s="71"/>
      <c r="I1311" s="72"/>
      <c r="J1311" s="96"/>
      <c r="K1311" s="71" t="s">
        <v>12266</v>
      </c>
      <c r="L1311" s="97"/>
      <c r="M1311" s="76"/>
      <c r="N1311" s="76"/>
      <c r="O1311" s="77"/>
      <c r="P1311" s="78"/>
      <c r="Q1311" s="78"/>
      <c r="R1311" s="92"/>
      <c r="S1311" s="92"/>
      <c r="T1311" s="92"/>
      <c r="U1311" s="92"/>
      <c r="V1311" s="52"/>
      <c r="W1311" s="52"/>
      <c r="X1311" s="52"/>
      <c r="Y1311" s="52"/>
      <c r="Z1311" s="51"/>
      <c r="AA1311" s="73"/>
      <c r="AB1311" s="73"/>
      <c r="AC1311" s="74"/>
      <c r="AD1311" s="81" t="s">
        <v>8880</v>
      </c>
      <c r="AE1311" s="86" t="s">
        <v>7915</v>
      </c>
      <c r="AF1311" s="81">
        <v>364</v>
      </c>
      <c r="AG1311" s="81">
        <v>393</v>
      </c>
      <c r="AH1311" s="81">
        <v>5409</v>
      </c>
      <c r="AI1311" s="81">
        <v>8685</v>
      </c>
      <c r="AJ1311" s="81"/>
      <c r="AK1311" s="81" t="s">
        <v>10765</v>
      </c>
      <c r="AL1311" s="81"/>
      <c r="AM1311" s="81"/>
      <c r="AN1311" s="81"/>
      <c r="AO1311" s="83">
        <v>43637.634525462963</v>
      </c>
      <c r="AP1311" s="84" t="str">
        <f>HYPERLINK("https://pbs.twimg.com/profile_banners/1142088211478536193/1616439087")</f>
        <v>https://pbs.twimg.com/profile_banners/1142088211478536193/1616439087</v>
      </c>
      <c r="AQ1311" s="81" t="b">
        <v>1</v>
      </c>
      <c r="AR1311" s="81" t="b">
        <v>0</v>
      </c>
      <c r="AS1311" s="81" t="b">
        <v>1</v>
      </c>
      <c r="AT1311" s="81"/>
      <c r="AU1311" s="81">
        <v>0</v>
      </c>
      <c r="AV1311" s="81"/>
      <c r="AW1311" s="81" t="b">
        <v>0</v>
      </c>
      <c r="AX1311" s="81" t="s">
        <v>3728</v>
      </c>
      <c r="AY1311" s="84" t="str">
        <f>HYPERLINK("https://twitter.com/btiemih")</f>
        <v>https://twitter.com/btiemih</v>
      </c>
      <c r="AZ1311" s="81" t="s">
        <v>65</v>
      </c>
      <c r="BA1311" s="2"/>
      <c r="BB1311" s="3"/>
      <c r="BC1311" s="3"/>
      <c r="BD1311" s="3"/>
      <c r="BE1311" s="3"/>
    </row>
    <row r="1312" spans="1:57" x14ac:dyDescent="0.35">
      <c r="A1312" s="66" t="s">
        <v>4842</v>
      </c>
      <c r="B1312" s="67"/>
      <c r="C1312" s="67"/>
      <c r="D1312" s="68"/>
      <c r="E1312" s="94"/>
      <c r="F1312" s="93" t="str">
        <f>HYPERLINK("https://pbs.twimg.com/profile_images/1430471295255420931/Cxk2KaQK_normal.jpg")</f>
        <v>https://pbs.twimg.com/profile_images/1430471295255420931/Cxk2KaQK_normal.jpg</v>
      </c>
      <c r="G1312" s="95"/>
      <c r="H1312" s="71"/>
      <c r="I1312" s="72"/>
      <c r="J1312" s="96"/>
      <c r="K1312" s="71" t="s">
        <v>12267</v>
      </c>
      <c r="L1312" s="97"/>
      <c r="M1312" s="76"/>
      <c r="N1312" s="76"/>
      <c r="O1312" s="77"/>
      <c r="P1312" s="78"/>
      <c r="Q1312" s="78"/>
      <c r="R1312" s="92"/>
      <c r="S1312" s="92"/>
      <c r="T1312" s="92"/>
      <c r="U1312" s="92"/>
      <c r="V1312" s="52"/>
      <c r="W1312" s="52"/>
      <c r="X1312" s="52"/>
      <c r="Y1312" s="52"/>
      <c r="Z1312" s="51"/>
      <c r="AA1312" s="73"/>
      <c r="AB1312" s="73"/>
      <c r="AC1312" s="74"/>
      <c r="AD1312" s="81" t="s">
        <v>8881</v>
      </c>
      <c r="AE1312" s="86" t="s">
        <v>9854</v>
      </c>
      <c r="AF1312" s="81">
        <v>971</v>
      </c>
      <c r="AG1312" s="81">
        <v>461</v>
      </c>
      <c r="AH1312" s="81">
        <v>10419</v>
      </c>
      <c r="AI1312" s="81">
        <v>5265</v>
      </c>
      <c r="AJ1312" s="81"/>
      <c r="AK1312" s="81" t="s">
        <v>10766</v>
      </c>
      <c r="AL1312" s="81" t="s">
        <v>10990</v>
      </c>
      <c r="AM1312" s="84" t="str">
        <f>HYPERLINK("https://t.co/8x9NaW4fsG")</f>
        <v>https://t.co/8x9NaW4fsG</v>
      </c>
      <c r="AN1312" s="81"/>
      <c r="AO1312" s="83">
        <v>39729.100138888891</v>
      </c>
      <c r="AP1312" s="84" t="str">
        <f>HYPERLINK("https://pbs.twimg.com/profile_banners/16642874/1632740570")</f>
        <v>https://pbs.twimg.com/profile_banners/16642874/1632740570</v>
      </c>
      <c r="AQ1312" s="81" t="b">
        <v>0</v>
      </c>
      <c r="AR1312" s="81" t="b">
        <v>0</v>
      </c>
      <c r="AS1312" s="81" t="b">
        <v>0</v>
      </c>
      <c r="AT1312" s="81"/>
      <c r="AU1312" s="81">
        <v>44</v>
      </c>
      <c r="AV1312" s="84" t="str">
        <f>HYPERLINK("https://abs.twimg.com/images/themes/theme18/bg.gif")</f>
        <v>https://abs.twimg.com/images/themes/theme18/bg.gif</v>
      </c>
      <c r="AW1312" s="81" t="b">
        <v>0</v>
      </c>
      <c r="AX1312" s="81" t="s">
        <v>3728</v>
      </c>
      <c r="AY1312" s="84" t="str">
        <f>HYPERLINK("https://twitter.com/acaojoanina")</f>
        <v>https://twitter.com/acaojoanina</v>
      </c>
      <c r="AZ1312" s="81" t="s">
        <v>66</v>
      </c>
      <c r="BA1312" s="2"/>
      <c r="BB1312" s="3"/>
      <c r="BC1312" s="3"/>
      <c r="BD1312" s="3"/>
      <c r="BE1312" s="3"/>
    </row>
    <row r="1313" spans="1:57" x14ac:dyDescent="0.35">
      <c r="A1313" s="66" t="s">
        <v>4843</v>
      </c>
      <c r="B1313" s="67"/>
      <c r="C1313" s="67"/>
      <c r="D1313" s="68"/>
      <c r="E1313" s="94"/>
      <c r="F1313" s="93" t="str">
        <f>HYPERLINK("https://pbs.twimg.com/profile_images/1435313787595284486/LVLgw8mb_normal.jpg")</f>
        <v>https://pbs.twimg.com/profile_images/1435313787595284486/LVLgw8mb_normal.jpg</v>
      </c>
      <c r="G1313" s="95"/>
      <c r="H1313" s="71"/>
      <c r="I1313" s="72"/>
      <c r="J1313" s="96"/>
      <c r="K1313" s="71" t="s">
        <v>12268</v>
      </c>
      <c r="L1313" s="97"/>
      <c r="M1313" s="76"/>
      <c r="N1313" s="76"/>
      <c r="O1313" s="77"/>
      <c r="P1313" s="78"/>
      <c r="Q1313" s="78"/>
      <c r="R1313" s="92"/>
      <c r="S1313" s="92"/>
      <c r="T1313" s="92"/>
      <c r="U1313" s="92"/>
      <c r="V1313" s="52"/>
      <c r="W1313" s="52"/>
      <c r="X1313" s="52"/>
      <c r="Y1313" s="52"/>
      <c r="Z1313" s="51"/>
      <c r="AA1313" s="73"/>
      <c r="AB1313" s="73"/>
      <c r="AC1313" s="74"/>
      <c r="AD1313" s="81" t="s">
        <v>8882</v>
      </c>
      <c r="AE1313" s="86" t="s">
        <v>9855</v>
      </c>
      <c r="AF1313" s="81">
        <v>899</v>
      </c>
      <c r="AG1313" s="81">
        <v>822</v>
      </c>
      <c r="AH1313" s="81">
        <v>2651</v>
      </c>
      <c r="AI1313" s="81">
        <v>4757</v>
      </c>
      <c r="AJ1313" s="81"/>
      <c r="AK1313" s="81" t="s">
        <v>10767</v>
      </c>
      <c r="AL1313" s="81" t="s">
        <v>11305</v>
      </c>
      <c r="AM1313" s="81"/>
      <c r="AN1313" s="81"/>
      <c r="AO1313" s="83">
        <v>43669.067615740743</v>
      </c>
      <c r="AP1313" s="84" t="str">
        <f>HYPERLINK("https://pbs.twimg.com/profile_banners/1153479181235294208/1632889958")</f>
        <v>https://pbs.twimg.com/profile_banners/1153479181235294208/1632889958</v>
      </c>
      <c r="AQ1313" s="81" t="b">
        <v>1</v>
      </c>
      <c r="AR1313" s="81" t="b">
        <v>0</v>
      </c>
      <c r="AS1313" s="81" t="b">
        <v>0</v>
      </c>
      <c r="AT1313" s="81"/>
      <c r="AU1313" s="81">
        <v>0</v>
      </c>
      <c r="AV1313" s="81"/>
      <c r="AW1313" s="81" t="b">
        <v>0</v>
      </c>
      <c r="AX1313" s="81" t="s">
        <v>3728</v>
      </c>
      <c r="AY1313" s="84" t="str">
        <f>HYPERLINK("https://twitter.com/camiibich_")</f>
        <v>https://twitter.com/camiibich_</v>
      </c>
      <c r="AZ1313" s="81" t="s">
        <v>66</v>
      </c>
      <c r="BA1313" s="2"/>
      <c r="BB1313" s="3"/>
      <c r="BC1313" s="3"/>
      <c r="BD1313" s="3"/>
      <c r="BE1313" s="3"/>
    </row>
    <row r="1314" spans="1:57" x14ac:dyDescent="0.35">
      <c r="A1314" s="66" t="s">
        <v>4844</v>
      </c>
      <c r="B1314" s="67"/>
      <c r="C1314" s="67"/>
      <c r="D1314" s="68"/>
      <c r="E1314" s="94"/>
      <c r="F1314" s="93" t="str">
        <f>HYPERLINK("https://pbs.twimg.com/profile_images/1443235499154583561/kPYEg3PV_normal.jpg")</f>
        <v>https://pbs.twimg.com/profile_images/1443235499154583561/kPYEg3PV_normal.jpg</v>
      </c>
      <c r="G1314" s="95"/>
      <c r="H1314" s="71"/>
      <c r="I1314" s="72"/>
      <c r="J1314" s="96"/>
      <c r="K1314" s="71" t="s">
        <v>12269</v>
      </c>
      <c r="L1314" s="97"/>
      <c r="M1314" s="76"/>
      <c r="N1314" s="76"/>
      <c r="O1314" s="77"/>
      <c r="P1314" s="78"/>
      <c r="Q1314" s="78"/>
      <c r="R1314" s="92"/>
      <c r="S1314" s="92"/>
      <c r="T1314" s="92"/>
      <c r="U1314" s="92"/>
      <c r="V1314" s="52"/>
      <c r="W1314" s="52"/>
      <c r="X1314" s="52"/>
      <c r="Y1314" s="52"/>
      <c r="Z1314" s="51"/>
      <c r="AA1314" s="73"/>
      <c r="AB1314" s="73"/>
      <c r="AC1314" s="74"/>
      <c r="AD1314" s="81" t="s">
        <v>8883</v>
      </c>
      <c r="AE1314" s="86" t="s">
        <v>9856</v>
      </c>
      <c r="AF1314" s="81">
        <v>42</v>
      </c>
      <c r="AG1314" s="81">
        <v>32</v>
      </c>
      <c r="AH1314" s="81">
        <v>402</v>
      </c>
      <c r="AI1314" s="81">
        <v>1805</v>
      </c>
      <c r="AJ1314" s="81"/>
      <c r="AK1314" s="81" t="s">
        <v>13948</v>
      </c>
      <c r="AL1314" s="81" t="s">
        <v>11306</v>
      </c>
      <c r="AM1314" s="81"/>
      <c r="AN1314" s="81"/>
      <c r="AO1314" s="83">
        <v>44436.722430555557</v>
      </c>
      <c r="AP1314" s="84" t="str">
        <f>HYPERLINK("https://pbs.twimg.com/profile_banners/1431667940068401157/1632968150")</f>
        <v>https://pbs.twimg.com/profile_banners/1431667940068401157/1632968150</v>
      </c>
      <c r="AQ1314" s="81" t="b">
        <v>1</v>
      </c>
      <c r="AR1314" s="81" t="b">
        <v>0</v>
      </c>
      <c r="AS1314" s="81" t="b">
        <v>0</v>
      </c>
      <c r="AT1314" s="81"/>
      <c r="AU1314" s="81">
        <v>0</v>
      </c>
      <c r="AV1314" s="81"/>
      <c r="AW1314" s="81" t="b">
        <v>0</v>
      </c>
      <c r="AX1314" s="81" t="s">
        <v>3728</v>
      </c>
      <c r="AY1314" s="84" t="str">
        <f>HYPERLINK("https://twitter.com/bakugosluvr")</f>
        <v>https://twitter.com/bakugosluvr</v>
      </c>
      <c r="AZ1314" s="81" t="s">
        <v>66</v>
      </c>
      <c r="BA1314" s="2"/>
      <c r="BB1314" s="3"/>
      <c r="BC1314" s="3"/>
      <c r="BD1314" s="3"/>
      <c r="BE1314" s="3"/>
    </row>
    <row r="1315" spans="1:57" x14ac:dyDescent="0.35">
      <c r="A1315" s="66" t="s">
        <v>4845</v>
      </c>
      <c r="B1315" s="67"/>
      <c r="C1315" s="67"/>
      <c r="D1315" s="68"/>
      <c r="E1315" s="94"/>
      <c r="F1315" s="93" t="str">
        <f>HYPERLINK("https://pbs.twimg.com/profile_images/1290827814674079751/jmROBUpe_normal.jpg")</f>
        <v>https://pbs.twimg.com/profile_images/1290827814674079751/jmROBUpe_normal.jpg</v>
      </c>
      <c r="G1315" s="95"/>
      <c r="H1315" s="71"/>
      <c r="I1315" s="72"/>
      <c r="J1315" s="96"/>
      <c r="K1315" s="71" t="s">
        <v>12270</v>
      </c>
      <c r="L1315" s="97"/>
      <c r="M1315" s="76"/>
      <c r="N1315" s="76"/>
      <c r="O1315" s="77"/>
      <c r="P1315" s="78"/>
      <c r="Q1315" s="78"/>
      <c r="R1315" s="92"/>
      <c r="S1315" s="92"/>
      <c r="T1315" s="92"/>
      <c r="U1315" s="92"/>
      <c r="V1315" s="52"/>
      <c r="W1315" s="52"/>
      <c r="X1315" s="52"/>
      <c r="Y1315" s="52"/>
      <c r="Z1315" s="51"/>
      <c r="AA1315" s="73"/>
      <c r="AB1315" s="73"/>
      <c r="AC1315" s="74"/>
      <c r="AD1315" s="81" t="s">
        <v>8884</v>
      </c>
      <c r="AE1315" s="86" t="s">
        <v>9857</v>
      </c>
      <c r="AF1315" s="81">
        <v>272</v>
      </c>
      <c r="AG1315" s="81">
        <v>250</v>
      </c>
      <c r="AH1315" s="81">
        <v>9853</v>
      </c>
      <c r="AI1315" s="81">
        <v>4780</v>
      </c>
      <c r="AJ1315" s="81"/>
      <c r="AK1315" s="81" t="s">
        <v>10768</v>
      </c>
      <c r="AL1315" s="81" t="s">
        <v>11307</v>
      </c>
      <c r="AM1315" s="81"/>
      <c r="AN1315" s="81"/>
      <c r="AO1315" s="83">
        <v>43736.673564814817</v>
      </c>
      <c r="AP1315" s="84" t="str">
        <f>HYPERLINK("https://pbs.twimg.com/profile_banners/1177978588294995968/1592789643")</f>
        <v>https://pbs.twimg.com/profile_banners/1177978588294995968/1592789643</v>
      </c>
      <c r="AQ1315" s="81" t="b">
        <v>1</v>
      </c>
      <c r="AR1315" s="81" t="b">
        <v>0</v>
      </c>
      <c r="AS1315" s="81" t="b">
        <v>0</v>
      </c>
      <c r="AT1315" s="81"/>
      <c r="AU1315" s="81">
        <v>0</v>
      </c>
      <c r="AV1315" s="81"/>
      <c r="AW1315" s="81" t="b">
        <v>0</v>
      </c>
      <c r="AX1315" s="81" t="s">
        <v>3728</v>
      </c>
      <c r="AY1315" s="84" t="str">
        <f>HYPERLINK("https://twitter.com/esperan45343564")</f>
        <v>https://twitter.com/esperan45343564</v>
      </c>
      <c r="AZ1315" s="81" t="s">
        <v>66</v>
      </c>
      <c r="BA1315" s="2"/>
      <c r="BB1315" s="3"/>
      <c r="BC1315" s="3"/>
      <c r="BD1315" s="3"/>
      <c r="BE1315" s="3"/>
    </row>
    <row r="1316" spans="1:57" x14ac:dyDescent="0.35">
      <c r="A1316" s="66" t="s">
        <v>4852</v>
      </c>
      <c r="B1316" s="67"/>
      <c r="C1316" s="67"/>
      <c r="D1316" s="68"/>
      <c r="E1316" s="94"/>
      <c r="F1316" s="93" t="str">
        <f>HYPERLINK("https://pbs.twimg.com/profile_images/1345538022750752770/Q_ys6JLP_normal.jpg")</f>
        <v>https://pbs.twimg.com/profile_images/1345538022750752770/Q_ys6JLP_normal.jpg</v>
      </c>
      <c r="G1316" s="95"/>
      <c r="H1316" s="71"/>
      <c r="I1316" s="72"/>
      <c r="J1316" s="96"/>
      <c r="K1316" s="71" t="s">
        <v>12271</v>
      </c>
      <c r="L1316" s="97"/>
      <c r="M1316" s="76"/>
      <c r="N1316" s="76"/>
      <c r="O1316" s="77"/>
      <c r="P1316" s="78"/>
      <c r="Q1316" s="78"/>
      <c r="R1316" s="92"/>
      <c r="S1316" s="92"/>
      <c r="T1316" s="92"/>
      <c r="U1316" s="92"/>
      <c r="V1316" s="52"/>
      <c r="W1316" s="52"/>
      <c r="X1316" s="52"/>
      <c r="Y1316" s="52"/>
      <c r="Z1316" s="51"/>
      <c r="AA1316" s="73"/>
      <c r="AB1316" s="73"/>
      <c r="AC1316" s="74"/>
      <c r="AD1316" s="81" t="s">
        <v>8885</v>
      </c>
      <c r="AE1316" s="86" t="s">
        <v>9858</v>
      </c>
      <c r="AF1316" s="81">
        <v>3791</v>
      </c>
      <c r="AG1316" s="81">
        <v>3529</v>
      </c>
      <c r="AH1316" s="81">
        <v>35191</v>
      </c>
      <c r="AI1316" s="81">
        <v>61106</v>
      </c>
      <c r="AJ1316" s="81"/>
      <c r="AK1316" s="81" t="s">
        <v>10769</v>
      </c>
      <c r="AL1316" s="81" t="s">
        <v>10975</v>
      </c>
      <c r="AM1316" s="81"/>
      <c r="AN1316" s="81"/>
      <c r="AO1316" s="83">
        <v>41056.670590277776</v>
      </c>
      <c r="AP1316" s="84" t="str">
        <f>HYPERLINK("https://pbs.twimg.com/profile_banners/591935354/1624076314")</f>
        <v>https://pbs.twimg.com/profile_banners/591935354/1624076314</v>
      </c>
      <c r="AQ1316" s="81" t="b">
        <v>1</v>
      </c>
      <c r="AR1316" s="81" t="b">
        <v>0</v>
      </c>
      <c r="AS1316" s="81" t="b">
        <v>1</v>
      </c>
      <c r="AT1316" s="81"/>
      <c r="AU1316" s="81">
        <v>1</v>
      </c>
      <c r="AV1316" s="84" t="str">
        <f>HYPERLINK("https://abs.twimg.com/images/themes/theme1/bg.png")</f>
        <v>https://abs.twimg.com/images/themes/theme1/bg.png</v>
      </c>
      <c r="AW1316" s="81" t="b">
        <v>0</v>
      </c>
      <c r="AX1316" s="81" t="s">
        <v>3728</v>
      </c>
      <c r="AY1316" s="84" t="str">
        <f>HYPERLINK("https://twitter.com/nycamary")</f>
        <v>https://twitter.com/nycamary</v>
      </c>
      <c r="AZ1316" s="81" t="s">
        <v>66</v>
      </c>
      <c r="BA1316" s="2"/>
      <c r="BB1316" s="3"/>
      <c r="BC1316" s="3"/>
      <c r="BD1316" s="3"/>
      <c r="BE1316" s="3"/>
    </row>
    <row r="1317" spans="1:57" x14ac:dyDescent="0.35">
      <c r="A1317" s="66" t="s">
        <v>579</v>
      </c>
      <c r="B1317" s="67"/>
      <c r="C1317" s="67"/>
      <c r="D1317" s="68"/>
      <c r="E1317" s="94"/>
      <c r="F1317" s="93" t="str">
        <f>HYPERLINK("https://pbs.twimg.com/profile_images/1369087031788281856/SHFfO1Ey_normal.jpg")</f>
        <v>https://pbs.twimg.com/profile_images/1369087031788281856/SHFfO1Ey_normal.jpg</v>
      </c>
      <c r="G1317" s="95"/>
      <c r="H1317" s="71"/>
      <c r="I1317" s="72"/>
      <c r="J1317" s="96"/>
      <c r="K1317" s="71" t="s">
        <v>4152</v>
      </c>
      <c r="L1317" s="97"/>
      <c r="M1317" s="76"/>
      <c r="N1317" s="76"/>
      <c r="O1317" s="77"/>
      <c r="P1317" s="78"/>
      <c r="Q1317" s="78"/>
      <c r="R1317" s="92"/>
      <c r="S1317" s="92"/>
      <c r="T1317" s="92"/>
      <c r="U1317" s="92"/>
      <c r="V1317" s="52"/>
      <c r="W1317" s="52"/>
      <c r="X1317" s="52"/>
      <c r="Y1317" s="52"/>
      <c r="Z1317" s="51"/>
      <c r="AA1317" s="73"/>
      <c r="AB1317" s="73"/>
      <c r="AC1317" s="74"/>
      <c r="AD1317" s="81" t="s">
        <v>2663</v>
      </c>
      <c r="AE1317" s="86" t="s">
        <v>3060</v>
      </c>
      <c r="AF1317" s="81">
        <v>3977</v>
      </c>
      <c r="AG1317" s="81">
        <v>2792</v>
      </c>
      <c r="AH1317" s="81">
        <v>42394</v>
      </c>
      <c r="AI1317" s="81">
        <v>62967</v>
      </c>
      <c r="AJ1317" s="81"/>
      <c r="AK1317" s="81" t="s">
        <v>3486</v>
      </c>
      <c r="AL1317" s="81"/>
      <c r="AM1317" s="81"/>
      <c r="AN1317" s="81"/>
      <c r="AO1317" s="83">
        <v>44242.529479166667</v>
      </c>
      <c r="AP1317" s="84" t="str">
        <f>HYPERLINK("https://pbs.twimg.com/profile_banners/1361294716172525569/1615250759")</f>
        <v>https://pbs.twimg.com/profile_banners/1361294716172525569/1615250759</v>
      </c>
      <c r="AQ1317" s="81" t="b">
        <v>1</v>
      </c>
      <c r="AR1317" s="81" t="b">
        <v>0</v>
      </c>
      <c r="AS1317" s="81" t="b">
        <v>1</v>
      </c>
      <c r="AT1317" s="81"/>
      <c r="AU1317" s="81">
        <v>0</v>
      </c>
      <c r="AV1317" s="81"/>
      <c r="AW1317" s="81" t="b">
        <v>0</v>
      </c>
      <c r="AX1317" s="81" t="s">
        <v>3728</v>
      </c>
      <c r="AY1317" s="84" t="str">
        <f>HYPERLINK("https://twitter.com/camelaila1")</f>
        <v>https://twitter.com/camelaila1</v>
      </c>
      <c r="AZ1317" s="81" t="s">
        <v>66</v>
      </c>
      <c r="BA1317" s="2"/>
      <c r="BB1317" s="3"/>
      <c r="BC1317" s="3"/>
      <c r="BD1317" s="3"/>
      <c r="BE1317" s="3"/>
    </row>
    <row r="1318" spans="1:57" x14ac:dyDescent="0.35">
      <c r="A1318" s="66" t="s">
        <v>4846</v>
      </c>
      <c r="B1318" s="67"/>
      <c r="C1318" s="67"/>
      <c r="D1318" s="68"/>
      <c r="E1318" s="94"/>
      <c r="F1318" s="93" t="str">
        <f>HYPERLINK("https://abs.twimg.com/sticky/default_profile_images/default_profile_normal.png")</f>
        <v>https://abs.twimg.com/sticky/default_profile_images/default_profile_normal.png</v>
      </c>
      <c r="G1318" s="95"/>
      <c r="H1318" s="71"/>
      <c r="I1318" s="72"/>
      <c r="J1318" s="96"/>
      <c r="K1318" s="71" t="s">
        <v>12272</v>
      </c>
      <c r="L1318" s="97"/>
      <c r="M1318" s="76"/>
      <c r="N1318" s="76"/>
      <c r="O1318" s="77"/>
      <c r="P1318" s="78"/>
      <c r="Q1318" s="78"/>
      <c r="R1318" s="92"/>
      <c r="S1318" s="92"/>
      <c r="T1318" s="92"/>
      <c r="U1318" s="92"/>
      <c r="V1318" s="52"/>
      <c r="W1318" s="52"/>
      <c r="X1318" s="52"/>
      <c r="Y1318" s="52"/>
      <c r="Z1318" s="51"/>
      <c r="AA1318" s="73"/>
      <c r="AB1318" s="73"/>
      <c r="AC1318" s="74"/>
      <c r="AD1318" s="81" t="s">
        <v>8886</v>
      </c>
      <c r="AE1318" s="86" t="s">
        <v>9859</v>
      </c>
      <c r="AF1318" s="81">
        <v>3706</v>
      </c>
      <c r="AG1318" s="81">
        <v>1232</v>
      </c>
      <c r="AH1318" s="81">
        <v>45153</v>
      </c>
      <c r="AI1318" s="81">
        <v>22723</v>
      </c>
      <c r="AJ1318" s="81"/>
      <c r="AK1318" s="81"/>
      <c r="AL1318" s="81"/>
      <c r="AM1318" s="81"/>
      <c r="AN1318" s="81"/>
      <c r="AO1318" s="83">
        <v>42601.795451388891</v>
      </c>
      <c r="AP1318" s="81"/>
      <c r="AQ1318" s="81" t="b">
        <v>1</v>
      </c>
      <c r="AR1318" s="81" t="b">
        <v>1</v>
      </c>
      <c r="AS1318" s="81" t="b">
        <v>1</v>
      </c>
      <c r="AT1318" s="81"/>
      <c r="AU1318" s="81">
        <v>4</v>
      </c>
      <c r="AV1318" s="81"/>
      <c r="AW1318" s="81" t="b">
        <v>0</v>
      </c>
      <c r="AX1318" s="81" t="s">
        <v>3728</v>
      </c>
      <c r="AY1318" s="84" t="str">
        <f>HYPERLINK("https://twitter.com/marietapeixoto")</f>
        <v>https://twitter.com/marietapeixoto</v>
      </c>
      <c r="AZ1318" s="81" t="s">
        <v>66</v>
      </c>
    </row>
    <row r="1319" spans="1:57" x14ac:dyDescent="0.35">
      <c r="A1319" s="66" t="s">
        <v>4847</v>
      </c>
      <c r="B1319" s="67"/>
      <c r="C1319" s="67"/>
      <c r="D1319" s="68"/>
      <c r="E1319" s="94"/>
      <c r="F1319" s="93" t="str">
        <f>HYPERLINK("https://pbs.twimg.com/profile_images/1381958857858162691/3OPQX9y__normal.jpg")</f>
        <v>https://pbs.twimg.com/profile_images/1381958857858162691/3OPQX9y__normal.jpg</v>
      </c>
      <c r="G1319" s="95"/>
      <c r="H1319" s="71"/>
      <c r="I1319" s="72"/>
      <c r="J1319" s="96"/>
      <c r="K1319" s="71" t="s">
        <v>12273</v>
      </c>
      <c r="L1319" s="97"/>
      <c r="M1319" s="76"/>
      <c r="N1319" s="76"/>
      <c r="O1319" s="77"/>
      <c r="P1319" s="78"/>
      <c r="Q1319" s="78"/>
      <c r="R1319" s="92"/>
      <c r="S1319" s="92"/>
      <c r="T1319" s="92"/>
      <c r="U1319" s="92"/>
      <c r="V1319" s="52"/>
      <c r="W1319" s="52"/>
      <c r="X1319" s="52"/>
      <c r="Y1319" s="52"/>
      <c r="Z1319" s="51"/>
      <c r="AA1319" s="73"/>
      <c r="AB1319" s="73"/>
      <c r="AC1319" s="74"/>
      <c r="AD1319" s="81" t="s">
        <v>8887</v>
      </c>
      <c r="AE1319" s="86" t="s">
        <v>9860</v>
      </c>
      <c r="AF1319" s="81">
        <v>764</v>
      </c>
      <c r="AG1319" s="81">
        <v>494</v>
      </c>
      <c r="AH1319" s="81">
        <v>5657</v>
      </c>
      <c r="AI1319" s="81">
        <v>41929</v>
      </c>
      <c r="AJ1319" s="81"/>
      <c r="AK1319" s="81" t="s">
        <v>10770</v>
      </c>
      <c r="AL1319" s="81" t="s">
        <v>11308</v>
      </c>
      <c r="AM1319" s="81"/>
      <c r="AN1319" s="81"/>
      <c r="AO1319" s="83">
        <v>43530.997916666667</v>
      </c>
      <c r="AP1319" s="84" t="str">
        <f>HYPERLINK("https://pbs.twimg.com/profile_banners/1103444400888311809/1619435540")</f>
        <v>https://pbs.twimg.com/profile_banners/1103444400888311809/1619435540</v>
      </c>
      <c r="AQ1319" s="81" t="b">
        <v>1</v>
      </c>
      <c r="AR1319" s="81" t="b">
        <v>0</v>
      </c>
      <c r="AS1319" s="81" t="b">
        <v>0</v>
      </c>
      <c r="AT1319" s="81"/>
      <c r="AU1319" s="81">
        <v>0</v>
      </c>
      <c r="AV1319" s="81"/>
      <c r="AW1319" s="81" t="b">
        <v>0</v>
      </c>
      <c r="AX1319" s="81" t="s">
        <v>3728</v>
      </c>
      <c r="AY1319" s="84" t="str">
        <f>HYPERLINK("https://twitter.com/tkorndorfer")</f>
        <v>https://twitter.com/tkorndorfer</v>
      </c>
      <c r="AZ1319" s="81" t="s">
        <v>66</v>
      </c>
    </row>
    <row r="1320" spans="1:57" x14ac:dyDescent="0.35">
      <c r="A1320" s="66" t="s">
        <v>4848</v>
      </c>
      <c r="B1320" s="67"/>
      <c r="C1320" s="67"/>
      <c r="D1320" s="68"/>
      <c r="E1320" s="94"/>
      <c r="F1320" s="93" t="str">
        <f>HYPERLINK("https://pbs.twimg.com/profile_images/1261347940603478016/6d6Amy5d_normal.jpg")</f>
        <v>https://pbs.twimg.com/profile_images/1261347940603478016/6d6Amy5d_normal.jpg</v>
      </c>
      <c r="G1320" s="95"/>
      <c r="H1320" s="71"/>
      <c r="I1320" s="72"/>
      <c r="J1320" s="96"/>
      <c r="K1320" s="71" t="s">
        <v>12274</v>
      </c>
      <c r="L1320" s="97"/>
      <c r="M1320" s="76"/>
      <c r="N1320" s="76"/>
      <c r="O1320" s="77"/>
      <c r="P1320" s="78"/>
      <c r="Q1320" s="78"/>
      <c r="R1320" s="92"/>
      <c r="S1320" s="92"/>
      <c r="T1320" s="92"/>
      <c r="U1320" s="92"/>
      <c r="V1320" s="52"/>
      <c r="W1320" s="52"/>
      <c r="X1320" s="52"/>
      <c r="Y1320" s="52"/>
      <c r="Z1320" s="51"/>
      <c r="AA1320" s="73"/>
      <c r="AB1320" s="73"/>
      <c r="AC1320" s="74"/>
      <c r="AD1320" s="81" t="s">
        <v>8888</v>
      </c>
      <c r="AE1320" s="86" t="s">
        <v>9861</v>
      </c>
      <c r="AF1320" s="81">
        <v>1980</v>
      </c>
      <c r="AG1320" s="81">
        <v>1895</v>
      </c>
      <c r="AH1320" s="81">
        <v>14835</v>
      </c>
      <c r="AI1320" s="81">
        <v>25153</v>
      </c>
      <c r="AJ1320" s="81"/>
      <c r="AK1320" s="81" t="s">
        <v>10771</v>
      </c>
      <c r="AL1320" s="81" t="s">
        <v>11309</v>
      </c>
      <c r="AM1320" s="81"/>
      <c r="AN1320" s="81"/>
      <c r="AO1320" s="83">
        <v>42497.093113425923</v>
      </c>
      <c r="AP1320" s="84" t="str">
        <f>HYPERLINK("https://pbs.twimg.com/profile_banners/728769842212392960/1604114452")</f>
        <v>https://pbs.twimg.com/profile_banners/728769842212392960/1604114452</v>
      </c>
      <c r="AQ1320" s="81" t="b">
        <v>1</v>
      </c>
      <c r="AR1320" s="81" t="b">
        <v>0</v>
      </c>
      <c r="AS1320" s="81" t="b">
        <v>0</v>
      </c>
      <c r="AT1320" s="81"/>
      <c r="AU1320" s="81">
        <v>0</v>
      </c>
      <c r="AV1320" s="81"/>
      <c r="AW1320" s="81" t="b">
        <v>0</v>
      </c>
      <c r="AX1320" s="81" t="s">
        <v>3728</v>
      </c>
      <c r="AY1320" s="84" t="str">
        <f>HYPERLINK("https://twitter.com/klugerodrigo")</f>
        <v>https://twitter.com/klugerodrigo</v>
      </c>
      <c r="AZ1320" s="81" t="s">
        <v>66</v>
      </c>
    </row>
    <row r="1321" spans="1:57" x14ac:dyDescent="0.35">
      <c r="A1321" s="66" t="s">
        <v>5171</v>
      </c>
      <c r="B1321" s="67"/>
      <c r="C1321" s="67"/>
      <c r="D1321" s="68"/>
      <c r="E1321" s="94"/>
      <c r="F1321" s="93" t="str">
        <f>HYPERLINK("https://pbs.twimg.com/profile_images/1410546402510376961/Fzz5yaC8_normal.jpg")</f>
        <v>https://pbs.twimg.com/profile_images/1410546402510376961/Fzz5yaC8_normal.jpg</v>
      </c>
      <c r="G1321" s="95"/>
      <c r="H1321" s="71"/>
      <c r="I1321" s="72"/>
      <c r="J1321" s="96"/>
      <c r="K1321" s="71" t="s">
        <v>12275</v>
      </c>
      <c r="L1321" s="97"/>
      <c r="M1321" s="76"/>
      <c r="N1321" s="76"/>
      <c r="O1321" s="77"/>
      <c r="P1321" s="78"/>
      <c r="Q1321" s="78"/>
      <c r="R1321" s="92"/>
      <c r="S1321" s="92"/>
      <c r="T1321" s="92"/>
      <c r="U1321" s="92"/>
      <c r="V1321" s="52"/>
      <c r="W1321" s="52"/>
      <c r="X1321" s="52"/>
      <c r="Y1321" s="52"/>
      <c r="Z1321" s="51"/>
      <c r="AA1321" s="73"/>
      <c r="AB1321" s="73"/>
      <c r="AC1321" s="74"/>
      <c r="AD1321" s="81" t="s">
        <v>8889</v>
      </c>
      <c r="AE1321" s="86" t="s">
        <v>7957</v>
      </c>
      <c r="AF1321" s="81">
        <v>1510</v>
      </c>
      <c r="AG1321" s="81">
        <v>471877</v>
      </c>
      <c r="AH1321" s="81">
        <v>174244</v>
      </c>
      <c r="AI1321" s="81">
        <v>9967</v>
      </c>
      <c r="AJ1321" s="81"/>
      <c r="AK1321" s="81" t="s">
        <v>10772</v>
      </c>
      <c r="AL1321" s="81" t="s">
        <v>10986</v>
      </c>
      <c r="AM1321" s="84" t="str">
        <f>HYPERLINK("https://t.co/bH1TESRwr6")</f>
        <v>https://t.co/bH1TESRwr6</v>
      </c>
      <c r="AN1321" s="81"/>
      <c r="AO1321" s="83">
        <v>42172.610844907409</v>
      </c>
      <c r="AP1321" s="84" t="str">
        <f>HYPERLINK("https://pbs.twimg.com/profile_banners/3331429624/1594325580")</f>
        <v>https://pbs.twimg.com/profile_banners/3331429624/1594325580</v>
      </c>
      <c r="AQ1321" s="81" t="b">
        <v>0</v>
      </c>
      <c r="AR1321" s="81" t="b">
        <v>0</v>
      </c>
      <c r="AS1321" s="81" t="b">
        <v>1</v>
      </c>
      <c r="AT1321" s="81"/>
      <c r="AU1321" s="81">
        <v>1074</v>
      </c>
      <c r="AV1321" s="84" t="str">
        <f>HYPERLINK("https://abs.twimg.com/images/themes/theme1/bg.png")</f>
        <v>https://abs.twimg.com/images/themes/theme1/bg.png</v>
      </c>
      <c r="AW1321" s="81" t="b">
        <v>1</v>
      </c>
      <c r="AX1321" s="81" t="s">
        <v>3728</v>
      </c>
      <c r="AY1321" s="84" t="str">
        <f>HYPERLINK("https://twitter.com/metropoles")</f>
        <v>https://twitter.com/metropoles</v>
      </c>
      <c r="AZ1321" s="81" t="s">
        <v>65</v>
      </c>
    </row>
    <row r="1322" spans="1:57" x14ac:dyDescent="0.35">
      <c r="A1322" s="66" t="s">
        <v>4849</v>
      </c>
      <c r="B1322" s="67"/>
      <c r="C1322" s="67"/>
      <c r="D1322" s="68"/>
      <c r="E1322" s="94"/>
      <c r="F1322" s="93" t="str">
        <f>HYPERLINK("https://pbs.twimg.com/profile_images/1360608915310993413/DpRQdOMZ_normal.jpg")</f>
        <v>https://pbs.twimg.com/profile_images/1360608915310993413/DpRQdOMZ_normal.jpg</v>
      </c>
      <c r="G1322" s="95"/>
      <c r="H1322" s="71"/>
      <c r="I1322" s="72"/>
      <c r="J1322" s="96"/>
      <c r="K1322" s="71" t="s">
        <v>12276</v>
      </c>
      <c r="L1322" s="97"/>
      <c r="M1322" s="76"/>
      <c r="N1322" s="76"/>
      <c r="O1322" s="77"/>
      <c r="P1322" s="78"/>
      <c r="Q1322" s="78"/>
      <c r="R1322" s="92"/>
      <c r="S1322" s="92"/>
      <c r="T1322" s="92"/>
      <c r="U1322" s="92"/>
      <c r="V1322" s="52"/>
      <c r="W1322" s="52"/>
      <c r="X1322" s="52"/>
      <c r="Y1322" s="52"/>
      <c r="Z1322" s="51"/>
      <c r="AA1322" s="73"/>
      <c r="AB1322" s="73"/>
      <c r="AC1322" s="74"/>
      <c r="AD1322" s="81" t="s">
        <v>8890</v>
      </c>
      <c r="AE1322" s="86" t="s">
        <v>9862</v>
      </c>
      <c r="AF1322" s="81">
        <v>1328</v>
      </c>
      <c r="AG1322" s="81">
        <v>350</v>
      </c>
      <c r="AH1322" s="81">
        <v>867</v>
      </c>
      <c r="AI1322" s="81">
        <v>9632</v>
      </c>
      <c r="AJ1322" s="81"/>
      <c r="AK1322" s="81" t="s">
        <v>10773</v>
      </c>
      <c r="AL1322" s="81" t="s">
        <v>11310</v>
      </c>
      <c r="AM1322" s="81"/>
      <c r="AN1322" s="81"/>
      <c r="AO1322" s="83">
        <v>44182.731793981482</v>
      </c>
      <c r="AP1322" s="84" t="str">
        <f>HYPERLINK("https://pbs.twimg.com/profile_banners/1339624792257867777/1609097041")</f>
        <v>https://pbs.twimg.com/profile_banners/1339624792257867777/1609097041</v>
      </c>
      <c r="AQ1322" s="81" t="b">
        <v>1</v>
      </c>
      <c r="AR1322" s="81" t="b">
        <v>0</v>
      </c>
      <c r="AS1322" s="81" t="b">
        <v>0</v>
      </c>
      <c r="AT1322" s="81"/>
      <c r="AU1322" s="81">
        <v>0</v>
      </c>
      <c r="AV1322" s="81"/>
      <c r="AW1322" s="81" t="b">
        <v>0</v>
      </c>
      <c r="AX1322" s="81" t="s">
        <v>3728</v>
      </c>
      <c r="AY1322" s="84" t="str">
        <f>HYPERLINK("https://twitter.com/dimibeckman")</f>
        <v>https://twitter.com/dimibeckman</v>
      </c>
      <c r="AZ1322" s="81" t="s">
        <v>66</v>
      </c>
    </row>
    <row r="1323" spans="1:57" x14ac:dyDescent="0.35">
      <c r="A1323" s="66" t="s">
        <v>5172</v>
      </c>
      <c r="B1323" s="67"/>
      <c r="C1323" s="67"/>
      <c r="D1323" s="68"/>
      <c r="E1323" s="94"/>
      <c r="F1323" s="93" t="str">
        <f>HYPERLINK("https://pbs.twimg.com/profile_images/1407394154364157952/aZrrVf6O_normal.jpg")</f>
        <v>https://pbs.twimg.com/profile_images/1407394154364157952/aZrrVf6O_normal.jpg</v>
      </c>
      <c r="G1323" s="95"/>
      <c r="H1323" s="71"/>
      <c r="I1323" s="72"/>
      <c r="J1323" s="96"/>
      <c r="K1323" s="71" t="s">
        <v>12277</v>
      </c>
      <c r="L1323" s="97"/>
      <c r="M1323" s="76"/>
      <c r="N1323" s="76"/>
      <c r="O1323" s="77"/>
      <c r="P1323" s="78"/>
      <c r="Q1323" s="78"/>
      <c r="R1323" s="92"/>
      <c r="S1323" s="92"/>
      <c r="T1323" s="92"/>
      <c r="U1323" s="92"/>
      <c r="V1323" s="52"/>
      <c r="W1323" s="52"/>
      <c r="X1323" s="52"/>
      <c r="Y1323" s="52"/>
      <c r="Z1323" s="51"/>
      <c r="AA1323" s="73"/>
      <c r="AB1323" s="73"/>
      <c r="AC1323" s="74"/>
      <c r="AD1323" s="81" t="s">
        <v>8891</v>
      </c>
      <c r="AE1323" s="86" t="s">
        <v>9863</v>
      </c>
      <c r="AF1323" s="81">
        <v>2082</v>
      </c>
      <c r="AG1323" s="81">
        <v>2144</v>
      </c>
      <c r="AH1323" s="81">
        <v>28484</v>
      </c>
      <c r="AI1323" s="81">
        <v>35025</v>
      </c>
      <c r="AJ1323" s="81"/>
      <c r="AK1323" s="81" t="s">
        <v>10774</v>
      </c>
      <c r="AL1323" s="81" t="s">
        <v>11311</v>
      </c>
      <c r="AM1323" s="81"/>
      <c r="AN1323" s="81"/>
      <c r="AO1323" s="83">
        <v>42002.01971064815</v>
      </c>
      <c r="AP1323" s="84" t="str">
        <f>HYPERLINK("https://pbs.twimg.com/profile_banners/2947009271/1632062356")</f>
        <v>https://pbs.twimg.com/profile_banners/2947009271/1632062356</v>
      </c>
      <c r="AQ1323" s="81" t="b">
        <v>1</v>
      </c>
      <c r="AR1323" s="81" t="b">
        <v>0</v>
      </c>
      <c r="AS1323" s="81" t="b">
        <v>0</v>
      </c>
      <c r="AT1323" s="81"/>
      <c r="AU1323" s="81">
        <v>0</v>
      </c>
      <c r="AV1323" s="84" t="str">
        <f>HYPERLINK("https://abs.twimg.com/images/themes/theme1/bg.png")</f>
        <v>https://abs.twimg.com/images/themes/theme1/bg.png</v>
      </c>
      <c r="AW1323" s="81" t="b">
        <v>0</v>
      </c>
      <c r="AX1323" s="81" t="s">
        <v>3728</v>
      </c>
      <c r="AY1323" s="84" t="str">
        <f>HYPERLINK("https://twitter.com/marcelodied")</f>
        <v>https://twitter.com/marcelodied</v>
      </c>
      <c r="AZ1323" s="81" t="s">
        <v>65</v>
      </c>
    </row>
    <row r="1324" spans="1:57" x14ac:dyDescent="0.35">
      <c r="A1324" s="66" t="s">
        <v>5173</v>
      </c>
      <c r="B1324" s="67"/>
      <c r="C1324" s="67"/>
      <c r="D1324" s="68"/>
      <c r="E1324" s="94"/>
      <c r="F1324" s="93" t="str">
        <f>HYPERLINK("https://pbs.twimg.com/profile_images/1190053205562007552/RIr1dK92_normal.jpg")</f>
        <v>https://pbs.twimg.com/profile_images/1190053205562007552/RIr1dK92_normal.jpg</v>
      </c>
      <c r="G1324" s="95"/>
      <c r="H1324" s="71"/>
      <c r="I1324" s="72"/>
      <c r="J1324" s="96"/>
      <c r="K1324" s="71" t="s">
        <v>12278</v>
      </c>
      <c r="L1324" s="97"/>
      <c r="M1324" s="76"/>
      <c r="N1324" s="76"/>
      <c r="O1324" s="77"/>
      <c r="P1324" s="78"/>
      <c r="Q1324" s="78"/>
      <c r="R1324" s="92"/>
      <c r="S1324" s="92"/>
      <c r="T1324" s="92"/>
      <c r="U1324" s="92"/>
      <c r="V1324" s="52"/>
      <c r="W1324" s="52"/>
      <c r="X1324" s="52"/>
      <c r="Y1324" s="52"/>
      <c r="Z1324" s="51"/>
      <c r="AA1324" s="73"/>
      <c r="AB1324" s="73"/>
      <c r="AC1324" s="74"/>
      <c r="AD1324" s="81" t="s">
        <v>8892</v>
      </c>
      <c r="AE1324" s="86" t="s">
        <v>7916</v>
      </c>
      <c r="AF1324" s="81">
        <v>9069</v>
      </c>
      <c r="AG1324" s="81">
        <v>75056</v>
      </c>
      <c r="AH1324" s="81">
        <v>22329</v>
      </c>
      <c r="AI1324" s="81">
        <v>31017</v>
      </c>
      <c r="AJ1324" s="81"/>
      <c r="AK1324" s="81" t="s">
        <v>10775</v>
      </c>
      <c r="AL1324" s="81" t="s">
        <v>11312</v>
      </c>
      <c r="AM1324" s="84" t="str">
        <f>HYPERLINK("https://t.co/fx3RHTHwiP")</f>
        <v>https://t.co/fx3RHTHwiP</v>
      </c>
      <c r="AN1324" s="81"/>
      <c r="AO1324" s="83">
        <v>40093.55909722222</v>
      </c>
      <c r="AP1324" s="84" t="str">
        <f>HYPERLINK("https://pbs.twimg.com/profile_banners/80575628/1617031023")</f>
        <v>https://pbs.twimg.com/profile_banners/80575628/1617031023</v>
      </c>
      <c r="AQ1324" s="81" t="b">
        <v>0</v>
      </c>
      <c r="AR1324" s="81" t="b">
        <v>0</v>
      </c>
      <c r="AS1324" s="81" t="b">
        <v>0</v>
      </c>
      <c r="AT1324" s="81"/>
      <c r="AU1324" s="81">
        <v>297</v>
      </c>
      <c r="AV1324" s="84" t="str">
        <f>HYPERLINK("https://abs.twimg.com/images/themes/theme14/bg.gif")</f>
        <v>https://abs.twimg.com/images/themes/theme14/bg.gif</v>
      </c>
      <c r="AW1324" s="81" t="b">
        <v>1</v>
      </c>
      <c r="AX1324" s="81" t="s">
        <v>3728</v>
      </c>
      <c r="AY1324" s="84" t="str">
        <f>HYPERLINK("https://twitter.com/heldersalomao")</f>
        <v>https://twitter.com/heldersalomao</v>
      </c>
      <c r="AZ1324" s="81" t="s">
        <v>65</v>
      </c>
    </row>
    <row r="1325" spans="1:57" x14ac:dyDescent="0.35">
      <c r="A1325" s="66" t="s">
        <v>4850</v>
      </c>
      <c r="B1325" s="67"/>
      <c r="C1325" s="67"/>
      <c r="D1325" s="68"/>
      <c r="E1325" s="94"/>
      <c r="F1325" s="93" t="str">
        <f>HYPERLINK("https://pbs.twimg.com/profile_images/1393913727586553858/MzZj0smn_normal.jpg")</f>
        <v>https://pbs.twimg.com/profile_images/1393913727586553858/MzZj0smn_normal.jpg</v>
      </c>
      <c r="G1325" s="95"/>
      <c r="H1325" s="71"/>
      <c r="I1325" s="72"/>
      <c r="J1325" s="96"/>
      <c r="K1325" s="71" t="s">
        <v>12279</v>
      </c>
      <c r="L1325" s="97"/>
      <c r="M1325" s="76"/>
      <c r="N1325" s="76"/>
      <c r="O1325" s="77"/>
      <c r="P1325" s="78"/>
      <c r="Q1325" s="78"/>
      <c r="R1325" s="92"/>
      <c r="S1325" s="92"/>
      <c r="T1325" s="92"/>
      <c r="U1325" s="92"/>
      <c r="V1325" s="52"/>
      <c r="W1325" s="52"/>
      <c r="X1325" s="52"/>
      <c r="Y1325" s="52"/>
      <c r="Z1325" s="51"/>
      <c r="AA1325" s="73"/>
      <c r="AB1325" s="73"/>
      <c r="AC1325" s="74"/>
      <c r="AD1325" s="81" t="s">
        <v>8893</v>
      </c>
      <c r="AE1325" s="86" t="s">
        <v>9864</v>
      </c>
      <c r="AF1325" s="81">
        <v>565</v>
      </c>
      <c r="AG1325" s="81">
        <v>199</v>
      </c>
      <c r="AH1325" s="81">
        <v>15783</v>
      </c>
      <c r="AI1325" s="81">
        <v>32913</v>
      </c>
      <c r="AJ1325" s="81"/>
      <c r="AK1325" s="81"/>
      <c r="AL1325" s="81" t="s">
        <v>11313</v>
      </c>
      <c r="AM1325" s="81"/>
      <c r="AN1325" s="81"/>
      <c r="AO1325" s="83">
        <v>40710.065451388888</v>
      </c>
      <c r="AP1325" s="84" t="str">
        <f>HYPERLINK("https://pbs.twimg.com/profile_banners/318146771/1580050352")</f>
        <v>https://pbs.twimg.com/profile_banners/318146771/1580050352</v>
      </c>
      <c r="AQ1325" s="81" t="b">
        <v>0</v>
      </c>
      <c r="AR1325" s="81" t="b">
        <v>0</v>
      </c>
      <c r="AS1325" s="81" t="b">
        <v>1</v>
      </c>
      <c r="AT1325" s="81"/>
      <c r="AU1325" s="81">
        <v>1</v>
      </c>
      <c r="AV1325" s="84" t="str">
        <f>HYPERLINK("https://abs.twimg.com/images/themes/theme11/bg.gif")</f>
        <v>https://abs.twimg.com/images/themes/theme11/bg.gif</v>
      </c>
      <c r="AW1325" s="81" t="b">
        <v>0</v>
      </c>
      <c r="AX1325" s="81" t="s">
        <v>3728</v>
      </c>
      <c r="AY1325" s="84" t="str">
        <f>HYPERLINK("https://twitter.com/gi_gyka")</f>
        <v>https://twitter.com/gi_gyka</v>
      </c>
      <c r="AZ1325" s="81" t="s">
        <v>66</v>
      </c>
    </row>
    <row r="1326" spans="1:57" x14ac:dyDescent="0.35">
      <c r="A1326" s="66" t="s">
        <v>4851</v>
      </c>
      <c r="B1326" s="67"/>
      <c r="C1326" s="67"/>
      <c r="D1326" s="68"/>
      <c r="E1326" s="94"/>
      <c r="F1326" s="93" t="str">
        <f>HYPERLINK("https://pbs.twimg.com/profile_images/1274093781256724481/z1G2P0SQ_normal.jpg")</f>
        <v>https://pbs.twimg.com/profile_images/1274093781256724481/z1G2P0SQ_normal.jpg</v>
      </c>
      <c r="G1326" s="95"/>
      <c r="H1326" s="71"/>
      <c r="I1326" s="72"/>
      <c r="J1326" s="96"/>
      <c r="K1326" s="71" t="s">
        <v>12280</v>
      </c>
      <c r="L1326" s="97"/>
      <c r="M1326" s="76"/>
      <c r="N1326" s="76"/>
      <c r="O1326" s="77"/>
      <c r="P1326" s="78"/>
      <c r="Q1326" s="78"/>
      <c r="R1326" s="92"/>
      <c r="S1326" s="92"/>
      <c r="T1326" s="92"/>
      <c r="U1326" s="92"/>
      <c r="V1326" s="52"/>
      <c r="W1326" s="52"/>
      <c r="X1326" s="52"/>
      <c r="Y1326" s="52"/>
      <c r="Z1326" s="51"/>
      <c r="AA1326" s="73"/>
      <c r="AB1326" s="73"/>
      <c r="AC1326" s="74"/>
      <c r="AD1326" s="81" t="s">
        <v>8894</v>
      </c>
      <c r="AE1326" s="86" t="s">
        <v>9865</v>
      </c>
      <c r="AF1326" s="81">
        <v>444</v>
      </c>
      <c r="AG1326" s="81">
        <v>1072</v>
      </c>
      <c r="AH1326" s="81">
        <v>38049</v>
      </c>
      <c r="AI1326" s="81">
        <v>113881</v>
      </c>
      <c r="AJ1326" s="81"/>
      <c r="AK1326" s="81" t="s">
        <v>10776</v>
      </c>
      <c r="AL1326" s="81"/>
      <c r="AM1326" s="81"/>
      <c r="AN1326" s="81"/>
      <c r="AO1326" s="83">
        <v>44001.899363425924</v>
      </c>
      <c r="AP1326" s="81"/>
      <c r="AQ1326" s="81" t="b">
        <v>1</v>
      </c>
      <c r="AR1326" s="81" t="b">
        <v>0</v>
      </c>
      <c r="AS1326" s="81" t="b">
        <v>0</v>
      </c>
      <c r="AT1326" s="81"/>
      <c r="AU1326" s="81">
        <v>0</v>
      </c>
      <c r="AV1326" s="81"/>
      <c r="AW1326" s="81" t="b">
        <v>0</v>
      </c>
      <c r="AX1326" s="81" t="s">
        <v>3728</v>
      </c>
      <c r="AY1326" s="84" t="str">
        <f>HYPERLINK("https://twitter.com/ftimaponciano1")</f>
        <v>https://twitter.com/ftimaponciano1</v>
      </c>
      <c r="AZ1326" s="81" t="s">
        <v>66</v>
      </c>
    </row>
    <row r="1327" spans="1:57" x14ac:dyDescent="0.35">
      <c r="A1327" s="66" t="s">
        <v>690</v>
      </c>
      <c r="B1327" s="67"/>
      <c r="C1327" s="67"/>
      <c r="D1327" s="68"/>
      <c r="E1327" s="94"/>
      <c r="F1327" s="93" t="str">
        <f>HYPERLINK("https://pbs.twimg.com/profile_images/1132252507160268800/ntrxivDq_normal.jpg")</f>
        <v>https://pbs.twimg.com/profile_images/1132252507160268800/ntrxivDq_normal.jpg</v>
      </c>
      <c r="G1327" s="95"/>
      <c r="H1327" s="71"/>
      <c r="I1327" s="72"/>
      <c r="J1327" s="96"/>
      <c r="K1327" s="71" t="s">
        <v>4153</v>
      </c>
      <c r="L1327" s="97"/>
      <c r="M1327" s="76"/>
      <c r="N1327" s="76"/>
      <c r="O1327" s="77"/>
      <c r="P1327" s="78"/>
      <c r="Q1327" s="78"/>
      <c r="R1327" s="92"/>
      <c r="S1327" s="92"/>
      <c r="T1327" s="92"/>
      <c r="U1327" s="92"/>
      <c r="V1327" s="52"/>
      <c r="W1327" s="52"/>
      <c r="X1327" s="52"/>
      <c r="Y1327" s="52"/>
      <c r="Z1327" s="51"/>
      <c r="AA1327" s="73"/>
      <c r="AB1327" s="73"/>
      <c r="AC1327" s="74"/>
      <c r="AD1327" s="81" t="s">
        <v>2664</v>
      </c>
      <c r="AE1327" s="86" t="s">
        <v>3061</v>
      </c>
      <c r="AF1327" s="81">
        <v>262</v>
      </c>
      <c r="AG1327" s="81">
        <v>7046</v>
      </c>
      <c r="AH1327" s="81">
        <v>9034</v>
      </c>
      <c r="AI1327" s="81">
        <v>1970</v>
      </c>
      <c r="AJ1327" s="81"/>
      <c r="AK1327" s="81" t="s">
        <v>3487</v>
      </c>
      <c r="AL1327" s="81" t="s">
        <v>3716</v>
      </c>
      <c r="AM1327" s="84" t="str">
        <f>HYPERLINK("https://t.co/hyT08ZPLAk")</f>
        <v>https://t.co/hyT08ZPLAk</v>
      </c>
      <c r="AN1327" s="81"/>
      <c r="AO1327" s="83">
        <v>40948.107303240744</v>
      </c>
      <c r="AP1327" s="84" t="str">
        <f>HYPERLINK("https://pbs.twimg.com/profile_banners/487168097/1404964995")</f>
        <v>https://pbs.twimg.com/profile_banners/487168097/1404964995</v>
      </c>
      <c r="AQ1327" s="81" t="b">
        <v>0</v>
      </c>
      <c r="AR1327" s="81" t="b">
        <v>0</v>
      </c>
      <c r="AS1327" s="81" t="b">
        <v>1</v>
      </c>
      <c r="AT1327" s="81"/>
      <c r="AU1327" s="81">
        <v>13</v>
      </c>
      <c r="AV1327" s="84" t="str">
        <f>HYPERLINK("https://abs.twimg.com/images/themes/theme1/bg.png")</f>
        <v>https://abs.twimg.com/images/themes/theme1/bg.png</v>
      </c>
      <c r="AW1327" s="81" t="b">
        <v>0</v>
      </c>
      <c r="AX1327" s="81" t="s">
        <v>3728</v>
      </c>
      <c r="AY1327" s="84" t="str">
        <f>HYPERLINK("https://twitter.com/infoungaran")</f>
        <v>https://twitter.com/infoungaran</v>
      </c>
      <c r="AZ1327" s="81" t="s">
        <v>65</v>
      </c>
    </row>
    <row r="1328" spans="1:57" x14ac:dyDescent="0.35">
      <c r="A1328" s="66" t="s">
        <v>691</v>
      </c>
      <c r="B1328" s="67"/>
      <c r="C1328" s="67"/>
      <c r="D1328" s="68"/>
      <c r="E1328" s="94"/>
      <c r="F1328" s="93" t="str">
        <f>HYPERLINK("https://pbs.twimg.com/profile_images/1321755019817836544/QezTu_2J_normal.jpg")</f>
        <v>https://pbs.twimg.com/profile_images/1321755019817836544/QezTu_2J_normal.jpg</v>
      </c>
      <c r="G1328" s="95"/>
      <c r="H1328" s="71"/>
      <c r="I1328" s="72"/>
      <c r="J1328" s="96"/>
      <c r="K1328" s="71" t="s">
        <v>4154</v>
      </c>
      <c r="L1328" s="97"/>
      <c r="M1328" s="76"/>
      <c r="N1328" s="76"/>
      <c r="O1328" s="77"/>
      <c r="P1328" s="78"/>
      <c r="Q1328" s="78"/>
      <c r="R1328" s="92"/>
      <c r="S1328" s="92"/>
      <c r="T1328" s="92"/>
      <c r="U1328" s="92"/>
      <c r="V1328" s="52"/>
      <c r="W1328" s="52"/>
      <c r="X1328" s="52"/>
      <c r="Y1328" s="52"/>
      <c r="Z1328" s="51"/>
      <c r="AA1328" s="73"/>
      <c r="AB1328" s="73"/>
      <c r="AC1328" s="74"/>
      <c r="AD1328" s="81" t="s">
        <v>2665</v>
      </c>
      <c r="AE1328" s="86" t="s">
        <v>3062</v>
      </c>
      <c r="AF1328" s="81">
        <v>1226</v>
      </c>
      <c r="AG1328" s="81">
        <v>1032168</v>
      </c>
      <c r="AH1328" s="81">
        <v>53631</v>
      </c>
      <c r="AI1328" s="81">
        <v>2243</v>
      </c>
      <c r="AJ1328" s="81"/>
      <c r="AK1328" s="81" t="s">
        <v>3488</v>
      </c>
      <c r="AL1328" s="81"/>
      <c r="AM1328" s="84" t="str">
        <f>HYPERLINK("https://t.co/mx3e3UYXPi")</f>
        <v>https://t.co/mx3e3UYXPi</v>
      </c>
      <c r="AN1328" s="81"/>
      <c r="AO1328" s="83">
        <v>40001.550729166665</v>
      </c>
      <c r="AP1328" s="84" t="str">
        <f>HYPERLINK("https://pbs.twimg.com/profile_banners/54541128/1631796894")</f>
        <v>https://pbs.twimg.com/profile_banners/54541128/1631796894</v>
      </c>
      <c r="AQ1328" s="81" t="b">
        <v>0</v>
      </c>
      <c r="AR1328" s="81" t="b">
        <v>0</v>
      </c>
      <c r="AS1328" s="81" t="b">
        <v>1</v>
      </c>
      <c r="AT1328" s="81"/>
      <c r="AU1328" s="81">
        <v>855</v>
      </c>
      <c r="AV1328" s="84" t="str">
        <f>HYPERLINK("https://abs.twimg.com/images/themes/theme6/bg.gif")</f>
        <v>https://abs.twimg.com/images/themes/theme6/bg.gif</v>
      </c>
      <c r="AW1328" s="81" t="b">
        <v>1</v>
      </c>
      <c r="AX1328" s="81" t="s">
        <v>3728</v>
      </c>
      <c r="AY1328" s="84" t="str">
        <f>HYPERLINK("https://twitter.com/palangmerah")</f>
        <v>https://twitter.com/palangmerah</v>
      </c>
      <c r="AZ1328" s="81" t="s">
        <v>65</v>
      </c>
    </row>
    <row r="1329" spans="1:52" x14ac:dyDescent="0.35">
      <c r="A1329" s="66" t="s">
        <v>692</v>
      </c>
      <c r="B1329" s="67"/>
      <c r="C1329" s="67"/>
      <c r="D1329" s="68"/>
      <c r="E1329" s="94"/>
      <c r="F1329" s="93" t="str">
        <f>HYPERLINK("https://pbs.twimg.com/profile_images/1259125618853150722/muaYxVEp_normal.jpg")</f>
        <v>https://pbs.twimg.com/profile_images/1259125618853150722/muaYxVEp_normal.jpg</v>
      </c>
      <c r="G1329" s="95"/>
      <c r="H1329" s="71"/>
      <c r="I1329" s="72"/>
      <c r="J1329" s="96"/>
      <c r="K1329" s="71" t="s">
        <v>4155</v>
      </c>
      <c r="L1329" s="97"/>
      <c r="M1329" s="76"/>
      <c r="N1329" s="76"/>
      <c r="O1329" s="77"/>
      <c r="P1329" s="78"/>
      <c r="Q1329" s="78"/>
      <c r="R1329" s="92"/>
      <c r="S1329" s="92"/>
      <c r="T1329" s="92"/>
      <c r="U1329" s="92"/>
      <c r="V1329" s="52"/>
      <c r="W1329" s="52"/>
      <c r="X1329" s="52"/>
      <c r="Y1329" s="52"/>
      <c r="Z1329" s="51"/>
      <c r="AA1329" s="73"/>
      <c r="AB1329" s="73"/>
      <c r="AC1329" s="74"/>
      <c r="AD1329" s="81" t="s">
        <v>2666</v>
      </c>
      <c r="AE1329" s="86" t="s">
        <v>3063</v>
      </c>
      <c r="AF1329" s="81">
        <v>65</v>
      </c>
      <c r="AG1329" s="81">
        <v>5665</v>
      </c>
      <c r="AH1329" s="81">
        <v>4921</v>
      </c>
      <c r="AI1329" s="81">
        <v>1031</v>
      </c>
      <c r="AJ1329" s="81"/>
      <c r="AK1329" s="81" t="s">
        <v>3489</v>
      </c>
      <c r="AL1329" s="81" t="s">
        <v>3610</v>
      </c>
      <c r="AM1329" s="84" t="str">
        <f>HYPERLINK("https://t.co/0FC1op26N5")</f>
        <v>https://t.co/0FC1op26N5</v>
      </c>
      <c r="AN1329" s="81"/>
      <c r="AO1329" s="83">
        <v>40752.483726851853</v>
      </c>
      <c r="AP1329" s="84" t="str">
        <f>HYPERLINK("https://pbs.twimg.com/profile_banners/343993435/1628850603")</f>
        <v>https://pbs.twimg.com/profile_banners/343993435/1628850603</v>
      </c>
      <c r="AQ1329" s="81" t="b">
        <v>1</v>
      </c>
      <c r="AR1329" s="81" t="b">
        <v>0</v>
      </c>
      <c r="AS1329" s="81" t="b">
        <v>1</v>
      </c>
      <c r="AT1329" s="81"/>
      <c r="AU1329" s="81">
        <v>8</v>
      </c>
      <c r="AV1329" s="84" t="str">
        <f>HYPERLINK("https://abs.twimg.com/images/themes/theme1/bg.png")</f>
        <v>https://abs.twimg.com/images/themes/theme1/bg.png</v>
      </c>
      <c r="AW1329" s="81" t="b">
        <v>1</v>
      </c>
      <c r="AX1329" s="81" t="s">
        <v>3728</v>
      </c>
      <c r="AY1329" s="84" t="str">
        <f>HYPERLINK("https://twitter.com/pmijawatengah")</f>
        <v>https://twitter.com/pmijawatengah</v>
      </c>
      <c r="AZ1329" s="81" t="s">
        <v>65</v>
      </c>
    </row>
    <row r="1330" spans="1:52" x14ac:dyDescent="0.35">
      <c r="A1330" s="66" t="s">
        <v>4853</v>
      </c>
      <c r="B1330" s="67"/>
      <c r="C1330" s="67"/>
      <c r="D1330" s="68"/>
      <c r="E1330" s="94"/>
      <c r="F1330" s="93" t="str">
        <f>HYPERLINK("https://pbs.twimg.com/profile_images/1210371605404278784/UVTHw5hs_normal.jpg")</f>
        <v>https://pbs.twimg.com/profile_images/1210371605404278784/UVTHw5hs_normal.jpg</v>
      </c>
      <c r="G1330" s="95"/>
      <c r="H1330" s="71"/>
      <c r="I1330" s="72"/>
      <c r="J1330" s="96"/>
      <c r="K1330" s="71" t="s">
        <v>12281</v>
      </c>
      <c r="L1330" s="97"/>
      <c r="M1330" s="76"/>
      <c r="N1330" s="76"/>
      <c r="O1330" s="77"/>
      <c r="P1330" s="78"/>
      <c r="Q1330" s="78"/>
      <c r="R1330" s="92"/>
      <c r="S1330" s="92"/>
      <c r="T1330" s="92"/>
      <c r="U1330" s="92"/>
      <c r="V1330" s="52"/>
      <c r="W1330" s="52"/>
      <c r="X1330" s="52"/>
      <c r="Y1330" s="52"/>
      <c r="Z1330" s="51"/>
      <c r="AA1330" s="73"/>
      <c r="AB1330" s="73"/>
      <c r="AC1330" s="74"/>
      <c r="AD1330" s="81" t="s">
        <v>8895</v>
      </c>
      <c r="AE1330" s="86" t="s">
        <v>9866</v>
      </c>
      <c r="AF1330" s="81">
        <v>944</v>
      </c>
      <c r="AG1330" s="81">
        <v>787</v>
      </c>
      <c r="AH1330" s="81">
        <v>33122</v>
      </c>
      <c r="AI1330" s="81">
        <v>22410</v>
      </c>
      <c r="AJ1330" s="81"/>
      <c r="AK1330" s="81"/>
      <c r="AL1330" s="81"/>
      <c r="AM1330" s="81"/>
      <c r="AN1330" s="81"/>
      <c r="AO1330" s="83">
        <v>43246.808020833334</v>
      </c>
      <c r="AP1330" s="84" t="str">
        <f>HYPERLINK("https://pbs.twimg.com/profile_banners/1000457428075466754/1573760031")</f>
        <v>https://pbs.twimg.com/profile_banners/1000457428075466754/1573760031</v>
      </c>
      <c r="AQ1330" s="81" t="b">
        <v>1</v>
      </c>
      <c r="AR1330" s="81" t="b">
        <v>0</v>
      </c>
      <c r="AS1330" s="81" t="b">
        <v>0</v>
      </c>
      <c r="AT1330" s="81"/>
      <c r="AU1330" s="81">
        <v>1</v>
      </c>
      <c r="AV1330" s="81"/>
      <c r="AW1330" s="81" t="b">
        <v>0</v>
      </c>
      <c r="AX1330" s="81" t="s">
        <v>3728</v>
      </c>
      <c r="AY1330" s="84" t="str">
        <f>HYPERLINK("https://twitter.com/elinalv12774504")</f>
        <v>https://twitter.com/elinalv12774504</v>
      </c>
      <c r="AZ1330" s="81" t="s">
        <v>66</v>
      </c>
    </row>
    <row r="1331" spans="1:52" x14ac:dyDescent="0.35">
      <c r="A1331" s="66" t="s">
        <v>4854</v>
      </c>
      <c r="B1331" s="67"/>
      <c r="C1331" s="67"/>
      <c r="D1331" s="68"/>
      <c r="E1331" s="94"/>
      <c r="F1331" s="93" t="str">
        <f>HYPERLINK("https://pbs.twimg.com/profile_images/1442152193558208516/saMnHhYb_normal.jpg")</f>
        <v>https://pbs.twimg.com/profile_images/1442152193558208516/saMnHhYb_normal.jpg</v>
      </c>
      <c r="G1331" s="95"/>
      <c r="H1331" s="71"/>
      <c r="I1331" s="72"/>
      <c r="J1331" s="96"/>
      <c r="K1331" s="71" t="s">
        <v>12282</v>
      </c>
      <c r="L1331" s="97"/>
      <c r="M1331" s="76"/>
      <c r="N1331" s="76"/>
      <c r="O1331" s="77"/>
      <c r="P1331" s="78"/>
      <c r="Q1331" s="78"/>
      <c r="R1331" s="92"/>
      <c r="S1331" s="92"/>
      <c r="T1331" s="92"/>
      <c r="U1331" s="92"/>
      <c r="V1331" s="52"/>
      <c r="W1331" s="52"/>
      <c r="X1331" s="52"/>
      <c r="Y1331" s="52"/>
      <c r="Z1331" s="51"/>
      <c r="AA1331" s="73"/>
      <c r="AB1331" s="73"/>
      <c r="AC1331" s="74"/>
      <c r="AD1331" s="81" t="s">
        <v>8896</v>
      </c>
      <c r="AE1331" s="86" t="s">
        <v>9867</v>
      </c>
      <c r="AF1331" s="81">
        <v>1179</v>
      </c>
      <c r="AG1331" s="81">
        <v>1247</v>
      </c>
      <c r="AH1331" s="81">
        <v>66645</v>
      </c>
      <c r="AI1331" s="81">
        <v>68114</v>
      </c>
      <c r="AJ1331" s="81"/>
      <c r="AK1331" s="81" t="s">
        <v>10777</v>
      </c>
      <c r="AL1331" s="81"/>
      <c r="AM1331" s="84" t="str">
        <f>HYPERLINK("https://t.co/oGhOXg0oas")</f>
        <v>https://t.co/oGhOXg0oas</v>
      </c>
      <c r="AN1331" s="81"/>
      <c r="AO1331" s="83">
        <v>43399.705208333333</v>
      </c>
      <c r="AP1331" s="84" t="str">
        <f>HYPERLINK("https://pbs.twimg.com/profile_banners/1055865514520653825/1632873544")</f>
        <v>https://pbs.twimg.com/profile_banners/1055865514520653825/1632873544</v>
      </c>
      <c r="AQ1331" s="81" t="b">
        <v>1</v>
      </c>
      <c r="AR1331" s="81" t="b">
        <v>0</v>
      </c>
      <c r="AS1331" s="81" t="b">
        <v>1</v>
      </c>
      <c r="AT1331" s="81"/>
      <c r="AU1331" s="81">
        <v>1</v>
      </c>
      <c r="AV1331" s="81"/>
      <c r="AW1331" s="81" t="b">
        <v>0</v>
      </c>
      <c r="AX1331" s="81" t="s">
        <v>3728</v>
      </c>
      <c r="AY1331" s="84" t="str">
        <f>HYPERLINK("https://twitter.com/whoisaliceb")</f>
        <v>https://twitter.com/whoisaliceb</v>
      </c>
      <c r="AZ1331" s="81" t="s">
        <v>66</v>
      </c>
    </row>
    <row r="1332" spans="1:52" x14ac:dyDescent="0.35">
      <c r="A1332" s="66" t="s">
        <v>5174</v>
      </c>
      <c r="B1332" s="67"/>
      <c r="C1332" s="67"/>
      <c r="D1332" s="68"/>
      <c r="E1332" s="94"/>
      <c r="F1332" s="93" t="str">
        <f>HYPERLINK("https://pbs.twimg.com/profile_images/1376717229870477312/q71D9otv_normal.jpg")</f>
        <v>https://pbs.twimg.com/profile_images/1376717229870477312/q71D9otv_normal.jpg</v>
      </c>
      <c r="G1332" s="95"/>
      <c r="H1332" s="71"/>
      <c r="I1332" s="72"/>
      <c r="J1332" s="96"/>
      <c r="K1332" s="71" t="s">
        <v>12283</v>
      </c>
      <c r="L1332" s="97"/>
      <c r="M1332" s="76"/>
      <c r="N1332" s="76"/>
      <c r="O1332" s="77"/>
      <c r="P1332" s="78"/>
      <c r="Q1332" s="78"/>
      <c r="R1332" s="92"/>
      <c r="S1332" s="92"/>
      <c r="T1332" s="92"/>
      <c r="U1332" s="92"/>
      <c r="V1332" s="52"/>
      <c r="W1332" s="52"/>
      <c r="X1332" s="52"/>
      <c r="Y1332" s="52"/>
      <c r="Z1332" s="51"/>
      <c r="AA1332" s="73"/>
      <c r="AB1332" s="73"/>
      <c r="AC1332" s="74"/>
      <c r="AD1332" s="81" t="s">
        <v>8897</v>
      </c>
      <c r="AE1332" s="86" t="s">
        <v>9868</v>
      </c>
      <c r="AF1332" s="81">
        <v>258</v>
      </c>
      <c r="AG1332" s="81">
        <v>155</v>
      </c>
      <c r="AH1332" s="81">
        <v>3631</v>
      </c>
      <c r="AI1332" s="81">
        <v>1205</v>
      </c>
      <c r="AJ1332" s="81"/>
      <c r="AK1332" s="81" t="s">
        <v>10778</v>
      </c>
      <c r="AL1332" s="81" t="s">
        <v>11314</v>
      </c>
      <c r="AM1332" s="81"/>
      <c r="AN1332" s="81"/>
      <c r="AO1332" s="83">
        <v>43948.147407407407</v>
      </c>
      <c r="AP1332" s="84" t="str">
        <f>HYPERLINK("https://pbs.twimg.com/profile_banners/1254614240134148096/1631727591")</f>
        <v>https://pbs.twimg.com/profile_banners/1254614240134148096/1631727591</v>
      </c>
      <c r="AQ1332" s="81" t="b">
        <v>1</v>
      </c>
      <c r="AR1332" s="81" t="b">
        <v>0</v>
      </c>
      <c r="AS1332" s="81" t="b">
        <v>1</v>
      </c>
      <c r="AT1332" s="81"/>
      <c r="AU1332" s="81">
        <v>0</v>
      </c>
      <c r="AV1332" s="81"/>
      <c r="AW1332" s="81" t="b">
        <v>0</v>
      </c>
      <c r="AX1332" s="81" t="s">
        <v>3728</v>
      </c>
      <c r="AY1332" s="84" t="str">
        <f>HYPERLINK("https://twitter.com/brunotr06")</f>
        <v>https://twitter.com/brunotr06</v>
      </c>
      <c r="AZ1332" s="81" t="s">
        <v>65</v>
      </c>
    </row>
    <row r="1333" spans="1:52" x14ac:dyDescent="0.35">
      <c r="A1333" s="66" t="s">
        <v>5175</v>
      </c>
      <c r="B1333" s="67"/>
      <c r="C1333" s="67"/>
      <c r="D1333" s="68"/>
      <c r="E1333" s="94"/>
      <c r="F1333" s="93" t="str">
        <f>HYPERLINK("https://pbs.twimg.com/profile_images/1419778814603845639/HsE0AEg3_normal.jpg")</f>
        <v>https://pbs.twimg.com/profile_images/1419778814603845639/HsE0AEg3_normal.jpg</v>
      </c>
      <c r="G1333" s="95"/>
      <c r="H1333" s="71"/>
      <c r="I1333" s="72"/>
      <c r="J1333" s="96"/>
      <c r="K1333" s="71" t="s">
        <v>12284</v>
      </c>
      <c r="L1333" s="97"/>
      <c r="M1333" s="76"/>
      <c r="N1333" s="76"/>
      <c r="O1333" s="77"/>
      <c r="P1333" s="78"/>
      <c r="Q1333" s="78"/>
      <c r="R1333" s="92"/>
      <c r="S1333" s="92"/>
      <c r="T1333" s="92"/>
      <c r="U1333" s="92"/>
      <c r="V1333" s="52"/>
      <c r="W1333" s="52"/>
      <c r="X1333" s="52"/>
      <c r="Y1333" s="52"/>
      <c r="Z1333" s="51"/>
      <c r="AA1333" s="73"/>
      <c r="AB1333" s="73"/>
      <c r="AC1333" s="74"/>
      <c r="AD1333" s="81" t="s">
        <v>8898</v>
      </c>
      <c r="AE1333" s="86" t="s">
        <v>7917</v>
      </c>
      <c r="AF1333" s="81">
        <v>1985</v>
      </c>
      <c r="AG1333" s="81">
        <v>1838</v>
      </c>
      <c r="AH1333" s="81">
        <v>8855</v>
      </c>
      <c r="AI1333" s="81">
        <v>17776</v>
      </c>
      <c r="AJ1333" s="81"/>
      <c r="AK1333" s="84" t="str">
        <f>HYPERLINK("https://t.co/TSrMLkDCIR")</f>
        <v>https://t.co/TSrMLkDCIR</v>
      </c>
      <c r="AL1333" s="81" t="s">
        <v>11314</v>
      </c>
      <c r="AM1333" s="81"/>
      <c r="AN1333" s="81"/>
      <c r="AO1333" s="83">
        <v>41713.631215277775</v>
      </c>
      <c r="AP1333" s="84" t="str">
        <f>HYPERLINK("https://pbs.twimg.com/profile_banners/2391173414/1603227964")</f>
        <v>https://pbs.twimg.com/profile_banners/2391173414/1603227964</v>
      </c>
      <c r="AQ1333" s="81" t="b">
        <v>1</v>
      </c>
      <c r="AR1333" s="81" t="b">
        <v>0</v>
      </c>
      <c r="AS1333" s="81" t="b">
        <v>0</v>
      </c>
      <c r="AT1333" s="81"/>
      <c r="AU1333" s="81">
        <v>0</v>
      </c>
      <c r="AV1333" s="84" t="str">
        <f>HYPERLINK("https://abs.twimg.com/images/themes/theme1/bg.png")</f>
        <v>https://abs.twimg.com/images/themes/theme1/bg.png</v>
      </c>
      <c r="AW1333" s="81" t="b">
        <v>0</v>
      </c>
      <c r="AX1333" s="81" t="s">
        <v>3728</v>
      </c>
      <c r="AY1333" s="84" t="str">
        <f>HYPERLINK("https://twitter.com/vitorrborba")</f>
        <v>https://twitter.com/vitorrborba</v>
      </c>
      <c r="AZ1333" s="81" t="s">
        <v>65</v>
      </c>
    </row>
    <row r="1334" spans="1:52" x14ac:dyDescent="0.35">
      <c r="A1334" s="66" t="s">
        <v>4855</v>
      </c>
      <c r="B1334" s="67"/>
      <c r="C1334" s="67"/>
      <c r="D1334" s="68"/>
      <c r="E1334" s="94"/>
      <c r="F1334" s="93" t="str">
        <f>HYPERLINK("https://pbs.twimg.com/profile_images/1402359790702108673/ajevK_xo_normal.jpg")</f>
        <v>https://pbs.twimg.com/profile_images/1402359790702108673/ajevK_xo_normal.jpg</v>
      </c>
      <c r="G1334" s="95"/>
      <c r="H1334" s="71"/>
      <c r="I1334" s="72"/>
      <c r="J1334" s="96"/>
      <c r="K1334" s="71" t="s">
        <v>12285</v>
      </c>
      <c r="L1334" s="97"/>
      <c r="M1334" s="76"/>
      <c r="N1334" s="76"/>
      <c r="O1334" s="77"/>
      <c r="P1334" s="78"/>
      <c r="Q1334" s="78"/>
      <c r="R1334" s="92"/>
      <c r="S1334" s="92"/>
      <c r="T1334" s="92"/>
      <c r="U1334" s="92"/>
      <c r="V1334" s="52"/>
      <c r="W1334" s="52"/>
      <c r="X1334" s="52"/>
      <c r="Y1334" s="52"/>
      <c r="Z1334" s="51"/>
      <c r="AA1334" s="73"/>
      <c r="AB1334" s="73"/>
      <c r="AC1334" s="74"/>
      <c r="AD1334" s="81" t="s">
        <v>8899</v>
      </c>
      <c r="AE1334" s="86" t="s">
        <v>9869</v>
      </c>
      <c r="AF1334" s="81">
        <v>296</v>
      </c>
      <c r="AG1334" s="81">
        <v>184</v>
      </c>
      <c r="AH1334" s="81">
        <v>2059</v>
      </c>
      <c r="AI1334" s="81">
        <v>1926</v>
      </c>
      <c r="AJ1334" s="81"/>
      <c r="AK1334" s="81" t="s">
        <v>10779</v>
      </c>
      <c r="AL1334" s="81" t="s">
        <v>11313</v>
      </c>
      <c r="AM1334" s="81"/>
      <c r="AN1334" s="81"/>
      <c r="AO1334" s="83">
        <v>40050.122094907405</v>
      </c>
      <c r="AP1334" s="84" t="str">
        <f>HYPERLINK("https://pbs.twimg.com/profile_banners/68589486/1561481015")</f>
        <v>https://pbs.twimg.com/profile_banners/68589486/1561481015</v>
      </c>
      <c r="AQ1334" s="81" t="b">
        <v>0</v>
      </c>
      <c r="AR1334" s="81" t="b">
        <v>0</v>
      </c>
      <c r="AS1334" s="81" t="b">
        <v>1</v>
      </c>
      <c r="AT1334" s="81"/>
      <c r="AU1334" s="81">
        <v>1</v>
      </c>
      <c r="AV1334" s="84" t="str">
        <f>HYPERLINK("https://abs.twimg.com/images/themes/theme12/bg.gif")</f>
        <v>https://abs.twimg.com/images/themes/theme12/bg.gif</v>
      </c>
      <c r="AW1334" s="81" t="b">
        <v>0</v>
      </c>
      <c r="AX1334" s="81" t="s">
        <v>3728</v>
      </c>
      <c r="AY1334" s="84" t="str">
        <f>HYPERLINK("https://twitter.com/fbnzz")</f>
        <v>https://twitter.com/fbnzz</v>
      </c>
      <c r="AZ1334" s="81" t="s">
        <v>66</v>
      </c>
    </row>
    <row r="1335" spans="1:52" x14ac:dyDescent="0.35">
      <c r="A1335" s="66" t="s">
        <v>5176</v>
      </c>
      <c r="B1335" s="67"/>
      <c r="C1335" s="67"/>
      <c r="D1335" s="68"/>
      <c r="E1335" s="94"/>
      <c r="F1335" s="93" t="str">
        <f>HYPERLINK("https://pbs.twimg.com/profile_images/1436776197657178118/KN9Vi4qW_normal.jpg")</f>
        <v>https://pbs.twimg.com/profile_images/1436776197657178118/KN9Vi4qW_normal.jpg</v>
      </c>
      <c r="G1335" s="95"/>
      <c r="H1335" s="71"/>
      <c r="I1335" s="72"/>
      <c r="J1335" s="96"/>
      <c r="K1335" s="71" t="s">
        <v>12287</v>
      </c>
      <c r="L1335" s="97"/>
      <c r="M1335" s="76"/>
      <c r="N1335" s="76"/>
      <c r="O1335" s="77"/>
      <c r="P1335" s="78"/>
      <c r="Q1335" s="78"/>
      <c r="R1335" s="92"/>
      <c r="S1335" s="92"/>
      <c r="T1335" s="92"/>
      <c r="U1335" s="92"/>
      <c r="V1335" s="52"/>
      <c r="W1335" s="52"/>
      <c r="X1335" s="52"/>
      <c r="Y1335" s="52"/>
      <c r="Z1335" s="51"/>
      <c r="AA1335" s="73"/>
      <c r="AB1335" s="73"/>
      <c r="AC1335" s="74"/>
      <c r="AD1335" s="81" t="s">
        <v>8901</v>
      </c>
      <c r="AE1335" s="86" t="s">
        <v>7918</v>
      </c>
      <c r="AF1335" s="81">
        <v>3327</v>
      </c>
      <c r="AG1335" s="81">
        <v>1292</v>
      </c>
      <c r="AH1335" s="81">
        <v>56059</v>
      </c>
      <c r="AI1335" s="81">
        <v>107177</v>
      </c>
      <c r="AJ1335" s="81"/>
      <c r="AK1335" s="81" t="s">
        <v>10780</v>
      </c>
      <c r="AL1335" s="81"/>
      <c r="AM1335" s="81"/>
      <c r="AN1335" s="81"/>
      <c r="AO1335" s="83">
        <v>43933.659849537034</v>
      </c>
      <c r="AP1335" s="84" t="str">
        <f>HYPERLINK("https://pbs.twimg.com/profile_banners/1249364123802120194/1587599151")</f>
        <v>https://pbs.twimg.com/profile_banners/1249364123802120194/1587599151</v>
      </c>
      <c r="AQ1335" s="81" t="b">
        <v>1</v>
      </c>
      <c r="AR1335" s="81" t="b">
        <v>0</v>
      </c>
      <c r="AS1335" s="81" t="b">
        <v>0</v>
      </c>
      <c r="AT1335" s="81"/>
      <c r="AU1335" s="81">
        <v>0</v>
      </c>
      <c r="AV1335" s="81"/>
      <c r="AW1335" s="81" t="b">
        <v>0</v>
      </c>
      <c r="AX1335" s="81" t="s">
        <v>3728</v>
      </c>
      <c r="AY1335" s="84" t="str">
        <f>HYPERLINK("https://twitter.com/andante40428500")</f>
        <v>https://twitter.com/andante40428500</v>
      </c>
      <c r="AZ1335" s="81" t="s">
        <v>65</v>
      </c>
    </row>
    <row r="1336" spans="1:52" x14ac:dyDescent="0.35">
      <c r="A1336" s="66" t="s">
        <v>4856</v>
      </c>
      <c r="B1336" s="67"/>
      <c r="C1336" s="67"/>
      <c r="D1336" s="68"/>
      <c r="E1336" s="94"/>
      <c r="F1336" s="93" t="str">
        <f>HYPERLINK("https://pbs.twimg.com/profile_images/1267476102865227776/FqJ4FMgW_normal.jpg")</f>
        <v>https://pbs.twimg.com/profile_images/1267476102865227776/FqJ4FMgW_normal.jpg</v>
      </c>
      <c r="G1336" s="95"/>
      <c r="H1336" s="71"/>
      <c r="I1336" s="72"/>
      <c r="J1336" s="96"/>
      <c r="K1336" s="71" t="s">
        <v>12286</v>
      </c>
      <c r="L1336" s="97"/>
      <c r="M1336" s="76"/>
      <c r="N1336" s="76"/>
      <c r="O1336" s="77"/>
      <c r="P1336" s="78"/>
      <c r="Q1336" s="78"/>
      <c r="R1336" s="92"/>
      <c r="S1336" s="92"/>
      <c r="T1336" s="92"/>
      <c r="U1336" s="92"/>
      <c r="V1336" s="52"/>
      <c r="W1336" s="52"/>
      <c r="X1336" s="52"/>
      <c r="Y1336" s="52"/>
      <c r="Z1336" s="51"/>
      <c r="AA1336" s="73"/>
      <c r="AB1336" s="73"/>
      <c r="AC1336" s="74"/>
      <c r="AD1336" s="81" t="s">
        <v>8900</v>
      </c>
      <c r="AE1336" s="86" t="s">
        <v>9870</v>
      </c>
      <c r="AF1336" s="81">
        <v>1431</v>
      </c>
      <c r="AG1336" s="81">
        <v>679</v>
      </c>
      <c r="AH1336" s="81">
        <v>71450</v>
      </c>
      <c r="AI1336" s="81">
        <v>82445</v>
      </c>
      <c r="AJ1336" s="81"/>
      <c r="AK1336" s="81"/>
      <c r="AL1336" s="81" t="s">
        <v>11315</v>
      </c>
      <c r="AM1336" s="81"/>
      <c r="AN1336" s="81"/>
      <c r="AO1336" s="83">
        <v>39932.800949074073</v>
      </c>
      <c r="AP1336" s="84" t="str">
        <f>HYPERLINK("https://pbs.twimg.com/profile_banners/36447240/1626931002")</f>
        <v>https://pbs.twimg.com/profile_banners/36447240/1626931002</v>
      </c>
      <c r="AQ1336" s="81" t="b">
        <v>1</v>
      </c>
      <c r="AR1336" s="81" t="b">
        <v>0</v>
      </c>
      <c r="AS1336" s="81" t="b">
        <v>1</v>
      </c>
      <c r="AT1336" s="81"/>
      <c r="AU1336" s="81">
        <v>3</v>
      </c>
      <c r="AV1336" s="84" t="str">
        <f>HYPERLINK("https://abs.twimg.com/images/themes/theme1/bg.png")</f>
        <v>https://abs.twimg.com/images/themes/theme1/bg.png</v>
      </c>
      <c r="AW1336" s="81" t="b">
        <v>0</v>
      </c>
      <c r="AX1336" s="81" t="s">
        <v>3728</v>
      </c>
      <c r="AY1336" s="84" t="str">
        <f>HYPERLINK("https://twitter.com/chacoxeio")</f>
        <v>https://twitter.com/chacoxeio</v>
      </c>
      <c r="AZ1336" s="81" t="s">
        <v>66</v>
      </c>
    </row>
    <row r="1337" spans="1:52" x14ac:dyDescent="0.35">
      <c r="A1337" s="66" t="s">
        <v>585</v>
      </c>
      <c r="B1337" s="67"/>
      <c r="C1337" s="67"/>
      <c r="D1337" s="68"/>
      <c r="E1337" s="94"/>
      <c r="F1337" s="93" t="str">
        <f>HYPERLINK("https://pbs.twimg.com/profile_images/666486550046183425/O6sqRn5i_normal.jpg")</f>
        <v>https://pbs.twimg.com/profile_images/666486550046183425/O6sqRn5i_normal.jpg</v>
      </c>
      <c r="G1337" s="95"/>
      <c r="H1337" s="71"/>
      <c r="I1337" s="72"/>
      <c r="J1337" s="96"/>
      <c r="K1337" s="71" t="s">
        <v>12288</v>
      </c>
      <c r="L1337" s="97"/>
      <c r="M1337" s="76"/>
      <c r="N1337" s="76"/>
      <c r="O1337" s="77"/>
      <c r="P1337" s="78"/>
      <c r="Q1337" s="78"/>
      <c r="R1337" s="92"/>
      <c r="S1337" s="92"/>
      <c r="T1337" s="92"/>
      <c r="U1337" s="92"/>
      <c r="V1337" s="52"/>
      <c r="W1337" s="52"/>
      <c r="X1337" s="52"/>
      <c r="Y1337" s="52"/>
      <c r="Z1337" s="51"/>
      <c r="AA1337" s="73"/>
      <c r="AB1337" s="73"/>
      <c r="AC1337" s="74"/>
      <c r="AD1337" s="81" t="s">
        <v>2668</v>
      </c>
      <c r="AE1337" s="86" t="s">
        <v>3067</v>
      </c>
      <c r="AF1337" s="81">
        <v>549</v>
      </c>
      <c r="AG1337" s="81">
        <v>253</v>
      </c>
      <c r="AH1337" s="81">
        <v>10416</v>
      </c>
      <c r="AI1337" s="81">
        <v>20</v>
      </c>
      <c r="AJ1337" s="81"/>
      <c r="AK1337" s="81" t="s">
        <v>3493</v>
      </c>
      <c r="AL1337" s="81"/>
      <c r="AM1337" s="81"/>
      <c r="AN1337" s="81"/>
      <c r="AO1337" s="83">
        <v>42301.200115740743</v>
      </c>
      <c r="AP1337" s="84" t="str">
        <f>HYPERLINK("https://pbs.twimg.com/profile_banners/3998664380/1446970880")</f>
        <v>https://pbs.twimg.com/profile_banners/3998664380/1446970880</v>
      </c>
      <c r="AQ1337" s="81" t="b">
        <v>0</v>
      </c>
      <c r="AR1337" s="81" t="b">
        <v>0</v>
      </c>
      <c r="AS1337" s="81" t="b">
        <v>0</v>
      </c>
      <c r="AT1337" s="81"/>
      <c r="AU1337" s="81">
        <v>7</v>
      </c>
      <c r="AV1337" s="84" t="str">
        <f>HYPERLINK("https://abs.twimg.com/images/themes/theme16/bg.gif")</f>
        <v>https://abs.twimg.com/images/themes/theme16/bg.gif</v>
      </c>
      <c r="AW1337" s="81" t="b">
        <v>0</v>
      </c>
      <c r="AX1337" s="81" t="s">
        <v>3728</v>
      </c>
      <c r="AY1337" s="84" t="str">
        <f>HYPERLINK("https://twitter.com/roistorez")</f>
        <v>https://twitter.com/roistorez</v>
      </c>
      <c r="AZ1337" s="81" t="s">
        <v>66</v>
      </c>
    </row>
    <row r="1338" spans="1:52" x14ac:dyDescent="0.35">
      <c r="A1338" s="66" t="s">
        <v>584</v>
      </c>
      <c r="B1338" s="67"/>
      <c r="C1338" s="67"/>
      <c r="D1338" s="68"/>
      <c r="E1338" s="94"/>
      <c r="F1338" s="93" t="str">
        <f>HYPERLINK("https://pbs.twimg.com/profile_images/818558770900922369/N7x61JHW_normal.jpg")</f>
        <v>https://pbs.twimg.com/profile_images/818558770900922369/N7x61JHW_normal.jpg</v>
      </c>
      <c r="G1338" s="95"/>
      <c r="H1338" s="71"/>
      <c r="I1338" s="72"/>
      <c r="J1338" s="96"/>
      <c r="K1338" s="71" t="s">
        <v>12289</v>
      </c>
      <c r="L1338" s="97"/>
      <c r="M1338" s="76"/>
      <c r="N1338" s="76"/>
      <c r="O1338" s="77"/>
      <c r="P1338" s="78"/>
      <c r="Q1338" s="78"/>
      <c r="R1338" s="92"/>
      <c r="S1338" s="92"/>
      <c r="T1338" s="92"/>
      <c r="U1338" s="92"/>
      <c r="V1338" s="52"/>
      <c r="W1338" s="52"/>
      <c r="X1338" s="52"/>
      <c r="Y1338" s="52"/>
      <c r="Z1338" s="51"/>
      <c r="AA1338" s="73"/>
      <c r="AB1338" s="73"/>
      <c r="AC1338" s="74"/>
      <c r="AD1338" s="81" t="s">
        <v>2457</v>
      </c>
      <c r="AE1338" s="86" t="s">
        <v>3066</v>
      </c>
      <c r="AF1338" s="81">
        <v>6</v>
      </c>
      <c r="AG1338" s="81">
        <v>382</v>
      </c>
      <c r="AH1338" s="81">
        <v>6806</v>
      </c>
      <c r="AI1338" s="81">
        <v>0</v>
      </c>
      <c r="AJ1338" s="81"/>
      <c r="AK1338" s="81" t="s">
        <v>3492</v>
      </c>
      <c r="AL1338" s="81" t="s">
        <v>2202</v>
      </c>
      <c r="AM1338" s="81"/>
      <c r="AN1338" s="81"/>
      <c r="AO1338" s="83">
        <v>42744.853020833332</v>
      </c>
      <c r="AP1338" s="84" t="str">
        <f>HYPERLINK("https://pbs.twimg.com/profile_banners/818555029917315072/1483994614")</f>
        <v>https://pbs.twimg.com/profile_banners/818555029917315072/1483994614</v>
      </c>
      <c r="AQ1338" s="81" t="b">
        <v>1</v>
      </c>
      <c r="AR1338" s="81" t="b">
        <v>0</v>
      </c>
      <c r="AS1338" s="81" t="b">
        <v>0</v>
      </c>
      <c r="AT1338" s="81"/>
      <c r="AU1338" s="81">
        <v>0</v>
      </c>
      <c r="AV1338" s="81"/>
      <c r="AW1338" s="81" t="b">
        <v>0</v>
      </c>
      <c r="AX1338" s="81" t="s">
        <v>3728</v>
      </c>
      <c r="AY1338" s="84" t="str">
        <f>HYPERLINK("https://twitter.com/lowongankerja07")</f>
        <v>https://twitter.com/lowongankerja07</v>
      </c>
      <c r="AZ1338" s="81" t="s">
        <v>66</v>
      </c>
    </row>
    <row r="1339" spans="1:52" x14ac:dyDescent="0.35">
      <c r="A1339" s="66" t="s">
        <v>4857</v>
      </c>
      <c r="B1339" s="67"/>
      <c r="C1339" s="67"/>
      <c r="D1339" s="68"/>
      <c r="E1339" s="94"/>
      <c r="F1339" s="93" t="str">
        <f>HYPERLINK("https://pbs.twimg.com/profile_images/1294540621240242176/j4rC1wTK_normal.jpg")</f>
        <v>https://pbs.twimg.com/profile_images/1294540621240242176/j4rC1wTK_normal.jpg</v>
      </c>
      <c r="G1339" s="95"/>
      <c r="H1339" s="71"/>
      <c r="I1339" s="72"/>
      <c r="J1339" s="96"/>
      <c r="K1339" s="71" t="s">
        <v>12290</v>
      </c>
      <c r="L1339" s="97"/>
      <c r="M1339" s="76"/>
      <c r="N1339" s="76"/>
      <c r="O1339" s="77"/>
      <c r="P1339" s="78"/>
      <c r="Q1339" s="78"/>
      <c r="R1339" s="92"/>
      <c r="S1339" s="92"/>
      <c r="T1339" s="92"/>
      <c r="U1339" s="92"/>
      <c r="V1339" s="52"/>
      <c r="W1339" s="52"/>
      <c r="X1339" s="52"/>
      <c r="Y1339" s="52"/>
      <c r="Z1339" s="51"/>
      <c r="AA1339" s="73"/>
      <c r="AB1339" s="73"/>
      <c r="AC1339" s="74"/>
      <c r="AD1339" s="81" t="s">
        <v>8902</v>
      </c>
      <c r="AE1339" s="86" t="s">
        <v>9871</v>
      </c>
      <c r="AF1339" s="81">
        <v>220</v>
      </c>
      <c r="AG1339" s="81">
        <v>687</v>
      </c>
      <c r="AH1339" s="81">
        <v>17808</v>
      </c>
      <c r="AI1339" s="81">
        <v>4936</v>
      </c>
      <c r="AJ1339" s="81"/>
      <c r="AK1339" s="81" t="s">
        <v>10781</v>
      </c>
      <c r="AL1339" s="81" t="s">
        <v>11316</v>
      </c>
      <c r="AM1339" s="84" t="str">
        <f>HYPERLINK("https://t.co/6MFAyouauR")</f>
        <v>https://t.co/6MFAyouauR</v>
      </c>
      <c r="AN1339" s="81"/>
      <c r="AO1339" s="83">
        <v>39926.109432870369</v>
      </c>
      <c r="AP1339" s="84" t="str">
        <f>HYPERLINK("https://pbs.twimg.com/profile_banners/34501642/1602079052")</f>
        <v>https://pbs.twimg.com/profile_banners/34501642/1602079052</v>
      </c>
      <c r="AQ1339" s="81" t="b">
        <v>0</v>
      </c>
      <c r="AR1339" s="81" t="b">
        <v>0</v>
      </c>
      <c r="AS1339" s="81" t="b">
        <v>1</v>
      </c>
      <c r="AT1339" s="81"/>
      <c r="AU1339" s="81">
        <v>6</v>
      </c>
      <c r="AV1339" s="84" t="str">
        <f>HYPERLINK("https://abs.twimg.com/images/themes/theme6/bg.gif")</f>
        <v>https://abs.twimg.com/images/themes/theme6/bg.gif</v>
      </c>
      <c r="AW1339" s="81" t="b">
        <v>0</v>
      </c>
      <c r="AX1339" s="81" t="s">
        <v>3728</v>
      </c>
      <c r="AY1339" s="84" t="str">
        <f>HYPERLINK("https://twitter.com/uaigabriel")</f>
        <v>https://twitter.com/uaigabriel</v>
      </c>
      <c r="AZ1339" s="81" t="s">
        <v>66</v>
      </c>
    </row>
    <row r="1340" spans="1:52" x14ac:dyDescent="0.35">
      <c r="A1340" s="66" t="s">
        <v>4858</v>
      </c>
      <c r="B1340" s="67"/>
      <c r="C1340" s="67"/>
      <c r="D1340" s="68"/>
      <c r="E1340" s="94"/>
      <c r="F1340" s="93" t="str">
        <f>HYPERLINK("https://pbs.twimg.com/profile_images/1408569540821372935/Fgc-391u_normal.jpg")</f>
        <v>https://pbs.twimg.com/profile_images/1408569540821372935/Fgc-391u_normal.jpg</v>
      </c>
      <c r="G1340" s="95"/>
      <c r="H1340" s="71"/>
      <c r="I1340" s="72"/>
      <c r="J1340" s="96"/>
      <c r="K1340" s="71" t="s">
        <v>12291</v>
      </c>
      <c r="L1340" s="97"/>
      <c r="M1340" s="76"/>
      <c r="N1340" s="76"/>
      <c r="O1340" s="77"/>
      <c r="P1340" s="78"/>
      <c r="Q1340" s="78"/>
      <c r="R1340" s="92"/>
      <c r="S1340" s="92"/>
      <c r="T1340" s="92"/>
      <c r="U1340" s="92"/>
      <c r="V1340" s="52"/>
      <c r="W1340" s="52"/>
      <c r="X1340" s="52"/>
      <c r="Y1340" s="52"/>
      <c r="Z1340" s="51"/>
      <c r="AA1340" s="73"/>
      <c r="AB1340" s="73"/>
      <c r="AC1340" s="74"/>
      <c r="AD1340" s="81" t="s">
        <v>8903</v>
      </c>
      <c r="AE1340" s="86" t="s">
        <v>9872</v>
      </c>
      <c r="AF1340" s="81">
        <v>336</v>
      </c>
      <c r="AG1340" s="81">
        <v>430</v>
      </c>
      <c r="AH1340" s="81">
        <v>4509</v>
      </c>
      <c r="AI1340" s="81">
        <v>13776</v>
      </c>
      <c r="AJ1340" s="81"/>
      <c r="AK1340" s="81" t="s">
        <v>10782</v>
      </c>
      <c r="AL1340" s="81" t="s">
        <v>10970</v>
      </c>
      <c r="AM1340" s="84" t="str">
        <f>HYPERLINK("https://t.co/1hRZ75dA7N")</f>
        <v>https://t.co/1hRZ75dA7N</v>
      </c>
      <c r="AN1340" s="81"/>
      <c r="AO1340" s="83">
        <v>44093.057152777779</v>
      </c>
      <c r="AP1340" s="84" t="str">
        <f>HYPERLINK("https://pbs.twimg.com/profile_banners/1307127796720971776/1616084725")</f>
        <v>https://pbs.twimg.com/profile_banners/1307127796720971776/1616084725</v>
      </c>
      <c r="AQ1340" s="81" t="b">
        <v>1</v>
      </c>
      <c r="AR1340" s="81" t="b">
        <v>0</v>
      </c>
      <c r="AS1340" s="81" t="b">
        <v>0</v>
      </c>
      <c r="AT1340" s="81"/>
      <c r="AU1340" s="81">
        <v>0</v>
      </c>
      <c r="AV1340" s="81"/>
      <c r="AW1340" s="81" t="b">
        <v>0</v>
      </c>
      <c r="AX1340" s="81" t="s">
        <v>3728</v>
      </c>
      <c r="AY1340" s="84" t="str">
        <f>HYPERLINK("https://twitter.com/fergga22")</f>
        <v>https://twitter.com/fergga22</v>
      </c>
      <c r="AZ1340" s="81" t="s">
        <v>66</v>
      </c>
    </row>
    <row r="1341" spans="1:52" x14ac:dyDescent="0.35">
      <c r="A1341" s="66" t="s">
        <v>5177</v>
      </c>
      <c r="B1341" s="67"/>
      <c r="C1341" s="67"/>
      <c r="D1341" s="68"/>
      <c r="E1341" s="94"/>
      <c r="F1341" s="93" t="str">
        <f>HYPERLINK("https://pbs.twimg.com/profile_images/1441452272362401792/KfA7AV7__normal.jpg")</f>
        <v>https://pbs.twimg.com/profile_images/1441452272362401792/KfA7AV7__normal.jpg</v>
      </c>
      <c r="G1341" s="95"/>
      <c r="H1341" s="71"/>
      <c r="I1341" s="72"/>
      <c r="J1341" s="96"/>
      <c r="K1341" s="71" t="s">
        <v>12292</v>
      </c>
      <c r="L1341" s="97"/>
      <c r="M1341" s="76"/>
      <c r="N1341" s="76"/>
      <c r="O1341" s="77"/>
      <c r="P1341" s="78"/>
      <c r="Q1341" s="78"/>
      <c r="R1341" s="92"/>
      <c r="S1341" s="92"/>
      <c r="T1341" s="92"/>
      <c r="U1341" s="92"/>
      <c r="V1341" s="52"/>
      <c r="W1341" s="52"/>
      <c r="X1341" s="52"/>
      <c r="Y1341" s="52"/>
      <c r="Z1341" s="51"/>
      <c r="AA1341" s="73"/>
      <c r="AB1341" s="73"/>
      <c r="AC1341" s="74"/>
      <c r="AD1341" s="81" t="s">
        <v>8904</v>
      </c>
      <c r="AE1341" s="86" t="s">
        <v>7919</v>
      </c>
      <c r="AF1341" s="81">
        <v>459</v>
      </c>
      <c r="AG1341" s="81">
        <v>618</v>
      </c>
      <c r="AH1341" s="81">
        <v>6456</v>
      </c>
      <c r="AI1341" s="81">
        <v>15419</v>
      </c>
      <c r="AJ1341" s="81"/>
      <c r="AK1341" s="81" t="s">
        <v>10783</v>
      </c>
      <c r="AL1341" s="81" t="s">
        <v>10987</v>
      </c>
      <c r="AM1341" s="81"/>
      <c r="AN1341" s="81"/>
      <c r="AO1341" s="83">
        <v>43521.91302083333</v>
      </c>
      <c r="AP1341" s="84" t="str">
        <f>HYPERLINK("https://pbs.twimg.com/profile_banners/1100152144206987265/1632503996")</f>
        <v>https://pbs.twimg.com/profile_banners/1100152144206987265/1632503996</v>
      </c>
      <c r="AQ1341" s="81" t="b">
        <v>1</v>
      </c>
      <c r="AR1341" s="81" t="b">
        <v>0</v>
      </c>
      <c r="AS1341" s="81" t="b">
        <v>0</v>
      </c>
      <c r="AT1341" s="81"/>
      <c r="AU1341" s="81">
        <v>0</v>
      </c>
      <c r="AV1341" s="81"/>
      <c r="AW1341" s="81" t="b">
        <v>0</v>
      </c>
      <c r="AX1341" s="81" t="s">
        <v>3728</v>
      </c>
      <c r="AY1341" s="84" t="str">
        <f>HYPERLINK("https://twitter.com/felipebstos")</f>
        <v>https://twitter.com/felipebstos</v>
      </c>
      <c r="AZ1341" s="81" t="s">
        <v>65</v>
      </c>
    </row>
    <row r="1342" spans="1:52" x14ac:dyDescent="0.35">
      <c r="A1342" s="66" t="s">
        <v>4859</v>
      </c>
      <c r="B1342" s="67"/>
      <c r="C1342" s="67"/>
      <c r="D1342" s="68"/>
      <c r="E1342" s="94"/>
      <c r="F1342" s="93" t="str">
        <f>HYPERLINK("https://pbs.twimg.com/profile_images/1262853930347880448/Erx9YRAU_normal.jpg")</f>
        <v>https://pbs.twimg.com/profile_images/1262853930347880448/Erx9YRAU_normal.jpg</v>
      </c>
      <c r="G1342" s="95"/>
      <c r="H1342" s="71"/>
      <c r="I1342" s="72"/>
      <c r="J1342" s="96"/>
      <c r="K1342" s="71" t="s">
        <v>12293</v>
      </c>
      <c r="L1342" s="97"/>
      <c r="M1342" s="76"/>
      <c r="N1342" s="76"/>
      <c r="O1342" s="77"/>
      <c r="P1342" s="78"/>
      <c r="Q1342" s="78"/>
      <c r="R1342" s="92"/>
      <c r="S1342" s="92"/>
      <c r="T1342" s="92"/>
      <c r="U1342" s="92"/>
      <c r="V1342" s="52"/>
      <c r="W1342" s="52"/>
      <c r="X1342" s="52"/>
      <c r="Y1342" s="52"/>
      <c r="Z1342" s="51"/>
      <c r="AA1342" s="73"/>
      <c r="AB1342" s="73"/>
      <c r="AC1342" s="74"/>
      <c r="AD1342" s="81" t="s">
        <v>8905</v>
      </c>
      <c r="AE1342" s="86" t="s">
        <v>9873</v>
      </c>
      <c r="AF1342" s="81">
        <v>3086</v>
      </c>
      <c r="AG1342" s="81">
        <v>3350</v>
      </c>
      <c r="AH1342" s="81">
        <v>11639</v>
      </c>
      <c r="AI1342" s="81">
        <v>4625</v>
      </c>
      <c r="AJ1342" s="81"/>
      <c r="AK1342" s="81" t="s">
        <v>10784</v>
      </c>
      <c r="AL1342" s="81" t="s">
        <v>11008</v>
      </c>
      <c r="AM1342" s="84" t="str">
        <f>HYPERLINK("https://t.co/NRBSfq4L2r")</f>
        <v>https://t.co/NRBSfq4L2r</v>
      </c>
      <c r="AN1342" s="81"/>
      <c r="AO1342" s="83">
        <v>39933.556655092594</v>
      </c>
      <c r="AP1342" s="84" t="str">
        <f>HYPERLINK("https://pbs.twimg.com/profile_banners/36659756/1590263831")</f>
        <v>https://pbs.twimg.com/profile_banners/36659756/1590263831</v>
      </c>
      <c r="AQ1342" s="81" t="b">
        <v>0</v>
      </c>
      <c r="AR1342" s="81" t="b">
        <v>0</v>
      </c>
      <c r="AS1342" s="81" t="b">
        <v>1</v>
      </c>
      <c r="AT1342" s="81"/>
      <c r="AU1342" s="81">
        <v>17</v>
      </c>
      <c r="AV1342" s="84" t="str">
        <f>HYPERLINK("https://abs.twimg.com/images/themes/theme1/bg.png")</f>
        <v>https://abs.twimg.com/images/themes/theme1/bg.png</v>
      </c>
      <c r="AW1342" s="81" t="b">
        <v>0</v>
      </c>
      <c r="AX1342" s="81" t="s">
        <v>3728</v>
      </c>
      <c r="AY1342" s="84" t="str">
        <f>HYPERLINK("https://twitter.com/jeanpiter")</f>
        <v>https://twitter.com/jeanpiter</v>
      </c>
      <c r="AZ1342" s="81" t="s">
        <v>66</v>
      </c>
    </row>
    <row r="1343" spans="1:52" x14ac:dyDescent="0.35">
      <c r="A1343" s="66" t="s">
        <v>587</v>
      </c>
      <c r="B1343" s="67"/>
      <c r="C1343" s="67"/>
      <c r="D1343" s="68"/>
      <c r="E1343" s="94"/>
      <c r="F1343" s="93" t="str">
        <f>HYPERLINK("https://pbs.twimg.com/profile_images/1418495014095577095/a15Zncbb_normal.jpg")</f>
        <v>https://pbs.twimg.com/profile_images/1418495014095577095/a15Zncbb_normal.jpg</v>
      </c>
      <c r="G1343" s="95"/>
      <c r="H1343" s="71"/>
      <c r="I1343" s="72"/>
      <c r="J1343" s="96"/>
      <c r="K1343" s="71" t="s">
        <v>4156</v>
      </c>
      <c r="L1343" s="97"/>
      <c r="M1343" s="76"/>
      <c r="N1343" s="76"/>
      <c r="O1343" s="77"/>
      <c r="P1343" s="78"/>
      <c r="Q1343" s="78"/>
      <c r="R1343" s="92"/>
      <c r="S1343" s="92"/>
      <c r="T1343" s="92"/>
      <c r="U1343" s="92"/>
      <c r="V1343" s="52"/>
      <c r="W1343" s="52"/>
      <c r="X1343" s="52"/>
      <c r="Y1343" s="52"/>
      <c r="Z1343" s="51"/>
      <c r="AA1343" s="73"/>
      <c r="AB1343" s="73"/>
      <c r="AC1343" s="74"/>
      <c r="AD1343" s="81" t="s">
        <v>2669</v>
      </c>
      <c r="AE1343" s="86" t="s">
        <v>3068</v>
      </c>
      <c r="AF1343" s="81">
        <v>266</v>
      </c>
      <c r="AG1343" s="81">
        <v>349274</v>
      </c>
      <c r="AH1343" s="81">
        <v>746782</v>
      </c>
      <c r="AI1343" s="81">
        <v>272</v>
      </c>
      <c r="AJ1343" s="81"/>
      <c r="AK1343" s="81" t="s">
        <v>3494</v>
      </c>
      <c r="AL1343" s="81" t="s">
        <v>3726</v>
      </c>
      <c r="AM1343" s="84" t="str">
        <f>HYPERLINK("https://t.co/zQIlbGPP2B")</f>
        <v>https://t.co/zQIlbGPP2B</v>
      </c>
      <c r="AN1343" s="81"/>
      <c r="AO1343" s="83">
        <v>41714.417395833334</v>
      </c>
      <c r="AP1343" s="84" t="str">
        <f>HYPERLINK("https://pbs.twimg.com/profile_banners/2392460208/1543553556")</f>
        <v>https://pbs.twimg.com/profile_banners/2392460208/1543553556</v>
      </c>
      <c r="AQ1343" s="81" t="b">
        <v>0</v>
      </c>
      <c r="AR1343" s="81" t="b">
        <v>0</v>
      </c>
      <c r="AS1343" s="81" t="b">
        <v>1</v>
      </c>
      <c r="AT1343" s="81"/>
      <c r="AU1343" s="81">
        <v>382</v>
      </c>
      <c r="AV1343" s="84" t="str">
        <f>HYPERLINK("https://abs.twimg.com/images/themes/theme16/bg.gif")</f>
        <v>https://abs.twimg.com/images/themes/theme16/bg.gif</v>
      </c>
      <c r="AW1343" s="81" t="b">
        <v>1</v>
      </c>
      <c r="AX1343" s="81" t="s">
        <v>3728</v>
      </c>
      <c r="AY1343" s="84" t="str">
        <f>HYPERLINK("https://twitter.com/jawapos")</f>
        <v>https://twitter.com/jawapos</v>
      </c>
      <c r="AZ1343" s="81" t="s">
        <v>66</v>
      </c>
    </row>
    <row r="1344" spans="1:52" x14ac:dyDescent="0.35">
      <c r="A1344" s="66" t="s">
        <v>588</v>
      </c>
      <c r="B1344" s="67"/>
      <c r="C1344" s="67"/>
      <c r="D1344" s="68"/>
      <c r="E1344" s="94"/>
      <c r="F1344" s="93" t="str">
        <f>HYPERLINK("https://pbs.twimg.com/profile_images/1436870725101506569/-SRAWO1m_normal.jpg")</f>
        <v>https://pbs.twimg.com/profile_images/1436870725101506569/-SRAWO1m_normal.jpg</v>
      </c>
      <c r="G1344" s="95"/>
      <c r="H1344" s="71"/>
      <c r="I1344" s="72"/>
      <c r="J1344" s="96"/>
      <c r="K1344" s="71" t="s">
        <v>4157</v>
      </c>
      <c r="L1344" s="97"/>
      <c r="M1344" s="76"/>
      <c r="N1344" s="76"/>
      <c r="O1344" s="77"/>
      <c r="P1344" s="78"/>
      <c r="Q1344" s="78"/>
      <c r="R1344" s="92"/>
      <c r="S1344" s="92"/>
      <c r="T1344" s="92"/>
      <c r="U1344" s="92"/>
      <c r="V1344" s="52"/>
      <c r="W1344" s="52"/>
      <c r="X1344" s="52"/>
      <c r="Y1344" s="52"/>
      <c r="Z1344" s="51"/>
      <c r="AA1344" s="73"/>
      <c r="AB1344" s="73"/>
      <c r="AC1344" s="74"/>
      <c r="AD1344" s="81" t="s">
        <v>2670</v>
      </c>
      <c r="AE1344" s="86" t="s">
        <v>3069</v>
      </c>
      <c r="AF1344" s="81">
        <v>205</v>
      </c>
      <c r="AG1344" s="81">
        <v>432</v>
      </c>
      <c r="AH1344" s="81">
        <v>38622</v>
      </c>
      <c r="AI1344" s="81">
        <v>20742</v>
      </c>
      <c r="AJ1344" s="81"/>
      <c r="AK1344" s="81" t="s">
        <v>3495</v>
      </c>
      <c r="AL1344" s="81" t="s">
        <v>3520</v>
      </c>
      <c r="AM1344" s="81"/>
      <c r="AN1344" s="81"/>
      <c r="AO1344" s="83">
        <v>40116.029976851853</v>
      </c>
      <c r="AP1344" s="84" t="str">
        <f>HYPERLINK("https://pbs.twimg.com/profile_banners/86204665/1592240340")</f>
        <v>https://pbs.twimg.com/profile_banners/86204665/1592240340</v>
      </c>
      <c r="AQ1344" s="81" t="b">
        <v>0</v>
      </c>
      <c r="AR1344" s="81" t="b">
        <v>0</v>
      </c>
      <c r="AS1344" s="81" t="b">
        <v>1</v>
      </c>
      <c r="AT1344" s="81"/>
      <c r="AU1344" s="81">
        <v>2</v>
      </c>
      <c r="AV1344" s="84" t="str">
        <f>HYPERLINK("https://abs.twimg.com/images/themes/theme14/bg.gif")</f>
        <v>https://abs.twimg.com/images/themes/theme14/bg.gif</v>
      </c>
      <c r="AW1344" s="81" t="b">
        <v>0</v>
      </c>
      <c r="AX1344" s="81" t="s">
        <v>3728</v>
      </c>
      <c r="AY1344" s="84" t="str">
        <f>HYPERLINK("https://twitter.com/gdlks12")</f>
        <v>https://twitter.com/gdlks12</v>
      </c>
      <c r="AZ1344" s="81" t="s">
        <v>66</v>
      </c>
    </row>
    <row r="1345" spans="1:52" x14ac:dyDescent="0.35">
      <c r="A1345" s="66" t="s">
        <v>4860</v>
      </c>
      <c r="B1345" s="67"/>
      <c r="C1345" s="67"/>
      <c r="D1345" s="68"/>
      <c r="E1345" s="94"/>
      <c r="F1345" s="93" t="str">
        <f>HYPERLINK("https://pbs.twimg.com/profile_images/1332644020535914496/TJCCjGym_normal.jpg")</f>
        <v>https://pbs.twimg.com/profile_images/1332644020535914496/TJCCjGym_normal.jpg</v>
      </c>
      <c r="G1345" s="95"/>
      <c r="H1345" s="71"/>
      <c r="I1345" s="72"/>
      <c r="J1345" s="96"/>
      <c r="K1345" s="71" t="s">
        <v>12294</v>
      </c>
      <c r="L1345" s="97"/>
      <c r="M1345" s="76"/>
      <c r="N1345" s="76"/>
      <c r="O1345" s="77"/>
      <c r="P1345" s="78"/>
      <c r="Q1345" s="78"/>
      <c r="R1345" s="92"/>
      <c r="S1345" s="92"/>
      <c r="T1345" s="92"/>
      <c r="U1345" s="92"/>
      <c r="V1345" s="52"/>
      <c r="W1345" s="52"/>
      <c r="X1345" s="52"/>
      <c r="Y1345" s="52"/>
      <c r="Z1345" s="51"/>
      <c r="AA1345" s="73"/>
      <c r="AB1345" s="73"/>
      <c r="AC1345" s="74"/>
      <c r="AD1345" s="81" t="s">
        <v>8906</v>
      </c>
      <c r="AE1345" s="86" t="s">
        <v>9874</v>
      </c>
      <c r="AF1345" s="81">
        <v>325</v>
      </c>
      <c r="AG1345" s="81">
        <v>113</v>
      </c>
      <c r="AH1345" s="81">
        <v>13019</v>
      </c>
      <c r="AI1345" s="81">
        <v>165851</v>
      </c>
      <c r="AJ1345" s="81"/>
      <c r="AK1345" s="81" t="s">
        <v>10785</v>
      </c>
      <c r="AL1345" s="81" t="s">
        <v>11289</v>
      </c>
      <c r="AM1345" s="84" t="str">
        <f>HYPERLINK("https://t.co/fLFFpWzaSS")</f>
        <v>https://t.co/fLFFpWzaSS</v>
      </c>
      <c r="AN1345" s="81"/>
      <c r="AO1345" s="83">
        <v>39924.744664351849</v>
      </c>
      <c r="AP1345" s="84" t="str">
        <f>HYPERLINK("https://pbs.twimg.com/profile_banners/33979748/1629309173")</f>
        <v>https://pbs.twimg.com/profile_banners/33979748/1629309173</v>
      </c>
      <c r="AQ1345" s="81" t="b">
        <v>0</v>
      </c>
      <c r="AR1345" s="81" t="b">
        <v>0</v>
      </c>
      <c r="AS1345" s="81" t="b">
        <v>1</v>
      </c>
      <c r="AT1345" s="81"/>
      <c r="AU1345" s="81">
        <v>1</v>
      </c>
      <c r="AV1345" s="84" t="str">
        <f>HYPERLINK("https://abs.twimg.com/images/themes/theme9/bg.gif")</f>
        <v>https://abs.twimg.com/images/themes/theme9/bg.gif</v>
      </c>
      <c r="AW1345" s="81" t="b">
        <v>0</v>
      </c>
      <c r="AX1345" s="81" t="s">
        <v>3728</v>
      </c>
      <c r="AY1345" s="84" t="str">
        <f>HYPERLINK("https://twitter.com/miltonapasil")</f>
        <v>https://twitter.com/miltonapasil</v>
      </c>
      <c r="AZ1345" s="81" t="s">
        <v>66</v>
      </c>
    </row>
    <row r="1346" spans="1:52" x14ac:dyDescent="0.35">
      <c r="A1346" s="66" t="s">
        <v>4861</v>
      </c>
      <c r="B1346" s="67"/>
      <c r="C1346" s="67"/>
      <c r="D1346" s="68"/>
      <c r="E1346" s="94"/>
      <c r="F1346" s="93" t="str">
        <f>HYPERLINK("https://pbs.twimg.com/profile_images/1425761167977373699/l8Gf-k93_normal.jpg")</f>
        <v>https://pbs.twimg.com/profile_images/1425761167977373699/l8Gf-k93_normal.jpg</v>
      </c>
      <c r="G1346" s="95"/>
      <c r="H1346" s="71"/>
      <c r="I1346" s="72"/>
      <c r="J1346" s="96"/>
      <c r="K1346" s="71" t="s">
        <v>12295</v>
      </c>
      <c r="L1346" s="97"/>
      <c r="M1346" s="76"/>
      <c r="N1346" s="76"/>
      <c r="O1346" s="77"/>
      <c r="P1346" s="78"/>
      <c r="Q1346" s="78"/>
      <c r="R1346" s="92"/>
      <c r="S1346" s="92"/>
      <c r="T1346" s="92"/>
      <c r="U1346" s="92"/>
      <c r="V1346" s="52"/>
      <c r="W1346" s="52"/>
      <c r="X1346" s="52"/>
      <c r="Y1346" s="52"/>
      <c r="Z1346" s="51"/>
      <c r="AA1346" s="73"/>
      <c r="AB1346" s="73"/>
      <c r="AC1346" s="74"/>
      <c r="AD1346" s="81" t="s">
        <v>8907</v>
      </c>
      <c r="AE1346" s="86" t="s">
        <v>9875</v>
      </c>
      <c r="AF1346" s="81">
        <v>199</v>
      </c>
      <c r="AG1346" s="81">
        <v>142</v>
      </c>
      <c r="AH1346" s="81">
        <v>2373</v>
      </c>
      <c r="AI1346" s="81">
        <v>7144</v>
      </c>
      <c r="AJ1346" s="81"/>
      <c r="AK1346" s="81"/>
      <c r="AL1346" s="81"/>
      <c r="AM1346" s="81"/>
      <c r="AN1346" s="81"/>
      <c r="AO1346" s="83">
        <v>44400.038668981484</v>
      </c>
      <c r="AP1346" s="84" t="str">
        <f>HYPERLINK("https://pbs.twimg.com/profile_banners/1418372386970288128/1628842600")</f>
        <v>https://pbs.twimg.com/profile_banners/1418372386970288128/1628842600</v>
      </c>
      <c r="AQ1346" s="81" t="b">
        <v>1</v>
      </c>
      <c r="AR1346" s="81" t="b">
        <v>0</v>
      </c>
      <c r="AS1346" s="81" t="b">
        <v>0</v>
      </c>
      <c r="AT1346" s="81"/>
      <c r="AU1346" s="81">
        <v>0</v>
      </c>
      <c r="AV1346" s="81"/>
      <c r="AW1346" s="81" t="b">
        <v>0</v>
      </c>
      <c r="AX1346" s="81" t="s">
        <v>3728</v>
      </c>
      <c r="AY1346" s="84" t="str">
        <f>HYPERLINK("https://twitter.com/ac5tap")</f>
        <v>https://twitter.com/ac5tap</v>
      </c>
      <c r="AZ1346" s="81" t="s">
        <v>66</v>
      </c>
    </row>
    <row r="1347" spans="1:52" x14ac:dyDescent="0.35">
      <c r="A1347" s="66" t="s">
        <v>5178</v>
      </c>
      <c r="B1347" s="67"/>
      <c r="C1347" s="67"/>
      <c r="D1347" s="68"/>
      <c r="E1347" s="94"/>
      <c r="F1347" s="93" t="str">
        <f>HYPERLINK("https://pbs.twimg.com/profile_images/1441088494193963011/fUK2OzYl_normal.jpg")</f>
        <v>https://pbs.twimg.com/profile_images/1441088494193963011/fUK2OzYl_normal.jpg</v>
      </c>
      <c r="G1347" s="95"/>
      <c r="H1347" s="71"/>
      <c r="I1347" s="72"/>
      <c r="J1347" s="96"/>
      <c r="K1347" s="71" t="s">
        <v>12296</v>
      </c>
      <c r="L1347" s="97"/>
      <c r="M1347" s="76"/>
      <c r="N1347" s="76"/>
      <c r="O1347" s="77"/>
      <c r="P1347" s="78"/>
      <c r="Q1347" s="78"/>
      <c r="R1347" s="92"/>
      <c r="S1347" s="92"/>
      <c r="T1347" s="92"/>
      <c r="U1347" s="92"/>
      <c r="V1347" s="52"/>
      <c r="W1347" s="52"/>
      <c r="X1347" s="52"/>
      <c r="Y1347" s="52"/>
      <c r="Z1347" s="51"/>
      <c r="AA1347" s="73"/>
      <c r="AB1347" s="73"/>
      <c r="AC1347" s="74"/>
      <c r="AD1347" s="81" t="s">
        <v>8908</v>
      </c>
      <c r="AE1347" s="86" t="s">
        <v>7920</v>
      </c>
      <c r="AF1347" s="81">
        <v>1518</v>
      </c>
      <c r="AG1347" s="81">
        <v>437301</v>
      </c>
      <c r="AH1347" s="81">
        <v>29950</v>
      </c>
      <c r="AI1347" s="81">
        <v>5362</v>
      </c>
      <c r="AJ1347" s="81"/>
      <c r="AK1347" s="81" t="s">
        <v>10786</v>
      </c>
      <c r="AL1347" s="81" t="s">
        <v>10975</v>
      </c>
      <c r="AM1347" s="84" t="str">
        <f>HYPERLINK("https://t.co/80Oin2hOXk")</f>
        <v>https://t.co/80Oin2hOXk</v>
      </c>
      <c r="AN1347" s="81"/>
      <c r="AO1347" s="83">
        <v>40030.522916666669</v>
      </c>
      <c r="AP1347" s="84" t="str">
        <f>HYPERLINK("https://pbs.twimg.com/profile_banners/63118359/1583774430")</f>
        <v>https://pbs.twimg.com/profile_banners/63118359/1583774430</v>
      </c>
      <c r="AQ1347" s="81" t="b">
        <v>0</v>
      </c>
      <c r="AR1347" s="81" t="b">
        <v>0</v>
      </c>
      <c r="AS1347" s="81" t="b">
        <v>1</v>
      </c>
      <c r="AT1347" s="81"/>
      <c r="AU1347" s="81">
        <v>1302</v>
      </c>
      <c r="AV1347" s="84" t="str">
        <f>HYPERLINK("https://abs.twimg.com/images/themes/theme1/bg.png")</f>
        <v>https://abs.twimg.com/images/themes/theme1/bg.png</v>
      </c>
      <c r="AW1347" s="81" t="b">
        <v>1</v>
      </c>
      <c r="AX1347" s="81" t="s">
        <v>3728</v>
      </c>
      <c r="AY1347" s="84" t="str">
        <f>HYPERLINK("https://twitter.com/mariadorosario")</f>
        <v>https://twitter.com/mariadorosario</v>
      </c>
      <c r="AZ1347" s="81" t="s">
        <v>65</v>
      </c>
    </row>
    <row r="1348" spans="1:52" x14ac:dyDescent="0.35">
      <c r="A1348" s="66" t="s">
        <v>4983</v>
      </c>
      <c r="B1348" s="67"/>
      <c r="C1348" s="67"/>
      <c r="D1348" s="68"/>
      <c r="E1348" s="94"/>
      <c r="F1348" s="93" t="str">
        <f>HYPERLINK("https://pbs.twimg.com/profile_images/1297827081791905795/H4qtFpQ-_normal.jpg")</f>
        <v>https://pbs.twimg.com/profile_images/1297827081791905795/H4qtFpQ-_normal.jpg</v>
      </c>
      <c r="G1348" s="95"/>
      <c r="H1348" s="71"/>
      <c r="I1348" s="72"/>
      <c r="J1348" s="96"/>
      <c r="K1348" s="71" t="s">
        <v>11399</v>
      </c>
      <c r="L1348" s="97"/>
      <c r="M1348" s="76"/>
      <c r="N1348" s="76"/>
      <c r="O1348" s="77"/>
      <c r="P1348" s="78"/>
      <c r="Q1348" s="78"/>
      <c r="R1348" s="92"/>
      <c r="S1348" s="92"/>
      <c r="T1348" s="92"/>
      <c r="U1348" s="92"/>
      <c r="V1348" s="52"/>
      <c r="W1348" s="52"/>
      <c r="X1348" s="52"/>
      <c r="Y1348" s="52"/>
      <c r="Z1348" s="51"/>
      <c r="AA1348" s="73"/>
      <c r="AB1348" s="73"/>
      <c r="AC1348" s="74"/>
      <c r="AD1348" s="81" t="s">
        <v>8033</v>
      </c>
      <c r="AE1348" s="86" t="s">
        <v>7793</v>
      </c>
      <c r="AF1348" s="81">
        <v>275</v>
      </c>
      <c r="AG1348" s="81">
        <v>7104216</v>
      </c>
      <c r="AH1348" s="81">
        <v>436523</v>
      </c>
      <c r="AI1348" s="81">
        <v>347</v>
      </c>
      <c r="AJ1348" s="81"/>
      <c r="AK1348" s="81" t="s">
        <v>10061</v>
      </c>
      <c r="AL1348" s="81" t="s">
        <v>10992</v>
      </c>
      <c r="AM1348" s="84" t="str">
        <f>HYPERLINK("https://t.co/81yLl1VOb5")</f>
        <v>https://t.co/81yLl1VOb5</v>
      </c>
      <c r="AN1348" s="81"/>
      <c r="AO1348" s="83">
        <v>39363.922476851854</v>
      </c>
      <c r="AP1348" s="84" t="str">
        <f>HYPERLINK("https://pbs.twimg.com/profile_banners/9317502/1631034636")</f>
        <v>https://pbs.twimg.com/profile_banners/9317502/1631034636</v>
      </c>
      <c r="AQ1348" s="81" t="b">
        <v>0</v>
      </c>
      <c r="AR1348" s="81" t="b">
        <v>0</v>
      </c>
      <c r="AS1348" s="81" t="b">
        <v>1</v>
      </c>
      <c r="AT1348" s="81"/>
      <c r="AU1348" s="81">
        <v>13018</v>
      </c>
      <c r="AV1348" s="84" t="str">
        <f>HYPERLINK("https://abs.twimg.com/images/themes/theme1/bg.png")</f>
        <v>https://abs.twimg.com/images/themes/theme1/bg.png</v>
      </c>
      <c r="AW1348" s="81" t="b">
        <v>1</v>
      </c>
      <c r="AX1348" s="81" t="s">
        <v>3728</v>
      </c>
      <c r="AY1348" s="84" t="str">
        <f>HYPERLINK("https://twitter.com/estadao")</f>
        <v>https://twitter.com/estadao</v>
      </c>
      <c r="AZ1348" s="81" t="s">
        <v>65</v>
      </c>
    </row>
    <row r="1349" spans="1:52" x14ac:dyDescent="0.35">
      <c r="A1349" s="66" t="s">
        <v>5179</v>
      </c>
      <c r="B1349" s="67"/>
      <c r="C1349" s="67"/>
      <c r="D1349" s="68"/>
      <c r="E1349" s="94"/>
      <c r="F1349" s="93" t="str">
        <f>HYPERLINK("https://pbs.twimg.com/profile_images/1400600894564151301/smydE11u_normal.jpg")</f>
        <v>https://pbs.twimg.com/profile_images/1400600894564151301/smydE11u_normal.jpg</v>
      </c>
      <c r="G1349" s="95"/>
      <c r="H1349" s="71"/>
      <c r="I1349" s="72"/>
      <c r="J1349" s="96"/>
      <c r="K1349" s="71" t="s">
        <v>12297</v>
      </c>
      <c r="L1349" s="97"/>
      <c r="M1349" s="76"/>
      <c r="N1349" s="76"/>
      <c r="O1349" s="77"/>
      <c r="P1349" s="78"/>
      <c r="Q1349" s="78"/>
      <c r="R1349" s="92"/>
      <c r="S1349" s="92"/>
      <c r="T1349" s="92"/>
      <c r="U1349" s="92"/>
      <c r="V1349" s="52"/>
      <c r="W1349" s="52"/>
      <c r="X1349" s="52"/>
      <c r="Y1349" s="52"/>
      <c r="Z1349" s="51"/>
      <c r="AA1349" s="73"/>
      <c r="AB1349" s="73"/>
      <c r="AC1349" s="74"/>
      <c r="AD1349" s="81" t="s">
        <v>8909</v>
      </c>
      <c r="AE1349" s="86" t="s">
        <v>7921</v>
      </c>
      <c r="AF1349" s="81">
        <v>850</v>
      </c>
      <c r="AG1349" s="81">
        <v>97594</v>
      </c>
      <c r="AH1349" s="81">
        <v>64607</v>
      </c>
      <c r="AI1349" s="81">
        <v>6040</v>
      </c>
      <c r="AJ1349" s="81"/>
      <c r="AK1349" s="81" t="s">
        <v>10787</v>
      </c>
      <c r="AL1349" s="81" t="s">
        <v>11317</v>
      </c>
      <c r="AM1349" s="84" t="str">
        <f>HYPERLINK("https://t.co/Dvp7JQELhm")</f>
        <v>https://t.co/Dvp7JQELhm</v>
      </c>
      <c r="AN1349" s="81"/>
      <c r="AO1349" s="83">
        <v>39986.726053240738</v>
      </c>
      <c r="AP1349" s="84" t="str">
        <f>HYPERLINK("https://pbs.twimg.com/profile_banners/49696756/1631198636")</f>
        <v>https://pbs.twimg.com/profile_banners/49696756/1631198636</v>
      </c>
      <c r="AQ1349" s="81" t="b">
        <v>0</v>
      </c>
      <c r="AR1349" s="81" t="b">
        <v>0</v>
      </c>
      <c r="AS1349" s="81" t="b">
        <v>1</v>
      </c>
      <c r="AT1349" s="81"/>
      <c r="AU1349" s="81">
        <v>488</v>
      </c>
      <c r="AV1349" s="84" t="str">
        <f>HYPERLINK("https://abs.twimg.com/images/themes/theme5/bg.gif")</f>
        <v>https://abs.twimg.com/images/themes/theme5/bg.gif</v>
      </c>
      <c r="AW1349" s="81" t="b">
        <v>1</v>
      </c>
      <c r="AX1349" s="81" t="s">
        <v>3728</v>
      </c>
      <c r="AY1349" s="84" t="str">
        <f>HYPERLINK("https://twitter.com/guimaraes13pt")</f>
        <v>https://twitter.com/guimaraes13pt</v>
      </c>
      <c r="AZ1349" s="81" t="s">
        <v>65</v>
      </c>
    </row>
    <row r="1350" spans="1:52" x14ac:dyDescent="0.35">
      <c r="A1350" s="66" t="s">
        <v>591</v>
      </c>
      <c r="B1350" s="67"/>
      <c r="C1350" s="67"/>
      <c r="D1350" s="68"/>
      <c r="E1350" s="94"/>
      <c r="F1350" s="93" t="str">
        <f>HYPERLINK("https://pbs.twimg.com/profile_images/468189764227588096/bPK2k9BJ_normal.jpeg")</f>
        <v>https://pbs.twimg.com/profile_images/468189764227588096/bPK2k9BJ_normal.jpeg</v>
      </c>
      <c r="G1350" s="95"/>
      <c r="H1350" s="71"/>
      <c r="I1350" s="72"/>
      <c r="J1350" s="96"/>
      <c r="K1350" s="71" t="s">
        <v>4158</v>
      </c>
      <c r="L1350" s="97"/>
      <c r="M1350" s="76"/>
      <c r="N1350" s="76"/>
      <c r="O1350" s="77"/>
      <c r="P1350" s="78"/>
      <c r="Q1350" s="78"/>
      <c r="R1350" s="92"/>
      <c r="S1350" s="92"/>
      <c r="T1350" s="92"/>
      <c r="U1350" s="92"/>
      <c r="V1350" s="52"/>
      <c r="W1350" s="52"/>
      <c r="X1350" s="52"/>
      <c r="Y1350" s="52"/>
      <c r="Z1350" s="51"/>
      <c r="AA1350" s="73"/>
      <c r="AB1350" s="73"/>
      <c r="AC1350" s="74"/>
      <c r="AD1350" s="81" t="s">
        <v>2673</v>
      </c>
      <c r="AE1350" s="86" t="s">
        <v>3071</v>
      </c>
      <c r="AF1350" s="81">
        <v>28</v>
      </c>
      <c r="AG1350" s="81">
        <v>19480</v>
      </c>
      <c r="AH1350" s="81">
        <v>277179</v>
      </c>
      <c r="AI1350" s="81">
        <v>3</v>
      </c>
      <c r="AJ1350" s="81"/>
      <c r="AK1350" s="81" t="s">
        <v>3497</v>
      </c>
      <c r="AL1350" s="81" t="s">
        <v>2202</v>
      </c>
      <c r="AM1350" s="84" t="str">
        <f>HYPERLINK("https://t.co/IBJmBDKe5U")</f>
        <v>https://t.co/IBJmBDKe5U</v>
      </c>
      <c r="AN1350" s="81"/>
      <c r="AO1350" s="83">
        <v>41041.565381944441</v>
      </c>
      <c r="AP1350" s="84" t="str">
        <f>HYPERLINK("https://pbs.twimg.com/profile_banners/578059643/1439974857")</f>
        <v>https://pbs.twimg.com/profile_banners/578059643/1439974857</v>
      </c>
      <c r="AQ1350" s="81" t="b">
        <v>0</v>
      </c>
      <c r="AR1350" s="81" t="b">
        <v>0</v>
      </c>
      <c r="AS1350" s="81" t="b">
        <v>0</v>
      </c>
      <c r="AT1350" s="81"/>
      <c r="AU1350" s="81">
        <v>27</v>
      </c>
      <c r="AV1350" s="84" t="str">
        <f>HYPERLINK("https://abs.twimg.com/images/themes/theme16/bg.gif")</f>
        <v>https://abs.twimg.com/images/themes/theme16/bg.gif</v>
      </c>
      <c r="AW1350" s="81" t="b">
        <v>0</v>
      </c>
      <c r="AX1350" s="81" t="s">
        <v>3728</v>
      </c>
      <c r="AY1350" s="84" t="str">
        <f>HYPERLINK("https://twitter.com/rakyatsulsel")</f>
        <v>https://twitter.com/rakyatsulsel</v>
      </c>
      <c r="AZ1350" s="81" t="s">
        <v>66</v>
      </c>
    </row>
    <row r="1351" spans="1:52" x14ac:dyDescent="0.35">
      <c r="A1351" s="66" t="s">
        <v>4862</v>
      </c>
      <c r="B1351" s="67"/>
      <c r="C1351" s="67"/>
      <c r="D1351" s="68"/>
      <c r="E1351" s="94"/>
      <c r="F1351" s="93" t="str">
        <f>HYPERLINK("https://pbs.twimg.com/profile_images/1419043540261298177/L7pGhNJJ_normal.jpg")</f>
        <v>https://pbs.twimg.com/profile_images/1419043540261298177/L7pGhNJJ_normal.jpg</v>
      </c>
      <c r="G1351" s="95"/>
      <c r="H1351" s="71"/>
      <c r="I1351" s="72"/>
      <c r="J1351" s="96"/>
      <c r="K1351" s="71" t="s">
        <v>12298</v>
      </c>
      <c r="L1351" s="97"/>
      <c r="M1351" s="76"/>
      <c r="N1351" s="76"/>
      <c r="O1351" s="77"/>
      <c r="P1351" s="78"/>
      <c r="Q1351" s="78"/>
      <c r="R1351" s="92"/>
      <c r="S1351" s="92"/>
      <c r="T1351" s="92"/>
      <c r="U1351" s="92"/>
      <c r="V1351" s="52"/>
      <c r="W1351" s="52"/>
      <c r="X1351" s="52"/>
      <c r="Y1351" s="52"/>
      <c r="Z1351" s="51"/>
      <c r="AA1351" s="73"/>
      <c r="AB1351" s="73"/>
      <c r="AC1351" s="74"/>
      <c r="AD1351" s="81" t="s">
        <v>8910</v>
      </c>
      <c r="AE1351" s="86" t="s">
        <v>9876</v>
      </c>
      <c r="AF1351" s="81">
        <v>68</v>
      </c>
      <c r="AG1351" s="81">
        <v>160</v>
      </c>
      <c r="AH1351" s="81">
        <v>7719</v>
      </c>
      <c r="AI1351" s="81">
        <v>5328</v>
      </c>
      <c r="AJ1351" s="81"/>
      <c r="AK1351" s="81" t="s">
        <v>10788</v>
      </c>
      <c r="AL1351" s="81"/>
      <c r="AM1351" s="81"/>
      <c r="AN1351" s="81"/>
      <c r="AO1351" s="83">
        <v>43913.675543981481</v>
      </c>
      <c r="AP1351" s="81"/>
      <c r="AQ1351" s="81" t="b">
        <v>1</v>
      </c>
      <c r="AR1351" s="81" t="b">
        <v>0</v>
      </c>
      <c r="AS1351" s="81" t="b">
        <v>0</v>
      </c>
      <c r="AT1351" s="81"/>
      <c r="AU1351" s="81">
        <v>0</v>
      </c>
      <c r="AV1351" s="81"/>
      <c r="AW1351" s="81" t="b">
        <v>0</v>
      </c>
      <c r="AX1351" s="81" t="s">
        <v>3728</v>
      </c>
      <c r="AY1351" s="84" t="str">
        <f>HYPERLINK("https://twitter.com/frontnacaobr")</f>
        <v>https://twitter.com/frontnacaobr</v>
      </c>
      <c r="AZ1351" s="81" t="s">
        <v>66</v>
      </c>
    </row>
    <row r="1352" spans="1:52" x14ac:dyDescent="0.35">
      <c r="A1352" s="66" t="s">
        <v>5180</v>
      </c>
      <c r="B1352" s="67"/>
      <c r="C1352" s="67"/>
      <c r="D1352" s="68"/>
      <c r="E1352" s="94"/>
      <c r="F1352" s="93" t="str">
        <f>HYPERLINK("https://pbs.twimg.com/profile_images/1420389498257616896/48QeFM1h_normal.jpg")</f>
        <v>https://pbs.twimg.com/profile_images/1420389498257616896/48QeFM1h_normal.jpg</v>
      </c>
      <c r="G1352" s="95"/>
      <c r="H1352" s="71"/>
      <c r="I1352" s="72"/>
      <c r="J1352" s="96"/>
      <c r="K1352" s="71" t="s">
        <v>12299</v>
      </c>
      <c r="L1352" s="97"/>
      <c r="M1352" s="76"/>
      <c r="N1352" s="76"/>
      <c r="O1352" s="77"/>
      <c r="P1352" s="78"/>
      <c r="Q1352" s="78"/>
      <c r="R1352" s="92"/>
      <c r="S1352" s="92"/>
      <c r="T1352" s="92"/>
      <c r="U1352" s="92"/>
      <c r="V1352" s="52"/>
      <c r="W1352" s="52"/>
      <c r="X1352" s="52"/>
      <c r="Y1352" s="52"/>
      <c r="Z1352" s="51"/>
      <c r="AA1352" s="73"/>
      <c r="AB1352" s="73"/>
      <c r="AC1352" s="74"/>
      <c r="AD1352" s="81" t="s">
        <v>8911</v>
      </c>
      <c r="AE1352" s="86" t="s">
        <v>9877</v>
      </c>
      <c r="AF1352" s="81">
        <v>1003</v>
      </c>
      <c r="AG1352" s="81">
        <v>7406</v>
      </c>
      <c r="AH1352" s="81">
        <v>77919</v>
      </c>
      <c r="AI1352" s="81">
        <v>70485</v>
      </c>
      <c r="AJ1352" s="81"/>
      <c r="AK1352" s="81" t="s">
        <v>10789</v>
      </c>
      <c r="AL1352" s="81" t="s">
        <v>11114</v>
      </c>
      <c r="AM1352" s="81"/>
      <c r="AN1352" s="81"/>
      <c r="AO1352" s="83">
        <v>42997.695208333331</v>
      </c>
      <c r="AP1352" s="84" t="str">
        <f>HYPERLINK("https://pbs.twimg.com/profile_banners/910181970134564865/1607048662")</f>
        <v>https://pbs.twimg.com/profile_banners/910181970134564865/1607048662</v>
      </c>
      <c r="AQ1352" s="81" t="b">
        <v>1</v>
      </c>
      <c r="AR1352" s="81" t="b">
        <v>0</v>
      </c>
      <c r="AS1352" s="81" t="b">
        <v>1</v>
      </c>
      <c r="AT1352" s="81"/>
      <c r="AU1352" s="81">
        <v>18</v>
      </c>
      <c r="AV1352" s="81"/>
      <c r="AW1352" s="81" t="b">
        <v>0</v>
      </c>
      <c r="AX1352" s="81" t="s">
        <v>3728</v>
      </c>
      <c r="AY1352" s="84" t="str">
        <f>HYPERLINK("https://twitter.com/ciraocarioca")</f>
        <v>https://twitter.com/ciraocarioca</v>
      </c>
      <c r="AZ1352" s="81" t="s">
        <v>65</v>
      </c>
    </row>
    <row r="1353" spans="1:52" x14ac:dyDescent="0.35">
      <c r="A1353" s="66" t="s">
        <v>5181</v>
      </c>
      <c r="B1353" s="67"/>
      <c r="C1353" s="67"/>
      <c r="D1353" s="68"/>
      <c r="E1353" s="94"/>
      <c r="F1353" s="93" t="str">
        <f>HYPERLINK("https://pbs.twimg.com/profile_images/1406081524219383809/kDdBievV_normal.jpg")</f>
        <v>https://pbs.twimg.com/profile_images/1406081524219383809/kDdBievV_normal.jpg</v>
      </c>
      <c r="G1353" s="95"/>
      <c r="H1353" s="71"/>
      <c r="I1353" s="72"/>
      <c r="J1353" s="96"/>
      <c r="K1353" s="71" t="s">
        <v>12300</v>
      </c>
      <c r="L1353" s="97"/>
      <c r="M1353" s="76"/>
      <c r="N1353" s="76"/>
      <c r="O1353" s="77"/>
      <c r="P1353" s="78"/>
      <c r="Q1353" s="78"/>
      <c r="R1353" s="92"/>
      <c r="S1353" s="92"/>
      <c r="T1353" s="92"/>
      <c r="U1353" s="92"/>
      <c r="V1353" s="52"/>
      <c r="W1353" s="52"/>
      <c r="X1353" s="52"/>
      <c r="Y1353" s="52"/>
      <c r="Z1353" s="51"/>
      <c r="AA1353" s="73"/>
      <c r="AB1353" s="73"/>
      <c r="AC1353" s="74"/>
      <c r="AD1353" s="81" t="s">
        <v>8912</v>
      </c>
      <c r="AE1353" s="86" t="s">
        <v>7922</v>
      </c>
      <c r="AF1353" s="81">
        <v>1663</v>
      </c>
      <c r="AG1353" s="81">
        <v>2302</v>
      </c>
      <c r="AH1353" s="81">
        <v>2602</v>
      </c>
      <c r="AI1353" s="81">
        <v>2976</v>
      </c>
      <c r="AJ1353" s="81"/>
      <c r="AK1353" s="81" t="s">
        <v>10790</v>
      </c>
      <c r="AL1353" s="81"/>
      <c r="AM1353" s="81"/>
      <c r="AN1353" s="81"/>
      <c r="AO1353" s="83">
        <v>44366.11440972222</v>
      </c>
      <c r="AP1353" s="84" t="str">
        <f>HYPERLINK("https://pbs.twimg.com/profile_banners/1406080428499476486/1624074166")</f>
        <v>https://pbs.twimg.com/profile_banners/1406080428499476486/1624074166</v>
      </c>
      <c r="AQ1353" s="81" t="b">
        <v>1</v>
      </c>
      <c r="AR1353" s="81" t="b">
        <v>0</v>
      </c>
      <c r="AS1353" s="81" t="b">
        <v>0</v>
      </c>
      <c r="AT1353" s="81"/>
      <c r="AU1353" s="81">
        <v>3</v>
      </c>
      <c r="AV1353" s="81"/>
      <c r="AW1353" s="81" t="b">
        <v>0</v>
      </c>
      <c r="AX1353" s="81" t="s">
        <v>3728</v>
      </c>
      <c r="AY1353" s="84" t="str">
        <f>HYPERLINK("https://twitter.com/danielramalho_")</f>
        <v>https://twitter.com/danielramalho_</v>
      </c>
      <c r="AZ1353" s="81" t="s">
        <v>65</v>
      </c>
    </row>
    <row r="1354" spans="1:52" x14ac:dyDescent="0.35">
      <c r="A1354" s="66" t="s">
        <v>593</v>
      </c>
      <c r="B1354" s="67"/>
      <c r="C1354" s="67"/>
      <c r="D1354" s="68"/>
      <c r="E1354" s="94"/>
      <c r="F1354" s="93" t="str">
        <f>HYPERLINK("https://pbs.twimg.com/profile_images/1367043691706126336/RGdtA1ci_normal.jpg")</f>
        <v>https://pbs.twimg.com/profile_images/1367043691706126336/RGdtA1ci_normal.jpg</v>
      </c>
      <c r="G1354" s="95"/>
      <c r="H1354" s="71"/>
      <c r="I1354" s="72"/>
      <c r="J1354" s="96"/>
      <c r="K1354" s="71" t="s">
        <v>4159</v>
      </c>
      <c r="L1354" s="97"/>
      <c r="M1354" s="76"/>
      <c r="N1354" s="76"/>
      <c r="O1354" s="77"/>
      <c r="P1354" s="78"/>
      <c r="Q1354" s="78"/>
      <c r="R1354" s="92"/>
      <c r="S1354" s="92"/>
      <c r="T1354" s="92"/>
      <c r="U1354" s="92"/>
      <c r="V1354" s="52"/>
      <c r="W1354" s="52"/>
      <c r="X1354" s="52"/>
      <c r="Y1354" s="52"/>
      <c r="Z1354" s="51"/>
      <c r="AA1354" s="73"/>
      <c r="AB1354" s="73"/>
      <c r="AC1354" s="74"/>
      <c r="AD1354" s="81" t="s">
        <v>2674</v>
      </c>
      <c r="AE1354" s="86" t="s">
        <v>3072</v>
      </c>
      <c r="AF1354" s="81">
        <v>1105</v>
      </c>
      <c r="AG1354" s="81">
        <v>2455</v>
      </c>
      <c r="AH1354" s="81">
        <v>28437</v>
      </c>
      <c r="AI1354" s="81">
        <v>2518</v>
      </c>
      <c r="AJ1354" s="81"/>
      <c r="AK1354" s="81" t="s">
        <v>3498</v>
      </c>
      <c r="AL1354" s="81" t="s">
        <v>3518</v>
      </c>
      <c r="AM1354" s="84" t="str">
        <f>HYPERLINK("https://t.co/qYdNrkzjQq")</f>
        <v>https://t.co/qYdNrkzjQq</v>
      </c>
      <c r="AN1354" s="81"/>
      <c r="AO1354" s="83">
        <v>43852.232245370367</v>
      </c>
      <c r="AP1354" s="84" t="str">
        <f>HYPERLINK("https://pbs.twimg.com/profile_banners/1219855761104195584/1614764052")</f>
        <v>https://pbs.twimg.com/profile_banners/1219855761104195584/1614764052</v>
      </c>
      <c r="AQ1354" s="81" t="b">
        <v>1</v>
      </c>
      <c r="AR1354" s="81" t="b">
        <v>0</v>
      </c>
      <c r="AS1354" s="81" t="b">
        <v>0</v>
      </c>
      <c r="AT1354" s="81"/>
      <c r="AU1354" s="81">
        <v>7</v>
      </c>
      <c r="AV1354" s="81"/>
      <c r="AW1354" s="81" t="b">
        <v>0</v>
      </c>
      <c r="AX1354" s="81" t="s">
        <v>3728</v>
      </c>
      <c r="AY1354" s="84" t="str">
        <f>HYPERLINK("https://twitter.com/shiningstar0606")</f>
        <v>https://twitter.com/shiningstar0606</v>
      </c>
      <c r="AZ1354" s="81" t="s">
        <v>66</v>
      </c>
    </row>
    <row r="1355" spans="1:52" x14ac:dyDescent="0.35">
      <c r="A1355" s="66" t="s">
        <v>4863</v>
      </c>
      <c r="B1355" s="67"/>
      <c r="C1355" s="67"/>
      <c r="D1355" s="68"/>
      <c r="E1355" s="94"/>
      <c r="F1355" s="93" t="str">
        <f>HYPERLINK("https://pbs.twimg.com/profile_images/1428616072190697473/3s8Eg7WK_normal.jpg")</f>
        <v>https://pbs.twimg.com/profile_images/1428616072190697473/3s8Eg7WK_normal.jpg</v>
      </c>
      <c r="G1355" s="95"/>
      <c r="H1355" s="71"/>
      <c r="I1355" s="72"/>
      <c r="J1355" s="96"/>
      <c r="K1355" s="71" t="s">
        <v>12301</v>
      </c>
      <c r="L1355" s="97"/>
      <c r="M1355" s="76"/>
      <c r="N1355" s="76"/>
      <c r="O1355" s="77"/>
      <c r="P1355" s="78"/>
      <c r="Q1355" s="78"/>
      <c r="R1355" s="92"/>
      <c r="S1355" s="92"/>
      <c r="T1355" s="92"/>
      <c r="U1355" s="92"/>
      <c r="V1355" s="52"/>
      <c r="W1355" s="52"/>
      <c r="X1355" s="52"/>
      <c r="Y1355" s="52"/>
      <c r="Z1355" s="51"/>
      <c r="AA1355" s="73"/>
      <c r="AB1355" s="73"/>
      <c r="AC1355" s="74"/>
      <c r="AD1355" s="81" t="s">
        <v>8913</v>
      </c>
      <c r="AE1355" s="86" t="s">
        <v>9878</v>
      </c>
      <c r="AF1355" s="81">
        <v>287</v>
      </c>
      <c r="AG1355" s="81">
        <v>228</v>
      </c>
      <c r="AH1355" s="81">
        <v>2850</v>
      </c>
      <c r="AI1355" s="81">
        <v>8071</v>
      </c>
      <c r="AJ1355" s="81"/>
      <c r="AK1355" s="81" t="s">
        <v>10791</v>
      </c>
      <c r="AL1355" s="81" t="s">
        <v>10975</v>
      </c>
      <c r="AM1355" s="84" t="str">
        <f>HYPERLINK("https://t.co/Y9WYFZbgjq")</f>
        <v>https://t.co/Y9WYFZbgjq</v>
      </c>
      <c r="AN1355" s="81"/>
      <c r="AO1355" s="83">
        <v>43250.655752314815</v>
      </c>
      <c r="AP1355" s="84" t="str">
        <f>HYPERLINK("https://pbs.twimg.com/profile_banners/1001851800104906752/1630803898")</f>
        <v>https://pbs.twimg.com/profile_banners/1001851800104906752/1630803898</v>
      </c>
      <c r="AQ1355" s="81" t="b">
        <v>1</v>
      </c>
      <c r="AR1355" s="81" t="b">
        <v>0</v>
      </c>
      <c r="AS1355" s="81" t="b">
        <v>0</v>
      </c>
      <c r="AT1355" s="81"/>
      <c r="AU1355" s="81">
        <v>1</v>
      </c>
      <c r="AV1355" s="81"/>
      <c r="AW1355" s="81" t="b">
        <v>0</v>
      </c>
      <c r="AX1355" s="81" t="s">
        <v>3728</v>
      </c>
      <c r="AY1355" s="84" t="str">
        <f>HYPERLINK("https://twitter.com/luiiss7am")</f>
        <v>https://twitter.com/luiiss7am</v>
      </c>
      <c r="AZ1355" s="81" t="s">
        <v>66</v>
      </c>
    </row>
    <row r="1356" spans="1:52" x14ac:dyDescent="0.35">
      <c r="A1356" s="66" t="s">
        <v>5182</v>
      </c>
      <c r="B1356" s="67"/>
      <c r="C1356" s="67"/>
      <c r="D1356" s="68"/>
      <c r="E1356" s="94"/>
      <c r="F1356" s="93" t="str">
        <f>HYPERLINK("https://pbs.twimg.com/profile_images/1443075409625731074/kB0WDrh9_normal.jpg")</f>
        <v>https://pbs.twimg.com/profile_images/1443075409625731074/kB0WDrh9_normal.jpg</v>
      </c>
      <c r="G1356" s="95"/>
      <c r="H1356" s="71"/>
      <c r="I1356" s="72"/>
      <c r="J1356" s="96"/>
      <c r="K1356" s="71" t="s">
        <v>12302</v>
      </c>
      <c r="L1356" s="97"/>
      <c r="M1356" s="76"/>
      <c r="N1356" s="76"/>
      <c r="O1356" s="77"/>
      <c r="P1356" s="78"/>
      <c r="Q1356" s="78"/>
      <c r="R1356" s="92"/>
      <c r="S1356" s="92"/>
      <c r="T1356" s="92"/>
      <c r="U1356" s="92"/>
      <c r="V1356" s="52"/>
      <c r="W1356" s="52"/>
      <c r="X1356" s="52"/>
      <c r="Y1356" s="52"/>
      <c r="Z1356" s="51"/>
      <c r="AA1356" s="73"/>
      <c r="AB1356" s="73"/>
      <c r="AC1356" s="74"/>
      <c r="AD1356" s="81" t="s">
        <v>8914</v>
      </c>
      <c r="AE1356" s="86" t="s">
        <v>7923</v>
      </c>
      <c r="AF1356" s="81">
        <v>122</v>
      </c>
      <c r="AG1356" s="81">
        <v>105</v>
      </c>
      <c r="AH1356" s="81">
        <v>2612</v>
      </c>
      <c r="AI1356" s="81">
        <v>210</v>
      </c>
      <c r="AJ1356" s="81"/>
      <c r="AK1356" s="81" t="s">
        <v>10792</v>
      </c>
      <c r="AL1356" s="81" t="s">
        <v>11318</v>
      </c>
      <c r="AM1356" s="84" t="str">
        <f>HYPERLINK("https://t.co/ODCjlfyRkp")</f>
        <v>https://t.co/ODCjlfyRkp</v>
      </c>
      <c r="AN1356" s="81"/>
      <c r="AO1356" s="83">
        <v>44236.161365740743</v>
      </c>
      <c r="AP1356" s="84" t="str">
        <f>HYPERLINK("https://pbs.twimg.com/profile_banners/1358987032677265409/1632890963")</f>
        <v>https://pbs.twimg.com/profile_banners/1358987032677265409/1632890963</v>
      </c>
      <c r="AQ1356" s="81" t="b">
        <v>1</v>
      </c>
      <c r="AR1356" s="81" t="b">
        <v>0</v>
      </c>
      <c r="AS1356" s="81" t="b">
        <v>0</v>
      </c>
      <c r="AT1356" s="81"/>
      <c r="AU1356" s="81">
        <v>0</v>
      </c>
      <c r="AV1356" s="81"/>
      <c r="AW1356" s="81" t="b">
        <v>0</v>
      </c>
      <c r="AX1356" s="81" t="s">
        <v>3728</v>
      </c>
      <c r="AY1356" s="84" t="str">
        <f>HYPERLINK("https://twitter.com/vitoristo2")</f>
        <v>https://twitter.com/vitoristo2</v>
      </c>
      <c r="AZ1356" s="81" t="s">
        <v>65</v>
      </c>
    </row>
    <row r="1357" spans="1:52" x14ac:dyDescent="0.35">
      <c r="A1357" s="66" t="s">
        <v>594</v>
      </c>
      <c r="B1357" s="67"/>
      <c r="C1357" s="67"/>
      <c r="D1357" s="68"/>
      <c r="E1357" s="94"/>
      <c r="F1357" s="93" t="str">
        <f>HYPERLINK("https://pbs.twimg.com/profile_images/1439426635787169793/xfnYFplD_normal.jpg")</f>
        <v>https://pbs.twimg.com/profile_images/1439426635787169793/xfnYFplD_normal.jpg</v>
      </c>
      <c r="G1357" s="95"/>
      <c r="H1357" s="71"/>
      <c r="I1357" s="72"/>
      <c r="J1357" s="96"/>
      <c r="K1357" s="71" t="s">
        <v>4160</v>
      </c>
      <c r="L1357" s="97"/>
      <c r="M1357" s="76"/>
      <c r="N1357" s="76"/>
      <c r="O1357" s="77"/>
      <c r="P1357" s="78"/>
      <c r="Q1357" s="78"/>
      <c r="R1357" s="92"/>
      <c r="S1357" s="92"/>
      <c r="T1357" s="92"/>
      <c r="U1357" s="92"/>
      <c r="V1357" s="52"/>
      <c r="W1357" s="52"/>
      <c r="X1357" s="52"/>
      <c r="Y1357" s="52"/>
      <c r="Z1357" s="51"/>
      <c r="AA1357" s="73"/>
      <c r="AB1357" s="73"/>
      <c r="AC1357" s="74"/>
      <c r="AD1357" s="81" t="s">
        <v>2675</v>
      </c>
      <c r="AE1357" s="86" t="s">
        <v>3073</v>
      </c>
      <c r="AF1357" s="81">
        <v>540</v>
      </c>
      <c r="AG1357" s="81">
        <v>599</v>
      </c>
      <c r="AH1357" s="81">
        <v>15336</v>
      </c>
      <c r="AI1357" s="81">
        <v>3397</v>
      </c>
      <c r="AJ1357" s="81"/>
      <c r="AK1357" s="81" t="s">
        <v>3499</v>
      </c>
      <c r="AL1357" s="81" t="s">
        <v>2203</v>
      </c>
      <c r="AM1357" s="84" t="str">
        <f>HYPERLINK("https://t.co/i1dheIE3i2")</f>
        <v>https://t.co/i1dheIE3i2</v>
      </c>
      <c r="AN1357" s="81"/>
      <c r="AO1357" s="83">
        <v>41544.081423611111</v>
      </c>
      <c r="AP1357" s="84" t="str">
        <f>HYPERLINK("https://pbs.twimg.com/profile_banners/1909796108/1510064046")</f>
        <v>https://pbs.twimg.com/profile_banners/1909796108/1510064046</v>
      </c>
      <c r="AQ1357" s="81" t="b">
        <v>0</v>
      </c>
      <c r="AR1357" s="81" t="b">
        <v>0</v>
      </c>
      <c r="AS1357" s="81" t="b">
        <v>0</v>
      </c>
      <c r="AT1357" s="81"/>
      <c r="AU1357" s="81">
        <v>0</v>
      </c>
      <c r="AV1357" s="84" t="str">
        <f>HYPERLINK("https://abs.twimg.com/images/themes/theme1/bg.png")</f>
        <v>https://abs.twimg.com/images/themes/theme1/bg.png</v>
      </c>
      <c r="AW1357" s="81" t="b">
        <v>0</v>
      </c>
      <c r="AX1357" s="81" t="s">
        <v>3728</v>
      </c>
      <c r="AY1357" s="84" t="str">
        <f>HYPERLINK("https://twitter.com/je_ariff")</f>
        <v>https://twitter.com/je_ariff</v>
      </c>
      <c r="AZ1357" s="81" t="s">
        <v>66</v>
      </c>
    </row>
    <row r="1358" spans="1:52" x14ac:dyDescent="0.35">
      <c r="A1358" s="66" t="s">
        <v>597</v>
      </c>
      <c r="B1358" s="67"/>
      <c r="C1358" s="67"/>
      <c r="D1358" s="68"/>
      <c r="E1358" s="94"/>
      <c r="F1358" s="93" t="str">
        <f>HYPERLINK("https://pbs.twimg.com/profile_images/785419016797949952/En_z9898_normal.jpg")</f>
        <v>https://pbs.twimg.com/profile_images/785419016797949952/En_z9898_normal.jpg</v>
      </c>
      <c r="G1358" s="95"/>
      <c r="H1358" s="71"/>
      <c r="I1358" s="72"/>
      <c r="J1358" s="96"/>
      <c r="K1358" s="71" t="s">
        <v>4161</v>
      </c>
      <c r="L1358" s="97"/>
      <c r="M1358" s="76"/>
      <c r="N1358" s="76"/>
      <c r="O1358" s="77"/>
      <c r="P1358" s="78"/>
      <c r="Q1358" s="78"/>
      <c r="R1358" s="92"/>
      <c r="S1358" s="92"/>
      <c r="T1358" s="92"/>
      <c r="U1358" s="92"/>
      <c r="V1358" s="52"/>
      <c r="W1358" s="52"/>
      <c r="X1358" s="52"/>
      <c r="Y1358" s="52"/>
      <c r="Z1358" s="51"/>
      <c r="AA1358" s="73"/>
      <c r="AB1358" s="73"/>
      <c r="AC1358" s="74"/>
      <c r="AD1358" s="81" t="s">
        <v>2677</v>
      </c>
      <c r="AE1358" s="86" t="s">
        <v>3074</v>
      </c>
      <c r="AF1358" s="81">
        <v>140</v>
      </c>
      <c r="AG1358" s="81">
        <v>100</v>
      </c>
      <c r="AH1358" s="81">
        <v>3528</v>
      </c>
      <c r="AI1358" s="81">
        <v>782</v>
      </c>
      <c r="AJ1358" s="81"/>
      <c r="AK1358" s="81" t="s">
        <v>3501</v>
      </c>
      <c r="AL1358" s="81" t="s">
        <v>3511</v>
      </c>
      <c r="AM1358" s="81"/>
      <c r="AN1358" s="81"/>
      <c r="AO1358" s="83">
        <v>40638.27884259259</v>
      </c>
      <c r="AP1358" s="84" t="str">
        <f>HYPERLINK("https://pbs.twimg.com/profile_banners/277366959/1476093475")</f>
        <v>https://pbs.twimg.com/profile_banners/277366959/1476093475</v>
      </c>
      <c r="AQ1358" s="81" t="b">
        <v>1</v>
      </c>
      <c r="AR1358" s="81" t="b">
        <v>0</v>
      </c>
      <c r="AS1358" s="81" t="b">
        <v>0</v>
      </c>
      <c r="AT1358" s="81"/>
      <c r="AU1358" s="81">
        <v>1</v>
      </c>
      <c r="AV1358" s="84" t="str">
        <f>HYPERLINK("https://abs.twimg.com/images/themes/theme1/bg.png")</f>
        <v>https://abs.twimg.com/images/themes/theme1/bg.png</v>
      </c>
      <c r="AW1358" s="81" t="b">
        <v>0</v>
      </c>
      <c r="AX1358" s="81" t="s">
        <v>3728</v>
      </c>
      <c r="AY1358" s="84" t="str">
        <f>HYPERLINK("https://twitter.com/_gita05")</f>
        <v>https://twitter.com/_gita05</v>
      </c>
      <c r="AZ1358" s="81" t="s">
        <v>66</v>
      </c>
    </row>
    <row r="1359" spans="1:52" x14ac:dyDescent="0.35">
      <c r="A1359" s="66" t="s">
        <v>598</v>
      </c>
      <c r="B1359" s="67"/>
      <c r="C1359" s="67"/>
      <c r="D1359" s="68"/>
      <c r="E1359" s="94"/>
      <c r="F1359" s="93" t="str">
        <f>HYPERLINK("https://pbs.twimg.com/profile_images/1418986516622233602/vqTbWnjn_normal.jpg")</f>
        <v>https://pbs.twimg.com/profile_images/1418986516622233602/vqTbWnjn_normal.jpg</v>
      </c>
      <c r="G1359" s="95"/>
      <c r="H1359" s="71"/>
      <c r="I1359" s="72"/>
      <c r="J1359" s="96"/>
      <c r="K1359" s="71" t="s">
        <v>4162</v>
      </c>
      <c r="L1359" s="97"/>
      <c r="M1359" s="76"/>
      <c r="N1359" s="76"/>
      <c r="O1359" s="77"/>
      <c r="P1359" s="78"/>
      <c r="Q1359" s="78"/>
      <c r="R1359" s="92"/>
      <c r="S1359" s="92"/>
      <c r="T1359" s="92"/>
      <c r="U1359" s="92"/>
      <c r="V1359" s="52"/>
      <c r="W1359" s="52"/>
      <c r="X1359" s="52"/>
      <c r="Y1359" s="52"/>
      <c r="Z1359" s="51"/>
      <c r="AA1359" s="73"/>
      <c r="AB1359" s="73"/>
      <c r="AC1359" s="74"/>
      <c r="AD1359" s="81" t="s">
        <v>2678</v>
      </c>
      <c r="AE1359" s="86" t="s">
        <v>3075</v>
      </c>
      <c r="AF1359" s="81">
        <v>763</v>
      </c>
      <c r="AG1359" s="81">
        <v>296</v>
      </c>
      <c r="AH1359" s="81">
        <v>136</v>
      </c>
      <c r="AI1359" s="81">
        <v>54</v>
      </c>
      <c r="AJ1359" s="81"/>
      <c r="AK1359" s="81" t="s">
        <v>3502</v>
      </c>
      <c r="AL1359" s="81" t="s">
        <v>3517</v>
      </c>
      <c r="AM1359" s="84" t="str">
        <f>HYPERLINK("https://t.co/ZAAoENCIyh")</f>
        <v>https://t.co/ZAAoENCIyh</v>
      </c>
      <c r="AN1359" s="81"/>
      <c r="AO1359" s="83">
        <v>44401.723668981482</v>
      </c>
      <c r="AP1359" s="84" t="str">
        <f>HYPERLINK("https://pbs.twimg.com/profile_banners/1418984712891248642/1627314549")</f>
        <v>https://pbs.twimg.com/profile_banners/1418984712891248642/1627314549</v>
      </c>
      <c r="AQ1359" s="81" t="b">
        <v>1</v>
      </c>
      <c r="AR1359" s="81" t="b">
        <v>0</v>
      </c>
      <c r="AS1359" s="81" t="b">
        <v>0</v>
      </c>
      <c r="AT1359" s="81"/>
      <c r="AU1359" s="81">
        <v>0</v>
      </c>
      <c r="AV1359" s="81"/>
      <c r="AW1359" s="81" t="b">
        <v>0</v>
      </c>
      <c r="AX1359" s="81" t="s">
        <v>3728</v>
      </c>
      <c r="AY1359" s="84" t="str">
        <f>HYPERLINK("https://twitter.com/ummunaha")</f>
        <v>https://twitter.com/ummunaha</v>
      </c>
      <c r="AZ1359" s="81" t="s">
        <v>66</v>
      </c>
    </row>
    <row r="1360" spans="1:52" x14ac:dyDescent="0.35">
      <c r="A1360" s="66" t="s">
        <v>600</v>
      </c>
      <c r="B1360" s="67"/>
      <c r="C1360" s="67"/>
      <c r="D1360" s="68"/>
      <c r="E1360" s="94"/>
      <c r="F1360" s="93" t="str">
        <f>HYPERLINK("https://pbs.twimg.com/profile_images/1442886223953993738/Q1JKjKHJ_normal.jpg")</f>
        <v>https://pbs.twimg.com/profile_images/1442886223953993738/Q1JKjKHJ_normal.jpg</v>
      </c>
      <c r="G1360" s="95"/>
      <c r="H1360" s="71"/>
      <c r="I1360" s="72"/>
      <c r="J1360" s="96"/>
      <c r="K1360" s="71" t="s">
        <v>4163</v>
      </c>
      <c r="L1360" s="97"/>
      <c r="M1360" s="76"/>
      <c r="N1360" s="76"/>
      <c r="O1360" s="77"/>
      <c r="P1360" s="78"/>
      <c r="Q1360" s="78"/>
      <c r="R1360" s="92"/>
      <c r="S1360" s="92"/>
      <c r="T1360" s="92"/>
      <c r="U1360" s="92"/>
      <c r="V1360" s="52"/>
      <c r="W1360" s="52"/>
      <c r="X1360" s="52"/>
      <c r="Y1360" s="52"/>
      <c r="Z1360" s="51"/>
      <c r="AA1360" s="73"/>
      <c r="AB1360" s="73"/>
      <c r="AC1360" s="74"/>
      <c r="AD1360" s="81" t="s">
        <v>2679</v>
      </c>
      <c r="AE1360" s="86" t="s">
        <v>3076</v>
      </c>
      <c r="AF1360" s="81">
        <v>861</v>
      </c>
      <c r="AG1360" s="81">
        <v>617</v>
      </c>
      <c r="AH1360" s="81">
        <v>11924</v>
      </c>
      <c r="AI1360" s="81">
        <v>41367</v>
      </c>
      <c r="AJ1360" s="81"/>
      <c r="AK1360" s="81" t="s">
        <v>10793</v>
      </c>
      <c r="AL1360" s="81" t="s">
        <v>3727</v>
      </c>
      <c r="AM1360" s="84" t="str">
        <f>HYPERLINK("https://t.co/F8NNVTBgdV")</f>
        <v>https://t.co/F8NNVTBgdV</v>
      </c>
      <c r="AN1360" s="81"/>
      <c r="AO1360" s="83">
        <v>43699.269444444442</v>
      </c>
      <c r="AP1360" s="84" t="str">
        <f>HYPERLINK("https://pbs.twimg.com/profile_banners/1164423875511218176/1632845300")</f>
        <v>https://pbs.twimg.com/profile_banners/1164423875511218176/1632845300</v>
      </c>
      <c r="AQ1360" s="81" t="b">
        <v>1</v>
      </c>
      <c r="AR1360" s="81" t="b">
        <v>0</v>
      </c>
      <c r="AS1360" s="81" t="b">
        <v>1</v>
      </c>
      <c r="AT1360" s="81"/>
      <c r="AU1360" s="81">
        <v>1</v>
      </c>
      <c r="AV1360" s="81"/>
      <c r="AW1360" s="81" t="b">
        <v>0</v>
      </c>
      <c r="AX1360" s="81" t="s">
        <v>3728</v>
      </c>
      <c r="AY1360" s="84" t="str">
        <f>HYPERLINK("https://twitter.com/peuniels")</f>
        <v>https://twitter.com/peuniels</v>
      </c>
      <c r="AZ1360" s="81" t="s">
        <v>66</v>
      </c>
    </row>
    <row r="1361" spans="1:52" x14ac:dyDescent="0.35">
      <c r="A1361" s="66" t="s">
        <v>601</v>
      </c>
      <c r="B1361" s="67"/>
      <c r="C1361" s="67"/>
      <c r="D1361" s="68"/>
      <c r="E1361" s="94"/>
      <c r="F1361" s="93" t="str">
        <f>HYPERLINK("https://pbs.twimg.com/profile_images/817300824808226817/hWnZ2AFS_normal.jpg")</f>
        <v>https://pbs.twimg.com/profile_images/817300824808226817/hWnZ2AFS_normal.jpg</v>
      </c>
      <c r="G1361" s="95"/>
      <c r="H1361" s="71"/>
      <c r="I1361" s="72"/>
      <c r="J1361" s="96"/>
      <c r="K1361" s="71" t="s">
        <v>4164</v>
      </c>
      <c r="L1361" s="97"/>
      <c r="M1361" s="76"/>
      <c r="N1361" s="76"/>
      <c r="O1361" s="77"/>
      <c r="P1361" s="78"/>
      <c r="Q1361" s="78"/>
      <c r="R1361" s="92"/>
      <c r="S1361" s="92"/>
      <c r="T1361" s="92"/>
      <c r="U1361" s="92"/>
      <c r="V1361" s="52"/>
      <c r="W1361" s="52"/>
      <c r="X1361" s="52"/>
      <c r="Y1361" s="52"/>
      <c r="Z1361" s="51"/>
      <c r="AA1361" s="73"/>
      <c r="AB1361" s="73"/>
      <c r="AC1361" s="74"/>
      <c r="AD1361" s="81" t="s">
        <v>2680</v>
      </c>
      <c r="AE1361" s="86" t="s">
        <v>3077</v>
      </c>
      <c r="AF1361" s="81">
        <v>928</v>
      </c>
      <c r="AG1361" s="81">
        <v>1030</v>
      </c>
      <c r="AH1361" s="81">
        <v>27229</v>
      </c>
      <c r="AI1361" s="81">
        <v>1</v>
      </c>
      <c r="AJ1361" s="81"/>
      <c r="AK1361" s="81"/>
      <c r="AL1361" s="81"/>
      <c r="AM1361" s="81"/>
      <c r="AN1361" s="81"/>
      <c r="AO1361" s="83">
        <v>42144.327604166669</v>
      </c>
      <c r="AP1361" s="84" t="str">
        <f>HYPERLINK("https://pbs.twimg.com/profile_banners/3221202481/1483694841")</f>
        <v>https://pbs.twimg.com/profile_banners/3221202481/1483694841</v>
      </c>
      <c r="AQ1361" s="81" t="b">
        <v>1</v>
      </c>
      <c r="AR1361" s="81" t="b">
        <v>0</v>
      </c>
      <c r="AS1361" s="81" t="b">
        <v>0</v>
      </c>
      <c r="AT1361" s="81"/>
      <c r="AU1361" s="81">
        <v>2</v>
      </c>
      <c r="AV1361" s="84" t="str">
        <f>HYPERLINK("https://abs.twimg.com/images/themes/theme1/bg.png")</f>
        <v>https://abs.twimg.com/images/themes/theme1/bg.png</v>
      </c>
      <c r="AW1361" s="81" t="b">
        <v>0</v>
      </c>
      <c r="AX1361" s="81" t="s">
        <v>3728</v>
      </c>
      <c r="AY1361" s="84" t="str">
        <f>HYPERLINK("https://twitter.com/beritasulselcom")</f>
        <v>https://twitter.com/beritasulselcom</v>
      </c>
      <c r="AZ1361" s="81" t="s">
        <v>66</v>
      </c>
    </row>
    <row r="1362" spans="1:52" x14ac:dyDescent="0.35">
      <c r="A1362" s="66" t="s">
        <v>4864</v>
      </c>
      <c r="B1362" s="67"/>
      <c r="C1362" s="67"/>
      <c r="D1362" s="68"/>
      <c r="E1362" s="94"/>
      <c r="F1362" s="93" t="str">
        <f>HYPERLINK("https://pbs.twimg.com/profile_images/1413364393128206336/JNcr_mpK_normal.jpg")</f>
        <v>https://pbs.twimg.com/profile_images/1413364393128206336/JNcr_mpK_normal.jpg</v>
      </c>
      <c r="G1362" s="95"/>
      <c r="H1362" s="71"/>
      <c r="I1362" s="72"/>
      <c r="J1362" s="96"/>
      <c r="K1362" s="71" t="s">
        <v>12303</v>
      </c>
      <c r="L1362" s="97"/>
      <c r="M1362" s="76"/>
      <c r="N1362" s="76"/>
      <c r="O1362" s="77"/>
      <c r="P1362" s="78"/>
      <c r="Q1362" s="78"/>
      <c r="R1362" s="92"/>
      <c r="S1362" s="92"/>
      <c r="T1362" s="92"/>
      <c r="U1362" s="92"/>
      <c r="V1362" s="52"/>
      <c r="W1362" s="52"/>
      <c r="X1362" s="52"/>
      <c r="Y1362" s="52"/>
      <c r="Z1362" s="51"/>
      <c r="AA1362" s="73"/>
      <c r="AB1362" s="73"/>
      <c r="AC1362" s="74"/>
      <c r="AD1362" s="81" t="s">
        <v>8915</v>
      </c>
      <c r="AE1362" s="86" t="s">
        <v>9879</v>
      </c>
      <c r="AF1362" s="81">
        <v>1221</v>
      </c>
      <c r="AG1362" s="81">
        <v>730</v>
      </c>
      <c r="AH1362" s="81">
        <v>46380</v>
      </c>
      <c r="AI1362" s="81">
        <v>149526</v>
      </c>
      <c r="AJ1362" s="81"/>
      <c r="AK1362" s="81" t="s">
        <v>10794</v>
      </c>
      <c r="AL1362" s="81" t="s">
        <v>11319</v>
      </c>
      <c r="AM1362" s="81"/>
      <c r="AN1362" s="81"/>
      <c r="AO1362" s="83">
        <v>41907.011967592596</v>
      </c>
      <c r="AP1362" s="84" t="str">
        <f>HYPERLINK("https://pbs.twimg.com/profile_banners/2783180441/1564250524")</f>
        <v>https://pbs.twimg.com/profile_banners/2783180441/1564250524</v>
      </c>
      <c r="AQ1362" s="81" t="b">
        <v>1</v>
      </c>
      <c r="AR1362" s="81" t="b">
        <v>0</v>
      </c>
      <c r="AS1362" s="81" t="b">
        <v>0</v>
      </c>
      <c r="AT1362" s="81"/>
      <c r="AU1362" s="81">
        <v>1</v>
      </c>
      <c r="AV1362" s="84" t="str">
        <f>HYPERLINK("https://abs.twimg.com/images/themes/theme1/bg.png")</f>
        <v>https://abs.twimg.com/images/themes/theme1/bg.png</v>
      </c>
      <c r="AW1362" s="81" t="b">
        <v>0</v>
      </c>
      <c r="AX1362" s="81" t="s">
        <v>3728</v>
      </c>
      <c r="AY1362" s="84" t="str">
        <f>HYPERLINK("https://twitter.com/ana_paularochas")</f>
        <v>https://twitter.com/ana_paularochas</v>
      </c>
      <c r="AZ1362" s="81" t="s">
        <v>66</v>
      </c>
    </row>
    <row r="1363" spans="1:52" x14ac:dyDescent="0.35">
      <c r="A1363" s="66" t="s">
        <v>4865</v>
      </c>
      <c r="B1363" s="67"/>
      <c r="C1363" s="67"/>
      <c r="D1363" s="68"/>
      <c r="E1363" s="94"/>
      <c r="F1363" s="93" t="str">
        <f>HYPERLINK("https://pbs.twimg.com/profile_images/378800000573414419/4d6f78f2c939c9601f732ffcde242204_normal.png")</f>
        <v>https://pbs.twimg.com/profile_images/378800000573414419/4d6f78f2c939c9601f732ffcde242204_normal.png</v>
      </c>
      <c r="G1363" s="95"/>
      <c r="H1363" s="71"/>
      <c r="I1363" s="72"/>
      <c r="J1363" s="96"/>
      <c r="K1363" s="71" t="s">
        <v>12304</v>
      </c>
      <c r="L1363" s="97"/>
      <c r="M1363" s="76"/>
      <c r="N1363" s="76"/>
      <c r="O1363" s="77"/>
      <c r="P1363" s="78"/>
      <c r="Q1363" s="78"/>
      <c r="R1363" s="92"/>
      <c r="S1363" s="92"/>
      <c r="T1363" s="92"/>
      <c r="U1363" s="92"/>
      <c r="V1363" s="52"/>
      <c r="W1363" s="52"/>
      <c r="X1363" s="52"/>
      <c r="Y1363" s="52"/>
      <c r="Z1363" s="51"/>
      <c r="AA1363" s="73"/>
      <c r="AB1363" s="73"/>
      <c r="AC1363" s="74"/>
      <c r="AD1363" s="81" t="s">
        <v>4865</v>
      </c>
      <c r="AE1363" s="86" t="s">
        <v>9880</v>
      </c>
      <c r="AF1363" s="81">
        <v>1962</v>
      </c>
      <c r="AG1363" s="81">
        <v>4276</v>
      </c>
      <c r="AH1363" s="81">
        <v>262212</v>
      </c>
      <c r="AI1363" s="81">
        <v>20</v>
      </c>
      <c r="AJ1363" s="81"/>
      <c r="AK1363" s="81" t="s">
        <v>10795</v>
      </c>
      <c r="AL1363" s="81" t="s">
        <v>10990</v>
      </c>
      <c r="AM1363" s="84" t="str">
        <f>HYPERLINK("https://t.co/4je2cuJwfF")</f>
        <v>https://t.co/4je2cuJwfF</v>
      </c>
      <c r="AN1363" s="81"/>
      <c r="AO1363" s="83">
        <v>39774.792488425926</v>
      </c>
      <c r="AP1363" s="84" t="str">
        <f>HYPERLINK("https://pbs.twimg.com/profile_banners/17561203/1624800474")</f>
        <v>https://pbs.twimg.com/profile_banners/17561203/1624800474</v>
      </c>
      <c r="AQ1363" s="81" t="b">
        <v>0</v>
      </c>
      <c r="AR1363" s="81" t="b">
        <v>0</v>
      </c>
      <c r="AS1363" s="81" t="b">
        <v>0</v>
      </c>
      <c r="AT1363" s="81"/>
      <c r="AU1363" s="81">
        <v>69</v>
      </c>
      <c r="AV1363" s="84" t="str">
        <f>HYPERLINK("https://abs.twimg.com/images/themes/theme1/bg.png")</f>
        <v>https://abs.twimg.com/images/themes/theme1/bg.png</v>
      </c>
      <c r="AW1363" s="81" t="b">
        <v>0</v>
      </c>
      <c r="AX1363" s="81" t="s">
        <v>3728</v>
      </c>
      <c r="AY1363" s="84" t="str">
        <f>HYPERLINK("https://twitter.com/futebol365")</f>
        <v>https://twitter.com/futebol365</v>
      </c>
      <c r="AZ1363" s="81" t="s">
        <v>66</v>
      </c>
    </row>
    <row r="1364" spans="1:52" x14ac:dyDescent="0.35">
      <c r="A1364" s="66" t="s">
        <v>4866</v>
      </c>
      <c r="B1364" s="67"/>
      <c r="C1364" s="67"/>
      <c r="D1364" s="68"/>
      <c r="E1364" s="94"/>
      <c r="F1364" s="93" t="str">
        <f>HYPERLINK("https://pbs.twimg.com/profile_images/1442368856064856064/dTuPHlqv_normal.jpg")</f>
        <v>https://pbs.twimg.com/profile_images/1442368856064856064/dTuPHlqv_normal.jpg</v>
      </c>
      <c r="G1364" s="95"/>
      <c r="H1364" s="71"/>
      <c r="I1364" s="72"/>
      <c r="J1364" s="96"/>
      <c r="K1364" s="71" t="s">
        <v>12305</v>
      </c>
      <c r="L1364" s="97"/>
      <c r="M1364" s="76"/>
      <c r="N1364" s="76"/>
      <c r="O1364" s="77"/>
      <c r="P1364" s="78"/>
      <c r="Q1364" s="78"/>
      <c r="R1364" s="92"/>
      <c r="S1364" s="92"/>
      <c r="T1364" s="92"/>
      <c r="U1364" s="92"/>
      <c r="V1364" s="52"/>
      <c r="W1364" s="52"/>
      <c r="X1364" s="52"/>
      <c r="Y1364" s="52"/>
      <c r="Z1364" s="51"/>
      <c r="AA1364" s="73"/>
      <c r="AB1364" s="73"/>
      <c r="AC1364" s="74"/>
      <c r="AD1364" s="81" t="s">
        <v>8916</v>
      </c>
      <c r="AE1364" s="86" t="s">
        <v>9881</v>
      </c>
      <c r="AF1364" s="81">
        <v>630</v>
      </c>
      <c r="AG1364" s="81">
        <v>931</v>
      </c>
      <c r="AH1364" s="81">
        <v>49665</v>
      </c>
      <c r="AI1364" s="81">
        <v>19242</v>
      </c>
      <c r="AJ1364" s="81"/>
      <c r="AK1364" s="81" t="s">
        <v>10796</v>
      </c>
      <c r="AL1364" s="81"/>
      <c r="AM1364" s="84" t="str">
        <f>HYPERLINK("https://t.co/t2VZL11jvT")</f>
        <v>https://t.co/t2VZL11jvT</v>
      </c>
      <c r="AN1364" s="81"/>
      <c r="AO1364" s="83">
        <v>40511.065497685187</v>
      </c>
      <c r="AP1364" s="84" t="str">
        <f>HYPERLINK("https://pbs.twimg.com/profile_banners/220858759/1631714194")</f>
        <v>https://pbs.twimg.com/profile_banners/220858759/1631714194</v>
      </c>
      <c r="AQ1364" s="81" t="b">
        <v>1</v>
      </c>
      <c r="AR1364" s="81" t="b">
        <v>0</v>
      </c>
      <c r="AS1364" s="81" t="b">
        <v>1</v>
      </c>
      <c r="AT1364" s="81"/>
      <c r="AU1364" s="81">
        <v>4</v>
      </c>
      <c r="AV1364" s="84" t="str">
        <f>HYPERLINK("https://abs.twimg.com/images/themes/theme1/bg.png")</f>
        <v>https://abs.twimg.com/images/themes/theme1/bg.png</v>
      </c>
      <c r="AW1364" s="81" t="b">
        <v>0</v>
      </c>
      <c r="AX1364" s="81" t="s">
        <v>3728</v>
      </c>
      <c r="AY1364" s="84" t="str">
        <f>HYPERLINK("https://twitter.com/nxyraa")</f>
        <v>https://twitter.com/nxyraa</v>
      </c>
      <c r="AZ1364" s="81" t="s">
        <v>66</v>
      </c>
    </row>
    <row r="1365" spans="1:52" x14ac:dyDescent="0.35">
      <c r="A1365" s="66" t="s">
        <v>4867</v>
      </c>
      <c r="B1365" s="67"/>
      <c r="C1365" s="67"/>
      <c r="D1365" s="68"/>
      <c r="E1365" s="94"/>
      <c r="F1365" s="93" t="str">
        <f>HYPERLINK("https://pbs.twimg.com/profile_images/1441098291987435529/mMqHTKlg_normal.jpg")</f>
        <v>https://pbs.twimg.com/profile_images/1441098291987435529/mMqHTKlg_normal.jpg</v>
      </c>
      <c r="G1365" s="95"/>
      <c r="H1365" s="71"/>
      <c r="I1365" s="72"/>
      <c r="J1365" s="96"/>
      <c r="K1365" s="71" t="s">
        <v>12306</v>
      </c>
      <c r="L1365" s="97"/>
      <c r="M1365" s="76"/>
      <c r="N1365" s="76"/>
      <c r="O1365" s="77"/>
      <c r="P1365" s="78"/>
      <c r="Q1365" s="78"/>
      <c r="R1365" s="92"/>
      <c r="S1365" s="92"/>
      <c r="T1365" s="92"/>
      <c r="U1365" s="92"/>
      <c r="V1365" s="52"/>
      <c r="W1365" s="52"/>
      <c r="X1365" s="52"/>
      <c r="Y1365" s="52"/>
      <c r="Z1365" s="51"/>
      <c r="AA1365" s="73"/>
      <c r="AB1365" s="73"/>
      <c r="AC1365" s="74"/>
      <c r="AD1365" s="81" t="s">
        <v>8917</v>
      </c>
      <c r="AE1365" s="86" t="s">
        <v>9882</v>
      </c>
      <c r="AF1365" s="81">
        <v>357</v>
      </c>
      <c r="AG1365" s="81">
        <v>81</v>
      </c>
      <c r="AH1365" s="81">
        <v>5509</v>
      </c>
      <c r="AI1365" s="81">
        <v>6803</v>
      </c>
      <c r="AJ1365" s="81"/>
      <c r="AK1365" s="81" t="s">
        <v>10797</v>
      </c>
      <c r="AL1365" s="81"/>
      <c r="AM1365" s="84" t="str">
        <f>HYPERLINK("https://t.co/NbD1tcJr1x")</f>
        <v>https://t.co/NbD1tcJr1x</v>
      </c>
      <c r="AN1365" s="81"/>
      <c r="AO1365" s="83">
        <v>44157.413668981484</v>
      </c>
      <c r="AP1365" s="84" t="str">
        <f>HYPERLINK("https://pbs.twimg.com/profile_banners/1330449759757275144/1610983893")</f>
        <v>https://pbs.twimg.com/profile_banners/1330449759757275144/1610983893</v>
      </c>
      <c r="AQ1365" s="81" t="b">
        <v>1</v>
      </c>
      <c r="AR1365" s="81" t="b">
        <v>0</v>
      </c>
      <c r="AS1365" s="81" t="b">
        <v>0</v>
      </c>
      <c r="AT1365" s="81"/>
      <c r="AU1365" s="81">
        <v>0</v>
      </c>
      <c r="AV1365" s="81"/>
      <c r="AW1365" s="81" t="b">
        <v>0</v>
      </c>
      <c r="AX1365" s="81" t="s">
        <v>3728</v>
      </c>
      <c r="AY1365" s="84" t="str">
        <f>HYPERLINK("https://twitter.com/jwjb_7")</f>
        <v>https://twitter.com/jwjb_7</v>
      </c>
      <c r="AZ1365" s="81" t="s">
        <v>66</v>
      </c>
    </row>
    <row r="1366" spans="1:52" x14ac:dyDescent="0.35">
      <c r="A1366" s="66" t="s">
        <v>589</v>
      </c>
      <c r="B1366" s="67"/>
      <c r="C1366" s="67"/>
      <c r="D1366" s="68"/>
      <c r="E1366" s="94"/>
      <c r="F1366" s="93" t="str">
        <f>HYPERLINK("https://pbs.twimg.com/profile_images/1415147796798136322/Di8Oli06_normal.jpg")</f>
        <v>https://pbs.twimg.com/profile_images/1415147796798136322/Di8Oli06_normal.jpg</v>
      </c>
      <c r="G1366" s="95"/>
      <c r="H1366" s="71"/>
      <c r="I1366" s="72"/>
      <c r="J1366" s="96"/>
      <c r="K1366" s="71" t="s">
        <v>14278</v>
      </c>
      <c r="L1366" s="97"/>
      <c r="M1366" s="76"/>
      <c r="N1366" s="76"/>
      <c r="O1366" s="77"/>
      <c r="P1366" s="78"/>
      <c r="Q1366" s="78"/>
      <c r="R1366" s="92"/>
      <c r="S1366" s="92"/>
      <c r="T1366" s="92"/>
      <c r="U1366" s="92"/>
      <c r="V1366" s="52"/>
      <c r="W1366" s="52"/>
      <c r="X1366" s="52"/>
      <c r="Y1366" s="52"/>
      <c r="Z1366" s="51"/>
      <c r="AA1366" s="73"/>
      <c r="AB1366" s="73"/>
      <c r="AC1366" s="74"/>
      <c r="AD1366" s="81" t="s">
        <v>2671</v>
      </c>
      <c r="AE1366" s="86" t="s">
        <v>2165</v>
      </c>
      <c r="AF1366" s="81">
        <v>466</v>
      </c>
      <c r="AG1366" s="81">
        <v>348</v>
      </c>
      <c r="AH1366" s="81">
        <v>5674</v>
      </c>
      <c r="AI1366" s="81">
        <v>9291</v>
      </c>
      <c r="AJ1366" s="81"/>
      <c r="AK1366" s="81" t="s">
        <v>13949</v>
      </c>
      <c r="AL1366" s="81"/>
      <c r="AM1366" s="81"/>
      <c r="AN1366" s="81"/>
      <c r="AO1366" s="83">
        <v>44004.210844907408</v>
      </c>
      <c r="AP1366" s="84" t="str">
        <f>HYPERLINK("https://pbs.twimg.com/profile_banners/1274930949340315648/1626232820")</f>
        <v>https://pbs.twimg.com/profile_banners/1274930949340315648/1626232820</v>
      </c>
      <c r="AQ1366" s="81" t="b">
        <v>1</v>
      </c>
      <c r="AR1366" s="81" t="b">
        <v>0</v>
      </c>
      <c r="AS1366" s="81" t="b">
        <v>0</v>
      </c>
      <c r="AT1366" s="81"/>
      <c r="AU1366" s="81">
        <v>2</v>
      </c>
      <c r="AV1366" s="81"/>
      <c r="AW1366" s="81" t="b">
        <v>0</v>
      </c>
      <c r="AX1366" s="81" t="s">
        <v>3728</v>
      </c>
      <c r="AY1366" s="84" t="str">
        <f>HYPERLINK("https://twitter.com/bbamwin")</f>
        <v>https://twitter.com/bbamwin</v>
      </c>
      <c r="AZ1366" s="81" t="s">
        <v>66</v>
      </c>
    </row>
    <row r="1367" spans="1:52" x14ac:dyDescent="0.35">
      <c r="A1367" s="66" t="s">
        <v>4868</v>
      </c>
      <c r="B1367" s="67"/>
      <c r="C1367" s="67"/>
      <c r="D1367" s="68"/>
      <c r="E1367" s="94"/>
      <c r="F1367" s="93" t="str">
        <f>HYPERLINK("https://pbs.twimg.com/profile_images/1022170576717209600/xEYsZ-OC_normal.jpg")</f>
        <v>https://pbs.twimg.com/profile_images/1022170576717209600/xEYsZ-OC_normal.jpg</v>
      </c>
      <c r="G1367" s="95"/>
      <c r="H1367" s="71"/>
      <c r="I1367" s="72"/>
      <c r="J1367" s="96"/>
      <c r="K1367" s="71" t="s">
        <v>12307</v>
      </c>
      <c r="L1367" s="97"/>
      <c r="M1367" s="76"/>
      <c r="N1367" s="76"/>
      <c r="O1367" s="77"/>
      <c r="P1367" s="78"/>
      <c r="Q1367" s="78"/>
      <c r="R1367" s="92"/>
      <c r="S1367" s="92"/>
      <c r="T1367" s="92"/>
      <c r="U1367" s="92"/>
      <c r="V1367" s="52"/>
      <c r="W1367" s="52"/>
      <c r="X1367" s="52"/>
      <c r="Y1367" s="52"/>
      <c r="Z1367" s="51"/>
      <c r="AA1367" s="73"/>
      <c r="AB1367" s="73"/>
      <c r="AC1367" s="74"/>
      <c r="AD1367" s="81" t="s">
        <v>8918</v>
      </c>
      <c r="AE1367" s="86" t="s">
        <v>7924</v>
      </c>
      <c r="AF1367" s="81">
        <v>462</v>
      </c>
      <c r="AG1367" s="81">
        <v>184</v>
      </c>
      <c r="AH1367" s="81">
        <v>1169</v>
      </c>
      <c r="AI1367" s="81">
        <v>9084</v>
      </c>
      <c r="AJ1367" s="81"/>
      <c r="AK1367" s="81" t="s">
        <v>10798</v>
      </c>
      <c r="AL1367" s="81" t="s">
        <v>11320</v>
      </c>
      <c r="AM1367" s="81"/>
      <c r="AN1367" s="81"/>
      <c r="AO1367" s="83">
        <v>41849.843217592592</v>
      </c>
      <c r="AP1367" s="84" t="str">
        <f>HYPERLINK("https://pbs.twimg.com/profile_banners/2690989873/1532539482")</f>
        <v>https://pbs.twimg.com/profile_banners/2690989873/1532539482</v>
      </c>
      <c r="AQ1367" s="81" t="b">
        <v>1</v>
      </c>
      <c r="AR1367" s="81" t="b">
        <v>0</v>
      </c>
      <c r="AS1367" s="81" t="b">
        <v>0</v>
      </c>
      <c r="AT1367" s="81"/>
      <c r="AU1367" s="81">
        <v>0</v>
      </c>
      <c r="AV1367" s="84" t="str">
        <f>HYPERLINK("https://abs.twimg.com/images/themes/theme1/bg.png")</f>
        <v>https://abs.twimg.com/images/themes/theme1/bg.png</v>
      </c>
      <c r="AW1367" s="81" t="b">
        <v>0</v>
      </c>
      <c r="AX1367" s="81" t="s">
        <v>3728</v>
      </c>
      <c r="AY1367" s="84" t="str">
        <f>HYPERLINK("https://twitter.com/nolenscuba")</f>
        <v>https://twitter.com/nolenscuba</v>
      </c>
      <c r="AZ1367" s="81" t="s">
        <v>66</v>
      </c>
    </row>
    <row r="1368" spans="1:52" x14ac:dyDescent="0.35">
      <c r="A1368" s="66" t="s">
        <v>5183</v>
      </c>
      <c r="B1368" s="67"/>
      <c r="C1368" s="67"/>
      <c r="D1368" s="68"/>
      <c r="E1368" s="94"/>
      <c r="F1368" s="93" t="str">
        <f>HYPERLINK("https://pbs.twimg.com/profile_images/1237587309962256385/vH-GYazd_normal.jpg")</f>
        <v>https://pbs.twimg.com/profile_images/1237587309962256385/vH-GYazd_normal.jpg</v>
      </c>
      <c r="G1368" s="95"/>
      <c r="H1368" s="71"/>
      <c r="I1368" s="72"/>
      <c r="J1368" s="96"/>
      <c r="K1368" s="71" t="s">
        <v>12308</v>
      </c>
      <c r="L1368" s="97"/>
      <c r="M1368" s="76"/>
      <c r="N1368" s="76"/>
      <c r="O1368" s="77"/>
      <c r="P1368" s="78"/>
      <c r="Q1368" s="78"/>
      <c r="R1368" s="92"/>
      <c r="S1368" s="92"/>
      <c r="T1368" s="92"/>
      <c r="U1368" s="92"/>
      <c r="V1368" s="52"/>
      <c r="W1368" s="52"/>
      <c r="X1368" s="52"/>
      <c r="Y1368" s="52"/>
      <c r="Z1368" s="51"/>
      <c r="AA1368" s="73"/>
      <c r="AB1368" s="73"/>
      <c r="AC1368" s="74"/>
      <c r="AD1368" s="81" t="s">
        <v>8919</v>
      </c>
      <c r="AE1368" s="86" t="s">
        <v>9883</v>
      </c>
      <c r="AF1368" s="81">
        <v>355</v>
      </c>
      <c r="AG1368" s="81">
        <v>569</v>
      </c>
      <c r="AH1368" s="81">
        <v>22201</v>
      </c>
      <c r="AI1368" s="81">
        <v>210970</v>
      </c>
      <c r="AJ1368" s="81"/>
      <c r="AK1368" s="81" t="s">
        <v>10799</v>
      </c>
      <c r="AL1368" s="81"/>
      <c r="AM1368" s="81"/>
      <c r="AN1368" s="81"/>
      <c r="AO1368" s="83">
        <v>42712.099305555559</v>
      </c>
      <c r="AP1368" s="84" t="str">
        <f>HYPERLINK("https://pbs.twimg.com/profile_banners/806685479315849221/1575700649")</f>
        <v>https://pbs.twimg.com/profile_banners/806685479315849221/1575700649</v>
      </c>
      <c r="AQ1368" s="81" t="b">
        <v>0</v>
      </c>
      <c r="AR1368" s="81" t="b">
        <v>0</v>
      </c>
      <c r="AS1368" s="81" t="b">
        <v>0</v>
      </c>
      <c r="AT1368" s="81"/>
      <c r="AU1368" s="81">
        <v>3</v>
      </c>
      <c r="AV1368" s="84" t="str">
        <f>HYPERLINK("https://abs.twimg.com/images/themes/theme1/bg.png")</f>
        <v>https://abs.twimg.com/images/themes/theme1/bg.png</v>
      </c>
      <c r="AW1368" s="81" t="b">
        <v>0</v>
      </c>
      <c r="AX1368" s="81" t="s">
        <v>3728</v>
      </c>
      <c r="AY1368" s="84" t="str">
        <f>HYPERLINK("https://twitter.com/sallymaelstrom")</f>
        <v>https://twitter.com/sallymaelstrom</v>
      </c>
      <c r="AZ1368" s="81" t="s">
        <v>65</v>
      </c>
    </row>
    <row r="1369" spans="1:52" x14ac:dyDescent="0.35">
      <c r="A1369" s="66" t="s">
        <v>4869</v>
      </c>
      <c r="B1369" s="67"/>
      <c r="C1369" s="67"/>
      <c r="D1369" s="68"/>
      <c r="E1369" s="94"/>
      <c r="F1369" s="93" t="str">
        <f>HYPERLINK("https://pbs.twimg.com/profile_images/1314844114974777344/JX5Z22xt_normal.png")</f>
        <v>https://pbs.twimg.com/profile_images/1314844114974777344/JX5Z22xt_normal.png</v>
      </c>
      <c r="G1369" s="95"/>
      <c r="H1369" s="71"/>
      <c r="I1369" s="72"/>
      <c r="J1369" s="96"/>
      <c r="K1369" s="71" t="s">
        <v>12309</v>
      </c>
      <c r="L1369" s="97"/>
      <c r="M1369" s="76"/>
      <c r="N1369" s="76"/>
      <c r="O1369" s="77"/>
      <c r="P1369" s="78"/>
      <c r="Q1369" s="78"/>
      <c r="R1369" s="92"/>
      <c r="S1369" s="92"/>
      <c r="T1369" s="92"/>
      <c r="U1369" s="92"/>
      <c r="V1369" s="52"/>
      <c r="W1369" s="52"/>
      <c r="X1369" s="52"/>
      <c r="Y1369" s="52"/>
      <c r="Z1369" s="51"/>
      <c r="AA1369" s="73"/>
      <c r="AB1369" s="73"/>
      <c r="AC1369" s="74"/>
      <c r="AD1369" s="81" t="s">
        <v>8920</v>
      </c>
      <c r="AE1369" s="86" t="s">
        <v>9884</v>
      </c>
      <c r="AF1369" s="81">
        <v>4832</v>
      </c>
      <c r="AG1369" s="81">
        <v>72970</v>
      </c>
      <c r="AH1369" s="81">
        <v>75649</v>
      </c>
      <c r="AI1369" s="81">
        <v>1</v>
      </c>
      <c r="AJ1369" s="81"/>
      <c r="AK1369" s="81" t="s">
        <v>10800</v>
      </c>
      <c r="AL1369" s="81" t="s">
        <v>11321</v>
      </c>
      <c r="AM1369" s="84" t="str">
        <f>HYPERLINK("https://t.co/c64laCJ5nF")</f>
        <v>https://t.co/c64laCJ5nF</v>
      </c>
      <c r="AN1369" s="81"/>
      <c r="AO1369" s="83">
        <v>44114.340763888889</v>
      </c>
      <c r="AP1369" s="84" t="str">
        <f>HYPERLINK("https://pbs.twimg.com/profile_banners/1314840619378896896/1602318844")</f>
        <v>https://pbs.twimg.com/profile_banners/1314840619378896896/1602318844</v>
      </c>
      <c r="AQ1369" s="81" t="b">
        <v>1</v>
      </c>
      <c r="AR1369" s="81" t="b">
        <v>0</v>
      </c>
      <c r="AS1369" s="81" t="b">
        <v>0</v>
      </c>
      <c r="AT1369" s="81"/>
      <c r="AU1369" s="81">
        <v>401</v>
      </c>
      <c r="AV1369" s="81"/>
      <c r="AW1369" s="81" t="b">
        <v>0</v>
      </c>
      <c r="AX1369" s="81" t="s">
        <v>3728</v>
      </c>
      <c r="AY1369" s="84" t="str">
        <f>HYPERLINK("https://twitter.com/karirfess")</f>
        <v>https://twitter.com/karirfess</v>
      </c>
      <c r="AZ1369" s="81" t="s">
        <v>66</v>
      </c>
    </row>
    <row r="1370" spans="1:52" x14ac:dyDescent="0.35">
      <c r="A1370" s="66" t="s">
        <v>4871</v>
      </c>
      <c r="B1370" s="67"/>
      <c r="C1370" s="67"/>
      <c r="D1370" s="68"/>
      <c r="E1370" s="94"/>
      <c r="F1370" s="93" t="str">
        <f>HYPERLINK("https://pbs.twimg.com/profile_images/1422273259924557825/RPbgVFfg_normal.jpg")</f>
        <v>https://pbs.twimg.com/profile_images/1422273259924557825/RPbgVFfg_normal.jpg</v>
      </c>
      <c r="G1370" s="95"/>
      <c r="H1370" s="71"/>
      <c r="I1370" s="72"/>
      <c r="J1370" s="96"/>
      <c r="K1370" s="71" t="s">
        <v>12310</v>
      </c>
      <c r="L1370" s="97"/>
      <c r="M1370" s="76"/>
      <c r="N1370" s="76"/>
      <c r="O1370" s="77"/>
      <c r="P1370" s="78"/>
      <c r="Q1370" s="78"/>
      <c r="R1370" s="92"/>
      <c r="S1370" s="92"/>
      <c r="T1370" s="92"/>
      <c r="U1370" s="92"/>
      <c r="V1370" s="52"/>
      <c r="W1370" s="52"/>
      <c r="X1370" s="52"/>
      <c r="Y1370" s="52"/>
      <c r="Z1370" s="51"/>
      <c r="AA1370" s="73"/>
      <c r="AB1370" s="73"/>
      <c r="AC1370" s="74"/>
      <c r="AD1370" s="81" t="s">
        <v>8921</v>
      </c>
      <c r="AE1370" s="86" t="s">
        <v>9885</v>
      </c>
      <c r="AF1370" s="81">
        <v>386</v>
      </c>
      <c r="AG1370" s="81">
        <v>30</v>
      </c>
      <c r="AH1370" s="81">
        <v>9012</v>
      </c>
      <c r="AI1370" s="81">
        <v>24368</v>
      </c>
      <c r="AJ1370" s="81"/>
      <c r="AK1370" s="81" t="s">
        <v>10801</v>
      </c>
      <c r="AL1370" s="81"/>
      <c r="AM1370" s="81"/>
      <c r="AN1370" s="81"/>
      <c r="AO1370" s="83">
        <v>43521.83090277778</v>
      </c>
      <c r="AP1370" s="81"/>
      <c r="AQ1370" s="81" t="b">
        <v>1</v>
      </c>
      <c r="AR1370" s="81" t="b">
        <v>0</v>
      </c>
      <c r="AS1370" s="81" t="b">
        <v>0</v>
      </c>
      <c r="AT1370" s="81"/>
      <c r="AU1370" s="81">
        <v>0</v>
      </c>
      <c r="AV1370" s="81"/>
      <c r="AW1370" s="81" t="b">
        <v>0</v>
      </c>
      <c r="AX1370" s="81" t="s">
        <v>3728</v>
      </c>
      <c r="AY1370" s="84" t="str">
        <f>HYPERLINK("https://twitter.com/umcara786")</f>
        <v>https://twitter.com/umcara786</v>
      </c>
      <c r="AZ1370" s="81" t="s">
        <v>66</v>
      </c>
    </row>
    <row r="1371" spans="1:52" x14ac:dyDescent="0.35">
      <c r="A1371" s="66" t="s">
        <v>5184</v>
      </c>
      <c r="B1371" s="67"/>
      <c r="C1371" s="67"/>
      <c r="D1371" s="68"/>
      <c r="E1371" s="94"/>
      <c r="F1371" s="93" t="str">
        <f>HYPERLINK("https://pbs.twimg.com/profile_images/1272918758210908161/3fgN_Gp0_normal.jpg")</f>
        <v>https://pbs.twimg.com/profile_images/1272918758210908161/3fgN_Gp0_normal.jpg</v>
      </c>
      <c r="G1371" s="95"/>
      <c r="H1371" s="71"/>
      <c r="I1371" s="72"/>
      <c r="J1371" s="96"/>
      <c r="K1371" s="71" t="s">
        <v>12311</v>
      </c>
      <c r="L1371" s="97"/>
      <c r="M1371" s="76"/>
      <c r="N1371" s="76"/>
      <c r="O1371" s="77"/>
      <c r="P1371" s="78"/>
      <c r="Q1371" s="78"/>
      <c r="R1371" s="92"/>
      <c r="S1371" s="92"/>
      <c r="T1371" s="92"/>
      <c r="U1371" s="92"/>
      <c r="V1371" s="52"/>
      <c r="W1371" s="52"/>
      <c r="X1371" s="52"/>
      <c r="Y1371" s="52"/>
      <c r="Z1371" s="51"/>
      <c r="AA1371" s="73"/>
      <c r="AB1371" s="73"/>
      <c r="AC1371" s="74"/>
      <c r="AD1371" s="81" t="s">
        <v>8922</v>
      </c>
      <c r="AE1371" s="86" t="s">
        <v>7925</v>
      </c>
      <c r="AF1371" s="81">
        <v>219</v>
      </c>
      <c r="AG1371" s="81">
        <v>2849</v>
      </c>
      <c r="AH1371" s="81">
        <v>607</v>
      </c>
      <c r="AI1371" s="81">
        <v>4395</v>
      </c>
      <c r="AJ1371" s="81"/>
      <c r="AK1371" s="81" t="s">
        <v>10802</v>
      </c>
      <c r="AL1371" s="81"/>
      <c r="AM1371" s="84" t="str">
        <f>HYPERLINK("https://t.co/JvfvyomUGD")</f>
        <v>https://t.co/JvfvyomUGD</v>
      </c>
      <c r="AN1371" s="81"/>
      <c r="AO1371" s="83">
        <v>43375.897534722222</v>
      </c>
      <c r="AP1371" s="81"/>
      <c r="AQ1371" s="81" t="b">
        <v>1</v>
      </c>
      <c r="AR1371" s="81" t="b">
        <v>0</v>
      </c>
      <c r="AS1371" s="81" t="b">
        <v>0</v>
      </c>
      <c r="AT1371" s="81"/>
      <c r="AU1371" s="81">
        <v>33</v>
      </c>
      <c r="AV1371" s="81"/>
      <c r="AW1371" s="81" t="b">
        <v>0</v>
      </c>
      <c r="AX1371" s="81" t="s">
        <v>3728</v>
      </c>
      <c r="AY1371" s="84" t="str">
        <f>HYPERLINK("https://twitter.com/pcgferreira")</f>
        <v>https://twitter.com/pcgferreira</v>
      </c>
      <c r="AZ1371" s="81" t="s">
        <v>65</v>
      </c>
    </row>
    <row r="1372" spans="1:52" x14ac:dyDescent="0.35">
      <c r="A1372" s="66" t="s">
        <v>4872</v>
      </c>
      <c r="B1372" s="67"/>
      <c r="C1372" s="67"/>
      <c r="D1372" s="68"/>
      <c r="E1372" s="94"/>
      <c r="F1372" s="93" t="str">
        <f>HYPERLINK("https://pbs.twimg.com/profile_images/1338178564076683265/bIxmyQ6N_normal.jpg")</f>
        <v>https://pbs.twimg.com/profile_images/1338178564076683265/bIxmyQ6N_normal.jpg</v>
      </c>
      <c r="G1372" s="95"/>
      <c r="H1372" s="71"/>
      <c r="I1372" s="72"/>
      <c r="J1372" s="96"/>
      <c r="K1372" s="71" t="s">
        <v>12312</v>
      </c>
      <c r="L1372" s="97"/>
      <c r="M1372" s="76"/>
      <c r="N1372" s="76"/>
      <c r="O1372" s="77"/>
      <c r="P1372" s="78"/>
      <c r="Q1372" s="78"/>
      <c r="R1372" s="92"/>
      <c r="S1372" s="92"/>
      <c r="T1372" s="92"/>
      <c r="U1372" s="92"/>
      <c r="V1372" s="52"/>
      <c r="W1372" s="52"/>
      <c r="X1372" s="52"/>
      <c r="Y1372" s="52"/>
      <c r="Z1372" s="51"/>
      <c r="AA1372" s="73"/>
      <c r="AB1372" s="73"/>
      <c r="AC1372" s="74"/>
      <c r="AD1372" s="81" t="s">
        <v>8923</v>
      </c>
      <c r="AE1372" s="86" t="s">
        <v>9886</v>
      </c>
      <c r="AF1372" s="81">
        <v>0</v>
      </c>
      <c r="AG1372" s="81">
        <v>70</v>
      </c>
      <c r="AH1372" s="81">
        <v>1468</v>
      </c>
      <c r="AI1372" s="81">
        <v>0</v>
      </c>
      <c r="AJ1372" s="81"/>
      <c r="AK1372" s="81" t="s">
        <v>8923</v>
      </c>
      <c r="AL1372" s="81" t="s">
        <v>11322</v>
      </c>
      <c r="AM1372" s="84" t="str">
        <f>HYPERLINK("https://t.co/UW9Q3weer5")</f>
        <v>https://t.co/UW9Q3weer5</v>
      </c>
      <c r="AN1372" s="81"/>
      <c r="AO1372" s="83">
        <v>41075.736701388887</v>
      </c>
      <c r="AP1372" s="81"/>
      <c r="AQ1372" s="81" t="b">
        <v>0</v>
      </c>
      <c r="AR1372" s="81" t="b">
        <v>0</v>
      </c>
      <c r="AS1372" s="81" t="b">
        <v>0</v>
      </c>
      <c r="AT1372" s="81"/>
      <c r="AU1372" s="81">
        <v>0</v>
      </c>
      <c r="AV1372" s="84" t="str">
        <f>HYPERLINK("https://abs.twimg.com/images/themes/theme14/bg.gif")</f>
        <v>https://abs.twimg.com/images/themes/theme14/bg.gif</v>
      </c>
      <c r="AW1372" s="81" t="b">
        <v>0</v>
      </c>
      <c r="AX1372" s="81" t="s">
        <v>3728</v>
      </c>
      <c r="AY1372" s="84" t="str">
        <f>HYPERLINK("https://twitter.com/lokerpku1")</f>
        <v>https://twitter.com/lokerpku1</v>
      </c>
      <c r="AZ1372" s="81" t="s">
        <v>66</v>
      </c>
    </row>
    <row r="1373" spans="1:52" x14ac:dyDescent="0.35">
      <c r="A1373" s="66" t="s">
        <v>4873</v>
      </c>
      <c r="B1373" s="67"/>
      <c r="C1373" s="67"/>
      <c r="D1373" s="68"/>
      <c r="E1373" s="94"/>
      <c r="F1373" s="93" t="str">
        <f>HYPERLINK("https://pbs.twimg.com/profile_images/1156511009189834753/CUbd2_vA_normal.jpg")</f>
        <v>https://pbs.twimg.com/profile_images/1156511009189834753/CUbd2_vA_normal.jpg</v>
      </c>
      <c r="G1373" s="95"/>
      <c r="H1373" s="71"/>
      <c r="I1373" s="72"/>
      <c r="J1373" s="96"/>
      <c r="K1373" s="71" t="s">
        <v>12313</v>
      </c>
      <c r="L1373" s="97"/>
      <c r="M1373" s="76"/>
      <c r="N1373" s="76"/>
      <c r="O1373" s="77"/>
      <c r="P1373" s="78"/>
      <c r="Q1373" s="78"/>
      <c r="R1373" s="92"/>
      <c r="S1373" s="92"/>
      <c r="T1373" s="92"/>
      <c r="U1373" s="92"/>
      <c r="V1373" s="52"/>
      <c r="W1373" s="52"/>
      <c r="X1373" s="52"/>
      <c r="Y1373" s="52"/>
      <c r="Z1373" s="51"/>
      <c r="AA1373" s="73"/>
      <c r="AB1373" s="73"/>
      <c r="AC1373" s="74"/>
      <c r="AD1373" s="81" t="s">
        <v>8924</v>
      </c>
      <c r="AE1373" s="86" t="s">
        <v>9887</v>
      </c>
      <c r="AF1373" s="81">
        <v>856</v>
      </c>
      <c r="AG1373" s="81">
        <v>3447</v>
      </c>
      <c r="AH1373" s="81">
        <v>54845</v>
      </c>
      <c r="AI1373" s="81">
        <v>78</v>
      </c>
      <c r="AJ1373" s="81"/>
      <c r="AK1373" s="81" t="s">
        <v>10803</v>
      </c>
      <c r="AL1373" s="81" t="s">
        <v>11323</v>
      </c>
      <c r="AM1373" s="84" t="str">
        <f>HYPERLINK("https://t.co/0PaecsKvH1")</f>
        <v>https://t.co/0PaecsKvH1</v>
      </c>
      <c r="AN1373" s="81"/>
      <c r="AO1373" s="83">
        <v>39959.569374999999</v>
      </c>
      <c r="AP1373" s="84" t="str">
        <f>HYPERLINK("https://pbs.twimg.com/profile_banners/42625523/1609971893")</f>
        <v>https://pbs.twimg.com/profile_banners/42625523/1609971893</v>
      </c>
      <c r="AQ1373" s="81" t="b">
        <v>0</v>
      </c>
      <c r="AR1373" s="81" t="b">
        <v>0</v>
      </c>
      <c r="AS1373" s="81" t="b">
        <v>0</v>
      </c>
      <c r="AT1373" s="81"/>
      <c r="AU1373" s="81">
        <v>77</v>
      </c>
      <c r="AV1373" s="84" t="str">
        <f>HYPERLINK("https://abs.twimg.com/images/themes/theme13/bg.gif")</f>
        <v>https://abs.twimg.com/images/themes/theme13/bg.gif</v>
      </c>
      <c r="AW1373" s="81" t="b">
        <v>0</v>
      </c>
      <c r="AX1373" s="81" t="s">
        <v>3728</v>
      </c>
      <c r="AY1373" s="84" t="str">
        <f>HYPERLINK("https://twitter.com/regiaosul")</f>
        <v>https://twitter.com/regiaosul</v>
      </c>
      <c r="AZ1373" s="81" t="s">
        <v>66</v>
      </c>
    </row>
    <row r="1374" spans="1:52" x14ac:dyDescent="0.35">
      <c r="A1374" s="66" t="s">
        <v>4875</v>
      </c>
      <c r="B1374" s="67"/>
      <c r="C1374" s="67"/>
      <c r="D1374" s="68"/>
      <c r="E1374" s="94"/>
      <c r="F1374" s="93" t="str">
        <f>HYPERLINK("https://pbs.twimg.com/profile_images/1436782939556114436/Albs7c9Q_normal.jpg")</f>
        <v>https://pbs.twimg.com/profile_images/1436782939556114436/Albs7c9Q_normal.jpg</v>
      </c>
      <c r="G1374" s="95"/>
      <c r="H1374" s="71"/>
      <c r="I1374" s="72"/>
      <c r="J1374" s="96"/>
      <c r="K1374" s="71" t="s">
        <v>12314</v>
      </c>
      <c r="L1374" s="97"/>
      <c r="M1374" s="76"/>
      <c r="N1374" s="76"/>
      <c r="O1374" s="77"/>
      <c r="P1374" s="78"/>
      <c r="Q1374" s="78"/>
      <c r="R1374" s="92"/>
      <c r="S1374" s="92"/>
      <c r="T1374" s="92"/>
      <c r="U1374" s="92"/>
      <c r="V1374" s="52"/>
      <c r="W1374" s="52"/>
      <c r="X1374" s="52"/>
      <c r="Y1374" s="52"/>
      <c r="Z1374" s="51"/>
      <c r="AA1374" s="73"/>
      <c r="AB1374" s="73"/>
      <c r="AC1374" s="74"/>
      <c r="AD1374" s="81" t="s">
        <v>8926</v>
      </c>
      <c r="AE1374" s="86" t="s">
        <v>9889</v>
      </c>
      <c r="AF1374" s="81">
        <v>488</v>
      </c>
      <c r="AG1374" s="81">
        <v>360</v>
      </c>
      <c r="AH1374" s="81">
        <v>10110</v>
      </c>
      <c r="AI1374" s="81">
        <v>4288</v>
      </c>
      <c r="AJ1374" s="81"/>
      <c r="AK1374" s="81" t="s">
        <v>10805</v>
      </c>
      <c r="AL1374" s="81" t="s">
        <v>3509</v>
      </c>
      <c r="AM1374" s="81"/>
      <c r="AN1374" s="81"/>
      <c r="AO1374" s="83">
        <v>44177.555381944447</v>
      </c>
      <c r="AP1374" s="84" t="str">
        <f>HYPERLINK("https://pbs.twimg.com/profile_banners/1337748923494985731/1632771294")</f>
        <v>https://pbs.twimg.com/profile_banners/1337748923494985731/1632771294</v>
      </c>
      <c r="AQ1374" s="81" t="b">
        <v>1</v>
      </c>
      <c r="AR1374" s="81" t="b">
        <v>0</v>
      </c>
      <c r="AS1374" s="81" t="b">
        <v>0</v>
      </c>
      <c r="AT1374" s="81"/>
      <c r="AU1374" s="81">
        <v>1</v>
      </c>
      <c r="AV1374" s="81"/>
      <c r="AW1374" s="81" t="b">
        <v>0</v>
      </c>
      <c r="AX1374" s="81" t="s">
        <v>3728</v>
      </c>
      <c r="AY1374" s="84" t="str">
        <f>HYPERLINK("https://twitter.com/mysticm1nho")</f>
        <v>https://twitter.com/mysticm1nho</v>
      </c>
      <c r="AZ1374" s="81" t="s">
        <v>66</v>
      </c>
    </row>
    <row r="1375" spans="1:52" x14ac:dyDescent="0.35">
      <c r="A1375" s="66" t="s">
        <v>5185</v>
      </c>
      <c r="B1375" s="67"/>
      <c r="C1375" s="67"/>
      <c r="D1375" s="68"/>
      <c r="E1375" s="94"/>
      <c r="F1375" s="93" t="str">
        <f>HYPERLINK("https://pbs.twimg.com/profile_images/1442580651434119171/Bg49L3LV_normal.jpg")</f>
        <v>https://pbs.twimg.com/profile_images/1442580651434119171/Bg49L3LV_normal.jpg</v>
      </c>
      <c r="G1375" s="95"/>
      <c r="H1375" s="71"/>
      <c r="I1375" s="72"/>
      <c r="J1375" s="96"/>
      <c r="K1375" s="71" t="s">
        <v>12315</v>
      </c>
      <c r="L1375" s="97"/>
      <c r="M1375" s="76"/>
      <c r="N1375" s="76"/>
      <c r="O1375" s="77"/>
      <c r="P1375" s="78"/>
      <c r="Q1375" s="78"/>
      <c r="R1375" s="92"/>
      <c r="S1375" s="92"/>
      <c r="T1375" s="92"/>
      <c r="U1375" s="92"/>
      <c r="V1375" s="52"/>
      <c r="W1375" s="52"/>
      <c r="X1375" s="52"/>
      <c r="Y1375" s="52"/>
      <c r="Z1375" s="51"/>
      <c r="AA1375" s="73"/>
      <c r="AB1375" s="73"/>
      <c r="AC1375" s="74"/>
      <c r="AD1375" s="81" t="s">
        <v>13493</v>
      </c>
      <c r="AE1375" s="86" t="s">
        <v>7926</v>
      </c>
      <c r="AF1375" s="81">
        <v>688</v>
      </c>
      <c r="AG1375" s="81">
        <v>2135</v>
      </c>
      <c r="AH1375" s="81">
        <v>221820</v>
      </c>
      <c r="AI1375" s="81">
        <v>101732</v>
      </c>
      <c r="AJ1375" s="81"/>
      <c r="AK1375" s="81" t="s">
        <v>10806</v>
      </c>
      <c r="AL1375" s="81" t="s">
        <v>11325</v>
      </c>
      <c r="AM1375" s="81"/>
      <c r="AN1375" s="81"/>
      <c r="AO1375" s="83">
        <v>41529.360879629632</v>
      </c>
      <c r="AP1375" s="84" t="str">
        <f>HYPERLINK("https://pbs.twimg.com/profile_banners/1856755496/1632773122")</f>
        <v>https://pbs.twimg.com/profile_banners/1856755496/1632773122</v>
      </c>
      <c r="AQ1375" s="81" t="b">
        <v>0</v>
      </c>
      <c r="AR1375" s="81" t="b">
        <v>0</v>
      </c>
      <c r="AS1375" s="81" t="b">
        <v>0</v>
      </c>
      <c r="AT1375" s="81"/>
      <c r="AU1375" s="81">
        <v>11</v>
      </c>
      <c r="AV1375" s="84" t="str">
        <f>HYPERLINK("https://abs.twimg.com/images/themes/theme10/bg.gif")</f>
        <v>https://abs.twimg.com/images/themes/theme10/bg.gif</v>
      </c>
      <c r="AW1375" s="81" t="b">
        <v>0</v>
      </c>
      <c r="AX1375" s="81" t="s">
        <v>3728</v>
      </c>
      <c r="AY1375" s="84" t="str">
        <f>HYPERLINK("https://twitter.com/dnacy_")</f>
        <v>https://twitter.com/dnacy_</v>
      </c>
      <c r="AZ1375" s="81" t="s">
        <v>65</v>
      </c>
    </row>
    <row r="1376" spans="1:52" x14ac:dyDescent="0.35">
      <c r="A1376" s="66" t="s">
        <v>4876</v>
      </c>
      <c r="B1376" s="67"/>
      <c r="C1376" s="67"/>
      <c r="D1376" s="68"/>
      <c r="E1376" s="94"/>
      <c r="F1376" s="93" t="str">
        <f>HYPERLINK("https://pbs.twimg.com/profile_images/1434318510172278789/Y8s_E01A_normal.jpg")</f>
        <v>https://pbs.twimg.com/profile_images/1434318510172278789/Y8s_E01A_normal.jpg</v>
      </c>
      <c r="G1376" s="95"/>
      <c r="H1376" s="71"/>
      <c r="I1376" s="72"/>
      <c r="J1376" s="96"/>
      <c r="K1376" s="71" t="s">
        <v>12316</v>
      </c>
      <c r="L1376" s="97"/>
      <c r="M1376" s="76"/>
      <c r="N1376" s="76"/>
      <c r="O1376" s="77"/>
      <c r="P1376" s="78"/>
      <c r="Q1376" s="78"/>
      <c r="R1376" s="92"/>
      <c r="S1376" s="92"/>
      <c r="T1376" s="92"/>
      <c r="U1376" s="92"/>
      <c r="V1376" s="52"/>
      <c r="W1376" s="52"/>
      <c r="X1376" s="52"/>
      <c r="Y1376" s="52"/>
      <c r="Z1376" s="51"/>
      <c r="AA1376" s="73"/>
      <c r="AB1376" s="73"/>
      <c r="AC1376" s="74"/>
      <c r="AD1376" s="81" t="s">
        <v>8927</v>
      </c>
      <c r="AE1376" s="86" t="s">
        <v>9890</v>
      </c>
      <c r="AF1376" s="81">
        <v>141</v>
      </c>
      <c r="AG1376" s="81">
        <v>124</v>
      </c>
      <c r="AH1376" s="81">
        <v>19246</v>
      </c>
      <c r="AI1376" s="81">
        <v>377</v>
      </c>
      <c r="AJ1376" s="81"/>
      <c r="AK1376" s="81" t="s">
        <v>10807</v>
      </c>
      <c r="AL1376" s="81" t="s">
        <v>10060</v>
      </c>
      <c r="AM1376" s="81"/>
      <c r="AN1376" s="81"/>
      <c r="AO1376" s="83">
        <v>44113.642395833333</v>
      </c>
      <c r="AP1376" s="84" t="str">
        <f>HYPERLINK("https://pbs.twimg.com/profile_banners/1314587611315556354/1630803155")</f>
        <v>https://pbs.twimg.com/profile_banners/1314587611315556354/1630803155</v>
      </c>
      <c r="AQ1376" s="81" t="b">
        <v>1</v>
      </c>
      <c r="AR1376" s="81" t="b">
        <v>0</v>
      </c>
      <c r="AS1376" s="81" t="b">
        <v>0</v>
      </c>
      <c r="AT1376" s="81"/>
      <c r="AU1376" s="81">
        <v>3</v>
      </c>
      <c r="AV1376" s="81"/>
      <c r="AW1376" s="81" t="b">
        <v>0</v>
      </c>
      <c r="AX1376" s="81" t="s">
        <v>3728</v>
      </c>
      <c r="AY1376" s="84" t="str">
        <f>HYPERLINK("https://twitter.com/anamitou")</f>
        <v>https://twitter.com/anamitou</v>
      </c>
      <c r="AZ1376" s="81" t="s">
        <v>66</v>
      </c>
    </row>
    <row r="1377" spans="1:52" x14ac:dyDescent="0.35">
      <c r="A1377" s="66" t="s">
        <v>5186</v>
      </c>
      <c r="B1377" s="67"/>
      <c r="C1377" s="67"/>
      <c r="D1377" s="68"/>
      <c r="E1377" s="94"/>
      <c r="F1377" s="93" t="str">
        <f>HYPERLINK("https://pbs.twimg.com/profile_images/1113645450412941313/Rz0zQ3aP_normal.jpg")</f>
        <v>https://pbs.twimg.com/profile_images/1113645450412941313/Rz0zQ3aP_normal.jpg</v>
      </c>
      <c r="G1377" s="95"/>
      <c r="H1377" s="71"/>
      <c r="I1377" s="72"/>
      <c r="J1377" s="96"/>
      <c r="K1377" s="71" t="s">
        <v>12317</v>
      </c>
      <c r="L1377" s="97"/>
      <c r="M1377" s="76"/>
      <c r="N1377" s="76"/>
      <c r="O1377" s="77"/>
      <c r="P1377" s="78"/>
      <c r="Q1377" s="78"/>
      <c r="R1377" s="92"/>
      <c r="S1377" s="92"/>
      <c r="T1377" s="92"/>
      <c r="U1377" s="92"/>
      <c r="V1377" s="52"/>
      <c r="W1377" s="52"/>
      <c r="X1377" s="52"/>
      <c r="Y1377" s="52"/>
      <c r="Z1377" s="51"/>
      <c r="AA1377" s="73"/>
      <c r="AB1377" s="73"/>
      <c r="AC1377" s="74"/>
      <c r="AD1377" s="81" t="s">
        <v>8928</v>
      </c>
      <c r="AE1377" s="86" t="s">
        <v>9891</v>
      </c>
      <c r="AF1377" s="81">
        <v>391</v>
      </c>
      <c r="AG1377" s="81">
        <v>4255947</v>
      </c>
      <c r="AH1377" s="81">
        <v>74555</v>
      </c>
      <c r="AI1377" s="81">
        <v>19905</v>
      </c>
      <c r="AJ1377" s="81"/>
      <c r="AK1377" s="81" t="s">
        <v>10808</v>
      </c>
      <c r="AL1377" s="81" t="s">
        <v>11326</v>
      </c>
      <c r="AM1377" s="81"/>
      <c r="AN1377" s="81"/>
      <c r="AO1377" s="83">
        <v>41329.780393518522</v>
      </c>
      <c r="AP1377" s="84" t="str">
        <f>HYPERLINK("https://pbs.twimg.com/profile_banners/1216258832/1533601610")</f>
        <v>https://pbs.twimg.com/profile_banners/1216258832/1533601610</v>
      </c>
      <c r="AQ1377" s="81" t="b">
        <v>0</v>
      </c>
      <c r="AR1377" s="81" t="b">
        <v>0</v>
      </c>
      <c r="AS1377" s="81" t="b">
        <v>1</v>
      </c>
      <c r="AT1377" s="81"/>
      <c r="AU1377" s="81">
        <v>611</v>
      </c>
      <c r="AV1377" s="84" t="str">
        <f>HYPERLINK("https://abs.twimg.com/images/themes/theme14/bg.gif")</f>
        <v>https://abs.twimg.com/images/themes/theme14/bg.gif</v>
      </c>
      <c r="AW1377" s="81" t="b">
        <v>0</v>
      </c>
      <c r="AX1377" s="81" t="s">
        <v>3728</v>
      </c>
      <c r="AY1377" s="84" t="str">
        <f>HYPERLINK("https://twitter.com/frasesdebebada")</f>
        <v>https://twitter.com/frasesdebebada</v>
      </c>
      <c r="AZ1377" s="81" t="s">
        <v>65</v>
      </c>
    </row>
    <row r="1378" spans="1:52" x14ac:dyDescent="0.35">
      <c r="A1378" s="66" t="s">
        <v>5187</v>
      </c>
      <c r="B1378" s="67"/>
      <c r="C1378" s="67"/>
      <c r="D1378" s="68"/>
      <c r="E1378" s="94"/>
      <c r="F1378" s="93" t="str">
        <f>HYPERLINK("https://pbs.twimg.com/profile_images/1438704345021825028/ir6CzDAq_normal.jpg")</f>
        <v>https://pbs.twimg.com/profile_images/1438704345021825028/ir6CzDAq_normal.jpg</v>
      </c>
      <c r="G1378" s="95"/>
      <c r="H1378" s="71"/>
      <c r="I1378" s="72"/>
      <c r="J1378" s="96"/>
      <c r="K1378" s="71" t="s">
        <v>12318</v>
      </c>
      <c r="L1378" s="97"/>
      <c r="M1378" s="76"/>
      <c r="N1378" s="76"/>
      <c r="O1378" s="77"/>
      <c r="P1378" s="78"/>
      <c r="Q1378" s="78"/>
      <c r="R1378" s="92"/>
      <c r="S1378" s="92"/>
      <c r="T1378" s="92"/>
      <c r="U1378" s="92"/>
      <c r="V1378" s="52"/>
      <c r="W1378" s="52"/>
      <c r="X1378" s="52"/>
      <c r="Y1378" s="52"/>
      <c r="Z1378" s="51"/>
      <c r="AA1378" s="73"/>
      <c r="AB1378" s="73"/>
      <c r="AC1378" s="74"/>
      <c r="AD1378" s="81" t="s">
        <v>8929</v>
      </c>
      <c r="AE1378" s="86" t="s">
        <v>7927</v>
      </c>
      <c r="AF1378" s="81">
        <v>417</v>
      </c>
      <c r="AG1378" s="81">
        <v>453</v>
      </c>
      <c r="AH1378" s="81">
        <v>12525</v>
      </c>
      <c r="AI1378" s="81">
        <v>4171</v>
      </c>
      <c r="AJ1378" s="81"/>
      <c r="AK1378" s="81" t="s">
        <v>10809</v>
      </c>
      <c r="AL1378" s="81" t="s">
        <v>11327</v>
      </c>
      <c r="AM1378" s="84" t="str">
        <f>HYPERLINK("https://t.co/ictVgv8jIr")</f>
        <v>https://t.co/ictVgv8jIr</v>
      </c>
      <c r="AN1378" s="81"/>
      <c r="AO1378" s="83">
        <v>43837.079675925925</v>
      </c>
      <c r="AP1378" s="84" t="str">
        <f>HYPERLINK("https://pbs.twimg.com/profile_banners/1214364672222203904/1631891321")</f>
        <v>https://pbs.twimg.com/profile_banners/1214364672222203904/1631891321</v>
      </c>
      <c r="AQ1378" s="81" t="b">
        <v>1</v>
      </c>
      <c r="AR1378" s="81" t="b">
        <v>0</v>
      </c>
      <c r="AS1378" s="81" t="b">
        <v>0</v>
      </c>
      <c r="AT1378" s="81"/>
      <c r="AU1378" s="81">
        <v>2</v>
      </c>
      <c r="AV1378" s="81"/>
      <c r="AW1378" s="81" t="b">
        <v>0</v>
      </c>
      <c r="AX1378" s="81" t="s">
        <v>3728</v>
      </c>
      <c r="AY1378" s="84" t="str">
        <f>HYPERLINK("https://twitter.com/goldenhaai")</f>
        <v>https://twitter.com/goldenhaai</v>
      </c>
      <c r="AZ1378" s="81" t="s">
        <v>65</v>
      </c>
    </row>
    <row r="1379" spans="1:52" x14ac:dyDescent="0.35">
      <c r="A1379" s="66" t="s">
        <v>4877</v>
      </c>
      <c r="B1379" s="67"/>
      <c r="C1379" s="67"/>
      <c r="D1379" s="68"/>
      <c r="E1379" s="94"/>
      <c r="F1379" s="93" t="str">
        <f>HYPERLINK("https://pbs.twimg.com/profile_images/1424956635781361670/T_QuW2tJ_normal.jpg")</f>
        <v>https://pbs.twimg.com/profile_images/1424956635781361670/T_QuW2tJ_normal.jpg</v>
      </c>
      <c r="G1379" s="95"/>
      <c r="H1379" s="71"/>
      <c r="I1379" s="72"/>
      <c r="J1379" s="96"/>
      <c r="K1379" s="71" t="s">
        <v>12319</v>
      </c>
      <c r="L1379" s="97"/>
      <c r="M1379" s="76"/>
      <c r="N1379" s="76"/>
      <c r="O1379" s="77"/>
      <c r="P1379" s="78"/>
      <c r="Q1379" s="78"/>
      <c r="R1379" s="92"/>
      <c r="S1379" s="92"/>
      <c r="T1379" s="92"/>
      <c r="U1379" s="92"/>
      <c r="V1379" s="52"/>
      <c r="W1379" s="52"/>
      <c r="X1379" s="52"/>
      <c r="Y1379" s="52"/>
      <c r="Z1379" s="51"/>
      <c r="AA1379" s="73"/>
      <c r="AB1379" s="73"/>
      <c r="AC1379" s="74"/>
      <c r="AD1379" s="81" t="s">
        <v>8930</v>
      </c>
      <c r="AE1379" s="86" t="s">
        <v>9892</v>
      </c>
      <c r="AF1379" s="81">
        <v>239</v>
      </c>
      <c r="AG1379" s="81">
        <v>108</v>
      </c>
      <c r="AH1379" s="81">
        <v>1421</v>
      </c>
      <c r="AI1379" s="81">
        <v>9528</v>
      </c>
      <c r="AJ1379" s="81"/>
      <c r="AK1379" s="81" t="s">
        <v>10810</v>
      </c>
      <c r="AL1379" s="81" t="s">
        <v>11328</v>
      </c>
      <c r="AM1379" s="81"/>
      <c r="AN1379" s="81"/>
      <c r="AO1379" s="83">
        <v>43960.067754629628</v>
      </c>
      <c r="AP1379" s="84" t="str">
        <f>HYPERLINK("https://pbs.twimg.com/profile_banners/1258934002766934017/1613451573")</f>
        <v>https://pbs.twimg.com/profile_banners/1258934002766934017/1613451573</v>
      </c>
      <c r="AQ1379" s="81" t="b">
        <v>1</v>
      </c>
      <c r="AR1379" s="81" t="b">
        <v>0</v>
      </c>
      <c r="AS1379" s="81" t="b">
        <v>0</v>
      </c>
      <c r="AT1379" s="81"/>
      <c r="AU1379" s="81">
        <v>0</v>
      </c>
      <c r="AV1379" s="81"/>
      <c r="AW1379" s="81" t="b">
        <v>0</v>
      </c>
      <c r="AX1379" s="81" t="s">
        <v>3728</v>
      </c>
      <c r="AY1379" s="84" t="str">
        <f>HYPERLINK("https://twitter.com/salsabillah127")</f>
        <v>https://twitter.com/salsabillah127</v>
      </c>
      <c r="AZ1379" s="81" t="s">
        <v>66</v>
      </c>
    </row>
    <row r="1380" spans="1:52" x14ac:dyDescent="0.35">
      <c r="A1380" s="66" t="s">
        <v>618</v>
      </c>
      <c r="B1380" s="67"/>
      <c r="C1380" s="67"/>
      <c r="D1380" s="68"/>
      <c r="E1380" s="94"/>
      <c r="F1380" s="93" t="str">
        <f>HYPERLINK("https://pbs.twimg.com/profile_images/1430156205905760259/sPWKaq4q_normal.jpg")</f>
        <v>https://pbs.twimg.com/profile_images/1430156205905760259/sPWKaq4q_normal.jpg</v>
      </c>
      <c r="G1380" s="95"/>
      <c r="H1380" s="71"/>
      <c r="I1380" s="72"/>
      <c r="J1380" s="96"/>
      <c r="K1380" s="71" t="s">
        <v>3805</v>
      </c>
      <c r="L1380" s="97"/>
      <c r="M1380" s="76"/>
      <c r="N1380" s="76"/>
      <c r="O1380" s="77"/>
      <c r="P1380" s="78"/>
      <c r="Q1380" s="78"/>
      <c r="R1380" s="92"/>
      <c r="S1380" s="92"/>
      <c r="T1380" s="92"/>
      <c r="U1380" s="92"/>
      <c r="V1380" s="52"/>
      <c r="W1380" s="52"/>
      <c r="X1380" s="52"/>
      <c r="Y1380" s="52"/>
      <c r="Z1380" s="51"/>
      <c r="AA1380" s="73"/>
      <c r="AB1380" s="73"/>
      <c r="AC1380" s="74"/>
      <c r="AD1380" s="81" t="s">
        <v>13494</v>
      </c>
      <c r="AE1380" s="86" t="s">
        <v>2096</v>
      </c>
      <c r="AF1380" s="81">
        <v>4177</v>
      </c>
      <c r="AG1380" s="81">
        <v>57161</v>
      </c>
      <c r="AH1380" s="81">
        <v>667070</v>
      </c>
      <c r="AI1380" s="81">
        <v>327</v>
      </c>
      <c r="AJ1380" s="81"/>
      <c r="AK1380" s="81" t="s">
        <v>3151</v>
      </c>
      <c r="AL1380" s="81" t="s">
        <v>3560</v>
      </c>
      <c r="AM1380" s="84" t="str">
        <f>HYPERLINK("https://t.co/IcU38VCL9c")</f>
        <v>https://t.co/IcU38VCL9c</v>
      </c>
      <c r="AN1380" s="81"/>
      <c r="AO1380" s="83">
        <v>41101.599699074075</v>
      </c>
      <c r="AP1380" s="84" t="str">
        <f>HYPERLINK("https://pbs.twimg.com/profile_banners/633016230/1604105464")</f>
        <v>https://pbs.twimg.com/profile_banners/633016230/1604105464</v>
      </c>
      <c r="AQ1380" s="81" t="b">
        <v>0</v>
      </c>
      <c r="AR1380" s="81" t="b">
        <v>0</v>
      </c>
      <c r="AS1380" s="81" t="b">
        <v>0</v>
      </c>
      <c r="AT1380" s="81"/>
      <c r="AU1380" s="81">
        <v>925</v>
      </c>
      <c r="AV1380" s="84" t="str">
        <f>HYPERLINK("https://abs.twimg.com/images/themes/theme1/bg.png")</f>
        <v>https://abs.twimg.com/images/themes/theme1/bg.png</v>
      </c>
      <c r="AW1380" s="81" t="b">
        <v>0</v>
      </c>
      <c r="AX1380" s="81" t="s">
        <v>3728</v>
      </c>
      <c r="AY1380" s="84" t="str">
        <f>HYPERLINK("https://twitter.com/sellkpopfess")</f>
        <v>https://twitter.com/sellkpopfess</v>
      </c>
      <c r="AZ1380" s="81" t="s">
        <v>65</v>
      </c>
    </row>
    <row r="1381" spans="1:52" x14ac:dyDescent="0.35">
      <c r="A1381" s="66" t="s">
        <v>4878</v>
      </c>
      <c r="B1381" s="67"/>
      <c r="C1381" s="67"/>
      <c r="D1381" s="68"/>
      <c r="E1381" s="94"/>
      <c r="F1381" s="93" t="str">
        <f>HYPERLINK("https://pbs.twimg.com/profile_images/1393037834915782657/TiXjuvHc_normal.jpg")</f>
        <v>https://pbs.twimg.com/profile_images/1393037834915782657/TiXjuvHc_normal.jpg</v>
      </c>
      <c r="G1381" s="95"/>
      <c r="H1381" s="71"/>
      <c r="I1381" s="72"/>
      <c r="J1381" s="96"/>
      <c r="K1381" s="71" t="s">
        <v>12320</v>
      </c>
      <c r="L1381" s="97"/>
      <c r="M1381" s="76"/>
      <c r="N1381" s="76"/>
      <c r="O1381" s="77"/>
      <c r="P1381" s="78"/>
      <c r="Q1381" s="78"/>
      <c r="R1381" s="92"/>
      <c r="S1381" s="92"/>
      <c r="T1381" s="92"/>
      <c r="U1381" s="92"/>
      <c r="V1381" s="52"/>
      <c r="W1381" s="52"/>
      <c r="X1381" s="52"/>
      <c r="Y1381" s="52"/>
      <c r="Z1381" s="51"/>
      <c r="AA1381" s="73"/>
      <c r="AB1381" s="73"/>
      <c r="AC1381" s="74"/>
      <c r="AD1381" s="81" t="s">
        <v>8931</v>
      </c>
      <c r="AE1381" s="86" t="s">
        <v>9893</v>
      </c>
      <c r="AF1381" s="81">
        <v>30</v>
      </c>
      <c r="AG1381" s="81">
        <v>6</v>
      </c>
      <c r="AH1381" s="81">
        <v>125</v>
      </c>
      <c r="AI1381" s="81">
        <v>39</v>
      </c>
      <c r="AJ1381" s="81"/>
      <c r="AK1381" s="81" t="s">
        <v>10811</v>
      </c>
      <c r="AL1381" s="81"/>
      <c r="AM1381" s="81"/>
      <c r="AN1381" s="81"/>
      <c r="AO1381" s="83">
        <v>44330.12091435185</v>
      </c>
      <c r="AP1381" s="81"/>
      <c r="AQ1381" s="81" t="b">
        <v>1</v>
      </c>
      <c r="AR1381" s="81" t="b">
        <v>0</v>
      </c>
      <c r="AS1381" s="81" t="b">
        <v>0</v>
      </c>
      <c r="AT1381" s="81"/>
      <c r="AU1381" s="81">
        <v>0</v>
      </c>
      <c r="AV1381" s="81"/>
      <c r="AW1381" s="81" t="b">
        <v>0</v>
      </c>
      <c r="AX1381" s="81" t="s">
        <v>3728</v>
      </c>
      <c r="AY1381" s="84" t="str">
        <f>HYPERLINK("https://twitter.com/jkungege")</f>
        <v>https://twitter.com/jkungege</v>
      </c>
      <c r="AZ1381" s="81" t="s">
        <v>66</v>
      </c>
    </row>
    <row r="1382" spans="1:52" x14ac:dyDescent="0.35">
      <c r="A1382" s="66" t="s">
        <v>605</v>
      </c>
      <c r="B1382" s="67"/>
      <c r="C1382" s="67"/>
      <c r="D1382" s="68"/>
      <c r="E1382" s="94"/>
      <c r="F1382" s="93" t="str">
        <f>HYPERLINK("https://pbs.twimg.com/profile_images/1268869569868791808/NhfTSvDp_normal.jpg")</f>
        <v>https://pbs.twimg.com/profile_images/1268869569868791808/NhfTSvDp_normal.jpg</v>
      </c>
      <c r="G1382" s="95"/>
      <c r="H1382" s="71"/>
      <c r="I1382" s="72"/>
      <c r="J1382" s="96"/>
      <c r="K1382" s="71" t="s">
        <v>3735</v>
      </c>
      <c r="L1382" s="97"/>
      <c r="M1382" s="76"/>
      <c r="N1382" s="76"/>
      <c r="O1382" s="77"/>
      <c r="P1382" s="78"/>
      <c r="Q1382" s="78"/>
      <c r="R1382" s="92"/>
      <c r="S1382" s="92"/>
      <c r="T1382" s="92"/>
      <c r="U1382" s="92"/>
      <c r="V1382" s="52"/>
      <c r="W1382" s="52"/>
      <c r="X1382" s="52"/>
      <c r="Y1382" s="52"/>
      <c r="Z1382" s="51"/>
      <c r="AA1382" s="73"/>
      <c r="AB1382" s="73"/>
      <c r="AC1382" s="74"/>
      <c r="AD1382" s="81" t="s">
        <v>2248</v>
      </c>
      <c r="AE1382" s="86" t="s">
        <v>2088</v>
      </c>
      <c r="AF1382" s="81">
        <v>3392</v>
      </c>
      <c r="AG1382" s="81">
        <v>46647</v>
      </c>
      <c r="AH1382" s="81">
        <v>432225</v>
      </c>
      <c r="AI1382" s="81">
        <v>33</v>
      </c>
      <c r="AJ1382" s="81"/>
      <c r="AK1382" s="81" t="s">
        <v>3086</v>
      </c>
      <c r="AL1382" s="81" t="s">
        <v>3521</v>
      </c>
      <c r="AM1382" s="84" t="str">
        <f>HYPERLINK("https://t.co/78SfQ6Y0lV")</f>
        <v>https://t.co/78SfQ6Y0lV</v>
      </c>
      <c r="AN1382" s="81"/>
      <c r="AO1382" s="83">
        <v>43922.275451388887</v>
      </c>
      <c r="AP1382" s="84" t="str">
        <f>HYPERLINK("https://pbs.twimg.com/profile_banners/1245238594010091520/1591365134")</f>
        <v>https://pbs.twimg.com/profile_banners/1245238594010091520/1591365134</v>
      </c>
      <c r="AQ1382" s="81" t="b">
        <v>1</v>
      </c>
      <c r="AR1382" s="81" t="b">
        <v>0</v>
      </c>
      <c r="AS1382" s="81" t="b">
        <v>0</v>
      </c>
      <c r="AT1382" s="81"/>
      <c r="AU1382" s="81">
        <v>873</v>
      </c>
      <c r="AV1382" s="81"/>
      <c r="AW1382" s="81" t="b">
        <v>0</v>
      </c>
      <c r="AX1382" s="81" t="s">
        <v>3728</v>
      </c>
      <c r="AY1382" s="84" t="str">
        <f>HYPERLINK("https://twitter.com/dagangkorea")</f>
        <v>https://twitter.com/dagangkorea</v>
      </c>
      <c r="AZ1382" s="81" t="s">
        <v>65</v>
      </c>
    </row>
    <row r="1383" spans="1:52" x14ac:dyDescent="0.35">
      <c r="A1383" s="66" t="s">
        <v>4879</v>
      </c>
      <c r="B1383" s="67"/>
      <c r="C1383" s="67"/>
      <c r="D1383" s="68"/>
      <c r="E1383" s="94"/>
      <c r="F1383" s="93" t="str">
        <f>HYPERLINK("https://pbs.twimg.com/profile_images/1172045476889124865/HxqgVqGW_normal.jpg")</f>
        <v>https://pbs.twimg.com/profile_images/1172045476889124865/HxqgVqGW_normal.jpg</v>
      </c>
      <c r="G1383" s="95"/>
      <c r="H1383" s="71"/>
      <c r="I1383" s="72"/>
      <c r="J1383" s="96"/>
      <c r="K1383" s="71" t="s">
        <v>12321</v>
      </c>
      <c r="L1383" s="97"/>
      <c r="M1383" s="76"/>
      <c r="N1383" s="76"/>
      <c r="O1383" s="77"/>
      <c r="P1383" s="78"/>
      <c r="Q1383" s="78"/>
      <c r="R1383" s="92"/>
      <c r="S1383" s="92"/>
      <c r="T1383" s="92"/>
      <c r="U1383" s="92"/>
      <c r="V1383" s="52"/>
      <c r="W1383" s="52"/>
      <c r="X1383" s="52"/>
      <c r="Y1383" s="52"/>
      <c r="Z1383" s="51"/>
      <c r="AA1383" s="73"/>
      <c r="AB1383" s="73"/>
      <c r="AC1383" s="74"/>
      <c r="AD1383" s="81" t="s">
        <v>8932</v>
      </c>
      <c r="AE1383" s="86" t="s">
        <v>9894</v>
      </c>
      <c r="AF1383" s="81">
        <v>98</v>
      </c>
      <c r="AG1383" s="81">
        <v>6135</v>
      </c>
      <c r="AH1383" s="81">
        <v>6700</v>
      </c>
      <c r="AI1383" s="81">
        <v>66</v>
      </c>
      <c r="AJ1383" s="81"/>
      <c r="AK1383" s="81" t="s">
        <v>10812</v>
      </c>
      <c r="AL1383" s="81" t="s">
        <v>3510</v>
      </c>
      <c r="AM1383" s="84" t="str">
        <f>HYPERLINK("http://t.co/wBakvKP4RJ")</f>
        <v>http://t.co/wBakvKP4RJ</v>
      </c>
      <c r="AN1383" s="81"/>
      <c r="AO1383" s="83">
        <v>41921.218240740738</v>
      </c>
      <c r="AP1383" s="84" t="str">
        <f>HYPERLINK("https://pbs.twimg.com/profile_banners/2848323925/1605581350")</f>
        <v>https://pbs.twimg.com/profile_banners/2848323925/1605581350</v>
      </c>
      <c r="AQ1383" s="81" t="b">
        <v>1</v>
      </c>
      <c r="AR1383" s="81" t="b">
        <v>0</v>
      </c>
      <c r="AS1383" s="81" t="b">
        <v>1</v>
      </c>
      <c r="AT1383" s="81"/>
      <c r="AU1383" s="81">
        <v>26</v>
      </c>
      <c r="AV1383" s="84" t="str">
        <f>HYPERLINK("https://abs.twimg.com/images/themes/theme1/bg.png")</f>
        <v>https://abs.twimg.com/images/themes/theme1/bg.png</v>
      </c>
      <c r="AW1383" s="81" t="b">
        <v>0</v>
      </c>
      <c r="AX1383" s="81" t="s">
        <v>3728</v>
      </c>
      <c r="AY1383" s="84" t="str">
        <f>HYPERLINK("https://twitter.com/mncbank")</f>
        <v>https://twitter.com/mncbank</v>
      </c>
      <c r="AZ1383" s="81" t="s">
        <v>66</v>
      </c>
    </row>
    <row r="1384" spans="1:52" x14ac:dyDescent="0.35">
      <c r="A1384" s="66" t="s">
        <v>5188</v>
      </c>
      <c r="B1384" s="67"/>
      <c r="C1384" s="67"/>
      <c r="D1384" s="68"/>
      <c r="E1384" s="94"/>
      <c r="F1384" s="93" t="str">
        <f>HYPERLINK("https://pbs.twimg.com/profile_images/1410632725048958977/uAfhOs6R_normal.jpg")</f>
        <v>https://pbs.twimg.com/profile_images/1410632725048958977/uAfhOs6R_normal.jpg</v>
      </c>
      <c r="G1384" s="95"/>
      <c r="H1384" s="71"/>
      <c r="I1384" s="72"/>
      <c r="J1384" s="96"/>
      <c r="K1384" s="71" t="s">
        <v>12322</v>
      </c>
      <c r="L1384" s="97"/>
      <c r="M1384" s="76"/>
      <c r="N1384" s="76"/>
      <c r="O1384" s="77"/>
      <c r="P1384" s="78"/>
      <c r="Q1384" s="78"/>
      <c r="R1384" s="92"/>
      <c r="S1384" s="92"/>
      <c r="T1384" s="92"/>
      <c r="U1384" s="92"/>
      <c r="V1384" s="52"/>
      <c r="W1384" s="52"/>
      <c r="X1384" s="52"/>
      <c r="Y1384" s="52"/>
      <c r="Z1384" s="51"/>
      <c r="AA1384" s="73"/>
      <c r="AB1384" s="73"/>
      <c r="AC1384" s="74"/>
      <c r="AD1384" s="81" t="s">
        <v>8933</v>
      </c>
      <c r="AE1384" s="86" t="s">
        <v>9895</v>
      </c>
      <c r="AF1384" s="81">
        <v>2052</v>
      </c>
      <c r="AG1384" s="81">
        <v>1082927</v>
      </c>
      <c r="AH1384" s="81">
        <v>32256</v>
      </c>
      <c r="AI1384" s="81">
        <v>17275</v>
      </c>
      <c r="AJ1384" s="81"/>
      <c r="AK1384" s="81" t="s">
        <v>10813</v>
      </c>
      <c r="AL1384" s="81" t="s">
        <v>11329</v>
      </c>
      <c r="AM1384" s="84" t="str">
        <f>HYPERLINK("https://t.co/bvouQi1tWr")</f>
        <v>https://t.co/bvouQi1tWr</v>
      </c>
      <c r="AN1384" s="81"/>
      <c r="AO1384" s="83">
        <v>40981.006504629629</v>
      </c>
      <c r="AP1384" s="84" t="str">
        <f>HYPERLINK("https://pbs.twimg.com/profile_banners/522701657/1631897790")</f>
        <v>https://pbs.twimg.com/profile_banners/522701657/1631897790</v>
      </c>
      <c r="AQ1384" s="81" t="b">
        <v>0</v>
      </c>
      <c r="AR1384" s="81" t="b">
        <v>0</v>
      </c>
      <c r="AS1384" s="81" t="b">
        <v>1</v>
      </c>
      <c r="AT1384" s="81"/>
      <c r="AU1384" s="81">
        <v>1804</v>
      </c>
      <c r="AV1384" s="84" t="str">
        <f>HYPERLINK("https://abs.twimg.com/images/themes/theme16/bg.gif")</f>
        <v>https://abs.twimg.com/images/themes/theme16/bg.gif</v>
      </c>
      <c r="AW1384" s="81" t="b">
        <v>1</v>
      </c>
      <c r="AX1384" s="81" t="s">
        <v>3728</v>
      </c>
      <c r="AY1384" s="84" t="str">
        <f>HYPERLINK("https://twitter.com/zoom")</f>
        <v>https://twitter.com/zoom</v>
      </c>
      <c r="AZ1384" s="81" t="s">
        <v>65</v>
      </c>
    </row>
    <row r="1385" spans="1:52" x14ac:dyDescent="0.35">
      <c r="A1385" s="66" t="s">
        <v>4880</v>
      </c>
      <c r="B1385" s="67"/>
      <c r="C1385" s="67"/>
      <c r="D1385" s="68"/>
      <c r="E1385" s="94"/>
      <c r="F1385" s="93" t="str">
        <f>HYPERLINK("https://pbs.twimg.com/profile_images/1439769764780331010/NzlVEho8_normal.jpg")</f>
        <v>https://pbs.twimg.com/profile_images/1439769764780331010/NzlVEho8_normal.jpg</v>
      </c>
      <c r="G1385" s="95"/>
      <c r="H1385" s="71"/>
      <c r="I1385" s="72"/>
      <c r="J1385" s="96"/>
      <c r="K1385" s="71" t="s">
        <v>12323</v>
      </c>
      <c r="L1385" s="97"/>
      <c r="M1385" s="76"/>
      <c r="N1385" s="76"/>
      <c r="O1385" s="77"/>
      <c r="P1385" s="78"/>
      <c r="Q1385" s="78"/>
      <c r="R1385" s="92"/>
      <c r="S1385" s="92"/>
      <c r="T1385" s="92"/>
      <c r="U1385" s="92"/>
      <c r="V1385" s="52"/>
      <c r="W1385" s="52"/>
      <c r="X1385" s="52"/>
      <c r="Y1385" s="52"/>
      <c r="Z1385" s="51"/>
      <c r="AA1385" s="73"/>
      <c r="AB1385" s="73"/>
      <c r="AC1385" s="74"/>
      <c r="AD1385" s="81" t="s">
        <v>8934</v>
      </c>
      <c r="AE1385" s="86" t="s">
        <v>9896</v>
      </c>
      <c r="AF1385" s="81">
        <v>611</v>
      </c>
      <c r="AG1385" s="81">
        <v>580</v>
      </c>
      <c r="AH1385" s="81">
        <v>8750</v>
      </c>
      <c r="AI1385" s="81">
        <v>10626</v>
      </c>
      <c r="AJ1385" s="81"/>
      <c r="AK1385" s="81" t="s">
        <v>10814</v>
      </c>
      <c r="AL1385" s="81" t="s">
        <v>11330</v>
      </c>
      <c r="AM1385" s="81"/>
      <c r="AN1385" s="81"/>
      <c r="AO1385" s="83">
        <v>44170.533599537041</v>
      </c>
      <c r="AP1385" s="84" t="str">
        <f>HYPERLINK("https://pbs.twimg.com/profile_banners/1335204327208538116/1632102835")</f>
        <v>https://pbs.twimg.com/profile_banners/1335204327208538116/1632102835</v>
      </c>
      <c r="AQ1385" s="81" t="b">
        <v>1</v>
      </c>
      <c r="AR1385" s="81" t="b">
        <v>0</v>
      </c>
      <c r="AS1385" s="81" t="b">
        <v>0</v>
      </c>
      <c r="AT1385" s="81"/>
      <c r="AU1385" s="81">
        <v>2</v>
      </c>
      <c r="AV1385" s="81"/>
      <c r="AW1385" s="81" t="b">
        <v>0</v>
      </c>
      <c r="AX1385" s="81" t="s">
        <v>3728</v>
      </c>
      <c r="AY1385" s="84" t="str">
        <f>HYPERLINK("https://twitter.com/rut0san")</f>
        <v>https://twitter.com/rut0san</v>
      </c>
      <c r="AZ1385" s="81" t="s">
        <v>66</v>
      </c>
    </row>
    <row r="1386" spans="1:52" x14ac:dyDescent="0.35">
      <c r="A1386" s="66" t="s">
        <v>4941</v>
      </c>
      <c r="B1386" s="67"/>
      <c r="C1386" s="67"/>
      <c r="D1386" s="68"/>
      <c r="E1386" s="94"/>
      <c r="F1386" s="93" t="str">
        <f>HYPERLINK("https://pbs.twimg.com/profile_images/1435931574340444160/hX3KCt1T_normal.jpg")</f>
        <v>https://pbs.twimg.com/profile_images/1435931574340444160/hX3KCt1T_normal.jpg</v>
      </c>
      <c r="G1386" s="95"/>
      <c r="H1386" s="71"/>
      <c r="I1386" s="72"/>
      <c r="J1386" s="96"/>
      <c r="K1386" s="71" t="s">
        <v>14279</v>
      </c>
      <c r="L1386" s="97"/>
      <c r="M1386" s="76"/>
      <c r="N1386" s="76"/>
      <c r="O1386" s="77"/>
      <c r="P1386" s="78"/>
      <c r="Q1386" s="78"/>
      <c r="R1386" s="92"/>
      <c r="S1386" s="92"/>
      <c r="T1386" s="92"/>
      <c r="U1386" s="92"/>
      <c r="V1386" s="52"/>
      <c r="W1386" s="52"/>
      <c r="X1386" s="52"/>
      <c r="Y1386" s="52"/>
      <c r="Z1386" s="51"/>
      <c r="AA1386" s="73"/>
      <c r="AB1386" s="73"/>
      <c r="AC1386" s="74"/>
      <c r="AD1386" s="81" t="s">
        <v>8935</v>
      </c>
      <c r="AE1386" s="86" t="s">
        <v>9897</v>
      </c>
      <c r="AF1386" s="81">
        <v>0</v>
      </c>
      <c r="AG1386" s="81">
        <v>3</v>
      </c>
      <c r="AH1386" s="81">
        <v>43</v>
      </c>
      <c r="AI1386" s="81">
        <v>2</v>
      </c>
      <c r="AJ1386" s="81"/>
      <c r="AK1386" s="81" t="s">
        <v>10815</v>
      </c>
      <c r="AL1386" s="81"/>
      <c r="AM1386" s="81"/>
      <c r="AN1386" s="81"/>
      <c r="AO1386" s="83">
        <v>44301.568333333336</v>
      </c>
      <c r="AP1386" s="84" t="str">
        <f>HYPERLINK("https://pbs.twimg.com/profile_banners/1382689603442868232/1632404883")</f>
        <v>https://pbs.twimg.com/profile_banners/1382689603442868232/1632404883</v>
      </c>
      <c r="AQ1386" s="81" t="b">
        <v>1</v>
      </c>
      <c r="AR1386" s="81" t="b">
        <v>0</v>
      </c>
      <c r="AS1386" s="81" t="b">
        <v>0</v>
      </c>
      <c r="AT1386" s="81"/>
      <c r="AU1386" s="81">
        <v>0</v>
      </c>
      <c r="AV1386" s="81"/>
      <c r="AW1386" s="81" t="b">
        <v>0</v>
      </c>
      <c r="AX1386" s="81" t="s">
        <v>3728</v>
      </c>
      <c r="AY1386" s="84" t="str">
        <f>HYPERLINK("https://twitter.com/chanheeamor")</f>
        <v>https://twitter.com/chanheeamor</v>
      </c>
      <c r="AZ1386" s="81" t="s">
        <v>66</v>
      </c>
    </row>
    <row r="1387" spans="1:52" x14ac:dyDescent="0.35">
      <c r="A1387" s="66" t="s">
        <v>4881</v>
      </c>
      <c r="B1387" s="67"/>
      <c r="C1387" s="67"/>
      <c r="D1387" s="68"/>
      <c r="E1387" s="94"/>
      <c r="F1387" s="93" t="str">
        <f>HYPERLINK("https://pbs.twimg.com/profile_images/1443243787556311041/yKswRolA_normal.jpg")</f>
        <v>https://pbs.twimg.com/profile_images/1443243787556311041/yKswRolA_normal.jpg</v>
      </c>
      <c r="G1387" s="95"/>
      <c r="H1387" s="71"/>
      <c r="I1387" s="72"/>
      <c r="J1387" s="96"/>
      <c r="K1387" s="71" t="s">
        <v>12324</v>
      </c>
      <c r="L1387" s="97"/>
      <c r="M1387" s="76"/>
      <c r="N1387" s="76"/>
      <c r="O1387" s="77"/>
      <c r="P1387" s="78"/>
      <c r="Q1387" s="78"/>
      <c r="R1387" s="92"/>
      <c r="S1387" s="92"/>
      <c r="T1387" s="92"/>
      <c r="U1387" s="92"/>
      <c r="V1387" s="52"/>
      <c r="W1387" s="52"/>
      <c r="X1387" s="52"/>
      <c r="Y1387" s="52"/>
      <c r="Z1387" s="51"/>
      <c r="AA1387" s="73"/>
      <c r="AB1387" s="73"/>
      <c r="AC1387" s="74"/>
      <c r="AD1387" s="81" t="s">
        <v>13495</v>
      </c>
      <c r="AE1387" s="86" t="s">
        <v>9898</v>
      </c>
      <c r="AF1387" s="81">
        <v>597</v>
      </c>
      <c r="AG1387" s="81">
        <v>821</v>
      </c>
      <c r="AH1387" s="81">
        <v>72883</v>
      </c>
      <c r="AI1387" s="81">
        <v>1004</v>
      </c>
      <c r="AJ1387" s="81"/>
      <c r="AK1387" s="81" t="s">
        <v>13950</v>
      </c>
      <c r="AL1387" s="81" t="s">
        <v>11331</v>
      </c>
      <c r="AM1387" s="84" t="str">
        <f>HYPERLINK("https://t.co/SQYqZx9KXb")</f>
        <v>https://t.co/SQYqZx9KXb</v>
      </c>
      <c r="AN1387" s="81"/>
      <c r="AO1387" s="83">
        <v>44060.636805555558</v>
      </c>
      <c r="AP1387" s="84" t="str">
        <f>HYPERLINK("https://pbs.twimg.com/profile_banners/1295379045056536576/1627609592")</f>
        <v>https://pbs.twimg.com/profile_banners/1295379045056536576/1627609592</v>
      </c>
      <c r="AQ1387" s="81" t="b">
        <v>1</v>
      </c>
      <c r="AR1387" s="81" t="b">
        <v>0</v>
      </c>
      <c r="AS1387" s="81" t="b">
        <v>0</v>
      </c>
      <c r="AT1387" s="81"/>
      <c r="AU1387" s="81">
        <v>9</v>
      </c>
      <c r="AV1387" s="81"/>
      <c r="AW1387" s="81" t="b">
        <v>0</v>
      </c>
      <c r="AX1387" s="81" t="s">
        <v>3728</v>
      </c>
      <c r="AY1387" s="84" t="str">
        <f>HYPERLINK("https://twitter.com/ataraxia_tbz")</f>
        <v>https://twitter.com/ataraxia_tbz</v>
      </c>
      <c r="AZ1387" s="81" t="s">
        <v>66</v>
      </c>
    </row>
    <row r="1388" spans="1:52" x14ac:dyDescent="0.35">
      <c r="A1388" s="66" t="s">
        <v>4883</v>
      </c>
      <c r="B1388" s="67"/>
      <c r="C1388" s="67"/>
      <c r="D1388" s="68"/>
      <c r="E1388" s="94"/>
      <c r="F1388" s="93" t="str">
        <f>HYPERLINK("https://pbs.twimg.com/profile_images/1435854253709357060/385KgLed_normal.png")</f>
        <v>https://pbs.twimg.com/profile_images/1435854253709357060/385KgLed_normal.png</v>
      </c>
      <c r="G1388" s="95"/>
      <c r="H1388" s="71"/>
      <c r="I1388" s="72"/>
      <c r="J1388" s="96"/>
      <c r="K1388" s="71" t="s">
        <v>12325</v>
      </c>
      <c r="L1388" s="97"/>
      <c r="M1388" s="76"/>
      <c r="N1388" s="76"/>
      <c r="O1388" s="77"/>
      <c r="P1388" s="78"/>
      <c r="Q1388" s="78"/>
      <c r="R1388" s="92"/>
      <c r="S1388" s="92"/>
      <c r="T1388" s="92"/>
      <c r="U1388" s="92"/>
      <c r="V1388" s="52"/>
      <c r="W1388" s="52"/>
      <c r="X1388" s="52"/>
      <c r="Y1388" s="52"/>
      <c r="Z1388" s="51"/>
      <c r="AA1388" s="73"/>
      <c r="AB1388" s="73"/>
      <c r="AC1388" s="74"/>
      <c r="AD1388" s="81" t="s">
        <v>8937</v>
      </c>
      <c r="AE1388" s="86" t="s">
        <v>9900</v>
      </c>
      <c r="AF1388" s="81">
        <v>802</v>
      </c>
      <c r="AG1388" s="81">
        <v>454</v>
      </c>
      <c r="AH1388" s="81">
        <v>3012</v>
      </c>
      <c r="AI1388" s="81">
        <v>3579</v>
      </c>
      <c r="AJ1388" s="81"/>
      <c r="AK1388" s="81" t="s">
        <v>10817</v>
      </c>
      <c r="AL1388" s="81" t="s">
        <v>11333</v>
      </c>
      <c r="AM1388" s="81"/>
      <c r="AN1388" s="81"/>
      <c r="AO1388" s="83">
        <v>44383.250902777778</v>
      </c>
      <c r="AP1388" s="84" t="str">
        <f>HYPERLINK("https://pbs.twimg.com/profile_banners/1412290485859753984/1625551935")</f>
        <v>https://pbs.twimg.com/profile_banners/1412290485859753984/1625551935</v>
      </c>
      <c r="AQ1388" s="81" t="b">
        <v>1</v>
      </c>
      <c r="AR1388" s="81" t="b">
        <v>0</v>
      </c>
      <c r="AS1388" s="81" t="b">
        <v>0</v>
      </c>
      <c r="AT1388" s="81"/>
      <c r="AU1388" s="81">
        <v>2</v>
      </c>
      <c r="AV1388" s="81"/>
      <c r="AW1388" s="81" t="b">
        <v>0</v>
      </c>
      <c r="AX1388" s="81" t="s">
        <v>3728</v>
      </c>
      <c r="AY1388" s="84" t="str">
        <f>HYPERLINK("https://twitter.com/sunwooistiny")</f>
        <v>https://twitter.com/sunwooistiny</v>
      </c>
      <c r="AZ1388" s="81" t="s">
        <v>66</v>
      </c>
    </row>
    <row r="1389" spans="1:52" x14ac:dyDescent="0.35">
      <c r="A1389" s="66" t="s">
        <v>4884</v>
      </c>
      <c r="B1389" s="67"/>
      <c r="C1389" s="67"/>
      <c r="D1389" s="68"/>
      <c r="E1389" s="94"/>
      <c r="F1389" s="93" t="str">
        <f>HYPERLINK("https://pbs.twimg.com/profile_images/1428944692721315840/GR20dmfw_normal.jpg")</f>
        <v>https://pbs.twimg.com/profile_images/1428944692721315840/GR20dmfw_normal.jpg</v>
      </c>
      <c r="G1389" s="95"/>
      <c r="H1389" s="71"/>
      <c r="I1389" s="72"/>
      <c r="J1389" s="96"/>
      <c r="K1389" s="71" t="s">
        <v>12326</v>
      </c>
      <c r="L1389" s="97"/>
      <c r="M1389" s="76"/>
      <c r="N1389" s="76"/>
      <c r="O1389" s="77"/>
      <c r="P1389" s="78"/>
      <c r="Q1389" s="78"/>
      <c r="R1389" s="92"/>
      <c r="S1389" s="92"/>
      <c r="T1389" s="92"/>
      <c r="U1389" s="92"/>
      <c r="V1389" s="52"/>
      <c r="W1389" s="52"/>
      <c r="X1389" s="52"/>
      <c r="Y1389" s="52"/>
      <c r="Z1389" s="51"/>
      <c r="AA1389" s="73"/>
      <c r="AB1389" s="73"/>
      <c r="AC1389" s="74"/>
      <c r="AD1389" s="81" t="s">
        <v>8938</v>
      </c>
      <c r="AE1389" s="86" t="s">
        <v>9901</v>
      </c>
      <c r="AF1389" s="81">
        <v>1409</v>
      </c>
      <c r="AG1389" s="81">
        <v>2165</v>
      </c>
      <c r="AH1389" s="81">
        <v>47257</v>
      </c>
      <c r="AI1389" s="81">
        <v>41346</v>
      </c>
      <c r="AJ1389" s="81"/>
      <c r="AK1389" s="81" t="s">
        <v>10818</v>
      </c>
      <c r="AL1389" s="81" t="s">
        <v>11334</v>
      </c>
      <c r="AM1389" s="84" t="str">
        <f>HYPERLINK("https://t.co/JGO5Y8BEBt")</f>
        <v>https://t.co/JGO5Y8BEBt</v>
      </c>
      <c r="AN1389" s="81"/>
      <c r="AO1389" s="83">
        <v>41209.295775462961</v>
      </c>
      <c r="AP1389" s="84" t="str">
        <f>HYPERLINK("https://pbs.twimg.com/profile_banners/907545564/1624712862")</f>
        <v>https://pbs.twimg.com/profile_banners/907545564/1624712862</v>
      </c>
      <c r="AQ1389" s="81" t="b">
        <v>1</v>
      </c>
      <c r="AR1389" s="81" t="b">
        <v>0</v>
      </c>
      <c r="AS1389" s="81" t="b">
        <v>0</v>
      </c>
      <c r="AT1389" s="81"/>
      <c r="AU1389" s="81">
        <v>16</v>
      </c>
      <c r="AV1389" s="84" t="str">
        <f>HYPERLINK("https://abs.twimg.com/images/themes/theme1/bg.png")</f>
        <v>https://abs.twimg.com/images/themes/theme1/bg.png</v>
      </c>
      <c r="AW1389" s="81" t="b">
        <v>0</v>
      </c>
      <c r="AX1389" s="81" t="s">
        <v>3728</v>
      </c>
      <c r="AY1389" s="84" t="str">
        <f>HYPERLINK("https://twitter.com/pruuwoojae")</f>
        <v>https://twitter.com/pruuwoojae</v>
      </c>
      <c r="AZ1389" s="81" t="s">
        <v>66</v>
      </c>
    </row>
    <row r="1390" spans="1:52" x14ac:dyDescent="0.35">
      <c r="A1390" s="66" t="s">
        <v>4885</v>
      </c>
      <c r="B1390" s="67"/>
      <c r="C1390" s="67"/>
      <c r="D1390" s="68"/>
      <c r="E1390" s="94"/>
      <c r="F1390" s="93" t="str">
        <f>HYPERLINK("https://pbs.twimg.com/profile_images/1441644719503781888/P_cnlqw1_normal.jpg")</f>
        <v>https://pbs.twimg.com/profile_images/1441644719503781888/P_cnlqw1_normal.jpg</v>
      </c>
      <c r="G1390" s="95"/>
      <c r="H1390" s="71"/>
      <c r="I1390" s="72"/>
      <c r="J1390" s="96"/>
      <c r="K1390" s="71" t="s">
        <v>12327</v>
      </c>
      <c r="L1390" s="97"/>
      <c r="M1390" s="76"/>
      <c r="N1390" s="76"/>
      <c r="O1390" s="77"/>
      <c r="P1390" s="78"/>
      <c r="Q1390" s="78"/>
      <c r="R1390" s="92"/>
      <c r="S1390" s="92"/>
      <c r="T1390" s="92"/>
      <c r="U1390" s="92"/>
      <c r="V1390" s="52"/>
      <c r="W1390" s="52"/>
      <c r="X1390" s="52"/>
      <c r="Y1390" s="52"/>
      <c r="Z1390" s="51"/>
      <c r="AA1390" s="73"/>
      <c r="AB1390" s="73"/>
      <c r="AC1390" s="74"/>
      <c r="AD1390" s="81" t="s">
        <v>8939</v>
      </c>
      <c r="AE1390" s="86" t="s">
        <v>9902</v>
      </c>
      <c r="AF1390" s="81">
        <v>887</v>
      </c>
      <c r="AG1390" s="81">
        <v>321</v>
      </c>
      <c r="AH1390" s="81">
        <v>43827</v>
      </c>
      <c r="AI1390" s="81">
        <v>52406</v>
      </c>
      <c r="AJ1390" s="81"/>
      <c r="AK1390" s="81" t="s">
        <v>10819</v>
      </c>
      <c r="AL1390" s="81" t="s">
        <v>11335</v>
      </c>
      <c r="AM1390" s="81"/>
      <c r="AN1390" s="81"/>
      <c r="AO1390" s="83">
        <v>44334.879201388889</v>
      </c>
      <c r="AP1390" s="84" t="str">
        <f>HYPERLINK("https://pbs.twimg.com/profile_banners/1394761171169861637/1632590517")</f>
        <v>https://pbs.twimg.com/profile_banners/1394761171169861637/1632590517</v>
      </c>
      <c r="AQ1390" s="81" t="b">
        <v>1</v>
      </c>
      <c r="AR1390" s="81" t="b">
        <v>0</v>
      </c>
      <c r="AS1390" s="81" t="b">
        <v>0</v>
      </c>
      <c r="AT1390" s="81"/>
      <c r="AU1390" s="81">
        <v>0</v>
      </c>
      <c r="AV1390" s="81"/>
      <c r="AW1390" s="81" t="b">
        <v>0</v>
      </c>
      <c r="AX1390" s="81" t="s">
        <v>3728</v>
      </c>
      <c r="AY1390" s="84" t="str">
        <f>HYPERLINK("https://twitter.com/salma10740541")</f>
        <v>https://twitter.com/salma10740541</v>
      </c>
      <c r="AZ1390" s="81" t="s">
        <v>66</v>
      </c>
    </row>
    <row r="1391" spans="1:52" x14ac:dyDescent="0.35">
      <c r="A1391" s="66" t="s">
        <v>4886</v>
      </c>
      <c r="B1391" s="67"/>
      <c r="C1391" s="67"/>
      <c r="D1391" s="68"/>
      <c r="E1391" s="94"/>
      <c r="F1391" s="93" t="str">
        <f>HYPERLINK("https://pbs.twimg.com/profile_images/1441036372203081732/ypGqJKdP_normal.jpg")</f>
        <v>https://pbs.twimg.com/profile_images/1441036372203081732/ypGqJKdP_normal.jpg</v>
      </c>
      <c r="G1391" s="95"/>
      <c r="H1391" s="71"/>
      <c r="I1391" s="72"/>
      <c r="J1391" s="96"/>
      <c r="K1391" s="71" t="s">
        <v>12328</v>
      </c>
      <c r="L1391" s="97"/>
      <c r="M1391" s="76"/>
      <c r="N1391" s="76"/>
      <c r="O1391" s="77"/>
      <c r="P1391" s="78"/>
      <c r="Q1391" s="78"/>
      <c r="R1391" s="92"/>
      <c r="S1391" s="92"/>
      <c r="T1391" s="92"/>
      <c r="U1391" s="92"/>
      <c r="V1391" s="52"/>
      <c r="W1391" s="52"/>
      <c r="X1391" s="52"/>
      <c r="Y1391" s="52"/>
      <c r="Z1391" s="51"/>
      <c r="AA1391" s="73"/>
      <c r="AB1391" s="73"/>
      <c r="AC1391" s="74"/>
      <c r="AD1391" s="81" t="s">
        <v>8940</v>
      </c>
      <c r="AE1391" s="86" t="s">
        <v>9903</v>
      </c>
      <c r="AF1391" s="81">
        <v>19</v>
      </c>
      <c r="AG1391" s="81">
        <v>3</v>
      </c>
      <c r="AH1391" s="81">
        <v>417</v>
      </c>
      <c r="AI1391" s="81">
        <v>1252</v>
      </c>
      <c r="AJ1391" s="81"/>
      <c r="AK1391" s="81" t="s">
        <v>10820</v>
      </c>
      <c r="AL1391" s="81"/>
      <c r="AM1391" s="81"/>
      <c r="AN1391" s="81"/>
      <c r="AO1391" s="83">
        <v>44454.836261574077</v>
      </c>
      <c r="AP1391" s="84" t="str">
        <f>HYPERLINK("https://pbs.twimg.com/profile_banners/1438232009654956033/1632784762")</f>
        <v>https://pbs.twimg.com/profile_banners/1438232009654956033/1632784762</v>
      </c>
      <c r="AQ1391" s="81" t="b">
        <v>1</v>
      </c>
      <c r="AR1391" s="81" t="b">
        <v>0</v>
      </c>
      <c r="AS1391" s="81" t="b">
        <v>0</v>
      </c>
      <c r="AT1391" s="81"/>
      <c r="AU1391" s="81">
        <v>0</v>
      </c>
      <c r="AV1391" s="81"/>
      <c r="AW1391" s="81" t="b">
        <v>0</v>
      </c>
      <c r="AX1391" s="81" t="s">
        <v>3728</v>
      </c>
      <c r="AY1391" s="84" t="str">
        <f>HYPERLINK("https://twitter.com/gyuubestie")</f>
        <v>https://twitter.com/gyuubestie</v>
      </c>
      <c r="AZ1391" s="81" t="s">
        <v>66</v>
      </c>
    </row>
    <row r="1392" spans="1:52" x14ac:dyDescent="0.35">
      <c r="A1392" s="66" t="s">
        <v>4887</v>
      </c>
      <c r="B1392" s="67"/>
      <c r="C1392" s="67"/>
      <c r="D1392" s="68"/>
      <c r="E1392" s="94"/>
      <c r="F1392" s="93" t="str">
        <f>HYPERLINK("https://pbs.twimg.com/profile_images/1440938253683625984/XI6beLGn_normal.jpg")</f>
        <v>https://pbs.twimg.com/profile_images/1440938253683625984/XI6beLGn_normal.jpg</v>
      </c>
      <c r="G1392" s="95"/>
      <c r="H1392" s="71"/>
      <c r="I1392" s="72"/>
      <c r="J1392" s="96"/>
      <c r="K1392" s="71" t="s">
        <v>12329</v>
      </c>
      <c r="L1392" s="97"/>
      <c r="M1392" s="76"/>
      <c r="N1392" s="76"/>
      <c r="O1392" s="77"/>
      <c r="P1392" s="78"/>
      <c r="Q1392" s="78"/>
      <c r="R1392" s="92"/>
      <c r="S1392" s="92"/>
      <c r="T1392" s="92"/>
      <c r="U1392" s="92"/>
      <c r="V1392" s="52"/>
      <c r="W1392" s="52"/>
      <c r="X1392" s="52"/>
      <c r="Y1392" s="52"/>
      <c r="Z1392" s="51"/>
      <c r="AA1392" s="73"/>
      <c r="AB1392" s="73"/>
      <c r="AC1392" s="74"/>
      <c r="AD1392" s="81" t="s">
        <v>8941</v>
      </c>
      <c r="AE1392" s="86" t="s">
        <v>9904</v>
      </c>
      <c r="AF1392" s="81">
        <v>648</v>
      </c>
      <c r="AG1392" s="81">
        <v>1437</v>
      </c>
      <c r="AH1392" s="81">
        <v>69641</v>
      </c>
      <c r="AI1392" s="81">
        <v>31320</v>
      </c>
      <c r="AJ1392" s="81"/>
      <c r="AK1392" s="81" t="s">
        <v>10821</v>
      </c>
      <c r="AL1392" s="81" t="s">
        <v>11336</v>
      </c>
      <c r="AM1392" s="84" t="str">
        <f>HYPERLINK("https://t.co/6TxlgxcohF")</f>
        <v>https://t.co/6TxlgxcohF</v>
      </c>
      <c r="AN1392" s="81"/>
      <c r="AO1392" s="83">
        <v>41084.301527777781</v>
      </c>
      <c r="AP1392" s="84" t="str">
        <f>HYPERLINK("https://pbs.twimg.com/profile_banners/616876348/1627314335")</f>
        <v>https://pbs.twimg.com/profile_banners/616876348/1627314335</v>
      </c>
      <c r="AQ1392" s="81" t="b">
        <v>0</v>
      </c>
      <c r="AR1392" s="81" t="b">
        <v>0</v>
      </c>
      <c r="AS1392" s="81" t="b">
        <v>1</v>
      </c>
      <c r="AT1392" s="81"/>
      <c r="AU1392" s="81">
        <v>10</v>
      </c>
      <c r="AV1392" s="84" t="str">
        <f>HYPERLINK("https://abs.twimg.com/images/themes/theme14/bg.gif")</f>
        <v>https://abs.twimg.com/images/themes/theme14/bg.gif</v>
      </c>
      <c r="AW1392" s="81" t="b">
        <v>0</v>
      </c>
      <c r="AX1392" s="81" t="s">
        <v>3728</v>
      </c>
      <c r="AY1392" s="84" t="str">
        <f>HYPERLINK("https://twitter.com/chnheewtf")</f>
        <v>https://twitter.com/chnheewtf</v>
      </c>
      <c r="AZ1392" s="81" t="s">
        <v>66</v>
      </c>
    </row>
    <row r="1393" spans="1:52" x14ac:dyDescent="0.35">
      <c r="A1393" s="66" t="s">
        <v>4889</v>
      </c>
      <c r="B1393" s="67"/>
      <c r="C1393" s="67"/>
      <c r="D1393" s="68"/>
      <c r="E1393" s="94"/>
      <c r="F1393" s="93" t="str">
        <f>HYPERLINK("https://pbs.twimg.com/profile_images/1430404668337709056/7CaMPUlK_normal.jpg")</f>
        <v>https://pbs.twimg.com/profile_images/1430404668337709056/7CaMPUlK_normal.jpg</v>
      </c>
      <c r="G1393" s="95"/>
      <c r="H1393" s="71"/>
      <c r="I1393" s="72"/>
      <c r="J1393" s="96"/>
      <c r="K1393" s="71" t="s">
        <v>12330</v>
      </c>
      <c r="L1393" s="97"/>
      <c r="M1393" s="76"/>
      <c r="N1393" s="76"/>
      <c r="O1393" s="77"/>
      <c r="P1393" s="78"/>
      <c r="Q1393" s="78"/>
      <c r="R1393" s="92"/>
      <c r="S1393" s="92"/>
      <c r="T1393" s="92"/>
      <c r="U1393" s="92"/>
      <c r="V1393" s="52"/>
      <c r="W1393" s="52"/>
      <c r="X1393" s="52"/>
      <c r="Y1393" s="52"/>
      <c r="Z1393" s="51"/>
      <c r="AA1393" s="73"/>
      <c r="AB1393" s="73"/>
      <c r="AC1393" s="74"/>
      <c r="AD1393" s="81" t="s">
        <v>8943</v>
      </c>
      <c r="AE1393" s="86" t="s">
        <v>9906</v>
      </c>
      <c r="AF1393" s="81">
        <v>1169</v>
      </c>
      <c r="AG1393" s="81">
        <v>1546</v>
      </c>
      <c r="AH1393" s="81">
        <v>118208</v>
      </c>
      <c r="AI1393" s="81">
        <v>13066</v>
      </c>
      <c r="AJ1393" s="81"/>
      <c r="AK1393" s="81" t="s">
        <v>10823</v>
      </c>
      <c r="AL1393" s="81" t="s">
        <v>3514</v>
      </c>
      <c r="AM1393" s="81"/>
      <c r="AN1393" s="81"/>
      <c r="AO1393" s="83">
        <v>40694.62363425926</v>
      </c>
      <c r="AP1393" s="84" t="str">
        <f>HYPERLINK("https://pbs.twimg.com/profile_banners/308514909/1618986529")</f>
        <v>https://pbs.twimg.com/profile_banners/308514909/1618986529</v>
      </c>
      <c r="AQ1393" s="81" t="b">
        <v>0</v>
      </c>
      <c r="AR1393" s="81" t="b">
        <v>0</v>
      </c>
      <c r="AS1393" s="81" t="b">
        <v>1</v>
      </c>
      <c r="AT1393" s="81"/>
      <c r="AU1393" s="81">
        <v>3</v>
      </c>
      <c r="AV1393" s="84" t="str">
        <f>HYPERLINK("https://abs.twimg.com/images/themes/theme11/bg.gif")</f>
        <v>https://abs.twimg.com/images/themes/theme11/bg.gif</v>
      </c>
      <c r="AW1393" s="81" t="b">
        <v>0</v>
      </c>
      <c r="AX1393" s="81" t="s">
        <v>3728</v>
      </c>
      <c r="AY1393" s="84" t="str">
        <f>HYPERLINK("https://twitter.com/ezzyoungk")</f>
        <v>https://twitter.com/ezzyoungk</v>
      </c>
      <c r="AZ1393" s="81" t="s">
        <v>66</v>
      </c>
    </row>
    <row r="1394" spans="1:52" x14ac:dyDescent="0.35">
      <c r="A1394" s="66" t="s">
        <v>5189</v>
      </c>
      <c r="B1394" s="67"/>
      <c r="C1394" s="67"/>
      <c r="D1394" s="68"/>
      <c r="E1394" s="94"/>
      <c r="F1394" s="93" t="str">
        <f>HYPERLINK("https://pbs.twimg.com/profile_images/1411924932179619841/24zbyGLi_normal.jpg")</f>
        <v>https://pbs.twimg.com/profile_images/1411924932179619841/24zbyGLi_normal.jpg</v>
      </c>
      <c r="G1394" s="95"/>
      <c r="H1394" s="71"/>
      <c r="I1394" s="72"/>
      <c r="J1394" s="96"/>
      <c r="K1394" s="71" t="s">
        <v>12331</v>
      </c>
      <c r="L1394" s="97"/>
      <c r="M1394" s="76"/>
      <c r="N1394" s="76"/>
      <c r="O1394" s="77"/>
      <c r="P1394" s="78"/>
      <c r="Q1394" s="78"/>
      <c r="R1394" s="92"/>
      <c r="S1394" s="92"/>
      <c r="T1394" s="92"/>
      <c r="U1394" s="92"/>
      <c r="V1394" s="52"/>
      <c r="W1394" s="52"/>
      <c r="X1394" s="52"/>
      <c r="Y1394" s="52"/>
      <c r="Z1394" s="51"/>
      <c r="AA1394" s="73"/>
      <c r="AB1394" s="73"/>
      <c r="AC1394" s="74"/>
      <c r="AD1394" s="81" t="s">
        <v>8944</v>
      </c>
      <c r="AE1394" s="86" t="s">
        <v>7928</v>
      </c>
      <c r="AF1394" s="81">
        <v>482</v>
      </c>
      <c r="AG1394" s="81">
        <v>245</v>
      </c>
      <c r="AH1394" s="81">
        <v>17821</v>
      </c>
      <c r="AI1394" s="81">
        <v>884</v>
      </c>
      <c r="AJ1394" s="81"/>
      <c r="AK1394" s="81" t="s">
        <v>10824</v>
      </c>
      <c r="AL1394" s="81" t="s">
        <v>3527</v>
      </c>
      <c r="AM1394" s="81"/>
      <c r="AN1394" s="81"/>
      <c r="AO1394" s="83">
        <v>42250.668298611112</v>
      </c>
      <c r="AP1394" s="84" t="str">
        <f>HYPERLINK("https://pbs.twimg.com/profile_banners/3438498433/1630724372")</f>
        <v>https://pbs.twimg.com/profile_banners/3438498433/1630724372</v>
      </c>
      <c r="AQ1394" s="81" t="b">
        <v>0</v>
      </c>
      <c r="AR1394" s="81" t="b">
        <v>0</v>
      </c>
      <c r="AS1394" s="81" t="b">
        <v>0</v>
      </c>
      <c r="AT1394" s="81"/>
      <c r="AU1394" s="81">
        <v>0</v>
      </c>
      <c r="AV1394" s="84" t="str">
        <f>HYPERLINK("https://abs.twimg.com/images/themes/theme1/bg.png")</f>
        <v>https://abs.twimg.com/images/themes/theme1/bg.png</v>
      </c>
      <c r="AW1394" s="81" t="b">
        <v>0</v>
      </c>
      <c r="AX1394" s="81" t="s">
        <v>3728</v>
      </c>
      <c r="AY1394" s="84" t="str">
        <f>HYPERLINK("https://twitter.com/hana_cnu6")</f>
        <v>https://twitter.com/hana_cnu6</v>
      </c>
      <c r="AZ1394" s="81" t="s">
        <v>65</v>
      </c>
    </row>
    <row r="1395" spans="1:52" x14ac:dyDescent="0.35">
      <c r="A1395" s="66" t="s">
        <v>4890</v>
      </c>
      <c r="B1395" s="67"/>
      <c r="C1395" s="67"/>
      <c r="D1395" s="68"/>
      <c r="E1395" s="94"/>
      <c r="F1395" s="93" t="str">
        <f>HYPERLINK("https://pbs.twimg.com/profile_images/1442873144394457099/hgL2NQpR_normal.jpg")</f>
        <v>https://pbs.twimg.com/profile_images/1442873144394457099/hgL2NQpR_normal.jpg</v>
      </c>
      <c r="G1395" s="95"/>
      <c r="H1395" s="71"/>
      <c r="I1395" s="72"/>
      <c r="J1395" s="96"/>
      <c r="K1395" s="71" t="s">
        <v>12332</v>
      </c>
      <c r="L1395" s="97"/>
      <c r="M1395" s="76"/>
      <c r="N1395" s="76"/>
      <c r="O1395" s="77"/>
      <c r="P1395" s="78"/>
      <c r="Q1395" s="78"/>
      <c r="R1395" s="92"/>
      <c r="S1395" s="92"/>
      <c r="T1395" s="92"/>
      <c r="U1395" s="92"/>
      <c r="V1395" s="52"/>
      <c r="W1395" s="52"/>
      <c r="X1395" s="52"/>
      <c r="Y1395" s="52"/>
      <c r="Z1395" s="51"/>
      <c r="AA1395" s="73"/>
      <c r="AB1395" s="73"/>
      <c r="AC1395" s="74"/>
      <c r="AD1395" s="81" t="s">
        <v>8945</v>
      </c>
      <c r="AE1395" s="86" t="s">
        <v>9907</v>
      </c>
      <c r="AF1395" s="81">
        <v>566</v>
      </c>
      <c r="AG1395" s="81">
        <v>715</v>
      </c>
      <c r="AH1395" s="81">
        <v>24162</v>
      </c>
      <c r="AI1395" s="81">
        <v>24525</v>
      </c>
      <c r="AJ1395" s="81"/>
      <c r="AK1395" s="81" t="s">
        <v>10825</v>
      </c>
      <c r="AL1395" s="81" t="s">
        <v>11338</v>
      </c>
      <c r="AM1395" s="81"/>
      <c r="AN1395" s="81"/>
      <c r="AO1395" s="83">
        <v>43063.751215277778</v>
      </c>
      <c r="AP1395" s="84" t="str">
        <f>HYPERLINK("https://pbs.twimg.com/profile_banners/934119864901320707/1632845022")</f>
        <v>https://pbs.twimg.com/profile_banners/934119864901320707/1632845022</v>
      </c>
      <c r="AQ1395" s="81" t="b">
        <v>1</v>
      </c>
      <c r="AR1395" s="81" t="b">
        <v>0</v>
      </c>
      <c r="AS1395" s="81" t="b">
        <v>0</v>
      </c>
      <c r="AT1395" s="81"/>
      <c r="AU1395" s="81">
        <v>4</v>
      </c>
      <c r="AV1395" s="81"/>
      <c r="AW1395" s="81" t="b">
        <v>0</v>
      </c>
      <c r="AX1395" s="81" t="s">
        <v>3728</v>
      </c>
      <c r="AY1395" s="84" t="str">
        <f>HYPERLINK("https://twitter.com/fluffycoupss")</f>
        <v>https://twitter.com/fluffycoupss</v>
      </c>
      <c r="AZ1395" s="81" t="s">
        <v>66</v>
      </c>
    </row>
    <row r="1396" spans="1:52" x14ac:dyDescent="0.35">
      <c r="A1396" s="66" t="s">
        <v>4891</v>
      </c>
      <c r="B1396" s="67"/>
      <c r="C1396" s="67"/>
      <c r="D1396" s="68"/>
      <c r="E1396" s="94"/>
      <c r="F1396" s="93" t="str">
        <f>HYPERLINK("https://pbs.twimg.com/profile_images/1435520783405576198/LAtrC5NW_normal.jpg")</f>
        <v>https://pbs.twimg.com/profile_images/1435520783405576198/LAtrC5NW_normal.jpg</v>
      </c>
      <c r="G1396" s="95"/>
      <c r="H1396" s="71"/>
      <c r="I1396" s="72"/>
      <c r="J1396" s="96"/>
      <c r="K1396" s="71" t="s">
        <v>12333</v>
      </c>
      <c r="L1396" s="97"/>
      <c r="M1396" s="76"/>
      <c r="N1396" s="76"/>
      <c r="O1396" s="77"/>
      <c r="P1396" s="78"/>
      <c r="Q1396" s="78"/>
      <c r="R1396" s="92"/>
      <c r="S1396" s="92"/>
      <c r="T1396" s="92"/>
      <c r="U1396" s="92"/>
      <c r="V1396" s="52"/>
      <c r="W1396" s="52"/>
      <c r="X1396" s="52"/>
      <c r="Y1396" s="52"/>
      <c r="Z1396" s="51"/>
      <c r="AA1396" s="73"/>
      <c r="AB1396" s="73"/>
      <c r="AC1396" s="74"/>
      <c r="AD1396" s="81" t="s">
        <v>8946</v>
      </c>
      <c r="AE1396" s="86" t="s">
        <v>9908</v>
      </c>
      <c r="AF1396" s="81">
        <v>339</v>
      </c>
      <c r="AG1396" s="81">
        <v>452</v>
      </c>
      <c r="AH1396" s="81">
        <v>95833</v>
      </c>
      <c r="AI1396" s="81">
        <v>47645</v>
      </c>
      <c r="AJ1396" s="81"/>
      <c r="AK1396" s="81" t="s">
        <v>10826</v>
      </c>
      <c r="AL1396" s="81" t="s">
        <v>3508</v>
      </c>
      <c r="AM1396" s="81"/>
      <c r="AN1396" s="81"/>
      <c r="AO1396" s="83">
        <v>41001.379733796297</v>
      </c>
      <c r="AP1396" s="84" t="str">
        <f>HYPERLINK("https://pbs.twimg.com/profile_banners/543252073/1627643404")</f>
        <v>https://pbs.twimg.com/profile_banners/543252073/1627643404</v>
      </c>
      <c r="AQ1396" s="81" t="b">
        <v>0</v>
      </c>
      <c r="AR1396" s="81" t="b">
        <v>0</v>
      </c>
      <c r="AS1396" s="81" t="b">
        <v>1</v>
      </c>
      <c r="AT1396" s="81"/>
      <c r="AU1396" s="81">
        <v>6</v>
      </c>
      <c r="AV1396" s="84" t="str">
        <f>HYPERLINK("https://abs.twimg.com/images/themes/theme19/bg.gif")</f>
        <v>https://abs.twimg.com/images/themes/theme19/bg.gif</v>
      </c>
      <c r="AW1396" s="81" t="b">
        <v>0</v>
      </c>
      <c r="AX1396" s="81" t="s">
        <v>3728</v>
      </c>
      <c r="AY1396" s="84" t="str">
        <f>HYPERLINK("https://twitter.com/kinaleeya")</f>
        <v>https://twitter.com/kinaleeya</v>
      </c>
      <c r="AZ1396" s="81" t="s">
        <v>66</v>
      </c>
    </row>
    <row r="1397" spans="1:52" x14ac:dyDescent="0.35">
      <c r="A1397" s="66" t="s">
        <v>4892</v>
      </c>
      <c r="B1397" s="67"/>
      <c r="C1397" s="67"/>
      <c r="D1397" s="68"/>
      <c r="E1397" s="94"/>
      <c r="F1397" s="93" t="str">
        <f>HYPERLINK("https://pbs.twimg.com/profile_images/834577939425423360/RXstHZ_x_normal.jpg")</f>
        <v>https://pbs.twimg.com/profile_images/834577939425423360/RXstHZ_x_normal.jpg</v>
      </c>
      <c r="G1397" s="95"/>
      <c r="H1397" s="71"/>
      <c r="I1397" s="72"/>
      <c r="J1397" s="96"/>
      <c r="K1397" s="71" t="s">
        <v>12334</v>
      </c>
      <c r="L1397" s="97"/>
      <c r="M1397" s="76"/>
      <c r="N1397" s="76"/>
      <c r="O1397" s="77"/>
      <c r="P1397" s="78"/>
      <c r="Q1397" s="78"/>
      <c r="R1397" s="92"/>
      <c r="S1397" s="92"/>
      <c r="T1397" s="92"/>
      <c r="U1397" s="92"/>
      <c r="V1397" s="52"/>
      <c r="W1397" s="52"/>
      <c r="X1397" s="52"/>
      <c r="Y1397" s="52"/>
      <c r="Z1397" s="51"/>
      <c r="AA1397" s="73"/>
      <c r="AB1397" s="73"/>
      <c r="AC1397" s="74"/>
      <c r="AD1397" s="81" t="s">
        <v>8947</v>
      </c>
      <c r="AE1397" s="86" t="s">
        <v>9909</v>
      </c>
      <c r="AF1397" s="81">
        <v>189</v>
      </c>
      <c r="AG1397" s="81">
        <v>337</v>
      </c>
      <c r="AH1397" s="81">
        <v>38910</v>
      </c>
      <c r="AI1397" s="81">
        <v>1866</v>
      </c>
      <c r="AJ1397" s="81"/>
      <c r="AK1397" s="81" t="s">
        <v>10827</v>
      </c>
      <c r="AL1397" s="81"/>
      <c r="AM1397" s="81"/>
      <c r="AN1397" s="81"/>
      <c r="AO1397" s="83">
        <v>40560.036574074074</v>
      </c>
      <c r="AP1397" s="84" t="str">
        <f>HYPERLINK("https://pbs.twimg.com/profile_banners/239176634/1487813697")</f>
        <v>https://pbs.twimg.com/profile_banners/239176634/1487813697</v>
      </c>
      <c r="AQ1397" s="81" t="b">
        <v>0</v>
      </c>
      <c r="AR1397" s="81" t="b">
        <v>0</v>
      </c>
      <c r="AS1397" s="81" t="b">
        <v>1</v>
      </c>
      <c r="AT1397" s="81"/>
      <c r="AU1397" s="81">
        <v>0</v>
      </c>
      <c r="AV1397" s="84" t="str">
        <f>HYPERLINK("https://abs.twimg.com/images/themes/theme1/bg.png")</f>
        <v>https://abs.twimg.com/images/themes/theme1/bg.png</v>
      </c>
      <c r="AW1397" s="81" t="b">
        <v>0</v>
      </c>
      <c r="AX1397" s="81" t="s">
        <v>3728</v>
      </c>
      <c r="AY1397" s="84" t="str">
        <f>HYPERLINK("https://twitter.com/fadhlixzahari")</f>
        <v>https://twitter.com/fadhlixzahari</v>
      </c>
      <c r="AZ1397" s="81" t="s">
        <v>66</v>
      </c>
    </row>
    <row r="1398" spans="1:52" x14ac:dyDescent="0.35">
      <c r="A1398" s="66" t="s">
        <v>4893</v>
      </c>
      <c r="B1398" s="67"/>
      <c r="C1398" s="67"/>
      <c r="D1398" s="68"/>
      <c r="E1398" s="94"/>
      <c r="F1398" s="93" t="str">
        <f>HYPERLINK("https://pbs.twimg.com/profile_images/1353222269514866690/2yDj2KUS_normal.jpg")</f>
        <v>https://pbs.twimg.com/profile_images/1353222269514866690/2yDj2KUS_normal.jpg</v>
      </c>
      <c r="G1398" s="95"/>
      <c r="H1398" s="71"/>
      <c r="I1398" s="72"/>
      <c r="J1398" s="96"/>
      <c r="K1398" s="71" t="s">
        <v>12335</v>
      </c>
      <c r="L1398" s="97"/>
      <c r="M1398" s="76"/>
      <c r="N1398" s="76"/>
      <c r="O1398" s="77"/>
      <c r="P1398" s="78"/>
      <c r="Q1398" s="78"/>
      <c r="R1398" s="92"/>
      <c r="S1398" s="92"/>
      <c r="T1398" s="92"/>
      <c r="U1398" s="92"/>
      <c r="V1398" s="52"/>
      <c r="W1398" s="52"/>
      <c r="X1398" s="52"/>
      <c r="Y1398" s="52"/>
      <c r="Z1398" s="51"/>
      <c r="AA1398" s="73"/>
      <c r="AB1398" s="73"/>
      <c r="AC1398" s="74"/>
      <c r="AD1398" s="81" t="s">
        <v>8948</v>
      </c>
      <c r="AE1398" s="86" t="s">
        <v>9910</v>
      </c>
      <c r="AF1398" s="81">
        <v>9</v>
      </c>
      <c r="AG1398" s="81">
        <v>398</v>
      </c>
      <c r="AH1398" s="81">
        <v>2265</v>
      </c>
      <c r="AI1398" s="81">
        <v>404</v>
      </c>
      <c r="AJ1398" s="81"/>
      <c r="AK1398" s="81" t="s">
        <v>13951</v>
      </c>
      <c r="AL1398" s="81" t="s">
        <v>3514</v>
      </c>
      <c r="AM1398" s="84" t="str">
        <f>HYPERLINK("https://t.co/WzsRowaRPu")</f>
        <v>https://t.co/WzsRowaRPu</v>
      </c>
      <c r="AN1398" s="81"/>
      <c r="AO1398" s="83">
        <v>44200.842476851853</v>
      </c>
      <c r="AP1398" s="84" t="str">
        <f>HYPERLINK("https://pbs.twimg.com/profile_banners/1346187858869014528/1610747991")</f>
        <v>https://pbs.twimg.com/profile_banners/1346187858869014528/1610747991</v>
      </c>
      <c r="AQ1398" s="81" t="b">
        <v>1</v>
      </c>
      <c r="AR1398" s="81" t="b">
        <v>0</v>
      </c>
      <c r="AS1398" s="81" t="b">
        <v>0</v>
      </c>
      <c r="AT1398" s="81"/>
      <c r="AU1398" s="81">
        <v>1</v>
      </c>
      <c r="AV1398" s="81"/>
      <c r="AW1398" s="81" t="b">
        <v>0</v>
      </c>
      <c r="AX1398" s="81" t="s">
        <v>3728</v>
      </c>
      <c r="AY1398" s="84" t="str">
        <f>HYPERLINK("https://twitter.com/littlerose_go")</f>
        <v>https://twitter.com/littlerose_go</v>
      </c>
      <c r="AZ1398" s="81" t="s">
        <v>66</v>
      </c>
    </row>
    <row r="1399" spans="1:52" x14ac:dyDescent="0.35">
      <c r="A1399" s="66" t="s">
        <v>4894</v>
      </c>
      <c r="B1399" s="67"/>
      <c r="C1399" s="67"/>
      <c r="D1399" s="68"/>
      <c r="E1399" s="94"/>
      <c r="F1399" s="93" t="str">
        <f>HYPERLINK("https://pbs.twimg.com/profile_images/1410290319397060608/RkIvboEe_normal.jpg")</f>
        <v>https://pbs.twimg.com/profile_images/1410290319397060608/RkIvboEe_normal.jpg</v>
      </c>
      <c r="G1399" s="95"/>
      <c r="H1399" s="71"/>
      <c r="I1399" s="72"/>
      <c r="J1399" s="96"/>
      <c r="K1399" s="71" t="s">
        <v>12336</v>
      </c>
      <c r="L1399" s="97"/>
      <c r="M1399" s="76"/>
      <c r="N1399" s="76"/>
      <c r="O1399" s="77"/>
      <c r="P1399" s="78"/>
      <c r="Q1399" s="78"/>
      <c r="R1399" s="92"/>
      <c r="S1399" s="92"/>
      <c r="T1399" s="92"/>
      <c r="U1399" s="92"/>
      <c r="V1399" s="52"/>
      <c r="W1399" s="52"/>
      <c r="X1399" s="52"/>
      <c r="Y1399" s="52"/>
      <c r="Z1399" s="51"/>
      <c r="AA1399" s="73"/>
      <c r="AB1399" s="73"/>
      <c r="AC1399" s="74"/>
      <c r="AD1399" s="81" t="s">
        <v>8949</v>
      </c>
      <c r="AE1399" s="86" t="s">
        <v>9911</v>
      </c>
      <c r="AF1399" s="81">
        <v>443</v>
      </c>
      <c r="AG1399" s="81">
        <v>161</v>
      </c>
      <c r="AH1399" s="81">
        <v>4225</v>
      </c>
      <c r="AI1399" s="81">
        <v>16494</v>
      </c>
      <c r="AJ1399" s="81"/>
      <c r="AK1399" s="81" t="s">
        <v>10828</v>
      </c>
      <c r="AL1399" s="81" t="s">
        <v>3508</v>
      </c>
      <c r="AM1399" s="84" t="str">
        <f>HYPERLINK("https://t.co/rZQaEiPG7f")</f>
        <v>https://t.co/rZQaEiPG7f</v>
      </c>
      <c r="AN1399" s="81"/>
      <c r="AO1399" s="83">
        <v>44353.437881944446</v>
      </c>
      <c r="AP1399" s="84" t="str">
        <f>HYPERLINK("https://pbs.twimg.com/profile_banners/1401486603466403842/1628445375")</f>
        <v>https://pbs.twimg.com/profile_banners/1401486603466403842/1628445375</v>
      </c>
      <c r="AQ1399" s="81" t="b">
        <v>1</v>
      </c>
      <c r="AR1399" s="81" t="b">
        <v>0</v>
      </c>
      <c r="AS1399" s="81" t="b">
        <v>0</v>
      </c>
      <c r="AT1399" s="81"/>
      <c r="AU1399" s="81">
        <v>0</v>
      </c>
      <c r="AV1399" s="81"/>
      <c r="AW1399" s="81" t="b">
        <v>0</v>
      </c>
      <c r="AX1399" s="81" t="s">
        <v>3728</v>
      </c>
      <c r="AY1399" s="84" t="str">
        <f>HYPERLINK("https://twitter.com/amirassdina")</f>
        <v>https://twitter.com/amirassdina</v>
      </c>
      <c r="AZ1399" s="81" t="s">
        <v>66</v>
      </c>
    </row>
    <row r="1400" spans="1:52" x14ac:dyDescent="0.35">
      <c r="A1400" s="66" t="s">
        <v>4895</v>
      </c>
      <c r="B1400" s="67"/>
      <c r="C1400" s="67"/>
      <c r="D1400" s="68"/>
      <c r="E1400" s="94"/>
      <c r="F1400" s="93" t="str">
        <f>HYPERLINK("https://pbs.twimg.com/profile_images/1432288372467257348/PartgO___normal.jpg")</f>
        <v>https://pbs.twimg.com/profile_images/1432288372467257348/PartgO___normal.jpg</v>
      </c>
      <c r="G1400" s="95"/>
      <c r="H1400" s="71"/>
      <c r="I1400" s="72"/>
      <c r="J1400" s="96"/>
      <c r="K1400" s="71" t="s">
        <v>12337</v>
      </c>
      <c r="L1400" s="97"/>
      <c r="M1400" s="76"/>
      <c r="N1400" s="76"/>
      <c r="O1400" s="77"/>
      <c r="P1400" s="78"/>
      <c r="Q1400" s="78"/>
      <c r="R1400" s="92"/>
      <c r="S1400" s="92"/>
      <c r="T1400" s="92"/>
      <c r="U1400" s="92"/>
      <c r="V1400" s="52"/>
      <c r="W1400" s="52"/>
      <c r="X1400" s="52"/>
      <c r="Y1400" s="52"/>
      <c r="Z1400" s="51"/>
      <c r="AA1400" s="73"/>
      <c r="AB1400" s="73"/>
      <c r="AC1400" s="74"/>
      <c r="AD1400" s="81" t="s">
        <v>8950</v>
      </c>
      <c r="AE1400" s="86" t="s">
        <v>9912</v>
      </c>
      <c r="AF1400" s="81">
        <v>423</v>
      </c>
      <c r="AG1400" s="81">
        <v>418</v>
      </c>
      <c r="AH1400" s="81">
        <v>868</v>
      </c>
      <c r="AI1400" s="81">
        <v>22888</v>
      </c>
      <c r="AJ1400" s="81"/>
      <c r="AK1400" s="81" t="s">
        <v>10829</v>
      </c>
      <c r="AL1400" s="81" t="s">
        <v>11331</v>
      </c>
      <c r="AM1400" s="81"/>
      <c r="AN1400" s="81"/>
      <c r="AO1400" s="83">
        <v>44224.697789351849</v>
      </c>
      <c r="AP1400" s="84" t="str">
        <f>HYPERLINK("https://pbs.twimg.com/profile_banners/1354832758640533506/1628639286")</f>
        <v>https://pbs.twimg.com/profile_banners/1354832758640533506/1628639286</v>
      </c>
      <c r="AQ1400" s="81" t="b">
        <v>1</v>
      </c>
      <c r="AR1400" s="81" t="b">
        <v>0</v>
      </c>
      <c r="AS1400" s="81" t="b">
        <v>0</v>
      </c>
      <c r="AT1400" s="81"/>
      <c r="AU1400" s="81">
        <v>0</v>
      </c>
      <c r="AV1400" s="81"/>
      <c r="AW1400" s="81" t="b">
        <v>0</v>
      </c>
      <c r="AX1400" s="81" t="s">
        <v>3728</v>
      </c>
      <c r="AY1400" s="84" t="str">
        <f>HYPERLINK("https://twitter.com/f4irywho")</f>
        <v>https://twitter.com/f4irywho</v>
      </c>
      <c r="AZ1400" s="81" t="s">
        <v>66</v>
      </c>
    </row>
    <row r="1401" spans="1:52" x14ac:dyDescent="0.35">
      <c r="A1401" s="66" t="s">
        <v>12502</v>
      </c>
      <c r="B1401" s="67"/>
      <c r="C1401" s="67"/>
      <c r="D1401" s="68"/>
      <c r="E1401" s="94"/>
      <c r="F1401" s="93" t="str">
        <f>HYPERLINK("https://pbs.twimg.com/profile_images/1301423455217184768/OY5Eyb4I_normal.jpg")</f>
        <v>https://pbs.twimg.com/profile_images/1301423455217184768/OY5Eyb4I_normal.jpg</v>
      </c>
      <c r="G1401" s="95"/>
      <c r="H1401" s="71"/>
      <c r="I1401" s="72"/>
      <c r="J1401" s="96"/>
      <c r="K1401" s="71" t="s">
        <v>14280</v>
      </c>
      <c r="L1401" s="97"/>
      <c r="M1401" s="76"/>
      <c r="N1401" s="76"/>
      <c r="O1401" s="77"/>
      <c r="P1401" s="78"/>
      <c r="Q1401" s="78"/>
      <c r="R1401" s="92"/>
      <c r="S1401" s="92"/>
      <c r="T1401" s="92"/>
      <c r="U1401" s="92"/>
      <c r="V1401" s="52"/>
      <c r="W1401" s="52"/>
      <c r="X1401" s="52"/>
      <c r="Y1401" s="52"/>
      <c r="Z1401" s="51"/>
      <c r="AA1401" s="73"/>
      <c r="AB1401" s="73"/>
      <c r="AC1401" s="74"/>
      <c r="AD1401" s="81" t="s">
        <v>13496</v>
      </c>
      <c r="AE1401" s="86" t="s">
        <v>13726</v>
      </c>
      <c r="AF1401" s="81">
        <v>169</v>
      </c>
      <c r="AG1401" s="81">
        <v>360248</v>
      </c>
      <c r="AH1401" s="81">
        <v>917323</v>
      </c>
      <c r="AI1401" s="81">
        <v>5680</v>
      </c>
      <c r="AJ1401" s="81"/>
      <c r="AK1401" s="81" t="s">
        <v>13952</v>
      </c>
      <c r="AL1401" s="81" t="s">
        <v>3569</v>
      </c>
      <c r="AM1401" s="84" t="str">
        <f>HYPERLINK("https://t.co/w8UTgJPbbX")</f>
        <v>https://t.co/w8UTgJPbbX</v>
      </c>
      <c r="AN1401" s="81"/>
      <c r="AO1401" s="83">
        <v>40540.34878472222</v>
      </c>
      <c r="AP1401" s="84" t="str">
        <f>HYPERLINK("https://pbs.twimg.com/profile_banners/231355136/1606282159")</f>
        <v>https://pbs.twimg.com/profile_banners/231355136/1606282159</v>
      </c>
      <c r="AQ1401" s="81" t="b">
        <v>0</v>
      </c>
      <c r="AR1401" s="81" t="b">
        <v>0</v>
      </c>
      <c r="AS1401" s="81" t="b">
        <v>1</v>
      </c>
      <c r="AT1401" s="81"/>
      <c r="AU1401" s="81">
        <v>645</v>
      </c>
      <c r="AV1401" s="84" t="str">
        <f>HYPERLINK("https://abs.twimg.com/images/themes/theme18/bg.gif")</f>
        <v>https://abs.twimg.com/images/themes/theme18/bg.gif</v>
      </c>
      <c r="AW1401" s="81" t="b">
        <v>1</v>
      </c>
      <c r="AX1401" s="81" t="s">
        <v>3728</v>
      </c>
      <c r="AY1401" s="84" t="str">
        <f>HYPERLINK("https://twitter.com/sindonews")</f>
        <v>https://twitter.com/sindonews</v>
      </c>
      <c r="AZ1401" s="81" t="s">
        <v>66</v>
      </c>
    </row>
    <row r="1402" spans="1:52" x14ac:dyDescent="0.35">
      <c r="A1402" s="66" t="s">
        <v>12503</v>
      </c>
      <c r="B1402" s="67"/>
      <c r="C1402" s="67"/>
      <c r="D1402" s="68"/>
      <c r="E1402" s="94"/>
      <c r="F1402" s="93" t="str">
        <f>HYPERLINK("https://pbs.twimg.com/profile_images/1439119435831263236/jyBRIry8_normal.jpg")</f>
        <v>https://pbs.twimg.com/profile_images/1439119435831263236/jyBRIry8_normal.jpg</v>
      </c>
      <c r="G1402" s="95"/>
      <c r="H1402" s="71"/>
      <c r="I1402" s="72"/>
      <c r="J1402" s="96"/>
      <c r="K1402" s="71" t="s">
        <v>14281</v>
      </c>
      <c r="L1402" s="97"/>
      <c r="M1402" s="76"/>
      <c r="N1402" s="76"/>
      <c r="O1402" s="77"/>
      <c r="P1402" s="78"/>
      <c r="Q1402" s="78"/>
      <c r="R1402" s="92"/>
      <c r="S1402" s="92"/>
      <c r="T1402" s="92"/>
      <c r="U1402" s="92"/>
      <c r="V1402" s="52"/>
      <c r="W1402" s="52"/>
      <c r="X1402" s="52"/>
      <c r="Y1402" s="52"/>
      <c r="Z1402" s="51"/>
      <c r="AA1402" s="73"/>
      <c r="AB1402" s="73"/>
      <c r="AC1402" s="74"/>
      <c r="AD1402" s="81" t="s">
        <v>8951</v>
      </c>
      <c r="AE1402" s="86" t="s">
        <v>9913</v>
      </c>
      <c r="AF1402" s="81">
        <v>900</v>
      </c>
      <c r="AG1402" s="81">
        <v>1263</v>
      </c>
      <c r="AH1402" s="81">
        <v>25421</v>
      </c>
      <c r="AI1402" s="81">
        <v>47445</v>
      </c>
      <c r="AJ1402" s="81"/>
      <c r="AK1402" s="81" t="s">
        <v>13953</v>
      </c>
      <c r="AL1402" s="81" t="s">
        <v>14163</v>
      </c>
      <c r="AM1402" s="81"/>
      <c r="AN1402" s="81"/>
      <c r="AO1402" s="83">
        <v>42510.20784722222</v>
      </c>
      <c r="AP1402" s="84" t="str">
        <f>HYPERLINK("https://pbs.twimg.com/profile_banners/733522466367102980/1631991510")</f>
        <v>https://pbs.twimg.com/profile_banners/733522466367102980/1631991510</v>
      </c>
      <c r="AQ1402" s="81" t="b">
        <v>1</v>
      </c>
      <c r="AR1402" s="81" t="b">
        <v>0</v>
      </c>
      <c r="AS1402" s="81" t="b">
        <v>0</v>
      </c>
      <c r="AT1402" s="81"/>
      <c r="AU1402" s="81">
        <v>2</v>
      </c>
      <c r="AV1402" s="81"/>
      <c r="AW1402" s="81" t="b">
        <v>0</v>
      </c>
      <c r="AX1402" s="81" t="s">
        <v>3728</v>
      </c>
      <c r="AY1402" s="84" t="str">
        <f>HYPERLINK("https://twitter.com/jaewoolatte")</f>
        <v>https://twitter.com/jaewoolatte</v>
      </c>
      <c r="AZ1402" s="81" t="s">
        <v>66</v>
      </c>
    </row>
    <row r="1403" spans="1:52" x14ac:dyDescent="0.35">
      <c r="A1403" s="66" t="s">
        <v>4896</v>
      </c>
      <c r="B1403" s="67"/>
      <c r="C1403" s="67"/>
      <c r="D1403" s="68"/>
      <c r="E1403" s="94"/>
      <c r="F1403" s="93" t="str">
        <f>HYPERLINK("https://pbs.twimg.com/profile_images/1278698660033736704/-MQzCIhQ_normal.jpg")</f>
        <v>https://pbs.twimg.com/profile_images/1278698660033736704/-MQzCIhQ_normal.jpg</v>
      </c>
      <c r="G1403" s="95"/>
      <c r="H1403" s="71"/>
      <c r="I1403" s="72"/>
      <c r="J1403" s="96"/>
      <c r="K1403" s="71" t="s">
        <v>12338</v>
      </c>
      <c r="L1403" s="97"/>
      <c r="M1403" s="76"/>
      <c r="N1403" s="76"/>
      <c r="O1403" s="77"/>
      <c r="P1403" s="78"/>
      <c r="Q1403" s="78"/>
      <c r="R1403" s="92"/>
      <c r="S1403" s="92"/>
      <c r="T1403" s="92"/>
      <c r="U1403" s="92"/>
      <c r="V1403" s="52"/>
      <c r="W1403" s="52"/>
      <c r="X1403" s="52"/>
      <c r="Y1403" s="52"/>
      <c r="Z1403" s="51"/>
      <c r="AA1403" s="73"/>
      <c r="AB1403" s="73"/>
      <c r="AC1403" s="74"/>
      <c r="AD1403" s="81" t="s">
        <v>8952</v>
      </c>
      <c r="AE1403" s="86" t="s">
        <v>9914</v>
      </c>
      <c r="AF1403" s="81">
        <v>305</v>
      </c>
      <c r="AG1403" s="81">
        <v>290</v>
      </c>
      <c r="AH1403" s="81">
        <v>2762</v>
      </c>
      <c r="AI1403" s="81">
        <v>1</v>
      </c>
      <c r="AJ1403" s="81"/>
      <c r="AK1403" s="81" t="s">
        <v>10830</v>
      </c>
      <c r="AL1403" s="81"/>
      <c r="AM1403" s="81"/>
      <c r="AN1403" s="81"/>
      <c r="AO1403" s="83">
        <v>43956.583275462966</v>
      </c>
      <c r="AP1403" s="84" t="str">
        <f>HYPERLINK("https://pbs.twimg.com/profile_banners/1257671330285191168/1593700622")</f>
        <v>https://pbs.twimg.com/profile_banners/1257671330285191168/1593700622</v>
      </c>
      <c r="AQ1403" s="81" t="b">
        <v>1</v>
      </c>
      <c r="AR1403" s="81" t="b">
        <v>0</v>
      </c>
      <c r="AS1403" s="81" t="b">
        <v>0</v>
      </c>
      <c r="AT1403" s="81"/>
      <c r="AU1403" s="81">
        <v>5</v>
      </c>
      <c r="AV1403" s="81"/>
      <c r="AW1403" s="81" t="b">
        <v>0</v>
      </c>
      <c r="AX1403" s="81" t="s">
        <v>3728</v>
      </c>
      <c r="AY1403" s="84" t="str">
        <f>HYPERLINK("https://twitter.com/geraleconomia")</f>
        <v>https://twitter.com/geraleconomia</v>
      </c>
      <c r="AZ1403" s="81" t="s">
        <v>66</v>
      </c>
    </row>
    <row r="1404" spans="1:52" x14ac:dyDescent="0.35">
      <c r="A1404" s="66" t="s">
        <v>4897</v>
      </c>
      <c r="B1404" s="67"/>
      <c r="C1404" s="67"/>
      <c r="D1404" s="68"/>
      <c r="E1404" s="94"/>
      <c r="F1404" s="93" t="str">
        <f>HYPERLINK("https://pbs.twimg.com/profile_images/947438437979717632/OdJ283HE_normal.jpg")</f>
        <v>https://pbs.twimg.com/profile_images/947438437979717632/OdJ283HE_normal.jpg</v>
      </c>
      <c r="G1404" s="95"/>
      <c r="H1404" s="71"/>
      <c r="I1404" s="72"/>
      <c r="J1404" s="96"/>
      <c r="K1404" s="71" t="s">
        <v>12339</v>
      </c>
      <c r="L1404" s="97"/>
      <c r="M1404" s="76"/>
      <c r="N1404" s="76"/>
      <c r="O1404" s="77"/>
      <c r="P1404" s="78"/>
      <c r="Q1404" s="78"/>
      <c r="R1404" s="92"/>
      <c r="S1404" s="92"/>
      <c r="T1404" s="92"/>
      <c r="U1404" s="92"/>
      <c r="V1404" s="52"/>
      <c r="W1404" s="52"/>
      <c r="X1404" s="52"/>
      <c r="Y1404" s="52"/>
      <c r="Z1404" s="51"/>
      <c r="AA1404" s="73"/>
      <c r="AB1404" s="73"/>
      <c r="AC1404" s="74"/>
      <c r="AD1404" s="81" t="s">
        <v>8953</v>
      </c>
      <c r="AE1404" s="86" t="s">
        <v>9915</v>
      </c>
      <c r="AF1404" s="81">
        <v>343</v>
      </c>
      <c r="AG1404" s="81">
        <v>561</v>
      </c>
      <c r="AH1404" s="81">
        <v>59093</v>
      </c>
      <c r="AI1404" s="81">
        <v>796</v>
      </c>
      <c r="AJ1404" s="81"/>
      <c r="AK1404" s="81"/>
      <c r="AL1404" s="81" t="s">
        <v>2202</v>
      </c>
      <c r="AM1404" s="84" t="str">
        <f>HYPERLINK("https://t.co/mZ1BnKvKNa")</f>
        <v>https://t.co/mZ1BnKvKNa</v>
      </c>
      <c r="AN1404" s="81"/>
      <c r="AO1404" s="83">
        <v>39972.331203703703</v>
      </c>
      <c r="AP1404" s="84" t="str">
        <f>HYPERLINK("https://pbs.twimg.com/profile_banners/45523007/1545666881")</f>
        <v>https://pbs.twimg.com/profile_banners/45523007/1545666881</v>
      </c>
      <c r="AQ1404" s="81" t="b">
        <v>0</v>
      </c>
      <c r="AR1404" s="81" t="b">
        <v>0</v>
      </c>
      <c r="AS1404" s="81" t="b">
        <v>1</v>
      </c>
      <c r="AT1404" s="81"/>
      <c r="AU1404" s="81">
        <v>2</v>
      </c>
      <c r="AV1404" s="84" t="str">
        <f>HYPERLINK("https://abs.twimg.com/images/themes/theme1/bg.png")</f>
        <v>https://abs.twimg.com/images/themes/theme1/bg.png</v>
      </c>
      <c r="AW1404" s="81" t="b">
        <v>0</v>
      </c>
      <c r="AX1404" s="81" t="s">
        <v>3728</v>
      </c>
      <c r="AY1404" s="84" t="str">
        <f>HYPERLINK("https://twitter.com/rainaverina")</f>
        <v>https://twitter.com/rainaverina</v>
      </c>
      <c r="AZ1404" s="81" t="s">
        <v>66</v>
      </c>
    </row>
    <row r="1405" spans="1:52" x14ac:dyDescent="0.35">
      <c r="A1405" s="66" t="s">
        <v>4898</v>
      </c>
      <c r="B1405" s="67"/>
      <c r="C1405" s="67"/>
      <c r="D1405" s="68"/>
      <c r="E1405" s="94"/>
      <c r="F1405" s="93" t="str">
        <f>HYPERLINK("https://pbs.twimg.com/profile_images/1442835240813150213/0jDkOrpI_normal.jpg")</f>
        <v>https://pbs.twimg.com/profile_images/1442835240813150213/0jDkOrpI_normal.jpg</v>
      </c>
      <c r="G1405" s="95"/>
      <c r="H1405" s="71"/>
      <c r="I1405" s="72"/>
      <c r="J1405" s="96"/>
      <c r="K1405" s="71" t="s">
        <v>12340</v>
      </c>
      <c r="L1405" s="97"/>
      <c r="M1405" s="76"/>
      <c r="N1405" s="76"/>
      <c r="O1405" s="77"/>
      <c r="P1405" s="78"/>
      <c r="Q1405" s="78"/>
      <c r="R1405" s="92"/>
      <c r="S1405" s="92"/>
      <c r="T1405" s="92"/>
      <c r="U1405" s="92"/>
      <c r="V1405" s="52"/>
      <c r="W1405" s="52"/>
      <c r="X1405" s="52"/>
      <c r="Y1405" s="52"/>
      <c r="Z1405" s="51"/>
      <c r="AA1405" s="73"/>
      <c r="AB1405" s="73"/>
      <c r="AC1405" s="74"/>
      <c r="AD1405" s="81" t="s">
        <v>8954</v>
      </c>
      <c r="AE1405" s="86" t="s">
        <v>9916</v>
      </c>
      <c r="AF1405" s="81">
        <v>923</v>
      </c>
      <c r="AG1405" s="81">
        <v>820</v>
      </c>
      <c r="AH1405" s="81">
        <v>22088</v>
      </c>
      <c r="AI1405" s="81">
        <v>18448</v>
      </c>
      <c r="AJ1405" s="81"/>
      <c r="AK1405" s="81" t="s">
        <v>10831</v>
      </c>
      <c r="AL1405" s="81" t="s">
        <v>11339</v>
      </c>
      <c r="AM1405" s="84" t="str">
        <f>HYPERLINK("https://t.co/hmk3hELloy")</f>
        <v>https://t.co/hmk3hELloy</v>
      </c>
      <c r="AN1405" s="81"/>
      <c r="AO1405" s="83">
        <v>43862.311851851853</v>
      </c>
      <c r="AP1405" s="84" t="str">
        <f>HYPERLINK("https://pbs.twimg.com/profile_banners/1223508484907360257/1632672529")</f>
        <v>https://pbs.twimg.com/profile_banners/1223508484907360257/1632672529</v>
      </c>
      <c r="AQ1405" s="81" t="b">
        <v>1</v>
      </c>
      <c r="AR1405" s="81" t="b">
        <v>0</v>
      </c>
      <c r="AS1405" s="81" t="b">
        <v>0</v>
      </c>
      <c r="AT1405" s="81"/>
      <c r="AU1405" s="81">
        <v>6</v>
      </c>
      <c r="AV1405" s="81"/>
      <c r="AW1405" s="81" t="b">
        <v>0</v>
      </c>
      <c r="AX1405" s="81" t="s">
        <v>3728</v>
      </c>
      <c r="AY1405" s="84" t="str">
        <f>HYPERLINK("https://twitter.com/luvlych4nhee")</f>
        <v>https://twitter.com/luvlych4nhee</v>
      </c>
      <c r="AZ1405" s="81" t="s">
        <v>66</v>
      </c>
    </row>
    <row r="1406" spans="1:52" x14ac:dyDescent="0.35">
      <c r="A1406" s="66" t="s">
        <v>545</v>
      </c>
      <c r="B1406" s="67"/>
      <c r="C1406" s="67"/>
      <c r="D1406" s="68"/>
      <c r="E1406" s="94"/>
      <c r="F1406" s="93" t="str">
        <f>HYPERLINK("https://pbs.twimg.com/profile_images/1438541233249394698/xzEkQyB7_normal.jpg")</f>
        <v>https://pbs.twimg.com/profile_images/1438541233249394698/xzEkQyB7_normal.jpg</v>
      </c>
      <c r="G1406" s="95"/>
      <c r="H1406" s="71"/>
      <c r="I1406" s="72"/>
      <c r="J1406" s="96"/>
      <c r="K1406" s="71" t="s">
        <v>12341</v>
      </c>
      <c r="L1406" s="97"/>
      <c r="M1406" s="76"/>
      <c r="N1406" s="76"/>
      <c r="O1406" s="77"/>
      <c r="P1406" s="78"/>
      <c r="Q1406" s="78"/>
      <c r="R1406" s="92"/>
      <c r="S1406" s="92"/>
      <c r="T1406" s="92"/>
      <c r="U1406" s="92"/>
      <c r="V1406" s="52"/>
      <c r="W1406" s="52"/>
      <c r="X1406" s="52"/>
      <c r="Y1406" s="52"/>
      <c r="Z1406" s="51"/>
      <c r="AA1406" s="73"/>
      <c r="AB1406" s="73"/>
      <c r="AC1406" s="74"/>
      <c r="AD1406" s="81" t="s">
        <v>2628</v>
      </c>
      <c r="AE1406" s="86" t="s">
        <v>2161</v>
      </c>
      <c r="AF1406" s="81">
        <v>129</v>
      </c>
      <c r="AG1406" s="81">
        <v>122</v>
      </c>
      <c r="AH1406" s="81">
        <v>7139</v>
      </c>
      <c r="AI1406" s="81">
        <v>5234</v>
      </c>
      <c r="AJ1406" s="81"/>
      <c r="AK1406" s="81" t="s">
        <v>3453</v>
      </c>
      <c r="AL1406" s="81" t="s">
        <v>3710</v>
      </c>
      <c r="AM1406" s="81"/>
      <c r="AN1406" s="81"/>
      <c r="AO1406" s="83">
        <v>43670.342511574076</v>
      </c>
      <c r="AP1406" s="84" t="str">
        <f>HYPERLINK("https://pbs.twimg.com/profile_banners/1153941188866482176/1632404977")</f>
        <v>https://pbs.twimg.com/profile_banners/1153941188866482176/1632404977</v>
      </c>
      <c r="AQ1406" s="81" t="b">
        <v>1</v>
      </c>
      <c r="AR1406" s="81" t="b">
        <v>0</v>
      </c>
      <c r="AS1406" s="81" t="b">
        <v>0</v>
      </c>
      <c r="AT1406" s="81"/>
      <c r="AU1406" s="81">
        <v>2</v>
      </c>
      <c r="AV1406" s="81"/>
      <c r="AW1406" s="81" t="b">
        <v>0</v>
      </c>
      <c r="AX1406" s="81" t="s">
        <v>3728</v>
      </c>
      <c r="AY1406" s="84" t="str">
        <f>HYPERLINK("https://twitter.com/joshyyyy111")</f>
        <v>https://twitter.com/joshyyyy111</v>
      </c>
      <c r="AZ1406" s="81" t="s">
        <v>66</v>
      </c>
    </row>
    <row r="1407" spans="1:52" x14ac:dyDescent="0.35">
      <c r="A1407" s="66" t="s">
        <v>4899</v>
      </c>
      <c r="B1407" s="67"/>
      <c r="C1407" s="67"/>
      <c r="D1407" s="68"/>
      <c r="E1407" s="94"/>
      <c r="F1407" s="93" t="str">
        <f>HYPERLINK("https://pbs.twimg.com/profile_images/1421482051849494528/-Vl5Fpgy_normal.jpg")</f>
        <v>https://pbs.twimg.com/profile_images/1421482051849494528/-Vl5Fpgy_normal.jpg</v>
      </c>
      <c r="G1407" s="95"/>
      <c r="H1407" s="71"/>
      <c r="I1407" s="72"/>
      <c r="J1407" s="96"/>
      <c r="K1407" s="71" t="s">
        <v>12342</v>
      </c>
      <c r="L1407" s="97"/>
      <c r="M1407" s="76"/>
      <c r="N1407" s="76"/>
      <c r="O1407" s="77"/>
      <c r="P1407" s="78"/>
      <c r="Q1407" s="78"/>
      <c r="R1407" s="92"/>
      <c r="S1407" s="92"/>
      <c r="T1407" s="92"/>
      <c r="U1407" s="92"/>
      <c r="V1407" s="52"/>
      <c r="W1407" s="52"/>
      <c r="X1407" s="52"/>
      <c r="Y1407" s="52"/>
      <c r="Z1407" s="51"/>
      <c r="AA1407" s="73"/>
      <c r="AB1407" s="73"/>
      <c r="AC1407" s="74"/>
      <c r="AD1407" s="81" t="s">
        <v>8955</v>
      </c>
      <c r="AE1407" s="86" t="s">
        <v>9917</v>
      </c>
      <c r="AF1407" s="81">
        <v>92</v>
      </c>
      <c r="AG1407" s="81">
        <v>7</v>
      </c>
      <c r="AH1407" s="81">
        <v>455</v>
      </c>
      <c r="AI1407" s="81">
        <v>292</v>
      </c>
      <c r="AJ1407" s="81"/>
      <c r="AK1407" s="81" t="s">
        <v>10832</v>
      </c>
      <c r="AL1407" s="81" t="s">
        <v>3514</v>
      </c>
      <c r="AM1407" s="81"/>
      <c r="AN1407" s="81"/>
      <c r="AO1407" s="83">
        <v>42001.211597222224</v>
      </c>
      <c r="AP1407" s="84" t="str">
        <f>HYPERLINK("https://pbs.twimg.com/profile_banners/2945852570/1632584066")</f>
        <v>https://pbs.twimg.com/profile_banners/2945852570/1632584066</v>
      </c>
      <c r="AQ1407" s="81" t="b">
        <v>1</v>
      </c>
      <c r="AR1407" s="81" t="b">
        <v>0</v>
      </c>
      <c r="AS1407" s="81" t="b">
        <v>0</v>
      </c>
      <c r="AT1407" s="81"/>
      <c r="AU1407" s="81">
        <v>0</v>
      </c>
      <c r="AV1407" s="84" t="str">
        <f>HYPERLINK("https://abs.twimg.com/images/themes/theme1/bg.png")</f>
        <v>https://abs.twimg.com/images/themes/theme1/bg.png</v>
      </c>
      <c r="AW1407" s="81" t="b">
        <v>0</v>
      </c>
      <c r="AX1407" s="81" t="s">
        <v>3728</v>
      </c>
      <c r="AY1407" s="84" t="str">
        <f>HYPERLINK("https://twitter.com/diamondsjuliet")</f>
        <v>https://twitter.com/diamondsjuliet</v>
      </c>
      <c r="AZ1407" s="81" t="s">
        <v>66</v>
      </c>
    </row>
    <row r="1408" spans="1:52" x14ac:dyDescent="0.35">
      <c r="A1408" s="66" t="s">
        <v>4900</v>
      </c>
      <c r="B1408" s="67"/>
      <c r="C1408" s="67"/>
      <c r="D1408" s="68"/>
      <c r="E1408" s="94"/>
      <c r="F1408" s="93" t="str">
        <f>HYPERLINK("https://pbs.twimg.com/profile_images/1443111039281758211/vnlbD9Ct_normal.jpg")</f>
        <v>https://pbs.twimg.com/profile_images/1443111039281758211/vnlbD9Ct_normal.jpg</v>
      </c>
      <c r="G1408" s="95"/>
      <c r="H1408" s="71"/>
      <c r="I1408" s="72"/>
      <c r="J1408" s="96"/>
      <c r="K1408" s="71" t="s">
        <v>12343</v>
      </c>
      <c r="L1408" s="97"/>
      <c r="M1408" s="76"/>
      <c r="N1408" s="76"/>
      <c r="O1408" s="77"/>
      <c r="P1408" s="78"/>
      <c r="Q1408" s="78"/>
      <c r="R1408" s="92"/>
      <c r="S1408" s="92"/>
      <c r="T1408" s="92"/>
      <c r="U1408" s="92"/>
      <c r="V1408" s="52"/>
      <c r="W1408" s="52"/>
      <c r="X1408" s="52"/>
      <c r="Y1408" s="52"/>
      <c r="Z1408" s="51"/>
      <c r="AA1408" s="73"/>
      <c r="AB1408" s="73"/>
      <c r="AC1408" s="74"/>
      <c r="AD1408" s="81" t="s">
        <v>8956</v>
      </c>
      <c r="AE1408" s="86" t="s">
        <v>9918</v>
      </c>
      <c r="AF1408" s="81">
        <v>247</v>
      </c>
      <c r="AG1408" s="81">
        <v>193</v>
      </c>
      <c r="AH1408" s="81">
        <v>2945</v>
      </c>
      <c r="AI1408" s="81">
        <v>329</v>
      </c>
      <c r="AJ1408" s="81"/>
      <c r="AK1408" s="81" t="s">
        <v>10833</v>
      </c>
      <c r="AL1408" s="81" t="s">
        <v>11340</v>
      </c>
      <c r="AM1408" s="81"/>
      <c r="AN1408" s="81"/>
      <c r="AO1408" s="83">
        <v>44452.385925925926</v>
      </c>
      <c r="AP1408" s="84" t="str">
        <f>HYPERLINK("https://pbs.twimg.com/profile_banners/1437344171296112649/1631537443")</f>
        <v>https://pbs.twimg.com/profile_banners/1437344171296112649/1631537443</v>
      </c>
      <c r="AQ1408" s="81" t="b">
        <v>1</v>
      </c>
      <c r="AR1408" s="81" t="b">
        <v>0</v>
      </c>
      <c r="AS1408" s="81" t="b">
        <v>0</v>
      </c>
      <c r="AT1408" s="81"/>
      <c r="AU1408" s="81">
        <v>0</v>
      </c>
      <c r="AV1408" s="81"/>
      <c r="AW1408" s="81" t="b">
        <v>0</v>
      </c>
      <c r="AX1408" s="81" t="s">
        <v>3728</v>
      </c>
      <c r="AY1408" s="84" t="str">
        <f>HYPERLINK("https://twitter.com/ppongric")</f>
        <v>https://twitter.com/ppongric</v>
      </c>
      <c r="AZ1408" s="81" t="s">
        <v>66</v>
      </c>
    </row>
    <row r="1409" spans="1:52" x14ac:dyDescent="0.35">
      <c r="A1409" s="66" t="s">
        <v>5190</v>
      </c>
      <c r="B1409" s="67"/>
      <c r="C1409" s="67"/>
      <c r="D1409" s="68"/>
      <c r="E1409" s="94"/>
      <c r="F1409" s="93" t="str">
        <f>HYPERLINK("https://pbs.twimg.com/profile_images/1282966823848144897/VVtFTPxj_normal.jpg")</f>
        <v>https://pbs.twimg.com/profile_images/1282966823848144897/VVtFTPxj_normal.jpg</v>
      </c>
      <c r="G1409" s="95"/>
      <c r="H1409" s="71"/>
      <c r="I1409" s="72"/>
      <c r="J1409" s="96"/>
      <c r="K1409" s="71" t="s">
        <v>12344</v>
      </c>
      <c r="L1409" s="97"/>
      <c r="M1409" s="76"/>
      <c r="N1409" s="76"/>
      <c r="O1409" s="77"/>
      <c r="P1409" s="78"/>
      <c r="Q1409" s="78"/>
      <c r="R1409" s="92"/>
      <c r="S1409" s="92"/>
      <c r="T1409" s="92"/>
      <c r="U1409" s="92"/>
      <c r="V1409" s="52"/>
      <c r="W1409" s="52"/>
      <c r="X1409" s="52"/>
      <c r="Y1409" s="52"/>
      <c r="Z1409" s="51"/>
      <c r="AA1409" s="73"/>
      <c r="AB1409" s="73"/>
      <c r="AC1409" s="74"/>
      <c r="AD1409" s="81" t="s">
        <v>8957</v>
      </c>
      <c r="AE1409" s="86" t="s">
        <v>7929</v>
      </c>
      <c r="AF1409" s="81">
        <v>631</v>
      </c>
      <c r="AG1409" s="81">
        <v>4458</v>
      </c>
      <c r="AH1409" s="81">
        <v>7623</v>
      </c>
      <c r="AI1409" s="81">
        <v>16529</v>
      </c>
      <c r="AJ1409" s="81"/>
      <c r="AK1409" s="81" t="s">
        <v>10834</v>
      </c>
      <c r="AL1409" s="81"/>
      <c r="AM1409" s="84" t="str">
        <f>HYPERLINK("https://t.co/PVvwQwWX5r")</f>
        <v>https://t.co/PVvwQwWX5r</v>
      </c>
      <c r="AN1409" s="81"/>
      <c r="AO1409" s="83">
        <v>41587.511319444442</v>
      </c>
      <c r="AP1409" s="84" t="str">
        <f>HYPERLINK("https://pbs.twimg.com/profile_banners/2184217405/1626532372")</f>
        <v>https://pbs.twimg.com/profile_banners/2184217405/1626532372</v>
      </c>
      <c r="AQ1409" s="81" t="b">
        <v>1</v>
      </c>
      <c r="AR1409" s="81" t="b">
        <v>0</v>
      </c>
      <c r="AS1409" s="81" t="b">
        <v>1</v>
      </c>
      <c r="AT1409" s="81"/>
      <c r="AU1409" s="81">
        <v>44</v>
      </c>
      <c r="AV1409" s="84" t="str">
        <f>HYPERLINK("https://abs.twimg.com/images/themes/theme1/bg.png")</f>
        <v>https://abs.twimg.com/images/themes/theme1/bg.png</v>
      </c>
      <c r="AW1409" s="81" t="b">
        <v>0</v>
      </c>
      <c r="AX1409" s="81" t="s">
        <v>3728</v>
      </c>
      <c r="AY1409" s="84" t="str">
        <f>HYPERLINK("https://twitter.com/kimidilois")</f>
        <v>https://twitter.com/kimidilois</v>
      </c>
      <c r="AZ1409" s="81" t="s">
        <v>65</v>
      </c>
    </row>
    <row r="1410" spans="1:52" x14ac:dyDescent="0.35">
      <c r="A1410" s="66" t="s">
        <v>4902</v>
      </c>
      <c r="B1410" s="67"/>
      <c r="C1410" s="67"/>
      <c r="D1410" s="68"/>
      <c r="E1410" s="94"/>
      <c r="F1410" s="93" t="str">
        <f>HYPERLINK("https://pbs.twimg.com/profile_images/1406588849237725194/15WqYnm4_normal.jpg")</f>
        <v>https://pbs.twimg.com/profile_images/1406588849237725194/15WqYnm4_normal.jpg</v>
      </c>
      <c r="G1410" s="95"/>
      <c r="H1410" s="71"/>
      <c r="I1410" s="72"/>
      <c r="J1410" s="96"/>
      <c r="K1410" s="71" t="s">
        <v>12345</v>
      </c>
      <c r="L1410" s="97"/>
      <c r="M1410" s="76"/>
      <c r="N1410" s="76"/>
      <c r="O1410" s="77"/>
      <c r="P1410" s="78"/>
      <c r="Q1410" s="78"/>
      <c r="R1410" s="92"/>
      <c r="S1410" s="92"/>
      <c r="T1410" s="92"/>
      <c r="U1410" s="92"/>
      <c r="V1410" s="52"/>
      <c r="W1410" s="52"/>
      <c r="X1410" s="52"/>
      <c r="Y1410" s="52"/>
      <c r="Z1410" s="51"/>
      <c r="AA1410" s="73"/>
      <c r="AB1410" s="73"/>
      <c r="AC1410" s="74"/>
      <c r="AD1410" s="81" t="s">
        <v>8958</v>
      </c>
      <c r="AE1410" s="86" t="s">
        <v>9919</v>
      </c>
      <c r="AF1410" s="81">
        <v>377</v>
      </c>
      <c r="AG1410" s="81">
        <v>243</v>
      </c>
      <c r="AH1410" s="81">
        <v>5426</v>
      </c>
      <c r="AI1410" s="81">
        <v>2979</v>
      </c>
      <c r="AJ1410" s="81"/>
      <c r="AK1410" s="81" t="s">
        <v>10835</v>
      </c>
      <c r="AL1410" s="81" t="s">
        <v>11341</v>
      </c>
      <c r="AM1410" s="81"/>
      <c r="AN1410" s="81"/>
      <c r="AO1410" s="83">
        <v>43564.737847222219</v>
      </c>
      <c r="AP1410" s="84" t="str">
        <f>HYPERLINK("https://pbs.twimg.com/profile_banners/1115671338654429184/1624192005")</f>
        <v>https://pbs.twimg.com/profile_banners/1115671338654429184/1624192005</v>
      </c>
      <c r="AQ1410" s="81" t="b">
        <v>1</v>
      </c>
      <c r="AR1410" s="81" t="b">
        <v>0</v>
      </c>
      <c r="AS1410" s="81" t="b">
        <v>1</v>
      </c>
      <c r="AT1410" s="81"/>
      <c r="AU1410" s="81">
        <v>0</v>
      </c>
      <c r="AV1410" s="81"/>
      <c r="AW1410" s="81" t="b">
        <v>0</v>
      </c>
      <c r="AX1410" s="81" t="s">
        <v>3728</v>
      </c>
      <c r="AY1410" s="84" t="str">
        <f>HYPERLINK("https://twitter.com/nicodemos_r")</f>
        <v>https://twitter.com/nicodemos_r</v>
      </c>
      <c r="AZ1410" s="81" t="s">
        <v>66</v>
      </c>
    </row>
    <row r="1411" spans="1:52" x14ac:dyDescent="0.35">
      <c r="A1411" s="66" t="s">
        <v>5191</v>
      </c>
      <c r="B1411" s="67"/>
      <c r="C1411" s="67"/>
      <c r="D1411" s="68"/>
      <c r="E1411" s="94"/>
      <c r="F1411" s="93" t="str">
        <f>HYPERLINK("https://pbs.twimg.com/profile_images/1429557200251392007/f4x0i5PR_normal.jpg")</f>
        <v>https://pbs.twimg.com/profile_images/1429557200251392007/f4x0i5PR_normal.jpg</v>
      </c>
      <c r="G1411" s="95"/>
      <c r="H1411" s="71"/>
      <c r="I1411" s="72"/>
      <c r="J1411" s="96"/>
      <c r="K1411" s="71" t="s">
        <v>12346</v>
      </c>
      <c r="L1411" s="97"/>
      <c r="M1411" s="76"/>
      <c r="N1411" s="76"/>
      <c r="O1411" s="77"/>
      <c r="P1411" s="78"/>
      <c r="Q1411" s="78"/>
      <c r="R1411" s="92"/>
      <c r="S1411" s="92"/>
      <c r="T1411" s="92"/>
      <c r="U1411" s="92"/>
      <c r="V1411" s="52"/>
      <c r="W1411" s="52"/>
      <c r="X1411" s="52"/>
      <c r="Y1411" s="52"/>
      <c r="Z1411" s="51"/>
      <c r="AA1411" s="73"/>
      <c r="AB1411" s="73"/>
      <c r="AC1411" s="74"/>
      <c r="AD1411" s="81" t="s">
        <v>8959</v>
      </c>
      <c r="AE1411" s="86" t="s">
        <v>9920</v>
      </c>
      <c r="AF1411" s="81">
        <v>798</v>
      </c>
      <c r="AG1411" s="81">
        <v>642</v>
      </c>
      <c r="AH1411" s="81">
        <v>390</v>
      </c>
      <c r="AI1411" s="81">
        <v>1083</v>
      </c>
      <c r="AJ1411" s="81"/>
      <c r="AK1411" s="81" t="s">
        <v>10836</v>
      </c>
      <c r="AL1411" s="81" t="s">
        <v>11342</v>
      </c>
      <c r="AM1411" s="81"/>
      <c r="AN1411" s="81"/>
      <c r="AO1411" s="83">
        <v>42244.485358796293</v>
      </c>
      <c r="AP1411" s="84" t="str">
        <f>HYPERLINK("https://pbs.twimg.com/profile_banners/3467943495/1577446690")</f>
        <v>https://pbs.twimg.com/profile_banners/3467943495/1577446690</v>
      </c>
      <c r="AQ1411" s="81" t="b">
        <v>1</v>
      </c>
      <c r="AR1411" s="81" t="b">
        <v>0</v>
      </c>
      <c r="AS1411" s="81" t="b">
        <v>0</v>
      </c>
      <c r="AT1411" s="81"/>
      <c r="AU1411" s="81">
        <v>1</v>
      </c>
      <c r="AV1411" s="84" t="str">
        <f>HYPERLINK("https://abs.twimg.com/images/themes/theme1/bg.png")</f>
        <v>https://abs.twimg.com/images/themes/theme1/bg.png</v>
      </c>
      <c r="AW1411" s="81" t="b">
        <v>0</v>
      </c>
      <c r="AX1411" s="81" t="s">
        <v>3728</v>
      </c>
      <c r="AY1411" s="84" t="str">
        <f>HYPERLINK("https://twitter.com/luanalift")</f>
        <v>https://twitter.com/luanalift</v>
      </c>
      <c r="AZ1411" s="81" t="s">
        <v>65</v>
      </c>
    </row>
    <row r="1412" spans="1:52" x14ac:dyDescent="0.35">
      <c r="A1412" s="66" t="s">
        <v>5192</v>
      </c>
      <c r="B1412" s="67"/>
      <c r="C1412" s="67"/>
      <c r="D1412" s="68"/>
      <c r="E1412" s="94"/>
      <c r="F1412" s="93" t="str">
        <f>HYPERLINK("https://pbs.twimg.com/profile_images/1438265283232337922/MVQTy7SG_normal.jpg")</f>
        <v>https://pbs.twimg.com/profile_images/1438265283232337922/MVQTy7SG_normal.jpg</v>
      </c>
      <c r="G1412" s="95"/>
      <c r="H1412" s="71"/>
      <c r="I1412" s="72"/>
      <c r="J1412" s="96"/>
      <c r="K1412" s="71" t="s">
        <v>12347</v>
      </c>
      <c r="L1412" s="97"/>
      <c r="M1412" s="76"/>
      <c r="N1412" s="76"/>
      <c r="O1412" s="77"/>
      <c r="P1412" s="78"/>
      <c r="Q1412" s="78"/>
      <c r="R1412" s="92"/>
      <c r="S1412" s="92"/>
      <c r="T1412" s="92"/>
      <c r="U1412" s="92"/>
      <c r="V1412" s="52"/>
      <c r="W1412" s="52"/>
      <c r="X1412" s="52"/>
      <c r="Y1412" s="52"/>
      <c r="Z1412" s="51"/>
      <c r="AA1412" s="73"/>
      <c r="AB1412" s="73"/>
      <c r="AC1412" s="74"/>
      <c r="AD1412" s="81" t="s">
        <v>8960</v>
      </c>
      <c r="AE1412" s="86" t="s">
        <v>9921</v>
      </c>
      <c r="AF1412" s="81">
        <v>978</v>
      </c>
      <c r="AG1412" s="81">
        <v>115477</v>
      </c>
      <c r="AH1412" s="81">
        <v>47229</v>
      </c>
      <c r="AI1412" s="81">
        <v>23773</v>
      </c>
      <c r="AJ1412" s="81"/>
      <c r="AK1412" s="81" t="s">
        <v>10837</v>
      </c>
      <c r="AL1412" s="81" t="s">
        <v>7998</v>
      </c>
      <c r="AM1412" s="84" t="str">
        <f>HYPERLINK("https://t.co/bS1jvbnCy8")</f>
        <v>https://t.co/bS1jvbnCy8</v>
      </c>
      <c r="AN1412" s="81"/>
      <c r="AO1412" s="83">
        <v>41460.913518518515</v>
      </c>
      <c r="AP1412" s="84" t="str">
        <f>HYPERLINK("https://pbs.twimg.com/profile_banners/1571428436/1632078389")</f>
        <v>https://pbs.twimg.com/profile_banners/1571428436/1632078389</v>
      </c>
      <c r="AQ1412" s="81" t="b">
        <v>0</v>
      </c>
      <c r="AR1412" s="81" t="b">
        <v>0</v>
      </c>
      <c r="AS1412" s="81" t="b">
        <v>0</v>
      </c>
      <c r="AT1412" s="81"/>
      <c r="AU1412" s="81">
        <v>969</v>
      </c>
      <c r="AV1412" s="84" t="str">
        <f>HYPERLINK("https://abs.twimg.com/images/themes/theme14/bg.gif")</f>
        <v>https://abs.twimg.com/images/themes/theme14/bg.gif</v>
      </c>
      <c r="AW1412" s="81" t="b">
        <v>1</v>
      </c>
      <c r="AX1412" s="81" t="s">
        <v>3728</v>
      </c>
      <c r="AY1412" s="84" t="str">
        <f>HYPERLINK("https://twitter.com/latuffcartoons")</f>
        <v>https://twitter.com/latuffcartoons</v>
      </c>
      <c r="AZ1412" s="81" t="s">
        <v>65</v>
      </c>
    </row>
    <row r="1413" spans="1:52" x14ac:dyDescent="0.35">
      <c r="A1413" s="66" t="s">
        <v>5193</v>
      </c>
      <c r="B1413" s="67"/>
      <c r="C1413" s="67"/>
      <c r="D1413" s="68"/>
      <c r="E1413" s="94"/>
      <c r="F1413" s="93" t="str">
        <f>HYPERLINK("https://pbs.twimg.com/profile_images/1333844810646609922/SuQYKNg4_normal.jpg")</f>
        <v>https://pbs.twimg.com/profile_images/1333844810646609922/SuQYKNg4_normal.jpg</v>
      </c>
      <c r="G1413" s="95"/>
      <c r="H1413" s="71"/>
      <c r="I1413" s="72"/>
      <c r="J1413" s="96"/>
      <c r="K1413" s="71" t="s">
        <v>12348</v>
      </c>
      <c r="L1413" s="97"/>
      <c r="M1413" s="76"/>
      <c r="N1413" s="76"/>
      <c r="O1413" s="77"/>
      <c r="P1413" s="78"/>
      <c r="Q1413" s="78"/>
      <c r="R1413" s="92"/>
      <c r="S1413" s="92"/>
      <c r="T1413" s="92"/>
      <c r="U1413" s="92"/>
      <c r="V1413" s="52"/>
      <c r="W1413" s="52"/>
      <c r="X1413" s="52"/>
      <c r="Y1413" s="52"/>
      <c r="Z1413" s="51"/>
      <c r="AA1413" s="73"/>
      <c r="AB1413" s="73"/>
      <c r="AC1413" s="74"/>
      <c r="AD1413" s="81" t="s">
        <v>8961</v>
      </c>
      <c r="AE1413" s="86" t="s">
        <v>9922</v>
      </c>
      <c r="AF1413" s="81">
        <v>2197</v>
      </c>
      <c r="AG1413" s="81">
        <v>53201</v>
      </c>
      <c r="AH1413" s="81">
        <v>7533</v>
      </c>
      <c r="AI1413" s="81">
        <v>11977</v>
      </c>
      <c r="AJ1413" s="81"/>
      <c r="AK1413" s="81" t="s">
        <v>10838</v>
      </c>
      <c r="AL1413" s="81" t="s">
        <v>10986</v>
      </c>
      <c r="AM1413" s="81"/>
      <c r="AN1413" s="81"/>
      <c r="AO1413" s="83">
        <v>43282.784120370372</v>
      </c>
      <c r="AP1413" s="84" t="str">
        <f>HYPERLINK("https://pbs.twimg.com/profile_banners/1013494732834639874/1531760989")</f>
        <v>https://pbs.twimg.com/profile_banners/1013494732834639874/1531760989</v>
      </c>
      <c r="AQ1413" s="81" t="b">
        <v>1</v>
      </c>
      <c r="AR1413" s="81" t="b">
        <v>0</v>
      </c>
      <c r="AS1413" s="81" t="b">
        <v>1</v>
      </c>
      <c r="AT1413" s="81"/>
      <c r="AU1413" s="81">
        <v>71</v>
      </c>
      <c r="AV1413" s="81"/>
      <c r="AW1413" s="81" t="b">
        <v>0</v>
      </c>
      <c r="AX1413" s="81" t="s">
        <v>3728</v>
      </c>
      <c r="AY1413" s="84" t="str">
        <f>HYPERLINK("https://twitter.com/trom_petista")</f>
        <v>https://twitter.com/trom_petista</v>
      </c>
      <c r="AZ1413" s="81" t="s">
        <v>65</v>
      </c>
    </row>
    <row r="1414" spans="1:52" x14ac:dyDescent="0.35">
      <c r="A1414" s="66" t="s">
        <v>5194</v>
      </c>
      <c r="B1414" s="67"/>
      <c r="C1414" s="67"/>
      <c r="D1414" s="68"/>
      <c r="E1414" s="94"/>
      <c r="F1414" s="93" t="str">
        <f>HYPERLINK("https://pbs.twimg.com/profile_images/1064628255418998785/0P4Xl607_normal.jpg")</f>
        <v>https://pbs.twimg.com/profile_images/1064628255418998785/0P4Xl607_normal.jpg</v>
      </c>
      <c r="G1414" s="95"/>
      <c r="H1414" s="71"/>
      <c r="I1414" s="72"/>
      <c r="J1414" s="96"/>
      <c r="K1414" s="71" t="s">
        <v>12349</v>
      </c>
      <c r="L1414" s="97"/>
      <c r="M1414" s="76"/>
      <c r="N1414" s="76"/>
      <c r="O1414" s="77"/>
      <c r="P1414" s="78"/>
      <c r="Q1414" s="78"/>
      <c r="R1414" s="92"/>
      <c r="S1414" s="92"/>
      <c r="T1414" s="92"/>
      <c r="U1414" s="92"/>
      <c r="V1414" s="52"/>
      <c r="W1414" s="52"/>
      <c r="X1414" s="52"/>
      <c r="Y1414" s="52"/>
      <c r="Z1414" s="51"/>
      <c r="AA1414" s="73"/>
      <c r="AB1414" s="73"/>
      <c r="AC1414" s="74"/>
      <c r="AD1414" s="81" t="s">
        <v>8962</v>
      </c>
      <c r="AE1414" s="86" t="s">
        <v>7930</v>
      </c>
      <c r="AF1414" s="81">
        <v>156</v>
      </c>
      <c r="AG1414" s="81">
        <v>154</v>
      </c>
      <c r="AH1414" s="81">
        <v>1459</v>
      </c>
      <c r="AI1414" s="81">
        <v>4353</v>
      </c>
      <c r="AJ1414" s="81"/>
      <c r="AK1414" s="81" t="s">
        <v>10839</v>
      </c>
      <c r="AL1414" s="81"/>
      <c r="AM1414" s="81"/>
      <c r="AN1414" s="81"/>
      <c r="AO1414" s="83">
        <v>40675.645694444444</v>
      </c>
      <c r="AP1414" s="84" t="str">
        <f>HYPERLINK("https://pbs.twimg.com/profile_banners/297471230/1542664895")</f>
        <v>https://pbs.twimg.com/profile_banners/297471230/1542664895</v>
      </c>
      <c r="AQ1414" s="81" t="b">
        <v>0</v>
      </c>
      <c r="AR1414" s="81" t="b">
        <v>0</v>
      </c>
      <c r="AS1414" s="81" t="b">
        <v>0</v>
      </c>
      <c r="AT1414" s="81"/>
      <c r="AU1414" s="81">
        <v>0</v>
      </c>
      <c r="AV1414" s="84" t="str">
        <f>HYPERLINK("https://abs.twimg.com/images/themes/theme1/bg.png")</f>
        <v>https://abs.twimg.com/images/themes/theme1/bg.png</v>
      </c>
      <c r="AW1414" s="81" t="b">
        <v>0</v>
      </c>
      <c r="AX1414" s="81" t="s">
        <v>3728</v>
      </c>
      <c r="AY1414" s="84" t="str">
        <f>HYPERLINK("https://twitter.com/matheusbrinhosa")</f>
        <v>https://twitter.com/matheusbrinhosa</v>
      </c>
      <c r="AZ1414" s="81" t="s">
        <v>65</v>
      </c>
    </row>
    <row r="1415" spans="1:52" x14ac:dyDescent="0.35">
      <c r="A1415" s="66" t="s">
        <v>4903</v>
      </c>
      <c r="B1415" s="67"/>
      <c r="C1415" s="67"/>
      <c r="D1415" s="68"/>
      <c r="E1415" s="94"/>
      <c r="F1415" s="93" t="str">
        <f>HYPERLINK("https://pbs.twimg.com/profile_images/1368351973066608642/e16kvgVX_normal.jpg")</f>
        <v>https://pbs.twimg.com/profile_images/1368351973066608642/e16kvgVX_normal.jpg</v>
      </c>
      <c r="G1415" s="95"/>
      <c r="H1415" s="71"/>
      <c r="I1415" s="72"/>
      <c r="J1415" s="96"/>
      <c r="K1415" s="71" t="s">
        <v>12350</v>
      </c>
      <c r="L1415" s="97"/>
      <c r="M1415" s="76"/>
      <c r="N1415" s="76"/>
      <c r="O1415" s="77"/>
      <c r="P1415" s="78"/>
      <c r="Q1415" s="78"/>
      <c r="R1415" s="92"/>
      <c r="S1415" s="92"/>
      <c r="T1415" s="92"/>
      <c r="U1415" s="92"/>
      <c r="V1415" s="52"/>
      <c r="W1415" s="52"/>
      <c r="X1415" s="52"/>
      <c r="Y1415" s="52"/>
      <c r="Z1415" s="51"/>
      <c r="AA1415" s="73"/>
      <c r="AB1415" s="73"/>
      <c r="AC1415" s="74"/>
      <c r="AD1415" s="81" t="s">
        <v>8963</v>
      </c>
      <c r="AE1415" s="86" t="s">
        <v>9923</v>
      </c>
      <c r="AF1415" s="81">
        <v>254</v>
      </c>
      <c r="AG1415" s="81">
        <v>14</v>
      </c>
      <c r="AH1415" s="81">
        <v>321</v>
      </c>
      <c r="AI1415" s="81">
        <v>1797</v>
      </c>
      <c r="AJ1415" s="81"/>
      <c r="AK1415" s="81" t="s">
        <v>10840</v>
      </c>
      <c r="AL1415" s="81"/>
      <c r="AM1415" s="81"/>
      <c r="AN1415" s="81"/>
      <c r="AO1415" s="83">
        <v>43002.812106481484</v>
      </c>
      <c r="AP1415" s="84" t="str">
        <f>HYPERLINK("https://pbs.twimg.com/profile_banners/912036270473347077/1554054696")</f>
        <v>https://pbs.twimg.com/profile_banners/912036270473347077/1554054696</v>
      </c>
      <c r="AQ1415" s="81" t="b">
        <v>1</v>
      </c>
      <c r="AR1415" s="81" t="b">
        <v>0</v>
      </c>
      <c r="AS1415" s="81" t="b">
        <v>0</v>
      </c>
      <c r="AT1415" s="81"/>
      <c r="AU1415" s="81">
        <v>0</v>
      </c>
      <c r="AV1415" s="81"/>
      <c r="AW1415" s="81" t="b">
        <v>0</v>
      </c>
      <c r="AX1415" s="81" t="s">
        <v>3728</v>
      </c>
      <c r="AY1415" s="84" t="str">
        <f>HYPERLINK("https://twitter.com/jsilva_72")</f>
        <v>https://twitter.com/jsilva_72</v>
      </c>
      <c r="AZ1415" s="81" t="s">
        <v>66</v>
      </c>
    </row>
    <row r="1416" spans="1:52" x14ac:dyDescent="0.35">
      <c r="A1416" s="66" t="s">
        <v>5195</v>
      </c>
      <c r="B1416" s="67"/>
      <c r="C1416" s="67"/>
      <c r="D1416" s="68"/>
      <c r="E1416" s="94"/>
      <c r="F1416" s="93" t="str">
        <f>HYPERLINK("https://pbs.twimg.com/profile_images/1425831568879218701/ounxAnX1_normal.jpg")</f>
        <v>https://pbs.twimg.com/profile_images/1425831568879218701/ounxAnX1_normal.jpg</v>
      </c>
      <c r="G1416" s="95"/>
      <c r="H1416" s="71"/>
      <c r="I1416" s="72"/>
      <c r="J1416" s="96"/>
      <c r="K1416" s="71" t="s">
        <v>12351</v>
      </c>
      <c r="L1416" s="97"/>
      <c r="M1416" s="76"/>
      <c r="N1416" s="76"/>
      <c r="O1416" s="77"/>
      <c r="P1416" s="78"/>
      <c r="Q1416" s="78"/>
      <c r="R1416" s="92"/>
      <c r="S1416" s="92"/>
      <c r="T1416" s="92"/>
      <c r="U1416" s="92"/>
      <c r="V1416" s="52"/>
      <c r="W1416" s="52"/>
      <c r="X1416" s="52"/>
      <c r="Y1416" s="52"/>
      <c r="Z1416" s="51"/>
      <c r="AA1416" s="73"/>
      <c r="AB1416" s="73"/>
      <c r="AC1416" s="74"/>
      <c r="AD1416" s="81" t="s">
        <v>8964</v>
      </c>
      <c r="AE1416" s="86" t="s">
        <v>9924</v>
      </c>
      <c r="AF1416" s="81">
        <v>60</v>
      </c>
      <c r="AG1416" s="81">
        <v>1345818</v>
      </c>
      <c r="AH1416" s="81">
        <v>76038</v>
      </c>
      <c r="AI1416" s="81">
        <v>959</v>
      </c>
      <c r="AJ1416" s="81"/>
      <c r="AK1416" s="81" t="s">
        <v>10841</v>
      </c>
      <c r="AL1416" s="81" t="s">
        <v>11343</v>
      </c>
      <c r="AM1416" s="84" t="str">
        <f>HYPERLINK("https://t.co/cEQ34wnXRw")</f>
        <v>https://t.co/cEQ34wnXRw</v>
      </c>
      <c r="AN1416" s="81"/>
      <c r="AO1416" s="83">
        <v>39864.488229166665</v>
      </c>
      <c r="AP1416" s="84" t="str">
        <f>HYPERLINK("https://pbs.twimg.com/profile_banners/21390674/1632863038")</f>
        <v>https://pbs.twimg.com/profile_banners/21390674/1632863038</v>
      </c>
      <c r="AQ1416" s="81" t="b">
        <v>0</v>
      </c>
      <c r="AR1416" s="81" t="b">
        <v>0</v>
      </c>
      <c r="AS1416" s="81" t="b">
        <v>1</v>
      </c>
      <c r="AT1416" s="81"/>
      <c r="AU1416" s="81">
        <v>2481</v>
      </c>
      <c r="AV1416" s="84" t="str">
        <f>HYPERLINK("https://abs.twimg.com/images/themes/theme1/bg.png")</f>
        <v>https://abs.twimg.com/images/themes/theme1/bg.png</v>
      </c>
      <c r="AW1416" s="81" t="b">
        <v>1</v>
      </c>
      <c r="AX1416" s="81" t="s">
        <v>3728</v>
      </c>
      <c r="AY1416" s="84" t="str">
        <f>HYPERLINK("https://twitter.com/fcporto")</f>
        <v>https://twitter.com/fcporto</v>
      </c>
      <c r="AZ1416" s="81" t="s">
        <v>65</v>
      </c>
    </row>
    <row r="1417" spans="1:52" x14ac:dyDescent="0.35">
      <c r="A1417" s="66" t="s">
        <v>5196</v>
      </c>
      <c r="B1417" s="67"/>
      <c r="C1417" s="67"/>
      <c r="D1417" s="68"/>
      <c r="E1417" s="94"/>
      <c r="F1417" s="93" t="str">
        <f>HYPERLINK("https://pbs.twimg.com/profile_images/1167554909820076039/FCdme2b3_normal.jpg")</f>
        <v>https://pbs.twimg.com/profile_images/1167554909820076039/FCdme2b3_normal.jpg</v>
      </c>
      <c r="G1417" s="95"/>
      <c r="H1417" s="71"/>
      <c r="I1417" s="72"/>
      <c r="J1417" s="96"/>
      <c r="K1417" s="71" t="s">
        <v>12352</v>
      </c>
      <c r="L1417" s="97"/>
      <c r="M1417" s="76"/>
      <c r="N1417" s="76"/>
      <c r="O1417" s="77"/>
      <c r="P1417" s="78"/>
      <c r="Q1417" s="78"/>
      <c r="R1417" s="92"/>
      <c r="S1417" s="92"/>
      <c r="T1417" s="92"/>
      <c r="U1417" s="92"/>
      <c r="V1417" s="52"/>
      <c r="W1417" s="52"/>
      <c r="X1417" s="52"/>
      <c r="Y1417" s="52"/>
      <c r="Z1417" s="51"/>
      <c r="AA1417" s="73"/>
      <c r="AB1417" s="73"/>
      <c r="AC1417" s="74"/>
      <c r="AD1417" s="81" t="s">
        <v>8965</v>
      </c>
      <c r="AE1417" s="86" t="s">
        <v>7931</v>
      </c>
      <c r="AF1417" s="81">
        <v>888</v>
      </c>
      <c r="AG1417" s="81">
        <v>2856</v>
      </c>
      <c r="AH1417" s="81">
        <v>126091</v>
      </c>
      <c r="AI1417" s="81">
        <v>780</v>
      </c>
      <c r="AJ1417" s="81"/>
      <c r="AK1417" s="81" t="s">
        <v>10842</v>
      </c>
      <c r="AL1417" s="81" t="s">
        <v>11344</v>
      </c>
      <c r="AM1417" s="81"/>
      <c r="AN1417" s="81"/>
      <c r="AO1417" s="83">
        <v>39943.676249999997</v>
      </c>
      <c r="AP1417" s="84" t="str">
        <f>HYPERLINK("https://pbs.twimg.com/profile_banners/39068703/1623334162")</f>
        <v>https://pbs.twimg.com/profile_banners/39068703/1623334162</v>
      </c>
      <c r="AQ1417" s="81" t="b">
        <v>0</v>
      </c>
      <c r="AR1417" s="81" t="b">
        <v>0</v>
      </c>
      <c r="AS1417" s="81" t="b">
        <v>1</v>
      </c>
      <c r="AT1417" s="81"/>
      <c r="AU1417" s="81">
        <v>44</v>
      </c>
      <c r="AV1417" s="84" t="str">
        <f>HYPERLINK("https://abs.twimg.com/images/themes/theme14/bg.gif")</f>
        <v>https://abs.twimg.com/images/themes/theme14/bg.gif</v>
      </c>
      <c r="AW1417" s="81" t="b">
        <v>0</v>
      </c>
      <c r="AX1417" s="81" t="s">
        <v>3728</v>
      </c>
      <c r="AY1417" s="84" t="str">
        <f>HYPERLINK("https://twitter.com/___jota___")</f>
        <v>https://twitter.com/___jota___</v>
      </c>
      <c r="AZ1417" s="81" t="s">
        <v>65</v>
      </c>
    </row>
    <row r="1418" spans="1:52" x14ac:dyDescent="0.35">
      <c r="A1418" s="66" t="s">
        <v>4904</v>
      </c>
      <c r="B1418" s="67"/>
      <c r="C1418" s="67"/>
      <c r="D1418" s="68"/>
      <c r="E1418" s="94"/>
      <c r="F1418" s="93" t="str">
        <f>HYPERLINK("https://pbs.twimg.com/profile_images/1443193746259120136/p6tPHjnq_normal.jpg")</f>
        <v>https://pbs.twimg.com/profile_images/1443193746259120136/p6tPHjnq_normal.jpg</v>
      </c>
      <c r="G1418" s="95"/>
      <c r="H1418" s="71"/>
      <c r="I1418" s="72"/>
      <c r="J1418" s="96"/>
      <c r="K1418" s="71" t="s">
        <v>12353</v>
      </c>
      <c r="L1418" s="97"/>
      <c r="M1418" s="76"/>
      <c r="N1418" s="76"/>
      <c r="O1418" s="77"/>
      <c r="P1418" s="78"/>
      <c r="Q1418" s="78"/>
      <c r="R1418" s="92"/>
      <c r="S1418" s="92"/>
      <c r="T1418" s="92"/>
      <c r="U1418" s="92"/>
      <c r="V1418" s="52"/>
      <c r="W1418" s="52"/>
      <c r="X1418" s="52"/>
      <c r="Y1418" s="52"/>
      <c r="Z1418" s="51"/>
      <c r="AA1418" s="73"/>
      <c r="AB1418" s="73"/>
      <c r="AC1418" s="74"/>
      <c r="AD1418" s="81" t="s">
        <v>8966</v>
      </c>
      <c r="AE1418" s="86" t="s">
        <v>9925</v>
      </c>
      <c r="AF1418" s="81">
        <v>733</v>
      </c>
      <c r="AG1418" s="81">
        <v>346</v>
      </c>
      <c r="AH1418" s="81">
        <v>3626</v>
      </c>
      <c r="AI1418" s="81">
        <v>3073</v>
      </c>
      <c r="AJ1418" s="81"/>
      <c r="AK1418" s="81" t="s">
        <v>10843</v>
      </c>
      <c r="AL1418" s="81" t="s">
        <v>10969</v>
      </c>
      <c r="AM1418" s="81"/>
      <c r="AN1418" s="81"/>
      <c r="AO1418" s="83">
        <v>42387.002129629633</v>
      </c>
      <c r="AP1418" s="84" t="str">
        <f>HYPERLINK("https://pbs.twimg.com/profile_banners/4822567361/1615562959")</f>
        <v>https://pbs.twimg.com/profile_banners/4822567361/1615562959</v>
      </c>
      <c r="AQ1418" s="81" t="b">
        <v>1</v>
      </c>
      <c r="AR1418" s="81" t="b">
        <v>0</v>
      </c>
      <c r="AS1418" s="81" t="b">
        <v>0</v>
      </c>
      <c r="AT1418" s="81"/>
      <c r="AU1418" s="81">
        <v>0</v>
      </c>
      <c r="AV1418" s="81"/>
      <c r="AW1418" s="81" t="b">
        <v>0</v>
      </c>
      <c r="AX1418" s="81" t="s">
        <v>3728</v>
      </c>
      <c r="AY1418" s="84" t="str">
        <f>HYPERLINK("https://twitter.com/luizcarlosalm19")</f>
        <v>https://twitter.com/luizcarlosalm19</v>
      </c>
      <c r="AZ1418" s="81" t="s">
        <v>66</v>
      </c>
    </row>
    <row r="1419" spans="1:52" x14ac:dyDescent="0.35">
      <c r="A1419" s="66" t="s">
        <v>5197</v>
      </c>
      <c r="B1419" s="67"/>
      <c r="C1419" s="67"/>
      <c r="D1419" s="68"/>
      <c r="E1419" s="94"/>
      <c r="F1419" s="93" t="str">
        <f>HYPERLINK("https://pbs.twimg.com/profile_images/1345141390376898560/7-20Kn9x_normal.jpg")</f>
        <v>https://pbs.twimg.com/profile_images/1345141390376898560/7-20Kn9x_normal.jpg</v>
      </c>
      <c r="G1419" s="95"/>
      <c r="H1419" s="71"/>
      <c r="I1419" s="72"/>
      <c r="J1419" s="96"/>
      <c r="K1419" s="71" t="s">
        <v>12354</v>
      </c>
      <c r="L1419" s="97"/>
      <c r="M1419" s="76"/>
      <c r="N1419" s="76"/>
      <c r="O1419" s="77"/>
      <c r="P1419" s="78"/>
      <c r="Q1419" s="78"/>
      <c r="R1419" s="92"/>
      <c r="S1419" s="92"/>
      <c r="T1419" s="92"/>
      <c r="U1419" s="92"/>
      <c r="V1419" s="52"/>
      <c r="W1419" s="52"/>
      <c r="X1419" s="52"/>
      <c r="Y1419" s="52"/>
      <c r="Z1419" s="51"/>
      <c r="AA1419" s="73"/>
      <c r="AB1419" s="73"/>
      <c r="AC1419" s="74"/>
      <c r="AD1419" s="81" t="s">
        <v>8967</v>
      </c>
      <c r="AE1419" s="86" t="s">
        <v>9926</v>
      </c>
      <c r="AF1419" s="81">
        <v>1237</v>
      </c>
      <c r="AG1419" s="81">
        <v>38967</v>
      </c>
      <c r="AH1419" s="81">
        <v>5981</v>
      </c>
      <c r="AI1419" s="81">
        <v>1117</v>
      </c>
      <c r="AJ1419" s="81"/>
      <c r="AK1419" s="81" t="s">
        <v>10844</v>
      </c>
      <c r="AL1419" s="81" t="s">
        <v>11188</v>
      </c>
      <c r="AM1419" s="84" t="str">
        <f>HYPERLINK("https://t.co/vbMLNh9asw")</f>
        <v>https://t.co/vbMLNh9asw</v>
      </c>
      <c r="AN1419" s="81"/>
      <c r="AO1419" s="83">
        <v>39983.725671296299</v>
      </c>
      <c r="AP1419" s="84" t="str">
        <f>HYPERLINK("https://pbs.twimg.com/profile_banners/48767515/1609678098")</f>
        <v>https://pbs.twimg.com/profile_banners/48767515/1609678098</v>
      </c>
      <c r="AQ1419" s="81" t="b">
        <v>0</v>
      </c>
      <c r="AR1419" s="81" t="b">
        <v>0</v>
      </c>
      <c r="AS1419" s="81" t="b">
        <v>1</v>
      </c>
      <c r="AT1419" s="81"/>
      <c r="AU1419" s="81">
        <v>127</v>
      </c>
      <c r="AV1419" s="84" t="str">
        <f>HYPERLINK("https://abs.twimg.com/images/themes/theme1/bg.png")</f>
        <v>https://abs.twimg.com/images/themes/theme1/bg.png</v>
      </c>
      <c r="AW1419" s="81" t="b">
        <v>1</v>
      </c>
      <c r="AX1419" s="81" t="s">
        <v>3728</v>
      </c>
      <c r="AY1419" s="84" t="str">
        <f>HYPERLINK("https://twitter.com/sebastiaomelo")</f>
        <v>https://twitter.com/sebastiaomelo</v>
      </c>
      <c r="AZ1419" s="81" t="s">
        <v>65</v>
      </c>
    </row>
    <row r="1420" spans="1:52" x14ac:dyDescent="0.35">
      <c r="A1420" s="66" t="s">
        <v>5198</v>
      </c>
      <c r="B1420" s="67"/>
      <c r="C1420" s="67"/>
      <c r="D1420" s="68"/>
      <c r="E1420" s="94"/>
      <c r="F1420" s="93" t="str">
        <f>HYPERLINK("https://pbs.twimg.com/profile_images/1428182787467747328/mvGWiwlc_normal.jpg")</f>
        <v>https://pbs.twimg.com/profile_images/1428182787467747328/mvGWiwlc_normal.jpg</v>
      </c>
      <c r="G1420" s="95"/>
      <c r="H1420" s="71"/>
      <c r="I1420" s="72"/>
      <c r="J1420" s="96"/>
      <c r="K1420" s="71" t="s">
        <v>12355</v>
      </c>
      <c r="L1420" s="97"/>
      <c r="M1420" s="76"/>
      <c r="N1420" s="76"/>
      <c r="O1420" s="77"/>
      <c r="P1420" s="78"/>
      <c r="Q1420" s="78"/>
      <c r="R1420" s="92"/>
      <c r="S1420" s="92"/>
      <c r="T1420" s="92"/>
      <c r="U1420" s="92"/>
      <c r="V1420" s="52"/>
      <c r="W1420" s="52"/>
      <c r="X1420" s="52"/>
      <c r="Y1420" s="52"/>
      <c r="Z1420" s="51"/>
      <c r="AA1420" s="73"/>
      <c r="AB1420" s="73"/>
      <c r="AC1420" s="74"/>
      <c r="AD1420" s="81" t="s">
        <v>8968</v>
      </c>
      <c r="AE1420" s="86" t="s">
        <v>7932</v>
      </c>
      <c r="AF1420" s="81">
        <v>30323</v>
      </c>
      <c r="AG1420" s="81">
        <v>46826</v>
      </c>
      <c r="AH1420" s="81">
        <v>73546</v>
      </c>
      <c r="AI1420" s="81">
        <v>140683</v>
      </c>
      <c r="AJ1420" s="81"/>
      <c r="AK1420" s="81" t="s">
        <v>10845</v>
      </c>
      <c r="AL1420" s="81" t="s">
        <v>7998</v>
      </c>
      <c r="AM1420" s="81"/>
      <c r="AN1420" s="81"/>
      <c r="AO1420" s="83">
        <v>41589.906400462962</v>
      </c>
      <c r="AP1420" s="84" t="str">
        <f>HYPERLINK("https://pbs.twimg.com/profile_banners/2189036407/1631221171")</f>
        <v>https://pbs.twimg.com/profile_banners/2189036407/1631221171</v>
      </c>
      <c r="AQ1420" s="81" t="b">
        <v>0</v>
      </c>
      <c r="AR1420" s="81" t="b">
        <v>0</v>
      </c>
      <c r="AS1420" s="81" t="b">
        <v>0</v>
      </c>
      <c r="AT1420" s="81"/>
      <c r="AU1420" s="81">
        <v>48</v>
      </c>
      <c r="AV1420" s="84" t="str">
        <f>HYPERLINK("https://abs.twimg.com/images/themes/theme10/bg.gif")</f>
        <v>https://abs.twimg.com/images/themes/theme10/bg.gif</v>
      </c>
      <c r="AW1420" s="81" t="b">
        <v>0</v>
      </c>
      <c r="AX1420" s="81" t="s">
        <v>3728</v>
      </c>
      <c r="AY1420" s="84" t="str">
        <f>HYPERLINK("https://twitter.com/amandamoraes500")</f>
        <v>https://twitter.com/amandamoraes500</v>
      </c>
      <c r="AZ1420" s="81" t="s">
        <v>65</v>
      </c>
    </row>
    <row r="1421" spans="1:52" x14ac:dyDescent="0.35">
      <c r="A1421" s="66" t="s">
        <v>4905</v>
      </c>
      <c r="B1421" s="67"/>
      <c r="C1421" s="67"/>
      <c r="D1421" s="68"/>
      <c r="E1421" s="94"/>
      <c r="F1421" s="93" t="str">
        <f>HYPERLINK("https://pbs.twimg.com/profile_images/1439567372940054532/flQ9ADBP_normal.jpg")</f>
        <v>https://pbs.twimg.com/profile_images/1439567372940054532/flQ9ADBP_normal.jpg</v>
      </c>
      <c r="G1421" s="95"/>
      <c r="H1421" s="71"/>
      <c r="I1421" s="72"/>
      <c r="J1421" s="96"/>
      <c r="K1421" s="71" t="s">
        <v>12356</v>
      </c>
      <c r="L1421" s="97"/>
      <c r="M1421" s="76"/>
      <c r="N1421" s="76"/>
      <c r="O1421" s="77"/>
      <c r="P1421" s="78"/>
      <c r="Q1421" s="78"/>
      <c r="R1421" s="92"/>
      <c r="S1421" s="92"/>
      <c r="T1421" s="92"/>
      <c r="U1421" s="92"/>
      <c r="V1421" s="52"/>
      <c r="W1421" s="52"/>
      <c r="X1421" s="52"/>
      <c r="Y1421" s="52"/>
      <c r="Z1421" s="51"/>
      <c r="AA1421" s="73"/>
      <c r="AB1421" s="73"/>
      <c r="AC1421" s="74"/>
      <c r="AD1421" s="81" t="s">
        <v>8969</v>
      </c>
      <c r="AE1421" s="86" t="s">
        <v>9927</v>
      </c>
      <c r="AF1421" s="81">
        <v>91</v>
      </c>
      <c r="AG1421" s="81">
        <v>0</v>
      </c>
      <c r="AH1421" s="81">
        <v>286</v>
      </c>
      <c r="AI1421" s="81">
        <v>819</v>
      </c>
      <c r="AJ1421" s="81"/>
      <c r="AK1421" s="81" t="s">
        <v>10846</v>
      </c>
      <c r="AL1421" s="81"/>
      <c r="AM1421" s="81"/>
      <c r="AN1421" s="81"/>
      <c r="AO1421" s="83">
        <v>44458.518182870372</v>
      </c>
      <c r="AP1421" s="81"/>
      <c r="AQ1421" s="81" t="b">
        <v>1</v>
      </c>
      <c r="AR1421" s="81" t="b">
        <v>0</v>
      </c>
      <c r="AS1421" s="81" t="b">
        <v>0</v>
      </c>
      <c r="AT1421" s="81"/>
      <c r="AU1421" s="81">
        <v>0</v>
      </c>
      <c r="AV1421" s="81"/>
      <c r="AW1421" s="81" t="b">
        <v>0</v>
      </c>
      <c r="AX1421" s="81" t="s">
        <v>3728</v>
      </c>
      <c r="AY1421" s="84" t="str">
        <f>HYPERLINK("https://twitter.com/snwo0412")</f>
        <v>https://twitter.com/snwo0412</v>
      </c>
      <c r="AZ1421" s="81" t="s">
        <v>66</v>
      </c>
    </row>
    <row r="1422" spans="1:52" x14ac:dyDescent="0.35">
      <c r="A1422" s="66" t="s">
        <v>4906</v>
      </c>
      <c r="B1422" s="67"/>
      <c r="C1422" s="67"/>
      <c r="D1422" s="68"/>
      <c r="E1422" s="94"/>
      <c r="F1422" s="93" t="str">
        <f>HYPERLINK("https://pbs.twimg.com/profile_images/1429772012986249227/o5n_JXOx_normal.jpg")</f>
        <v>https://pbs.twimg.com/profile_images/1429772012986249227/o5n_JXOx_normal.jpg</v>
      </c>
      <c r="G1422" s="95"/>
      <c r="H1422" s="71"/>
      <c r="I1422" s="72"/>
      <c r="J1422" s="96"/>
      <c r="K1422" s="71" t="s">
        <v>12357</v>
      </c>
      <c r="L1422" s="97"/>
      <c r="M1422" s="76"/>
      <c r="N1422" s="76"/>
      <c r="O1422" s="77"/>
      <c r="P1422" s="78"/>
      <c r="Q1422" s="78"/>
      <c r="R1422" s="92"/>
      <c r="S1422" s="92"/>
      <c r="T1422" s="92"/>
      <c r="U1422" s="92"/>
      <c r="V1422" s="52"/>
      <c r="W1422" s="52"/>
      <c r="X1422" s="52"/>
      <c r="Y1422" s="52"/>
      <c r="Z1422" s="51"/>
      <c r="AA1422" s="73"/>
      <c r="AB1422" s="73"/>
      <c r="AC1422" s="74"/>
      <c r="AD1422" s="81" t="s">
        <v>8970</v>
      </c>
      <c r="AE1422" s="86" t="s">
        <v>7933</v>
      </c>
      <c r="AF1422" s="81">
        <v>767</v>
      </c>
      <c r="AG1422" s="81">
        <v>1840</v>
      </c>
      <c r="AH1422" s="81">
        <v>153300</v>
      </c>
      <c r="AI1422" s="81">
        <v>104422</v>
      </c>
      <c r="AJ1422" s="81"/>
      <c r="AK1422" s="81" t="s">
        <v>10847</v>
      </c>
      <c r="AL1422" s="81" t="s">
        <v>11345</v>
      </c>
      <c r="AM1422" s="81"/>
      <c r="AN1422" s="81"/>
      <c r="AO1422" s="83">
        <v>40182.698761574073</v>
      </c>
      <c r="AP1422" s="84" t="str">
        <f>HYPERLINK("https://pbs.twimg.com/profile_banners/101805057/1629719330")</f>
        <v>https://pbs.twimg.com/profile_banners/101805057/1629719330</v>
      </c>
      <c r="AQ1422" s="81" t="b">
        <v>0</v>
      </c>
      <c r="AR1422" s="81" t="b">
        <v>0</v>
      </c>
      <c r="AS1422" s="81" t="b">
        <v>1</v>
      </c>
      <c r="AT1422" s="81"/>
      <c r="AU1422" s="81">
        <v>110</v>
      </c>
      <c r="AV1422" s="84" t="str">
        <f>HYPERLINK("https://abs.twimg.com/images/themes/theme14/bg.gif")</f>
        <v>https://abs.twimg.com/images/themes/theme14/bg.gif</v>
      </c>
      <c r="AW1422" s="81" t="b">
        <v>0</v>
      </c>
      <c r="AX1422" s="81" t="s">
        <v>3728</v>
      </c>
      <c r="AY1422" s="84" t="str">
        <f>HYPERLINK("https://twitter.com/burnout_pt")</f>
        <v>https://twitter.com/burnout_pt</v>
      </c>
      <c r="AZ1422" s="81" t="s">
        <v>66</v>
      </c>
    </row>
    <row r="1423" spans="1:52" x14ac:dyDescent="0.35">
      <c r="A1423" s="66" t="s">
        <v>4907</v>
      </c>
      <c r="B1423" s="67"/>
      <c r="C1423" s="67"/>
      <c r="D1423" s="68"/>
      <c r="E1423" s="94"/>
      <c r="F1423" s="93" t="str">
        <f>HYPERLINK("https://pbs.twimg.com/profile_images/3578786308/f17a42493984976ad2ad01337b06b4e9_normal.jpeg")</f>
        <v>https://pbs.twimg.com/profile_images/3578786308/f17a42493984976ad2ad01337b06b4e9_normal.jpeg</v>
      </c>
      <c r="G1423" s="95"/>
      <c r="H1423" s="71"/>
      <c r="I1423" s="72"/>
      <c r="J1423" s="96"/>
      <c r="K1423" s="71" t="s">
        <v>12358</v>
      </c>
      <c r="L1423" s="97"/>
      <c r="M1423" s="76"/>
      <c r="N1423" s="76"/>
      <c r="O1423" s="77"/>
      <c r="P1423" s="78"/>
      <c r="Q1423" s="78"/>
      <c r="R1423" s="92"/>
      <c r="S1423" s="92"/>
      <c r="T1423" s="92"/>
      <c r="U1423" s="92"/>
      <c r="V1423" s="52"/>
      <c r="W1423" s="52"/>
      <c r="X1423" s="52"/>
      <c r="Y1423" s="52"/>
      <c r="Z1423" s="51"/>
      <c r="AA1423" s="73"/>
      <c r="AB1423" s="73"/>
      <c r="AC1423" s="74"/>
      <c r="AD1423" s="81" t="s">
        <v>8971</v>
      </c>
      <c r="AE1423" s="86" t="s">
        <v>9928</v>
      </c>
      <c r="AF1423" s="81">
        <v>1474</v>
      </c>
      <c r="AG1423" s="81">
        <v>1324</v>
      </c>
      <c r="AH1423" s="81">
        <v>4263</v>
      </c>
      <c r="AI1423" s="81">
        <v>25373</v>
      </c>
      <c r="AJ1423" s="81"/>
      <c r="AK1423" s="81" t="s">
        <v>10848</v>
      </c>
      <c r="AL1423" s="81"/>
      <c r="AM1423" s="81"/>
      <c r="AN1423" s="81"/>
      <c r="AO1423" s="83">
        <v>40055.127442129633</v>
      </c>
      <c r="AP1423" s="81"/>
      <c r="AQ1423" s="81" t="b">
        <v>0</v>
      </c>
      <c r="AR1423" s="81" t="b">
        <v>0</v>
      </c>
      <c r="AS1423" s="81" t="b">
        <v>0</v>
      </c>
      <c r="AT1423" s="81"/>
      <c r="AU1423" s="81">
        <v>1</v>
      </c>
      <c r="AV1423" s="84" t="str">
        <f>HYPERLINK("https://abs.twimg.com/images/themes/theme11/bg.gif")</f>
        <v>https://abs.twimg.com/images/themes/theme11/bg.gif</v>
      </c>
      <c r="AW1423" s="81" t="b">
        <v>0</v>
      </c>
      <c r="AX1423" s="81" t="s">
        <v>3728</v>
      </c>
      <c r="AY1423" s="84" t="str">
        <f>HYPERLINK("https://twitter.com/lillysol2")</f>
        <v>https://twitter.com/lillysol2</v>
      </c>
      <c r="AZ1423" s="81" t="s">
        <v>66</v>
      </c>
    </row>
    <row r="1424" spans="1:52" x14ac:dyDescent="0.35">
      <c r="A1424" s="66" t="s">
        <v>4908</v>
      </c>
      <c r="B1424" s="67"/>
      <c r="C1424" s="67"/>
      <c r="D1424" s="68"/>
      <c r="E1424" s="94"/>
      <c r="F1424" s="93" t="str">
        <f>HYPERLINK("https://pbs.twimg.com/profile_images/1416876836269793283/gHOoyx5N_normal.jpg")</f>
        <v>https://pbs.twimg.com/profile_images/1416876836269793283/gHOoyx5N_normal.jpg</v>
      </c>
      <c r="G1424" s="95"/>
      <c r="H1424" s="71"/>
      <c r="I1424" s="72"/>
      <c r="J1424" s="96"/>
      <c r="K1424" s="71" t="s">
        <v>12359</v>
      </c>
      <c r="L1424" s="97"/>
      <c r="M1424" s="76"/>
      <c r="N1424" s="76"/>
      <c r="O1424" s="77"/>
      <c r="P1424" s="78"/>
      <c r="Q1424" s="78"/>
      <c r="R1424" s="92"/>
      <c r="S1424" s="92"/>
      <c r="T1424" s="92"/>
      <c r="U1424" s="92"/>
      <c r="V1424" s="52"/>
      <c r="W1424" s="52"/>
      <c r="X1424" s="52"/>
      <c r="Y1424" s="52"/>
      <c r="Z1424" s="51"/>
      <c r="AA1424" s="73"/>
      <c r="AB1424" s="73"/>
      <c r="AC1424" s="74"/>
      <c r="AD1424" s="81" t="s">
        <v>8972</v>
      </c>
      <c r="AE1424" s="86" t="s">
        <v>9929</v>
      </c>
      <c r="AF1424" s="81">
        <v>69</v>
      </c>
      <c r="AG1424" s="81">
        <v>6</v>
      </c>
      <c r="AH1424" s="81">
        <v>567</v>
      </c>
      <c r="AI1424" s="81">
        <v>0</v>
      </c>
      <c r="AJ1424" s="81"/>
      <c r="AK1424" s="81" t="s">
        <v>10849</v>
      </c>
      <c r="AL1424" s="81"/>
      <c r="AM1424" s="81"/>
      <c r="AN1424" s="81"/>
      <c r="AO1424" s="83">
        <v>44395.905023148145</v>
      </c>
      <c r="AP1424" s="81"/>
      <c r="AQ1424" s="81" t="b">
        <v>1</v>
      </c>
      <c r="AR1424" s="81" t="b">
        <v>0</v>
      </c>
      <c r="AS1424" s="81" t="b">
        <v>0</v>
      </c>
      <c r="AT1424" s="81"/>
      <c r="AU1424" s="81">
        <v>0</v>
      </c>
      <c r="AV1424" s="81"/>
      <c r="AW1424" s="81" t="b">
        <v>0</v>
      </c>
      <c r="AX1424" s="81" t="s">
        <v>3728</v>
      </c>
      <c r="AY1424" s="84" t="str">
        <f>HYPERLINK("https://twitter.com/sandovalnascim5")</f>
        <v>https://twitter.com/sandovalnascim5</v>
      </c>
      <c r="AZ1424" s="81" t="s">
        <v>66</v>
      </c>
    </row>
    <row r="1425" spans="1:52" x14ac:dyDescent="0.35">
      <c r="A1425" s="66" t="s">
        <v>4910</v>
      </c>
      <c r="B1425" s="67"/>
      <c r="C1425" s="67"/>
      <c r="D1425" s="68"/>
      <c r="E1425" s="94"/>
      <c r="F1425" s="93" t="str">
        <f>HYPERLINK("https://pbs.twimg.com/profile_images/467304327749455873/KRgRkhDE_normal.jpeg")</f>
        <v>https://pbs.twimg.com/profile_images/467304327749455873/KRgRkhDE_normal.jpeg</v>
      </c>
      <c r="G1425" s="95"/>
      <c r="H1425" s="71"/>
      <c r="I1425" s="72"/>
      <c r="J1425" s="96"/>
      <c r="K1425" s="71" t="s">
        <v>12360</v>
      </c>
      <c r="L1425" s="97"/>
      <c r="M1425" s="76"/>
      <c r="N1425" s="76"/>
      <c r="O1425" s="77"/>
      <c r="P1425" s="78"/>
      <c r="Q1425" s="78"/>
      <c r="R1425" s="92"/>
      <c r="S1425" s="92"/>
      <c r="T1425" s="92"/>
      <c r="U1425" s="92"/>
      <c r="V1425" s="52"/>
      <c r="W1425" s="52"/>
      <c r="X1425" s="52"/>
      <c r="Y1425" s="52"/>
      <c r="Z1425" s="51"/>
      <c r="AA1425" s="73"/>
      <c r="AB1425" s="73"/>
      <c r="AC1425" s="74"/>
      <c r="AD1425" s="81" t="s">
        <v>8974</v>
      </c>
      <c r="AE1425" s="86" t="s">
        <v>9931</v>
      </c>
      <c r="AF1425" s="81">
        <v>69</v>
      </c>
      <c r="AG1425" s="81">
        <v>169954</v>
      </c>
      <c r="AH1425" s="81">
        <v>203358</v>
      </c>
      <c r="AI1425" s="81">
        <v>167</v>
      </c>
      <c r="AJ1425" s="81"/>
      <c r="AK1425" s="81" t="s">
        <v>10851</v>
      </c>
      <c r="AL1425" s="81" t="s">
        <v>10971</v>
      </c>
      <c r="AM1425" s="84" t="str">
        <f>HYPERLINK("https://t.co/JZ3BiIXFJl")</f>
        <v>https://t.co/JZ3BiIXFJl</v>
      </c>
      <c r="AN1425" s="81"/>
      <c r="AO1425" s="83">
        <v>39787.005439814813</v>
      </c>
      <c r="AP1425" s="84" t="str">
        <f>HYPERLINK("https://pbs.twimg.com/profile_banners/17884125/1452188020")</f>
        <v>https://pbs.twimg.com/profile_banners/17884125/1452188020</v>
      </c>
      <c r="AQ1425" s="81" t="b">
        <v>0</v>
      </c>
      <c r="AR1425" s="81" t="b">
        <v>0</v>
      </c>
      <c r="AS1425" s="81" t="b">
        <v>0</v>
      </c>
      <c r="AT1425" s="81"/>
      <c r="AU1425" s="81">
        <v>1038</v>
      </c>
      <c r="AV1425" s="84" t="str">
        <f>HYPERLINK("https://abs.twimg.com/images/themes/theme12/bg.gif")</f>
        <v>https://abs.twimg.com/images/themes/theme12/bg.gif</v>
      </c>
      <c r="AW1425" s="81" t="b">
        <v>1</v>
      </c>
      <c r="AX1425" s="81" t="s">
        <v>3728</v>
      </c>
      <c r="AY1425" s="84" t="str">
        <f>HYPERLINK("https://twitter.com/jnegocios")</f>
        <v>https://twitter.com/jnegocios</v>
      </c>
      <c r="AZ1425" s="81" t="s">
        <v>66</v>
      </c>
    </row>
    <row r="1426" spans="1:52" x14ac:dyDescent="0.35">
      <c r="A1426" s="66" t="s">
        <v>4911</v>
      </c>
      <c r="B1426" s="67"/>
      <c r="C1426" s="67"/>
      <c r="D1426" s="68"/>
      <c r="E1426" s="94"/>
      <c r="F1426" s="93" t="str">
        <f>HYPERLINK("https://pbs.twimg.com/profile_images/1284559115159842817/AMlx8-g8_normal.jpg")</f>
        <v>https://pbs.twimg.com/profile_images/1284559115159842817/AMlx8-g8_normal.jpg</v>
      </c>
      <c r="G1426" s="95"/>
      <c r="H1426" s="71"/>
      <c r="I1426" s="72"/>
      <c r="J1426" s="96"/>
      <c r="K1426" s="71" t="s">
        <v>12361</v>
      </c>
      <c r="L1426" s="97"/>
      <c r="M1426" s="76"/>
      <c r="N1426" s="76"/>
      <c r="O1426" s="77"/>
      <c r="P1426" s="78"/>
      <c r="Q1426" s="78"/>
      <c r="R1426" s="92"/>
      <c r="S1426" s="92"/>
      <c r="T1426" s="92"/>
      <c r="U1426" s="92"/>
      <c r="V1426" s="52"/>
      <c r="W1426" s="52"/>
      <c r="X1426" s="52"/>
      <c r="Y1426" s="52"/>
      <c r="Z1426" s="51"/>
      <c r="AA1426" s="73"/>
      <c r="AB1426" s="73"/>
      <c r="AC1426" s="74"/>
      <c r="AD1426" s="81" t="s">
        <v>8975</v>
      </c>
      <c r="AE1426" s="86" t="s">
        <v>9932</v>
      </c>
      <c r="AF1426" s="81">
        <v>215</v>
      </c>
      <c r="AG1426" s="81">
        <v>1009</v>
      </c>
      <c r="AH1426" s="81">
        <v>278707</v>
      </c>
      <c r="AI1426" s="81">
        <v>48020</v>
      </c>
      <c r="AJ1426" s="81"/>
      <c r="AK1426" s="81" t="s">
        <v>10852</v>
      </c>
      <c r="AL1426" s="81" t="s">
        <v>10998</v>
      </c>
      <c r="AM1426" s="84" t="str">
        <f>HYPERLINK("https://t.co/DbP1yafSuD")</f>
        <v>https://t.co/DbP1yafSuD</v>
      </c>
      <c r="AN1426" s="81"/>
      <c r="AO1426" s="83">
        <v>40023.994074074071</v>
      </c>
      <c r="AP1426" s="84" t="str">
        <f>HYPERLINK("https://pbs.twimg.com/profile_banners/61330854/1450565544")</f>
        <v>https://pbs.twimg.com/profile_banners/61330854/1450565544</v>
      </c>
      <c r="AQ1426" s="81" t="b">
        <v>0</v>
      </c>
      <c r="AR1426" s="81" t="b">
        <v>0</v>
      </c>
      <c r="AS1426" s="81" t="b">
        <v>0</v>
      </c>
      <c r="AT1426" s="81"/>
      <c r="AU1426" s="81">
        <v>104</v>
      </c>
      <c r="AV1426" s="84" t="str">
        <f>HYPERLINK("https://abs.twimg.com/images/themes/theme1/bg.png")</f>
        <v>https://abs.twimg.com/images/themes/theme1/bg.png</v>
      </c>
      <c r="AW1426" s="81" t="b">
        <v>0</v>
      </c>
      <c r="AX1426" s="81" t="s">
        <v>3728</v>
      </c>
      <c r="AY1426" s="84" t="str">
        <f>HYPERLINK("https://twitter.com/acidadebranca")</f>
        <v>https://twitter.com/acidadebranca</v>
      </c>
      <c r="AZ1426" s="81" t="s">
        <v>66</v>
      </c>
    </row>
    <row r="1427" spans="1:52" x14ac:dyDescent="0.35">
      <c r="A1427" s="66" t="s">
        <v>4912</v>
      </c>
      <c r="B1427" s="67"/>
      <c r="C1427" s="67"/>
      <c r="D1427" s="68"/>
      <c r="E1427" s="94"/>
      <c r="F1427" s="93" t="str">
        <f>HYPERLINK("https://pbs.twimg.com/profile_images/1420038665179385860/kIkeYqUy_normal.jpg")</f>
        <v>https://pbs.twimg.com/profile_images/1420038665179385860/kIkeYqUy_normal.jpg</v>
      </c>
      <c r="G1427" s="95"/>
      <c r="H1427" s="71"/>
      <c r="I1427" s="72"/>
      <c r="J1427" s="96"/>
      <c r="K1427" s="71" t="s">
        <v>12362</v>
      </c>
      <c r="L1427" s="97"/>
      <c r="M1427" s="76"/>
      <c r="N1427" s="76"/>
      <c r="O1427" s="77"/>
      <c r="P1427" s="78"/>
      <c r="Q1427" s="78"/>
      <c r="R1427" s="92"/>
      <c r="S1427" s="92"/>
      <c r="T1427" s="92"/>
      <c r="U1427" s="92"/>
      <c r="V1427" s="52"/>
      <c r="W1427" s="52"/>
      <c r="X1427" s="52"/>
      <c r="Y1427" s="52"/>
      <c r="Z1427" s="51"/>
      <c r="AA1427" s="73"/>
      <c r="AB1427" s="73"/>
      <c r="AC1427" s="74"/>
      <c r="AD1427" s="81" t="s">
        <v>8976</v>
      </c>
      <c r="AE1427" s="86" t="s">
        <v>9933</v>
      </c>
      <c r="AF1427" s="81">
        <v>360</v>
      </c>
      <c r="AG1427" s="81">
        <v>235</v>
      </c>
      <c r="AH1427" s="81">
        <v>2900</v>
      </c>
      <c r="AI1427" s="81">
        <v>14</v>
      </c>
      <c r="AJ1427" s="81"/>
      <c r="AK1427" s="81"/>
      <c r="AL1427" s="81" t="s">
        <v>10990</v>
      </c>
      <c r="AM1427" s="84" t="str">
        <f>HYPERLINK("http://t.co/tavyNkN4Rv")</f>
        <v>http://t.co/tavyNkN4Rv</v>
      </c>
      <c r="AN1427" s="81"/>
      <c r="AO1427" s="83">
        <v>40421.93246527778</v>
      </c>
      <c r="AP1427" s="84" t="str">
        <f>HYPERLINK("https://pbs.twimg.com/profile_banners/185401860/1623194866")</f>
        <v>https://pbs.twimg.com/profile_banners/185401860/1623194866</v>
      </c>
      <c r="AQ1427" s="81" t="b">
        <v>0</v>
      </c>
      <c r="AR1427" s="81" t="b">
        <v>0</v>
      </c>
      <c r="AS1427" s="81" t="b">
        <v>1</v>
      </c>
      <c r="AT1427" s="81"/>
      <c r="AU1427" s="81">
        <v>2</v>
      </c>
      <c r="AV1427" s="84" t="str">
        <f>HYPERLINK("https://abs.twimg.com/images/themes/theme1/bg.png")</f>
        <v>https://abs.twimg.com/images/themes/theme1/bg.png</v>
      </c>
      <c r="AW1427" s="81" t="b">
        <v>0</v>
      </c>
      <c r="AX1427" s="81" t="s">
        <v>3728</v>
      </c>
      <c r="AY1427" s="84" t="str">
        <f>HYPERLINK("https://twitter.com/fneduca")</f>
        <v>https://twitter.com/fneduca</v>
      </c>
      <c r="AZ1427" s="81" t="s">
        <v>66</v>
      </c>
    </row>
    <row r="1428" spans="1:52" x14ac:dyDescent="0.35">
      <c r="A1428" s="66" t="s">
        <v>4913</v>
      </c>
      <c r="B1428" s="67"/>
      <c r="C1428" s="67"/>
      <c r="D1428" s="68"/>
      <c r="E1428" s="94"/>
      <c r="F1428" s="93" t="str">
        <f>HYPERLINK("https://pbs.twimg.com/profile_images/1075450080486920192/QdO5TO5e_normal.jpg")</f>
        <v>https://pbs.twimg.com/profile_images/1075450080486920192/QdO5TO5e_normal.jpg</v>
      </c>
      <c r="G1428" s="95"/>
      <c r="H1428" s="71"/>
      <c r="I1428" s="72"/>
      <c r="J1428" s="96"/>
      <c r="K1428" s="71" t="s">
        <v>12363</v>
      </c>
      <c r="L1428" s="97"/>
      <c r="M1428" s="76"/>
      <c r="N1428" s="76"/>
      <c r="O1428" s="77"/>
      <c r="P1428" s="78"/>
      <c r="Q1428" s="78"/>
      <c r="R1428" s="92"/>
      <c r="S1428" s="92"/>
      <c r="T1428" s="92"/>
      <c r="U1428" s="92"/>
      <c r="V1428" s="52"/>
      <c r="W1428" s="52"/>
      <c r="X1428" s="52"/>
      <c r="Y1428" s="52"/>
      <c r="Z1428" s="51"/>
      <c r="AA1428" s="73"/>
      <c r="AB1428" s="73"/>
      <c r="AC1428" s="74"/>
      <c r="AD1428" s="81" t="s">
        <v>8977</v>
      </c>
      <c r="AE1428" s="86" t="s">
        <v>9934</v>
      </c>
      <c r="AF1428" s="81">
        <v>123</v>
      </c>
      <c r="AG1428" s="81">
        <v>3461</v>
      </c>
      <c r="AH1428" s="81">
        <v>2147</v>
      </c>
      <c r="AI1428" s="81">
        <v>27</v>
      </c>
      <c r="AJ1428" s="81"/>
      <c r="AK1428" s="81" t="s">
        <v>10853</v>
      </c>
      <c r="AL1428" s="81" t="s">
        <v>11293</v>
      </c>
      <c r="AM1428" s="84" t="str">
        <f>HYPERLINK("https://t.co/BF5tpNpkXN")</f>
        <v>https://t.co/BF5tpNpkXN</v>
      </c>
      <c r="AN1428" s="81"/>
      <c r="AO1428" s="83">
        <v>39874.630208333336</v>
      </c>
      <c r="AP1428" s="84" t="str">
        <f>HYPERLINK("https://pbs.twimg.com/profile_banners/22491905/1520331848")</f>
        <v>https://pbs.twimg.com/profile_banners/22491905/1520331848</v>
      </c>
      <c r="AQ1428" s="81" t="b">
        <v>0</v>
      </c>
      <c r="AR1428" s="81" t="b">
        <v>0</v>
      </c>
      <c r="AS1428" s="81" t="b">
        <v>0</v>
      </c>
      <c r="AT1428" s="81"/>
      <c r="AU1428" s="81">
        <v>58</v>
      </c>
      <c r="AV1428" s="84" t="str">
        <f>HYPERLINK("https://abs.twimg.com/images/themes/theme6/bg.gif")</f>
        <v>https://abs.twimg.com/images/themes/theme6/bg.gif</v>
      </c>
      <c r="AW1428" s="81" t="b">
        <v>0</v>
      </c>
      <c r="AX1428" s="81" t="s">
        <v>3728</v>
      </c>
      <c r="AY1428" s="84" t="str">
        <f>HYPERLINK("https://twitter.com/ces_uc")</f>
        <v>https://twitter.com/ces_uc</v>
      </c>
      <c r="AZ1428" s="81" t="s">
        <v>66</v>
      </c>
    </row>
    <row r="1429" spans="1:52" x14ac:dyDescent="0.35">
      <c r="A1429" s="66" t="s">
        <v>4914</v>
      </c>
      <c r="B1429" s="67"/>
      <c r="C1429" s="67"/>
      <c r="D1429" s="68"/>
      <c r="E1429" s="94"/>
      <c r="F1429" s="93" t="str">
        <f>HYPERLINK("https://pbs.twimg.com/profile_images/1084512892/mahalo_1_normal.jpg")</f>
        <v>https://pbs.twimg.com/profile_images/1084512892/mahalo_1_normal.jpg</v>
      </c>
      <c r="G1429" s="95"/>
      <c r="H1429" s="71"/>
      <c r="I1429" s="72"/>
      <c r="J1429" s="96"/>
      <c r="K1429" s="71" t="s">
        <v>12364</v>
      </c>
      <c r="L1429" s="97"/>
      <c r="M1429" s="76"/>
      <c r="N1429" s="76"/>
      <c r="O1429" s="77"/>
      <c r="P1429" s="78"/>
      <c r="Q1429" s="78"/>
      <c r="R1429" s="92"/>
      <c r="S1429" s="92"/>
      <c r="T1429" s="92"/>
      <c r="U1429" s="92"/>
      <c r="V1429" s="52"/>
      <c r="W1429" s="52"/>
      <c r="X1429" s="52"/>
      <c r="Y1429" s="52"/>
      <c r="Z1429" s="51"/>
      <c r="AA1429" s="73"/>
      <c r="AB1429" s="73"/>
      <c r="AC1429" s="74"/>
      <c r="AD1429" s="81" t="s">
        <v>8978</v>
      </c>
      <c r="AE1429" s="86" t="s">
        <v>9935</v>
      </c>
      <c r="AF1429" s="81">
        <v>217</v>
      </c>
      <c r="AG1429" s="81">
        <v>27</v>
      </c>
      <c r="AH1429" s="81">
        <v>560</v>
      </c>
      <c r="AI1429" s="81">
        <v>602</v>
      </c>
      <c r="AJ1429" s="81"/>
      <c r="AK1429" s="81"/>
      <c r="AL1429" s="81" t="s">
        <v>11346</v>
      </c>
      <c r="AM1429" s="81"/>
      <c r="AN1429" s="81"/>
      <c r="AO1429" s="83">
        <v>40375.842233796298</v>
      </c>
      <c r="AP1429" s="81"/>
      <c r="AQ1429" s="81" t="b">
        <v>0</v>
      </c>
      <c r="AR1429" s="81" t="b">
        <v>0</v>
      </c>
      <c r="AS1429" s="81" t="b">
        <v>0</v>
      </c>
      <c r="AT1429" s="81"/>
      <c r="AU1429" s="81">
        <v>0</v>
      </c>
      <c r="AV1429" s="84" t="str">
        <f>HYPERLINK("https://abs.twimg.com/images/themes/theme1/bg.png")</f>
        <v>https://abs.twimg.com/images/themes/theme1/bg.png</v>
      </c>
      <c r="AW1429" s="81" t="b">
        <v>0</v>
      </c>
      <c r="AX1429" s="81" t="s">
        <v>3728</v>
      </c>
      <c r="AY1429" s="84" t="str">
        <f>HYPERLINK("https://twitter.com/herbettigre")</f>
        <v>https://twitter.com/herbettigre</v>
      </c>
      <c r="AZ1429" s="81" t="s">
        <v>66</v>
      </c>
    </row>
    <row r="1430" spans="1:52" x14ac:dyDescent="0.35">
      <c r="A1430" s="66" t="s">
        <v>5199</v>
      </c>
      <c r="B1430" s="67"/>
      <c r="C1430" s="67"/>
      <c r="D1430" s="68"/>
      <c r="E1430" s="94"/>
      <c r="F1430" s="93" t="str">
        <f>HYPERLINK("https://pbs.twimg.com/profile_images/1410673798433677314/ns8xdRdU_normal.jpg")</f>
        <v>https://pbs.twimg.com/profile_images/1410673798433677314/ns8xdRdU_normal.jpg</v>
      </c>
      <c r="G1430" s="95"/>
      <c r="H1430" s="71"/>
      <c r="I1430" s="72"/>
      <c r="J1430" s="96"/>
      <c r="K1430" s="71" t="s">
        <v>12365</v>
      </c>
      <c r="L1430" s="97"/>
      <c r="M1430" s="76"/>
      <c r="N1430" s="76"/>
      <c r="O1430" s="77"/>
      <c r="P1430" s="78"/>
      <c r="Q1430" s="78"/>
      <c r="R1430" s="92"/>
      <c r="S1430" s="92"/>
      <c r="T1430" s="92"/>
      <c r="U1430" s="92"/>
      <c r="V1430" s="52"/>
      <c r="W1430" s="52"/>
      <c r="X1430" s="52"/>
      <c r="Y1430" s="52"/>
      <c r="Z1430" s="51"/>
      <c r="AA1430" s="73"/>
      <c r="AB1430" s="73"/>
      <c r="AC1430" s="74"/>
      <c r="AD1430" s="81" t="s">
        <v>8979</v>
      </c>
      <c r="AE1430" s="86" t="s">
        <v>9936</v>
      </c>
      <c r="AF1430" s="81">
        <v>157</v>
      </c>
      <c r="AG1430" s="81">
        <v>3</v>
      </c>
      <c r="AH1430" s="81">
        <v>10</v>
      </c>
      <c r="AI1430" s="81">
        <v>14</v>
      </c>
      <c r="AJ1430" s="81"/>
      <c r="AK1430" s="81"/>
      <c r="AL1430" s="81"/>
      <c r="AM1430" s="81"/>
      <c r="AN1430" s="81"/>
      <c r="AO1430" s="83">
        <v>41586.202847222223</v>
      </c>
      <c r="AP1430" s="81"/>
      <c r="AQ1430" s="81" t="b">
        <v>1</v>
      </c>
      <c r="AR1430" s="81" t="b">
        <v>0</v>
      </c>
      <c r="AS1430" s="81" t="b">
        <v>0</v>
      </c>
      <c r="AT1430" s="81"/>
      <c r="AU1430" s="81">
        <v>0</v>
      </c>
      <c r="AV1430" s="84" t="str">
        <f>HYPERLINK("https://abs.twimg.com/images/themes/theme1/bg.png")</f>
        <v>https://abs.twimg.com/images/themes/theme1/bg.png</v>
      </c>
      <c r="AW1430" s="81" t="b">
        <v>0</v>
      </c>
      <c r="AX1430" s="81" t="s">
        <v>3728</v>
      </c>
      <c r="AY1430" s="84" t="str">
        <f>HYPERLINK("https://twitter.com/lalazinho_show")</f>
        <v>https://twitter.com/lalazinho_show</v>
      </c>
      <c r="AZ1430" s="81" t="s">
        <v>65</v>
      </c>
    </row>
    <row r="1431" spans="1:52" x14ac:dyDescent="0.35">
      <c r="A1431" s="66" t="s">
        <v>5200</v>
      </c>
      <c r="B1431" s="67"/>
      <c r="C1431" s="67"/>
      <c r="D1431" s="68"/>
      <c r="E1431" s="94"/>
      <c r="F1431" s="93" t="str">
        <f>HYPERLINK("https://pbs.twimg.com/profile_images/684022793936224257/r1v4FxqT_normal.jpg")</f>
        <v>https://pbs.twimg.com/profile_images/684022793936224257/r1v4FxqT_normal.jpg</v>
      </c>
      <c r="G1431" s="95"/>
      <c r="H1431" s="71"/>
      <c r="I1431" s="72"/>
      <c r="J1431" s="96"/>
      <c r="K1431" s="71" t="s">
        <v>12366</v>
      </c>
      <c r="L1431" s="97"/>
      <c r="M1431" s="76"/>
      <c r="N1431" s="76"/>
      <c r="O1431" s="77"/>
      <c r="P1431" s="78"/>
      <c r="Q1431" s="78"/>
      <c r="R1431" s="92"/>
      <c r="S1431" s="92"/>
      <c r="T1431" s="92"/>
      <c r="U1431" s="92"/>
      <c r="V1431" s="52"/>
      <c r="W1431" s="52"/>
      <c r="X1431" s="52"/>
      <c r="Y1431" s="52"/>
      <c r="Z1431" s="51"/>
      <c r="AA1431" s="73"/>
      <c r="AB1431" s="73"/>
      <c r="AC1431" s="74"/>
      <c r="AD1431" s="81" t="s">
        <v>8980</v>
      </c>
      <c r="AE1431" s="86" t="s">
        <v>7934</v>
      </c>
      <c r="AF1431" s="81">
        <v>151</v>
      </c>
      <c r="AG1431" s="81">
        <v>434</v>
      </c>
      <c r="AH1431" s="81">
        <v>7951</v>
      </c>
      <c r="AI1431" s="81">
        <v>1914</v>
      </c>
      <c r="AJ1431" s="81"/>
      <c r="AK1431" s="81" t="s">
        <v>10854</v>
      </c>
      <c r="AL1431" s="81" t="s">
        <v>11347</v>
      </c>
      <c r="AM1431" s="84" t="str">
        <f>HYPERLINK("https://t.co/aFUqNOJxuZ")</f>
        <v>https://t.co/aFUqNOJxuZ</v>
      </c>
      <c r="AN1431" s="81"/>
      <c r="AO1431" s="83">
        <v>40795.934918981482</v>
      </c>
      <c r="AP1431" s="84" t="str">
        <f>HYPERLINK("https://pbs.twimg.com/profile_banners/370940231/1429881954")</f>
        <v>https://pbs.twimg.com/profile_banners/370940231/1429881954</v>
      </c>
      <c r="AQ1431" s="81" t="b">
        <v>0</v>
      </c>
      <c r="AR1431" s="81" t="b">
        <v>0</v>
      </c>
      <c r="AS1431" s="81" t="b">
        <v>1</v>
      </c>
      <c r="AT1431" s="81"/>
      <c r="AU1431" s="81">
        <v>0</v>
      </c>
      <c r="AV1431" s="84" t="str">
        <f>HYPERLINK("https://abs.twimg.com/images/themes/theme9/bg.gif")</f>
        <v>https://abs.twimg.com/images/themes/theme9/bg.gif</v>
      </c>
      <c r="AW1431" s="81" t="b">
        <v>0</v>
      </c>
      <c r="AX1431" s="81" t="s">
        <v>3728</v>
      </c>
      <c r="AY1431" s="84" t="str">
        <f>HYPERLINK("https://twitter.com/1carll")</f>
        <v>https://twitter.com/1carll</v>
      </c>
      <c r="AZ1431" s="81" t="s">
        <v>65</v>
      </c>
    </row>
    <row r="1432" spans="1:52" x14ac:dyDescent="0.35">
      <c r="A1432" s="66" t="s">
        <v>4915</v>
      </c>
      <c r="B1432" s="67"/>
      <c r="C1432" s="67"/>
      <c r="D1432" s="68"/>
      <c r="E1432" s="94"/>
      <c r="F1432" s="93" t="str">
        <f>HYPERLINK("https://pbs.twimg.com/profile_images/1438683365528334337/hn9Ee97H_normal.jpg")</f>
        <v>https://pbs.twimg.com/profile_images/1438683365528334337/hn9Ee97H_normal.jpg</v>
      </c>
      <c r="G1432" s="95"/>
      <c r="H1432" s="71"/>
      <c r="I1432" s="72"/>
      <c r="J1432" s="96"/>
      <c r="K1432" s="71" t="s">
        <v>12367</v>
      </c>
      <c r="L1432" s="97"/>
      <c r="M1432" s="76"/>
      <c r="N1432" s="76"/>
      <c r="O1432" s="77"/>
      <c r="P1432" s="78"/>
      <c r="Q1432" s="78"/>
      <c r="R1432" s="92"/>
      <c r="S1432" s="92"/>
      <c r="T1432" s="92"/>
      <c r="U1432" s="92"/>
      <c r="V1432" s="52"/>
      <c r="W1432" s="52"/>
      <c r="X1432" s="52"/>
      <c r="Y1432" s="52"/>
      <c r="Z1432" s="51"/>
      <c r="AA1432" s="73"/>
      <c r="AB1432" s="73"/>
      <c r="AC1432" s="74"/>
      <c r="AD1432" s="81" t="s">
        <v>8981</v>
      </c>
      <c r="AE1432" s="86" t="s">
        <v>9937</v>
      </c>
      <c r="AF1432" s="81">
        <v>157</v>
      </c>
      <c r="AG1432" s="81">
        <v>351</v>
      </c>
      <c r="AH1432" s="81">
        <v>2432</v>
      </c>
      <c r="AI1432" s="81">
        <v>3226</v>
      </c>
      <c r="AJ1432" s="81"/>
      <c r="AK1432" s="81" t="s">
        <v>10855</v>
      </c>
      <c r="AL1432" s="81"/>
      <c r="AM1432" s="81"/>
      <c r="AN1432" s="81"/>
      <c r="AO1432" s="83">
        <v>44204.55232638889</v>
      </c>
      <c r="AP1432" s="84" t="str">
        <f>HYPERLINK("https://pbs.twimg.com/profile_banners/1347532285566881795/1619711085")</f>
        <v>https://pbs.twimg.com/profile_banners/1347532285566881795/1619711085</v>
      </c>
      <c r="AQ1432" s="81" t="b">
        <v>1</v>
      </c>
      <c r="AR1432" s="81" t="b">
        <v>0</v>
      </c>
      <c r="AS1432" s="81" t="b">
        <v>0</v>
      </c>
      <c r="AT1432" s="81"/>
      <c r="AU1432" s="81">
        <v>0</v>
      </c>
      <c r="AV1432" s="81"/>
      <c r="AW1432" s="81" t="b">
        <v>0</v>
      </c>
      <c r="AX1432" s="81" t="s">
        <v>3728</v>
      </c>
      <c r="AY1432" s="84" t="str">
        <f>HYPERLINK("https://twitter.com/jungmatoo")</f>
        <v>https://twitter.com/jungmatoo</v>
      </c>
      <c r="AZ1432" s="81" t="s">
        <v>66</v>
      </c>
    </row>
    <row r="1433" spans="1:52" x14ac:dyDescent="0.35">
      <c r="A1433" s="66" t="s">
        <v>4916</v>
      </c>
      <c r="B1433" s="67"/>
      <c r="C1433" s="67"/>
      <c r="D1433" s="68"/>
      <c r="E1433" s="94"/>
      <c r="F1433" s="93" t="str">
        <f>HYPERLINK("https://pbs.twimg.com/profile_images/1278405680391532544/nRtAwqkZ_normal.jpg")</f>
        <v>https://pbs.twimg.com/profile_images/1278405680391532544/nRtAwqkZ_normal.jpg</v>
      </c>
      <c r="G1433" s="95"/>
      <c r="H1433" s="71"/>
      <c r="I1433" s="72"/>
      <c r="J1433" s="96"/>
      <c r="K1433" s="71" t="s">
        <v>12368</v>
      </c>
      <c r="L1433" s="97"/>
      <c r="M1433" s="76"/>
      <c r="N1433" s="76"/>
      <c r="O1433" s="77"/>
      <c r="P1433" s="78"/>
      <c r="Q1433" s="78"/>
      <c r="R1433" s="92"/>
      <c r="S1433" s="92"/>
      <c r="T1433" s="92"/>
      <c r="U1433" s="92"/>
      <c r="V1433" s="52"/>
      <c r="W1433" s="52"/>
      <c r="X1433" s="52"/>
      <c r="Y1433" s="52"/>
      <c r="Z1433" s="51"/>
      <c r="AA1433" s="73"/>
      <c r="AB1433" s="73"/>
      <c r="AC1433" s="74"/>
      <c r="AD1433" s="81" t="s">
        <v>8982</v>
      </c>
      <c r="AE1433" s="86" t="s">
        <v>9938</v>
      </c>
      <c r="AF1433" s="81">
        <v>276</v>
      </c>
      <c r="AG1433" s="81">
        <v>279</v>
      </c>
      <c r="AH1433" s="81">
        <v>8062</v>
      </c>
      <c r="AI1433" s="81">
        <v>216</v>
      </c>
      <c r="AJ1433" s="81"/>
      <c r="AK1433" s="81" t="s">
        <v>10856</v>
      </c>
      <c r="AL1433" s="81"/>
      <c r="AM1433" s="84" t="str">
        <f>HYPERLINK("https://t.co/qUCCjEYJgd")</f>
        <v>https://t.co/qUCCjEYJgd</v>
      </c>
      <c r="AN1433" s="81"/>
      <c r="AO1433" s="83">
        <v>40767.009097222224</v>
      </c>
      <c r="AP1433" s="84" t="str">
        <f>HYPERLINK("https://pbs.twimg.com/profile_banners/353381318/1617016375")</f>
        <v>https://pbs.twimg.com/profile_banners/353381318/1617016375</v>
      </c>
      <c r="AQ1433" s="81" t="b">
        <v>0</v>
      </c>
      <c r="AR1433" s="81" t="b">
        <v>0</v>
      </c>
      <c r="AS1433" s="81" t="b">
        <v>1</v>
      </c>
      <c r="AT1433" s="81"/>
      <c r="AU1433" s="81">
        <v>0</v>
      </c>
      <c r="AV1433" s="84" t="str">
        <f>HYPERLINK("https://abs.twimg.com/images/themes/theme1/bg.png")</f>
        <v>https://abs.twimg.com/images/themes/theme1/bg.png</v>
      </c>
      <c r="AW1433" s="81" t="b">
        <v>0</v>
      </c>
      <c r="AX1433" s="81" t="s">
        <v>3728</v>
      </c>
      <c r="AY1433" s="84" t="str">
        <f>HYPERLINK("https://twitter.com/nvlda")</f>
        <v>https://twitter.com/nvlda</v>
      </c>
      <c r="AZ1433" s="81" t="s">
        <v>66</v>
      </c>
    </row>
    <row r="1434" spans="1:52" x14ac:dyDescent="0.35">
      <c r="A1434" s="66" t="s">
        <v>4917</v>
      </c>
      <c r="B1434" s="67"/>
      <c r="C1434" s="67"/>
      <c r="D1434" s="68"/>
      <c r="E1434" s="94"/>
      <c r="F1434" s="93" t="str">
        <f>HYPERLINK("https://pbs.twimg.com/profile_images/1154418685064425472/tg_ah9D8_normal.jpg")</f>
        <v>https://pbs.twimg.com/profile_images/1154418685064425472/tg_ah9D8_normal.jpg</v>
      </c>
      <c r="G1434" s="95"/>
      <c r="H1434" s="71"/>
      <c r="I1434" s="72"/>
      <c r="J1434" s="96"/>
      <c r="K1434" s="71" t="s">
        <v>12369</v>
      </c>
      <c r="L1434" s="97"/>
      <c r="M1434" s="76"/>
      <c r="N1434" s="76"/>
      <c r="O1434" s="77"/>
      <c r="P1434" s="78"/>
      <c r="Q1434" s="78"/>
      <c r="R1434" s="92"/>
      <c r="S1434" s="92"/>
      <c r="T1434" s="92"/>
      <c r="U1434" s="92"/>
      <c r="V1434" s="52"/>
      <c r="W1434" s="52"/>
      <c r="X1434" s="52"/>
      <c r="Y1434" s="52"/>
      <c r="Z1434" s="51"/>
      <c r="AA1434" s="73"/>
      <c r="AB1434" s="73"/>
      <c r="AC1434" s="74"/>
      <c r="AD1434" s="81" t="s">
        <v>8983</v>
      </c>
      <c r="AE1434" s="86" t="s">
        <v>9939</v>
      </c>
      <c r="AF1434" s="81">
        <v>5003</v>
      </c>
      <c r="AG1434" s="81">
        <v>3338</v>
      </c>
      <c r="AH1434" s="81">
        <v>59554</v>
      </c>
      <c r="AI1434" s="81">
        <v>115959</v>
      </c>
      <c r="AJ1434" s="81"/>
      <c r="AK1434" s="81" t="s">
        <v>10857</v>
      </c>
      <c r="AL1434" s="81" t="s">
        <v>11348</v>
      </c>
      <c r="AM1434" s="81"/>
      <c r="AN1434" s="81"/>
      <c r="AO1434" s="83">
        <v>41118.181018518517</v>
      </c>
      <c r="AP1434" s="81"/>
      <c r="AQ1434" s="81" t="b">
        <v>1</v>
      </c>
      <c r="AR1434" s="81" t="b">
        <v>0</v>
      </c>
      <c r="AS1434" s="81" t="b">
        <v>0</v>
      </c>
      <c r="AT1434" s="81"/>
      <c r="AU1434" s="81">
        <v>2</v>
      </c>
      <c r="AV1434" s="84" t="str">
        <f>HYPERLINK("https://abs.twimg.com/images/themes/theme1/bg.png")</f>
        <v>https://abs.twimg.com/images/themes/theme1/bg.png</v>
      </c>
      <c r="AW1434" s="81" t="b">
        <v>0</v>
      </c>
      <c r="AX1434" s="81" t="s">
        <v>3728</v>
      </c>
      <c r="AY1434" s="84" t="str">
        <f>HYPERLINK("https://twitter.com/schmittrenata")</f>
        <v>https://twitter.com/schmittrenata</v>
      </c>
      <c r="AZ1434" s="81" t="s">
        <v>66</v>
      </c>
    </row>
    <row r="1435" spans="1:52" x14ac:dyDescent="0.35">
      <c r="A1435" s="66" t="s">
        <v>4935</v>
      </c>
      <c r="B1435" s="67"/>
      <c r="C1435" s="67"/>
      <c r="D1435" s="68"/>
      <c r="E1435" s="94"/>
      <c r="F1435" s="93" t="str">
        <f>HYPERLINK("https://pbs.twimg.com/profile_images/1361907424245018626/QGAAi80J_normal.jpg")</f>
        <v>https://pbs.twimg.com/profile_images/1361907424245018626/QGAAi80J_normal.jpg</v>
      </c>
      <c r="G1435" s="95"/>
      <c r="H1435" s="71"/>
      <c r="I1435" s="72"/>
      <c r="J1435" s="96"/>
      <c r="K1435" s="71" t="s">
        <v>12370</v>
      </c>
      <c r="L1435" s="97"/>
      <c r="M1435" s="76"/>
      <c r="N1435" s="76"/>
      <c r="O1435" s="77"/>
      <c r="P1435" s="78"/>
      <c r="Q1435" s="78"/>
      <c r="R1435" s="92"/>
      <c r="S1435" s="92"/>
      <c r="T1435" s="92"/>
      <c r="U1435" s="92"/>
      <c r="V1435" s="52"/>
      <c r="W1435" s="52"/>
      <c r="X1435" s="52"/>
      <c r="Y1435" s="52"/>
      <c r="Z1435" s="51"/>
      <c r="AA1435" s="73"/>
      <c r="AB1435" s="73"/>
      <c r="AC1435" s="74"/>
      <c r="AD1435" s="81" t="s">
        <v>8984</v>
      </c>
      <c r="AE1435" s="86" t="s">
        <v>9940</v>
      </c>
      <c r="AF1435" s="81">
        <v>2577</v>
      </c>
      <c r="AG1435" s="81">
        <v>4313</v>
      </c>
      <c r="AH1435" s="81">
        <v>42800</v>
      </c>
      <c r="AI1435" s="81">
        <v>51666</v>
      </c>
      <c r="AJ1435" s="81"/>
      <c r="AK1435" s="81" t="s">
        <v>10858</v>
      </c>
      <c r="AL1435" s="81"/>
      <c r="AM1435" s="81"/>
      <c r="AN1435" s="81"/>
      <c r="AO1435" s="83">
        <v>43056.513171296298</v>
      </c>
      <c r="AP1435" s="84" t="str">
        <f>HYPERLINK("https://pbs.twimg.com/profile_banners/931496884320993280/1629925042")</f>
        <v>https://pbs.twimg.com/profile_banners/931496884320993280/1629925042</v>
      </c>
      <c r="AQ1435" s="81" t="b">
        <v>1</v>
      </c>
      <c r="AR1435" s="81" t="b">
        <v>0</v>
      </c>
      <c r="AS1435" s="81" t="b">
        <v>1</v>
      </c>
      <c r="AT1435" s="81"/>
      <c r="AU1435" s="81">
        <v>11</v>
      </c>
      <c r="AV1435" s="81"/>
      <c r="AW1435" s="81" t="b">
        <v>0</v>
      </c>
      <c r="AX1435" s="81" t="s">
        <v>3728</v>
      </c>
      <c r="AY1435" s="84" t="str">
        <f>HYPERLINK("https://twitter.com/ellocohumaita")</f>
        <v>https://twitter.com/ellocohumaita</v>
      </c>
      <c r="AZ1435" s="81" t="s">
        <v>66</v>
      </c>
    </row>
    <row r="1436" spans="1:52" x14ac:dyDescent="0.35">
      <c r="A1436" s="66" t="s">
        <v>4918</v>
      </c>
      <c r="B1436" s="67"/>
      <c r="C1436" s="67"/>
      <c r="D1436" s="68"/>
      <c r="E1436" s="94"/>
      <c r="F1436" s="93" t="str">
        <f>HYPERLINK("https://pbs.twimg.com/profile_images/1434144230813831169/7cIiTmaH_normal.jpg")</f>
        <v>https://pbs.twimg.com/profile_images/1434144230813831169/7cIiTmaH_normal.jpg</v>
      </c>
      <c r="G1436" s="95"/>
      <c r="H1436" s="71"/>
      <c r="I1436" s="72"/>
      <c r="J1436" s="96"/>
      <c r="K1436" s="71" t="s">
        <v>12371</v>
      </c>
      <c r="L1436" s="97"/>
      <c r="M1436" s="76"/>
      <c r="N1436" s="76"/>
      <c r="O1436" s="77"/>
      <c r="P1436" s="78"/>
      <c r="Q1436" s="78"/>
      <c r="R1436" s="92"/>
      <c r="S1436" s="92"/>
      <c r="T1436" s="92"/>
      <c r="U1436" s="92"/>
      <c r="V1436" s="52"/>
      <c r="W1436" s="52"/>
      <c r="X1436" s="52"/>
      <c r="Y1436" s="52"/>
      <c r="Z1436" s="51"/>
      <c r="AA1436" s="73"/>
      <c r="AB1436" s="73"/>
      <c r="AC1436" s="74"/>
      <c r="AD1436" s="81" t="s">
        <v>8985</v>
      </c>
      <c r="AE1436" s="86" t="s">
        <v>9941</v>
      </c>
      <c r="AF1436" s="81">
        <v>1065</v>
      </c>
      <c r="AG1436" s="81">
        <v>558</v>
      </c>
      <c r="AH1436" s="81">
        <v>78</v>
      </c>
      <c r="AI1436" s="81">
        <v>26</v>
      </c>
      <c r="AJ1436" s="81"/>
      <c r="AK1436" s="81" t="s">
        <v>10859</v>
      </c>
      <c r="AL1436" s="81" t="s">
        <v>3517</v>
      </c>
      <c r="AM1436" s="84" t="str">
        <f>HYPERLINK("https://t.co/ecztggaepU")</f>
        <v>https://t.co/ecztggaepU</v>
      </c>
      <c r="AN1436" s="81"/>
      <c r="AO1436" s="83">
        <v>44443.554398148146</v>
      </c>
      <c r="AP1436" s="84" t="str">
        <f>HYPERLINK("https://pbs.twimg.com/profile_banners/1434143492100345856/1632052941")</f>
        <v>https://pbs.twimg.com/profile_banners/1434143492100345856/1632052941</v>
      </c>
      <c r="AQ1436" s="81" t="b">
        <v>1</v>
      </c>
      <c r="AR1436" s="81" t="b">
        <v>0</v>
      </c>
      <c r="AS1436" s="81" t="b">
        <v>1</v>
      </c>
      <c r="AT1436" s="81"/>
      <c r="AU1436" s="81">
        <v>0</v>
      </c>
      <c r="AV1436" s="81"/>
      <c r="AW1436" s="81" t="b">
        <v>0</v>
      </c>
      <c r="AX1436" s="81" t="s">
        <v>3728</v>
      </c>
      <c r="AY1436" s="84" t="str">
        <f>HYPERLINK("https://twitter.com/permadiwahyu007")</f>
        <v>https://twitter.com/permadiwahyu007</v>
      </c>
      <c r="AZ1436" s="81" t="s">
        <v>66</v>
      </c>
    </row>
    <row r="1437" spans="1:52" x14ac:dyDescent="0.35">
      <c r="A1437" s="66" t="s">
        <v>4919</v>
      </c>
      <c r="B1437" s="67"/>
      <c r="C1437" s="67"/>
      <c r="D1437" s="68"/>
      <c r="E1437" s="94"/>
      <c r="F1437" s="93" t="str">
        <f>HYPERLINK("https://pbs.twimg.com/profile_images/1052256612340109313/ImPBkQuU_normal.jpg")</f>
        <v>https://pbs.twimg.com/profile_images/1052256612340109313/ImPBkQuU_normal.jpg</v>
      </c>
      <c r="G1437" s="95"/>
      <c r="H1437" s="71"/>
      <c r="I1437" s="72"/>
      <c r="J1437" s="96"/>
      <c r="K1437" s="71" t="s">
        <v>12372</v>
      </c>
      <c r="L1437" s="97"/>
      <c r="M1437" s="76"/>
      <c r="N1437" s="76"/>
      <c r="O1437" s="77"/>
      <c r="P1437" s="78"/>
      <c r="Q1437" s="78"/>
      <c r="R1437" s="92"/>
      <c r="S1437" s="92"/>
      <c r="T1437" s="92"/>
      <c r="U1437" s="92"/>
      <c r="V1437" s="52"/>
      <c r="W1437" s="52"/>
      <c r="X1437" s="52"/>
      <c r="Y1437" s="52"/>
      <c r="Z1437" s="51"/>
      <c r="AA1437" s="73"/>
      <c r="AB1437" s="73"/>
      <c r="AC1437" s="74"/>
      <c r="AD1437" s="81" t="s">
        <v>8986</v>
      </c>
      <c r="AE1437" s="86" t="s">
        <v>9942</v>
      </c>
      <c r="AF1437" s="81">
        <v>1701</v>
      </c>
      <c r="AG1437" s="81">
        <v>190</v>
      </c>
      <c r="AH1437" s="81">
        <v>121722</v>
      </c>
      <c r="AI1437" s="81">
        <v>357</v>
      </c>
      <c r="AJ1437" s="81"/>
      <c r="AK1437" s="81" t="s">
        <v>10860</v>
      </c>
      <c r="AL1437" s="81" t="s">
        <v>11349</v>
      </c>
      <c r="AM1437" s="81"/>
      <c r="AN1437" s="81"/>
      <c r="AO1437" s="83">
        <v>43389.741006944445</v>
      </c>
      <c r="AP1437" s="84" t="str">
        <f>HYPERLINK("https://pbs.twimg.com/profile_banners/1052254609425731585/1606102712")</f>
        <v>https://pbs.twimg.com/profile_banners/1052254609425731585/1606102712</v>
      </c>
      <c r="AQ1437" s="81" t="b">
        <v>0</v>
      </c>
      <c r="AR1437" s="81" t="b">
        <v>0</v>
      </c>
      <c r="AS1437" s="81" t="b">
        <v>0</v>
      </c>
      <c r="AT1437" s="81"/>
      <c r="AU1437" s="81">
        <v>0</v>
      </c>
      <c r="AV1437" s="84" t="str">
        <f>HYPERLINK("https://abs.twimg.com/images/themes/theme1/bg.png")</f>
        <v>https://abs.twimg.com/images/themes/theme1/bg.png</v>
      </c>
      <c r="AW1437" s="81" t="b">
        <v>0</v>
      </c>
      <c r="AX1437" s="81" t="s">
        <v>3728</v>
      </c>
      <c r="AY1437" s="84" t="str">
        <f>HYPERLINK("https://twitter.com/mjuniorx")</f>
        <v>https://twitter.com/mjuniorx</v>
      </c>
      <c r="AZ1437" s="81" t="s">
        <v>66</v>
      </c>
    </row>
    <row r="1438" spans="1:52" x14ac:dyDescent="0.35">
      <c r="A1438" s="66" t="s">
        <v>4920</v>
      </c>
      <c r="B1438" s="67"/>
      <c r="C1438" s="67"/>
      <c r="D1438" s="68"/>
      <c r="E1438" s="94"/>
      <c r="F1438" s="93" t="str">
        <f>HYPERLINK("https://pbs.twimg.com/profile_images/1415120257518292998/YgaeW1oV_normal.jpg")</f>
        <v>https://pbs.twimg.com/profile_images/1415120257518292998/YgaeW1oV_normal.jpg</v>
      </c>
      <c r="G1438" s="95"/>
      <c r="H1438" s="71"/>
      <c r="I1438" s="72"/>
      <c r="J1438" s="96"/>
      <c r="K1438" s="71" t="s">
        <v>12373</v>
      </c>
      <c r="L1438" s="97"/>
      <c r="M1438" s="76"/>
      <c r="N1438" s="76"/>
      <c r="O1438" s="77"/>
      <c r="P1438" s="78"/>
      <c r="Q1438" s="78"/>
      <c r="R1438" s="92"/>
      <c r="S1438" s="92"/>
      <c r="T1438" s="92"/>
      <c r="U1438" s="92"/>
      <c r="V1438" s="52"/>
      <c r="W1438" s="52"/>
      <c r="X1438" s="52"/>
      <c r="Y1438" s="52"/>
      <c r="Z1438" s="51"/>
      <c r="AA1438" s="73"/>
      <c r="AB1438" s="73"/>
      <c r="AC1438" s="74"/>
      <c r="AD1438" s="81" t="s">
        <v>8987</v>
      </c>
      <c r="AE1438" s="86" t="s">
        <v>9943</v>
      </c>
      <c r="AF1438" s="81">
        <v>110</v>
      </c>
      <c r="AG1438" s="81">
        <v>130</v>
      </c>
      <c r="AH1438" s="81">
        <v>18084</v>
      </c>
      <c r="AI1438" s="81">
        <v>83182</v>
      </c>
      <c r="AJ1438" s="81"/>
      <c r="AK1438" s="81" t="s">
        <v>10861</v>
      </c>
      <c r="AL1438" s="81" t="s">
        <v>11041</v>
      </c>
      <c r="AM1438" s="81"/>
      <c r="AN1438" s="81"/>
      <c r="AO1438" s="83">
        <v>44282.792731481481</v>
      </c>
      <c r="AP1438" s="84" t="str">
        <f>HYPERLINK("https://pbs.twimg.com/profile_banners/1375885667478159362/1624797503")</f>
        <v>https://pbs.twimg.com/profile_banners/1375885667478159362/1624797503</v>
      </c>
      <c r="AQ1438" s="81" t="b">
        <v>1</v>
      </c>
      <c r="AR1438" s="81" t="b">
        <v>0</v>
      </c>
      <c r="AS1438" s="81" t="b">
        <v>0</v>
      </c>
      <c r="AT1438" s="81"/>
      <c r="AU1438" s="81">
        <v>0</v>
      </c>
      <c r="AV1438" s="81"/>
      <c r="AW1438" s="81" t="b">
        <v>0</v>
      </c>
      <c r="AX1438" s="81" t="s">
        <v>3728</v>
      </c>
      <c r="AY1438" s="84" t="str">
        <f>HYPERLINK("https://twitter.com/lbmoura13")</f>
        <v>https://twitter.com/lbmoura13</v>
      </c>
      <c r="AZ1438" s="81" t="s">
        <v>66</v>
      </c>
    </row>
    <row r="1439" spans="1:52" x14ac:dyDescent="0.35">
      <c r="A1439" s="66" t="s">
        <v>4921</v>
      </c>
      <c r="B1439" s="67"/>
      <c r="C1439" s="67"/>
      <c r="D1439" s="68"/>
      <c r="E1439" s="94"/>
      <c r="F1439" s="93" t="str">
        <f>HYPERLINK("https://pbs.twimg.com/profile_images/1369348411665903630/Ml3-UQ4z_normal.jpg")</f>
        <v>https://pbs.twimg.com/profile_images/1369348411665903630/Ml3-UQ4z_normal.jpg</v>
      </c>
      <c r="G1439" s="95"/>
      <c r="H1439" s="71"/>
      <c r="I1439" s="72"/>
      <c r="J1439" s="96"/>
      <c r="K1439" s="71" t="s">
        <v>12374</v>
      </c>
      <c r="L1439" s="97"/>
      <c r="M1439" s="76"/>
      <c r="N1439" s="76"/>
      <c r="O1439" s="77"/>
      <c r="P1439" s="78"/>
      <c r="Q1439" s="78"/>
      <c r="R1439" s="92"/>
      <c r="S1439" s="92"/>
      <c r="T1439" s="92"/>
      <c r="U1439" s="92"/>
      <c r="V1439" s="52"/>
      <c r="W1439" s="52"/>
      <c r="X1439" s="52"/>
      <c r="Y1439" s="52"/>
      <c r="Z1439" s="51"/>
      <c r="AA1439" s="73"/>
      <c r="AB1439" s="73"/>
      <c r="AC1439" s="74"/>
      <c r="AD1439" s="81" t="s">
        <v>8988</v>
      </c>
      <c r="AE1439" s="86" t="s">
        <v>7935</v>
      </c>
      <c r="AF1439" s="81">
        <v>844</v>
      </c>
      <c r="AG1439" s="81">
        <v>119</v>
      </c>
      <c r="AH1439" s="81">
        <v>3781</v>
      </c>
      <c r="AI1439" s="81">
        <v>13617</v>
      </c>
      <c r="AJ1439" s="81"/>
      <c r="AK1439" s="81" t="s">
        <v>10862</v>
      </c>
      <c r="AL1439" s="81" t="s">
        <v>11350</v>
      </c>
      <c r="AM1439" s="81"/>
      <c r="AN1439" s="81"/>
      <c r="AO1439" s="83">
        <v>40069.462581018517</v>
      </c>
      <c r="AP1439" s="84" t="str">
        <f>HYPERLINK("https://pbs.twimg.com/profile_banners/73862924/1624511946")</f>
        <v>https://pbs.twimg.com/profile_banners/73862924/1624511946</v>
      </c>
      <c r="AQ1439" s="81" t="b">
        <v>0</v>
      </c>
      <c r="AR1439" s="81" t="b">
        <v>0</v>
      </c>
      <c r="AS1439" s="81" t="b">
        <v>0</v>
      </c>
      <c r="AT1439" s="81"/>
      <c r="AU1439" s="81">
        <v>0</v>
      </c>
      <c r="AV1439" s="84" t="str">
        <f>HYPERLINK("https://abs.twimg.com/images/themes/theme1/bg.png")</f>
        <v>https://abs.twimg.com/images/themes/theme1/bg.png</v>
      </c>
      <c r="AW1439" s="81" t="b">
        <v>0</v>
      </c>
      <c r="AX1439" s="81" t="s">
        <v>3728</v>
      </c>
      <c r="AY1439" s="84" t="str">
        <f>HYPERLINK("https://twitter.com/josemarmoises")</f>
        <v>https://twitter.com/josemarmoises</v>
      </c>
      <c r="AZ1439" s="81" t="s">
        <v>66</v>
      </c>
    </row>
    <row r="1440" spans="1:52" x14ac:dyDescent="0.35">
      <c r="A1440" s="66" t="s">
        <v>5201</v>
      </c>
      <c r="B1440" s="67"/>
      <c r="C1440" s="67"/>
      <c r="D1440" s="68"/>
      <c r="E1440" s="94"/>
      <c r="F1440" s="93" t="str">
        <f>HYPERLINK("https://pbs.twimg.com/profile_images/1442119899074088970/8P35cR9W_normal.jpg")</f>
        <v>https://pbs.twimg.com/profile_images/1442119899074088970/8P35cR9W_normal.jpg</v>
      </c>
      <c r="G1440" s="95"/>
      <c r="H1440" s="71"/>
      <c r="I1440" s="72"/>
      <c r="J1440" s="96"/>
      <c r="K1440" s="71" t="s">
        <v>12375</v>
      </c>
      <c r="L1440" s="97"/>
      <c r="M1440" s="76"/>
      <c r="N1440" s="76"/>
      <c r="O1440" s="77"/>
      <c r="P1440" s="78"/>
      <c r="Q1440" s="78"/>
      <c r="R1440" s="92"/>
      <c r="S1440" s="92"/>
      <c r="T1440" s="92"/>
      <c r="U1440" s="92"/>
      <c r="V1440" s="52"/>
      <c r="W1440" s="52"/>
      <c r="X1440" s="52"/>
      <c r="Y1440" s="52"/>
      <c r="Z1440" s="51"/>
      <c r="AA1440" s="73"/>
      <c r="AB1440" s="73"/>
      <c r="AC1440" s="74"/>
      <c r="AD1440" s="81" t="s">
        <v>8989</v>
      </c>
      <c r="AE1440" s="86" t="s">
        <v>9944</v>
      </c>
      <c r="AF1440" s="81">
        <v>594</v>
      </c>
      <c r="AG1440" s="81">
        <v>202</v>
      </c>
      <c r="AH1440" s="81">
        <v>8021</v>
      </c>
      <c r="AI1440" s="81">
        <v>8988</v>
      </c>
      <c r="AJ1440" s="81"/>
      <c r="AK1440" s="81" t="s">
        <v>10863</v>
      </c>
      <c r="AL1440" s="81" t="s">
        <v>11351</v>
      </c>
      <c r="AM1440" s="81"/>
      <c r="AN1440" s="81"/>
      <c r="AO1440" s="83">
        <v>43981.468287037038</v>
      </c>
      <c r="AP1440" s="84" t="str">
        <f>HYPERLINK("https://pbs.twimg.com/profile_banners/1266689209923969025/1625350527")</f>
        <v>https://pbs.twimg.com/profile_banners/1266689209923969025/1625350527</v>
      </c>
      <c r="AQ1440" s="81" t="b">
        <v>1</v>
      </c>
      <c r="AR1440" s="81" t="b">
        <v>0</v>
      </c>
      <c r="AS1440" s="81" t="b">
        <v>0</v>
      </c>
      <c r="AT1440" s="81"/>
      <c r="AU1440" s="81">
        <v>0</v>
      </c>
      <c r="AV1440" s="81"/>
      <c r="AW1440" s="81" t="b">
        <v>0</v>
      </c>
      <c r="AX1440" s="81" t="s">
        <v>3728</v>
      </c>
      <c r="AY1440" s="84" t="str">
        <f>HYPERLINK("https://twitter.com/yagobarros231")</f>
        <v>https://twitter.com/yagobarros231</v>
      </c>
      <c r="AZ1440" s="81" t="s">
        <v>65</v>
      </c>
    </row>
    <row r="1441" spans="1:52" x14ac:dyDescent="0.35">
      <c r="A1441" s="66" t="s">
        <v>4922</v>
      </c>
      <c r="B1441" s="67"/>
      <c r="C1441" s="67"/>
      <c r="D1441" s="68"/>
      <c r="E1441" s="94"/>
      <c r="F1441" s="93" t="str">
        <f>HYPERLINK("https://pbs.twimg.com/profile_images/1436834356492898305/_OlePtlG_normal.jpg")</f>
        <v>https://pbs.twimg.com/profile_images/1436834356492898305/_OlePtlG_normal.jpg</v>
      </c>
      <c r="G1441" s="95"/>
      <c r="H1441" s="71"/>
      <c r="I1441" s="72"/>
      <c r="J1441" s="96"/>
      <c r="K1441" s="71" t="s">
        <v>12376</v>
      </c>
      <c r="L1441" s="97"/>
      <c r="M1441" s="76"/>
      <c r="N1441" s="76"/>
      <c r="O1441" s="77"/>
      <c r="P1441" s="78"/>
      <c r="Q1441" s="78"/>
      <c r="R1441" s="92"/>
      <c r="S1441" s="92"/>
      <c r="T1441" s="92"/>
      <c r="U1441" s="92"/>
      <c r="V1441" s="52"/>
      <c r="W1441" s="52"/>
      <c r="X1441" s="52"/>
      <c r="Y1441" s="52"/>
      <c r="Z1441" s="51"/>
      <c r="AA1441" s="73"/>
      <c r="AB1441" s="73"/>
      <c r="AC1441" s="74"/>
      <c r="AD1441" s="81" t="s">
        <v>8990</v>
      </c>
      <c r="AE1441" s="86" t="s">
        <v>9945</v>
      </c>
      <c r="AF1441" s="81">
        <v>3269</v>
      </c>
      <c r="AG1441" s="81">
        <v>3064</v>
      </c>
      <c r="AH1441" s="81">
        <v>6410</v>
      </c>
      <c r="AI1441" s="81">
        <v>109325</v>
      </c>
      <c r="AJ1441" s="81"/>
      <c r="AK1441" s="81" t="s">
        <v>10864</v>
      </c>
      <c r="AL1441" s="81"/>
      <c r="AM1441" s="81"/>
      <c r="AN1441" s="81"/>
      <c r="AO1441" s="83">
        <v>43986.952245370368</v>
      </c>
      <c r="AP1441" s="84" t="str">
        <f>HYPERLINK("https://pbs.twimg.com/profile_banners/1268676655557619718/1624473657")</f>
        <v>https://pbs.twimg.com/profile_banners/1268676655557619718/1624473657</v>
      </c>
      <c r="AQ1441" s="81" t="b">
        <v>1</v>
      </c>
      <c r="AR1441" s="81" t="b">
        <v>0</v>
      </c>
      <c r="AS1441" s="81" t="b">
        <v>0</v>
      </c>
      <c r="AT1441" s="81"/>
      <c r="AU1441" s="81">
        <v>2</v>
      </c>
      <c r="AV1441" s="81"/>
      <c r="AW1441" s="81" t="b">
        <v>0</v>
      </c>
      <c r="AX1441" s="81" t="s">
        <v>3728</v>
      </c>
      <c r="AY1441" s="84" t="str">
        <f>HYPERLINK("https://twitter.com/ufanistacut3")</f>
        <v>https://twitter.com/ufanistacut3</v>
      </c>
      <c r="AZ1441" s="81" t="s">
        <v>66</v>
      </c>
    </row>
    <row r="1442" spans="1:52" x14ac:dyDescent="0.35">
      <c r="A1442" s="66" t="s">
        <v>5202</v>
      </c>
      <c r="B1442" s="67"/>
      <c r="C1442" s="67"/>
      <c r="D1442" s="68"/>
      <c r="E1442" s="94"/>
      <c r="F1442" s="93" t="str">
        <f>HYPERLINK("https://pbs.twimg.com/profile_images/1297215418143248384/9fBEpk08_normal.jpg")</f>
        <v>https://pbs.twimg.com/profile_images/1297215418143248384/9fBEpk08_normal.jpg</v>
      </c>
      <c r="G1442" s="95"/>
      <c r="H1442" s="71"/>
      <c r="I1442" s="72"/>
      <c r="J1442" s="96"/>
      <c r="K1442" s="71" t="s">
        <v>12377</v>
      </c>
      <c r="L1442" s="97"/>
      <c r="M1442" s="76"/>
      <c r="N1442" s="76"/>
      <c r="O1442" s="77"/>
      <c r="P1442" s="78"/>
      <c r="Q1442" s="78"/>
      <c r="R1442" s="92"/>
      <c r="S1442" s="92"/>
      <c r="T1442" s="92"/>
      <c r="U1442" s="92"/>
      <c r="V1442" s="52"/>
      <c r="W1442" s="52"/>
      <c r="X1442" s="52"/>
      <c r="Y1442" s="52"/>
      <c r="Z1442" s="51"/>
      <c r="AA1442" s="73"/>
      <c r="AB1442" s="73"/>
      <c r="AC1442" s="74"/>
      <c r="AD1442" s="81" t="s">
        <v>8991</v>
      </c>
      <c r="AE1442" s="86" t="s">
        <v>9946</v>
      </c>
      <c r="AF1442" s="81">
        <v>3939</v>
      </c>
      <c r="AG1442" s="81">
        <v>4310</v>
      </c>
      <c r="AH1442" s="81">
        <v>3667</v>
      </c>
      <c r="AI1442" s="81">
        <v>57135</v>
      </c>
      <c r="AJ1442" s="81"/>
      <c r="AK1442" s="81" t="s">
        <v>10865</v>
      </c>
      <c r="AL1442" s="81"/>
      <c r="AM1442" s="81"/>
      <c r="AN1442" s="81"/>
      <c r="AO1442" s="83">
        <v>43354.911076388889</v>
      </c>
      <c r="AP1442" s="84" t="str">
        <f>HYPERLINK("https://pbs.twimg.com/profile_banners/1039632663018135553/1620241567")</f>
        <v>https://pbs.twimg.com/profile_banners/1039632663018135553/1620241567</v>
      </c>
      <c r="AQ1442" s="81" t="b">
        <v>1</v>
      </c>
      <c r="AR1442" s="81" t="b">
        <v>0</v>
      </c>
      <c r="AS1442" s="81" t="b">
        <v>0</v>
      </c>
      <c r="AT1442" s="81"/>
      <c r="AU1442" s="81">
        <v>5</v>
      </c>
      <c r="AV1442" s="81"/>
      <c r="AW1442" s="81" t="b">
        <v>0</v>
      </c>
      <c r="AX1442" s="81" t="s">
        <v>3728</v>
      </c>
      <c r="AY1442" s="84" t="str">
        <f>HYPERLINK("https://twitter.com/saiadamatrixbr")</f>
        <v>https://twitter.com/saiadamatrixbr</v>
      </c>
      <c r="AZ1442" s="81" t="s">
        <v>65</v>
      </c>
    </row>
    <row r="1443" spans="1:52" x14ac:dyDescent="0.35">
      <c r="A1443" s="66" t="s">
        <v>5203</v>
      </c>
      <c r="B1443" s="67"/>
      <c r="C1443" s="67"/>
      <c r="D1443" s="68"/>
      <c r="E1443" s="94"/>
      <c r="F1443" s="93" t="str">
        <f>HYPERLINK("https://pbs.twimg.com/profile_images/1396499730352328706/2Nb8tPmL_normal.jpg")</f>
        <v>https://pbs.twimg.com/profile_images/1396499730352328706/2Nb8tPmL_normal.jpg</v>
      </c>
      <c r="G1443" s="95"/>
      <c r="H1443" s="71"/>
      <c r="I1443" s="72"/>
      <c r="J1443" s="96"/>
      <c r="K1443" s="71" t="s">
        <v>12378</v>
      </c>
      <c r="L1443" s="97"/>
      <c r="M1443" s="76"/>
      <c r="N1443" s="76"/>
      <c r="O1443" s="77"/>
      <c r="P1443" s="78"/>
      <c r="Q1443" s="78"/>
      <c r="R1443" s="92"/>
      <c r="S1443" s="92"/>
      <c r="T1443" s="92"/>
      <c r="U1443" s="92"/>
      <c r="V1443" s="52"/>
      <c r="W1443" s="52"/>
      <c r="X1443" s="52"/>
      <c r="Y1443" s="52"/>
      <c r="Z1443" s="51"/>
      <c r="AA1443" s="73"/>
      <c r="AB1443" s="73"/>
      <c r="AC1443" s="74"/>
      <c r="AD1443" s="81" t="s">
        <v>8992</v>
      </c>
      <c r="AE1443" s="86" t="s">
        <v>9947</v>
      </c>
      <c r="AF1443" s="81">
        <v>9515</v>
      </c>
      <c r="AG1443" s="81">
        <v>8989</v>
      </c>
      <c r="AH1443" s="81">
        <v>147813</v>
      </c>
      <c r="AI1443" s="81">
        <v>218930</v>
      </c>
      <c r="AJ1443" s="81"/>
      <c r="AK1443" s="81" t="s">
        <v>10866</v>
      </c>
      <c r="AL1443" s="81"/>
      <c r="AM1443" s="81"/>
      <c r="AN1443" s="81"/>
      <c r="AO1443" s="83">
        <v>43926.900625000002</v>
      </c>
      <c r="AP1443" s="84" t="str">
        <f>HYPERLINK("https://pbs.twimg.com/profile_banners/1246914613310033928/1621786456")</f>
        <v>https://pbs.twimg.com/profile_banners/1246914613310033928/1621786456</v>
      </c>
      <c r="AQ1443" s="81" t="b">
        <v>1</v>
      </c>
      <c r="AR1443" s="81" t="b">
        <v>0</v>
      </c>
      <c r="AS1443" s="81" t="b">
        <v>0</v>
      </c>
      <c r="AT1443" s="81"/>
      <c r="AU1443" s="81">
        <v>12</v>
      </c>
      <c r="AV1443" s="81"/>
      <c r="AW1443" s="81" t="b">
        <v>0</v>
      </c>
      <c r="AX1443" s="81" t="s">
        <v>3728</v>
      </c>
      <c r="AY1443" s="84" t="str">
        <f>HYPERLINK("https://twitter.com/ryujapan2020br")</f>
        <v>https://twitter.com/ryujapan2020br</v>
      </c>
      <c r="AZ1443" s="81" t="s">
        <v>65</v>
      </c>
    </row>
    <row r="1444" spans="1:52" x14ac:dyDescent="0.35">
      <c r="A1444" s="66" t="s">
        <v>5204</v>
      </c>
      <c r="B1444" s="67"/>
      <c r="C1444" s="67"/>
      <c r="D1444" s="68"/>
      <c r="E1444" s="94"/>
      <c r="F1444" s="93" t="str">
        <f>HYPERLINK("https://pbs.twimg.com/profile_images/1430505609359773699/NMASYJ6a_normal.jpg")</f>
        <v>https://pbs.twimg.com/profile_images/1430505609359773699/NMASYJ6a_normal.jpg</v>
      </c>
      <c r="G1444" s="95"/>
      <c r="H1444" s="71"/>
      <c r="I1444" s="72"/>
      <c r="J1444" s="96"/>
      <c r="K1444" s="71" t="s">
        <v>12379</v>
      </c>
      <c r="L1444" s="97"/>
      <c r="M1444" s="76"/>
      <c r="N1444" s="76"/>
      <c r="O1444" s="77"/>
      <c r="P1444" s="78"/>
      <c r="Q1444" s="78"/>
      <c r="R1444" s="92"/>
      <c r="S1444" s="92"/>
      <c r="T1444" s="92"/>
      <c r="U1444" s="92"/>
      <c r="V1444" s="52"/>
      <c r="W1444" s="52"/>
      <c r="X1444" s="52"/>
      <c r="Y1444" s="52"/>
      <c r="Z1444" s="51"/>
      <c r="AA1444" s="73"/>
      <c r="AB1444" s="73"/>
      <c r="AC1444" s="74"/>
      <c r="AD1444" s="81" t="s">
        <v>8993</v>
      </c>
      <c r="AE1444" s="86" t="s">
        <v>9948</v>
      </c>
      <c r="AF1444" s="81">
        <v>339</v>
      </c>
      <c r="AG1444" s="81">
        <v>2673</v>
      </c>
      <c r="AH1444" s="81">
        <v>2140</v>
      </c>
      <c r="AI1444" s="81">
        <v>5046</v>
      </c>
      <c r="AJ1444" s="81"/>
      <c r="AK1444" s="81" t="s">
        <v>10867</v>
      </c>
      <c r="AL1444" s="81" t="s">
        <v>11352</v>
      </c>
      <c r="AM1444" s="81"/>
      <c r="AN1444" s="81"/>
      <c r="AO1444" s="83">
        <v>44369.018495370372</v>
      </c>
      <c r="AP1444" s="84" t="str">
        <f>HYPERLINK("https://pbs.twimg.com/profile_banners/1407132823480381441/1627485265")</f>
        <v>https://pbs.twimg.com/profile_banners/1407132823480381441/1627485265</v>
      </c>
      <c r="AQ1444" s="81" t="b">
        <v>1</v>
      </c>
      <c r="AR1444" s="81" t="b">
        <v>0</v>
      </c>
      <c r="AS1444" s="81" t="b">
        <v>0</v>
      </c>
      <c r="AT1444" s="81"/>
      <c r="AU1444" s="81">
        <v>3</v>
      </c>
      <c r="AV1444" s="81"/>
      <c r="AW1444" s="81" t="b">
        <v>0</v>
      </c>
      <c r="AX1444" s="81" t="s">
        <v>3728</v>
      </c>
      <c r="AY1444" s="84" t="str">
        <f>HYPERLINK("https://twitter.com/vipper1711")</f>
        <v>https://twitter.com/vipper1711</v>
      </c>
      <c r="AZ1444" s="81" t="s">
        <v>65</v>
      </c>
    </row>
    <row r="1445" spans="1:52" x14ac:dyDescent="0.35">
      <c r="A1445" s="66" t="s">
        <v>5205</v>
      </c>
      <c r="B1445" s="67"/>
      <c r="C1445" s="67"/>
      <c r="D1445" s="68"/>
      <c r="E1445" s="94"/>
      <c r="F1445" s="93" t="str">
        <f>HYPERLINK("https://pbs.twimg.com/profile_images/1437541517908918275/vTvsSqKG_normal.jpg")</f>
        <v>https://pbs.twimg.com/profile_images/1437541517908918275/vTvsSqKG_normal.jpg</v>
      </c>
      <c r="G1445" s="95"/>
      <c r="H1445" s="71"/>
      <c r="I1445" s="72"/>
      <c r="J1445" s="96"/>
      <c r="K1445" s="71" t="s">
        <v>12380</v>
      </c>
      <c r="L1445" s="97"/>
      <c r="M1445" s="76"/>
      <c r="N1445" s="76"/>
      <c r="O1445" s="77"/>
      <c r="P1445" s="78"/>
      <c r="Q1445" s="78"/>
      <c r="R1445" s="92"/>
      <c r="S1445" s="92"/>
      <c r="T1445" s="92"/>
      <c r="U1445" s="92"/>
      <c r="V1445" s="52"/>
      <c r="W1445" s="52"/>
      <c r="X1445" s="52"/>
      <c r="Y1445" s="52"/>
      <c r="Z1445" s="51"/>
      <c r="AA1445" s="73"/>
      <c r="AB1445" s="73"/>
      <c r="AC1445" s="74"/>
      <c r="AD1445" s="81" t="s">
        <v>8994</v>
      </c>
      <c r="AE1445" s="86" t="s">
        <v>9949</v>
      </c>
      <c r="AF1445" s="81">
        <v>2542</v>
      </c>
      <c r="AG1445" s="81">
        <v>683</v>
      </c>
      <c r="AH1445" s="81">
        <v>1131</v>
      </c>
      <c r="AI1445" s="81">
        <v>4751</v>
      </c>
      <c r="AJ1445" s="81"/>
      <c r="AK1445" s="81" t="s">
        <v>10868</v>
      </c>
      <c r="AL1445" s="81"/>
      <c r="AM1445" s="84" t="str">
        <f>HYPERLINK("https://t.co/hWUo0Q3fqp")</f>
        <v>https://t.co/hWUo0Q3fqp</v>
      </c>
      <c r="AN1445" s="81"/>
      <c r="AO1445" s="83">
        <v>44452.929594907408</v>
      </c>
      <c r="AP1445" s="84" t="str">
        <f>HYPERLINK("https://pbs.twimg.com/profile_banners/1437541139696037895/1631571846")</f>
        <v>https://pbs.twimg.com/profile_banners/1437541139696037895/1631571846</v>
      </c>
      <c r="AQ1445" s="81" t="b">
        <v>1</v>
      </c>
      <c r="AR1445" s="81" t="b">
        <v>0</v>
      </c>
      <c r="AS1445" s="81" t="b">
        <v>0</v>
      </c>
      <c r="AT1445" s="81"/>
      <c r="AU1445" s="81">
        <v>0</v>
      </c>
      <c r="AV1445" s="81"/>
      <c r="AW1445" s="81" t="b">
        <v>0</v>
      </c>
      <c r="AX1445" s="81" t="s">
        <v>3728</v>
      </c>
      <c r="AY1445" s="84" t="str">
        <f>HYPERLINK("https://twitter.com/aveveritas1")</f>
        <v>https://twitter.com/aveveritas1</v>
      </c>
      <c r="AZ1445" s="81" t="s">
        <v>65</v>
      </c>
    </row>
    <row r="1446" spans="1:52" x14ac:dyDescent="0.35">
      <c r="A1446" s="66" t="s">
        <v>5206</v>
      </c>
      <c r="B1446" s="67"/>
      <c r="C1446" s="67"/>
      <c r="D1446" s="68"/>
      <c r="E1446" s="94"/>
      <c r="F1446" s="93" t="str">
        <f>HYPERLINK("https://pbs.twimg.com/profile_images/1439754088388890625/vId7EnzW_normal.jpg")</f>
        <v>https://pbs.twimg.com/profile_images/1439754088388890625/vId7EnzW_normal.jpg</v>
      </c>
      <c r="G1446" s="95"/>
      <c r="H1446" s="71"/>
      <c r="I1446" s="72"/>
      <c r="J1446" s="96"/>
      <c r="K1446" s="71" t="s">
        <v>12381</v>
      </c>
      <c r="L1446" s="97"/>
      <c r="M1446" s="76"/>
      <c r="N1446" s="76"/>
      <c r="O1446" s="77"/>
      <c r="P1446" s="78"/>
      <c r="Q1446" s="78"/>
      <c r="R1446" s="92"/>
      <c r="S1446" s="92"/>
      <c r="T1446" s="92"/>
      <c r="U1446" s="92"/>
      <c r="V1446" s="52"/>
      <c r="W1446" s="52"/>
      <c r="X1446" s="52"/>
      <c r="Y1446" s="52"/>
      <c r="Z1446" s="51"/>
      <c r="AA1446" s="73"/>
      <c r="AB1446" s="73"/>
      <c r="AC1446" s="74"/>
      <c r="AD1446" s="81" t="s">
        <v>8995</v>
      </c>
      <c r="AE1446" s="86" t="s">
        <v>9950</v>
      </c>
      <c r="AF1446" s="81">
        <v>2509</v>
      </c>
      <c r="AG1446" s="81">
        <v>2416</v>
      </c>
      <c r="AH1446" s="81">
        <v>7662</v>
      </c>
      <c r="AI1446" s="81">
        <v>26941</v>
      </c>
      <c r="AJ1446" s="81"/>
      <c r="AK1446" s="81" t="s">
        <v>10869</v>
      </c>
      <c r="AL1446" s="81" t="s">
        <v>10985</v>
      </c>
      <c r="AM1446" s="81"/>
      <c r="AN1446" s="81"/>
      <c r="AO1446" s="83">
        <v>44122.613634259258</v>
      </c>
      <c r="AP1446" s="84" t="str">
        <f>HYPERLINK("https://pbs.twimg.com/profile_banners/1317838712777166848/1620774170")</f>
        <v>https://pbs.twimg.com/profile_banners/1317838712777166848/1620774170</v>
      </c>
      <c r="AQ1446" s="81" t="b">
        <v>1</v>
      </c>
      <c r="AR1446" s="81" t="b">
        <v>0</v>
      </c>
      <c r="AS1446" s="81" t="b">
        <v>0</v>
      </c>
      <c r="AT1446" s="81"/>
      <c r="AU1446" s="81">
        <v>0</v>
      </c>
      <c r="AV1446" s="81"/>
      <c r="AW1446" s="81" t="b">
        <v>0</v>
      </c>
      <c r="AX1446" s="81" t="s">
        <v>3728</v>
      </c>
      <c r="AY1446" s="84" t="str">
        <f>HYPERLINK("https://twitter.com/sacredwisdom2")</f>
        <v>https://twitter.com/sacredwisdom2</v>
      </c>
      <c r="AZ1446" s="81" t="s">
        <v>65</v>
      </c>
    </row>
    <row r="1447" spans="1:52" x14ac:dyDescent="0.35">
      <c r="A1447" s="66" t="s">
        <v>5207</v>
      </c>
      <c r="B1447" s="67"/>
      <c r="C1447" s="67"/>
      <c r="D1447" s="68"/>
      <c r="E1447" s="94"/>
      <c r="F1447" s="93" t="str">
        <f>HYPERLINK("https://pbs.twimg.com/profile_images/1324775304104214528/EqDHORD0_normal.jpg")</f>
        <v>https://pbs.twimg.com/profile_images/1324775304104214528/EqDHORD0_normal.jpg</v>
      </c>
      <c r="G1447" s="95"/>
      <c r="H1447" s="71"/>
      <c r="I1447" s="72"/>
      <c r="J1447" s="96"/>
      <c r="K1447" s="71" t="s">
        <v>12382</v>
      </c>
      <c r="L1447" s="97"/>
      <c r="M1447" s="76"/>
      <c r="N1447" s="76"/>
      <c r="O1447" s="77"/>
      <c r="P1447" s="78"/>
      <c r="Q1447" s="78"/>
      <c r="R1447" s="92"/>
      <c r="S1447" s="92"/>
      <c r="T1447" s="92"/>
      <c r="U1447" s="92"/>
      <c r="V1447" s="52"/>
      <c r="W1447" s="52"/>
      <c r="X1447" s="52"/>
      <c r="Y1447" s="52"/>
      <c r="Z1447" s="51"/>
      <c r="AA1447" s="73"/>
      <c r="AB1447" s="73"/>
      <c r="AC1447" s="74"/>
      <c r="AD1447" s="81" t="s">
        <v>8996</v>
      </c>
      <c r="AE1447" s="86" t="s">
        <v>7936</v>
      </c>
      <c r="AF1447" s="81">
        <v>300</v>
      </c>
      <c r="AG1447" s="81">
        <v>21</v>
      </c>
      <c r="AH1447" s="81">
        <v>5835</v>
      </c>
      <c r="AI1447" s="81">
        <v>7060</v>
      </c>
      <c r="AJ1447" s="81"/>
      <c r="AK1447" s="81"/>
      <c r="AL1447" s="81"/>
      <c r="AM1447" s="81"/>
      <c r="AN1447" s="81"/>
      <c r="AO1447" s="83">
        <v>42516.654097222221</v>
      </c>
      <c r="AP1447" s="84" t="str">
        <f>HYPERLINK("https://pbs.twimg.com/profile_banners/735858508898373632/1604688195")</f>
        <v>https://pbs.twimg.com/profile_banners/735858508898373632/1604688195</v>
      </c>
      <c r="AQ1447" s="81" t="b">
        <v>1</v>
      </c>
      <c r="AR1447" s="81" t="b">
        <v>0</v>
      </c>
      <c r="AS1447" s="81" t="b">
        <v>0</v>
      </c>
      <c r="AT1447" s="81"/>
      <c r="AU1447" s="81">
        <v>0</v>
      </c>
      <c r="AV1447" s="81"/>
      <c r="AW1447" s="81" t="b">
        <v>0</v>
      </c>
      <c r="AX1447" s="81" t="s">
        <v>3728</v>
      </c>
      <c r="AY1447" s="84" t="str">
        <f>HYPERLINK("https://twitter.com/oudeis_br")</f>
        <v>https://twitter.com/oudeis_br</v>
      </c>
      <c r="AZ1447" s="81" t="s">
        <v>65</v>
      </c>
    </row>
    <row r="1448" spans="1:52" x14ac:dyDescent="0.35">
      <c r="A1448" s="66" t="s">
        <v>4923</v>
      </c>
      <c r="B1448" s="67"/>
      <c r="C1448" s="67"/>
      <c r="D1448" s="68"/>
      <c r="E1448" s="94"/>
      <c r="F1448" s="93" t="str">
        <f>HYPERLINK("https://pbs.twimg.com/profile_images/1439505495711121414/hGdInQ9G_normal.jpg")</f>
        <v>https://pbs.twimg.com/profile_images/1439505495711121414/hGdInQ9G_normal.jpg</v>
      </c>
      <c r="G1448" s="95"/>
      <c r="H1448" s="71"/>
      <c r="I1448" s="72"/>
      <c r="J1448" s="96"/>
      <c r="K1448" s="71" t="s">
        <v>12383</v>
      </c>
      <c r="L1448" s="97"/>
      <c r="M1448" s="76"/>
      <c r="N1448" s="76"/>
      <c r="O1448" s="77"/>
      <c r="P1448" s="78"/>
      <c r="Q1448" s="78"/>
      <c r="R1448" s="92"/>
      <c r="S1448" s="92"/>
      <c r="T1448" s="92"/>
      <c r="U1448" s="92"/>
      <c r="V1448" s="52"/>
      <c r="W1448" s="52"/>
      <c r="X1448" s="52"/>
      <c r="Y1448" s="52"/>
      <c r="Z1448" s="51"/>
      <c r="AA1448" s="73"/>
      <c r="AB1448" s="73"/>
      <c r="AC1448" s="74"/>
      <c r="AD1448" s="81" t="s">
        <v>8997</v>
      </c>
      <c r="AE1448" s="86" t="s">
        <v>9951</v>
      </c>
      <c r="AF1448" s="81">
        <v>2038</v>
      </c>
      <c r="AG1448" s="81">
        <v>5494</v>
      </c>
      <c r="AH1448" s="81">
        <v>64092</v>
      </c>
      <c r="AI1448" s="81">
        <v>18990</v>
      </c>
      <c r="AJ1448" s="81"/>
      <c r="AK1448" s="81" t="s">
        <v>13954</v>
      </c>
      <c r="AL1448" s="81" t="s">
        <v>11353</v>
      </c>
      <c r="AM1448" s="84" t="str">
        <f>HYPERLINK("https://t.co/W1M0CCIBbn")</f>
        <v>https://t.co/W1M0CCIBbn</v>
      </c>
      <c r="AN1448" s="81"/>
      <c r="AO1448" s="83">
        <v>43972.580254629633</v>
      </c>
      <c r="AP1448" s="84" t="str">
        <f>HYPERLINK("https://pbs.twimg.com/profile_banners/1263468409334968322/1632039829")</f>
        <v>https://pbs.twimg.com/profile_banners/1263468409334968322/1632039829</v>
      </c>
      <c r="AQ1448" s="81" t="b">
        <v>1</v>
      </c>
      <c r="AR1448" s="81" t="b">
        <v>0</v>
      </c>
      <c r="AS1448" s="81" t="b">
        <v>1</v>
      </c>
      <c r="AT1448" s="81"/>
      <c r="AU1448" s="81">
        <v>26</v>
      </c>
      <c r="AV1448" s="81"/>
      <c r="AW1448" s="81" t="b">
        <v>0</v>
      </c>
      <c r="AX1448" s="81" t="s">
        <v>3728</v>
      </c>
      <c r="AY1448" s="84" t="str">
        <f>HYPERLINK("https://twitter.com/sunteroids_444")</f>
        <v>https://twitter.com/sunteroids_444</v>
      </c>
      <c r="AZ1448" s="81" t="s">
        <v>66</v>
      </c>
    </row>
    <row r="1449" spans="1:52" x14ac:dyDescent="0.35">
      <c r="A1449" s="66" t="s">
        <v>4925</v>
      </c>
      <c r="B1449" s="67"/>
      <c r="C1449" s="67"/>
      <c r="D1449" s="68"/>
      <c r="E1449" s="94"/>
      <c r="F1449" s="93" t="str">
        <f>HYPERLINK("https://pbs.twimg.com/profile_images/1438739071371599876/3d6B2hQY_normal.jpg")</f>
        <v>https://pbs.twimg.com/profile_images/1438739071371599876/3d6B2hQY_normal.jpg</v>
      </c>
      <c r="G1449" s="95"/>
      <c r="H1449" s="71"/>
      <c r="I1449" s="72"/>
      <c r="J1449" s="96"/>
      <c r="K1449" s="71" t="s">
        <v>12384</v>
      </c>
      <c r="L1449" s="97"/>
      <c r="M1449" s="76"/>
      <c r="N1449" s="76"/>
      <c r="O1449" s="77"/>
      <c r="P1449" s="78"/>
      <c r="Q1449" s="78"/>
      <c r="R1449" s="92"/>
      <c r="S1449" s="92"/>
      <c r="T1449" s="92"/>
      <c r="U1449" s="92"/>
      <c r="V1449" s="52"/>
      <c r="W1449" s="52"/>
      <c r="X1449" s="52"/>
      <c r="Y1449" s="52"/>
      <c r="Z1449" s="51"/>
      <c r="AA1449" s="73"/>
      <c r="AB1449" s="73"/>
      <c r="AC1449" s="74"/>
      <c r="AD1449" s="81" t="s">
        <v>8999</v>
      </c>
      <c r="AE1449" s="86" t="s">
        <v>9953</v>
      </c>
      <c r="AF1449" s="81">
        <v>460</v>
      </c>
      <c r="AG1449" s="81">
        <v>71</v>
      </c>
      <c r="AH1449" s="81">
        <v>9734</v>
      </c>
      <c r="AI1449" s="81">
        <v>41184</v>
      </c>
      <c r="AJ1449" s="81"/>
      <c r="AK1449" s="81"/>
      <c r="AL1449" s="81"/>
      <c r="AM1449" s="81"/>
      <c r="AN1449" s="81"/>
      <c r="AO1449" s="83">
        <v>44035.572997685187</v>
      </c>
      <c r="AP1449" s="84" t="str">
        <f>HYPERLINK("https://pbs.twimg.com/profile_banners/1286296161721044992/1611895652")</f>
        <v>https://pbs.twimg.com/profile_banners/1286296161721044992/1611895652</v>
      </c>
      <c r="AQ1449" s="81" t="b">
        <v>1</v>
      </c>
      <c r="AR1449" s="81" t="b">
        <v>0</v>
      </c>
      <c r="AS1449" s="81" t="b">
        <v>0</v>
      </c>
      <c r="AT1449" s="81"/>
      <c r="AU1449" s="81">
        <v>0</v>
      </c>
      <c r="AV1449" s="81"/>
      <c r="AW1449" s="81" t="b">
        <v>0</v>
      </c>
      <c r="AX1449" s="81" t="s">
        <v>3728</v>
      </c>
      <c r="AY1449" s="84" t="str">
        <f>HYPERLINK("https://twitter.com/nrqstnalya_")</f>
        <v>https://twitter.com/nrqstnalya_</v>
      </c>
      <c r="AZ1449" s="81" t="s">
        <v>66</v>
      </c>
    </row>
    <row r="1450" spans="1:52" x14ac:dyDescent="0.35">
      <c r="A1450" s="66" t="s">
        <v>4926</v>
      </c>
      <c r="B1450" s="67"/>
      <c r="C1450" s="67"/>
      <c r="D1450" s="68"/>
      <c r="E1450" s="94"/>
      <c r="F1450" s="93" t="str">
        <f>HYPERLINK("https://pbs.twimg.com/profile_images/1432359179679723525/hHDTUwf7_normal.jpg")</f>
        <v>https://pbs.twimg.com/profile_images/1432359179679723525/hHDTUwf7_normal.jpg</v>
      </c>
      <c r="G1450" s="95"/>
      <c r="H1450" s="71"/>
      <c r="I1450" s="72"/>
      <c r="J1450" s="96"/>
      <c r="K1450" s="71" t="s">
        <v>12385</v>
      </c>
      <c r="L1450" s="97"/>
      <c r="M1450" s="76"/>
      <c r="N1450" s="76"/>
      <c r="O1450" s="77"/>
      <c r="P1450" s="78"/>
      <c r="Q1450" s="78"/>
      <c r="R1450" s="92"/>
      <c r="S1450" s="92"/>
      <c r="T1450" s="92"/>
      <c r="U1450" s="92"/>
      <c r="V1450" s="52"/>
      <c r="W1450" s="52"/>
      <c r="X1450" s="52"/>
      <c r="Y1450" s="52"/>
      <c r="Z1450" s="51"/>
      <c r="AA1450" s="73"/>
      <c r="AB1450" s="73"/>
      <c r="AC1450" s="74"/>
      <c r="AD1450" s="81" t="s">
        <v>9000</v>
      </c>
      <c r="AE1450" s="86" t="s">
        <v>9954</v>
      </c>
      <c r="AF1450" s="81">
        <v>260</v>
      </c>
      <c r="AG1450" s="81">
        <v>211</v>
      </c>
      <c r="AH1450" s="81">
        <v>2557</v>
      </c>
      <c r="AI1450" s="81">
        <v>796</v>
      </c>
      <c r="AJ1450" s="81"/>
      <c r="AK1450" s="81" t="s">
        <v>10871</v>
      </c>
      <c r="AL1450" s="81" t="s">
        <v>11354</v>
      </c>
      <c r="AM1450" s="81"/>
      <c r="AN1450" s="81"/>
      <c r="AO1450" s="83">
        <v>44020.422731481478</v>
      </c>
      <c r="AP1450" s="84" t="str">
        <f>HYPERLINK("https://pbs.twimg.com/profile_banners/1280805964656959488/1630336427")</f>
        <v>https://pbs.twimg.com/profile_banners/1280805964656959488/1630336427</v>
      </c>
      <c r="AQ1450" s="81" t="b">
        <v>1</v>
      </c>
      <c r="AR1450" s="81" t="b">
        <v>0</v>
      </c>
      <c r="AS1450" s="81" t="b">
        <v>1</v>
      </c>
      <c r="AT1450" s="81"/>
      <c r="AU1450" s="81">
        <v>0</v>
      </c>
      <c r="AV1450" s="81"/>
      <c r="AW1450" s="81" t="b">
        <v>0</v>
      </c>
      <c r="AX1450" s="81" t="s">
        <v>3728</v>
      </c>
      <c r="AY1450" s="84" t="str">
        <f>HYPERLINK("https://twitter.com/oreolize")</f>
        <v>https://twitter.com/oreolize</v>
      </c>
      <c r="AZ1450" s="81" t="s">
        <v>66</v>
      </c>
    </row>
    <row r="1451" spans="1:52" x14ac:dyDescent="0.35">
      <c r="A1451" s="66" t="s">
        <v>4927</v>
      </c>
      <c r="B1451" s="67"/>
      <c r="C1451" s="67"/>
      <c r="D1451" s="68"/>
      <c r="E1451" s="94"/>
      <c r="F1451" s="93" t="str">
        <f>HYPERLINK("https://pbs.twimg.com/profile_images/1431119002185584646/pqH7Kqsu_normal.jpg")</f>
        <v>https://pbs.twimg.com/profile_images/1431119002185584646/pqH7Kqsu_normal.jpg</v>
      </c>
      <c r="G1451" s="95"/>
      <c r="H1451" s="71"/>
      <c r="I1451" s="72"/>
      <c r="J1451" s="96"/>
      <c r="K1451" s="71" t="s">
        <v>12386</v>
      </c>
      <c r="L1451" s="97"/>
      <c r="M1451" s="76"/>
      <c r="N1451" s="76"/>
      <c r="O1451" s="77"/>
      <c r="P1451" s="78"/>
      <c r="Q1451" s="78"/>
      <c r="R1451" s="92"/>
      <c r="S1451" s="92"/>
      <c r="T1451" s="92"/>
      <c r="U1451" s="92"/>
      <c r="V1451" s="52"/>
      <c r="W1451" s="52"/>
      <c r="X1451" s="52"/>
      <c r="Y1451" s="52"/>
      <c r="Z1451" s="51"/>
      <c r="AA1451" s="73"/>
      <c r="AB1451" s="73"/>
      <c r="AC1451" s="74"/>
      <c r="AD1451" s="81" t="s">
        <v>9001</v>
      </c>
      <c r="AE1451" s="86" t="s">
        <v>9955</v>
      </c>
      <c r="AF1451" s="81">
        <v>165</v>
      </c>
      <c r="AG1451" s="81">
        <v>109</v>
      </c>
      <c r="AH1451" s="81">
        <v>2783</v>
      </c>
      <c r="AI1451" s="81">
        <v>13498</v>
      </c>
      <c r="AJ1451" s="81"/>
      <c r="AK1451" s="81" t="s">
        <v>10872</v>
      </c>
      <c r="AL1451" s="81" t="s">
        <v>3509</v>
      </c>
      <c r="AM1451" s="81"/>
      <c r="AN1451" s="81"/>
      <c r="AO1451" s="83">
        <v>44428.655821759261</v>
      </c>
      <c r="AP1451" s="84" t="str">
        <f>HYPERLINK("https://pbs.twimg.com/profile_banners/1428744687691567105/1630040333")</f>
        <v>https://pbs.twimg.com/profile_banners/1428744687691567105/1630040333</v>
      </c>
      <c r="AQ1451" s="81" t="b">
        <v>1</v>
      </c>
      <c r="AR1451" s="81" t="b">
        <v>0</v>
      </c>
      <c r="AS1451" s="81" t="b">
        <v>0</v>
      </c>
      <c r="AT1451" s="81"/>
      <c r="AU1451" s="81">
        <v>0</v>
      </c>
      <c r="AV1451" s="81"/>
      <c r="AW1451" s="81" t="b">
        <v>0</v>
      </c>
      <c r="AX1451" s="81" t="s">
        <v>3728</v>
      </c>
      <c r="AY1451" s="84" t="str">
        <f>HYPERLINK("https://twitter.com/cookieshoneydew")</f>
        <v>https://twitter.com/cookieshoneydew</v>
      </c>
      <c r="AZ1451" s="81" t="s">
        <v>66</v>
      </c>
    </row>
    <row r="1452" spans="1:52" x14ac:dyDescent="0.35">
      <c r="A1452" s="66" t="s">
        <v>4928</v>
      </c>
      <c r="B1452" s="67"/>
      <c r="C1452" s="67"/>
      <c r="D1452" s="68"/>
      <c r="E1452" s="94"/>
      <c r="F1452" s="93" t="str">
        <f>HYPERLINK("https://pbs.twimg.com/profile_images/1436337320442032128/Rn_L6k8s_normal.jpg")</f>
        <v>https://pbs.twimg.com/profile_images/1436337320442032128/Rn_L6k8s_normal.jpg</v>
      </c>
      <c r="G1452" s="95"/>
      <c r="H1452" s="71"/>
      <c r="I1452" s="72"/>
      <c r="J1452" s="96"/>
      <c r="K1452" s="71" t="s">
        <v>12387</v>
      </c>
      <c r="L1452" s="97"/>
      <c r="M1452" s="76"/>
      <c r="N1452" s="76"/>
      <c r="O1452" s="77"/>
      <c r="P1452" s="78"/>
      <c r="Q1452" s="78"/>
      <c r="R1452" s="92"/>
      <c r="S1452" s="92"/>
      <c r="T1452" s="92"/>
      <c r="U1452" s="92"/>
      <c r="V1452" s="52"/>
      <c r="W1452" s="52"/>
      <c r="X1452" s="52"/>
      <c r="Y1452" s="52"/>
      <c r="Z1452" s="51"/>
      <c r="AA1452" s="73"/>
      <c r="AB1452" s="73"/>
      <c r="AC1452" s="74"/>
      <c r="AD1452" s="81" t="s">
        <v>9002</v>
      </c>
      <c r="AE1452" s="86" t="s">
        <v>7937</v>
      </c>
      <c r="AF1452" s="81">
        <v>288</v>
      </c>
      <c r="AG1452" s="81">
        <v>197</v>
      </c>
      <c r="AH1452" s="81">
        <v>515</v>
      </c>
      <c r="AI1452" s="81">
        <v>114</v>
      </c>
      <c r="AJ1452" s="81"/>
      <c r="AK1452" s="81" t="s">
        <v>10873</v>
      </c>
      <c r="AL1452" s="81"/>
      <c r="AM1452" s="84" t="str">
        <f>HYPERLINK("https://t.co/pKVWwuR8sS")</f>
        <v>https://t.co/pKVWwuR8sS</v>
      </c>
      <c r="AN1452" s="81"/>
      <c r="AO1452" s="83">
        <v>44407.561226851853</v>
      </c>
      <c r="AP1452" s="84" t="str">
        <f>HYPERLINK("https://pbs.twimg.com/profile_banners/1421099253376585736/1627923231")</f>
        <v>https://pbs.twimg.com/profile_banners/1421099253376585736/1627923231</v>
      </c>
      <c r="AQ1452" s="81" t="b">
        <v>1</v>
      </c>
      <c r="AR1452" s="81" t="b">
        <v>0</v>
      </c>
      <c r="AS1452" s="81" t="b">
        <v>0</v>
      </c>
      <c r="AT1452" s="81"/>
      <c r="AU1452" s="81">
        <v>0</v>
      </c>
      <c r="AV1452" s="81"/>
      <c r="AW1452" s="81" t="b">
        <v>0</v>
      </c>
      <c r="AX1452" s="81" t="s">
        <v>3728</v>
      </c>
      <c r="AY1452" s="84" t="str">
        <f>HYPERLINK("https://twitter.com/_beautyskinz")</f>
        <v>https://twitter.com/_beautyskinz</v>
      </c>
      <c r="AZ1452" s="81" t="s">
        <v>66</v>
      </c>
    </row>
    <row r="1453" spans="1:52" x14ac:dyDescent="0.35">
      <c r="A1453" s="66" t="s">
        <v>4929</v>
      </c>
      <c r="B1453" s="67"/>
      <c r="C1453" s="67"/>
      <c r="D1453" s="68"/>
      <c r="E1453" s="94"/>
      <c r="F1453" s="93" t="str">
        <f>HYPERLINK("https://pbs.twimg.com/profile_images/1403938391939444743/q_IxuDkc_normal.jpg")</f>
        <v>https://pbs.twimg.com/profile_images/1403938391939444743/q_IxuDkc_normal.jpg</v>
      </c>
      <c r="G1453" s="95"/>
      <c r="H1453" s="71"/>
      <c r="I1453" s="72"/>
      <c r="J1453" s="96"/>
      <c r="K1453" s="71" t="s">
        <v>12388</v>
      </c>
      <c r="L1453" s="97"/>
      <c r="M1453" s="76"/>
      <c r="N1453" s="76"/>
      <c r="O1453" s="77"/>
      <c r="P1453" s="78"/>
      <c r="Q1453" s="78"/>
      <c r="R1453" s="92"/>
      <c r="S1453" s="92"/>
      <c r="T1453" s="92"/>
      <c r="U1453" s="92"/>
      <c r="V1453" s="52"/>
      <c r="W1453" s="52"/>
      <c r="X1453" s="52"/>
      <c r="Y1453" s="52"/>
      <c r="Z1453" s="51"/>
      <c r="AA1453" s="73"/>
      <c r="AB1453" s="73"/>
      <c r="AC1453" s="74"/>
      <c r="AD1453" s="81" t="s">
        <v>9003</v>
      </c>
      <c r="AE1453" s="86" t="s">
        <v>9956</v>
      </c>
      <c r="AF1453" s="81">
        <v>619</v>
      </c>
      <c r="AG1453" s="81">
        <v>205</v>
      </c>
      <c r="AH1453" s="81">
        <v>37533</v>
      </c>
      <c r="AI1453" s="81">
        <v>25548</v>
      </c>
      <c r="AJ1453" s="81"/>
      <c r="AK1453" s="81" t="s">
        <v>10874</v>
      </c>
      <c r="AL1453" s="81" t="s">
        <v>11355</v>
      </c>
      <c r="AM1453" s="84" t="str">
        <f>HYPERLINK("https://t.co/CYD3M1ZgMA")</f>
        <v>https://t.co/CYD3M1ZgMA</v>
      </c>
      <c r="AN1453" s="81"/>
      <c r="AO1453" s="83">
        <v>43393.737280092595</v>
      </c>
      <c r="AP1453" s="84" t="str">
        <f>HYPERLINK("https://pbs.twimg.com/profile_banners/1053702810762534913/1610386761")</f>
        <v>https://pbs.twimg.com/profile_banners/1053702810762534913/1610386761</v>
      </c>
      <c r="AQ1453" s="81" t="b">
        <v>1</v>
      </c>
      <c r="AR1453" s="81" t="b">
        <v>0</v>
      </c>
      <c r="AS1453" s="81" t="b">
        <v>0</v>
      </c>
      <c r="AT1453" s="81"/>
      <c r="AU1453" s="81">
        <v>1</v>
      </c>
      <c r="AV1453" s="81"/>
      <c r="AW1453" s="81" t="b">
        <v>0</v>
      </c>
      <c r="AX1453" s="81" t="s">
        <v>3728</v>
      </c>
      <c r="AY1453" s="84" t="str">
        <f>HYPERLINK("https://twitter.com/syanayahya")</f>
        <v>https://twitter.com/syanayahya</v>
      </c>
      <c r="AZ1453" s="81" t="s">
        <v>66</v>
      </c>
    </row>
    <row r="1454" spans="1:52" x14ac:dyDescent="0.35">
      <c r="A1454" s="66" t="s">
        <v>4930</v>
      </c>
      <c r="B1454" s="67"/>
      <c r="C1454" s="67"/>
      <c r="D1454" s="68"/>
      <c r="E1454" s="94"/>
      <c r="F1454" s="93" t="str">
        <f>HYPERLINK("https://pbs.twimg.com/profile_images/1443013968654602241/K5Rr9b3-_normal.jpg")</f>
        <v>https://pbs.twimg.com/profile_images/1443013968654602241/K5Rr9b3-_normal.jpg</v>
      </c>
      <c r="G1454" s="95"/>
      <c r="H1454" s="71"/>
      <c r="I1454" s="72"/>
      <c r="J1454" s="96"/>
      <c r="K1454" s="71" t="s">
        <v>12389</v>
      </c>
      <c r="L1454" s="97"/>
      <c r="M1454" s="76"/>
      <c r="N1454" s="76"/>
      <c r="O1454" s="77"/>
      <c r="P1454" s="78"/>
      <c r="Q1454" s="78"/>
      <c r="R1454" s="92"/>
      <c r="S1454" s="92"/>
      <c r="T1454" s="92"/>
      <c r="U1454" s="92"/>
      <c r="V1454" s="52"/>
      <c r="W1454" s="52"/>
      <c r="X1454" s="52"/>
      <c r="Y1454" s="52"/>
      <c r="Z1454" s="51"/>
      <c r="AA1454" s="73"/>
      <c r="AB1454" s="73"/>
      <c r="AC1454" s="74"/>
      <c r="AD1454" s="81" t="s">
        <v>9004</v>
      </c>
      <c r="AE1454" s="86" t="s">
        <v>9957</v>
      </c>
      <c r="AF1454" s="81">
        <v>791</v>
      </c>
      <c r="AG1454" s="81">
        <v>1176</v>
      </c>
      <c r="AH1454" s="81">
        <v>130346</v>
      </c>
      <c r="AI1454" s="81">
        <v>124064</v>
      </c>
      <c r="AJ1454" s="81"/>
      <c r="AK1454" s="81" t="s">
        <v>10875</v>
      </c>
      <c r="AL1454" s="81" t="s">
        <v>11356</v>
      </c>
      <c r="AM1454" s="84" t="str">
        <f>HYPERLINK("https://t.co/WHcLQ5085E")</f>
        <v>https://t.co/WHcLQ5085E</v>
      </c>
      <c r="AN1454" s="81"/>
      <c r="AO1454" s="83">
        <v>43498.584317129629</v>
      </c>
      <c r="AP1454" s="84" t="str">
        <f>HYPERLINK("https://pbs.twimg.com/profile_banners/1091698102455529473/1630399414")</f>
        <v>https://pbs.twimg.com/profile_banners/1091698102455529473/1630399414</v>
      </c>
      <c r="AQ1454" s="81" t="b">
        <v>1</v>
      </c>
      <c r="AR1454" s="81" t="b">
        <v>0</v>
      </c>
      <c r="AS1454" s="81" t="b">
        <v>0</v>
      </c>
      <c r="AT1454" s="81"/>
      <c r="AU1454" s="81">
        <v>59</v>
      </c>
      <c r="AV1454" s="81"/>
      <c r="AW1454" s="81" t="b">
        <v>0</v>
      </c>
      <c r="AX1454" s="81" t="s">
        <v>3728</v>
      </c>
      <c r="AY1454" s="84" t="str">
        <f>HYPERLINK("https://twitter.com/moonjyuuu")</f>
        <v>https://twitter.com/moonjyuuu</v>
      </c>
      <c r="AZ1454" s="81" t="s">
        <v>66</v>
      </c>
    </row>
    <row r="1455" spans="1:52" x14ac:dyDescent="0.35">
      <c r="A1455" s="66" t="s">
        <v>4931</v>
      </c>
      <c r="B1455" s="67"/>
      <c r="C1455" s="67"/>
      <c r="D1455" s="68"/>
      <c r="E1455" s="94"/>
      <c r="F1455" s="93" t="str">
        <f>HYPERLINK("https://pbs.twimg.com/profile_images/1441346779048411141/pYtHlgjW_normal.jpg")</f>
        <v>https://pbs.twimg.com/profile_images/1441346779048411141/pYtHlgjW_normal.jpg</v>
      </c>
      <c r="G1455" s="95"/>
      <c r="H1455" s="71"/>
      <c r="I1455" s="72"/>
      <c r="J1455" s="96"/>
      <c r="K1455" s="71" t="s">
        <v>12390</v>
      </c>
      <c r="L1455" s="97"/>
      <c r="M1455" s="76"/>
      <c r="N1455" s="76"/>
      <c r="O1455" s="77"/>
      <c r="P1455" s="78"/>
      <c r="Q1455" s="78"/>
      <c r="R1455" s="92"/>
      <c r="S1455" s="92"/>
      <c r="T1455" s="92"/>
      <c r="U1455" s="92"/>
      <c r="V1455" s="52"/>
      <c r="W1455" s="52"/>
      <c r="X1455" s="52"/>
      <c r="Y1455" s="52"/>
      <c r="Z1455" s="51"/>
      <c r="AA1455" s="73"/>
      <c r="AB1455" s="73"/>
      <c r="AC1455" s="74"/>
      <c r="AD1455" s="81" t="s">
        <v>9005</v>
      </c>
      <c r="AE1455" s="86" t="s">
        <v>9958</v>
      </c>
      <c r="AF1455" s="81">
        <v>443</v>
      </c>
      <c r="AG1455" s="81">
        <v>390</v>
      </c>
      <c r="AH1455" s="81">
        <v>41317</v>
      </c>
      <c r="AI1455" s="81">
        <v>1913</v>
      </c>
      <c r="AJ1455" s="81"/>
      <c r="AK1455" s="81" t="s">
        <v>10876</v>
      </c>
      <c r="AL1455" s="81"/>
      <c r="AM1455" s="84" t="str">
        <f>HYPERLINK("https://t.co/nBLOEBmkMe")</f>
        <v>https://t.co/nBLOEBmkMe</v>
      </c>
      <c r="AN1455" s="81"/>
      <c r="AO1455" s="83">
        <v>43555.202847222223</v>
      </c>
      <c r="AP1455" s="84" t="str">
        <f>HYPERLINK("https://pbs.twimg.com/profile_banners/1112215973933637633/1627312529")</f>
        <v>https://pbs.twimg.com/profile_banners/1112215973933637633/1627312529</v>
      </c>
      <c r="AQ1455" s="81" t="b">
        <v>1</v>
      </c>
      <c r="AR1455" s="81" t="b">
        <v>0</v>
      </c>
      <c r="AS1455" s="81" t="b">
        <v>0</v>
      </c>
      <c r="AT1455" s="81"/>
      <c r="AU1455" s="81">
        <v>4</v>
      </c>
      <c r="AV1455" s="81"/>
      <c r="AW1455" s="81" t="b">
        <v>0</v>
      </c>
      <c r="AX1455" s="81" t="s">
        <v>3728</v>
      </c>
      <c r="AY1455" s="84" t="str">
        <f>HYPERLINK("https://twitter.com/jaexquisitee")</f>
        <v>https://twitter.com/jaexquisitee</v>
      </c>
      <c r="AZ1455" s="81" t="s">
        <v>66</v>
      </c>
    </row>
    <row r="1456" spans="1:52" x14ac:dyDescent="0.35">
      <c r="A1456" s="66" t="s">
        <v>396</v>
      </c>
      <c r="B1456" s="67"/>
      <c r="C1456" s="67"/>
      <c r="D1456" s="68"/>
      <c r="E1456" s="94"/>
      <c r="F1456" s="93" t="str">
        <f>HYPERLINK("https://pbs.twimg.com/profile_images/1432594357366841349/NCwOTSOr_normal.jpg")</f>
        <v>https://pbs.twimg.com/profile_images/1432594357366841349/NCwOTSOr_normal.jpg</v>
      </c>
      <c r="G1456" s="95"/>
      <c r="H1456" s="71"/>
      <c r="I1456" s="72"/>
      <c r="J1456" s="96"/>
      <c r="K1456" s="71" t="s">
        <v>12391</v>
      </c>
      <c r="L1456" s="97"/>
      <c r="M1456" s="76"/>
      <c r="N1456" s="76"/>
      <c r="O1456" s="77"/>
      <c r="P1456" s="78"/>
      <c r="Q1456" s="78"/>
      <c r="R1456" s="92"/>
      <c r="S1456" s="92"/>
      <c r="T1456" s="92"/>
      <c r="U1456" s="92"/>
      <c r="V1456" s="52"/>
      <c r="W1456" s="52"/>
      <c r="X1456" s="52"/>
      <c r="Y1456" s="52"/>
      <c r="Z1456" s="51"/>
      <c r="AA1456" s="73"/>
      <c r="AB1456" s="73"/>
      <c r="AC1456" s="74"/>
      <c r="AD1456" s="81" t="s">
        <v>2455</v>
      </c>
      <c r="AE1456" s="86" t="s">
        <v>2877</v>
      </c>
      <c r="AF1456" s="81">
        <v>45</v>
      </c>
      <c r="AG1456" s="81">
        <v>16</v>
      </c>
      <c r="AH1456" s="81">
        <v>811</v>
      </c>
      <c r="AI1456" s="81">
        <v>458</v>
      </c>
      <c r="AJ1456" s="81"/>
      <c r="AK1456" s="81" t="s">
        <v>3287</v>
      </c>
      <c r="AL1456" s="81"/>
      <c r="AM1456" s="81"/>
      <c r="AN1456" s="81"/>
      <c r="AO1456" s="83">
        <v>44346.489733796298</v>
      </c>
      <c r="AP1456" s="84" t="str">
        <f>HYPERLINK("https://pbs.twimg.com/profile_banners/1398968669103820804/1630392106")</f>
        <v>https://pbs.twimg.com/profile_banners/1398968669103820804/1630392106</v>
      </c>
      <c r="AQ1456" s="81" t="b">
        <v>1</v>
      </c>
      <c r="AR1456" s="81" t="b">
        <v>0</v>
      </c>
      <c r="AS1456" s="81" t="b">
        <v>0</v>
      </c>
      <c r="AT1456" s="81"/>
      <c r="AU1456" s="81">
        <v>0</v>
      </c>
      <c r="AV1456" s="81"/>
      <c r="AW1456" s="81" t="b">
        <v>0</v>
      </c>
      <c r="AX1456" s="81" t="s">
        <v>3728</v>
      </c>
      <c r="AY1456" s="84" t="str">
        <f>HYPERLINK("https://twitter.com/bbyerics")</f>
        <v>https://twitter.com/bbyerics</v>
      </c>
      <c r="AZ1456" s="81" t="s">
        <v>66</v>
      </c>
    </row>
    <row r="1457" spans="1:52" x14ac:dyDescent="0.35">
      <c r="A1457" s="66" t="s">
        <v>4932</v>
      </c>
      <c r="B1457" s="67"/>
      <c r="C1457" s="67"/>
      <c r="D1457" s="68"/>
      <c r="E1457" s="94"/>
      <c r="F1457" s="93" t="str">
        <f>HYPERLINK("https://pbs.twimg.com/profile_images/1443091256876306434/HVJr3bDm_normal.jpg")</f>
        <v>https://pbs.twimg.com/profile_images/1443091256876306434/HVJr3bDm_normal.jpg</v>
      </c>
      <c r="G1457" s="95"/>
      <c r="H1457" s="71"/>
      <c r="I1457" s="72"/>
      <c r="J1457" s="96"/>
      <c r="K1457" s="71" t="s">
        <v>12392</v>
      </c>
      <c r="L1457" s="97"/>
      <c r="M1457" s="76"/>
      <c r="N1457" s="76"/>
      <c r="O1457" s="77"/>
      <c r="P1457" s="78"/>
      <c r="Q1457" s="78"/>
      <c r="R1457" s="92"/>
      <c r="S1457" s="92"/>
      <c r="T1457" s="92"/>
      <c r="U1457" s="92"/>
      <c r="V1457" s="52"/>
      <c r="W1457" s="52"/>
      <c r="X1457" s="52"/>
      <c r="Y1457" s="52"/>
      <c r="Z1457" s="51"/>
      <c r="AA1457" s="73"/>
      <c r="AB1457" s="73"/>
      <c r="AC1457" s="74"/>
      <c r="AD1457" s="81" t="s">
        <v>9006</v>
      </c>
      <c r="AE1457" s="86" t="s">
        <v>7938</v>
      </c>
      <c r="AF1457" s="81">
        <v>521</v>
      </c>
      <c r="AG1457" s="81">
        <v>859</v>
      </c>
      <c r="AH1457" s="81">
        <v>53492</v>
      </c>
      <c r="AI1457" s="81">
        <v>6085</v>
      </c>
      <c r="AJ1457" s="81"/>
      <c r="AK1457" s="81" t="s">
        <v>10877</v>
      </c>
      <c r="AL1457" s="81" t="s">
        <v>11357</v>
      </c>
      <c r="AM1457" s="84" t="str">
        <f>HYPERLINK("https://t.co/gNHvWMS18i")</f>
        <v>https://t.co/gNHvWMS18i</v>
      </c>
      <c r="AN1457" s="81"/>
      <c r="AO1457" s="83">
        <v>40550.449386574073</v>
      </c>
      <c r="AP1457" s="84" t="str">
        <f>HYPERLINK("https://pbs.twimg.com/profile_banners/235102523/1551037575")</f>
        <v>https://pbs.twimg.com/profile_banners/235102523/1551037575</v>
      </c>
      <c r="AQ1457" s="81" t="b">
        <v>0</v>
      </c>
      <c r="AR1457" s="81" t="b">
        <v>0</v>
      </c>
      <c r="AS1457" s="81" t="b">
        <v>1</v>
      </c>
      <c r="AT1457" s="81"/>
      <c r="AU1457" s="81">
        <v>0</v>
      </c>
      <c r="AV1457" s="84" t="str">
        <f>HYPERLINK("https://abs.twimg.com/images/themes/theme1/bg.png")</f>
        <v>https://abs.twimg.com/images/themes/theme1/bg.png</v>
      </c>
      <c r="AW1457" s="81" t="b">
        <v>0</v>
      </c>
      <c r="AX1457" s="81" t="s">
        <v>3728</v>
      </c>
      <c r="AY1457" s="84" t="str">
        <f>HYPERLINK("https://twitter.com/berylvisaariza")</f>
        <v>https://twitter.com/berylvisaariza</v>
      </c>
      <c r="AZ1457" s="81" t="s">
        <v>66</v>
      </c>
    </row>
    <row r="1458" spans="1:52" x14ac:dyDescent="0.35">
      <c r="A1458" s="66" t="s">
        <v>4933</v>
      </c>
      <c r="B1458" s="67"/>
      <c r="C1458" s="67"/>
      <c r="D1458" s="68"/>
      <c r="E1458" s="94"/>
      <c r="F1458" s="93" t="str">
        <f>HYPERLINK("https://pbs.twimg.com/profile_images/1441365709271961600/D8IRgtQH_normal.jpg")</f>
        <v>https://pbs.twimg.com/profile_images/1441365709271961600/D8IRgtQH_normal.jpg</v>
      </c>
      <c r="G1458" s="95"/>
      <c r="H1458" s="71"/>
      <c r="I1458" s="72"/>
      <c r="J1458" s="96"/>
      <c r="K1458" s="71" t="s">
        <v>12393</v>
      </c>
      <c r="L1458" s="97"/>
      <c r="M1458" s="76"/>
      <c r="N1458" s="76"/>
      <c r="O1458" s="77"/>
      <c r="P1458" s="78"/>
      <c r="Q1458" s="78"/>
      <c r="R1458" s="92"/>
      <c r="S1458" s="92"/>
      <c r="T1458" s="92"/>
      <c r="U1458" s="92"/>
      <c r="V1458" s="52"/>
      <c r="W1458" s="52"/>
      <c r="X1458" s="52"/>
      <c r="Y1458" s="52"/>
      <c r="Z1458" s="51"/>
      <c r="AA1458" s="73"/>
      <c r="AB1458" s="73"/>
      <c r="AC1458" s="74"/>
      <c r="AD1458" s="81" t="s">
        <v>9007</v>
      </c>
      <c r="AE1458" s="86" t="s">
        <v>9959</v>
      </c>
      <c r="AF1458" s="81">
        <v>313</v>
      </c>
      <c r="AG1458" s="81">
        <v>255</v>
      </c>
      <c r="AH1458" s="81">
        <v>6227</v>
      </c>
      <c r="AI1458" s="81">
        <v>10788</v>
      </c>
      <c r="AJ1458" s="81"/>
      <c r="AK1458" s="81" t="s">
        <v>10878</v>
      </c>
      <c r="AL1458" s="81" t="s">
        <v>11358</v>
      </c>
      <c r="AM1458" s="81"/>
      <c r="AN1458" s="81"/>
      <c r="AO1458" s="83">
        <v>43557.649444444447</v>
      </c>
      <c r="AP1458" s="84" t="str">
        <f>HYPERLINK("https://pbs.twimg.com/profile_banners/1113102590877696000/1629731795")</f>
        <v>https://pbs.twimg.com/profile_banners/1113102590877696000/1629731795</v>
      </c>
      <c r="AQ1458" s="81" t="b">
        <v>1</v>
      </c>
      <c r="AR1458" s="81" t="b">
        <v>0</v>
      </c>
      <c r="AS1458" s="81" t="b">
        <v>0</v>
      </c>
      <c r="AT1458" s="81"/>
      <c r="AU1458" s="81">
        <v>0</v>
      </c>
      <c r="AV1458" s="81"/>
      <c r="AW1458" s="81" t="b">
        <v>0</v>
      </c>
      <c r="AX1458" s="81" t="s">
        <v>3728</v>
      </c>
      <c r="AY1458" s="84" t="str">
        <f>HYPERLINK("https://twitter.com/hsnaann_")</f>
        <v>https://twitter.com/hsnaann_</v>
      </c>
      <c r="AZ1458" s="81" t="s">
        <v>66</v>
      </c>
    </row>
    <row r="1459" spans="1:52" x14ac:dyDescent="0.35">
      <c r="A1459" s="66" t="s">
        <v>4934</v>
      </c>
      <c r="B1459" s="67"/>
      <c r="C1459" s="67"/>
      <c r="D1459" s="68"/>
      <c r="E1459" s="94"/>
      <c r="F1459" s="93" t="str">
        <f>HYPERLINK("https://pbs.twimg.com/profile_images/1414028235705356290/e_e6XdgB_normal.jpg")</f>
        <v>https://pbs.twimg.com/profile_images/1414028235705356290/e_e6XdgB_normal.jpg</v>
      </c>
      <c r="G1459" s="95"/>
      <c r="H1459" s="71"/>
      <c r="I1459" s="72"/>
      <c r="J1459" s="96"/>
      <c r="K1459" s="71" t="s">
        <v>12394</v>
      </c>
      <c r="L1459" s="97"/>
      <c r="M1459" s="76"/>
      <c r="N1459" s="76"/>
      <c r="O1459" s="77"/>
      <c r="P1459" s="78"/>
      <c r="Q1459" s="78"/>
      <c r="R1459" s="92"/>
      <c r="S1459" s="92"/>
      <c r="T1459" s="92"/>
      <c r="U1459" s="92"/>
      <c r="V1459" s="52"/>
      <c r="W1459" s="52"/>
      <c r="X1459" s="52"/>
      <c r="Y1459" s="52"/>
      <c r="Z1459" s="51"/>
      <c r="AA1459" s="73"/>
      <c r="AB1459" s="73"/>
      <c r="AC1459" s="74"/>
      <c r="AD1459" s="81" t="s">
        <v>9008</v>
      </c>
      <c r="AE1459" s="86" t="s">
        <v>9960</v>
      </c>
      <c r="AF1459" s="81">
        <v>177</v>
      </c>
      <c r="AG1459" s="81">
        <v>185</v>
      </c>
      <c r="AH1459" s="81">
        <v>287</v>
      </c>
      <c r="AI1459" s="81">
        <v>28878</v>
      </c>
      <c r="AJ1459" s="81"/>
      <c r="AK1459" s="81" t="s">
        <v>10879</v>
      </c>
      <c r="AL1459" s="81" t="s">
        <v>11078</v>
      </c>
      <c r="AM1459" s="84" t="str">
        <f>HYPERLINK("https://t.co/5eg33zbPoD")</f>
        <v>https://t.co/5eg33zbPoD</v>
      </c>
      <c r="AN1459" s="81"/>
      <c r="AO1459" s="83">
        <v>44200.106400462966</v>
      </c>
      <c r="AP1459" s="84" t="str">
        <f>HYPERLINK("https://pbs.twimg.com/profile_banners/1345921121258975233/1613140277")</f>
        <v>https://pbs.twimg.com/profile_banners/1345921121258975233/1613140277</v>
      </c>
      <c r="AQ1459" s="81" t="b">
        <v>1</v>
      </c>
      <c r="AR1459" s="81" t="b">
        <v>0</v>
      </c>
      <c r="AS1459" s="81" t="b">
        <v>0</v>
      </c>
      <c r="AT1459" s="81"/>
      <c r="AU1459" s="81">
        <v>0</v>
      </c>
      <c r="AV1459" s="81"/>
      <c r="AW1459" s="81" t="b">
        <v>0</v>
      </c>
      <c r="AX1459" s="81" t="s">
        <v>3728</v>
      </c>
      <c r="AY1459" s="84" t="str">
        <f>HYPERLINK("https://twitter.com/guilhermoney_")</f>
        <v>https://twitter.com/guilhermoney_</v>
      </c>
      <c r="AZ1459" s="81" t="s">
        <v>66</v>
      </c>
    </row>
    <row r="1460" spans="1:52" x14ac:dyDescent="0.35">
      <c r="A1460" s="66" t="s">
        <v>5208</v>
      </c>
      <c r="B1460" s="67"/>
      <c r="C1460" s="67"/>
      <c r="D1460" s="68"/>
      <c r="E1460" s="94"/>
      <c r="F1460" s="93" t="str">
        <f>HYPERLINK("https://pbs.twimg.com/profile_images/1407861714109059072/UqVlPKfG_normal.jpg")</f>
        <v>https://pbs.twimg.com/profile_images/1407861714109059072/UqVlPKfG_normal.jpg</v>
      </c>
      <c r="G1460" s="95"/>
      <c r="H1460" s="71"/>
      <c r="I1460" s="72"/>
      <c r="J1460" s="96"/>
      <c r="K1460" s="71" t="s">
        <v>12395</v>
      </c>
      <c r="L1460" s="97"/>
      <c r="M1460" s="76"/>
      <c r="N1460" s="76"/>
      <c r="O1460" s="77"/>
      <c r="P1460" s="78"/>
      <c r="Q1460" s="78"/>
      <c r="R1460" s="92"/>
      <c r="S1460" s="92"/>
      <c r="T1460" s="92"/>
      <c r="U1460" s="92"/>
      <c r="V1460" s="52"/>
      <c r="W1460" s="52"/>
      <c r="X1460" s="52"/>
      <c r="Y1460" s="52"/>
      <c r="Z1460" s="51"/>
      <c r="AA1460" s="73"/>
      <c r="AB1460" s="73"/>
      <c r="AC1460" s="74"/>
      <c r="AD1460" s="81" t="s">
        <v>9009</v>
      </c>
      <c r="AE1460" s="86" t="s">
        <v>9961</v>
      </c>
      <c r="AF1460" s="81">
        <v>744</v>
      </c>
      <c r="AG1460" s="81">
        <v>25652</v>
      </c>
      <c r="AH1460" s="81">
        <v>60539</v>
      </c>
      <c r="AI1460" s="81">
        <v>70461</v>
      </c>
      <c r="AJ1460" s="81"/>
      <c r="AK1460" s="81" t="s">
        <v>10880</v>
      </c>
      <c r="AL1460" s="81" t="s">
        <v>11008</v>
      </c>
      <c r="AM1460" s="84" t="str">
        <f>HYPERLINK("https://t.co/e4FUTyIbZy")</f>
        <v>https://t.co/e4FUTyIbZy</v>
      </c>
      <c r="AN1460" s="81"/>
      <c r="AO1460" s="83">
        <v>40055.866331018522</v>
      </c>
      <c r="AP1460" s="84" t="str">
        <f>HYPERLINK("https://pbs.twimg.com/profile_banners/70210431/1629987462")</f>
        <v>https://pbs.twimg.com/profile_banners/70210431/1629987462</v>
      </c>
      <c r="AQ1460" s="81" t="b">
        <v>0</v>
      </c>
      <c r="AR1460" s="81" t="b">
        <v>0</v>
      </c>
      <c r="AS1460" s="81" t="b">
        <v>1</v>
      </c>
      <c r="AT1460" s="81"/>
      <c r="AU1460" s="81">
        <v>101</v>
      </c>
      <c r="AV1460" s="84" t="str">
        <f>HYPERLINK("https://abs.twimg.com/images/themes/theme14/bg.gif")</f>
        <v>https://abs.twimg.com/images/themes/theme14/bg.gif</v>
      </c>
      <c r="AW1460" s="81" t="b">
        <v>0</v>
      </c>
      <c r="AX1460" s="81" t="s">
        <v>3728</v>
      </c>
      <c r="AY1460" s="84" t="str">
        <f>HYPERLINK("https://twitter.com/duquesadetax")</f>
        <v>https://twitter.com/duquesadetax</v>
      </c>
      <c r="AZ1460" s="81" t="s">
        <v>65</v>
      </c>
    </row>
    <row r="1461" spans="1:52" x14ac:dyDescent="0.35">
      <c r="A1461" s="66" t="s">
        <v>5209</v>
      </c>
      <c r="B1461" s="67"/>
      <c r="C1461" s="67"/>
      <c r="D1461" s="68"/>
      <c r="E1461" s="94"/>
      <c r="F1461" s="93" t="str">
        <f>HYPERLINK("https://pbs.twimg.com/profile_images/1443031099320553472/u42AVpLB_normal.jpg")</f>
        <v>https://pbs.twimg.com/profile_images/1443031099320553472/u42AVpLB_normal.jpg</v>
      </c>
      <c r="G1461" s="95"/>
      <c r="H1461" s="71"/>
      <c r="I1461" s="72"/>
      <c r="J1461" s="96"/>
      <c r="K1461" s="71" t="s">
        <v>12396</v>
      </c>
      <c r="L1461" s="97"/>
      <c r="M1461" s="76"/>
      <c r="N1461" s="76"/>
      <c r="O1461" s="77"/>
      <c r="P1461" s="78"/>
      <c r="Q1461" s="78"/>
      <c r="R1461" s="92"/>
      <c r="S1461" s="92"/>
      <c r="T1461" s="92"/>
      <c r="U1461" s="92"/>
      <c r="V1461" s="52"/>
      <c r="W1461" s="52"/>
      <c r="X1461" s="52"/>
      <c r="Y1461" s="52"/>
      <c r="Z1461" s="51"/>
      <c r="AA1461" s="73"/>
      <c r="AB1461" s="73"/>
      <c r="AC1461" s="74"/>
      <c r="AD1461" s="81" t="s">
        <v>9010</v>
      </c>
      <c r="AE1461" s="86" t="s">
        <v>7939</v>
      </c>
      <c r="AF1461" s="81">
        <v>533</v>
      </c>
      <c r="AG1461" s="81">
        <v>2709</v>
      </c>
      <c r="AH1461" s="81">
        <v>6844</v>
      </c>
      <c r="AI1461" s="81">
        <v>20757</v>
      </c>
      <c r="AJ1461" s="81"/>
      <c r="AK1461" s="81" t="s">
        <v>10881</v>
      </c>
      <c r="AL1461" s="81"/>
      <c r="AM1461" s="81"/>
      <c r="AN1461" s="81"/>
      <c r="AO1461" s="83">
        <v>43312.143692129626</v>
      </c>
      <c r="AP1461" s="84" t="str">
        <f>HYPERLINK("https://pbs.twimg.com/profile_banners/1024134285668896768/1626111515")</f>
        <v>https://pbs.twimg.com/profile_banners/1024134285668896768/1626111515</v>
      </c>
      <c r="AQ1461" s="81" t="b">
        <v>1</v>
      </c>
      <c r="AR1461" s="81" t="b">
        <v>0</v>
      </c>
      <c r="AS1461" s="81" t="b">
        <v>0</v>
      </c>
      <c r="AT1461" s="81"/>
      <c r="AU1461" s="81">
        <v>12</v>
      </c>
      <c r="AV1461" s="81"/>
      <c r="AW1461" s="81" t="b">
        <v>0</v>
      </c>
      <c r="AX1461" s="81" t="s">
        <v>3728</v>
      </c>
      <c r="AY1461" s="84" t="str">
        <f>HYPERLINK("https://twitter.com/metodomoreira")</f>
        <v>https://twitter.com/metodomoreira</v>
      </c>
      <c r="AZ1461" s="81" t="s">
        <v>65</v>
      </c>
    </row>
    <row r="1462" spans="1:52" x14ac:dyDescent="0.35">
      <c r="A1462" s="66" t="s">
        <v>4936</v>
      </c>
      <c r="B1462" s="67"/>
      <c r="C1462" s="67"/>
      <c r="D1462" s="68"/>
      <c r="E1462" s="94"/>
      <c r="F1462" s="93" t="str">
        <f>HYPERLINK("https://pbs.twimg.com/profile_images/1408552584701435905/kjmWui2j_normal.jpg")</f>
        <v>https://pbs.twimg.com/profile_images/1408552584701435905/kjmWui2j_normal.jpg</v>
      </c>
      <c r="G1462" s="95"/>
      <c r="H1462" s="71"/>
      <c r="I1462" s="72"/>
      <c r="J1462" s="96"/>
      <c r="K1462" s="71" t="s">
        <v>12397</v>
      </c>
      <c r="L1462" s="97"/>
      <c r="M1462" s="76"/>
      <c r="N1462" s="76"/>
      <c r="O1462" s="77"/>
      <c r="P1462" s="78"/>
      <c r="Q1462" s="78"/>
      <c r="R1462" s="92"/>
      <c r="S1462" s="92"/>
      <c r="T1462" s="92"/>
      <c r="U1462" s="92"/>
      <c r="V1462" s="52"/>
      <c r="W1462" s="52"/>
      <c r="X1462" s="52"/>
      <c r="Y1462" s="52"/>
      <c r="Z1462" s="51"/>
      <c r="AA1462" s="73"/>
      <c r="AB1462" s="73"/>
      <c r="AC1462" s="74"/>
      <c r="AD1462" s="81" t="s">
        <v>9011</v>
      </c>
      <c r="AE1462" s="86" t="s">
        <v>9962</v>
      </c>
      <c r="AF1462" s="81">
        <v>641</v>
      </c>
      <c r="AG1462" s="81">
        <v>547</v>
      </c>
      <c r="AH1462" s="81">
        <v>15906</v>
      </c>
      <c r="AI1462" s="81">
        <v>157554</v>
      </c>
      <c r="AJ1462" s="81"/>
      <c r="AK1462" s="81" t="s">
        <v>10882</v>
      </c>
      <c r="AL1462" s="81" t="s">
        <v>11359</v>
      </c>
      <c r="AM1462" s="81"/>
      <c r="AN1462" s="81"/>
      <c r="AO1462" s="83">
        <v>40426.055115740739</v>
      </c>
      <c r="AP1462" s="84" t="str">
        <f>HYPERLINK("https://pbs.twimg.com/profile_banners/187015620/1630846287")</f>
        <v>https://pbs.twimg.com/profile_banners/187015620/1630846287</v>
      </c>
      <c r="AQ1462" s="81" t="b">
        <v>1</v>
      </c>
      <c r="AR1462" s="81" t="b">
        <v>0</v>
      </c>
      <c r="AS1462" s="81" t="b">
        <v>1</v>
      </c>
      <c r="AT1462" s="81"/>
      <c r="AU1462" s="81">
        <v>1</v>
      </c>
      <c r="AV1462" s="84" t="str">
        <f>HYPERLINK("https://abs.twimg.com/images/themes/theme1/bg.png")</f>
        <v>https://abs.twimg.com/images/themes/theme1/bg.png</v>
      </c>
      <c r="AW1462" s="81" t="b">
        <v>0</v>
      </c>
      <c r="AX1462" s="81" t="s">
        <v>3728</v>
      </c>
      <c r="AY1462" s="84" t="str">
        <f>HYPERLINK("https://twitter.com/piquename")</f>
        <v>https://twitter.com/piquename</v>
      </c>
      <c r="AZ1462" s="81" t="s">
        <v>66</v>
      </c>
    </row>
    <row r="1463" spans="1:52" x14ac:dyDescent="0.35">
      <c r="A1463" s="66" t="s">
        <v>4938</v>
      </c>
      <c r="B1463" s="67"/>
      <c r="C1463" s="67"/>
      <c r="D1463" s="68"/>
      <c r="E1463" s="94"/>
      <c r="F1463" s="93" t="str">
        <f>HYPERLINK("https://pbs.twimg.com/profile_images/1146784986718232576/jye-DYN2_normal.jpg")</f>
        <v>https://pbs.twimg.com/profile_images/1146784986718232576/jye-DYN2_normal.jpg</v>
      </c>
      <c r="G1463" s="95"/>
      <c r="H1463" s="71"/>
      <c r="I1463" s="72"/>
      <c r="J1463" s="96"/>
      <c r="K1463" s="71" t="s">
        <v>12401</v>
      </c>
      <c r="L1463" s="97"/>
      <c r="M1463" s="76"/>
      <c r="N1463" s="76"/>
      <c r="O1463" s="77"/>
      <c r="P1463" s="78"/>
      <c r="Q1463" s="78"/>
      <c r="R1463" s="92"/>
      <c r="S1463" s="92"/>
      <c r="T1463" s="92"/>
      <c r="U1463" s="92"/>
      <c r="V1463" s="52"/>
      <c r="W1463" s="52"/>
      <c r="X1463" s="52"/>
      <c r="Y1463" s="52"/>
      <c r="Z1463" s="51"/>
      <c r="AA1463" s="73"/>
      <c r="AB1463" s="73"/>
      <c r="AC1463" s="74"/>
      <c r="AD1463" s="81" t="s">
        <v>9017</v>
      </c>
      <c r="AE1463" s="86" t="s">
        <v>9968</v>
      </c>
      <c r="AF1463" s="81">
        <v>2787</v>
      </c>
      <c r="AG1463" s="81">
        <v>2578</v>
      </c>
      <c r="AH1463" s="81">
        <v>15767</v>
      </c>
      <c r="AI1463" s="81">
        <v>663</v>
      </c>
      <c r="AJ1463" s="81"/>
      <c r="AK1463" s="81" t="s">
        <v>10888</v>
      </c>
      <c r="AL1463" s="81" t="s">
        <v>10975</v>
      </c>
      <c r="AM1463" s="84" t="str">
        <f>HYPERLINK("https://t.co/McDnpLaLbP")</f>
        <v>https://t.co/McDnpLaLbP</v>
      </c>
      <c r="AN1463" s="81"/>
      <c r="AO1463" s="83">
        <v>40038.776956018519</v>
      </c>
      <c r="AP1463" s="84" t="str">
        <f>HYPERLINK("https://pbs.twimg.com/profile_banners/65432991/1552066354")</f>
        <v>https://pbs.twimg.com/profile_banners/65432991/1552066354</v>
      </c>
      <c r="AQ1463" s="81" t="b">
        <v>0</v>
      </c>
      <c r="AR1463" s="81" t="b">
        <v>0</v>
      </c>
      <c r="AS1463" s="81" t="b">
        <v>0</v>
      </c>
      <c r="AT1463" s="81"/>
      <c r="AU1463" s="81">
        <v>66</v>
      </c>
      <c r="AV1463" s="84" t="str">
        <f>HYPERLINK("https://abs.twimg.com/images/themes/theme1/bg.png")</f>
        <v>https://abs.twimg.com/images/themes/theme1/bg.png</v>
      </c>
      <c r="AW1463" s="81" t="b">
        <v>0</v>
      </c>
      <c r="AX1463" s="81" t="s">
        <v>3728</v>
      </c>
      <c r="AY1463" s="84" t="str">
        <f>HYPERLINK("https://twitter.com/sbgcnacional")</f>
        <v>https://twitter.com/sbgcnacional</v>
      </c>
      <c r="AZ1463" s="81" t="s">
        <v>66</v>
      </c>
    </row>
    <row r="1464" spans="1:52" x14ac:dyDescent="0.35">
      <c r="A1464" s="66" t="s">
        <v>5210</v>
      </c>
      <c r="B1464" s="67"/>
      <c r="C1464" s="67"/>
      <c r="D1464" s="68"/>
      <c r="E1464" s="94"/>
      <c r="F1464" s="93" t="str">
        <f>HYPERLINK("https://pbs.twimg.com/profile_images/1316016668552773634/oNURwwue_normal.jpg")</f>
        <v>https://pbs.twimg.com/profile_images/1316016668552773634/oNURwwue_normal.jpg</v>
      </c>
      <c r="G1464" s="95"/>
      <c r="H1464" s="71"/>
      <c r="I1464" s="72"/>
      <c r="J1464" s="96"/>
      <c r="K1464" s="71" t="s">
        <v>12398</v>
      </c>
      <c r="L1464" s="97"/>
      <c r="M1464" s="76"/>
      <c r="N1464" s="76"/>
      <c r="O1464" s="77"/>
      <c r="P1464" s="78"/>
      <c r="Q1464" s="78"/>
      <c r="R1464" s="92"/>
      <c r="S1464" s="92"/>
      <c r="T1464" s="92"/>
      <c r="U1464" s="92"/>
      <c r="V1464" s="52"/>
      <c r="W1464" s="52"/>
      <c r="X1464" s="52"/>
      <c r="Y1464" s="52"/>
      <c r="Z1464" s="51"/>
      <c r="AA1464" s="73"/>
      <c r="AB1464" s="73"/>
      <c r="AC1464" s="74"/>
      <c r="AD1464" s="81" t="s">
        <v>9013</v>
      </c>
      <c r="AE1464" s="86" t="s">
        <v>9964</v>
      </c>
      <c r="AF1464" s="81">
        <v>226</v>
      </c>
      <c r="AG1464" s="81">
        <v>34136</v>
      </c>
      <c r="AH1464" s="81">
        <v>4251</v>
      </c>
      <c r="AI1464" s="81">
        <v>1230</v>
      </c>
      <c r="AJ1464" s="81"/>
      <c r="AK1464" s="81" t="s">
        <v>10884</v>
      </c>
      <c r="AL1464" s="81" t="s">
        <v>10986</v>
      </c>
      <c r="AM1464" s="84" t="str">
        <f>HYPERLINK("https://t.co/zXxQTq0R4k")</f>
        <v>https://t.co/zXxQTq0R4k</v>
      </c>
      <c r="AN1464" s="81"/>
      <c r="AO1464" s="83">
        <v>43270.614722222221</v>
      </c>
      <c r="AP1464" s="84" t="str">
        <f>HYPERLINK("https://pbs.twimg.com/profile_banners/1009084690333085696/1592256056")</f>
        <v>https://pbs.twimg.com/profile_banners/1009084690333085696/1592256056</v>
      </c>
      <c r="AQ1464" s="81" t="b">
        <v>1</v>
      </c>
      <c r="AR1464" s="81" t="b">
        <v>0</v>
      </c>
      <c r="AS1464" s="81" t="b">
        <v>0</v>
      </c>
      <c r="AT1464" s="81"/>
      <c r="AU1464" s="81">
        <v>145</v>
      </c>
      <c r="AV1464" s="81"/>
      <c r="AW1464" s="81" t="b">
        <v>1</v>
      </c>
      <c r="AX1464" s="81" t="s">
        <v>3728</v>
      </c>
      <c r="AY1464" s="84" t="str">
        <f>HYPERLINK("https://twitter.com/opasomsbrasil")</f>
        <v>https://twitter.com/opasomsbrasil</v>
      </c>
      <c r="AZ1464" s="81" t="s">
        <v>65</v>
      </c>
    </row>
    <row r="1465" spans="1:52" x14ac:dyDescent="0.35">
      <c r="A1465" s="66" t="s">
        <v>4953</v>
      </c>
      <c r="B1465" s="67"/>
      <c r="C1465" s="67"/>
      <c r="D1465" s="68"/>
      <c r="E1465" s="94"/>
      <c r="F1465" s="93" t="str">
        <f>HYPERLINK("https://pbs.twimg.com/profile_images/1069613367470497793/UEGre87N_normal.jpg")</f>
        <v>https://pbs.twimg.com/profile_images/1069613367470497793/UEGre87N_normal.jpg</v>
      </c>
      <c r="G1465" s="95"/>
      <c r="H1465" s="71"/>
      <c r="I1465" s="72"/>
      <c r="J1465" s="96"/>
      <c r="K1465" s="71" t="s">
        <v>14282</v>
      </c>
      <c r="L1465" s="97"/>
      <c r="M1465" s="76"/>
      <c r="N1465" s="76"/>
      <c r="O1465" s="77"/>
      <c r="P1465" s="78"/>
      <c r="Q1465" s="78"/>
      <c r="R1465" s="92"/>
      <c r="S1465" s="92"/>
      <c r="T1465" s="92"/>
      <c r="U1465" s="92"/>
      <c r="V1465" s="52"/>
      <c r="W1465" s="52"/>
      <c r="X1465" s="52"/>
      <c r="Y1465" s="52"/>
      <c r="Z1465" s="51"/>
      <c r="AA1465" s="73"/>
      <c r="AB1465" s="73"/>
      <c r="AC1465" s="74"/>
      <c r="AD1465" s="81" t="s">
        <v>9014</v>
      </c>
      <c r="AE1465" s="86" t="s">
        <v>9965</v>
      </c>
      <c r="AF1465" s="81">
        <v>656</v>
      </c>
      <c r="AG1465" s="81">
        <v>603920</v>
      </c>
      <c r="AH1465" s="81">
        <v>8651</v>
      </c>
      <c r="AI1465" s="81">
        <v>3437</v>
      </c>
      <c r="AJ1465" s="81"/>
      <c r="AK1465" s="81" t="s">
        <v>10885</v>
      </c>
      <c r="AL1465" s="81" t="s">
        <v>10975</v>
      </c>
      <c r="AM1465" s="81"/>
      <c r="AN1465" s="81"/>
      <c r="AO1465" s="83">
        <v>39968.90834490741</v>
      </c>
      <c r="AP1465" s="84" t="str">
        <f>HYPERLINK("https://pbs.twimg.com/profile_banners/44734487/1625690506")</f>
        <v>https://pbs.twimg.com/profile_banners/44734487/1625690506</v>
      </c>
      <c r="AQ1465" s="81" t="b">
        <v>0</v>
      </c>
      <c r="AR1465" s="81" t="b">
        <v>0</v>
      </c>
      <c r="AS1465" s="81" t="b">
        <v>1</v>
      </c>
      <c r="AT1465" s="81"/>
      <c r="AU1465" s="81">
        <v>1070</v>
      </c>
      <c r="AV1465" s="84" t="str">
        <f>HYPERLINK("https://abs.twimg.com/images/themes/theme4/bg.gif")</f>
        <v>https://abs.twimg.com/images/themes/theme4/bg.gif</v>
      </c>
      <c r="AW1465" s="81" t="b">
        <v>1</v>
      </c>
      <c r="AX1465" s="81" t="s">
        <v>3728</v>
      </c>
      <c r="AY1465" s="84" t="str">
        <f>HYPERLINK("https://twitter.com/unicefbrasil")</f>
        <v>https://twitter.com/unicefbrasil</v>
      </c>
      <c r="AZ1465" s="81" t="s">
        <v>66</v>
      </c>
    </row>
    <row r="1466" spans="1:52" x14ac:dyDescent="0.35">
      <c r="A1466" s="66" t="s">
        <v>5211</v>
      </c>
      <c r="B1466" s="67"/>
      <c r="C1466" s="67"/>
      <c r="D1466" s="68"/>
      <c r="E1466" s="94"/>
      <c r="F1466" s="93" t="str">
        <f>HYPERLINK("https://pbs.twimg.com/profile_images/1392567720810528771/BAVqKMpQ_normal.jpg")</f>
        <v>https://pbs.twimg.com/profile_images/1392567720810528771/BAVqKMpQ_normal.jpg</v>
      </c>
      <c r="G1466" s="95"/>
      <c r="H1466" s="71"/>
      <c r="I1466" s="72"/>
      <c r="J1466" s="96"/>
      <c r="K1466" s="71" t="s">
        <v>12399</v>
      </c>
      <c r="L1466" s="97"/>
      <c r="M1466" s="76"/>
      <c r="N1466" s="76"/>
      <c r="O1466" s="77"/>
      <c r="P1466" s="78"/>
      <c r="Q1466" s="78"/>
      <c r="R1466" s="92"/>
      <c r="S1466" s="92"/>
      <c r="T1466" s="92"/>
      <c r="U1466" s="92"/>
      <c r="V1466" s="52"/>
      <c r="W1466" s="52"/>
      <c r="X1466" s="52"/>
      <c r="Y1466" s="52"/>
      <c r="Z1466" s="51"/>
      <c r="AA1466" s="73"/>
      <c r="AB1466" s="73"/>
      <c r="AC1466" s="74"/>
      <c r="AD1466" s="81" t="s">
        <v>9015</v>
      </c>
      <c r="AE1466" s="86" t="s">
        <v>9966</v>
      </c>
      <c r="AF1466" s="81">
        <v>638</v>
      </c>
      <c r="AG1466" s="81">
        <v>179916</v>
      </c>
      <c r="AH1466" s="81">
        <v>12301</v>
      </c>
      <c r="AI1466" s="81">
        <v>3015</v>
      </c>
      <c r="AJ1466" s="81"/>
      <c r="AK1466" s="81" t="s">
        <v>10886</v>
      </c>
      <c r="AL1466" s="81" t="s">
        <v>11163</v>
      </c>
      <c r="AM1466" s="84" t="str">
        <f>HYPERLINK("http://t.co/wqTWlV3F5w")</f>
        <v>http://t.co/wqTWlV3F5w</v>
      </c>
      <c r="AN1466" s="81"/>
      <c r="AO1466" s="83">
        <v>40029.135648148149</v>
      </c>
      <c r="AP1466" s="84" t="str">
        <f>HYPERLINK("https://pbs.twimg.com/profile_banners/62703362/1595360703")</f>
        <v>https://pbs.twimg.com/profile_banners/62703362/1595360703</v>
      </c>
      <c r="AQ1466" s="81" t="b">
        <v>0</v>
      </c>
      <c r="AR1466" s="81" t="b">
        <v>0</v>
      </c>
      <c r="AS1466" s="81" t="b">
        <v>1</v>
      </c>
      <c r="AT1466" s="81"/>
      <c r="AU1466" s="81">
        <v>880</v>
      </c>
      <c r="AV1466" s="84" t="str">
        <f>HYPERLINK("https://abs.twimg.com/images/themes/theme6/bg.gif")</f>
        <v>https://abs.twimg.com/images/themes/theme6/bg.gif</v>
      </c>
      <c r="AW1466" s="81" t="b">
        <v>1</v>
      </c>
      <c r="AX1466" s="81" t="s">
        <v>3728</v>
      </c>
      <c r="AY1466" s="84" t="str">
        <f>HYPERLINK("https://twitter.com/unescobrasil")</f>
        <v>https://twitter.com/unescobrasil</v>
      </c>
      <c r="AZ1466" s="81" t="s">
        <v>65</v>
      </c>
    </row>
    <row r="1467" spans="1:52" x14ac:dyDescent="0.35">
      <c r="A1467" s="66" t="s">
        <v>5212</v>
      </c>
      <c r="B1467" s="67"/>
      <c r="C1467" s="67"/>
      <c r="D1467" s="68"/>
      <c r="E1467" s="94"/>
      <c r="F1467" s="93" t="str">
        <f>HYPERLINK("https://pbs.twimg.com/profile_images/1205114697038663680/ksXzSn3G_normal.jpg")</f>
        <v>https://pbs.twimg.com/profile_images/1205114697038663680/ksXzSn3G_normal.jpg</v>
      </c>
      <c r="G1467" s="95"/>
      <c r="H1467" s="71"/>
      <c r="I1467" s="72"/>
      <c r="J1467" s="96"/>
      <c r="K1467" s="71" t="s">
        <v>12400</v>
      </c>
      <c r="L1467" s="97"/>
      <c r="M1467" s="76"/>
      <c r="N1467" s="76"/>
      <c r="O1467" s="77"/>
      <c r="P1467" s="78"/>
      <c r="Q1467" s="78"/>
      <c r="R1467" s="92"/>
      <c r="S1467" s="92"/>
      <c r="T1467" s="92"/>
      <c r="U1467" s="92"/>
      <c r="V1467" s="52"/>
      <c r="W1467" s="52"/>
      <c r="X1467" s="52"/>
      <c r="Y1467" s="52"/>
      <c r="Z1467" s="51"/>
      <c r="AA1467" s="73"/>
      <c r="AB1467" s="73"/>
      <c r="AC1467" s="74"/>
      <c r="AD1467" s="81" t="s">
        <v>9016</v>
      </c>
      <c r="AE1467" s="86" t="s">
        <v>9967</v>
      </c>
      <c r="AF1467" s="81">
        <v>375</v>
      </c>
      <c r="AG1467" s="81">
        <v>96509</v>
      </c>
      <c r="AH1467" s="81">
        <v>10918</v>
      </c>
      <c r="AI1467" s="81">
        <v>1084</v>
      </c>
      <c r="AJ1467" s="81"/>
      <c r="AK1467" s="81" t="s">
        <v>10887</v>
      </c>
      <c r="AL1467" s="81" t="s">
        <v>10975</v>
      </c>
      <c r="AM1467" s="81"/>
      <c r="AN1467" s="81"/>
      <c r="AO1467" s="83">
        <v>40011.936423611114</v>
      </c>
      <c r="AP1467" s="84" t="str">
        <f>HYPERLINK("https://pbs.twimg.com/profile_banners/57776660/1557324868")</f>
        <v>https://pbs.twimg.com/profile_banners/57776660/1557324868</v>
      </c>
      <c r="AQ1467" s="81" t="b">
        <v>0</v>
      </c>
      <c r="AR1467" s="81" t="b">
        <v>0</v>
      </c>
      <c r="AS1467" s="81" t="b">
        <v>1</v>
      </c>
      <c r="AT1467" s="81"/>
      <c r="AU1467" s="81">
        <v>957</v>
      </c>
      <c r="AV1467" s="84" t="str">
        <f>HYPERLINK("https://abs.twimg.com/images/themes/theme1/bg.png")</f>
        <v>https://abs.twimg.com/images/themes/theme1/bg.png</v>
      </c>
      <c r="AW1467" s="81" t="b">
        <v>1</v>
      </c>
      <c r="AX1467" s="81" t="s">
        <v>3728</v>
      </c>
      <c r="AY1467" s="84" t="str">
        <f>HYPERLINK("https://twitter.com/pnudbrasil")</f>
        <v>https://twitter.com/pnudbrasil</v>
      </c>
      <c r="AZ1467" s="81" t="s">
        <v>65</v>
      </c>
    </row>
    <row r="1468" spans="1:52" x14ac:dyDescent="0.35">
      <c r="A1468" s="66" t="s">
        <v>4952</v>
      </c>
      <c r="B1468" s="67"/>
      <c r="C1468" s="67"/>
      <c r="D1468" s="68"/>
      <c r="E1468" s="94"/>
      <c r="F1468" s="93" t="str">
        <f>HYPERLINK("https://pbs.twimg.com/profile_images/1115699942788599808/cZWLlTUX_normal.png")</f>
        <v>https://pbs.twimg.com/profile_images/1115699942788599808/cZWLlTUX_normal.png</v>
      </c>
      <c r="G1468" s="95"/>
      <c r="H1468" s="71"/>
      <c r="I1468" s="72"/>
      <c r="J1468" s="96"/>
      <c r="K1468" s="71" t="s">
        <v>14283</v>
      </c>
      <c r="L1468" s="97"/>
      <c r="M1468" s="76"/>
      <c r="N1468" s="76"/>
      <c r="O1468" s="77"/>
      <c r="P1468" s="78"/>
      <c r="Q1468" s="78"/>
      <c r="R1468" s="92"/>
      <c r="S1468" s="92"/>
      <c r="T1468" s="92"/>
      <c r="U1468" s="92"/>
      <c r="V1468" s="52"/>
      <c r="W1468" s="52"/>
      <c r="X1468" s="52"/>
      <c r="Y1468" s="52"/>
      <c r="Z1468" s="51"/>
      <c r="AA1468" s="73"/>
      <c r="AB1468" s="73"/>
      <c r="AC1468" s="74"/>
      <c r="AD1468" s="81" t="s">
        <v>9018</v>
      </c>
      <c r="AE1468" s="86" t="s">
        <v>9969</v>
      </c>
      <c r="AF1468" s="81">
        <v>2005</v>
      </c>
      <c r="AG1468" s="81">
        <v>366657</v>
      </c>
      <c r="AH1468" s="81">
        <v>79788</v>
      </c>
      <c r="AI1468" s="81">
        <v>4034</v>
      </c>
      <c r="AJ1468" s="81"/>
      <c r="AK1468" s="81" t="s">
        <v>10889</v>
      </c>
      <c r="AL1468" s="81"/>
      <c r="AM1468" s="84" t="str">
        <f>HYPERLINK("https://t.co/mHOYHNZgDg")</f>
        <v>https://t.co/mHOYHNZgDg</v>
      </c>
      <c r="AN1468" s="81"/>
      <c r="AO1468" s="83">
        <v>40011.896435185183</v>
      </c>
      <c r="AP1468" s="84" t="str">
        <f>HYPERLINK("https://pbs.twimg.com/profile_banners/57763444/1621630579")</f>
        <v>https://pbs.twimg.com/profile_banners/57763444/1621630579</v>
      </c>
      <c r="AQ1468" s="81" t="b">
        <v>0</v>
      </c>
      <c r="AR1468" s="81" t="b">
        <v>0</v>
      </c>
      <c r="AS1468" s="81" t="b">
        <v>1</v>
      </c>
      <c r="AT1468" s="81"/>
      <c r="AU1468" s="81">
        <v>1948</v>
      </c>
      <c r="AV1468" s="84" t="str">
        <f>HYPERLINK("https://abs.twimg.com/images/themes/theme1/bg.png")</f>
        <v>https://abs.twimg.com/images/themes/theme1/bg.png</v>
      </c>
      <c r="AW1468" s="81" t="b">
        <v>1</v>
      </c>
      <c r="AX1468" s="81" t="s">
        <v>3728</v>
      </c>
      <c r="AY1468" s="84" t="str">
        <f>HYPERLINK("https://twitter.com/onubrasil")</f>
        <v>https://twitter.com/onubrasil</v>
      </c>
      <c r="AZ1468" s="81" t="s">
        <v>66</v>
      </c>
    </row>
    <row r="1469" spans="1:52" x14ac:dyDescent="0.35">
      <c r="A1469" s="66" t="s">
        <v>4940</v>
      </c>
      <c r="B1469" s="67"/>
      <c r="C1469" s="67"/>
      <c r="D1469" s="68"/>
      <c r="E1469" s="94"/>
      <c r="F1469" s="93" t="str">
        <f>HYPERLINK("https://pbs.twimg.com/profile_images/1144264402855706624/68VOmkrY_normal.png")</f>
        <v>https://pbs.twimg.com/profile_images/1144264402855706624/68VOmkrY_normal.png</v>
      </c>
      <c r="G1469" s="95"/>
      <c r="H1469" s="71"/>
      <c r="I1469" s="72"/>
      <c r="J1469" s="96"/>
      <c r="K1469" s="71" t="s">
        <v>12402</v>
      </c>
      <c r="L1469" s="97"/>
      <c r="M1469" s="76"/>
      <c r="N1469" s="76"/>
      <c r="O1469" s="77"/>
      <c r="P1469" s="78"/>
      <c r="Q1469" s="78"/>
      <c r="R1469" s="92"/>
      <c r="S1469" s="92"/>
      <c r="T1469" s="92"/>
      <c r="U1469" s="92"/>
      <c r="V1469" s="52"/>
      <c r="W1469" s="52"/>
      <c r="X1469" s="52"/>
      <c r="Y1469" s="52"/>
      <c r="Z1469" s="51"/>
      <c r="AA1469" s="73"/>
      <c r="AB1469" s="73"/>
      <c r="AC1469" s="74"/>
      <c r="AD1469" s="81" t="s">
        <v>9019</v>
      </c>
      <c r="AE1469" s="86" t="s">
        <v>9970</v>
      </c>
      <c r="AF1469" s="81">
        <v>774</v>
      </c>
      <c r="AG1469" s="81">
        <v>3179</v>
      </c>
      <c r="AH1469" s="81">
        <v>5529</v>
      </c>
      <c r="AI1469" s="81">
        <v>11589</v>
      </c>
      <c r="AJ1469" s="81"/>
      <c r="AK1469" s="81" t="s">
        <v>10890</v>
      </c>
      <c r="AL1469" s="81"/>
      <c r="AM1469" s="84" t="str">
        <f>HYPERLINK("https://t.co/0qPoCPyJA5")</f>
        <v>https://t.co/0qPoCPyJA5</v>
      </c>
      <c r="AN1469" s="81"/>
      <c r="AO1469" s="83">
        <v>41073.844699074078</v>
      </c>
      <c r="AP1469" s="84" t="str">
        <f>HYPERLINK("https://pbs.twimg.com/profile_banners/607515866/1415212066")</f>
        <v>https://pbs.twimg.com/profile_banners/607515866/1415212066</v>
      </c>
      <c r="AQ1469" s="81" t="b">
        <v>0</v>
      </c>
      <c r="AR1469" s="81" t="b">
        <v>0</v>
      </c>
      <c r="AS1469" s="81" t="b">
        <v>0</v>
      </c>
      <c r="AT1469" s="81"/>
      <c r="AU1469" s="81">
        <v>56</v>
      </c>
      <c r="AV1469" s="84" t="str">
        <f>HYPERLINK("https://abs.twimg.com/images/themes/theme1/bg.png")</f>
        <v>https://abs.twimg.com/images/themes/theme1/bg.png</v>
      </c>
      <c r="AW1469" s="81" t="b">
        <v>1</v>
      </c>
      <c r="AX1469" s="81" t="s">
        <v>3728</v>
      </c>
      <c r="AY1469" s="84" t="str">
        <f>HYPERLINK("https://twitter.com/britocruz_")</f>
        <v>https://twitter.com/britocruz_</v>
      </c>
      <c r="AZ1469" s="81" t="s">
        <v>66</v>
      </c>
    </row>
    <row r="1470" spans="1:52" x14ac:dyDescent="0.35">
      <c r="A1470" s="66" t="s">
        <v>4942</v>
      </c>
      <c r="B1470" s="67"/>
      <c r="C1470" s="67"/>
      <c r="D1470" s="68"/>
      <c r="E1470" s="94"/>
      <c r="F1470" s="93" t="str">
        <f>HYPERLINK("https://pbs.twimg.com/profile_images/1442828843157393415/2N1p3O50_normal.jpg")</f>
        <v>https://pbs.twimg.com/profile_images/1442828843157393415/2N1p3O50_normal.jpg</v>
      </c>
      <c r="G1470" s="95"/>
      <c r="H1470" s="71"/>
      <c r="I1470" s="72"/>
      <c r="J1470" s="96"/>
      <c r="K1470" s="71" t="s">
        <v>12403</v>
      </c>
      <c r="L1470" s="97"/>
      <c r="M1470" s="76"/>
      <c r="N1470" s="76"/>
      <c r="O1470" s="77"/>
      <c r="P1470" s="78"/>
      <c r="Q1470" s="78"/>
      <c r="R1470" s="92"/>
      <c r="S1470" s="92"/>
      <c r="T1470" s="92"/>
      <c r="U1470" s="92"/>
      <c r="V1470" s="52"/>
      <c r="W1470" s="52"/>
      <c r="X1470" s="52"/>
      <c r="Y1470" s="52"/>
      <c r="Z1470" s="51"/>
      <c r="AA1470" s="73"/>
      <c r="AB1470" s="73"/>
      <c r="AC1470" s="74"/>
      <c r="AD1470" s="81" t="s">
        <v>9020</v>
      </c>
      <c r="AE1470" s="86" t="s">
        <v>9971</v>
      </c>
      <c r="AF1470" s="81">
        <v>1817</v>
      </c>
      <c r="AG1470" s="81">
        <v>2225</v>
      </c>
      <c r="AH1470" s="81">
        <v>37703</v>
      </c>
      <c r="AI1470" s="81">
        <v>54151</v>
      </c>
      <c r="AJ1470" s="81"/>
      <c r="AK1470" s="81" t="s">
        <v>13955</v>
      </c>
      <c r="AL1470" s="81" t="s">
        <v>14164</v>
      </c>
      <c r="AM1470" s="84" t="str">
        <f>HYPERLINK("https://t.co/iIAJQRRNlK")</f>
        <v>https://t.co/iIAJQRRNlK</v>
      </c>
      <c r="AN1470" s="81"/>
      <c r="AO1470" s="83">
        <v>44166.197245370371</v>
      </c>
      <c r="AP1470" s="84" t="str">
        <f>HYPERLINK("https://pbs.twimg.com/profile_banners/1333632885962665985/1632832252")</f>
        <v>https://pbs.twimg.com/profile_banners/1333632885962665985/1632832252</v>
      </c>
      <c r="AQ1470" s="81" t="b">
        <v>1</v>
      </c>
      <c r="AR1470" s="81" t="b">
        <v>0</v>
      </c>
      <c r="AS1470" s="81" t="b">
        <v>1</v>
      </c>
      <c r="AT1470" s="81"/>
      <c r="AU1470" s="81">
        <v>2</v>
      </c>
      <c r="AV1470" s="81"/>
      <c r="AW1470" s="81" t="b">
        <v>0</v>
      </c>
      <c r="AX1470" s="81" t="s">
        <v>3728</v>
      </c>
      <c r="AY1470" s="84" t="str">
        <f>HYPERLINK("https://twitter.com/softyhyunjaee")</f>
        <v>https://twitter.com/softyhyunjaee</v>
      </c>
      <c r="AZ1470" s="81" t="s">
        <v>66</v>
      </c>
    </row>
    <row r="1471" spans="1:52" x14ac:dyDescent="0.35">
      <c r="A1471" s="66" t="s">
        <v>4947</v>
      </c>
      <c r="B1471" s="67"/>
      <c r="C1471" s="67"/>
      <c r="D1471" s="68"/>
      <c r="E1471" s="94"/>
      <c r="F1471" s="93" t="str">
        <f>HYPERLINK("https://pbs.twimg.com/profile_images/1361013354429571072/_rmiAN6U_normal.jpg")</f>
        <v>https://pbs.twimg.com/profile_images/1361013354429571072/_rmiAN6U_normal.jpg</v>
      </c>
      <c r="G1471" s="95"/>
      <c r="H1471" s="71"/>
      <c r="I1471" s="72"/>
      <c r="J1471" s="96"/>
      <c r="K1471" s="71" t="s">
        <v>12407</v>
      </c>
      <c r="L1471" s="97"/>
      <c r="M1471" s="76"/>
      <c r="N1471" s="76"/>
      <c r="O1471" s="77"/>
      <c r="P1471" s="78"/>
      <c r="Q1471" s="78"/>
      <c r="R1471" s="92"/>
      <c r="S1471" s="92"/>
      <c r="T1471" s="92"/>
      <c r="U1471" s="92"/>
      <c r="V1471" s="52"/>
      <c r="W1471" s="52"/>
      <c r="X1471" s="52"/>
      <c r="Y1471" s="52"/>
      <c r="Z1471" s="51"/>
      <c r="AA1471" s="73"/>
      <c r="AB1471" s="73"/>
      <c r="AC1471" s="74"/>
      <c r="AD1471" s="81" t="s">
        <v>9024</v>
      </c>
      <c r="AE1471" s="86" t="s">
        <v>9975</v>
      </c>
      <c r="AF1471" s="81">
        <v>2132</v>
      </c>
      <c r="AG1471" s="81">
        <v>1770</v>
      </c>
      <c r="AH1471" s="81">
        <v>8844</v>
      </c>
      <c r="AI1471" s="81">
        <v>54542</v>
      </c>
      <c r="AJ1471" s="81"/>
      <c r="AK1471" s="81" t="s">
        <v>10894</v>
      </c>
      <c r="AL1471" s="81" t="s">
        <v>11363</v>
      </c>
      <c r="AM1471" s="81"/>
      <c r="AN1471" s="81"/>
      <c r="AO1471" s="83">
        <v>41167.12096064815</v>
      </c>
      <c r="AP1471" s="84" t="str">
        <f>HYPERLINK("https://pbs.twimg.com/profile_banners/824432233/1585947511")</f>
        <v>https://pbs.twimg.com/profile_banners/824432233/1585947511</v>
      </c>
      <c r="AQ1471" s="81" t="b">
        <v>1</v>
      </c>
      <c r="AR1471" s="81" t="b">
        <v>0</v>
      </c>
      <c r="AS1471" s="81" t="b">
        <v>0</v>
      </c>
      <c r="AT1471" s="81"/>
      <c r="AU1471" s="81">
        <v>1</v>
      </c>
      <c r="AV1471" s="84" t="str">
        <f>HYPERLINK("https://abs.twimg.com/images/themes/theme1/bg.png")</f>
        <v>https://abs.twimg.com/images/themes/theme1/bg.png</v>
      </c>
      <c r="AW1471" s="81" t="b">
        <v>0</v>
      </c>
      <c r="AX1471" s="81" t="s">
        <v>3728</v>
      </c>
      <c r="AY1471" s="84" t="str">
        <f>HYPERLINK("https://twitter.com/mlet_brasil")</f>
        <v>https://twitter.com/mlet_brasil</v>
      </c>
      <c r="AZ1471" s="81" t="s">
        <v>66</v>
      </c>
    </row>
    <row r="1472" spans="1:52" x14ac:dyDescent="0.35">
      <c r="A1472" s="66" t="s">
        <v>5213</v>
      </c>
      <c r="B1472" s="67"/>
      <c r="C1472" s="67"/>
      <c r="D1472" s="68"/>
      <c r="E1472" s="94"/>
      <c r="F1472" s="93" t="str">
        <f>HYPERLINK("https://pbs.twimg.com/profile_images/1437595612980076546/v0npAVt-_normal.jpg")</f>
        <v>https://pbs.twimg.com/profile_images/1437595612980076546/v0npAVt-_normal.jpg</v>
      </c>
      <c r="G1472" s="95"/>
      <c r="H1472" s="71"/>
      <c r="I1472" s="72"/>
      <c r="J1472" s="96"/>
      <c r="K1472" s="71" t="s">
        <v>12408</v>
      </c>
      <c r="L1472" s="97"/>
      <c r="M1472" s="76"/>
      <c r="N1472" s="76"/>
      <c r="O1472" s="77"/>
      <c r="P1472" s="78"/>
      <c r="Q1472" s="78"/>
      <c r="R1472" s="92"/>
      <c r="S1472" s="92"/>
      <c r="T1472" s="92"/>
      <c r="U1472" s="92"/>
      <c r="V1472" s="52"/>
      <c r="W1472" s="52"/>
      <c r="X1472" s="52"/>
      <c r="Y1472" s="52"/>
      <c r="Z1472" s="51"/>
      <c r="AA1472" s="73"/>
      <c r="AB1472" s="73"/>
      <c r="AC1472" s="74"/>
      <c r="AD1472" s="81" t="s">
        <v>9025</v>
      </c>
      <c r="AE1472" s="86" t="s">
        <v>9976</v>
      </c>
      <c r="AF1472" s="81">
        <v>466</v>
      </c>
      <c r="AG1472" s="81">
        <v>22</v>
      </c>
      <c r="AH1472" s="81">
        <v>220</v>
      </c>
      <c r="AI1472" s="81">
        <v>120</v>
      </c>
      <c r="AJ1472" s="81"/>
      <c r="AK1472" s="81" t="s">
        <v>10895</v>
      </c>
      <c r="AL1472" s="81" t="s">
        <v>11364</v>
      </c>
      <c r="AM1472" s="81"/>
      <c r="AN1472" s="81"/>
      <c r="AO1472" s="83">
        <v>44453.076736111114</v>
      </c>
      <c r="AP1472" s="84" t="str">
        <f>HYPERLINK("https://pbs.twimg.com/profile_banners/1437594511845302274/1631584489")</f>
        <v>https://pbs.twimg.com/profile_banners/1437594511845302274/1631584489</v>
      </c>
      <c r="AQ1472" s="81" t="b">
        <v>1</v>
      </c>
      <c r="AR1472" s="81" t="b">
        <v>0</v>
      </c>
      <c r="AS1472" s="81" t="b">
        <v>0</v>
      </c>
      <c r="AT1472" s="81"/>
      <c r="AU1472" s="81">
        <v>0</v>
      </c>
      <c r="AV1472" s="81"/>
      <c r="AW1472" s="81" t="b">
        <v>0</v>
      </c>
      <c r="AX1472" s="81" t="s">
        <v>3728</v>
      </c>
      <c r="AY1472" s="84" t="str">
        <f>HYPERLINK("https://twitter.com/heisenbergpeep")</f>
        <v>https://twitter.com/heisenbergpeep</v>
      </c>
      <c r="AZ1472" s="81" t="s">
        <v>65</v>
      </c>
    </row>
    <row r="1473" spans="1:52" x14ac:dyDescent="0.35">
      <c r="A1473" s="66" t="s">
        <v>5214</v>
      </c>
      <c r="B1473" s="67"/>
      <c r="C1473" s="67"/>
      <c r="D1473" s="68"/>
      <c r="E1473" s="94"/>
      <c r="F1473" s="93" t="str">
        <f>HYPERLINK("https://pbs.twimg.com/profile_images/1414037497634492420/KFdCXSe__normal.jpg")</f>
        <v>https://pbs.twimg.com/profile_images/1414037497634492420/KFdCXSe__normal.jpg</v>
      </c>
      <c r="G1473" s="95"/>
      <c r="H1473" s="71"/>
      <c r="I1473" s="72"/>
      <c r="J1473" s="96"/>
      <c r="K1473" s="71" t="s">
        <v>12409</v>
      </c>
      <c r="L1473" s="97"/>
      <c r="M1473" s="76"/>
      <c r="N1473" s="76"/>
      <c r="O1473" s="77"/>
      <c r="P1473" s="78"/>
      <c r="Q1473" s="78"/>
      <c r="R1473" s="92"/>
      <c r="S1473" s="92"/>
      <c r="T1473" s="92"/>
      <c r="U1473" s="92"/>
      <c r="V1473" s="52"/>
      <c r="W1473" s="52"/>
      <c r="X1473" s="52"/>
      <c r="Y1473" s="52"/>
      <c r="Z1473" s="51"/>
      <c r="AA1473" s="73"/>
      <c r="AB1473" s="73"/>
      <c r="AC1473" s="74"/>
      <c r="AD1473" s="81" t="s">
        <v>9026</v>
      </c>
      <c r="AE1473" s="86" t="s">
        <v>9977</v>
      </c>
      <c r="AF1473" s="81">
        <v>92</v>
      </c>
      <c r="AG1473" s="81">
        <v>414</v>
      </c>
      <c r="AH1473" s="81">
        <v>2004</v>
      </c>
      <c r="AI1473" s="81">
        <v>1469</v>
      </c>
      <c r="AJ1473" s="81"/>
      <c r="AK1473" s="81" t="s">
        <v>10896</v>
      </c>
      <c r="AL1473" s="81" t="s">
        <v>10975</v>
      </c>
      <c r="AM1473" s="81"/>
      <c r="AN1473" s="81"/>
      <c r="AO1473" s="83">
        <v>44131.812280092592</v>
      </c>
      <c r="AP1473" s="84" t="str">
        <f>HYPERLINK("https://pbs.twimg.com/profile_banners/1321172145926508549/1625963647")</f>
        <v>https://pbs.twimg.com/profile_banners/1321172145926508549/1625963647</v>
      </c>
      <c r="AQ1473" s="81" t="b">
        <v>1</v>
      </c>
      <c r="AR1473" s="81" t="b">
        <v>0</v>
      </c>
      <c r="AS1473" s="81" t="b">
        <v>1</v>
      </c>
      <c r="AT1473" s="81"/>
      <c r="AU1473" s="81">
        <v>0</v>
      </c>
      <c r="AV1473" s="81"/>
      <c r="AW1473" s="81" t="b">
        <v>0</v>
      </c>
      <c r="AX1473" s="81" t="s">
        <v>3728</v>
      </c>
      <c r="AY1473" s="84" t="str">
        <f>HYPERLINK("https://twitter.com/luchinex13")</f>
        <v>https://twitter.com/luchinex13</v>
      </c>
      <c r="AZ1473" s="81" t="s">
        <v>65</v>
      </c>
    </row>
    <row r="1474" spans="1:52" x14ac:dyDescent="0.35">
      <c r="A1474" s="66" t="s">
        <v>5215</v>
      </c>
      <c r="B1474" s="67"/>
      <c r="C1474" s="67"/>
      <c r="D1474" s="68"/>
      <c r="E1474" s="94"/>
      <c r="F1474" s="93" t="str">
        <f>HYPERLINK("https://pbs.twimg.com/profile_images/1425162244292235267/HYepKyUg_normal.jpg")</f>
        <v>https://pbs.twimg.com/profile_images/1425162244292235267/HYepKyUg_normal.jpg</v>
      </c>
      <c r="G1474" s="95"/>
      <c r="H1474" s="71"/>
      <c r="I1474" s="72"/>
      <c r="J1474" s="96"/>
      <c r="K1474" s="71" t="s">
        <v>12410</v>
      </c>
      <c r="L1474" s="97"/>
      <c r="M1474" s="76"/>
      <c r="N1474" s="76"/>
      <c r="O1474" s="77"/>
      <c r="P1474" s="78"/>
      <c r="Q1474" s="78"/>
      <c r="R1474" s="92"/>
      <c r="S1474" s="92"/>
      <c r="T1474" s="92"/>
      <c r="U1474" s="92"/>
      <c r="V1474" s="52"/>
      <c r="W1474" s="52"/>
      <c r="X1474" s="52"/>
      <c r="Y1474" s="52"/>
      <c r="Z1474" s="51"/>
      <c r="AA1474" s="73"/>
      <c r="AB1474" s="73"/>
      <c r="AC1474" s="74"/>
      <c r="AD1474" s="81" t="s">
        <v>9027</v>
      </c>
      <c r="AE1474" s="86" t="s">
        <v>9978</v>
      </c>
      <c r="AF1474" s="81">
        <v>29</v>
      </c>
      <c r="AG1474" s="81">
        <v>0</v>
      </c>
      <c r="AH1474" s="81">
        <v>402</v>
      </c>
      <c r="AI1474" s="81">
        <v>878</v>
      </c>
      <c r="AJ1474" s="81"/>
      <c r="AK1474" s="81" t="s">
        <v>10897</v>
      </c>
      <c r="AL1474" s="81"/>
      <c r="AM1474" s="81"/>
      <c r="AN1474" s="81"/>
      <c r="AO1474" s="83">
        <v>44418.769502314812</v>
      </c>
      <c r="AP1474" s="81"/>
      <c r="AQ1474" s="81" t="b">
        <v>1</v>
      </c>
      <c r="AR1474" s="81" t="b">
        <v>0</v>
      </c>
      <c r="AS1474" s="81" t="b">
        <v>0</v>
      </c>
      <c r="AT1474" s="81"/>
      <c r="AU1474" s="81">
        <v>0</v>
      </c>
      <c r="AV1474" s="81"/>
      <c r="AW1474" s="81" t="b">
        <v>0</v>
      </c>
      <c r="AX1474" s="81" t="s">
        <v>3728</v>
      </c>
      <c r="AY1474" s="84" t="str">
        <f>HYPERLINK("https://twitter.com/victorhitzschky")</f>
        <v>https://twitter.com/victorhitzschky</v>
      </c>
      <c r="AZ1474" s="81" t="s">
        <v>65</v>
      </c>
    </row>
    <row r="1475" spans="1:52" x14ac:dyDescent="0.35">
      <c r="A1475" s="66" t="s">
        <v>5216</v>
      </c>
      <c r="B1475" s="67"/>
      <c r="C1475" s="67"/>
      <c r="D1475" s="68"/>
      <c r="E1475" s="94"/>
      <c r="F1475" s="93" t="str">
        <f>HYPERLINK("https://pbs.twimg.com/profile_images/1280830949727637505/-VeYcCuX_normal.jpg")</f>
        <v>https://pbs.twimg.com/profile_images/1280830949727637505/-VeYcCuX_normal.jpg</v>
      </c>
      <c r="G1475" s="95"/>
      <c r="H1475" s="71"/>
      <c r="I1475" s="72"/>
      <c r="J1475" s="96"/>
      <c r="K1475" s="71" t="s">
        <v>12411</v>
      </c>
      <c r="L1475" s="97"/>
      <c r="M1475" s="76"/>
      <c r="N1475" s="76"/>
      <c r="O1475" s="77"/>
      <c r="P1475" s="78"/>
      <c r="Q1475" s="78"/>
      <c r="R1475" s="92"/>
      <c r="S1475" s="92"/>
      <c r="T1475" s="92"/>
      <c r="U1475" s="92"/>
      <c r="V1475" s="52"/>
      <c r="W1475" s="52"/>
      <c r="X1475" s="52"/>
      <c r="Y1475" s="52"/>
      <c r="Z1475" s="51"/>
      <c r="AA1475" s="73"/>
      <c r="AB1475" s="73"/>
      <c r="AC1475" s="74"/>
      <c r="AD1475" s="81" t="s">
        <v>9028</v>
      </c>
      <c r="AE1475" s="86" t="s">
        <v>9979</v>
      </c>
      <c r="AF1475" s="81">
        <v>3</v>
      </c>
      <c r="AG1475" s="81">
        <v>1583</v>
      </c>
      <c r="AH1475" s="81">
        <v>274868</v>
      </c>
      <c r="AI1475" s="81">
        <v>230</v>
      </c>
      <c r="AJ1475" s="81"/>
      <c r="AK1475" s="81" t="s">
        <v>10898</v>
      </c>
      <c r="AL1475" s="81"/>
      <c r="AM1475" s="84" t="str">
        <f>HYPERLINK("https://t.co/gx8FFJVPq8")</f>
        <v>https://t.co/gx8FFJVPq8</v>
      </c>
      <c r="AN1475" s="81"/>
      <c r="AO1475" s="83">
        <v>44020.487523148149</v>
      </c>
      <c r="AP1475" s="84" t="str">
        <f>HYPERLINK("https://pbs.twimg.com/profile_banners/1280829459696885762/1594208869")</f>
        <v>https://pbs.twimg.com/profile_banners/1280829459696885762/1594208869</v>
      </c>
      <c r="AQ1475" s="81" t="b">
        <v>1</v>
      </c>
      <c r="AR1475" s="81" t="b">
        <v>0</v>
      </c>
      <c r="AS1475" s="81" t="b">
        <v>0</v>
      </c>
      <c r="AT1475" s="81"/>
      <c r="AU1475" s="81">
        <v>7</v>
      </c>
      <c r="AV1475" s="81"/>
      <c r="AW1475" s="81" t="b">
        <v>0</v>
      </c>
      <c r="AX1475" s="81" t="s">
        <v>3728</v>
      </c>
      <c r="AY1475" s="84" t="str">
        <f>HYPERLINK("https://twitter.com/desempregobot")</f>
        <v>https://twitter.com/desempregobot</v>
      </c>
      <c r="AZ1475" s="81" t="s">
        <v>65</v>
      </c>
    </row>
    <row r="1476" spans="1:52" x14ac:dyDescent="0.35">
      <c r="A1476" s="66" t="s">
        <v>5217</v>
      </c>
      <c r="B1476" s="67"/>
      <c r="C1476" s="67"/>
      <c r="D1476" s="68"/>
      <c r="E1476" s="94"/>
      <c r="F1476" s="93" t="str">
        <f>HYPERLINK("https://pbs.twimg.com/profile_images/900886150856003586/iOOcwzyo_normal.jpg")</f>
        <v>https://pbs.twimg.com/profile_images/900886150856003586/iOOcwzyo_normal.jpg</v>
      </c>
      <c r="G1476" s="95"/>
      <c r="H1476" s="71"/>
      <c r="I1476" s="72"/>
      <c r="J1476" s="96"/>
      <c r="K1476" s="71" t="s">
        <v>12412</v>
      </c>
      <c r="L1476" s="97"/>
      <c r="M1476" s="76"/>
      <c r="N1476" s="76"/>
      <c r="O1476" s="77"/>
      <c r="P1476" s="78"/>
      <c r="Q1476" s="78"/>
      <c r="R1476" s="92"/>
      <c r="S1476" s="92"/>
      <c r="T1476" s="92"/>
      <c r="U1476" s="92"/>
      <c r="V1476" s="52"/>
      <c r="W1476" s="52"/>
      <c r="X1476" s="52"/>
      <c r="Y1476" s="52"/>
      <c r="Z1476" s="51"/>
      <c r="AA1476" s="73"/>
      <c r="AB1476" s="73"/>
      <c r="AC1476" s="74"/>
      <c r="AD1476" s="81" t="s">
        <v>9029</v>
      </c>
      <c r="AE1476" s="86" t="s">
        <v>9980</v>
      </c>
      <c r="AF1476" s="81">
        <v>53</v>
      </c>
      <c r="AG1476" s="81">
        <v>11</v>
      </c>
      <c r="AH1476" s="81">
        <v>59</v>
      </c>
      <c r="AI1476" s="81">
        <v>12</v>
      </c>
      <c r="AJ1476" s="81"/>
      <c r="AK1476" s="81"/>
      <c r="AL1476" s="81"/>
      <c r="AM1476" s="81"/>
      <c r="AN1476" s="81"/>
      <c r="AO1476" s="83">
        <v>41468.67732638889</v>
      </c>
      <c r="AP1476" s="81"/>
      <c r="AQ1476" s="81" t="b">
        <v>1</v>
      </c>
      <c r="AR1476" s="81" t="b">
        <v>0</v>
      </c>
      <c r="AS1476" s="81" t="b">
        <v>0</v>
      </c>
      <c r="AT1476" s="81"/>
      <c r="AU1476" s="81">
        <v>0</v>
      </c>
      <c r="AV1476" s="84" t="str">
        <f>HYPERLINK("https://abs.twimg.com/images/themes/theme1/bg.png")</f>
        <v>https://abs.twimg.com/images/themes/theme1/bg.png</v>
      </c>
      <c r="AW1476" s="81" t="b">
        <v>0</v>
      </c>
      <c r="AX1476" s="81" t="s">
        <v>3728</v>
      </c>
      <c r="AY1476" s="84" t="str">
        <f>HYPERLINK("https://twitter.com/flavioaugusto_1")</f>
        <v>https://twitter.com/flavioaugusto_1</v>
      </c>
      <c r="AZ1476" s="81" t="s">
        <v>65</v>
      </c>
    </row>
    <row r="1477" spans="1:52" x14ac:dyDescent="0.35">
      <c r="A1477" s="66" t="s">
        <v>5218</v>
      </c>
      <c r="B1477" s="67"/>
      <c r="C1477" s="67"/>
      <c r="D1477" s="68"/>
      <c r="E1477" s="94"/>
      <c r="F1477" s="93" t="str">
        <f>HYPERLINK("https://pbs.twimg.com/profile_images/1391160995020787714/p5K5gMBZ_normal.jpg")</f>
        <v>https://pbs.twimg.com/profile_images/1391160995020787714/p5K5gMBZ_normal.jpg</v>
      </c>
      <c r="G1477" s="95"/>
      <c r="H1477" s="71"/>
      <c r="I1477" s="72"/>
      <c r="J1477" s="96"/>
      <c r="K1477" s="71" t="s">
        <v>12413</v>
      </c>
      <c r="L1477" s="97"/>
      <c r="M1477" s="76"/>
      <c r="N1477" s="76"/>
      <c r="O1477" s="77"/>
      <c r="P1477" s="78"/>
      <c r="Q1477" s="78"/>
      <c r="R1477" s="92"/>
      <c r="S1477" s="92"/>
      <c r="T1477" s="92"/>
      <c r="U1477" s="92"/>
      <c r="V1477" s="52"/>
      <c r="W1477" s="52"/>
      <c r="X1477" s="52"/>
      <c r="Y1477" s="52"/>
      <c r="Z1477" s="51"/>
      <c r="AA1477" s="73"/>
      <c r="AB1477" s="73"/>
      <c r="AC1477" s="74"/>
      <c r="AD1477" s="81" t="s">
        <v>9030</v>
      </c>
      <c r="AE1477" s="86" t="s">
        <v>7941</v>
      </c>
      <c r="AF1477" s="81">
        <v>4993</v>
      </c>
      <c r="AG1477" s="81">
        <v>1227</v>
      </c>
      <c r="AH1477" s="81">
        <v>6237</v>
      </c>
      <c r="AI1477" s="81">
        <v>3847</v>
      </c>
      <c r="AJ1477" s="81"/>
      <c r="AK1477" s="81" t="s">
        <v>10899</v>
      </c>
      <c r="AL1477" s="81" t="s">
        <v>11365</v>
      </c>
      <c r="AM1477" s="84" t="str">
        <f>HYPERLINK("https://t.co/zvE8Vv0Za9")</f>
        <v>https://t.co/zvE8Vv0Za9</v>
      </c>
      <c r="AN1477" s="81"/>
      <c r="AO1477" s="83">
        <v>44192.983807870369</v>
      </c>
      <c r="AP1477" s="84" t="str">
        <f>HYPERLINK("https://pbs.twimg.com/profile_banners/1343340018660745218/1616521303")</f>
        <v>https://pbs.twimg.com/profile_banners/1343340018660745218/1616521303</v>
      </c>
      <c r="AQ1477" s="81" t="b">
        <v>1</v>
      </c>
      <c r="AR1477" s="81" t="b">
        <v>0</v>
      </c>
      <c r="AS1477" s="81" t="b">
        <v>0</v>
      </c>
      <c r="AT1477" s="81"/>
      <c r="AU1477" s="81">
        <v>1</v>
      </c>
      <c r="AV1477" s="81"/>
      <c r="AW1477" s="81" t="b">
        <v>0</v>
      </c>
      <c r="AX1477" s="81" t="s">
        <v>3728</v>
      </c>
      <c r="AY1477" s="84" t="str">
        <f>HYPERLINK("https://twitter.com/angelsinnerc")</f>
        <v>https://twitter.com/angelsinnerc</v>
      </c>
      <c r="AZ1477" s="81" t="s">
        <v>65</v>
      </c>
    </row>
    <row r="1478" spans="1:52" x14ac:dyDescent="0.35">
      <c r="A1478" s="66" t="s">
        <v>4948</v>
      </c>
      <c r="B1478" s="67"/>
      <c r="C1478" s="67"/>
      <c r="D1478" s="68"/>
      <c r="E1478" s="94"/>
      <c r="F1478" s="93" t="str">
        <f>HYPERLINK("https://pbs.twimg.com/profile_images/1443226033088462848/S9Nssg5L_normal.jpg")</f>
        <v>https://pbs.twimg.com/profile_images/1443226033088462848/S9Nssg5L_normal.jpg</v>
      </c>
      <c r="G1478" s="95"/>
      <c r="H1478" s="71"/>
      <c r="I1478" s="72"/>
      <c r="J1478" s="96"/>
      <c r="K1478" s="71" t="s">
        <v>12414</v>
      </c>
      <c r="L1478" s="97"/>
      <c r="M1478" s="76"/>
      <c r="N1478" s="76"/>
      <c r="O1478" s="77"/>
      <c r="P1478" s="78"/>
      <c r="Q1478" s="78"/>
      <c r="R1478" s="92"/>
      <c r="S1478" s="92"/>
      <c r="T1478" s="92"/>
      <c r="U1478" s="92"/>
      <c r="V1478" s="52"/>
      <c r="W1478" s="52"/>
      <c r="X1478" s="52"/>
      <c r="Y1478" s="52"/>
      <c r="Z1478" s="51"/>
      <c r="AA1478" s="73"/>
      <c r="AB1478" s="73"/>
      <c r="AC1478" s="74"/>
      <c r="AD1478" s="81" t="s">
        <v>9031</v>
      </c>
      <c r="AE1478" s="86" t="s">
        <v>9981</v>
      </c>
      <c r="AF1478" s="81">
        <v>28</v>
      </c>
      <c r="AG1478" s="81">
        <v>2</v>
      </c>
      <c r="AH1478" s="81">
        <v>640</v>
      </c>
      <c r="AI1478" s="81">
        <v>141</v>
      </c>
      <c r="AJ1478" s="81"/>
      <c r="AK1478" s="81" t="s">
        <v>13956</v>
      </c>
      <c r="AL1478" s="81"/>
      <c r="AM1478" s="81"/>
      <c r="AN1478" s="81"/>
      <c r="AO1478" s="83">
        <v>44092.773530092592</v>
      </c>
      <c r="AP1478" s="84" t="str">
        <f>HYPERLINK("https://pbs.twimg.com/profile_banners/1307025012679794688/1629049284")</f>
        <v>https://pbs.twimg.com/profile_banners/1307025012679794688/1629049284</v>
      </c>
      <c r="AQ1478" s="81" t="b">
        <v>1</v>
      </c>
      <c r="AR1478" s="81" t="b">
        <v>0</v>
      </c>
      <c r="AS1478" s="81" t="b">
        <v>0</v>
      </c>
      <c r="AT1478" s="81"/>
      <c r="AU1478" s="81">
        <v>0</v>
      </c>
      <c r="AV1478" s="81"/>
      <c r="AW1478" s="81" t="b">
        <v>0</v>
      </c>
      <c r="AX1478" s="81" t="s">
        <v>3728</v>
      </c>
      <c r="AY1478" s="84" t="str">
        <f>HYPERLINK("https://twitter.com/pijahheyyoo")</f>
        <v>https://twitter.com/pijahheyyoo</v>
      </c>
      <c r="AZ1478" s="81" t="s">
        <v>66</v>
      </c>
    </row>
    <row r="1479" spans="1:52" x14ac:dyDescent="0.35">
      <c r="A1479" s="66" t="s">
        <v>4949</v>
      </c>
      <c r="B1479" s="67"/>
      <c r="C1479" s="67"/>
      <c r="D1479" s="68"/>
      <c r="E1479" s="94"/>
      <c r="F1479" s="93" t="str">
        <f>HYPERLINK("https://pbs.twimg.com/profile_images/1192046893892800512/BmhcovJG_normal.jpg")</f>
        <v>https://pbs.twimg.com/profile_images/1192046893892800512/BmhcovJG_normal.jpg</v>
      </c>
      <c r="G1479" s="95"/>
      <c r="H1479" s="71"/>
      <c r="I1479" s="72"/>
      <c r="J1479" s="96"/>
      <c r="K1479" s="71" t="s">
        <v>12415</v>
      </c>
      <c r="L1479" s="97"/>
      <c r="M1479" s="76"/>
      <c r="N1479" s="76"/>
      <c r="O1479" s="77"/>
      <c r="P1479" s="78"/>
      <c r="Q1479" s="78"/>
      <c r="R1479" s="92"/>
      <c r="S1479" s="92"/>
      <c r="T1479" s="92"/>
      <c r="U1479" s="92"/>
      <c r="V1479" s="52"/>
      <c r="W1479" s="52"/>
      <c r="X1479" s="52"/>
      <c r="Y1479" s="52"/>
      <c r="Z1479" s="51"/>
      <c r="AA1479" s="73"/>
      <c r="AB1479" s="73"/>
      <c r="AC1479" s="74"/>
      <c r="AD1479" s="81" t="s">
        <v>9032</v>
      </c>
      <c r="AE1479" s="86" t="s">
        <v>9982</v>
      </c>
      <c r="AF1479" s="81">
        <v>429</v>
      </c>
      <c r="AG1479" s="81">
        <v>326</v>
      </c>
      <c r="AH1479" s="81">
        <v>5503</v>
      </c>
      <c r="AI1479" s="81">
        <v>24774</v>
      </c>
      <c r="AJ1479" s="81"/>
      <c r="AK1479" s="81" t="s">
        <v>10900</v>
      </c>
      <c r="AL1479" s="81"/>
      <c r="AM1479" s="81"/>
      <c r="AN1479" s="81"/>
      <c r="AO1479" s="83">
        <v>43322.859212962961</v>
      </c>
      <c r="AP1479" s="84" t="str">
        <f>HYPERLINK("https://pbs.twimg.com/profile_banners/1028017456856612864/1590952957")</f>
        <v>https://pbs.twimg.com/profile_banners/1028017456856612864/1590952957</v>
      </c>
      <c r="AQ1479" s="81" t="b">
        <v>1</v>
      </c>
      <c r="AR1479" s="81" t="b">
        <v>0</v>
      </c>
      <c r="AS1479" s="81" t="b">
        <v>0</v>
      </c>
      <c r="AT1479" s="81"/>
      <c r="AU1479" s="81">
        <v>0</v>
      </c>
      <c r="AV1479" s="81"/>
      <c r="AW1479" s="81" t="b">
        <v>0</v>
      </c>
      <c r="AX1479" s="81" t="s">
        <v>3728</v>
      </c>
      <c r="AY1479" s="84" t="str">
        <f>HYPERLINK("https://twitter.com/amessiasleal")</f>
        <v>https://twitter.com/amessiasleal</v>
      </c>
      <c r="AZ1479" s="81" t="s">
        <v>66</v>
      </c>
    </row>
    <row r="1480" spans="1:52" x14ac:dyDescent="0.35">
      <c r="A1480" s="66" t="s">
        <v>5219</v>
      </c>
      <c r="B1480" s="67"/>
      <c r="C1480" s="67"/>
      <c r="D1480" s="68"/>
      <c r="E1480" s="94"/>
      <c r="F1480" s="93" t="str">
        <f>HYPERLINK("https://pbs.twimg.com/profile_images/1392615446134861824/5uFGTGoy_normal.jpg")</f>
        <v>https://pbs.twimg.com/profile_images/1392615446134861824/5uFGTGoy_normal.jpg</v>
      </c>
      <c r="G1480" s="95"/>
      <c r="H1480" s="71"/>
      <c r="I1480" s="72"/>
      <c r="J1480" s="96"/>
      <c r="K1480" s="71" t="s">
        <v>12416</v>
      </c>
      <c r="L1480" s="97"/>
      <c r="M1480" s="76"/>
      <c r="N1480" s="76"/>
      <c r="O1480" s="77"/>
      <c r="P1480" s="78"/>
      <c r="Q1480" s="78"/>
      <c r="R1480" s="92"/>
      <c r="S1480" s="92"/>
      <c r="T1480" s="92"/>
      <c r="U1480" s="92"/>
      <c r="V1480" s="52"/>
      <c r="W1480" s="52"/>
      <c r="X1480" s="52"/>
      <c r="Y1480" s="52"/>
      <c r="Z1480" s="51"/>
      <c r="AA1480" s="73"/>
      <c r="AB1480" s="73"/>
      <c r="AC1480" s="74"/>
      <c r="AD1480" s="81" t="s">
        <v>9033</v>
      </c>
      <c r="AE1480" s="86" t="s">
        <v>9983</v>
      </c>
      <c r="AF1480" s="81">
        <v>531</v>
      </c>
      <c r="AG1480" s="81">
        <v>2269807</v>
      </c>
      <c r="AH1480" s="81">
        <v>6272</v>
      </c>
      <c r="AI1480" s="81">
        <v>1112</v>
      </c>
      <c r="AJ1480" s="81"/>
      <c r="AK1480" s="81" t="s">
        <v>10901</v>
      </c>
      <c r="AL1480" s="81" t="s">
        <v>10992</v>
      </c>
      <c r="AM1480" s="81"/>
      <c r="AN1480" s="81"/>
      <c r="AO1480" s="83">
        <v>40768.16065972222</v>
      </c>
      <c r="AP1480" s="84" t="str">
        <f>HYPERLINK("https://pbs.twimg.com/profile_banners/354095556/1631192701")</f>
        <v>https://pbs.twimg.com/profile_banners/354095556/1631192701</v>
      </c>
      <c r="AQ1480" s="81" t="b">
        <v>0</v>
      </c>
      <c r="AR1480" s="81" t="b">
        <v>0</v>
      </c>
      <c r="AS1480" s="81" t="b">
        <v>1</v>
      </c>
      <c r="AT1480" s="81"/>
      <c r="AU1480" s="81">
        <v>2374</v>
      </c>
      <c r="AV1480" s="84" t="str">
        <f>HYPERLINK("https://abs.twimg.com/images/themes/theme14/bg.gif")</f>
        <v>https://abs.twimg.com/images/themes/theme14/bg.gif</v>
      </c>
      <c r="AW1480" s="81" t="b">
        <v>1</v>
      </c>
      <c r="AX1480" s="81" t="s">
        <v>3728</v>
      </c>
      <c r="AY1480" s="84" t="str">
        <f>HYPERLINK("https://twitter.com/haddad_fernando")</f>
        <v>https://twitter.com/haddad_fernando</v>
      </c>
      <c r="AZ1480" s="81" t="s">
        <v>65</v>
      </c>
    </row>
    <row r="1481" spans="1:52" x14ac:dyDescent="0.35">
      <c r="A1481" s="66" t="s">
        <v>5220</v>
      </c>
      <c r="B1481" s="67"/>
      <c r="C1481" s="67"/>
      <c r="D1481" s="68"/>
      <c r="E1481" s="94"/>
      <c r="F1481" s="93" t="str">
        <f>HYPERLINK("https://pbs.twimg.com/profile_images/1415329341710426113/wSX33h9q_normal.jpg")</f>
        <v>https://pbs.twimg.com/profile_images/1415329341710426113/wSX33h9q_normal.jpg</v>
      </c>
      <c r="G1481" s="95"/>
      <c r="H1481" s="71"/>
      <c r="I1481" s="72"/>
      <c r="J1481" s="96"/>
      <c r="K1481" s="71" t="s">
        <v>12417</v>
      </c>
      <c r="L1481" s="97"/>
      <c r="M1481" s="76"/>
      <c r="N1481" s="76"/>
      <c r="O1481" s="77"/>
      <c r="P1481" s="78"/>
      <c r="Q1481" s="78"/>
      <c r="R1481" s="92"/>
      <c r="S1481" s="92"/>
      <c r="T1481" s="92"/>
      <c r="U1481" s="92"/>
      <c r="V1481" s="52"/>
      <c r="W1481" s="52"/>
      <c r="X1481" s="52"/>
      <c r="Y1481" s="52"/>
      <c r="Z1481" s="51"/>
      <c r="AA1481" s="73"/>
      <c r="AB1481" s="73"/>
      <c r="AC1481" s="74"/>
      <c r="AD1481" s="81" t="s">
        <v>9034</v>
      </c>
      <c r="AE1481" s="86" t="s">
        <v>9984</v>
      </c>
      <c r="AF1481" s="81">
        <v>1583</v>
      </c>
      <c r="AG1481" s="81">
        <v>209614</v>
      </c>
      <c r="AH1481" s="81">
        <v>34661</v>
      </c>
      <c r="AI1481" s="81">
        <v>46170</v>
      </c>
      <c r="AJ1481" s="81"/>
      <c r="AK1481" s="81" t="s">
        <v>10902</v>
      </c>
      <c r="AL1481" s="81" t="s">
        <v>11366</v>
      </c>
      <c r="AM1481" s="84" t="str">
        <f>HYPERLINK("https://t.co/OrBNfxZFxb")</f>
        <v>https://t.co/OrBNfxZFxb</v>
      </c>
      <c r="AN1481" s="81"/>
      <c r="AO1481" s="83">
        <v>43384.002291666664</v>
      </c>
      <c r="AP1481" s="84" t="str">
        <f>HYPERLINK("https://pbs.twimg.com/profile_banners/1050174967298629633/1616641970")</f>
        <v>https://pbs.twimg.com/profile_banners/1050174967298629633/1616641970</v>
      </c>
      <c r="AQ1481" s="81" t="b">
        <v>0</v>
      </c>
      <c r="AR1481" s="81" t="b">
        <v>0</v>
      </c>
      <c r="AS1481" s="81" t="b">
        <v>1</v>
      </c>
      <c r="AT1481" s="81"/>
      <c r="AU1481" s="81">
        <v>195</v>
      </c>
      <c r="AV1481" s="84" t="str">
        <f>HYPERLINK("https://abs.twimg.com/images/themes/theme1/bg.png")</f>
        <v>https://abs.twimg.com/images/themes/theme1/bg.png</v>
      </c>
      <c r="AW1481" s="81" t="b">
        <v>0</v>
      </c>
      <c r="AX1481" s="81" t="s">
        <v>3728</v>
      </c>
      <c r="AY1481" s="84" t="str">
        <f>HYPERLINK("https://twitter.com/haddaddebochado")</f>
        <v>https://twitter.com/haddaddebochado</v>
      </c>
      <c r="AZ1481" s="81" t="s">
        <v>65</v>
      </c>
    </row>
    <row r="1482" spans="1:52" x14ac:dyDescent="0.35">
      <c r="A1482" s="66" t="s">
        <v>4945</v>
      </c>
      <c r="B1482" s="67"/>
      <c r="C1482" s="67"/>
      <c r="D1482" s="68"/>
      <c r="E1482" s="94"/>
      <c r="F1482" s="93" t="str">
        <f>HYPERLINK("https://pbs.twimg.com/profile_images/1398704405617258496/VJWENCbp_normal.jpg")</f>
        <v>https://pbs.twimg.com/profile_images/1398704405617258496/VJWENCbp_normal.jpg</v>
      </c>
      <c r="G1482" s="95"/>
      <c r="H1482" s="71"/>
      <c r="I1482" s="72"/>
      <c r="J1482" s="96"/>
      <c r="K1482" s="71" t="s">
        <v>12405</v>
      </c>
      <c r="L1482" s="97"/>
      <c r="M1482" s="76"/>
      <c r="N1482" s="76"/>
      <c r="O1482" s="77"/>
      <c r="P1482" s="78"/>
      <c r="Q1482" s="78"/>
      <c r="R1482" s="92"/>
      <c r="S1482" s="92"/>
      <c r="T1482" s="92"/>
      <c r="U1482" s="92"/>
      <c r="V1482" s="52"/>
      <c r="W1482" s="52"/>
      <c r="X1482" s="52"/>
      <c r="Y1482" s="52"/>
      <c r="Z1482" s="51"/>
      <c r="AA1482" s="73"/>
      <c r="AB1482" s="73"/>
      <c r="AC1482" s="74"/>
      <c r="AD1482" s="81" t="s">
        <v>9022</v>
      </c>
      <c r="AE1482" s="86" t="s">
        <v>9973</v>
      </c>
      <c r="AF1482" s="81">
        <v>20530</v>
      </c>
      <c r="AG1482" s="81">
        <v>21911</v>
      </c>
      <c r="AH1482" s="81">
        <v>179548</v>
      </c>
      <c r="AI1482" s="81">
        <v>122493</v>
      </c>
      <c r="AJ1482" s="81"/>
      <c r="AK1482" s="81" t="s">
        <v>10892</v>
      </c>
      <c r="AL1482" s="81" t="s">
        <v>11362</v>
      </c>
      <c r="AM1482" s="81"/>
      <c r="AN1482" s="81"/>
      <c r="AO1482" s="83">
        <v>40200.258622685185</v>
      </c>
      <c r="AP1482" s="84" t="str">
        <f>HYPERLINK("https://pbs.twimg.com/profile_banners/107329307/1621116355")</f>
        <v>https://pbs.twimg.com/profile_banners/107329307/1621116355</v>
      </c>
      <c r="AQ1482" s="81" t="b">
        <v>0</v>
      </c>
      <c r="AR1482" s="81" t="b">
        <v>0</v>
      </c>
      <c r="AS1482" s="81" t="b">
        <v>1</v>
      </c>
      <c r="AT1482" s="81"/>
      <c r="AU1482" s="81">
        <v>63</v>
      </c>
      <c r="AV1482" s="84" t="str">
        <f>HYPERLINK("https://abs.twimg.com/images/themes/theme1/bg.png")</f>
        <v>https://abs.twimg.com/images/themes/theme1/bg.png</v>
      </c>
      <c r="AW1482" s="81" t="b">
        <v>0</v>
      </c>
      <c r="AX1482" s="81" t="s">
        <v>3728</v>
      </c>
      <c r="AY1482" s="84" t="str">
        <f>HYPERLINK("https://twitter.com/profsosa13")</f>
        <v>https://twitter.com/profsosa13</v>
      </c>
      <c r="AZ1482" s="81" t="s">
        <v>66</v>
      </c>
    </row>
    <row r="1483" spans="1:52" x14ac:dyDescent="0.35">
      <c r="A1483" s="66" t="s">
        <v>5221</v>
      </c>
      <c r="B1483" s="67"/>
      <c r="C1483" s="67"/>
      <c r="D1483" s="68"/>
      <c r="E1483" s="94"/>
      <c r="F1483" s="93" t="str">
        <f>HYPERLINK("https://pbs.twimg.com/profile_images/1442341551431053312/S3E84vb1_normal.jpg")</f>
        <v>https://pbs.twimg.com/profile_images/1442341551431053312/S3E84vb1_normal.jpg</v>
      </c>
      <c r="G1483" s="95"/>
      <c r="H1483" s="71"/>
      <c r="I1483" s="72"/>
      <c r="J1483" s="96"/>
      <c r="K1483" s="71" t="s">
        <v>12418</v>
      </c>
      <c r="L1483" s="97"/>
      <c r="M1483" s="76"/>
      <c r="N1483" s="76"/>
      <c r="O1483" s="77"/>
      <c r="P1483" s="78"/>
      <c r="Q1483" s="78"/>
      <c r="R1483" s="92"/>
      <c r="S1483" s="92"/>
      <c r="T1483" s="92"/>
      <c r="U1483" s="92"/>
      <c r="V1483" s="52"/>
      <c r="W1483" s="52"/>
      <c r="X1483" s="52"/>
      <c r="Y1483" s="52"/>
      <c r="Z1483" s="51"/>
      <c r="AA1483" s="73"/>
      <c r="AB1483" s="73"/>
      <c r="AC1483" s="74"/>
      <c r="AD1483" s="81" t="s">
        <v>9035</v>
      </c>
      <c r="AE1483" s="86" t="s">
        <v>7942</v>
      </c>
      <c r="AF1483" s="81">
        <v>353</v>
      </c>
      <c r="AG1483" s="81">
        <v>161</v>
      </c>
      <c r="AH1483" s="81">
        <v>6191</v>
      </c>
      <c r="AI1483" s="81">
        <v>11967</v>
      </c>
      <c r="AJ1483" s="81"/>
      <c r="AK1483" s="81" t="s">
        <v>13957</v>
      </c>
      <c r="AL1483" s="81"/>
      <c r="AM1483" s="81"/>
      <c r="AN1483" s="81"/>
      <c r="AO1483" s="83">
        <v>41884.187175925923</v>
      </c>
      <c r="AP1483" s="84" t="str">
        <f>HYPERLINK("https://pbs.twimg.com/profile_banners/2785172682/1625504128")</f>
        <v>https://pbs.twimg.com/profile_banners/2785172682/1625504128</v>
      </c>
      <c r="AQ1483" s="81" t="b">
        <v>1</v>
      </c>
      <c r="AR1483" s="81" t="b">
        <v>0</v>
      </c>
      <c r="AS1483" s="81" t="b">
        <v>0</v>
      </c>
      <c r="AT1483" s="81"/>
      <c r="AU1483" s="81">
        <v>0</v>
      </c>
      <c r="AV1483" s="84" t="str">
        <f>HYPERLINK("https://abs.twimg.com/images/themes/theme1/bg.png")</f>
        <v>https://abs.twimg.com/images/themes/theme1/bg.png</v>
      </c>
      <c r="AW1483" s="81" t="b">
        <v>0</v>
      </c>
      <c r="AX1483" s="81" t="s">
        <v>3728</v>
      </c>
      <c r="AY1483" s="84" t="str">
        <f>HYPERLINK("https://twitter.com/giohvp1")</f>
        <v>https://twitter.com/giohvp1</v>
      </c>
      <c r="AZ1483" s="81" t="s">
        <v>65</v>
      </c>
    </row>
    <row r="1484" spans="1:52" x14ac:dyDescent="0.35">
      <c r="A1484" s="66" t="s">
        <v>4950</v>
      </c>
      <c r="B1484" s="67"/>
      <c r="C1484" s="67"/>
      <c r="D1484" s="68"/>
      <c r="E1484" s="94"/>
      <c r="F1484" s="93" t="str">
        <f>HYPERLINK("https://pbs.twimg.com/profile_images/1435458774123253761/8T5o2_ui_normal.jpg")</f>
        <v>https://pbs.twimg.com/profile_images/1435458774123253761/8T5o2_ui_normal.jpg</v>
      </c>
      <c r="G1484" s="95"/>
      <c r="H1484" s="71"/>
      <c r="I1484" s="72"/>
      <c r="J1484" s="96"/>
      <c r="K1484" s="71" t="s">
        <v>12419</v>
      </c>
      <c r="L1484" s="97"/>
      <c r="M1484" s="76"/>
      <c r="N1484" s="76"/>
      <c r="O1484" s="77"/>
      <c r="P1484" s="78"/>
      <c r="Q1484" s="78"/>
      <c r="R1484" s="92"/>
      <c r="S1484" s="92"/>
      <c r="T1484" s="92"/>
      <c r="U1484" s="92"/>
      <c r="V1484" s="52"/>
      <c r="W1484" s="52"/>
      <c r="X1484" s="52"/>
      <c r="Y1484" s="52"/>
      <c r="Z1484" s="51"/>
      <c r="AA1484" s="73"/>
      <c r="AB1484" s="73"/>
      <c r="AC1484" s="74"/>
      <c r="AD1484" s="81" t="s">
        <v>9036</v>
      </c>
      <c r="AE1484" s="86" t="s">
        <v>9985</v>
      </c>
      <c r="AF1484" s="81">
        <v>302</v>
      </c>
      <c r="AG1484" s="81">
        <v>1158</v>
      </c>
      <c r="AH1484" s="81">
        <v>8954</v>
      </c>
      <c r="AI1484" s="81">
        <v>6462</v>
      </c>
      <c r="AJ1484" s="81"/>
      <c r="AK1484" s="81" t="s">
        <v>10903</v>
      </c>
      <c r="AL1484" s="81" t="s">
        <v>11367</v>
      </c>
      <c r="AM1484" s="84" t="str">
        <f>HYPERLINK("https://t.co/NHjH910eCY")</f>
        <v>https://t.co/NHjH910eCY</v>
      </c>
      <c r="AN1484" s="81"/>
      <c r="AO1484" s="83">
        <v>44221.576122685183</v>
      </c>
      <c r="AP1484" s="84" t="str">
        <f>HYPERLINK("https://pbs.twimg.com/profile_banners/1353701511566561285/1629987445")</f>
        <v>https://pbs.twimg.com/profile_banners/1353701511566561285/1629987445</v>
      </c>
      <c r="AQ1484" s="81" t="b">
        <v>1</v>
      </c>
      <c r="AR1484" s="81" t="b">
        <v>0</v>
      </c>
      <c r="AS1484" s="81" t="b">
        <v>1</v>
      </c>
      <c r="AT1484" s="81"/>
      <c r="AU1484" s="81">
        <v>1</v>
      </c>
      <c r="AV1484" s="81"/>
      <c r="AW1484" s="81" t="b">
        <v>0</v>
      </c>
      <c r="AX1484" s="81" t="s">
        <v>3728</v>
      </c>
      <c r="AY1484" s="84" t="str">
        <f>HYPERLINK("https://twitter.com/elninoob_")</f>
        <v>https://twitter.com/elninoob_</v>
      </c>
      <c r="AZ1484" s="81" t="s">
        <v>66</v>
      </c>
    </row>
    <row r="1485" spans="1:52" x14ac:dyDescent="0.35">
      <c r="A1485" s="66" t="s">
        <v>5222</v>
      </c>
      <c r="B1485" s="67"/>
      <c r="C1485" s="67"/>
      <c r="D1485" s="68"/>
      <c r="E1485" s="94"/>
      <c r="F1485" s="93" t="str">
        <f>HYPERLINK("https://pbs.twimg.com/profile_images/1087627242555895808/Rc4KiDuo_normal.jpg")</f>
        <v>https://pbs.twimg.com/profile_images/1087627242555895808/Rc4KiDuo_normal.jpg</v>
      </c>
      <c r="G1485" s="95"/>
      <c r="H1485" s="71"/>
      <c r="I1485" s="72"/>
      <c r="J1485" s="96"/>
      <c r="K1485" s="71" t="s">
        <v>12420</v>
      </c>
      <c r="L1485" s="97"/>
      <c r="M1485" s="76"/>
      <c r="N1485" s="76"/>
      <c r="O1485" s="77"/>
      <c r="P1485" s="78"/>
      <c r="Q1485" s="78"/>
      <c r="R1485" s="92"/>
      <c r="S1485" s="92"/>
      <c r="T1485" s="92"/>
      <c r="U1485" s="92"/>
      <c r="V1485" s="52"/>
      <c r="W1485" s="52"/>
      <c r="X1485" s="52"/>
      <c r="Y1485" s="52"/>
      <c r="Z1485" s="51"/>
      <c r="AA1485" s="73"/>
      <c r="AB1485" s="73"/>
      <c r="AC1485" s="74"/>
      <c r="AD1485" s="81" t="s">
        <v>9037</v>
      </c>
      <c r="AE1485" s="86" t="s">
        <v>7943</v>
      </c>
      <c r="AF1485" s="81">
        <v>121</v>
      </c>
      <c r="AG1485" s="81">
        <v>32993</v>
      </c>
      <c r="AH1485" s="81">
        <v>1675</v>
      </c>
      <c r="AI1485" s="81">
        <v>331</v>
      </c>
      <c r="AJ1485" s="81"/>
      <c r="AK1485" s="81" t="s">
        <v>10904</v>
      </c>
      <c r="AL1485" s="81" t="s">
        <v>3512</v>
      </c>
      <c r="AM1485" s="81"/>
      <c r="AN1485" s="81"/>
      <c r="AO1485" s="83">
        <v>40104.661493055559</v>
      </c>
      <c r="AP1485" s="84" t="str">
        <f>HYPERLINK("https://pbs.twimg.com/profile_banners/83387425/1600522485")</f>
        <v>https://pbs.twimg.com/profile_banners/83387425/1600522485</v>
      </c>
      <c r="AQ1485" s="81" t="b">
        <v>1</v>
      </c>
      <c r="AR1485" s="81" t="b">
        <v>0</v>
      </c>
      <c r="AS1485" s="81" t="b">
        <v>0</v>
      </c>
      <c r="AT1485" s="81"/>
      <c r="AU1485" s="81">
        <v>56</v>
      </c>
      <c r="AV1485" s="84" t="str">
        <f>HYPERLINK("https://abs.twimg.com/images/themes/theme1/bg.png")</f>
        <v>https://abs.twimg.com/images/themes/theme1/bg.png</v>
      </c>
      <c r="AW1485" s="81" t="b">
        <v>1</v>
      </c>
      <c r="AX1485" s="81" t="s">
        <v>3728</v>
      </c>
      <c r="AY1485" s="84" t="str">
        <f>HYPERLINK("https://twitter.com/okaantara")</f>
        <v>https://twitter.com/okaantara</v>
      </c>
      <c r="AZ1485" s="81" t="s">
        <v>65</v>
      </c>
    </row>
    <row r="1486" spans="1:52" x14ac:dyDescent="0.35">
      <c r="A1486" s="66" t="s">
        <v>4951</v>
      </c>
      <c r="B1486" s="67"/>
      <c r="C1486" s="67"/>
      <c r="D1486" s="68"/>
      <c r="E1486" s="94"/>
      <c r="F1486" s="93" t="str">
        <f>HYPERLINK("https://pbs.twimg.com/profile_images/378800000493362285/b02489e61a9ec9edcdae8836f3ea9f7f_normal.jpeg")</f>
        <v>https://pbs.twimg.com/profile_images/378800000493362285/b02489e61a9ec9edcdae8836f3ea9f7f_normal.jpeg</v>
      </c>
      <c r="G1486" s="95"/>
      <c r="H1486" s="71"/>
      <c r="I1486" s="72"/>
      <c r="J1486" s="96"/>
      <c r="K1486" s="71" t="s">
        <v>12421</v>
      </c>
      <c r="L1486" s="97"/>
      <c r="M1486" s="76"/>
      <c r="N1486" s="76"/>
      <c r="O1486" s="77"/>
      <c r="P1486" s="78"/>
      <c r="Q1486" s="78"/>
      <c r="R1486" s="92"/>
      <c r="S1486" s="92"/>
      <c r="T1486" s="92"/>
      <c r="U1486" s="92"/>
      <c r="V1486" s="52"/>
      <c r="W1486" s="52"/>
      <c r="X1486" s="52"/>
      <c r="Y1486" s="52"/>
      <c r="Z1486" s="51"/>
      <c r="AA1486" s="73"/>
      <c r="AB1486" s="73"/>
      <c r="AC1486" s="74"/>
      <c r="AD1486" s="81" t="s">
        <v>9038</v>
      </c>
      <c r="AE1486" s="86" t="s">
        <v>9986</v>
      </c>
      <c r="AF1486" s="81">
        <v>35</v>
      </c>
      <c r="AG1486" s="81">
        <v>76</v>
      </c>
      <c r="AH1486" s="81">
        <v>95</v>
      </c>
      <c r="AI1486" s="81">
        <v>1</v>
      </c>
      <c r="AJ1486" s="81"/>
      <c r="AK1486" s="81" t="s">
        <v>10905</v>
      </c>
      <c r="AL1486" s="81" t="s">
        <v>11368</v>
      </c>
      <c r="AM1486" s="84" t="str">
        <f>HYPERLINK("http://t.co/VbridU0feV")</f>
        <v>http://t.co/VbridU0feV</v>
      </c>
      <c r="AN1486" s="81"/>
      <c r="AO1486" s="83">
        <v>40534.918055555558</v>
      </c>
      <c r="AP1486" s="84" t="str">
        <f>HYPERLINK("https://pbs.twimg.com/profile_banners/229623448/1379756090")</f>
        <v>https://pbs.twimg.com/profile_banners/229623448/1379756090</v>
      </c>
      <c r="AQ1486" s="81" t="b">
        <v>0</v>
      </c>
      <c r="AR1486" s="81" t="b">
        <v>0</v>
      </c>
      <c r="AS1486" s="81" t="b">
        <v>1</v>
      </c>
      <c r="AT1486" s="81"/>
      <c r="AU1486" s="81">
        <v>0</v>
      </c>
      <c r="AV1486" s="84" t="str">
        <f>HYPERLINK("https://abs.twimg.com/images/themes/theme18/bg.gif")</f>
        <v>https://abs.twimg.com/images/themes/theme18/bg.gif</v>
      </c>
      <c r="AW1486" s="81" t="b">
        <v>0</v>
      </c>
      <c r="AX1486" s="81" t="s">
        <v>3728</v>
      </c>
      <c r="AY1486" s="84" t="str">
        <f>HYPERLINK("https://twitter.com/imanborneo")</f>
        <v>https://twitter.com/imanborneo</v>
      </c>
      <c r="AZ1486" s="81" t="s">
        <v>66</v>
      </c>
    </row>
    <row r="1487" spans="1:52" x14ac:dyDescent="0.35">
      <c r="A1487" s="66" t="s">
        <v>586</v>
      </c>
      <c r="B1487" s="67"/>
      <c r="C1487" s="67"/>
      <c r="D1487" s="68"/>
      <c r="E1487" s="94"/>
      <c r="F1487" s="93" t="str">
        <f>HYPERLINK("https://pbs.twimg.com/profile_images/813703989061558273/pSVNdrgA_normal.jpg")</f>
        <v>https://pbs.twimg.com/profile_images/813703989061558273/pSVNdrgA_normal.jpg</v>
      </c>
      <c r="G1487" s="95"/>
      <c r="H1487" s="71"/>
      <c r="I1487" s="72"/>
      <c r="J1487" s="96"/>
      <c r="K1487" s="71" t="s">
        <v>12422</v>
      </c>
      <c r="L1487" s="97"/>
      <c r="M1487" s="76"/>
      <c r="N1487" s="76"/>
      <c r="O1487" s="77"/>
      <c r="P1487" s="78"/>
      <c r="Q1487" s="78"/>
      <c r="R1487" s="92"/>
      <c r="S1487" s="92"/>
      <c r="T1487" s="92"/>
      <c r="U1487" s="92"/>
      <c r="V1487" s="52"/>
      <c r="W1487" s="52"/>
      <c r="X1487" s="52"/>
      <c r="Y1487" s="52"/>
      <c r="Z1487" s="51"/>
      <c r="AA1487" s="73"/>
      <c r="AB1487" s="73"/>
      <c r="AC1487" s="74"/>
      <c r="AD1487" s="81" t="s">
        <v>2313</v>
      </c>
      <c r="AE1487" s="86" t="s">
        <v>2115</v>
      </c>
      <c r="AF1487" s="81">
        <v>61</v>
      </c>
      <c r="AG1487" s="81">
        <v>19156</v>
      </c>
      <c r="AH1487" s="81">
        <v>46729</v>
      </c>
      <c r="AI1487" s="81">
        <v>671</v>
      </c>
      <c r="AJ1487" s="81"/>
      <c r="AK1487" s="81" t="s">
        <v>3147</v>
      </c>
      <c r="AL1487" s="81" t="s">
        <v>3510</v>
      </c>
      <c r="AM1487" s="84" t="str">
        <f>HYPERLINK("https://t.co/GrrnTkZJP2")</f>
        <v>https://t.co/GrrnTkZJP2</v>
      </c>
      <c r="AN1487" s="81"/>
      <c r="AO1487" s="83">
        <v>41899.337453703702</v>
      </c>
      <c r="AP1487" s="84" t="str">
        <f>HYPERLINK("https://pbs.twimg.com/profile_banners/2814445920/1507606905")</f>
        <v>https://pbs.twimg.com/profile_banners/2814445920/1507606905</v>
      </c>
      <c r="AQ1487" s="81" t="b">
        <v>0</v>
      </c>
      <c r="AR1487" s="81" t="b">
        <v>0</v>
      </c>
      <c r="AS1487" s="81" t="b">
        <v>1</v>
      </c>
      <c r="AT1487" s="81"/>
      <c r="AU1487" s="81">
        <v>18</v>
      </c>
      <c r="AV1487" s="84" t="str">
        <f>HYPERLINK("https://abs.twimg.com/images/themes/theme1/bg.png")</f>
        <v>https://abs.twimg.com/images/themes/theme1/bg.png</v>
      </c>
      <c r="AW1487" s="81" t="b">
        <v>1</v>
      </c>
      <c r="AX1487" s="81" t="s">
        <v>3728</v>
      </c>
      <c r="AY1487" s="84" t="str">
        <f>HYPERLINK("https://twitter.com/bravobeacukai")</f>
        <v>https://twitter.com/bravobeacukai</v>
      </c>
      <c r="AZ1487" s="81" t="s">
        <v>66</v>
      </c>
    </row>
    <row r="1488" spans="1:52" x14ac:dyDescent="0.35">
      <c r="A1488" s="66" t="s">
        <v>5223</v>
      </c>
      <c r="B1488" s="67"/>
      <c r="C1488" s="67"/>
      <c r="D1488" s="68"/>
      <c r="E1488" s="94"/>
      <c r="F1488" s="93" t="str">
        <f>HYPERLINK("https://pbs.twimg.com/profile_images/1370957290283487233/O7PRPfDL_normal.jpg")</f>
        <v>https://pbs.twimg.com/profile_images/1370957290283487233/O7PRPfDL_normal.jpg</v>
      </c>
      <c r="G1488" s="95"/>
      <c r="H1488" s="71"/>
      <c r="I1488" s="72"/>
      <c r="J1488" s="96"/>
      <c r="K1488" s="71" t="s">
        <v>12423</v>
      </c>
      <c r="L1488" s="97"/>
      <c r="M1488" s="76"/>
      <c r="N1488" s="76"/>
      <c r="O1488" s="77"/>
      <c r="P1488" s="78"/>
      <c r="Q1488" s="78"/>
      <c r="R1488" s="92"/>
      <c r="S1488" s="92"/>
      <c r="T1488" s="92"/>
      <c r="U1488" s="92"/>
      <c r="V1488" s="52"/>
      <c r="W1488" s="52"/>
      <c r="X1488" s="52"/>
      <c r="Y1488" s="52"/>
      <c r="Z1488" s="51"/>
      <c r="AA1488" s="73"/>
      <c r="AB1488" s="73"/>
      <c r="AC1488" s="74"/>
      <c r="AD1488" s="81" t="s">
        <v>8944</v>
      </c>
      <c r="AE1488" s="86" t="s">
        <v>7944</v>
      </c>
      <c r="AF1488" s="81">
        <v>0</v>
      </c>
      <c r="AG1488" s="81">
        <v>0</v>
      </c>
      <c r="AH1488" s="81">
        <v>2</v>
      </c>
      <c r="AI1488" s="81">
        <v>3</v>
      </c>
      <c r="AJ1488" s="81"/>
      <c r="AK1488" s="81"/>
      <c r="AL1488" s="81"/>
      <c r="AM1488" s="81"/>
      <c r="AN1488" s="81"/>
      <c r="AO1488" s="83">
        <v>44269.192523148151</v>
      </c>
      <c r="AP1488" s="81"/>
      <c r="AQ1488" s="81" t="b">
        <v>1</v>
      </c>
      <c r="AR1488" s="81" t="b">
        <v>0</v>
      </c>
      <c r="AS1488" s="81" t="b">
        <v>0</v>
      </c>
      <c r="AT1488" s="81"/>
      <c r="AU1488" s="81">
        <v>0</v>
      </c>
      <c r="AV1488" s="81"/>
      <c r="AW1488" s="81" t="b">
        <v>0</v>
      </c>
      <c r="AX1488" s="81" t="s">
        <v>3728</v>
      </c>
      <c r="AY1488" s="84" t="str">
        <f>HYPERLINK("https://twitter.com/hana75088057")</f>
        <v>https://twitter.com/hana75088057</v>
      </c>
      <c r="AZ1488" s="81" t="s">
        <v>65</v>
      </c>
    </row>
    <row r="1489" spans="1:52" x14ac:dyDescent="0.35">
      <c r="A1489" s="66" t="s">
        <v>326</v>
      </c>
      <c r="B1489" s="67"/>
      <c r="C1489" s="67"/>
      <c r="D1489" s="68"/>
      <c r="E1489" s="94"/>
      <c r="F1489" s="93" t="str">
        <f>HYPERLINK("https://pbs.twimg.com/profile_images/1427608856549462018/hJ7yXrVa_normal.jpg")</f>
        <v>https://pbs.twimg.com/profile_images/1427608856549462018/hJ7yXrVa_normal.jpg</v>
      </c>
      <c r="G1489" s="95"/>
      <c r="H1489" s="71"/>
      <c r="I1489" s="72"/>
      <c r="J1489" s="96"/>
      <c r="K1489" s="71" t="s">
        <v>12424</v>
      </c>
      <c r="L1489" s="97"/>
      <c r="M1489" s="76"/>
      <c r="N1489" s="76"/>
      <c r="O1489" s="77"/>
      <c r="P1489" s="78"/>
      <c r="Q1489" s="78"/>
      <c r="R1489" s="92"/>
      <c r="S1489" s="92"/>
      <c r="T1489" s="92"/>
      <c r="U1489" s="92"/>
      <c r="V1489" s="52"/>
      <c r="W1489" s="52"/>
      <c r="X1489" s="52"/>
      <c r="Y1489" s="52"/>
      <c r="Z1489" s="51"/>
      <c r="AA1489" s="73"/>
      <c r="AB1489" s="73"/>
      <c r="AC1489" s="74"/>
      <c r="AD1489" s="81" t="s">
        <v>2377</v>
      </c>
      <c r="AE1489" s="86" t="s">
        <v>2805</v>
      </c>
      <c r="AF1489" s="81">
        <v>2</v>
      </c>
      <c r="AG1489" s="81">
        <v>441</v>
      </c>
      <c r="AH1489" s="81">
        <v>6718</v>
      </c>
      <c r="AI1489" s="81">
        <v>0</v>
      </c>
      <c r="AJ1489" s="81"/>
      <c r="AK1489" s="81" t="s">
        <v>3212</v>
      </c>
      <c r="AL1489" s="81" t="s">
        <v>3593</v>
      </c>
      <c r="AM1489" s="84" t="str">
        <f>HYPERLINK("https://t.co/1euWwtjzLY")</f>
        <v>https://t.co/1euWwtjzLY</v>
      </c>
      <c r="AN1489" s="81"/>
      <c r="AO1489" s="83">
        <v>44310.525520833333</v>
      </c>
      <c r="AP1489" s="84" t="str">
        <f>HYPERLINK("https://pbs.twimg.com/profile_banners/1385935710415245317/1629207699")</f>
        <v>https://pbs.twimg.com/profile_banners/1385935710415245317/1629207699</v>
      </c>
      <c r="AQ1489" s="81" t="b">
        <v>1</v>
      </c>
      <c r="AR1489" s="81" t="b">
        <v>0</v>
      </c>
      <c r="AS1489" s="81" t="b">
        <v>0</v>
      </c>
      <c r="AT1489" s="81"/>
      <c r="AU1489" s="81">
        <v>1</v>
      </c>
      <c r="AV1489" s="81"/>
      <c r="AW1489" s="81" t="b">
        <v>0</v>
      </c>
      <c r="AX1489" s="81" t="s">
        <v>3728</v>
      </c>
      <c r="AY1489" s="84" t="str">
        <f>HYPERLINK("https://twitter.com/pasarnctrt")</f>
        <v>https://twitter.com/pasarnctrt</v>
      </c>
      <c r="AZ1489" s="81" t="s">
        <v>66</v>
      </c>
    </row>
    <row r="1490" spans="1:52" x14ac:dyDescent="0.35">
      <c r="A1490" s="66" t="s">
        <v>4954</v>
      </c>
      <c r="B1490" s="67"/>
      <c r="C1490" s="67"/>
      <c r="D1490" s="68"/>
      <c r="E1490" s="94"/>
      <c r="F1490" s="93" t="str">
        <f>HYPERLINK("https://pbs.twimg.com/profile_images/1388261259716485133/fkbI3oyr_normal.jpg")</f>
        <v>https://pbs.twimg.com/profile_images/1388261259716485133/fkbI3oyr_normal.jpg</v>
      </c>
      <c r="G1490" s="95"/>
      <c r="H1490" s="71"/>
      <c r="I1490" s="72"/>
      <c r="J1490" s="96"/>
      <c r="K1490" s="71" t="s">
        <v>12425</v>
      </c>
      <c r="L1490" s="97"/>
      <c r="M1490" s="76"/>
      <c r="N1490" s="76"/>
      <c r="O1490" s="77"/>
      <c r="P1490" s="78"/>
      <c r="Q1490" s="78"/>
      <c r="R1490" s="92"/>
      <c r="S1490" s="92"/>
      <c r="T1490" s="92"/>
      <c r="U1490" s="92"/>
      <c r="V1490" s="52"/>
      <c r="W1490" s="52"/>
      <c r="X1490" s="52"/>
      <c r="Y1490" s="52"/>
      <c r="Z1490" s="51"/>
      <c r="AA1490" s="73"/>
      <c r="AB1490" s="73"/>
      <c r="AC1490" s="74"/>
      <c r="AD1490" s="81" t="s">
        <v>9039</v>
      </c>
      <c r="AE1490" s="86" t="s">
        <v>9987</v>
      </c>
      <c r="AF1490" s="81">
        <v>75</v>
      </c>
      <c r="AG1490" s="81">
        <v>69</v>
      </c>
      <c r="AH1490" s="81">
        <v>320</v>
      </c>
      <c r="AI1490" s="81">
        <v>1565</v>
      </c>
      <c r="AJ1490" s="81"/>
      <c r="AK1490" s="81" t="s">
        <v>10906</v>
      </c>
      <c r="AL1490" s="81"/>
      <c r="AM1490" s="81"/>
      <c r="AN1490" s="81"/>
      <c r="AO1490" s="83">
        <v>43378.846585648149</v>
      </c>
      <c r="AP1490" s="84" t="str">
        <f>HYPERLINK("https://pbs.twimg.com/profile_banners/1048306604263845890/1603215701")</f>
        <v>https://pbs.twimg.com/profile_banners/1048306604263845890/1603215701</v>
      </c>
      <c r="AQ1490" s="81" t="b">
        <v>1</v>
      </c>
      <c r="AR1490" s="81" t="b">
        <v>0</v>
      </c>
      <c r="AS1490" s="81" t="b">
        <v>0</v>
      </c>
      <c r="AT1490" s="81"/>
      <c r="AU1490" s="81">
        <v>1</v>
      </c>
      <c r="AV1490" s="81"/>
      <c r="AW1490" s="81" t="b">
        <v>0</v>
      </c>
      <c r="AX1490" s="81" t="s">
        <v>3728</v>
      </c>
      <c r="AY1490" s="84" t="str">
        <f>HYPERLINK("https://twitter.com/estevamregia")</f>
        <v>https://twitter.com/estevamregia</v>
      </c>
      <c r="AZ1490" s="81" t="s">
        <v>66</v>
      </c>
    </row>
    <row r="1491" spans="1:52" x14ac:dyDescent="0.35">
      <c r="A1491" s="66" t="s">
        <v>4955</v>
      </c>
      <c r="B1491" s="67"/>
      <c r="C1491" s="67"/>
      <c r="D1491" s="68"/>
      <c r="E1491" s="94"/>
      <c r="F1491" s="93" t="str">
        <f>HYPERLINK("https://pbs.twimg.com/profile_images/1436566255943618560/KUzmlF7U_normal.jpg")</f>
        <v>https://pbs.twimg.com/profile_images/1436566255943618560/KUzmlF7U_normal.jpg</v>
      </c>
      <c r="G1491" s="95"/>
      <c r="H1491" s="71"/>
      <c r="I1491" s="72"/>
      <c r="J1491" s="96"/>
      <c r="K1491" s="71" t="s">
        <v>12426</v>
      </c>
      <c r="L1491" s="97"/>
      <c r="M1491" s="76"/>
      <c r="N1491" s="76"/>
      <c r="O1491" s="77"/>
      <c r="P1491" s="78"/>
      <c r="Q1491" s="78"/>
      <c r="R1491" s="92"/>
      <c r="S1491" s="92"/>
      <c r="T1491" s="92"/>
      <c r="U1491" s="92"/>
      <c r="V1491" s="52"/>
      <c r="W1491" s="52"/>
      <c r="X1491" s="52"/>
      <c r="Y1491" s="52"/>
      <c r="Z1491" s="51"/>
      <c r="AA1491" s="73"/>
      <c r="AB1491" s="73"/>
      <c r="AC1491" s="74"/>
      <c r="AD1491" s="81" t="s">
        <v>9040</v>
      </c>
      <c r="AE1491" s="86" t="s">
        <v>9988</v>
      </c>
      <c r="AF1491" s="81">
        <v>34</v>
      </c>
      <c r="AG1491" s="81">
        <v>3</v>
      </c>
      <c r="AH1491" s="81">
        <v>163</v>
      </c>
      <c r="AI1491" s="81">
        <v>210</v>
      </c>
      <c r="AJ1491" s="81"/>
      <c r="AK1491" s="81" t="s">
        <v>10907</v>
      </c>
      <c r="AL1491" s="81"/>
      <c r="AM1491" s="81"/>
      <c r="AN1491" s="81"/>
      <c r="AO1491" s="83">
        <v>44441.532002314816</v>
      </c>
      <c r="AP1491" s="84" t="str">
        <f>HYPERLINK("https://pbs.twimg.com/profile_banners/1433410845921329152/1631339061")</f>
        <v>https://pbs.twimg.com/profile_banners/1433410845921329152/1631339061</v>
      </c>
      <c r="AQ1491" s="81" t="b">
        <v>1</v>
      </c>
      <c r="AR1491" s="81" t="b">
        <v>0</v>
      </c>
      <c r="AS1491" s="81" t="b">
        <v>0</v>
      </c>
      <c r="AT1491" s="81"/>
      <c r="AU1491" s="81">
        <v>0</v>
      </c>
      <c r="AV1491" s="81"/>
      <c r="AW1491" s="81" t="b">
        <v>0</v>
      </c>
      <c r="AX1491" s="81" t="s">
        <v>3728</v>
      </c>
      <c r="AY1491" s="84" t="str">
        <f>HYPERLINK("https://twitter.com/foxyrj00")</f>
        <v>https://twitter.com/foxyrj00</v>
      </c>
      <c r="AZ1491" s="81" t="s">
        <v>66</v>
      </c>
    </row>
    <row r="1492" spans="1:52" x14ac:dyDescent="0.35">
      <c r="A1492" s="66" t="s">
        <v>4956</v>
      </c>
      <c r="B1492" s="67"/>
      <c r="C1492" s="67"/>
      <c r="D1492" s="68"/>
      <c r="E1492" s="94"/>
      <c r="F1492" s="93" t="str">
        <f>HYPERLINK("https://pbs.twimg.com/profile_images/1011890312917241857/Cjf-VOtl_normal.jpg")</f>
        <v>https://pbs.twimg.com/profile_images/1011890312917241857/Cjf-VOtl_normal.jpg</v>
      </c>
      <c r="G1492" s="95"/>
      <c r="H1492" s="71"/>
      <c r="I1492" s="72"/>
      <c r="J1492" s="96"/>
      <c r="K1492" s="71" t="s">
        <v>12427</v>
      </c>
      <c r="L1492" s="97"/>
      <c r="M1492" s="76"/>
      <c r="N1492" s="76"/>
      <c r="O1492" s="77"/>
      <c r="P1492" s="78"/>
      <c r="Q1492" s="78"/>
      <c r="R1492" s="92"/>
      <c r="S1492" s="92"/>
      <c r="T1492" s="92"/>
      <c r="U1492" s="92"/>
      <c r="V1492" s="52"/>
      <c r="W1492" s="52"/>
      <c r="X1492" s="52"/>
      <c r="Y1492" s="52"/>
      <c r="Z1492" s="51"/>
      <c r="AA1492" s="73"/>
      <c r="AB1492" s="73"/>
      <c r="AC1492" s="74"/>
      <c r="AD1492" s="81" t="s">
        <v>9041</v>
      </c>
      <c r="AE1492" s="86" t="s">
        <v>9989</v>
      </c>
      <c r="AF1492" s="81">
        <v>954</v>
      </c>
      <c r="AG1492" s="81">
        <v>764</v>
      </c>
      <c r="AH1492" s="81">
        <v>60918</v>
      </c>
      <c r="AI1492" s="81">
        <v>10415</v>
      </c>
      <c r="AJ1492" s="81"/>
      <c r="AK1492" s="81" t="s">
        <v>10908</v>
      </c>
      <c r="AL1492" s="81" t="s">
        <v>10975</v>
      </c>
      <c r="AM1492" s="81"/>
      <c r="AN1492" s="81"/>
      <c r="AO1492" s="83">
        <v>40065.564016203702</v>
      </c>
      <c r="AP1492" s="84" t="str">
        <f>HYPERLINK("https://pbs.twimg.com/profile_banners/72852473/1624058376")</f>
        <v>https://pbs.twimg.com/profile_banners/72852473/1624058376</v>
      </c>
      <c r="AQ1492" s="81" t="b">
        <v>0</v>
      </c>
      <c r="AR1492" s="81" t="b">
        <v>0</v>
      </c>
      <c r="AS1492" s="81" t="b">
        <v>1</v>
      </c>
      <c r="AT1492" s="81"/>
      <c r="AU1492" s="81">
        <v>8</v>
      </c>
      <c r="AV1492" s="84" t="str">
        <f>HYPERLINK("https://abs.twimg.com/images/themes/theme14/bg.gif")</f>
        <v>https://abs.twimg.com/images/themes/theme14/bg.gif</v>
      </c>
      <c r="AW1492" s="81" t="b">
        <v>0</v>
      </c>
      <c r="AX1492" s="81" t="s">
        <v>3728</v>
      </c>
      <c r="AY1492" s="84" t="str">
        <f>HYPERLINK("https://twitter.com/luclavilo")</f>
        <v>https://twitter.com/luclavilo</v>
      </c>
      <c r="AZ1492" s="81" t="s">
        <v>66</v>
      </c>
    </row>
    <row r="1493" spans="1:52" x14ac:dyDescent="0.35">
      <c r="A1493" s="66" t="s">
        <v>5224</v>
      </c>
      <c r="B1493" s="67"/>
      <c r="C1493" s="67"/>
      <c r="D1493" s="68"/>
      <c r="E1493" s="94"/>
      <c r="F1493" s="93" t="str">
        <f>HYPERLINK("https://pbs.twimg.com/profile_images/1430559558108385285/xG61W7Ct_normal.jpg")</f>
        <v>https://pbs.twimg.com/profile_images/1430559558108385285/xG61W7Ct_normal.jpg</v>
      </c>
      <c r="G1493" s="95"/>
      <c r="H1493" s="71"/>
      <c r="I1493" s="72"/>
      <c r="J1493" s="96"/>
      <c r="K1493" s="71" t="s">
        <v>12428</v>
      </c>
      <c r="L1493" s="97"/>
      <c r="M1493" s="76"/>
      <c r="N1493" s="76"/>
      <c r="O1493" s="77"/>
      <c r="P1493" s="78"/>
      <c r="Q1493" s="78"/>
      <c r="R1493" s="92"/>
      <c r="S1493" s="92"/>
      <c r="T1493" s="92"/>
      <c r="U1493" s="92"/>
      <c r="V1493" s="52"/>
      <c r="W1493" s="52"/>
      <c r="X1493" s="52"/>
      <c r="Y1493" s="52"/>
      <c r="Z1493" s="51"/>
      <c r="AA1493" s="73"/>
      <c r="AB1493" s="73"/>
      <c r="AC1493" s="74"/>
      <c r="AD1493" s="81" t="s">
        <v>9042</v>
      </c>
      <c r="AE1493" s="86" t="s">
        <v>7945</v>
      </c>
      <c r="AF1493" s="81">
        <v>3236</v>
      </c>
      <c r="AG1493" s="81">
        <v>2269</v>
      </c>
      <c r="AH1493" s="81">
        <v>12695</v>
      </c>
      <c r="AI1493" s="81">
        <v>12828</v>
      </c>
      <c r="AJ1493" s="81"/>
      <c r="AK1493" s="81" t="s">
        <v>10909</v>
      </c>
      <c r="AL1493" s="81"/>
      <c r="AM1493" s="81"/>
      <c r="AN1493" s="81"/>
      <c r="AO1493" s="83">
        <v>44209.659918981481</v>
      </c>
      <c r="AP1493" s="84" t="str">
        <f>HYPERLINK("https://pbs.twimg.com/profile_banners/1349383195133947904/1630549283")</f>
        <v>https://pbs.twimg.com/profile_banners/1349383195133947904/1630549283</v>
      </c>
      <c r="AQ1493" s="81" t="b">
        <v>1</v>
      </c>
      <c r="AR1493" s="81" t="b">
        <v>0</v>
      </c>
      <c r="AS1493" s="81" t="b">
        <v>0</v>
      </c>
      <c r="AT1493" s="81"/>
      <c r="AU1493" s="81">
        <v>0</v>
      </c>
      <c r="AV1493" s="81"/>
      <c r="AW1493" s="81" t="b">
        <v>0</v>
      </c>
      <c r="AX1493" s="81" t="s">
        <v>3728</v>
      </c>
      <c r="AY1493" s="84" t="str">
        <f>HYPERLINK("https://twitter.com/marnaosereno")</f>
        <v>https://twitter.com/marnaosereno</v>
      </c>
      <c r="AZ1493" s="81" t="s">
        <v>65</v>
      </c>
    </row>
    <row r="1494" spans="1:52" x14ac:dyDescent="0.35">
      <c r="A1494" s="66" t="s">
        <v>4957</v>
      </c>
      <c r="B1494" s="67"/>
      <c r="C1494" s="67"/>
      <c r="D1494" s="68"/>
      <c r="E1494" s="94"/>
      <c r="F1494" s="93" t="str">
        <f>HYPERLINK("https://pbs.twimg.com/profile_images/1352582714193539072/n6DF7SFw_normal.jpg")</f>
        <v>https://pbs.twimg.com/profile_images/1352582714193539072/n6DF7SFw_normal.jpg</v>
      </c>
      <c r="G1494" s="95"/>
      <c r="H1494" s="71"/>
      <c r="I1494" s="72"/>
      <c r="J1494" s="96"/>
      <c r="K1494" s="71" t="s">
        <v>12429</v>
      </c>
      <c r="L1494" s="97"/>
      <c r="M1494" s="76"/>
      <c r="N1494" s="76"/>
      <c r="O1494" s="77"/>
      <c r="P1494" s="78"/>
      <c r="Q1494" s="78"/>
      <c r="R1494" s="92"/>
      <c r="S1494" s="92"/>
      <c r="T1494" s="92"/>
      <c r="U1494" s="92"/>
      <c r="V1494" s="52"/>
      <c r="W1494" s="52"/>
      <c r="X1494" s="52"/>
      <c r="Y1494" s="52"/>
      <c r="Z1494" s="51"/>
      <c r="AA1494" s="73"/>
      <c r="AB1494" s="73"/>
      <c r="AC1494" s="74"/>
      <c r="AD1494" s="81" t="s">
        <v>9043</v>
      </c>
      <c r="AE1494" s="86" t="s">
        <v>9990</v>
      </c>
      <c r="AF1494" s="81">
        <v>771</v>
      </c>
      <c r="AG1494" s="81">
        <v>2439</v>
      </c>
      <c r="AH1494" s="81">
        <v>70649</v>
      </c>
      <c r="AI1494" s="81">
        <v>68053</v>
      </c>
      <c r="AJ1494" s="81"/>
      <c r="AK1494" s="81" t="s">
        <v>10910</v>
      </c>
      <c r="AL1494" s="81" t="s">
        <v>10994</v>
      </c>
      <c r="AM1494" s="81"/>
      <c r="AN1494" s="81"/>
      <c r="AO1494" s="83">
        <v>42434.842673611114</v>
      </c>
      <c r="AP1494" s="84" t="str">
        <f>HYPERLINK("https://pbs.twimg.com/profile_banners/706211041819099136/1534693931")</f>
        <v>https://pbs.twimg.com/profile_banners/706211041819099136/1534693931</v>
      </c>
      <c r="AQ1494" s="81" t="b">
        <v>1</v>
      </c>
      <c r="AR1494" s="81" t="b">
        <v>0</v>
      </c>
      <c r="AS1494" s="81" t="b">
        <v>0</v>
      </c>
      <c r="AT1494" s="81"/>
      <c r="AU1494" s="81">
        <v>6</v>
      </c>
      <c r="AV1494" s="81"/>
      <c r="AW1494" s="81" t="b">
        <v>0</v>
      </c>
      <c r="AX1494" s="81" t="s">
        <v>3728</v>
      </c>
      <c r="AY1494" s="84" t="str">
        <f>HYPERLINK("https://twitter.com/avante_pt")</f>
        <v>https://twitter.com/avante_pt</v>
      </c>
      <c r="AZ1494" s="81" t="s">
        <v>66</v>
      </c>
    </row>
    <row r="1495" spans="1:52" x14ac:dyDescent="0.35">
      <c r="A1495" s="66" t="s">
        <v>4958</v>
      </c>
      <c r="B1495" s="67"/>
      <c r="C1495" s="67"/>
      <c r="D1495" s="68"/>
      <c r="E1495" s="94"/>
      <c r="F1495" s="93" t="str">
        <f>HYPERLINK("https://pbs.twimg.com/profile_images/1440838601286160392/BVzN3Psg_normal.jpg")</f>
        <v>https://pbs.twimg.com/profile_images/1440838601286160392/BVzN3Psg_normal.jpg</v>
      </c>
      <c r="G1495" s="95"/>
      <c r="H1495" s="71"/>
      <c r="I1495" s="72"/>
      <c r="J1495" s="96"/>
      <c r="K1495" s="71" t="s">
        <v>12430</v>
      </c>
      <c r="L1495" s="97"/>
      <c r="M1495" s="76"/>
      <c r="N1495" s="76"/>
      <c r="O1495" s="77"/>
      <c r="P1495" s="78"/>
      <c r="Q1495" s="78"/>
      <c r="R1495" s="92"/>
      <c r="S1495" s="92"/>
      <c r="T1495" s="92"/>
      <c r="U1495" s="92"/>
      <c r="V1495" s="52"/>
      <c r="W1495" s="52"/>
      <c r="X1495" s="52"/>
      <c r="Y1495" s="52"/>
      <c r="Z1495" s="51"/>
      <c r="AA1495" s="73"/>
      <c r="AB1495" s="73"/>
      <c r="AC1495" s="74"/>
      <c r="AD1495" s="81" t="s">
        <v>9044</v>
      </c>
      <c r="AE1495" s="86" t="s">
        <v>9991</v>
      </c>
      <c r="AF1495" s="81">
        <v>1906</v>
      </c>
      <c r="AG1495" s="81">
        <v>4417</v>
      </c>
      <c r="AH1495" s="81">
        <v>289834</v>
      </c>
      <c r="AI1495" s="81">
        <v>96864</v>
      </c>
      <c r="AJ1495" s="81"/>
      <c r="AK1495" s="81" t="s">
        <v>10911</v>
      </c>
      <c r="AL1495" s="81" t="s">
        <v>11369</v>
      </c>
      <c r="AM1495" s="84" t="str">
        <f>HYPERLINK("https://t.co/ZM4zWws1E7")</f>
        <v>https://t.co/ZM4zWws1E7</v>
      </c>
      <c r="AN1495" s="81"/>
      <c r="AO1495" s="83">
        <v>40112.14508101852</v>
      </c>
      <c r="AP1495" s="84" t="str">
        <f>HYPERLINK("https://pbs.twimg.com/profile_banners/85228830/1586631006")</f>
        <v>https://pbs.twimg.com/profile_banners/85228830/1586631006</v>
      </c>
      <c r="AQ1495" s="81" t="b">
        <v>0</v>
      </c>
      <c r="AR1495" s="81" t="b">
        <v>0</v>
      </c>
      <c r="AS1495" s="81" t="b">
        <v>1</v>
      </c>
      <c r="AT1495" s="81"/>
      <c r="AU1495" s="81">
        <v>164</v>
      </c>
      <c r="AV1495" s="84" t="str">
        <f>HYPERLINK("https://abs.twimg.com/images/themes/theme10/bg.gif")</f>
        <v>https://abs.twimg.com/images/themes/theme10/bg.gif</v>
      </c>
      <c r="AW1495" s="81" t="b">
        <v>0</v>
      </c>
      <c r="AX1495" s="81" t="s">
        <v>3728</v>
      </c>
      <c r="AY1495" s="84" t="str">
        <f>HYPERLINK("https://twitter.com/nideoliveira71")</f>
        <v>https://twitter.com/nideoliveira71</v>
      </c>
      <c r="AZ1495" s="81" t="s">
        <v>66</v>
      </c>
    </row>
    <row r="1496" spans="1:52" x14ac:dyDescent="0.35">
      <c r="A1496" s="66" t="s">
        <v>4959</v>
      </c>
      <c r="B1496" s="67"/>
      <c r="C1496" s="67"/>
      <c r="D1496" s="68"/>
      <c r="E1496" s="94"/>
      <c r="F1496" s="93" t="str">
        <f>HYPERLINK("https://pbs.twimg.com/profile_images/1441965729088040964/IhqRTFX9_normal.jpg")</f>
        <v>https://pbs.twimg.com/profile_images/1441965729088040964/IhqRTFX9_normal.jpg</v>
      </c>
      <c r="G1496" s="95"/>
      <c r="H1496" s="71"/>
      <c r="I1496" s="72"/>
      <c r="J1496" s="96"/>
      <c r="K1496" s="71" t="s">
        <v>12431</v>
      </c>
      <c r="L1496" s="97"/>
      <c r="M1496" s="76"/>
      <c r="N1496" s="76"/>
      <c r="O1496" s="77"/>
      <c r="P1496" s="78"/>
      <c r="Q1496" s="78"/>
      <c r="R1496" s="92"/>
      <c r="S1496" s="92"/>
      <c r="T1496" s="92"/>
      <c r="U1496" s="92"/>
      <c r="V1496" s="52"/>
      <c r="W1496" s="52"/>
      <c r="X1496" s="52"/>
      <c r="Y1496" s="52"/>
      <c r="Z1496" s="51"/>
      <c r="AA1496" s="73"/>
      <c r="AB1496" s="73"/>
      <c r="AC1496" s="74"/>
      <c r="AD1496" s="81" t="s">
        <v>9045</v>
      </c>
      <c r="AE1496" s="86" t="s">
        <v>9992</v>
      </c>
      <c r="AF1496" s="81">
        <v>2041</v>
      </c>
      <c r="AG1496" s="81">
        <v>2212</v>
      </c>
      <c r="AH1496" s="81">
        <v>1545846</v>
      </c>
      <c r="AI1496" s="81">
        <v>98918</v>
      </c>
      <c r="AJ1496" s="81"/>
      <c r="AK1496" s="81" t="s">
        <v>13958</v>
      </c>
      <c r="AL1496" s="81" t="s">
        <v>11370</v>
      </c>
      <c r="AM1496" s="84" t="str">
        <f>HYPERLINK("https://t.co/2ZgZpgdOpy")</f>
        <v>https://t.co/2ZgZpgdOpy</v>
      </c>
      <c r="AN1496" s="81"/>
      <c r="AO1496" s="83">
        <v>39759.606435185182</v>
      </c>
      <c r="AP1496" s="84" t="str">
        <f>HYPERLINK("https://pbs.twimg.com/profile_banners/17231726/1632276552")</f>
        <v>https://pbs.twimg.com/profile_banners/17231726/1632276552</v>
      </c>
      <c r="AQ1496" s="81" t="b">
        <v>0</v>
      </c>
      <c r="AR1496" s="81" t="b">
        <v>0</v>
      </c>
      <c r="AS1496" s="81" t="b">
        <v>1</v>
      </c>
      <c r="AT1496" s="81"/>
      <c r="AU1496" s="81">
        <v>81</v>
      </c>
      <c r="AV1496" s="84" t="str">
        <f>HYPERLINK("https://abs.twimg.com/images/themes/theme9/bg.gif")</f>
        <v>https://abs.twimg.com/images/themes/theme9/bg.gif</v>
      </c>
      <c r="AW1496" s="81" t="b">
        <v>0</v>
      </c>
      <c r="AX1496" s="81" t="s">
        <v>3728</v>
      </c>
      <c r="AY1496" s="84" t="str">
        <f>HYPERLINK("https://twitter.com/natransversal")</f>
        <v>https://twitter.com/natransversal</v>
      </c>
      <c r="AZ1496" s="81" t="s">
        <v>66</v>
      </c>
    </row>
    <row r="1497" spans="1:52" x14ac:dyDescent="0.35">
      <c r="A1497" s="66" t="s">
        <v>4960</v>
      </c>
      <c r="B1497" s="67"/>
      <c r="C1497" s="67"/>
      <c r="D1497" s="68"/>
      <c r="E1497" s="94"/>
      <c r="F1497" s="93" t="str">
        <f>HYPERLINK("https://pbs.twimg.com/profile_images/1368863362281508865/ygpOqNvx_normal.jpg")</f>
        <v>https://pbs.twimg.com/profile_images/1368863362281508865/ygpOqNvx_normal.jpg</v>
      </c>
      <c r="G1497" s="95"/>
      <c r="H1497" s="71"/>
      <c r="I1497" s="72"/>
      <c r="J1497" s="96"/>
      <c r="K1497" s="71" t="s">
        <v>12432</v>
      </c>
      <c r="L1497" s="97"/>
      <c r="M1497" s="76"/>
      <c r="N1497" s="76"/>
      <c r="O1497" s="77"/>
      <c r="P1497" s="78"/>
      <c r="Q1497" s="78"/>
      <c r="R1497" s="92"/>
      <c r="S1497" s="92"/>
      <c r="T1497" s="92"/>
      <c r="U1497" s="92"/>
      <c r="V1497" s="52"/>
      <c r="W1497" s="52"/>
      <c r="X1497" s="52"/>
      <c r="Y1497" s="52"/>
      <c r="Z1497" s="51"/>
      <c r="AA1497" s="73"/>
      <c r="AB1497" s="73"/>
      <c r="AC1497" s="74"/>
      <c r="AD1497" s="81" t="s">
        <v>9046</v>
      </c>
      <c r="AE1497" s="86" t="s">
        <v>9993</v>
      </c>
      <c r="AF1497" s="81">
        <v>17</v>
      </c>
      <c r="AG1497" s="81">
        <v>23</v>
      </c>
      <c r="AH1497" s="81">
        <v>1053</v>
      </c>
      <c r="AI1497" s="81">
        <v>13</v>
      </c>
      <c r="AJ1497" s="81"/>
      <c r="AK1497" s="81" t="s">
        <v>10912</v>
      </c>
      <c r="AL1497" s="81" t="s">
        <v>11371</v>
      </c>
      <c r="AM1497" s="84" t="str">
        <f>HYPERLINK("https://t.co/OrsWyWMSOj")</f>
        <v>https://t.co/OrsWyWMSOj</v>
      </c>
      <c r="AN1497" s="81"/>
      <c r="AO1497" s="83">
        <v>44263.406099537038</v>
      </c>
      <c r="AP1497" s="84" t="str">
        <f>HYPERLINK("https://pbs.twimg.com/profile_banners/1368860178720899075/1625046642")</f>
        <v>https://pbs.twimg.com/profile_banners/1368860178720899075/1625046642</v>
      </c>
      <c r="AQ1497" s="81" t="b">
        <v>1</v>
      </c>
      <c r="AR1497" s="81" t="b">
        <v>0</v>
      </c>
      <c r="AS1497" s="81" t="b">
        <v>0</v>
      </c>
      <c r="AT1497" s="81"/>
      <c r="AU1497" s="81">
        <v>0</v>
      </c>
      <c r="AV1497" s="81"/>
      <c r="AW1497" s="81" t="b">
        <v>0</v>
      </c>
      <c r="AX1497" s="81" t="s">
        <v>3728</v>
      </c>
      <c r="AY1497" s="84" t="str">
        <f>HYPERLINK("https://twitter.com/oiasmargenspla1")</f>
        <v>https://twitter.com/oiasmargenspla1</v>
      </c>
      <c r="AZ1497" s="81" t="s">
        <v>66</v>
      </c>
    </row>
    <row r="1498" spans="1:52" x14ac:dyDescent="0.35">
      <c r="A1498" s="66" t="s">
        <v>4961</v>
      </c>
      <c r="B1498" s="67"/>
      <c r="C1498" s="67"/>
      <c r="D1498" s="68"/>
      <c r="E1498" s="94"/>
      <c r="F1498" s="93" t="str">
        <f>HYPERLINK("https://pbs.twimg.com/profile_images/1255121963305127937/MN2fya8h_normal.jpg")</f>
        <v>https://pbs.twimg.com/profile_images/1255121963305127937/MN2fya8h_normal.jpg</v>
      </c>
      <c r="G1498" s="95"/>
      <c r="H1498" s="71"/>
      <c r="I1498" s="72"/>
      <c r="J1498" s="96"/>
      <c r="K1498" s="71" t="s">
        <v>12433</v>
      </c>
      <c r="L1498" s="97"/>
      <c r="M1498" s="76"/>
      <c r="N1498" s="76"/>
      <c r="O1498" s="77"/>
      <c r="P1498" s="78"/>
      <c r="Q1498" s="78"/>
      <c r="R1498" s="92"/>
      <c r="S1498" s="92"/>
      <c r="T1498" s="92"/>
      <c r="U1498" s="92"/>
      <c r="V1498" s="52"/>
      <c r="W1498" s="52"/>
      <c r="X1498" s="52"/>
      <c r="Y1498" s="52"/>
      <c r="Z1498" s="51"/>
      <c r="AA1498" s="73"/>
      <c r="AB1498" s="73"/>
      <c r="AC1498" s="74"/>
      <c r="AD1498" s="81" t="s">
        <v>9047</v>
      </c>
      <c r="AE1498" s="86" t="s">
        <v>9994</v>
      </c>
      <c r="AF1498" s="81">
        <v>369</v>
      </c>
      <c r="AG1498" s="81">
        <v>90</v>
      </c>
      <c r="AH1498" s="81">
        <v>4754</v>
      </c>
      <c r="AI1498" s="81">
        <v>14045</v>
      </c>
      <c r="AJ1498" s="81"/>
      <c r="AK1498" s="81"/>
      <c r="AL1498" s="81" t="s">
        <v>10972</v>
      </c>
      <c r="AM1498" s="81"/>
      <c r="AN1498" s="81"/>
      <c r="AO1498" s="83">
        <v>42453.783043981479</v>
      </c>
      <c r="AP1498" s="81"/>
      <c r="AQ1498" s="81" t="b">
        <v>1</v>
      </c>
      <c r="AR1498" s="81" t="b">
        <v>0</v>
      </c>
      <c r="AS1498" s="81" t="b">
        <v>0</v>
      </c>
      <c r="AT1498" s="81"/>
      <c r="AU1498" s="81">
        <v>0</v>
      </c>
      <c r="AV1498" s="81"/>
      <c r="AW1498" s="81" t="b">
        <v>0</v>
      </c>
      <c r="AX1498" s="81" t="s">
        <v>3728</v>
      </c>
      <c r="AY1498" s="84" t="str">
        <f>HYPERLINK("https://twitter.com/eueltito")</f>
        <v>https://twitter.com/eueltito</v>
      </c>
      <c r="AZ1498" s="81" t="s">
        <v>66</v>
      </c>
    </row>
    <row r="1499" spans="1:52" x14ac:dyDescent="0.35">
      <c r="A1499" s="66" t="s">
        <v>5225</v>
      </c>
      <c r="B1499" s="67"/>
      <c r="C1499" s="67"/>
      <c r="D1499" s="68"/>
      <c r="E1499" s="94"/>
      <c r="F1499" s="93" t="str">
        <f>HYPERLINK("https://pbs.twimg.com/profile_images/1364199066834505737/xqZ7mQIT_normal.jpg")</f>
        <v>https://pbs.twimg.com/profile_images/1364199066834505737/xqZ7mQIT_normal.jpg</v>
      </c>
      <c r="G1499" s="95"/>
      <c r="H1499" s="71"/>
      <c r="I1499" s="72"/>
      <c r="J1499" s="96"/>
      <c r="K1499" s="71" t="s">
        <v>12434</v>
      </c>
      <c r="L1499" s="97"/>
      <c r="M1499" s="76"/>
      <c r="N1499" s="76"/>
      <c r="O1499" s="77"/>
      <c r="P1499" s="78"/>
      <c r="Q1499" s="78"/>
      <c r="R1499" s="92"/>
      <c r="S1499" s="92"/>
      <c r="T1499" s="92"/>
      <c r="U1499" s="92"/>
      <c r="V1499" s="52"/>
      <c r="W1499" s="52"/>
      <c r="X1499" s="52"/>
      <c r="Y1499" s="52"/>
      <c r="Z1499" s="51"/>
      <c r="AA1499" s="73"/>
      <c r="AB1499" s="73"/>
      <c r="AC1499" s="74"/>
      <c r="AD1499" s="81" t="s">
        <v>9048</v>
      </c>
      <c r="AE1499" s="86" t="s">
        <v>9995</v>
      </c>
      <c r="AF1499" s="81">
        <v>2820</v>
      </c>
      <c r="AG1499" s="81">
        <v>16597</v>
      </c>
      <c r="AH1499" s="81">
        <v>66603</v>
      </c>
      <c r="AI1499" s="81">
        <v>5830</v>
      </c>
      <c r="AJ1499" s="81"/>
      <c r="AK1499" s="81" t="s">
        <v>10913</v>
      </c>
      <c r="AL1499" s="81" t="s">
        <v>10975</v>
      </c>
      <c r="AM1499" s="84" t="str">
        <f>HYPERLINK("https://t.co/xqmb6pjRyy")</f>
        <v>https://t.co/xqmb6pjRyy</v>
      </c>
      <c r="AN1499" s="81"/>
      <c r="AO1499" s="83">
        <v>39893.571006944447</v>
      </c>
      <c r="AP1499" s="84" t="str">
        <f>HYPERLINK("https://pbs.twimg.com/profile_banners/25673896/1599511776")</f>
        <v>https://pbs.twimg.com/profile_banners/25673896/1599511776</v>
      </c>
      <c r="AQ1499" s="81" t="b">
        <v>0</v>
      </c>
      <c r="AR1499" s="81" t="b">
        <v>0</v>
      </c>
      <c r="AS1499" s="81" t="b">
        <v>1</v>
      </c>
      <c r="AT1499" s="81"/>
      <c r="AU1499" s="81">
        <v>345</v>
      </c>
      <c r="AV1499" s="84" t="str">
        <f>HYPERLINK("https://abs.twimg.com/images/themes/theme2/bg.gif")</f>
        <v>https://abs.twimg.com/images/themes/theme2/bg.gif</v>
      </c>
      <c r="AW1499" s="81" t="b">
        <v>0</v>
      </c>
      <c r="AX1499" s="81" t="s">
        <v>3728</v>
      </c>
      <c r="AY1499" s="84" t="str">
        <f>HYPERLINK("https://twitter.com/augustodefranco")</f>
        <v>https://twitter.com/augustodefranco</v>
      </c>
      <c r="AZ1499" s="81" t="s">
        <v>65</v>
      </c>
    </row>
    <row r="1500" spans="1:52" x14ac:dyDescent="0.35">
      <c r="A1500" s="66" t="s">
        <v>5226</v>
      </c>
      <c r="B1500" s="67"/>
      <c r="C1500" s="67"/>
      <c r="D1500" s="68"/>
      <c r="E1500" s="94"/>
      <c r="F1500" s="93" t="str">
        <f>HYPERLINK("https://pbs.twimg.com/profile_images/1440683888775368712/gX0RlWrg_normal.jpg")</f>
        <v>https://pbs.twimg.com/profile_images/1440683888775368712/gX0RlWrg_normal.jpg</v>
      </c>
      <c r="G1500" s="95"/>
      <c r="H1500" s="71"/>
      <c r="I1500" s="72"/>
      <c r="J1500" s="96"/>
      <c r="K1500" s="71" t="s">
        <v>12435</v>
      </c>
      <c r="L1500" s="97"/>
      <c r="M1500" s="76"/>
      <c r="N1500" s="76"/>
      <c r="O1500" s="77"/>
      <c r="P1500" s="78"/>
      <c r="Q1500" s="78"/>
      <c r="R1500" s="92"/>
      <c r="S1500" s="92"/>
      <c r="T1500" s="92"/>
      <c r="U1500" s="92"/>
      <c r="V1500" s="52"/>
      <c r="W1500" s="52"/>
      <c r="X1500" s="52"/>
      <c r="Y1500" s="52"/>
      <c r="Z1500" s="51"/>
      <c r="AA1500" s="73"/>
      <c r="AB1500" s="73"/>
      <c r="AC1500" s="74"/>
      <c r="AD1500" s="81" t="s">
        <v>9049</v>
      </c>
      <c r="AE1500" s="86" t="s">
        <v>7946</v>
      </c>
      <c r="AF1500" s="81">
        <v>102</v>
      </c>
      <c r="AG1500" s="81">
        <v>28</v>
      </c>
      <c r="AH1500" s="81">
        <v>1105</v>
      </c>
      <c r="AI1500" s="81">
        <v>2302</v>
      </c>
      <c r="AJ1500" s="81"/>
      <c r="AK1500" s="86" t="s">
        <v>10914</v>
      </c>
      <c r="AL1500" s="81" t="s">
        <v>11197</v>
      </c>
      <c r="AM1500" s="81"/>
      <c r="AN1500" s="81"/>
      <c r="AO1500" s="83">
        <v>42682.572870370372</v>
      </c>
      <c r="AP1500" s="84" t="str">
        <f>HYPERLINK("https://pbs.twimg.com/profile_banners/795985457796575233/1628792483")</f>
        <v>https://pbs.twimg.com/profile_banners/795985457796575233/1628792483</v>
      </c>
      <c r="AQ1500" s="81" t="b">
        <v>1</v>
      </c>
      <c r="AR1500" s="81" t="b">
        <v>0</v>
      </c>
      <c r="AS1500" s="81" t="b">
        <v>0</v>
      </c>
      <c r="AT1500" s="81"/>
      <c r="AU1500" s="81">
        <v>0</v>
      </c>
      <c r="AV1500" s="81"/>
      <c r="AW1500" s="81" t="b">
        <v>0</v>
      </c>
      <c r="AX1500" s="81" t="s">
        <v>3728</v>
      </c>
      <c r="AY1500" s="84" t="str">
        <f>HYPERLINK("https://twitter.com/theoporrete")</f>
        <v>https://twitter.com/theoporrete</v>
      </c>
      <c r="AZ1500" s="81" t="s">
        <v>65</v>
      </c>
    </row>
    <row r="1501" spans="1:52" x14ac:dyDescent="0.35">
      <c r="A1501" s="66" t="s">
        <v>4962</v>
      </c>
      <c r="B1501" s="67"/>
      <c r="C1501" s="67"/>
      <c r="D1501" s="68"/>
      <c r="E1501" s="94"/>
      <c r="F1501" s="93" t="str">
        <f>HYPERLINK("https://pbs.twimg.com/profile_images/1442880533294292992/qllbwH4j_normal.jpg")</f>
        <v>https://pbs.twimg.com/profile_images/1442880533294292992/qllbwH4j_normal.jpg</v>
      </c>
      <c r="G1501" s="95"/>
      <c r="H1501" s="71"/>
      <c r="I1501" s="72"/>
      <c r="J1501" s="96"/>
      <c r="K1501" s="71" t="s">
        <v>12436</v>
      </c>
      <c r="L1501" s="97"/>
      <c r="M1501" s="76"/>
      <c r="N1501" s="76"/>
      <c r="O1501" s="77"/>
      <c r="P1501" s="78"/>
      <c r="Q1501" s="78"/>
      <c r="R1501" s="92"/>
      <c r="S1501" s="92"/>
      <c r="T1501" s="92"/>
      <c r="U1501" s="92"/>
      <c r="V1501" s="52"/>
      <c r="W1501" s="52"/>
      <c r="X1501" s="52"/>
      <c r="Y1501" s="52"/>
      <c r="Z1501" s="51"/>
      <c r="AA1501" s="73"/>
      <c r="AB1501" s="73"/>
      <c r="AC1501" s="74"/>
      <c r="AD1501" s="81" t="s">
        <v>9050</v>
      </c>
      <c r="AE1501" s="86" t="s">
        <v>9996</v>
      </c>
      <c r="AF1501" s="81">
        <v>122</v>
      </c>
      <c r="AG1501" s="81">
        <v>142</v>
      </c>
      <c r="AH1501" s="81">
        <v>2447</v>
      </c>
      <c r="AI1501" s="81">
        <v>1107</v>
      </c>
      <c r="AJ1501" s="81"/>
      <c r="AK1501" s="81" t="s">
        <v>13959</v>
      </c>
      <c r="AL1501" s="81" t="s">
        <v>11372</v>
      </c>
      <c r="AM1501" s="81"/>
      <c r="AN1501" s="81"/>
      <c r="AO1501" s="83">
        <v>44403.176157407404</v>
      </c>
      <c r="AP1501" s="84" t="str">
        <f>HYPERLINK("https://pbs.twimg.com/profile_banners/1419511175016902664/1631460281")</f>
        <v>https://pbs.twimg.com/profile_banners/1419511175016902664/1631460281</v>
      </c>
      <c r="AQ1501" s="81" t="b">
        <v>1</v>
      </c>
      <c r="AR1501" s="81" t="b">
        <v>0</v>
      </c>
      <c r="AS1501" s="81" t="b">
        <v>1</v>
      </c>
      <c r="AT1501" s="81"/>
      <c r="AU1501" s="81">
        <v>0</v>
      </c>
      <c r="AV1501" s="81"/>
      <c r="AW1501" s="81" t="b">
        <v>0</v>
      </c>
      <c r="AX1501" s="81" t="s">
        <v>3728</v>
      </c>
      <c r="AY1501" s="84" t="str">
        <f>HYPERLINK("https://twitter.com/likaliku6969")</f>
        <v>https://twitter.com/likaliku6969</v>
      </c>
      <c r="AZ1501" s="81" t="s">
        <v>66</v>
      </c>
    </row>
    <row r="1502" spans="1:52" x14ac:dyDescent="0.35">
      <c r="A1502" s="66" t="s">
        <v>639</v>
      </c>
      <c r="B1502" s="67"/>
      <c r="C1502" s="67"/>
      <c r="D1502" s="68"/>
      <c r="E1502" s="94"/>
      <c r="F1502" s="93" t="str">
        <f>HYPERLINK("https://pbs.twimg.com/profile_images/1437087519527477248/1s9PWwXU_normal.jpg")</f>
        <v>https://pbs.twimg.com/profile_images/1437087519527477248/1s9PWwXU_normal.jpg</v>
      </c>
      <c r="G1502" s="95"/>
      <c r="H1502" s="71"/>
      <c r="I1502" s="72"/>
      <c r="J1502" s="96"/>
      <c r="K1502" s="71" t="s">
        <v>3913</v>
      </c>
      <c r="L1502" s="97"/>
      <c r="M1502" s="76"/>
      <c r="N1502" s="76"/>
      <c r="O1502" s="77"/>
      <c r="P1502" s="78"/>
      <c r="Q1502" s="78"/>
      <c r="R1502" s="92"/>
      <c r="S1502" s="92"/>
      <c r="T1502" s="92"/>
      <c r="U1502" s="92"/>
      <c r="V1502" s="52"/>
      <c r="W1502" s="52"/>
      <c r="X1502" s="52"/>
      <c r="Y1502" s="52"/>
      <c r="Z1502" s="51"/>
      <c r="AA1502" s="73"/>
      <c r="AB1502" s="73"/>
      <c r="AC1502" s="74"/>
      <c r="AD1502" s="81" t="s">
        <v>2428</v>
      </c>
      <c r="AE1502" s="86" t="s">
        <v>2113</v>
      </c>
      <c r="AF1502" s="81">
        <v>8</v>
      </c>
      <c r="AG1502" s="81">
        <v>646749</v>
      </c>
      <c r="AH1502" s="81">
        <v>1021503</v>
      </c>
      <c r="AI1502" s="81">
        <v>1612</v>
      </c>
      <c r="AJ1502" s="81"/>
      <c r="AK1502" s="81" t="s">
        <v>3259</v>
      </c>
      <c r="AL1502" s="81" t="s">
        <v>3512</v>
      </c>
      <c r="AM1502" s="84" t="str">
        <f>HYPERLINK("https://t.co/cyJxqytv5Z")</f>
        <v>https://t.co/cyJxqytv5Z</v>
      </c>
      <c r="AN1502" s="81"/>
      <c r="AO1502" s="83">
        <v>42019.366041666668</v>
      </c>
      <c r="AP1502" s="84" t="str">
        <f>HYPERLINK("https://pbs.twimg.com/profile_banners/2983890506/1632445092")</f>
        <v>https://pbs.twimg.com/profile_banners/2983890506/1632445092</v>
      </c>
      <c r="AQ1502" s="81" t="b">
        <v>1</v>
      </c>
      <c r="AR1502" s="81" t="b">
        <v>0</v>
      </c>
      <c r="AS1502" s="81" t="b">
        <v>1</v>
      </c>
      <c r="AT1502" s="81"/>
      <c r="AU1502" s="81">
        <v>272</v>
      </c>
      <c r="AV1502" s="84" t="str">
        <f>HYPERLINK("https://abs.twimg.com/images/themes/theme1/bg.png")</f>
        <v>https://abs.twimg.com/images/themes/theme1/bg.png</v>
      </c>
      <c r="AW1502" s="81" t="b">
        <v>1</v>
      </c>
      <c r="AX1502" s="81" t="s">
        <v>3728</v>
      </c>
      <c r="AY1502" s="84" t="str">
        <f>HYPERLINK("https://twitter.com/shopeeid")</f>
        <v>https://twitter.com/shopeeid</v>
      </c>
      <c r="AZ1502" s="81" t="s">
        <v>65</v>
      </c>
    </row>
    <row r="1503" spans="1:52" x14ac:dyDescent="0.35">
      <c r="A1503" s="66" t="s">
        <v>5227</v>
      </c>
      <c r="B1503" s="67"/>
      <c r="C1503" s="67"/>
      <c r="D1503" s="68"/>
      <c r="E1503" s="94"/>
      <c r="F1503" s="93" t="str">
        <f>HYPERLINK("https://pbs.twimg.com/profile_images/1441322873256251393/L5n1TEMn_normal.jpg")</f>
        <v>https://pbs.twimg.com/profile_images/1441322873256251393/L5n1TEMn_normal.jpg</v>
      </c>
      <c r="G1503" s="95"/>
      <c r="H1503" s="71"/>
      <c r="I1503" s="72"/>
      <c r="J1503" s="96"/>
      <c r="K1503" s="71" t="s">
        <v>12437</v>
      </c>
      <c r="L1503" s="97"/>
      <c r="M1503" s="76"/>
      <c r="N1503" s="76"/>
      <c r="O1503" s="77"/>
      <c r="P1503" s="78"/>
      <c r="Q1503" s="78"/>
      <c r="R1503" s="92"/>
      <c r="S1503" s="92"/>
      <c r="T1503" s="92"/>
      <c r="U1503" s="92"/>
      <c r="V1503" s="52"/>
      <c r="W1503" s="52"/>
      <c r="X1503" s="52"/>
      <c r="Y1503" s="52"/>
      <c r="Z1503" s="51"/>
      <c r="AA1503" s="73"/>
      <c r="AB1503" s="73"/>
      <c r="AC1503" s="74"/>
      <c r="AD1503" s="81" t="s">
        <v>9051</v>
      </c>
      <c r="AE1503" s="86" t="s">
        <v>7947</v>
      </c>
      <c r="AF1503" s="81">
        <v>393</v>
      </c>
      <c r="AG1503" s="81">
        <v>111</v>
      </c>
      <c r="AH1503" s="81">
        <v>162582</v>
      </c>
      <c r="AI1503" s="81">
        <v>2487</v>
      </c>
      <c r="AJ1503" s="81"/>
      <c r="AK1503" s="81" t="s">
        <v>10915</v>
      </c>
      <c r="AL1503" s="81" t="s">
        <v>11373</v>
      </c>
      <c r="AM1503" s="81"/>
      <c r="AN1503" s="81"/>
      <c r="AO1503" s="83">
        <v>42183.686365740738</v>
      </c>
      <c r="AP1503" s="84" t="str">
        <f>HYPERLINK("https://pbs.twimg.com/profile_banners/3259077422/1629450285")</f>
        <v>https://pbs.twimg.com/profile_banners/3259077422/1629450285</v>
      </c>
      <c r="AQ1503" s="81" t="b">
        <v>0</v>
      </c>
      <c r="AR1503" s="81" t="b">
        <v>0</v>
      </c>
      <c r="AS1503" s="81" t="b">
        <v>0</v>
      </c>
      <c r="AT1503" s="81"/>
      <c r="AU1503" s="81">
        <v>0</v>
      </c>
      <c r="AV1503" s="84" t="str">
        <f>HYPERLINK("https://abs.twimg.com/images/themes/theme1/bg.png")</f>
        <v>https://abs.twimg.com/images/themes/theme1/bg.png</v>
      </c>
      <c r="AW1503" s="81" t="b">
        <v>0</v>
      </c>
      <c r="AX1503" s="81" t="s">
        <v>3728</v>
      </c>
      <c r="AY1503" s="84" t="str">
        <f>HYPERLINK("https://twitter.com/bolukubolukeju")</f>
        <v>https://twitter.com/bolukubolukeju</v>
      </c>
      <c r="AZ1503" s="81" t="s">
        <v>65</v>
      </c>
    </row>
    <row r="1504" spans="1:52" x14ac:dyDescent="0.35">
      <c r="A1504" s="66" t="s">
        <v>4968</v>
      </c>
      <c r="B1504" s="67"/>
      <c r="C1504" s="67"/>
      <c r="D1504" s="68"/>
      <c r="E1504" s="94"/>
      <c r="F1504" s="93" t="str">
        <f>HYPERLINK("https://pbs.twimg.com/profile_images/1044757597545365504/UM8nGhYs_normal.jpg")</f>
        <v>https://pbs.twimg.com/profile_images/1044757597545365504/UM8nGhYs_normal.jpg</v>
      </c>
      <c r="G1504" s="95"/>
      <c r="H1504" s="71"/>
      <c r="I1504" s="72"/>
      <c r="J1504" s="96"/>
      <c r="K1504" s="71" t="s">
        <v>12486</v>
      </c>
      <c r="L1504" s="97"/>
      <c r="M1504" s="76"/>
      <c r="N1504" s="76"/>
      <c r="O1504" s="77"/>
      <c r="P1504" s="78"/>
      <c r="Q1504" s="78"/>
      <c r="R1504" s="92"/>
      <c r="S1504" s="92"/>
      <c r="T1504" s="92"/>
      <c r="U1504" s="92"/>
      <c r="V1504" s="52"/>
      <c r="W1504" s="52"/>
      <c r="X1504" s="52"/>
      <c r="Y1504" s="52"/>
      <c r="Z1504" s="51"/>
      <c r="AA1504" s="73"/>
      <c r="AB1504" s="73"/>
      <c r="AC1504" s="74"/>
      <c r="AD1504" s="81" t="s">
        <v>9100</v>
      </c>
      <c r="AE1504" s="86" t="s">
        <v>10042</v>
      </c>
      <c r="AF1504" s="81">
        <v>8</v>
      </c>
      <c r="AG1504" s="81">
        <v>1629</v>
      </c>
      <c r="AH1504" s="81">
        <v>3976</v>
      </c>
      <c r="AI1504" s="81">
        <v>85</v>
      </c>
      <c r="AJ1504" s="81"/>
      <c r="AK1504" s="81" t="s">
        <v>10960</v>
      </c>
      <c r="AL1504" s="81" t="s">
        <v>3514</v>
      </c>
      <c r="AM1504" s="81"/>
      <c r="AN1504" s="81"/>
      <c r="AO1504" s="83">
        <v>43369.050717592596</v>
      </c>
      <c r="AP1504" s="84" t="str">
        <f>HYPERLINK("https://pbs.twimg.com/profile_banners/1044756697074479104/1537927871")</f>
        <v>https://pbs.twimg.com/profile_banners/1044756697074479104/1537927871</v>
      </c>
      <c r="AQ1504" s="81" t="b">
        <v>1</v>
      </c>
      <c r="AR1504" s="81" t="b">
        <v>0</v>
      </c>
      <c r="AS1504" s="81" t="b">
        <v>0</v>
      </c>
      <c r="AT1504" s="81"/>
      <c r="AU1504" s="81">
        <v>4</v>
      </c>
      <c r="AV1504" s="81"/>
      <c r="AW1504" s="81" t="b">
        <v>0</v>
      </c>
      <c r="AX1504" s="81" t="s">
        <v>3728</v>
      </c>
      <c r="AY1504" s="84" t="str">
        <f>HYPERLINK("https://twitter.com/igot7mytrades")</f>
        <v>https://twitter.com/igot7mytrades</v>
      </c>
      <c r="AZ1504" s="81" t="s">
        <v>66</v>
      </c>
    </row>
    <row r="1505" spans="1:52" x14ac:dyDescent="0.35">
      <c r="A1505" s="66" t="s">
        <v>590</v>
      </c>
      <c r="B1505" s="67"/>
      <c r="C1505" s="67"/>
      <c r="D1505" s="68"/>
      <c r="E1505" s="94"/>
      <c r="F1505" s="93" t="str">
        <f>HYPERLINK("https://pbs.twimg.com/profile_images/850250585102209024/JinIFasJ_normal.jpg")</f>
        <v>https://pbs.twimg.com/profile_images/850250585102209024/JinIFasJ_normal.jpg</v>
      </c>
      <c r="G1505" s="95"/>
      <c r="H1505" s="71"/>
      <c r="I1505" s="72"/>
      <c r="J1505" s="96"/>
      <c r="K1505" s="71" t="s">
        <v>12487</v>
      </c>
      <c r="L1505" s="97"/>
      <c r="M1505" s="76"/>
      <c r="N1505" s="76"/>
      <c r="O1505" s="77"/>
      <c r="P1505" s="78"/>
      <c r="Q1505" s="78"/>
      <c r="R1505" s="92"/>
      <c r="S1505" s="92"/>
      <c r="T1505" s="92"/>
      <c r="U1505" s="92"/>
      <c r="V1505" s="52"/>
      <c r="W1505" s="52"/>
      <c r="X1505" s="52"/>
      <c r="Y1505" s="52"/>
      <c r="Z1505" s="51"/>
      <c r="AA1505" s="73"/>
      <c r="AB1505" s="73"/>
      <c r="AC1505" s="74"/>
      <c r="AD1505" s="81" t="s">
        <v>2672</v>
      </c>
      <c r="AE1505" s="86" t="s">
        <v>3070</v>
      </c>
      <c r="AF1505" s="81">
        <v>8322</v>
      </c>
      <c r="AG1505" s="81">
        <v>9862</v>
      </c>
      <c r="AH1505" s="81">
        <v>70061</v>
      </c>
      <c r="AI1505" s="81">
        <v>0</v>
      </c>
      <c r="AJ1505" s="81"/>
      <c r="AK1505" s="81" t="s">
        <v>3496</v>
      </c>
      <c r="AL1505" s="81" t="s">
        <v>3569</v>
      </c>
      <c r="AM1505" s="84" t="str">
        <f>HYPERLINK("https://t.co/7YhgqZtV7z")</f>
        <v>https://t.co/7YhgqZtV7z</v>
      </c>
      <c r="AN1505" s="81"/>
      <c r="AO1505" s="83">
        <v>41614.646608796298</v>
      </c>
      <c r="AP1505" s="84" t="str">
        <f>HYPERLINK("https://pbs.twimg.com/profile_banners/2233154352/1491550498")</f>
        <v>https://pbs.twimg.com/profile_banners/2233154352/1491550498</v>
      </c>
      <c r="AQ1505" s="81" t="b">
        <v>0</v>
      </c>
      <c r="AR1505" s="81" t="b">
        <v>0</v>
      </c>
      <c r="AS1505" s="81" t="b">
        <v>0</v>
      </c>
      <c r="AT1505" s="81"/>
      <c r="AU1505" s="81">
        <v>7</v>
      </c>
      <c r="AV1505" s="84" t="str">
        <f>HYPERLINK("https://abs.twimg.com/images/themes/theme1/bg.png")</f>
        <v>https://abs.twimg.com/images/themes/theme1/bg.png</v>
      </c>
      <c r="AW1505" s="81" t="b">
        <v>0</v>
      </c>
      <c r="AX1505" s="81" t="s">
        <v>3728</v>
      </c>
      <c r="AY1505" s="84" t="str">
        <f>HYPERLINK("https://twitter.com/tinggibdnalami")</f>
        <v>https://twitter.com/tinggibdnalami</v>
      </c>
      <c r="AZ1505" s="81" t="s">
        <v>66</v>
      </c>
    </row>
    <row r="1506" spans="1:52" x14ac:dyDescent="0.35">
      <c r="A1506" s="66" t="s">
        <v>4969</v>
      </c>
      <c r="B1506" s="67"/>
      <c r="C1506" s="67"/>
      <c r="D1506" s="68"/>
      <c r="E1506" s="94"/>
      <c r="F1506" s="93" t="str">
        <f>HYPERLINK("https://pbs.twimg.com/profile_images/1417537028720234501/kRlcFr_S_normal.jpg")</f>
        <v>https://pbs.twimg.com/profile_images/1417537028720234501/kRlcFr_S_normal.jpg</v>
      </c>
      <c r="G1506" s="95"/>
      <c r="H1506" s="71"/>
      <c r="I1506" s="72"/>
      <c r="J1506" s="96"/>
      <c r="K1506" s="71" t="s">
        <v>12488</v>
      </c>
      <c r="L1506" s="97"/>
      <c r="M1506" s="76"/>
      <c r="N1506" s="76"/>
      <c r="O1506" s="77"/>
      <c r="P1506" s="78"/>
      <c r="Q1506" s="78"/>
      <c r="R1506" s="92"/>
      <c r="S1506" s="92"/>
      <c r="T1506" s="92"/>
      <c r="U1506" s="92"/>
      <c r="V1506" s="52"/>
      <c r="W1506" s="52"/>
      <c r="X1506" s="52"/>
      <c r="Y1506" s="52"/>
      <c r="Z1506" s="51"/>
      <c r="AA1506" s="73"/>
      <c r="AB1506" s="73"/>
      <c r="AC1506" s="74"/>
      <c r="AD1506" s="81" t="s">
        <v>9101</v>
      </c>
      <c r="AE1506" s="86" t="s">
        <v>10043</v>
      </c>
      <c r="AF1506" s="81">
        <v>18</v>
      </c>
      <c r="AG1506" s="81">
        <v>101</v>
      </c>
      <c r="AH1506" s="81">
        <v>2766</v>
      </c>
      <c r="AI1506" s="81">
        <v>6</v>
      </c>
      <c r="AJ1506" s="81"/>
      <c r="AK1506" s="81" t="s">
        <v>10961</v>
      </c>
      <c r="AL1506" s="81"/>
      <c r="AM1506" s="81"/>
      <c r="AN1506" s="81"/>
      <c r="AO1506" s="83">
        <v>44397.724062499998</v>
      </c>
      <c r="AP1506" s="84" t="str">
        <f>HYPERLINK("https://pbs.twimg.com/profile_banners/1417535380425900035/1626802130")</f>
        <v>https://pbs.twimg.com/profile_banners/1417535380425900035/1626802130</v>
      </c>
      <c r="AQ1506" s="81" t="b">
        <v>1</v>
      </c>
      <c r="AR1506" s="81" t="b">
        <v>0</v>
      </c>
      <c r="AS1506" s="81" t="b">
        <v>0</v>
      </c>
      <c r="AT1506" s="81"/>
      <c r="AU1506" s="81">
        <v>0</v>
      </c>
      <c r="AV1506" s="81"/>
      <c r="AW1506" s="81" t="b">
        <v>0</v>
      </c>
      <c r="AX1506" s="81" t="s">
        <v>3728</v>
      </c>
      <c r="AY1506" s="84" t="str">
        <f>HYPERLINK("https://twitter.com/nctmytrade")</f>
        <v>https://twitter.com/nctmytrade</v>
      </c>
      <c r="AZ1506" s="81" t="s">
        <v>66</v>
      </c>
    </row>
    <row r="1507" spans="1:52" x14ac:dyDescent="0.35">
      <c r="A1507" s="66" t="s">
        <v>4970</v>
      </c>
      <c r="B1507" s="67"/>
      <c r="C1507" s="67"/>
      <c r="D1507" s="68"/>
      <c r="E1507" s="94"/>
      <c r="F1507" s="93" t="str">
        <f>HYPERLINK("https://pbs.twimg.com/profile_images/1442901631247339521/786fke33_normal.jpg")</f>
        <v>https://pbs.twimg.com/profile_images/1442901631247339521/786fke33_normal.jpg</v>
      </c>
      <c r="G1507" s="95"/>
      <c r="H1507" s="71"/>
      <c r="I1507" s="72"/>
      <c r="J1507" s="96"/>
      <c r="K1507" s="71" t="s">
        <v>12489</v>
      </c>
      <c r="L1507" s="97"/>
      <c r="M1507" s="76"/>
      <c r="N1507" s="76"/>
      <c r="O1507" s="77"/>
      <c r="P1507" s="78"/>
      <c r="Q1507" s="78"/>
      <c r="R1507" s="92"/>
      <c r="S1507" s="92"/>
      <c r="T1507" s="92"/>
      <c r="U1507" s="92"/>
      <c r="V1507" s="52"/>
      <c r="W1507" s="52"/>
      <c r="X1507" s="52"/>
      <c r="Y1507" s="52"/>
      <c r="Z1507" s="51"/>
      <c r="AA1507" s="73"/>
      <c r="AB1507" s="73"/>
      <c r="AC1507" s="74"/>
      <c r="AD1507" s="81" t="s">
        <v>9102</v>
      </c>
      <c r="AE1507" s="86" t="s">
        <v>10044</v>
      </c>
      <c r="AF1507" s="81">
        <v>266</v>
      </c>
      <c r="AG1507" s="81">
        <v>561</v>
      </c>
      <c r="AH1507" s="81">
        <v>51418</v>
      </c>
      <c r="AI1507" s="81">
        <v>31775</v>
      </c>
      <c r="AJ1507" s="81"/>
      <c r="AK1507" s="81" t="s">
        <v>10962</v>
      </c>
      <c r="AL1507" s="81" t="s">
        <v>11387</v>
      </c>
      <c r="AM1507" s="84" t="str">
        <f>HYPERLINK("https://t.co/ATpbR6rcBT")</f>
        <v>https://t.co/ATpbR6rcBT</v>
      </c>
      <c r="AN1507" s="81"/>
      <c r="AO1507" s="83">
        <v>43198.276319444441</v>
      </c>
      <c r="AP1507" s="84" t="str">
        <f>HYPERLINK("https://pbs.twimg.com/profile_banners/982870131054227457/1632849532")</f>
        <v>https://pbs.twimg.com/profile_banners/982870131054227457/1632849532</v>
      </c>
      <c r="AQ1507" s="81" t="b">
        <v>1</v>
      </c>
      <c r="AR1507" s="81" t="b">
        <v>0</v>
      </c>
      <c r="AS1507" s="81" t="b">
        <v>1</v>
      </c>
      <c r="AT1507" s="81"/>
      <c r="AU1507" s="81">
        <v>8</v>
      </c>
      <c r="AV1507" s="81"/>
      <c r="AW1507" s="81" t="b">
        <v>0</v>
      </c>
      <c r="AX1507" s="81" t="s">
        <v>3728</v>
      </c>
      <c r="AY1507" s="84" t="str">
        <f>HYPERLINK("https://twitter.com/levanterjimin")</f>
        <v>https://twitter.com/levanterjimin</v>
      </c>
      <c r="AZ1507" s="81" t="s">
        <v>66</v>
      </c>
    </row>
    <row r="1508" spans="1:52" x14ac:dyDescent="0.35">
      <c r="A1508" s="66" t="s">
        <v>4971</v>
      </c>
      <c r="B1508" s="67"/>
      <c r="C1508" s="67"/>
      <c r="D1508" s="68"/>
      <c r="E1508" s="94"/>
      <c r="F1508" s="93" t="str">
        <f>HYPERLINK("https://pbs.twimg.com/profile_images/1238029886066851841/eqxRguVj_normal.jpg")</f>
        <v>https://pbs.twimg.com/profile_images/1238029886066851841/eqxRguVj_normal.jpg</v>
      </c>
      <c r="G1508" s="95"/>
      <c r="H1508" s="71"/>
      <c r="I1508" s="72"/>
      <c r="J1508" s="96"/>
      <c r="K1508" s="71" t="s">
        <v>12490</v>
      </c>
      <c r="L1508" s="97"/>
      <c r="M1508" s="76"/>
      <c r="N1508" s="76"/>
      <c r="O1508" s="77"/>
      <c r="P1508" s="78"/>
      <c r="Q1508" s="78"/>
      <c r="R1508" s="92"/>
      <c r="S1508" s="92"/>
      <c r="T1508" s="92"/>
      <c r="U1508" s="92"/>
      <c r="V1508" s="52"/>
      <c r="W1508" s="52"/>
      <c r="X1508" s="52"/>
      <c r="Y1508" s="52"/>
      <c r="Z1508" s="51"/>
      <c r="AA1508" s="73"/>
      <c r="AB1508" s="73"/>
      <c r="AC1508" s="74"/>
      <c r="AD1508" s="81" t="s">
        <v>9103</v>
      </c>
      <c r="AE1508" s="86" t="s">
        <v>10045</v>
      </c>
      <c r="AF1508" s="81">
        <v>140</v>
      </c>
      <c r="AG1508" s="81">
        <v>108338</v>
      </c>
      <c r="AH1508" s="81">
        <v>38121</v>
      </c>
      <c r="AI1508" s="81">
        <v>190</v>
      </c>
      <c r="AJ1508" s="81"/>
      <c r="AK1508" s="81" t="s">
        <v>10963</v>
      </c>
      <c r="AL1508" s="81"/>
      <c r="AM1508" s="84" t="str">
        <f>HYPERLINK("https://t.co/J9wwe5g2UP")</f>
        <v>https://t.co/J9wwe5g2UP</v>
      </c>
      <c r="AN1508" s="81"/>
      <c r="AO1508" s="83">
        <v>42935.777071759258</v>
      </c>
      <c r="AP1508" s="84" t="str">
        <f>HYPERLINK("https://pbs.twimg.com/profile_banners/887743587579944960/1614764747")</f>
        <v>https://pbs.twimg.com/profile_banners/887743587579944960/1614764747</v>
      </c>
      <c r="AQ1508" s="81" t="b">
        <v>0</v>
      </c>
      <c r="AR1508" s="81" t="b">
        <v>0</v>
      </c>
      <c r="AS1508" s="81" t="b">
        <v>0</v>
      </c>
      <c r="AT1508" s="81"/>
      <c r="AU1508" s="81">
        <v>52</v>
      </c>
      <c r="AV1508" s="84" t="str">
        <f>HYPERLINK("https://abs.twimg.com/images/themes/theme1/bg.png")</f>
        <v>https://abs.twimg.com/images/themes/theme1/bg.png</v>
      </c>
      <c r="AW1508" s="81" t="b">
        <v>0</v>
      </c>
      <c r="AX1508" s="81" t="s">
        <v>3728</v>
      </c>
      <c r="AY1508" s="84" t="str">
        <f>HYPERLINK("https://twitter.com/oposisicerdas")</f>
        <v>https://twitter.com/oposisicerdas</v>
      </c>
      <c r="AZ1508" s="81" t="s">
        <v>66</v>
      </c>
    </row>
    <row r="1509" spans="1:52" x14ac:dyDescent="0.35">
      <c r="A1509" s="66" t="s">
        <v>4972</v>
      </c>
      <c r="B1509" s="67"/>
      <c r="C1509" s="67"/>
      <c r="D1509" s="68"/>
      <c r="E1509" s="94"/>
      <c r="F1509" s="93" t="str">
        <f>HYPERLINK("https://pbs.twimg.com/profile_images/1392184767475445766/4c2pyFrq_normal.jpg")</f>
        <v>https://pbs.twimg.com/profile_images/1392184767475445766/4c2pyFrq_normal.jpg</v>
      </c>
      <c r="G1509" s="95"/>
      <c r="H1509" s="71"/>
      <c r="I1509" s="72"/>
      <c r="J1509" s="96"/>
      <c r="K1509" s="71" t="s">
        <v>12491</v>
      </c>
      <c r="L1509" s="97"/>
      <c r="M1509" s="76"/>
      <c r="N1509" s="76"/>
      <c r="O1509" s="77"/>
      <c r="P1509" s="78"/>
      <c r="Q1509" s="78"/>
      <c r="R1509" s="92"/>
      <c r="S1509" s="92"/>
      <c r="T1509" s="92"/>
      <c r="U1509" s="92"/>
      <c r="V1509" s="52"/>
      <c r="W1509" s="52"/>
      <c r="X1509" s="52"/>
      <c r="Y1509" s="52"/>
      <c r="Z1509" s="51"/>
      <c r="AA1509" s="73"/>
      <c r="AB1509" s="73"/>
      <c r="AC1509" s="74"/>
      <c r="AD1509" s="81" t="s">
        <v>9104</v>
      </c>
      <c r="AE1509" s="86" t="s">
        <v>10046</v>
      </c>
      <c r="AF1509" s="81">
        <v>869</v>
      </c>
      <c r="AG1509" s="81">
        <v>501</v>
      </c>
      <c r="AH1509" s="81">
        <v>24918</v>
      </c>
      <c r="AI1509" s="81">
        <v>18999</v>
      </c>
      <c r="AJ1509" s="81"/>
      <c r="AK1509" s="81" t="s">
        <v>10964</v>
      </c>
      <c r="AL1509" s="81" t="s">
        <v>11388</v>
      </c>
      <c r="AM1509" s="81"/>
      <c r="AN1509" s="81"/>
      <c r="AO1509" s="83">
        <v>42074.933032407411</v>
      </c>
      <c r="AP1509" s="81"/>
      <c r="AQ1509" s="81" t="b">
        <v>1</v>
      </c>
      <c r="AR1509" s="81" t="b">
        <v>0</v>
      </c>
      <c r="AS1509" s="81" t="b">
        <v>0</v>
      </c>
      <c r="AT1509" s="81"/>
      <c r="AU1509" s="81">
        <v>0</v>
      </c>
      <c r="AV1509" s="84" t="str">
        <f>HYPERLINK("https://abs.twimg.com/images/themes/theme1/bg.png")</f>
        <v>https://abs.twimg.com/images/themes/theme1/bg.png</v>
      </c>
      <c r="AW1509" s="81" t="b">
        <v>0</v>
      </c>
      <c r="AX1509" s="81" t="s">
        <v>3728</v>
      </c>
      <c r="AY1509" s="84" t="str">
        <f>HYPERLINK("https://twitter.com/inlandertengik")</f>
        <v>https://twitter.com/inlandertengik</v>
      </c>
      <c r="AZ1509" s="81" t="s">
        <v>66</v>
      </c>
    </row>
    <row r="1510" spans="1:52" x14ac:dyDescent="0.35">
      <c r="A1510" s="66" t="s">
        <v>4973</v>
      </c>
      <c r="B1510" s="67"/>
      <c r="C1510" s="67"/>
      <c r="D1510" s="68"/>
      <c r="E1510" s="94"/>
      <c r="F1510" s="93" t="str">
        <f>HYPERLINK("https://pbs.twimg.com/profile_images/1219031004444340224/lbTBV36e_normal.jpg")</f>
        <v>https://pbs.twimg.com/profile_images/1219031004444340224/lbTBV36e_normal.jpg</v>
      </c>
      <c r="G1510" s="95"/>
      <c r="H1510" s="71"/>
      <c r="I1510" s="72"/>
      <c r="J1510" s="96"/>
      <c r="K1510" s="71" t="s">
        <v>12492</v>
      </c>
      <c r="L1510" s="97"/>
      <c r="M1510" s="76"/>
      <c r="N1510" s="76"/>
      <c r="O1510" s="77"/>
      <c r="P1510" s="78"/>
      <c r="Q1510" s="78"/>
      <c r="R1510" s="92"/>
      <c r="S1510" s="92"/>
      <c r="T1510" s="92"/>
      <c r="U1510" s="92"/>
      <c r="V1510" s="52"/>
      <c r="W1510" s="52"/>
      <c r="X1510" s="52"/>
      <c r="Y1510" s="52"/>
      <c r="Z1510" s="51"/>
      <c r="AA1510" s="73"/>
      <c r="AB1510" s="73"/>
      <c r="AC1510" s="74"/>
      <c r="AD1510" s="81" t="s">
        <v>9105</v>
      </c>
      <c r="AE1510" s="86" t="s">
        <v>10047</v>
      </c>
      <c r="AF1510" s="81">
        <v>118</v>
      </c>
      <c r="AG1510" s="81">
        <v>107</v>
      </c>
      <c r="AH1510" s="81">
        <v>4496</v>
      </c>
      <c r="AI1510" s="81">
        <v>735</v>
      </c>
      <c r="AJ1510" s="81"/>
      <c r="AK1510" s="81" t="s">
        <v>10965</v>
      </c>
      <c r="AL1510" s="81" t="s">
        <v>11389</v>
      </c>
      <c r="AM1510" s="81"/>
      <c r="AN1510" s="81"/>
      <c r="AO1510" s="83">
        <v>40562.258645833332</v>
      </c>
      <c r="AP1510" s="84" t="str">
        <f>HYPERLINK("https://pbs.twimg.com/profile_banners/240125098/1540494878")</f>
        <v>https://pbs.twimg.com/profile_banners/240125098/1540494878</v>
      </c>
      <c r="AQ1510" s="81" t="b">
        <v>0</v>
      </c>
      <c r="AR1510" s="81" t="b">
        <v>0</v>
      </c>
      <c r="AS1510" s="81" t="b">
        <v>0</v>
      </c>
      <c r="AT1510" s="81"/>
      <c r="AU1510" s="81">
        <v>0</v>
      </c>
      <c r="AV1510" s="84" t="str">
        <f>HYPERLINK("https://abs.twimg.com/images/themes/theme19/bg.gif")</f>
        <v>https://abs.twimg.com/images/themes/theme19/bg.gif</v>
      </c>
      <c r="AW1510" s="81" t="b">
        <v>0</v>
      </c>
      <c r="AX1510" s="81" t="s">
        <v>3728</v>
      </c>
      <c r="AY1510" s="84" t="str">
        <f>HYPERLINK("https://twitter.com/didsanttos")</f>
        <v>https://twitter.com/didsanttos</v>
      </c>
      <c r="AZ1510" s="81" t="s">
        <v>66</v>
      </c>
    </row>
    <row r="1511" spans="1:52" x14ac:dyDescent="0.35">
      <c r="A1511" s="66" t="s">
        <v>4974</v>
      </c>
      <c r="B1511" s="67"/>
      <c r="C1511" s="67"/>
      <c r="D1511" s="68"/>
      <c r="E1511" s="94"/>
      <c r="F1511" s="93" t="str">
        <f>HYPERLINK("https://pbs.twimg.com/profile_images/1432526940640997376/qfwE2b96_normal.jpg")</f>
        <v>https://pbs.twimg.com/profile_images/1432526940640997376/qfwE2b96_normal.jpg</v>
      </c>
      <c r="G1511" s="95"/>
      <c r="H1511" s="71"/>
      <c r="I1511" s="72"/>
      <c r="J1511" s="96"/>
      <c r="K1511" s="71" t="s">
        <v>12493</v>
      </c>
      <c r="L1511" s="97"/>
      <c r="M1511" s="76"/>
      <c r="N1511" s="76"/>
      <c r="O1511" s="77"/>
      <c r="P1511" s="78"/>
      <c r="Q1511" s="78"/>
      <c r="R1511" s="92"/>
      <c r="S1511" s="92"/>
      <c r="T1511" s="92"/>
      <c r="U1511" s="92"/>
      <c r="V1511" s="52"/>
      <c r="W1511" s="52"/>
      <c r="X1511" s="52"/>
      <c r="Y1511" s="52"/>
      <c r="Z1511" s="51"/>
      <c r="AA1511" s="73"/>
      <c r="AB1511" s="73"/>
      <c r="AC1511" s="74"/>
      <c r="AD1511" s="81" t="s">
        <v>9106</v>
      </c>
      <c r="AE1511" s="86" t="s">
        <v>10048</v>
      </c>
      <c r="AF1511" s="81">
        <v>209</v>
      </c>
      <c r="AG1511" s="81">
        <v>686</v>
      </c>
      <c r="AH1511" s="81">
        <v>105906</v>
      </c>
      <c r="AI1511" s="81">
        <v>3301</v>
      </c>
      <c r="AJ1511" s="81"/>
      <c r="AK1511" s="81" t="s">
        <v>10966</v>
      </c>
      <c r="AL1511" s="81"/>
      <c r="AM1511" s="81"/>
      <c r="AN1511" s="81"/>
      <c r="AO1511" s="83">
        <v>42026.598090277781</v>
      </c>
      <c r="AP1511" s="84" t="str">
        <f>HYPERLINK("https://pbs.twimg.com/profile_banners/2992196176/1611204844")</f>
        <v>https://pbs.twimg.com/profile_banners/2992196176/1611204844</v>
      </c>
      <c r="AQ1511" s="81" t="b">
        <v>0</v>
      </c>
      <c r="AR1511" s="81" t="b">
        <v>0</v>
      </c>
      <c r="AS1511" s="81" t="b">
        <v>1</v>
      </c>
      <c r="AT1511" s="81"/>
      <c r="AU1511" s="81">
        <v>3</v>
      </c>
      <c r="AV1511" s="84" t="str">
        <f>HYPERLINK("https://abs.twimg.com/images/themes/theme1/bg.png")</f>
        <v>https://abs.twimg.com/images/themes/theme1/bg.png</v>
      </c>
      <c r="AW1511" s="81" t="b">
        <v>0</v>
      </c>
      <c r="AX1511" s="81" t="s">
        <v>3728</v>
      </c>
      <c r="AY1511" s="84" t="str">
        <f>HYPERLINK("https://twitter.com/aish4hismail")</f>
        <v>https://twitter.com/aish4hismail</v>
      </c>
      <c r="AZ1511" s="81" t="s">
        <v>66</v>
      </c>
    </row>
    <row r="1512" spans="1:52" x14ac:dyDescent="0.35">
      <c r="A1512" s="66" t="s">
        <v>4975</v>
      </c>
      <c r="B1512" s="67"/>
      <c r="C1512" s="67"/>
      <c r="D1512" s="68"/>
      <c r="E1512" s="94"/>
      <c r="F1512" s="93" t="str">
        <f>HYPERLINK("https://pbs.twimg.com/profile_images/1364488262237097984/45vtD88X_normal.jpg")</f>
        <v>https://pbs.twimg.com/profile_images/1364488262237097984/45vtD88X_normal.jpg</v>
      </c>
      <c r="G1512" s="95"/>
      <c r="H1512" s="71"/>
      <c r="I1512" s="72"/>
      <c r="J1512" s="96"/>
      <c r="K1512" s="71" t="s">
        <v>12494</v>
      </c>
      <c r="L1512" s="97"/>
      <c r="M1512" s="76"/>
      <c r="N1512" s="76"/>
      <c r="O1512" s="77"/>
      <c r="P1512" s="78"/>
      <c r="Q1512" s="78"/>
      <c r="R1512" s="92"/>
      <c r="S1512" s="92"/>
      <c r="T1512" s="92"/>
      <c r="U1512" s="92"/>
      <c r="V1512" s="52"/>
      <c r="W1512" s="52"/>
      <c r="X1512" s="52"/>
      <c r="Y1512" s="52"/>
      <c r="Z1512" s="51"/>
      <c r="AA1512" s="73"/>
      <c r="AB1512" s="73"/>
      <c r="AC1512" s="74"/>
      <c r="AD1512" s="81" t="s">
        <v>9107</v>
      </c>
      <c r="AE1512" s="86" t="s">
        <v>10049</v>
      </c>
      <c r="AF1512" s="81">
        <v>54</v>
      </c>
      <c r="AG1512" s="81">
        <v>90</v>
      </c>
      <c r="AH1512" s="81">
        <v>296</v>
      </c>
      <c r="AI1512" s="81">
        <v>9</v>
      </c>
      <c r="AJ1512" s="81"/>
      <c r="AK1512" s="81" t="s">
        <v>10967</v>
      </c>
      <c r="AL1512" s="81"/>
      <c r="AM1512" s="81"/>
      <c r="AN1512" s="81"/>
      <c r="AO1512" s="83">
        <v>44251.340497685182</v>
      </c>
      <c r="AP1512" s="84" t="str">
        <f>HYPERLINK("https://pbs.twimg.com/profile_banners/1364487715832520705/1614764345")</f>
        <v>https://pbs.twimg.com/profile_banners/1364487715832520705/1614764345</v>
      </c>
      <c r="AQ1512" s="81" t="b">
        <v>1</v>
      </c>
      <c r="AR1512" s="81" t="b">
        <v>0</v>
      </c>
      <c r="AS1512" s="81" t="b">
        <v>0</v>
      </c>
      <c r="AT1512" s="81"/>
      <c r="AU1512" s="81">
        <v>0</v>
      </c>
      <c r="AV1512" s="81"/>
      <c r="AW1512" s="81" t="b">
        <v>0</v>
      </c>
      <c r="AX1512" s="81" t="s">
        <v>3728</v>
      </c>
      <c r="AY1512" s="84" t="str">
        <f>HYPERLINK("https://twitter.com/mygot7market")</f>
        <v>https://twitter.com/mygot7market</v>
      </c>
      <c r="AZ1512" s="81" t="s">
        <v>66</v>
      </c>
    </row>
    <row r="1513" spans="1:52" x14ac:dyDescent="0.35">
      <c r="A1513" s="66" t="s">
        <v>4976</v>
      </c>
      <c r="B1513" s="67"/>
      <c r="C1513" s="67"/>
      <c r="D1513" s="68"/>
      <c r="E1513" s="94"/>
      <c r="F1513" s="93" t="str">
        <f>HYPERLINK("https://pbs.twimg.com/profile_images/1441445309435891726/nhEIMXZI_normal.jpg")</f>
        <v>https://pbs.twimg.com/profile_images/1441445309435891726/nhEIMXZI_normal.jpg</v>
      </c>
      <c r="G1513" s="95"/>
      <c r="H1513" s="71"/>
      <c r="I1513" s="72"/>
      <c r="J1513" s="96"/>
      <c r="K1513" s="71" t="s">
        <v>12495</v>
      </c>
      <c r="L1513" s="97"/>
      <c r="M1513" s="76"/>
      <c r="N1513" s="76"/>
      <c r="O1513" s="77"/>
      <c r="P1513" s="78"/>
      <c r="Q1513" s="78"/>
      <c r="R1513" s="92"/>
      <c r="S1513" s="92"/>
      <c r="T1513" s="92"/>
      <c r="U1513" s="92"/>
      <c r="V1513" s="52"/>
      <c r="W1513" s="52"/>
      <c r="X1513" s="52"/>
      <c r="Y1513" s="52"/>
      <c r="Z1513" s="51"/>
      <c r="AA1513" s="73"/>
      <c r="AB1513" s="73"/>
      <c r="AC1513" s="74"/>
      <c r="AD1513" s="81" t="s">
        <v>9108</v>
      </c>
      <c r="AE1513" s="86" t="s">
        <v>10050</v>
      </c>
      <c r="AF1513" s="81">
        <v>706</v>
      </c>
      <c r="AG1513" s="81">
        <v>812</v>
      </c>
      <c r="AH1513" s="81">
        <v>63228</v>
      </c>
      <c r="AI1513" s="81">
        <v>65314</v>
      </c>
      <c r="AJ1513" s="81"/>
      <c r="AK1513" s="81" t="s">
        <v>10968</v>
      </c>
      <c r="AL1513" s="81"/>
      <c r="AM1513" s="84" t="str">
        <f>HYPERLINK("https://t.co/aRrnrqp8RF")</f>
        <v>https://t.co/aRrnrqp8RF</v>
      </c>
      <c r="AN1513" s="81"/>
      <c r="AO1513" s="83">
        <v>42460.062349537038</v>
      </c>
      <c r="AP1513" s="84" t="str">
        <f>HYPERLINK("https://pbs.twimg.com/profile_banners/715350344385990658/1632502038")</f>
        <v>https://pbs.twimg.com/profile_banners/715350344385990658/1632502038</v>
      </c>
      <c r="AQ1513" s="81" t="b">
        <v>0</v>
      </c>
      <c r="AR1513" s="81" t="b">
        <v>0</v>
      </c>
      <c r="AS1513" s="81" t="b">
        <v>1</v>
      </c>
      <c r="AT1513" s="81"/>
      <c r="AU1513" s="81">
        <v>2</v>
      </c>
      <c r="AV1513" s="84" t="str">
        <f>HYPERLINK("https://abs.twimg.com/images/themes/theme1/bg.png")</f>
        <v>https://abs.twimg.com/images/themes/theme1/bg.png</v>
      </c>
      <c r="AW1513" s="81" t="b">
        <v>0</v>
      </c>
      <c r="AX1513" s="81" t="s">
        <v>3728</v>
      </c>
      <c r="AY1513" s="84" t="str">
        <f>HYPERLINK("https://twitter.com/zanifaysron")</f>
        <v>https://twitter.com/zanifaysron</v>
      </c>
      <c r="AZ1513" s="81" t="s">
        <v>66</v>
      </c>
    </row>
    <row r="1514" spans="1:52" x14ac:dyDescent="0.35">
      <c r="A1514" s="66" t="s">
        <v>12504</v>
      </c>
      <c r="B1514" s="67"/>
      <c r="C1514" s="67"/>
      <c r="D1514" s="68"/>
      <c r="E1514" s="94"/>
      <c r="F1514" s="93" t="str">
        <f>HYPERLINK("https://pbs.twimg.com/profile_images/1265589807314395136/78lBrRv7_normal.jpg")</f>
        <v>https://pbs.twimg.com/profile_images/1265589807314395136/78lBrRv7_normal.jpg</v>
      </c>
      <c r="G1514" s="95"/>
      <c r="H1514" s="71"/>
      <c r="I1514" s="72"/>
      <c r="J1514" s="96"/>
      <c r="K1514" s="71" t="s">
        <v>14284</v>
      </c>
      <c r="L1514" s="97"/>
      <c r="M1514" s="76"/>
      <c r="N1514" s="76"/>
      <c r="O1514" s="77"/>
      <c r="P1514" s="78"/>
      <c r="Q1514" s="78"/>
      <c r="R1514" s="92"/>
      <c r="S1514" s="92"/>
      <c r="T1514" s="92"/>
      <c r="U1514" s="92"/>
      <c r="V1514" s="52"/>
      <c r="W1514" s="52"/>
      <c r="X1514" s="52"/>
      <c r="Y1514" s="52"/>
      <c r="Z1514" s="51"/>
      <c r="AA1514" s="73"/>
      <c r="AB1514" s="73"/>
      <c r="AC1514" s="74"/>
      <c r="AD1514" s="81" t="s">
        <v>13497</v>
      </c>
      <c r="AE1514" s="86" t="s">
        <v>13401</v>
      </c>
      <c r="AF1514" s="81">
        <v>244</v>
      </c>
      <c r="AG1514" s="81">
        <v>43429</v>
      </c>
      <c r="AH1514" s="81">
        <v>308250</v>
      </c>
      <c r="AI1514" s="81">
        <v>5550</v>
      </c>
      <c r="AJ1514" s="81"/>
      <c r="AK1514" s="81" t="s">
        <v>13960</v>
      </c>
      <c r="AL1514" s="81" t="s">
        <v>3503</v>
      </c>
      <c r="AM1514" s="84" t="str">
        <f>HYPERLINK("https://t.co/1ghK4JKuhw")</f>
        <v>https://t.co/1ghK4JKuhw</v>
      </c>
      <c r="AN1514" s="81"/>
      <c r="AO1514" s="83">
        <v>40126.197152777779</v>
      </c>
      <c r="AP1514" s="84" t="str">
        <f>HYPERLINK("https://pbs.twimg.com/profile_banners/88593647/1628828449")</f>
        <v>https://pbs.twimg.com/profile_banners/88593647/1628828449</v>
      </c>
      <c r="AQ1514" s="81" t="b">
        <v>0</v>
      </c>
      <c r="AR1514" s="81" t="b">
        <v>0</v>
      </c>
      <c r="AS1514" s="81" t="b">
        <v>1</v>
      </c>
      <c r="AT1514" s="81"/>
      <c r="AU1514" s="81">
        <v>232</v>
      </c>
      <c r="AV1514" s="84" t="str">
        <f>HYPERLINK("https://abs.twimg.com/images/themes/theme1/bg.png")</f>
        <v>https://abs.twimg.com/images/themes/theme1/bg.png</v>
      </c>
      <c r="AW1514" s="81" t="b">
        <v>0</v>
      </c>
      <c r="AX1514" s="81" t="s">
        <v>3728</v>
      </c>
      <c r="AY1514" s="84" t="str">
        <f>HYPERLINK("https://twitter.com/mnctrijaya")</f>
        <v>https://twitter.com/mnctrijaya</v>
      </c>
      <c r="AZ1514" s="81" t="s">
        <v>66</v>
      </c>
    </row>
    <row r="1515" spans="1:52" x14ac:dyDescent="0.35">
      <c r="A1515" s="66" t="s">
        <v>514</v>
      </c>
      <c r="B1515" s="67"/>
      <c r="C1515" s="67"/>
      <c r="D1515" s="68"/>
      <c r="E1515" s="94"/>
      <c r="F1515" s="93" t="str">
        <f>HYPERLINK("https://pbs.twimg.com/profile_images/2782990993/1abe32e69d1f3fc95ec1a4521787e400_normal.jpeg")</f>
        <v>https://pbs.twimg.com/profile_images/2782990993/1abe32e69d1f3fc95ec1a4521787e400_normal.jpeg</v>
      </c>
      <c r="G1515" s="95"/>
      <c r="H1515" s="71"/>
      <c r="I1515" s="72"/>
      <c r="J1515" s="96"/>
      <c r="K1515" s="71" t="s">
        <v>14285</v>
      </c>
      <c r="L1515" s="97"/>
      <c r="M1515" s="76"/>
      <c r="N1515" s="76"/>
      <c r="O1515" s="77"/>
      <c r="P1515" s="78"/>
      <c r="Q1515" s="78"/>
      <c r="R1515" s="92"/>
      <c r="S1515" s="92"/>
      <c r="T1515" s="92"/>
      <c r="U1515" s="92"/>
      <c r="V1515" s="52"/>
      <c r="W1515" s="52"/>
      <c r="X1515" s="52"/>
      <c r="Y1515" s="52"/>
      <c r="Z1515" s="51"/>
      <c r="AA1515" s="73"/>
      <c r="AB1515" s="73"/>
      <c r="AC1515" s="74"/>
      <c r="AD1515" s="81" t="s">
        <v>2598</v>
      </c>
      <c r="AE1515" s="86" t="s">
        <v>3003</v>
      </c>
      <c r="AF1515" s="81">
        <v>56</v>
      </c>
      <c r="AG1515" s="81">
        <v>140</v>
      </c>
      <c r="AH1515" s="81">
        <v>2459</v>
      </c>
      <c r="AI1515" s="81">
        <v>21</v>
      </c>
      <c r="AJ1515" s="81"/>
      <c r="AK1515" s="81" t="s">
        <v>3424</v>
      </c>
      <c r="AL1515" s="81" t="s">
        <v>2239</v>
      </c>
      <c r="AM1515" s="84" t="str">
        <f>HYPERLINK("https://t.co/FEtj83DgCf")</f>
        <v>https://t.co/FEtj83DgCf</v>
      </c>
      <c r="AN1515" s="81"/>
      <c r="AO1515" s="83">
        <v>40654.344074074077</v>
      </c>
      <c r="AP1515" s="84" t="str">
        <f>HYPERLINK("https://pbs.twimg.com/profile_banners/285502760/1352537025")</f>
        <v>https://pbs.twimg.com/profile_banners/285502760/1352537025</v>
      </c>
      <c r="AQ1515" s="81" t="b">
        <v>0</v>
      </c>
      <c r="AR1515" s="81" t="b">
        <v>0</v>
      </c>
      <c r="AS1515" s="81" t="b">
        <v>1</v>
      </c>
      <c r="AT1515" s="81"/>
      <c r="AU1515" s="81">
        <v>0</v>
      </c>
      <c r="AV1515" s="84" t="str">
        <f>HYPERLINK("https://abs.twimg.com/images/themes/theme10/bg.gif")</f>
        <v>https://abs.twimg.com/images/themes/theme10/bg.gif</v>
      </c>
      <c r="AW1515" s="81" t="b">
        <v>0</v>
      </c>
      <c r="AX1515" s="81" t="s">
        <v>3728</v>
      </c>
      <c r="AY1515" s="84" t="str">
        <f>HYPERLINK("https://twitter.com/tarbantinbooks")</f>
        <v>https://twitter.com/tarbantinbooks</v>
      </c>
      <c r="AZ1515" s="81" t="s">
        <v>66</v>
      </c>
    </row>
    <row r="1516" spans="1:52" x14ac:dyDescent="0.35">
      <c r="A1516" s="66" t="s">
        <v>12505</v>
      </c>
      <c r="B1516" s="67"/>
      <c r="C1516" s="67"/>
      <c r="D1516" s="68"/>
      <c r="E1516" s="94"/>
      <c r="F1516" s="93" t="str">
        <f>HYPERLINK("https://pbs.twimg.com/profile_images/1430926562979815428/fZ0gDNHl_normal.jpg")</f>
        <v>https://pbs.twimg.com/profile_images/1430926562979815428/fZ0gDNHl_normal.jpg</v>
      </c>
      <c r="G1516" s="95"/>
      <c r="H1516" s="71"/>
      <c r="I1516" s="72"/>
      <c r="J1516" s="96"/>
      <c r="K1516" s="71" t="s">
        <v>14286</v>
      </c>
      <c r="L1516" s="97"/>
      <c r="M1516" s="76"/>
      <c r="N1516" s="76"/>
      <c r="O1516" s="77"/>
      <c r="P1516" s="78"/>
      <c r="Q1516" s="78"/>
      <c r="R1516" s="92"/>
      <c r="S1516" s="92"/>
      <c r="T1516" s="92"/>
      <c r="U1516" s="92"/>
      <c r="V1516" s="52"/>
      <c r="W1516" s="52"/>
      <c r="X1516" s="52"/>
      <c r="Y1516" s="52"/>
      <c r="Z1516" s="51"/>
      <c r="AA1516" s="73"/>
      <c r="AB1516" s="73"/>
      <c r="AC1516" s="74"/>
      <c r="AD1516" s="81" t="s">
        <v>13498</v>
      </c>
      <c r="AE1516" s="86" t="s">
        <v>13727</v>
      </c>
      <c r="AF1516" s="81">
        <v>858</v>
      </c>
      <c r="AG1516" s="81">
        <v>243</v>
      </c>
      <c r="AH1516" s="81">
        <v>11950</v>
      </c>
      <c r="AI1516" s="81">
        <v>11584</v>
      </c>
      <c r="AJ1516" s="81"/>
      <c r="AK1516" s="81" t="s">
        <v>13961</v>
      </c>
      <c r="AL1516" s="81" t="s">
        <v>14165</v>
      </c>
      <c r="AM1516" s="81"/>
      <c r="AN1516" s="81"/>
      <c r="AO1516" s="83">
        <v>41826.474143518521</v>
      </c>
      <c r="AP1516" s="84" t="str">
        <f>HYPERLINK("https://pbs.twimg.com/profile_banners/2607326437/1566732050")</f>
        <v>https://pbs.twimg.com/profile_banners/2607326437/1566732050</v>
      </c>
      <c r="AQ1516" s="81" t="b">
        <v>1</v>
      </c>
      <c r="AR1516" s="81" t="b">
        <v>0</v>
      </c>
      <c r="AS1516" s="81" t="b">
        <v>1</v>
      </c>
      <c r="AT1516" s="81"/>
      <c r="AU1516" s="81">
        <v>0</v>
      </c>
      <c r="AV1516" s="84" t="str">
        <f>HYPERLINK("https://abs.twimg.com/images/themes/theme1/bg.png")</f>
        <v>https://abs.twimg.com/images/themes/theme1/bg.png</v>
      </c>
      <c r="AW1516" s="81" t="b">
        <v>0</v>
      </c>
      <c r="AX1516" s="81" t="s">
        <v>3728</v>
      </c>
      <c r="AY1516" s="84" t="str">
        <f>HYPERLINK("https://twitter.com/naylyinasri")</f>
        <v>https://twitter.com/naylyinasri</v>
      </c>
      <c r="AZ1516" s="81" t="s">
        <v>66</v>
      </c>
    </row>
    <row r="1517" spans="1:52" x14ac:dyDescent="0.35">
      <c r="A1517" s="66" t="s">
        <v>12506</v>
      </c>
      <c r="B1517" s="67"/>
      <c r="C1517" s="67"/>
      <c r="D1517" s="68"/>
      <c r="E1517" s="94"/>
      <c r="F1517" s="93" t="str">
        <f>HYPERLINK("https://pbs.twimg.com/profile_images/1442767328496676871/lcy36tjs_normal.jpg")</f>
        <v>https://pbs.twimg.com/profile_images/1442767328496676871/lcy36tjs_normal.jpg</v>
      </c>
      <c r="G1517" s="95"/>
      <c r="H1517" s="71"/>
      <c r="I1517" s="72"/>
      <c r="J1517" s="96"/>
      <c r="K1517" s="71" t="s">
        <v>14287</v>
      </c>
      <c r="L1517" s="97"/>
      <c r="M1517" s="76"/>
      <c r="N1517" s="76"/>
      <c r="O1517" s="77"/>
      <c r="P1517" s="78"/>
      <c r="Q1517" s="78"/>
      <c r="R1517" s="92"/>
      <c r="S1517" s="92"/>
      <c r="T1517" s="92"/>
      <c r="U1517" s="92"/>
      <c r="V1517" s="52"/>
      <c r="W1517" s="52"/>
      <c r="X1517" s="52"/>
      <c r="Y1517" s="52"/>
      <c r="Z1517" s="51"/>
      <c r="AA1517" s="73"/>
      <c r="AB1517" s="73"/>
      <c r="AC1517" s="74"/>
      <c r="AD1517" s="81" t="s">
        <v>13499</v>
      </c>
      <c r="AE1517" s="86" t="s">
        <v>13728</v>
      </c>
      <c r="AF1517" s="81">
        <v>436</v>
      </c>
      <c r="AG1517" s="81">
        <v>426</v>
      </c>
      <c r="AH1517" s="81">
        <v>2474</v>
      </c>
      <c r="AI1517" s="81">
        <v>3115</v>
      </c>
      <c r="AJ1517" s="81"/>
      <c r="AK1517" s="81" t="s">
        <v>13962</v>
      </c>
      <c r="AL1517" s="81" t="s">
        <v>14166</v>
      </c>
      <c r="AM1517" s="84" t="str">
        <f>HYPERLINK("https://t.co/MStJvL6M49")</f>
        <v>https://t.co/MStJvL6M49</v>
      </c>
      <c r="AN1517" s="81"/>
      <c r="AO1517" s="83">
        <v>44023.6403587963</v>
      </c>
      <c r="AP1517" s="84" t="str">
        <f>HYPERLINK("https://pbs.twimg.com/profile_banners/1281971932485677057/1632817647")</f>
        <v>https://pbs.twimg.com/profile_banners/1281971932485677057/1632817647</v>
      </c>
      <c r="AQ1517" s="81" t="b">
        <v>1</v>
      </c>
      <c r="AR1517" s="81" t="b">
        <v>0</v>
      </c>
      <c r="AS1517" s="81" t="b">
        <v>0</v>
      </c>
      <c r="AT1517" s="81"/>
      <c r="AU1517" s="81">
        <v>0</v>
      </c>
      <c r="AV1517" s="84" t="str">
        <f>HYPERLINK("https://abs.twimg.com/images/themes/theme1/bg.png")</f>
        <v>https://abs.twimg.com/images/themes/theme1/bg.png</v>
      </c>
      <c r="AW1517" s="81" t="b">
        <v>0</v>
      </c>
      <c r="AX1517" s="81" t="s">
        <v>3728</v>
      </c>
      <c r="AY1517" s="84" t="str">
        <f>HYPERLINK("https://twitter.com/rendaewoo")</f>
        <v>https://twitter.com/rendaewoo</v>
      </c>
      <c r="AZ1517" s="81" t="s">
        <v>66</v>
      </c>
    </row>
    <row r="1518" spans="1:52" x14ac:dyDescent="0.35">
      <c r="A1518" s="66" t="s">
        <v>12507</v>
      </c>
      <c r="B1518" s="67"/>
      <c r="C1518" s="67"/>
      <c r="D1518" s="68"/>
      <c r="E1518" s="94"/>
      <c r="F1518" s="93" t="str">
        <f>HYPERLINK("https://pbs.twimg.com/profile_images/1385381263209648128/S81S4cJL_normal.jpg")</f>
        <v>https://pbs.twimg.com/profile_images/1385381263209648128/S81S4cJL_normal.jpg</v>
      </c>
      <c r="G1518" s="95"/>
      <c r="H1518" s="71"/>
      <c r="I1518" s="72"/>
      <c r="J1518" s="96"/>
      <c r="K1518" s="71" t="s">
        <v>14288</v>
      </c>
      <c r="L1518" s="97"/>
      <c r="M1518" s="76"/>
      <c r="N1518" s="76"/>
      <c r="O1518" s="77"/>
      <c r="P1518" s="78"/>
      <c r="Q1518" s="78"/>
      <c r="R1518" s="92"/>
      <c r="S1518" s="92"/>
      <c r="T1518" s="92"/>
      <c r="U1518" s="92"/>
      <c r="V1518" s="52"/>
      <c r="W1518" s="52"/>
      <c r="X1518" s="52"/>
      <c r="Y1518" s="52"/>
      <c r="Z1518" s="51"/>
      <c r="AA1518" s="73"/>
      <c r="AB1518" s="73"/>
      <c r="AC1518" s="74"/>
      <c r="AD1518" s="81" t="s">
        <v>13500</v>
      </c>
      <c r="AE1518" s="86" t="s">
        <v>13402</v>
      </c>
      <c r="AF1518" s="81">
        <v>164</v>
      </c>
      <c r="AG1518" s="81">
        <v>122</v>
      </c>
      <c r="AH1518" s="81">
        <v>4035</v>
      </c>
      <c r="AI1518" s="81">
        <v>44661</v>
      </c>
      <c r="AJ1518" s="81"/>
      <c r="AK1518" s="81" t="s">
        <v>13963</v>
      </c>
      <c r="AL1518" s="81" t="s">
        <v>14167</v>
      </c>
      <c r="AM1518" s="81"/>
      <c r="AN1518" s="81"/>
      <c r="AO1518" s="83">
        <v>44101.019687499997</v>
      </c>
      <c r="AP1518" s="84" t="str">
        <f>HYPERLINK("https://pbs.twimg.com/profile_banners/1310013331944681473/1631846757")</f>
        <v>https://pbs.twimg.com/profile_banners/1310013331944681473/1631846757</v>
      </c>
      <c r="AQ1518" s="81" t="b">
        <v>1</v>
      </c>
      <c r="AR1518" s="81" t="b">
        <v>0</v>
      </c>
      <c r="AS1518" s="81" t="b">
        <v>0</v>
      </c>
      <c r="AT1518" s="81"/>
      <c r="AU1518" s="81">
        <v>0</v>
      </c>
      <c r="AV1518" s="81"/>
      <c r="AW1518" s="81" t="b">
        <v>0</v>
      </c>
      <c r="AX1518" s="81" t="s">
        <v>3728</v>
      </c>
      <c r="AY1518" s="84" t="str">
        <f>HYPERLINK("https://twitter.com/netuno598")</f>
        <v>https://twitter.com/netuno598</v>
      </c>
      <c r="AZ1518" s="81" t="s">
        <v>66</v>
      </c>
    </row>
    <row r="1519" spans="1:52" x14ac:dyDescent="0.35">
      <c r="A1519" s="66" t="s">
        <v>12671</v>
      </c>
      <c r="B1519" s="67"/>
      <c r="C1519" s="67"/>
      <c r="D1519" s="68"/>
      <c r="E1519" s="94"/>
      <c r="F1519" s="93" t="str">
        <f>HYPERLINK("https://pbs.twimg.com/profile_images/1374019086070452226/VRfryAid_normal.jpg")</f>
        <v>https://pbs.twimg.com/profile_images/1374019086070452226/VRfryAid_normal.jpg</v>
      </c>
      <c r="G1519" s="95"/>
      <c r="H1519" s="71"/>
      <c r="I1519" s="72"/>
      <c r="J1519" s="96"/>
      <c r="K1519" s="71" t="s">
        <v>14289</v>
      </c>
      <c r="L1519" s="97"/>
      <c r="M1519" s="76"/>
      <c r="N1519" s="76"/>
      <c r="O1519" s="77"/>
      <c r="P1519" s="78"/>
      <c r="Q1519" s="78"/>
      <c r="R1519" s="92"/>
      <c r="S1519" s="92"/>
      <c r="T1519" s="92"/>
      <c r="U1519" s="92"/>
      <c r="V1519" s="52"/>
      <c r="W1519" s="52"/>
      <c r="X1519" s="52"/>
      <c r="Y1519" s="52"/>
      <c r="Z1519" s="51"/>
      <c r="AA1519" s="73"/>
      <c r="AB1519" s="73"/>
      <c r="AC1519" s="74"/>
      <c r="AD1519" s="81" t="s">
        <v>13501</v>
      </c>
      <c r="AE1519" s="86" t="s">
        <v>13729</v>
      </c>
      <c r="AF1519" s="81">
        <v>35</v>
      </c>
      <c r="AG1519" s="81">
        <v>4</v>
      </c>
      <c r="AH1519" s="81">
        <v>36</v>
      </c>
      <c r="AI1519" s="81">
        <v>7257</v>
      </c>
      <c r="AJ1519" s="81"/>
      <c r="AK1519" s="81" t="s">
        <v>13964</v>
      </c>
      <c r="AL1519" s="81"/>
      <c r="AM1519" s="81"/>
      <c r="AN1519" s="81"/>
      <c r="AO1519" s="83">
        <v>40617.031585648147</v>
      </c>
      <c r="AP1519" s="84" t="str">
        <f>HYPERLINK("https://pbs.twimg.com/profile_banners/266297021/1587914503")</f>
        <v>https://pbs.twimg.com/profile_banners/266297021/1587914503</v>
      </c>
      <c r="AQ1519" s="81" t="b">
        <v>1</v>
      </c>
      <c r="AR1519" s="81" t="b">
        <v>0</v>
      </c>
      <c r="AS1519" s="81" t="b">
        <v>0</v>
      </c>
      <c r="AT1519" s="81"/>
      <c r="AU1519" s="81">
        <v>0</v>
      </c>
      <c r="AV1519" s="84" t="str">
        <f>HYPERLINK("https://abs.twimg.com/images/themes/theme1/bg.png")</f>
        <v>https://abs.twimg.com/images/themes/theme1/bg.png</v>
      </c>
      <c r="AW1519" s="81" t="b">
        <v>0</v>
      </c>
      <c r="AX1519" s="81" t="s">
        <v>3728</v>
      </c>
      <c r="AY1519" s="84" t="str">
        <f>HYPERLINK("https://twitter.com/todietonight")</f>
        <v>https://twitter.com/todietonight</v>
      </c>
      <c r="AZ1519" s="81" t="s">
        <v>65</v>
      </c>
    </row>
    <row r="1520" spans="1:52" x14ac:dyDescent="0.35">
      <c r="A1520" s="66" t="s">
        <v>12508</v>
      </c>
      <c r="B1520" s="67"/>
      <c r="C1520" s="67"/>
      <c r="D1520" s="68"/>
      <c r="E1520" s="94"/>
      <c r="F1520" s="93" t="str">
        <f>HYPERLINK("https://pbs.twimg.com/profile_images/1307677809179942912/luGD-xuL_normal.jpg")</f>
        <v>https://pbs.twimg.com/profile_images/1307677809179942912/luGD-xuL_normal.jpg</v>
      </c>
      <c r="G1520" s="95"/>
      <c r="H1520" s="71"/>
      <c r="I1520" s="72"/>
      <c r="J1520" s="96"/>
      <c r="K1520" s="71" t="s">
        <v>14290</v>
      </c>
      <c r="L1520" s="97"/>
      <c r="M1520" s="76"/>
      <c r="N1520" s="76"/>
      <c r="O1520" s="77"/>
      <c r="P1520" s="78"/>
      <c r="Q1520" s="78"/>
      <c r="R1520" s="92"/>
      <c r="S1520" s="92"/>
      <c r="T1520" s="92"/>
      <c r="U1520" s="92"/>
      <c r="V1520" s="52"/>
      <c r="W1520" s="52"/>
      <c r="X1520" s="52"/>
      <c r="Y1520" s="52"/>
      <c r="Z1520" s="51"/>
      <c r="AA1520" s="73"/>
      <c r="AB1520" s="73"/>
      <c r="AC1520" s="74"/>
      <c r="AD1520" s="81" t="s">
        <v>13502</v>
      </c>
      <c r="AE1520" s="86" t="s">
        <v>13730</v>
      </c>
      <c r="AF1520" s="81">
        <v>31</v>
      </c>
      <c r="AG1520" s="81">
        <v>2272</v>
      </c>
      <c r="AH1520" s="81">
        <v>1990</v>
      </c>
      <c r="AI1520" s="81">
        <v>7</v>
      </c>
      <c r="AJ1520" s="81"/>
      <c r="AK1520" s="81" t="s">
        <v>13965</v>
      </c>
      <c r="AL1520" s="81" t="s">
        <v>14168</v>
      </c>
      <c r="AM1520" s="84" t="str">
        <f>HYPERLINK("https://t.co/iHWZH49QFP")</f>
        <v>https://t.co/iHWZH49QFP</v>
      </c>
      <c r="AN1520" s="81"/>
      <c r="AO1520" s="83">
        <v>40921.51054398148</v>
      </c>
      <c r="AP1520" s="84" t="str">
        <f>HYPERLINK("https://pbs.twimg.com/profile_banners/462832305/1600609661")</f>
        <v>https://pbs.twimg.com/profile_banners/462832305/1600609661</v>
      </c>
      <c r="AQ1520" s="81" t="b">
        <v>0</v>
      </c>
      <c r="AR1520" s="81" t="b">
        <v>0</v>
      </c>
      <c r="AS1520" s="81" t="b">
        <v>1</v>
      </c>
      <c r="AT1520" s="81"/>
      <c r="AU1520" s="81">
        <v>7</v>
      </c>
      <c r="AV1520" s="84" t="str">
        <f>HYPERLINK("https://abs.twimg.com/images/themes/theme18/bg.gif")</f>
        <v>https://abs.twimg.com/images/themes/theme18/bg.gif</v>
      </c>
      <c r="AW1520" s="81" t="b">
        <v>0</v>
      </c>
      <c r="AX1520" s="81" t="s">
        <v>3728</v>
      </c>
      <c r="AY1520" s="84" t="str">
        <f>HYPERLINK("https://twitter.com/tangselpos_new")</f>
        <v>https://twitter.com/tangselpos_new</v>
      </c>
      <c r="AZ1520" s="81" t="s">
        <v>66</v>
      </c>
    </row>
    <row r="1521" spans="1:52" x14ac:dyDescent="0.35">
      <c r="A1521" s="66" t="s">
        <v>12509</v>
      </c>
      <c r="B1521" s="67"/>
      <c r="C1521" s="67"/>
      <c r="D1521" s="68"/>
      <c r="E1521" s="94"/>
      <c r="F1521" s="93" t="str">
        <f>HYPERLINK("https://pbs.twimg.com/profile_images/1296898586030964738/iXNCpRhe_normal.jpg")</f>
        <v>https://pbs.twimg.com/profile_images/1296898586030964738/iXNCpRhe_normal.jpg</v>
      </c>
      <c r="G1521" s="95"/>
      <c r="H1521" s="71"/>
      <c r="I1521" s="72"/>
      <c r="J1521" s="96"/>
      <c r="K1521" s="71" t="s">
        <v>14291</v>
      </c>
      <c r="L1521" s="97"/>
      <c r="M1521" s="76"/>
      <c r="N1521" s="76"/>
      <c r="O1521" s="77"/>
      <c r="P1521" s="78"/>
      <c r="Q1521" s="78"/>
      <c r="R1521" s="92"/>
      <c r="S1521" s="92"/>
      <c r="T1521" s="92"/>
      <c r="U1521" s="92"/>
      <c r="V1521" s="52"/>
      <c r="W1521" s="52"/>
      <c r="X1521" s="52"/>
      <c r="Y1521" s="52"/>
      <c r="Z1521" s="51"/>
      <c r="AA1521" s="73"/>
      <c r="AB1521" s="73"/>
      <c r="AC1521" s="74"/>
      <c r="AD1521" s="81" t="s">
        <v>13503</v>
      </c>
      <c r="AE1521" s="86" t="s">
        <v>13731</v>
      </c>
      <c r="AF1521" s="81">
        <v>211</v>
      </c>
      <c r="AG1521" s="81">
        <v>30</v>
      </c>
      <c r="AH1521" s="81">
        <v>430</v>
      </c>
      <c r="AI1521" s="81">
        <v>383</v>
      </c>
      <c r="AJ1521" s="81"/>
      <c r="AK1521" s="81" t="s">
        <v>13966</v>
      </c>
      <c r="AL1521" s="81" t="s">
        <v>14169</v>
      </c>
      <c r="AM1521" s="81"/>
      <c r="AN1521" s="81"/>
      <c r="AO1521" s="83">
        <v>44064.826678240737</v>
      </c>
      <c r="AP1521" s="84" t="str">
        <f>HYPERLINK("https://pbs.twimg.com/profile_banners/1296897328238850048/1598519160")</f>
        <v>https://pbs.twimg.com/profile_banners/1296897328238850048/1598519160</v>
      </c>
      <c r="AQ1521" s="81" t="b">
        <v>1</v>
      </c>
      <c r="AR1521" s="81" t="b">
        <v>0</v>
      </c>
      <c r="AS1521" s="81" t="b">
        <v>0</v>
      </c>
      <c r="AT1521" s="81"/>
      <c r="AU1521" s="81">
        <v>0</v>
      </c>
      <c r="AV1521" s="81"/>
      <c r="AW1521" s="81" t="b">
        <v>0</v>
      </c>
      <c r="AX1521" s="81" t="s">
        <v>3728</v>
      </c>
      <c r="AY1521" s="84" t="str">
        <f>HYPERLINK("https://twitter.com/sulaimaniman_")</f>
        <v>https://twitter.com/sulaimaniman_</v>
      </c>
      <c r="AZ1521" s="81" t="s">
        <v>66</v>
      </c>
    </row>
    <row r="1522" spans="1:52" x14ac:dyDescent="0.35">
      <c r="A1522" s="66" t="s">
        <v>12510</v>
      </c>
      <c r="B1522" s="67"/>
      <c r="C1522" s="67"/>
      <c r="D1522" s="68"/>
      <c r="E1522" s="94"/>
      <c r="F1522" s="93" t="str">
        <f>HYPERLINK("https://abs.twimg.com/sticky/default_profile_images/default_profile_normal.png")</f>
        <v>https://abs.twimg.com/sticky/default_profile_images/default_profile_normal.png</v>
      </c>
      <c r="G1522" s="95"/>
      <c r="H1522" s="71"/>
      <c r="I1522" s="72"/>
      <c r="J1522" s="96"/>
      <c r="K1522" s="71" t="s">
        <v>14292</v>
      </c>
      <c r="L1522" s="97"/>
      <c r="M1522" s="76"/>
      <c r="N1522" s="76"/>
      <c r="O1522" s="77"/>
      <c r="P1522" s="78"/>
      <c r="Q1522" s="78"/>
      <c r="R1522" s="92"/>
      <c r="S1522" s="92"/>
      <c r="T1522" s="92"/>
      <c r="U1522" s="92"/>
      <c r="V1522" s="52"/>
      <c r="W1522" s="52"/>
      <c r="X1522" s="52"/>
      <c r="Y1522" s="52"/>
      <c r="Z1522" s="51"/>
      <c r="AA1522" s="73"/>
      <c r="AB1522" s="73"/>
      <c r="AC1522" s="74"/>
      <c r="AD1522" s="81" t="s">
        <v>13504</v>
      </c>
      <c r="AE1522" s="86" t="s">
        <v>13732</v>
      </c>
      <c r="AF1522" s="81">
        <v>1</v>
      </c>
      <c r="AG1522" s="81">
        <v>5</v>
      </c>
      <c r="AH1522" s="81">
        <v>5717</v>
      </c>
      <c r="AI1522" s="81">
        <v>0</v>
      </c>
      <c r="AJ1522" s="81"/>
      <c r="AK1522" s="81"/>
      <c r="AL1522" s="81"/>
      <c r="AM1522" s="81"/>
      <c r="AN1522" s="81"/>
      <c r="AO1522" s="83">
        <v>43089.516689814816</v>
      </c>
      <c r="AP1522" s="81"/>
      <c r="AQ1522" s="81" t="b">
        <v>1</v>
      </c>
      <c r="AR1522" s="81" t="b">
        <v>1</v>
      </c>
      <c r="AS1522" s="81" t="b">
        <v>0</v>
      </c>
      <c r="AT1522" s="81"/>
      <c r="AU1522" s="81">
        <v>0</v>
      </c>
      <c r="AV1522" s="81"/>
      <c r="AW1522" s="81" t="b">
        <v>0</v>
      </c>
      <c r="AX1522" s="81" t="s">
        <v>3728</v>
      </c>
      <c r="AY1522" s="84" t="str">
        <f>HYPERLINK("https://twitter.com/harismaulanaaku")</f>
        <v>https://twitter.com/harismaulanaaku</v>
      </c>
      <c r="AZ1522" s="81" t="s">
        <v>66</v>
      </c>
    </row>
    <row r="1523" spans="1:52" x14ac:dyDescent="0.35">
      <c r="A1523" s="66" t="s">
        <v>12511</v>
      </c>
      <c r="B1523" s="67"/>
      <c r="C1523" s="67"/>
      <c r="D1523" s="68"/>
      <c r="E1523" s="94"/>
      <c r="F1523" s="93" t="str">
        <f>HYPERLINK("https://pbs.twimg.com/profile_images/1440617462408486912/qGBS_8vN_normal.jpg")</f>
        <v>https://pbs.twimg.com/profile_images/1440617462408486912/qGBS_8vN_normal.jpg</v>
      </c>
      <c r="G1523" s="95"/>
      <c r="H1523" s="71"/>
      <c r="I1523" s="72"/>
      <c r="J1523" s="96"/>
      <c r="K1523" s="71" t="s">
        <v>14293</v>
      </c>
      <c r="L1523" s="97"/>
      <c r="M1523" s="76"/>
      <c r="N1523" s="76"/>
      <c r="O1523" s="77"/>
      <c r="P1523" s="78"/>
      <c r="Q1523" s="78"/>
      <c r="R1523" s="92"/>
      <c r="S1523" s="92"/>
      <c r="T1523" s="92"/>
      <c r="U1523" s="92"/>
      <c r="V1523" s="52"/>
      <c r="W1523" s="52"/>
      <c r="X1523" s="52"/>
      <c r="Y1523" s="52"/>
      <c r="Z1523" s="51"/>
      <c r="AA1523" s="73"/>
      <c r="AB1523" s="73"/>
      <c r="AC1523" s="74"/>
      <c r="AD1523" s="81" t="s">
        <v>13505</v>
      </c>
      <c r="AE1523" s="86" t="s">
        <v>13733</v>
      </c>
      <c r="AF1523" s="81">
        <v>486</v>
      </c>
      <c r="AG1523" s="81">
        <v>223</v>
      </c>
      <c r="AH1523" s="81">
        <v>3353</v>
      </c>
      <c r="AI1523" s="81">
        <v>767</v>
      </c>
      <c r="AJ1523" s="81"/>
      <c r="AK1523" s="81" t="s">
        <v>13967</v>
      </c>
      <c r="AL1523" s="81"/>
      <c r="AM1523" s="84" t="str">
        <f>HYPERLINK("https://t.co/IbHlMYJkX0")</f>
        <v>https://t.co/IbHlMYJkX0</v>
      </c>
      <c r="AN1523" s="81"/>
      <c r="AO1523" s="83">
        <v>42934.161620370367</v>
      </c>
      <c r="AP1523" s="84" t="str">
        <f>HYPERLINK("https://pbs.twimg.com/profile_banners/887158167766880256/1631430310")</f>
        <v>https://pbs.twimg.com/profile_banners/887158167766880256/1631430310</v>
      </c>
      <c r="AQ1523" s="81" t="b">
        <v>1</v>
      </c>
      <c r="AR1523" s="81" t="b">
        <v>0</v>
      </c>
      <c r="AS1523" s="81" t="b">
        <v>0</v>
      </c>
      <c r="AT1523" s="81"/>
      <c r="AU1523" s="81">
        <v>0</v>
      </c>
      <c r="AV1523" s="81"/>
      <c r="AW1523" s="81" t="b">
        <v>0</v>
      </c>
      <c r="AX1523" s="81" t="s">
        <v>3728</v>
      </c>
      <c r="AY1523" s="84" t="str">
        <f>HYPERLINK("https://twitter.com/aisydalilah")</f>
        <v>https://twitter.com/aisydalilah</v>
      </c>
      <c r="AZ1523" s="81" t="s">
        <v>66</v>
      </c>
    </row>
    <row r="1524" spans="1:52" x14ac:dyDescent="0.35">
      <c r="A1524" s="66" t="s">
        <v>12512</v>
      </c>
      <c r="B1524" s="67"/>
      <c r="C1524" s="67"/>
      <c r="D1524" s="68"/>
      <c r="E1524" s="94"/>
      <c r="F1524" s="93" t="str">
        <f>HYPERLINK("https://pbs.twimg.com/profile_images/1149210409473196032/X2Vt_Z9l_normal.png")</f>
        <v>https://pbs.twimg.com/profile_images/1149210409473196032/X2Vt_Z9l_normal.png</v>
      </c>
      <c r="G1524" s="95"/>
      <c r="H1524" s="71"/>
      <c r="I1524" s="72"/>
      <c r="J1524" s="96"/>
      <c r="K1524" s="71" t="s">
        <v>14294</v>
      </c>
      <c r="L1524" s="97"/>
      <c r="M1524" s="76"/>
      <c r="N1524" s="76"/>
      <c r="O1524" s="77"/>
      <c r="P1524" s="78"/>
      <c r="Q1524" s="78"/>
      <c r="R1524" s="92"/>
      <c r="S1524" s="92"/>
      <c r="T1524" s="92"/>
      <c r="U1524" s="92"/>
      <c r="V1524" s="52"/>
      <c r="W1524" s="52"/>
      <c r="X1524" s="52"/>
      <c r="Y1524" s="52"/>
      <c r="Z1524" s="51"/>
      <c r="AA1524" s="73"/>
      <c r="AB1524" s="73"/>
      <c r="AC1524" s="74"/>
      <c r="AD1524" s="81" t="s">
        <v>13440</v>
      </c>
      <c r="AE1524" s="86" t="s">
        <v>13734</v>
      </c>
      <c r="AF1524" s="81">
        <v>95</v>
      </c>
      <c r="AG1524" s="81">
        <v>24878</v>
      </c>
      <c r="AH1524" s="81">
        <v>138781</v>
      </c>
      <c r="AI1524" s="81">
        <v>3</v>
      </c>
      <c r="AJ1524" s="81"/>
      <c r="AK1524" s="81" t="s">
        <v>13968</v>
      </c>
      <c r="AL1524" s="81" t="s">
        <v>3504</v>
      </c>
      <c r="AM1524" s="84" t="str">
        <f>HYPERLINK("https://t.co/6k2IGLYD1k")</f>
        <v>https://t.co/6k2IGLYD1k</v>
      </c>
      <c r="AN1524" s="81"/>
      <c r="AO1524" s="83">
        <v>40557.42659722222</v>
      </c>
      <c r="AP1524" s="84" t="str">
        <f>HYPERLINK("https://pbs.twimg.com/profile_banners/238091066/1566191748")</f>
        <v>https://pbs.twimg.com/profile_banners/238091066/1566191748</v>
      </c>
      <c r="AQ1524" s="81" t="b">
        <v>0</v>
      </c>
      <c r="AR1524" s="81" t="b">
        <v>0</v>
      </c>
      <c r="AS1524" s="81" t="b">
        <v>0</v>
      </c>
      <c r="AT1524" s="81"/>
      <c r="AU1524" s="81">
        <v>266</v>
      </c>
      <c r="AV1524" s="84" t="str">
        <f>HYPERLINK("https://abs.twimg.com/images/themes/theme1/bg.png")</f>
        <v>https://abs.twimg.com/images/themes/theme1/bg.png</v>
      </c>
      <c r="AW1524" s="81" t="b">
        <v>0</v>
      </c>
      <c r="AX1524" s="81" t="s">
        <v>3728</v>
      </c>
      <c r="AY1524" s="84" t="str">
        <f>HYPERLINK("https://twitter.com/investorid")</f>
        <v>https://twitter.com/investorid</v>
      </c>
      <c r="AZ1524" s="81" t="s">
        <v>66</v>
      </c>
    </row>
    <row r="1525" spans="1:52" x14ac:dyDescent="0.35">
      <c r="A1525" s="66" t="s">
        <v>12513</v>
      </c>
      <c r="B1525" s="67"/>
      <c r="C1525" s="67"/>
      <c r="D1525" s="68"/>
      <c r="E1525" s="94"/>
      <c r="F1525" s="93" t="str">
        <f>HYPERLINK("https://pbs.twimg.com/profile_images/1437809310935891976/7bHbh1qF_normal.jpg")</f>
        <v>https://pbs.twimg.com/profile_images/1437809310935891976/7bHbh1qF_normal.jpg</v>
      </c>
      <c r="G1525" s="95"/>
      <c r="H1525" s="71"/>
      <c r="I1525" s="72"/>
      <c r="J1525" s="96"/>
      <c r="K1525" s="71" t="s">
        <v>14295</v>
      </c>
      <c r="L1525" s="97"/>
      <c r="M1525" s="76"/>
      <c r="N1525" s="76"/>
      <c r="O1525" s="77"/>
      <c r="P1525" s="78"/>
      <c r="Q1525" s="78"/>
      <c r="R1525" s="92"/>
      <c r="S1525" s="92"/>
      <c r="T1525" s="92"/>
      <c r="U1525" s="92"/>
      <c r="V1525" s="52"/>
      <c r="W1525" s="52"/>
      <c r="X1525" s="52"/>
      <c r="Y1525" s="52"/>
      <c r="Z1525" s="51"/>
      <c r="AA1525" s="73"/>
      <c r="AB1525" s="73"/>
      <c r="AC1525" s="74"/>
      <c r="AD1525" s="81" t="s">
        <v>13506</v>
      </c>
      <c r="AE1525" s="86" t="s">
        <v>13735</v>
      </c>
      <c r="AF1525" s="81">
        <v>321</v>
      </c>
      <c r="AG1525" s="81">
        <v>718</v>
      </c>
      <c r="AH1525" s="81">
        <v>17161</v>
      </c>
      <c r="AI1525" s="81">
        <v>10852</v>
      </c>
      <c r="AJ1525" s="81"/>
      <c r="AK1525" s="81" t="s">
        <v>13969</v>
      </c>
      <c r="AL1525" s="81" t="s">
        <v>3524</v>
      </c>
      <c r="AM1525" s="81"/>
      <c r="AN1525" s="81"/>
      <c r="AO1525" s="83">
        <v>41794.395844907405</v>
      </c>
      <c r="AP1525" s="84" t="str">
        <f>HYPERLINK("https://pbs.twimg.com/profile_banners/2545646882/1612314074")</f>
        <v>https://pbs.twimg.com/profile_banners/2545646882/1612314074</v>
      </c>
      <c r="AQ1525" s="81" t="b">
        <v>0</v>
      </c>
      <c r="AR1525" s="81" t="b">
        <v>0</v>
      </c>
      <c r="AS1525" s="81" t="b">
        <v>1</v>
      </c>
      <c r="AT1525" s="81"/>
      <c r="AU1525" s="81">
        <v>0</v>
      </c>
      <c r="AV1525" s="84" t="str">
        <f>HYPERLINK("https://abs.twimg.com/images/themes/theme1/bg.png")</f>
        <v>https://abs.twimg.com/images/themes/theme1/bg.png</v>
      </c>
      <c r="AW1525" s="81" t="b">
        <v>0</v>
      </c>
      <c r="AX1525" s="81" t="s">
        <v>3728</v>
      </c>
      <c r="AY1525" s="84" t="str">
        <f>HYPERLINK("https://twitter.com/_peanutttt")</f>
        <v>https://twitter.com/_peanutttt</v>
      </c>
      <c r="AZ1525" s="81" t="s">
        <v>66</v>
      </c>
    </row>
    <row r="1526" spans="1:52" x14ac:dyDescent="0.35">
      <c r="A1526" s="66" t="s">
        <v>12514</v>
      </c>
      <c r="B1526" s="67"/>
      <c r="C1526" s="67"/>
      <c r="D1526" s="68"/>
      <c r="E1526" s="94"/>
      <c r="F1526" s="93" t="str">
        <f>HYPERLINK("https://pbs.twimg.com/profile_images/797097830569549824/dxQDuDj8_normal.jpg")</f>
        <v>https://pbs.twimg.com/profile_images/797097830569549824/dxQDuDj8_normal.jpg</v>
      </c>
      <c r="G1526" s="95"/>
      <c r="H1526" s="71"/>
      <c r="I1526" s="72"/>
      <c r="J1526" s="96"/>
      <c r="K1526" s="71" t="s">
        <v>14296</v>
      </c>
      <c r="L1526" s="97"/>
      <c r="M1526" s="76"/>
      <c r="N1526" s="76"/>
      <c r="O1526" s="77"/>
      <c r="P1526" s="78"/>
      <c r="Q1526" s="78"/>
      <c r="R1526" s="92"/>
      <c r="S1526" s="92"/>
      <c r="T1526" s="92"/>
      <c r="U1526" s="92"/>
      <c r="V1526" s="52"/>
      <c r="W1526" s="52"/>
      <c r="X1526" s="52"/>
      <c r="Y1526" s="52"/>
      <c r="Z1526" s="51"/>
      <c r="AA1526" s="73"/>
      <c r="AB1526" s="73"/>
      <c r="AC1526" s="74"/>
      <c r="AD1526" s="81" t="s">
        <v>13507</v>
      </c>
      <c r="AE1526" s="86" t="s">
        <v>13736</v>
      </c>
      <c r="AF1526" s="81">
        <v>1021</v>
      </c>
      <c r="AG1526" s="81">
        <v>631</v>
      </c>
      <c r="AH1526" s="81">
        <v>36618</v>
      </c>
      <c r="AI1526" s="81">
        <v>1935</v>
      </c>
      <c r="AJ1526" s="81"/>
      <c r="AK1526" s="81" t="s">
        <v>13970</v>
      </c>
      <c r="AL1526" s="81"/>
      <c r="AM1526" s="81"/>
      <c r="AN1526" s="81"/>
      <c r="AO1526" s="83">
        <v>40286.428402777776</v>
      </c>
      <c r="AP1526" s="84" t="str">
        <f>HYPERLINK("https://pbs.twimg.com/profile_banners/134413496/1493885593")</f>
        <v>https://pbs.twimg.com/profile_banners/134413496/1493885593</v>
      </c>
      <c r="AQ1526" s="81" t="b">
        <v>1</v>
      </c>
      <c r="AR1526" s="81" t="b">
        <v>0</v>
      </c>
      <c r="AS1526" s="81" t="b">
        <v>1</v>
      </c>
      <c r="AT1526" s="81"/>
      <c r="AU1526" s="81">
        <v>7</v>
      </c>
      <c r="AV1526" s="84" t="str">
        <f>HYPERLINK("https://abs.twimg.com/images/themes/theme1/bg.png")</f>
        <v>https://abs.twimg.com/images/themes/theme1/bg.png</v>
      </c>
      <c r="AW1526" s="81" t="b">
        <v>0</v>
      </c>
      <c r="AX1526" s="81" t="s">
        <v>3728</v>
      </c>
      <c r="AY1526" s="84" t="str">
        <f>HYPERLINK("https://twitter.com/debapirez")</f>
        <v>https://twitter.com/debapirez</v>
      </c>
      <c r="AZ1526" s="81" t="s">
        <v>66</v>
      </c>
    </row>
    <row r="1527" spans="1:52" x14ac:dyDescent="0.35">
      <c r="A1527" s="66" t="s">
        <v>12672</v>
      </c>
      <c r="B1527" s="67"/>
      <c r="C1527" s="67"/>
      <c r="D1527" s="68"/>
      <c r="E1527" s="94"/>
      <c r="F1527" s="93" t="str">
        <f>HYPERLINK("https://pbs.twimg.com/profile_images/1368577464641888268/7H0_MmAk_normal.jpg")</f>
        <v>https://pbs.twimg.com/profile_images/1368577464641888268/7H0_MmAk_normal.jpg</v>
      </c>
      <c r="G1527" s="95"/>
      <c r="H1527" s="71"/>
      <c r="I1527" s="72"/>
      <c r="J1527" s="96"/>
      <c r="K1527" s="71" t="s">
        <v>14297</v>
      </c>
      <c r="L1527" s="97"/>
      <c r="M1527" s="76"/>
      <c r="N1527" s="76"/>
      <c r="O1527" s="77"/>
      <c r="P1527" s="78"/>
      <c r="Q1527" s="78"/>
      <c r="R1527" s="92"/>
      <c r="S1527" s="92"/>
      <c r="T1527" s="92"/>
      <c r="U1527" s="92"/>
      <c r="V1527" s="52"/>
      <c r="W1527" s="52"/>
      <c r="X1527" s="52"/>
      <c r="Y1527" s="52"/>
      <c r="Z1527" s="51"/>
      <c r="AA1527" s="73"/>
      <c r="AB1527" s="73"/>
      <c r="AC1527" s="74"/>
      <c r="AD1527" s="81" t="s">
        <v>13508</v>
      </c>
      <c r="AE1527" s="86" t="s">
        <v>13403</v>
      </c>
      <c r="AF1527" s="81">
        <v>813</v>
      </c>
      <c r="AG1527" s="81">
        <v>34187</v>
      </c>
      <c r="AH1527" s="81">
        <v>205139</v>
      </c>
      <c r="AI1527" s="81">
        <v>817</v>
      </c>
      <c r="AJ1527" s="81"/>
      <c r="AK1527" s="81" t="s">
        <v>13971</v>
      </c>
      <c r="AL1527" s="81" t="s">
        <v>14170</v>
      </c>
      <c r="AM1527" s="84" t="str">
        <f>HYPERLINK("https://t.co/ngdo5UV7XA")</f>
        <v>https://t.co/ngdo5UV7XA</v>
      </c>
      <c r="AN1527" s="81"/>
      <c r="AO1527" s="83">
        <v>40129.018043981479</v>
      </c>
      <c r="AP1527" s="84" t="str">
        <f>HYPERLINK("https://pbs.twimg.com/profile_banners/89326335/1615284580")</f>
        <v>https://pbs.twimg.com/profile_banners/89326335/1615284580</v>
      </c>
      <c r="AQ1527" s="81" t="b">
        <v>0</v>
      </c>
      <c r="AR1527" s="81" t="b">
        <v>0</v>
      </c>
      <c r="AS1527" s="81" t="b">
        <v>1</v>
      </c>
      <c r="AT1527" s="81"/>
      <c r="AU1527" s="81">
        <v>103</v>
      </c>
      <c r="AV1527" s="84" t="str">
        <f>HYPERLINK("https://abs.twimg.com/images/themes/theme1/bg.png")</f>
        <v>https://abs.twimg.com/images/themes/theme1/bg.png</v>
      </c>
      <c r="AW1527" s="81" t="b">
        <v>1</v>
      </c>
      <c r="AX1527" s="81" t="s">
        <v>3728</v>
      </c>
      <c r="AY1527" s="84" t="str">
        <f>HYPERLINK("https://twitter.com/efenerr")</f>
        <v>https://twitter.com/efenerr</v>
      </c>
      <c r="AZ1527" s="81" t="s">
        <v>65</v>
      </c>
    </row>
    <row r="1528" spans="1:52" x14ac:dyDescent="0.35">
      <c r="A1528" s="66" t="s">
        <v>12515</v>
      </c>
      <c r="B1528" s="67"/>
      <c r="C1528" s="67"/>
      <c r="D1528" s="68"/>
      <c r="E1528" s="94"/>
      <c r="F1528" s="93" t="str">
        <f>HYPERLINK("https://pbs.twimg.com/profile_images/1355520160384176134/htg_M8n-_normal.jpg")</f>
        <v>https://pbs.twimg.com/profile_images/1355520160384176134/htg_M8n-_normal.jpg</v>
      </c>
      <c r="G1528" s="95"/>
      <c r="H1528" s="71"/>
      <c r="I1528" s="72"/>
      <c r="J1528" s="96"/>
      <c r="K1528" s="71" t="s">
        <v>14298</v>
      </c>
      <c r="L1528" s="97"/>
      <c r="M1528" s="76"/>
      <c r="N1528" s="76"/>
      <c r="O1528" s="77"/>
      <c r="P1528" s="78"/>
      <c r="Q1528" s="78"/>
      <c r="R1528" s="92"/>
      <c r="S1528" s="92"/>
      <c r="T1528" s="92"/>
      <c r="U1528" s="92"/>
      <c r="V1528" s="52"/>
      <c r="W1528" s="52"/>
      <c r="X1528" s="52"/>
      <c r="Y1528" s="52"/>
      <c r="Z1528" s="51"/>
      <c r="AA1528" s="73"/>
      <c r="AB1528" s="73"/>
      <c r="AC1528" s="74"/>
      <c r="AD1528" s="81" t="s">
        <v>13509</v>
      </c>
      <c r="AE1528" s="86" t="s">
        <v>13737</v>
      </c>
      <c r="AF1528" s="81">
        <v>78</v>
      </c>
      <c r="AG1528" s="81">
        <v>42</v>
      </c>
      <c r="AH1528" s="81">
        <v>1218</v>
      </c>
      <c r="AI1528" s="81">
        <v>173</v>
      </c>
      <c r="AJ1528" s="81"/>
      <c r="AK1528" s="81" t="s">
        <v>13972</v>
      </c>
      <c r="AL1528" s="81"/>
      <c r="AM1528" s="81"/>
      <c r="AN1528" s="81"/>
      <c r="AO1528" s="83">
        <v>44226.563379629632</v>
      </c>
      <c r="AP1528" s="84" t="str">
        <f>HYPERLINK("https://pbs.twimg.com/profile_banners/1355508837109747719/1612016164")</f>
        <v>https://pbs.twimg.com/profile_banners/1355508837109747719/1612016164</v>
      </c>
      <c r="AQ1528" s="81" t="b">
        <v>1</v>
      </c>
      <c r="AR1528" s="81" t="b">
        <v>0</v>
      </c>
      <c r="AS1528" s="81" t="b">
        <v>1</v>
      </c>
      <c r="AT1528" s="81"/>
      <c r="AU1528" s="81">
        <v>0</v>
      </c>
      <c r="AV1528" s="81"/>
      <c r="AW1528" s="81" t="b">
        <v>0</v>
      </c>
      <c r="AX1528" s="81" t="s">
        <v>3728</v>
      </c>
      <c r="AY1528" s="84" t="str">
        <f>HYPERLINK("https://twitter.com/starktuni")</f>
        <v>https://twitter.com/starktuni</v>
      </c>
      <c r="AZ1528" s="81" t="s">
        <v>66</v>
      </c>
    </row>
    <row r="1529" spans="1:52" x14ac:dyDescent="0.35">
      <c r="A1529" s="66" t="s">
        <v>12673</v>
      </c>
      <c r="B1529" s="67"/>
      <c r="C1529" s="67"/>
      <c r="D1529" s="68"/>
      <c r="E1529" s="94"/>
      <c r="F1529" s="93" t="str">
        <f>HYPERLINK("https://pbs.twimg.com/profile_images/1145899363417247744/fCvjW200_normal.jpg")</f>
        <v>https://pbs.twimg.com/profile_images/1145899363417247744/fCvjW200_normal.jpg</v>
      </c>
      <c r="G1529" s="95"/>
      <c r="H1529" s="71"/>
      <c r="I1529" s="72"/>
      <c r="J1529" s="96"/>
      <c r="K1529" s="71" t="s">
        <v>14299</v>
      </c>
      <c r="L1529" s="97"/>
      <c r="M1529" s="76"/>
      <c r="N1529" s="76"/>
      <c r="O1529" s="77"/>
      <c r="P1529" s="78"/>
      <c r="Q1529" s="78"/>
      <c r="R1529" s="92"/>
      <c r="S1529" s="92"/>
      <c r="T1529" s="92"/>
      <c r="U1529" s="92"/>
      <c r="V1529" s="52"/>
      <c r="W1529" s="52"/>
      <c r="X1529" s="52"/>
      <c r="Y1529" s="52"/>
      <c r="Z1529" s="51"/>
      <c r="AA1529" s="73"/>
      <c r="AB1529" s="73"/>
      <c r="AC1529" s="74"/>
      <c r="AD1529" s="81" t="s">
        <v>13510</v>
      </c>
      <c r="AE1529" s="86" t="s">
        <v>13404</v>
      </c>
      <c r="AF1529" s="81">
        <v>250</v>
      </c>
      <c r="AG1529" s="81">
        <v>195</v>
      </c>
      <c r="AH1529" s="81">
        <v>6648</v>
      </c>
      <c r="AI1529" s="81">
        <v>1525</v>
      </c>
      <c r="AJ1529" s="81"/>
      <c r="AK1529" s="81" t="s">
        <v>13973</v>
      </c>
      <c r="AL1529" s="81" t="s">
        <v>3514</v>
      </c>
      <c r="AM1529" s="84" t="str">
        <f>HYPERLINK("https://t.co/3wI8AONqSo")</f>
        <v>https://t.co/3wI8AONqSo</v>
      </c>
      <c r="AN1529" s="81"/>
      <c r="AO1529" s="83">
        <v>40275.049803240741</v>
      </c>
      <c r="AP1529" s="84" t="str">
        <f>HYPERLINK("https://pbs.twimg.com/profile_banners/130340405/1554468465")</f>
        <v>https://pbs.twimg.com/profile_banners/130340405/1554468465</v>
      </c>
      <c r="AQ1529" s="81" t="b">
        <v>0</v>
      </c>
      <c r="AR1529" s="81" t="b">
        <v>0</v>
      </c>
      <c r="AS1529" s="81" t="b">
        <v>1</v>
      </c>
      <c r="AT1529" s="81"/>
      <c r="AU1529" s="81">
        <v>0</v>
      </c>
      <c r="AV1529" s="84" t="str">
        <f>HYPERLINK("https://abs.twimg.com/images/themes/theme1/bg.png")</f>
        <v>https://abs.twimg.com/images/themes/theme1/bg.png</v>
      </c>
      <c r="AW1529" s="81" t="b">
        <v>0</v>
      </c>
      <c r="AX1529" s="81" t="s">
        <v>3728</v>
      </c>
      <c r="AY1529" s="84" t="str">
        <f>HYPERLINK("https://twitter.com/azreen_raub")</f>
        <v>https://twitter.com/azreen_raub</v>
      </c>
      <c r="AZ1529" s="81" t="s">
        <v>65</v>
      </c>
    </row>
    <row r="1530" spans="1:52" x14ac:dyDescent="0.35">
      <c r="A1530" s="66" t="s">
        <v>219</v>
      </c>
      <c r="B1530" s="67"/>
      <c r="C1530" s="67"/>
      <c r="D1530" s="68"/>
      <c r="E1530" s="94"/>
      <c r="F1530" s="93" t="str">
        <f>HYPERLINK("https://pbs.twimg.com/profile_images/1433359017716301824/uxVF51Ke_normal.jpg")</f>
        <v>https://pbs.twimg.com/profile_images/1433359017716301824/uxVF51Ke_normal.jpg</v>
      </c>
      <c r="G1530" s="95"/>
      <c r="H1530" s="71"/>
      <c r="I1530" s="72"/>
      <c r="J1530" s="96"/>
      <c r="K1530" s="71" t="s">
        <v>14300</v>
      </c>
      <c r="L1530" s="97"/>
      <c r="M1530" s="76"/>
      <c r="N1530" s="76"/>
      <c r="O1530" s="77"/>
      <c r="P1530" s="78"/>
      <c r="Q1530" s="78"/>
      <c r="R1530" s="92"/>
      <c r="S1530" s="92"/>
      <c r="T1530" s="92"/>
      <c r="U1530" s="92"/>
      <c r="V1530" s="52"/>
      <c r="W1530" s="52"/>
      <c r="X1530" s="52"/>
      <c r="Y1530" s="52"/>
      <c r="Z1530" s="51"/>
      <c r="AA1530" s="73"/>
      <c r="AB1530" s="73"/>
      <c r="AC1530" s="74"/>
      <c r="AD1530" s="81" t="s">
        <v>2250</v>
      </c>
      <c r="AE1530" s="86" t="s">
        <v>2686</v>
      </c>
      <c r="AF1530" s="81">
        <v>10</v>
      </c>
      <c r="AG1530" s="81">
        <v>6</v>
      </c>
      <c r="AH1530" s="81">
        <v>10</v>
      </c>
      <c r="AI1530" s="81">
        <v>2</v>
      </c>
      <c r="AJ1530" s="81"/>
      <c r="AK1530" s="81" t="s">
        <v>3087</v>
      </c>
      <c r="AL1530" s="81" t="s">
        <v>3513</v>
      </c>
      <c r="AM1530" s="84" t="str">
        <f>HYPERLINK("https://t.co/gLtP9zP4eE")</f>
        <v>https://t.co/gLtP9zP4eE</v>
      </c>
      <c r="AN1530" s="81"/>
      <c r="AO1530" s="83">
        <v>44418.197523148148</v>
      </c>
      <c r="AP1530" s="84" t="str">
        <f>HYPERLINK("https://pbs.twimg.com/profile_banners/1424954670649266180/1630574369")</f>
        <v>https://pbs.twimg.com/profile_banners/1424954670649266180/1630574369</v>
      </c>
      <c r="AQ1530" s="81" t="b">
        <v>1</v>
      </c>
      <c r="AR1530" s="81" t="b">
        <v>0</v>
      </c>
      <c r="AS1530" s="81" t="b">
        <v>0</v>
      </c>
      <c r="AT1530" s="81"/>
      <c r="AU1530" s="81">
        <v>0</v>
      </c>
      <c r="AV1530" s="81"/>
      <c r="AW1530" s="81" t="b">
        <v>0</v>
      </c>
      <c r="AX1530" s="81" t="s">
        <v>3728</v>
      </c>
      <c r="AY1530" s="84" t="str">
        <f>HYPERLINK("https://twitter.com/flagamedia")</f>
        <v>https://twitter.com/flagamedia</v>
      </c>
      <c r="AZ1530" s="81" t="s">
        <v>66</v>
      </c>
    </row>
    <row r="1531" spans="1:52" x14ac:dyDescent="0.35">
      <c r="A1531" s="66" t="s">
        <v>12516</v>
      </c>
      <c r="B1531" s="67"/>
      <c r="C1531" s="67"/>
      <c r="D1531" s="68"/>
      <c r="E1531" s="94"/>
      <c r="F1531" s="93" t="str">
        <f>HYPERLINK("https://pbs.twimg.com/profile_images/1271517930136539137/5zXetFo2_normal.jpg")</f>
        <v>https://pbs.twimg.com/profile_images/1271517930136539137/5zXetFo2_normal.jpg</v>
      </c>
      <c r="G1531" s="95"/>
      <c r="H1531" s="71"/>
      <c r="I1531" s="72"/>
      <c r="J1531" s="96"/>
      <c r="K1531" s="71" t="s">
        <v>14301</v>
      </c>
      <c r="L1531" s="97"/>
      <c r="M1531" s="76"/>
      <c r="N1531" s="76"/>
      <c r="O1531" s="77"/>
      <c r="P1531" s="78"/>
      <c r="Q1531" s="78"/>
      <c r="R1531" s="92"/>
      <c r="S1531" s="92"/>
      <c r="T1531" s="92"/>
      <c r="U1531" s="92"/>
      <c r="V1531" s="52"/>
      <c r="W1531" s="52"/>
      <c r="X1531" s="52"/>
      <c r="Y1531" s="52"/>
      <c r="Z1531" s="51"/>
      <c r="AA1531" s="73"/>
      <c r="AB1531" s="73"/>
      <c r="AC1531" s="74"/>
      <c r="AD1531" s="81" t="s">
        <v>13511</v>
      </c>
      <c r="AE1531" s="86" t="s">
        <v>13738</v>
      </c>
      <c r="AF1531" s="81">
        <v>0</v>
      </c>
      <c r="AG1531" s="81">
        <v>1117</v>
      </c>
      <c r="AH1531" s="81">
        <v>62105</v>
      </c>
      <c r="AI1531" s="81">
        <v>2</v>
      </c>
      <c r="AJ1531" s="81"/>
      <c r="AK1531" s="81" t="s">
        <v>13974</v>
      </c>
      <c r="AL1531" s="81"/>
      <c r="AM1531" s="81"/>
      <c r="AN1531" s="81"/>
      <c r="AO1531" s="83">
        <v>43994.768414351849</v>
      </c>
      <c r="AP1531" s="81"/>
      <c r="AQ1531" s="81" t="b">
        <v>1</v>
      </c>
      <c r="AR1531" s="81" t="b">
        <v>0</v>
      </c>
      <c r="AS1531" s="81" t="b">
        <v>0</v>
      </c>
      <c r="AT1531" s="81"/>
      <c r="AU1531" s="81">
        <v>19</v>
      </c>
      <c r="AV1531" s="81"/>
      <c r="AW1531" s="81" t="b">
        <v>0</v>
      </c>
      <c r="AX1531" s="81" t="s">
        <v>3728</v>
      </c>
      <c r="AY1531" s="84" t="str">
        <f>HYPERLINK("https://twitter.com/digitalbotrt")</f>
        <v>https://twitter.com/digitalbotrt</v>
      </c>
      <c r="AZ1531" s="81" t="s">
        <v>66</v>
      </c>
    </row>
    <row r="1532" spans="1:52" x14ac:dyDescent="0.35">
      <c r="A1532" s="66" t="s">
        <v>12517</v>
      </c>
      <c r="B1532" s="67"/>
      <c r="C1532" s="67"/>
      <c r="D1532" s="68"/>
      <c r="E1532" s="94"/>
      <c r="F1532" s="93" t="str">
        <f>HYPERLINK("https://pbs.twimg.com/profile_images/1426802212404035592/sIsky1bd_normal.jpg")</f>
        <v>https://pbs.twimg.com/profile_images/1426802212404035592/sIsky1bd_normal.jpg</v>
      </c>
      <c r="G1532" s="95"/>
      <c r="H1532" s="71"/>
      <c r="I1532" s="72"/>
      <c r="J1532" s="96"/>
      <c r="K1532" s="71" t="s">
        <v>14302</v>
      </c>
      <c r="L1532" s="97"/>
      <c r="M1532" s="76"/>
      <c r="N1532" s="76"/>
      <c r="O1532" s="77"/>
      <c r="P1532" s="78"/>
      <c r="Q1532" s="78"/>
      <c r="R1532" s="92"/>
      <c r="S1532" s="92"/>
      <c r="T1532" s="92"/>
      <c r="U1532" s="92"/>
      <c r="V1532" s="52"/>
      <c r="W1532" s="52"/>
      <c r="X1532" s="52"/>
      <c r="Y1532" s="52"/>
      <c r="Z1532" s="51"/>
      <c r="AA1532" s="73"/>
      <c r="AB1532" s="73"/>
      <c r="AC1532" s="74"/>
      <c r="AD1532" s="81" t="s">
        <v>13512</v>
      </c>
      <c r="AE1532" s="86" t="s">
        <v>13739</v>
      </c>
      <c r="AF1532" s="81">
        <v>306</v>
      </c>
      <c r="AG1532" s="81">
        <v>680</v>
      </c>
      <c r="AH1532" s="81">
        <v>50643</v>
      </c>
      <c r="AI1532" s="81">
        <v>8813</v>
      </c>
      <c r="AJ1532" s="81"/>
      <c r="AK1532" s="81">
        <v>23</v>
      </c>
      <c r="AL1532" s="81"/>
      <c r="AM1532" s="84" t="str">
        <f>HYPERLINK("https://t.co/3NjJ8mZHJh")</f>
        <v>https://t.co/3NjJ8mZHJh</v>
      </c>
      <c r="AN1532" s="81"/>
      <c r="AO1532" s="83">
        <v>41447.246168981481</v>
      </c>
      <c r="AP1532" s="84" t="str">
        <f>HYPERLINK("https://pbs.twimg.com/profile_banners/1538061187/1602462093")</f>
        <v>https://pbs.twimg.com/profile_banners/1538061187/1602462093</v>
      </c>
      <c r="AQ1532" s="81" t="b">
        <v>0</v>
      </c>
      <c r="AR1532" s="81" t="b">
        <v>0</v>
      </c>
      <c r="AS1532" s="81" t="b">
        <v>0</v>
      </c>
      <c r="AT1532" s="81"/>
      <c r="AU1532" s="81">
        <v>4</v>
      </c>
      <c r="AV1532" s="84" t="str">
        <f>HYPERLINK("https://abs.twimg.com/images/themes/theme1/bg.png")</f>
        <v>https://abs.twimg.com/images/themes/theme1/bg.png</v>
      </c>
      <c r="AW1532" s="81" t="b">
        <v>0</v>
      </c>
      <c r="AX1532" s="81" t="s">
        <v>3728</v>
      </c>
      <c r="AY1532" s="84" t="str">
        <f>HYPERLINK("https://twitter.com/frhainaaa")</f>
        <v>https://twitter.com/frhainaaa</v>
      </c>
      <c r="AZ1532" s="81" t="s">
        <v>66</v>
      </c>
    </row>
    <row r="1533" spans="1:52" x14ac:dyDescent="0.35">
      <c r="A1533" s="66" t="s">
        <v>12518</v>
      </c>
      <c r="B1533" s="67"/>
      <c r="C1533" s="67"/>
      <c r="D1533" s="68"/>
      <c r="E1533" s="94"/>
      <c r="F1533" s="93" t="str">
        <f>HYPERLINK("https://pbs.twimg.com/profile_images/1326734936510881793/GtaOzV49_normal.jpg")</f>
        <v>https://pbs.twimg.com/profile_images/1326734936510881793/GtaOzV49_normal.jpg</v>
      </c>
      <c r="G1533" s="95"/>
      <c r="H1533" s="71"/>
      <c r="I1533" s="72"/>
      <c r="J1533" s="96"/>
      <c r="K1533" s="71" t="s">
        <v>14303</v>
      </c>
      <c r="L1533" s="97"/>
      <c r="M1533" s="76"/>
      <c r="N1533" s="76"/>
      <c r="O1533" s="77"/>
      <c r="P1533" s="78"/>
      <c r="Q1533" s="78"/>
      <c r="R1533" s="92"/>
      <c r="S1533" s="92"/>
      <c r="T1533" s="92"/>
      <c r="U1533" s="92"/>
      <c r="V1533" s="52"/>
      <c r="W1533" s="52"/>
      <c r="X1533" s="52"/>
      <c r="Y1533" s="52"/>
      <c r="Z1533" s="51"/>
      <c r="AA1533" s="73"/>
      <c r="AB1533" s="73"/>
      <c r="AC1533" s="74"/>
      <c r="AD1533" s="81" t="s">
        <v>13513</v>
      </c>
      <c r="AE1533" s="86" t="s">
        <v>13405</v>
      </c>
      <c r="AF1533" s="81">
        <v>38</v>
      </c>
      <c r="AG1533" s="81">
        <v>61</v>
      </c>
      <c r="AH1533" s="81">
        <v>8199</v>
      </c>
      <c r="AI1533" s="81">
        <v>9</v>
      </c>
      <c r="AJ1533" s="81"/>
      <c r="AK1533" s="81" t="s">
        <v>13975</v>
      </c>
      <c r="AL1533" s="81" t="s">
        <v>14171</v>
      </c>
      <c r="AM1533" s="84" t="str">
        <f>HYPERLINK("https://t.co/cQIb1FFUvj")</f>
        <v>https://t.co/cQIb1FFUvj</v>
      </c>
      <c r="AN1533" s="81"/>
      <c r="AO1533" s="83">
        <v>41639.452060185184</v>
      </c>
      <c r="AP1533" s="84" t="str">
        <f>HYPERLINK("https://pbs.twimg.com/profile_banners/2270215470/1628581897")</f>
        <v>https://pbs.twimg.com/profile_banners/2270215470/1628581897</v>
      </c>
      <c r="AQ1533" s="81" t="b">
        <v>0</v>
      </c>
      <c r="AR1533" s="81" t="b">
        <v>0</v>
      </c>
      <c r="AS1533" s="81" t="b">
        <v>0</v>
      </c>
      <c r="AT1533" s="81"/>
      <c r="AU1533" s="81">
        <v>0</v>
      </c>
      <c r="AV1533" s="84" t="str">
        <f>HYPERLINK("https://abs.twimg.com/images/themes/theme3/bg.gif")</f>
        <v>https://abs.twimg.com/images/themes/theme3/bg.gif</v>
      </c>
      <c r="AW1533" s="81" t="b">
        <v>0</v>
      </c>
      <c r="AX1533" s="81" t="s">
        <v>3728</v>
      </c>
      <c r="AY1533" s="84" t="str">
        <f>HYPERLINK("https://twitter.com/handayaniherbal")</f>
        <v>https://twitter.com/handayaniherbal</v>
      </c>
      <c r="AZ1533" s="81" t="s">
        <v>66</v>
      </c>
    </row>
    <row r="1534" spans="1:52" x14ac:dyDescent="0.35">
      <c r="A1534" s="66" t="s">
        <v>12519</v>
      </c>
      <c r="B1534" s="67"/>
      <c r="C1534" s="67"/>
      <c r="D1534" s="68"/>
      <c r="E1534" s="94"/>
      <c r="F1534" s="93" t="str">
        <f>HYPERLINK("https://pbs.twimg.com/profile_images/1390434969860952066/vV6EgDqz_normal.jpg")</f>
        <v>https://pbs.twimg.com/profile_images/1390434969860952066/vV6EgDqz_normal.jpg</v>
      </c>
      <c r="G1534" s="95"/>
      <c r="H1534" s="71"/>
      <c r="I1534" s="72"/>
      <c r="J1534" s="96"/>
      <c r="K1534" s="71" t="s">
        <v>14304</v>
      </c>
      <c r="L1534" s="97"/>
      <c r="M1534" s="76"/>
      <c r="N1534" s="76"/>
      <c r="O1534" s="77"/>
      <c r="P1534" s="78"/>
      <c r="Q1534" s="78"/>
      <c r="R1534" s="92"/>
      <c r="S1534" s="92"/>
      <c r="T1534" s="92"/>
      <c r="U1534" s="92"/>
      <c r="V1534" s="52"/>
      <c r="W1534" s="52"/>
      <c r="X1534" s="52"/>
      <c r="Y1534" s="52"/>
      <c r="Z1534" s="51"/>
      <c r="AA1534" s="73"/>
      <c r="AB1534" s="73"/>
      <c r="AC1534" s="74"/>
      <c r="AD1534" s="81" t="s">
        <v>13514</v>
      </c>
      <c r="AE1534" s="86" t="s">
        <v>13740</v>
      </c>
      <c r="AF1534" s="81">
        <v>1617</v>
      </c>
      <c r="AG1534" s="81">
        <v>1543</v>
      </c>
      <c r="AH1534" s="81">
        <v>37408</v>
      </c>
      <c r="AI1534" s="81">
        <v>59881</v>
      </c>
      <c r="AJ1534" s="81"/>
      <c r="AK1534" s="81" t="s">
        <v>13976</v>
      </c>
      <c r="AL1534" s="81" t="s">
        <v>14172</v>
      </c>
      <c r="AM1534" s="84" t="str">
        <f>HYPERLINK("https://t.co/6qWktNxzdT")</f>
        <v>https://t.co/6qWktNxzdT</v>
      </c>
      <c r="AN1534" s="81"/>
      <c r="AO1534" s="83">
        <v>42504.946168981478</v>
      </c>
      <c r="AP1534" s="84" t="str">
        <f>HYPERLINK("https://pbs.twimg.com/profile_banners/731615696019460097/1463266536")</f>
        <v>https://pbs.twimg.com/profile_banners/731615696019460097/1463266536</v>
      </c>
      <c r="AQ1534" s="81" t="b">
        <v>1</v>
      </c>
      <c r="AR1534" s="81" t="b">
        <v>0</v>
      </c>
      <c r="AS1534" s="81" t="b">
        <v>1</v>
      </c>
      <c r="AT1534" s="81"/>
      <c r="AU1534" s="81">
        <v>11</v>
      </c>
      <c r="AV1534" s="81"/>
      <c r="AW1534" s="81" t="b">
        <v>0</v>
      </c>
      <c r="AX1534" s="81" t="s">
        <v>3728</v>
      </c>
      <c r="AY1534" s="84" t="str">
        <f>HYPERLINK("https://twitter.com/vademetroananas")</f>
        <v>https://twitter.com/vademetroananas</v>
      </c>
      <c r="AZ1534" s="81" t="s">
        <v>66</v>
      </c>
    </row>
    <row r="1535" spans="1:52" x14ac:dyDescent="0.35">
      <c r="A1535" s="66" t="s">
        <v>12674</v>
      </c>
      <c r="B1535" s="67"/>
      <c r="C1535" s="67"/>
      <c r="D1535" s="68"/>
      <c r="E1535" s="94"/>
      <c r="F1535" s="93" t="str">
        <f>HYPERLINK("https://pbs.twimg.com/profile_images/1414542739891445760/raXlDBY4_normal.jpg")</f>
        <v>https://pbs.twimg.com/profile_images/1414542739891445760/raXlDBY4_normal.jpg</v>
      </c>
      <c r="G1535" s="95"/>
      <c r="H1535" s="71"/>
      <c r="I1535" s="72"/>
      <c r="J1535" s="96"/>
      <c r="K1535" s="71" t="s">
        <v>14305</v>
      </c>
      <c r="L1535" s="97"/>
      <c r="M1535" s="76"/>
      <c r="N1535" s="76"/>
      <c r="O1535" s="77"/>
      <c r="P1535" s="78"/>
      <c r="Q1535" s="78"/>
      <c r="R1535" s="92"/>
      <c r="S1535" s="92"/>
      <c r="T1535" s="92"/>
      <c r="U1535" s="92"/>
      <c r="V1535" s="52"/>
      <c r="W1535" s="52"/>
      <c r="X1535" s="52"/>
      <c r="Y1535" s="52"/>
      <c r="Z1535" s="51"/>
      <c r="AA1535" s="73"/>
      <c r="AB1535" s="73"/>
      <c r="AC1535" s="74"/>
      <c r="AD1535" s="81" t="s">
        <v>13515</v>
      </c>
      <c r="AE1535" s="86" t="s">
        <v>13741</v>
      </c>
      <c r="AF1535" s="81">
        <v>747</v>
      </c>
      <c r="AG1535" s="81">
        <v>172</v>
      </c>
      <c r="AH1535" s="81">
        <v>3714</v>
      </c>
      <c r="AI1535" s="81">
        <v>4647</v>
      </c>
      <c r="AJ1535" s="81"/>
      <c r="AK1535" s="81" t="s">
        <v>13977</v>
      </c>
      <c r="AL1535" s="81"/>
      <c r="AM1535" s="81"/>
      <c r="AN1535" s="81"/>
      <c r="AO1535" s="83">
        <v>43755.605694444443</v>
      </c>
      <c r="AP1535" s="84" t="str">
        <f>HYPERLINK("https://pbs.twimg.com/profile_banners/1184839502608646146/1621074132")</f>
        <v>https://pbs.twimg.com/profile_banners/1184839502608646146/1621074132</v>
      </c>
      <c r="AQ1535" s="81" t="b">
        <v>1</v>
      </c>
      <c r="AR1535" s="81" t="b">
        <v>0</v>
      </c>
      <c r="AS1535" s="81" t="b">
        <v>1</v>
      </c>
      <c r="AT1535" s="81"/>
      <c r="AU1535" s="81">
        <v>1</v>
      </c>
      <c r="AV1535" s="81"/>
      <c r="AW1535" s="81" t="b">
        <v>0</v>
      </c>
      <c r="AX1535" s="81" t="s">
        <v>3728</v>
      </c>
      <c r="AY1535" s="84" t="str">
        <f>HYPERLINK("https://twitter.com/pzgomes")</f>
        <v>https://twitter.com/pzgomes</v>
      </c>
      <c r="AZ1535" s="81" t="s">
        <v>65</v>
      </c>
    </row>
    <row r="1536" spans="1:52" x14ac:dyDescent="0.35">
      <c r="A1536" s="66" t="s">
        <v>12675</v>
      </c>
      <c r="B1536" s="67"/>
      <c r="C1536" s="67"/>
      <c r="D1536" s="68"/>
      <c r="E1536" s="94"/>
      <c r="F1536" s="93" t="str">
        <f>HYPERLINK("https://pbs.twimg.com/profile_images/1269934430233206785/5qn3flMD_normal.jpg")</f>
        <v>https://pbs.twimg.com/profile_images/1269934430233206785/5qn3flMD_normal.jpg</v>
      </c>
      <c r="G1536" s="95"/>
      <c r="H1536" s="71"/>
      <c r="I1536" s="72"/>
      <c r="J1536" s="96"/>
      <c r="K1536" s="71" t="s">
        <v>14306</v>
      </c>
      <c r="L1536" s="97"/>
      <c r="M1536" s="76"/>
      <c r="N1536" s="76"/>
      <c r="O1536" s="77"/>
      <c r="P1536" s="78"/>
      <c r="Q1536" s="78"/>
      <c r="R1536" s="92"/>
      <c r="S1536" s="92"/>
      <c r="T1536" s="92"/>
      <c r="U1536" s="92"/>
      <c r="V1536" s="52"/>
      <c r="W1536" s="52"/>
      <c r="X1536" s="52"/>
      <c r="Y1536" s="52"/>
      <c r="Z1536" s="51"/>
      <c r="AA1536" s="73"/>
      <c r="AB1536" s="73"/>
      <c r="AC1536" s="74"/>
      <c r="AD1536" s="81" t="s">
        <v>13516</v>
      </c>
      <c r="AE1536" s="86" t="s">
        <v>13406</v>
      </c>
      <c r="AF1536" s="81">
        <v>77</v>
      </c>
      <c r="AG1536" s="81">
        <v>11</v>
      </c>
      <c r="AH1536" s="81">
        <v>338</v>
      </c>
      <c r="AI1536" s="81">
        <v>690</v>
      </c>
      <c r="AJ1536" s="81"/>
      <c r="AK1536" s="81"/>
      <c r="AL1536" s="81" t="s">
        <v>11175</v>
      </c>
      <c r="AM1536" s="81"/>
      <c r="AN1536" s="81"/>
      <c r="AO1536" s="83">
        <v>42810.400821759256</v>
      </c>
      <c r="AP1536" s="84" t="str">
        <f>HYPERLINK("https://pbs.twimg.com/profile_banners/842308754666344448/1591169175")</f>
        <v>https://pbs.twimg.com/profile_banners/842308754666344448/1591169175</v>
      </c>
      <c r="AQ1536" s="81" t="b">
        <v>1</v>
      </c>
      <c r="AR1536" s="81" t="b">
        <v>0</v>
      </c>
      <c r="AS1536" s="81" t="b">
        <v>0</v>
      </c>
      <c r="AT1536" s="81"/>
      <c r="AU1536" s="81">
        <v>0</v>
      </c>
      <c r="AV1536" s="81"/>
      <c r="AW1536" s="81" t="b">
        <v>0</v>
      </c>
      <c r="AX1536" s="81" t="s">
        <v>3728</v>
      </c>
      <c r="AY1536" s="84" t="str">
        <f>HYPERLINK("https://twitter.com/pedro__patricio")</f>
        <v>https://twitter.com/pedro__patricio</v>
      </c>
      <c r="AZ1536" s="81" t="s">
        <v>65</v>
      </c>
    </row>
    <row r="1537" spans="1:52" x14ac:dyDescent="0.35">
      <c r="A1537" s="66" t="s">
        <v>12520</v>
      </c>
      <c r="B1537" s="67"/>
      <c r="C1537" s="67"/>
      <c r="D1537" s="68"/>
      <c r="E1537" s="94"/>
      <c r="F1537" s="93" t="str">
        <f>HYPERLINK("https://pbs.twimg.com/profile_images/1439168540079124485/wYiZfC_y_normal.jpg")</f>
        <v>https://pbs.twimg.com/profile_images/1439168540079124485/wYiZfC_y_normal.jpg</v>
      </c>
      <c r="G1537" s="95"/>
      <c r="H1537" s="71"/>
      <c r="I1537" s="72"/>
      <c r="J1537" s="96"/>
      <c r="K1537" s="71" t="s">
        <v>14307</v>
      </c>
      <c r="L1537" s="97"/>
      <c r="M1537" s="76"/>
      <c r="N1537" s="76"/>
      <c r="O1537" s="77"/>
      <c r="P1537" s="78"/>
      <c r="Q1537" s="78"/>
      <c r="R1537" s="92"/>
      <c r="S1537" s="92"/>
      <c r="T1537" s="92"/>
      <c r="U1537" s="92"/>
      <c r="V1537" s="52"/>
      <c r="W1537" s="52"/>
      <c r="X1537" s="52"/>
      <c r="Y1537" s="52"/>
      <c r="Z1537" s="51"/>
      <c r="AA1537" s="73"/>
      <c r="AB1537" s="73"/>
      <c r="AC1537" s="74"/>
      <c r="AD1537" s="81" t="s">
        <v>13517</v>
      </c>
      <c r="AE1537" s="86" t="s">
        <v>13742</v>
      </c>
      <c r="AF1537" s="81">
        <v>185</v>
      </c>
      <c r="AG1537" s="81">
        <v>198</v>
      </c>
      <c r="AH1537" s="81">
        <v>49218</v>
      </c>
      <c r="AI1537" s="81">
        <v>8433</v>
      </c>
      <c r="AJ1537" s="81"/>
      <c r="AK1537" s="81" t="s">
        <v>13978</v>
      </c>
      <c r="AL1537" s="81" t="s">
        <v>3514</v>
      </c>
      <c r="AM1537" s="81"/>
      <c r="AN1537" s="81"/>
      <c r="AO1537" s="83">
        <v>43330.227638888886</v>
      </c>
      <c r="AP1537" s="84" t="str">
        <f>HYPERLINK("https://pbs.twimg.com/profile_banners/1030687684455354368/1629211912")</f>
        <v>https://pbs.twimg.com/profile_banners/1030687684455354368/1629211912</v>
      </c>
      <c r="AQ1537" s="81" t="b">
        <v>0</v>
      </c>
      <c r="AR1537" s="81" t="b">
        <v>0</v>
      </c>
      <c r="AS1537" s="81" t="b">
        <v>1</v>
      </c>
      <c r="AT1537" s="81"/>
      <c r="AU1537" s="81">
        <v>0</v>
      </c>
      <c r="AV1537" s="84" t="str">
        <f>HYPERLINK("https://abs.twimg.com/images/themes/theme1/bg.png")</f>
        <v>https://abs.twimg.com/images/themes/theme1/bg.png</v>
      </c>
      <c r="AW1537" s="81" t="b">
        <v>0</v>
      </c>
      <c r="AX1537" s="81" t="s">
        <v>3728</v>
      </c>
      <c r="AY1537" s="84" t="str">
        <f>HYPERLINK("https://twitter.com/yeonjjunineun")</f>
        <v>https://twitter.com/yeonjjunineun</v>
      </c>
      <c r="AZ1537" s="81" t="s">
        <v>66</v>
      </c>
    </row>
    <row r="1538" spans="1:52" x14ac:dyDescent="0.35">
      <c r="A1538" s="66" t="s">
        <v>12676</v>
      </c>
      <c r="B1538" s="67"/>
      <c r="C1538" s="67"/>
      <c r="D1538" s="68"/>
      <c r="E1538" s="94"/>
      <c r="F1538" s="93" t="str">
        <f>HYPERLINK("https://pbs.twimg.com/profile_images/1442083758962720770/rYB6wMO3_normal.jpg")</f>
        <v>https://pbs.twimg.com/profile_images/1442083758962720770/rYB6wMO3_normal.jpg</v>
      </c>
      <c r="G1538" s="95"/>
      <c r="H1538" s="71"/>
      <c r="I1538" s="72"/>
      <c r="J1538" s="96"/>
      <c r="K1538" s="71" t="s">
        <v>14308</v>
      </c>
      <c r="L1538" s="97"/>
      <c r="M1538" s="76"/>
      <c r="N1538" s="76"/>
      <c r="O1538" s="77"/>
      <c r="P1538" s="78"/>
      <c r="Q1538" s="78"/>
      <c r="R1538" s="92"/>
      <c r="S1538" s="92"/>
      <c r="T1538" s="92"/>
      <c r="U1538" s="92"/>
      <c r="V1538" s="52"/>
      <c r="W1538" s="52"/>
      <c r="X1538" s="52"/>
      <c r="Y1538" s="52"/>
      <c r="Z1538" s="51"/>
      <c r="AA1538" s="73"/>
      <c r="AB1538" s="73"/>
      <c r="AC1538" s="74"/>
      <c r="AD1538" s="81" t="s">
        <v>13518</v>
      </c>
      <c r="AE1538" s="86" t="s">
        <v>13407</v>
      </c>
      <c r="AF1538" s="81">
        <v>536</v>
      </c>
      <c r="AG1538" s="81">
        <v>383</v>
      </c>
      <c r="AH1538" s="81">
        <v>16816</v>
      </c>
      <c r="AI1538" s="81">
        <v>24269</v>
      </c>
      <c r="AJ1538" s="81"/>
      <c r="AK1538" s="81" t="s">
        <v>13979</v>
      </c>
      <c r="AL1538" s="81" t="s">
        <v>14173</v>
      </c>
      <c r="AM1538" s="81"/>
      <c r="AN1538" s="81"/>
      <c r="AO1538" s="83">
        <v>43725.581793981481</v>
      </c>
      <c r="AP1538" s="84" t="str">
        <f>HYPERLINK("https://pbs.twimg.com/profile_banners/1173959195864907784/1632654585")</f>
        <v>https://pbs.twimg.com/profile_banners/1173959195864907784/1632654585</v>
      </c>
      <c r="AQ1538" s="81" t="b">
        <v>1</v>
      </c>
      <c r="AR1538" s="81" t="b">
        <v>0</v>
      </c>
      <c r="AS1538" s="81" t="b">
        <v>0</v>
      </c>
      <c r="AT1538" s="81"/>
      <c r="AU1538" s="81">
        <v>2</v>
      </c>
      <c r="AV1538" s="81"/>
      <c r="AW1538" s="81" t="b">
        <v>0</v>
      </c>
      <c r="AX1538" s="81" t="s">
        <v>3728</v>
      </c>
      <c r="AY1538" s="84" t="str">
        <f>HYPERLINK("https://twitter.com/babygbsld")</f>
        <v>https://twitter.com/babygbsld</v>
      </c>
      <c r="AZ1538" s="81" t="s">
        <v>65</v>
      </c>
    </row>
    <row r="1539" spans="1:52" x14ac:dyDescent="0.35">
      <c r="A1539" s="66" t="s">
        <v>12521</v>
      </c>
      <c r="B1539" s="67"/>
      <c r="C1539" s="67"/>
      <c r="D1539" s="68"/>
      <c r="E1539" s="94"/>
      <c r="F1539" s="93" t="str">
        <f>HYPERLINK("https://pbs.twimg.com/profile_images/803082021408935936/s_bQ-QYp_normal.jpg")</f>
        <v>https://pbs.twimg.com/profile_images/803082021408935936/s_bQ-QYp_normal.jpg</v>
      </c>
      <c r="G1539" s="95"/>
      <c r="H1539" s="71"/>
      <c r="I1539" s="72"/>
      <c r="J1539" s="96"/>
      <c r="K1539" s="71" t="s">
        <v>14309</v>
      </c>
      <c r="L1539" s="97"/>
      <c r="M1539" s="76"/>
      <c r="N1539" s="76"/>
      <c r="O1539" s="77"/>
      <c r="P1539" s="78"/>
      <c r="Q1539" s="78"/>
      <c r="R1539" s="92"/>
      <c r="S1539" s="92"/>
      <c r="T1539" s="92"/>
      <c r="U1539" s="92"/>
      <c r="V1539" s="52"/>
      <c r="W1539" s="52"/>
      <c r="X1539" s="52"/>
      <c r="Y1539" s="52"/>
      <c r="Z1539" s="51"/>
      <c r="AA1539" s="73"/>
      <c r="AB1539" s="73"/>
      <c r="AC1539" s="74"/>
      <c r="AD1539" s="81" t="s">
        <v>13519</v>
      </c>
      <c r="AE1539" s="86" t="s">
        <v>13743</v>
      </c>
      <c r="AF1539" s="81">
        <v>4369</v>
      </c>
      <c r="AG1539" s="81">
        <v>16887</v>
      </c>
      <c r="AH1539" s="81">
        <v>40895</v>
      </c>
      <c r="AI1539" s="81">
        <v>658</v>
      </c>
      <c r="AJ1539" s="81"/>
      <c r="AK1539" s="81" t="s">
        <v>13980</v>
      </c>
      <c r="AL1539" s="81" t="s">
        <v>3569</v>
      </c>
      <c r="AM1539" s="84" t="str">
        <f>HYPERLINK("https://t.co/9e0GPVOlGK")</f>
        <v>https://t.co/9e0GPVOlGK</v>
      </c>
      <c r="AN1539" s="81"/>
      <c r="AO1539" s="83">
        <v>39939.271736111114</v>
      </c>
      <c r="AP1539" s="84" t="str">
        <f>HYPERLINK("https://pbs.twimg.com/profile_banners/38128899/1510631257")</f>
        <v>https://pbs.twimg.com/profile_banners/38128899/1510631257</v>
      </c>
      <c r="AQ1539" s="81" t="b">
        <v>0</v>
      </c>
      <c r="AR1539" s="81" t="b">
        <v>0</v>
      </c>
      <c r="AS1539" s="81" t="b">
        <v>0</v>
      </c>
      <c r="AT1539" s="81"/>
      <c r="AU1539" s="81">
        <v>301</v>
      </c>
      <c r="AV1539" s="84" t="str">
        <f>HYPERLINK("https://abs.twimg.com/images/themes/theme7/bg.gif")</f>
        <v>https://abs.twimg.com/images/themes/theme7/bg.gif</v>
      </c>
      <c r="AW1539" s="81" t="b">
        <v>0</v>
      </c>
      <c r="AX1539" s="81" t="s">
        <v>3728</v>
      </c>
      <c r="AY1539" s="84" t="str">
        <f>HYPERLINK("https://twitter.com/swamediainc")</f>
        <v>https://twitter.com/swamediainc</v>
      </c>
      <c r="AZ1539" s="81" t="s">
        <v>66</v>
      </c>
    </row>
    <row r="1540" spans="1:52" x14ac:dyDescent="0.35">
      <c r="A1540" s="66" t="s">
        <v>12522</v>
      </c>
      <c r="B1540" s="67"/>
      <c r="C1540" s="67"/>
      <c r="D1540" s="68"/>
      <c r="E1540" s="94"/>
      <c r="F1540" s="93" t="str">
        <f>HYPERLINK("https://pbs.twimg.com/profile_images/1440246146312519681/_RA3eKRr_normal.jpg")</f>
        <v>https://pbs.twimg.com/profile_images/1440246146312519681/_RA3eKRr_normal.jpg</v>
      </c>
      <c r="G1540" s="95"/>
      <c r="H1540" s="71"/>
      <c r="I1540" s="72"/>
      <c r="J1540" s="96"/>
      <c r="K1540" s="71" t="s">
        <v>14310</v>
      </c>
      <c r="L1540" s="97"/>
      <c r="M1540" s="76"/>
      <c r="N1540" s="76"/>
      <c r="O1540" s="77"/>
      <c r="P1540" s="78"/>
      <c r="Q1540" s="78"/>
      <c r="R1540" s="92"/>
      <c r="S1540" s="92"/>
      <c r="T1540" s="92"/>
      <c r="U1540" s="92"/>
      <c r="V1540" s="52"/>
      <c r="W1540" s="52"/>
      <c r="X1540" s="52"/>
      <c r="Y1540" s="52"/>
      <c r="Z1540" s="51"/>
      <c r="AA1540" s="73"/>
      <c r="AB1540" s="73"/>
      <c r="AC1540" s="74"/>
      <c r="AD1540" s="81" t="s">
        <v>13520</v>
      </c>
      <c r="AE1540" s="86" t="s">
        <v>13408</v>
      </c>
      <c r="AF1540" s="81">
        <v>0</v>
      </c>
      <c r="AG1540" s="81">
        <v>0</v>
      </c>
      <c r="AH1540" s="81">
        <v>68</v>
      </c>
      <c r="AI1540" s="81">
        <v>0</v>
      </c>
      <c r="AJ1540" s="81"/>
      <c r="AK1540" s="81" t="s">
        <v>13981</v>
      </c>
      <c r="AL1540" s="81"/>
      <c r="AM1540" s="81"/>
      <c r="AN1540" s="81"/>
      <c r="AO1540" s="83">
        <v>44460.384513888886</v>
      </c>
      <c r="AP1540" s="84" t="str">
        <f>HYPERLINK("https://pbs.twimg.com/profile_banners/1440242759017713664/1632693959")</f>
        <v>https://pbs.twimg.com/profile_banners/1440242759017713664/1632693959</v>
      </c>
      <c r="AQ1540" s="81" t="b">
        <v>1</v>
      </c>
      <c r="AR1540" s="81" t="b">
        <v>0</v>
      </c>
      <c r="AS1540" s="81" t="b">
        <v>0</v>
      </c>
      <c r="AT1540" s="81"/>
      <c r="AU1540" s="81">
        <v>1</v>
      </c>
      <c r="AV1540" s="81"/>
      <c r="AW1540" s="81" t="b">
        <v>0</v>
      </c>
      <c r="AX1540" s="81" t="s">
        <v>3728</v>
      </c>
      <c r="AY1540" s="84" t="str">
        <f>HYPERLINK("https://twitter.com/madugibran123")</f>
        <v>https://twitter.com/madugibran123</v>
      </c>
      <c r="AZ1540" s="81" t="s">
        <v>66</v>
      </c>
    </row>
    <row r="1541" spans="1:52" x14ac:dyDescent="0.35">
      <c r="A1541" s="66" t="s">
        <v>12523</v>
      </c>
      <c r="B1541" s="67"/>
      <c r="C1541" s="67"/>
      <c r="D1541" s="68"/>
      <c r="E1541" s="94"/>
      <c r="F1541" s="93" t="str">
        <f>HYPERLINK("https://pbs.twimg.com/profile_images/1440522737202581517/TTFvJ4Zb_normal.jpg")</f>
        <v>https://pbs.twimg.com/profile_images/1440522737202581517/TTFvJ4Zb_normal.jpg</v>
      </c>
      <c r="G1541" s="95"/>
      <c r="H1541" s="71"/>
      <c r="I1541" s="72"/>
      <c r="J1541" s="96"/>
      <c r="K1541" s="71" t="s">
        <v>14311</v>
      </c>
      <c r="L1541" s="97"/>
      <c r="M1541" s="76"/>
      <c r="N1541" s="76"/>
      <c r="O1541" s="77"/>
      <c r="P1541" s="78"/>
      <c r="Q1541" s="78"/>
      <c r="R1541" s="92"/>
      <c r="S1541" s="92"/>
      <c r="T1541" s="92"/>
      <c r="U1541" s="92"/>
      <c r="V1541" s="52"/>
      <c r="W1541" s="52"/>
      <c r="X1541" s="52"/>
      <c r="Y1541" s="52"/>
      <c r="Z1541" s="51"/>
      <c r="AA1541" s="73"/>
      <c r="AB1541" s="73"/>
      <c r="AC1541" s="74"/>
      <c r="AD1541" s="81" t="s">
        <v>13521</v>
      </c>
      <c r="AE1541" s="86" t="s">
        <v>13744</v>
      </c>
      <c r="AF1541" s="81">
        <v>944</v>
      </c>
      <c r="AG1541" s="81">
        <v>403</v>
      </c>
      <c r="AH1541" s="81">
        <v>488</v>
      </c>
      <c r="AI1541" s="81">
        <v>1182</v>
      </c>
      <c r="AJ1541" s="81"/>
      <c r="AK1541" s="81" t="s">
        <v>13982</v>
      </c>
      <c r="AL1541" s="81"/>
      <c r="AM1541" s="81"/>
      <c r="AN1541" s="81"/>
      <c r="AO1541" s="83">
        <v>44461.114803240744</v>
      </c>
      <c r="AP1541" s="84" t="str">
        <f>HYPERLINK("https://pbs.twimg.com/profile_banners/1440507335030427648/1632284509")</f>
        <v>https://pbs.twimg.com/profile_banners/1440507335030427648/1632284509</v>
      </c>
      <c r="AQ1541" s="81" t="b">
        <v>1</v>
      </c>
      <c r="AR1541" s="81" t="b">
        <v>0</v>
      </c>
      <c r="AS1541" s="81" t="b">
        <v>0</v>
      </c>
      <c r="AT1541" s="81"/>
      <c r="AU1541" s="81">
        <v>0</v>
      </c>
      <c r="AV1541" s="81"/>
      <c r="AW1541" s="81" t="b">
        <v>0</v>
      </c>
      <c r="AX1541" s="81" t="s">
        <v>3728</v>
      </c>
      <c r="AY1541" s="84" t="str">
        <f>HYPERLINK("https://twitter.com/julyannewy")</f>
        <v>https://twitter.com/julyannewy</v>
      </c>
      <c r="AZ1541" s="81" t="s">
        <v>66</v>
      </c>
    </row>
    <row r="1542" spans="1:52" x14ac:dyDescent="0.35">
      <c r="A1542" s="66" t="s">
        <v>595</v>
      </c>
      <c r="B1542" s="67"/>
      <c r="C1542" s="67"/>
      <c r="D1542" s="68"/>
      <c r="E1542" s="94"/>
      <c r="F1542" s="93" t="str">
        <f>HYPERLINK("https://pbs.twimg.com/profile_images/950922159957753856/2siyffDJ_normal.jpg")</f>
        <v>https://pbs.twimg.com/profile_images/950922159957753856/2siyffDJ_normal.jpg</v>
      </c>
      <c r="G1542" s="95"/>
      <c r="H1542" s="71"/>
      <c r="I1542" s="72"/>
      <c r="J1542" s="96"/>
      <c r="K1542" s="71" t="s">
        <v>14312</v>
      </c>
      <c r="L1542" s="97"/>
      <c r="M1542" s="76"/>
      <c r="N1542" s="76"/>
      <c r="O1542" s="77"/>
      <c r="P1542" s="78"/>
      <c r="Q1542" s="78"/>
      <c r="R1542" s="92"/>
      <c r="S1542" s="92"/>
      <c r="T1542" s="92"/>
      <c r="U1542" s="92"/>
      <c r="V1542" s="52"/>
      <c r="W1542" s="52"/>
      <c r="X1542" s="52"/>
      <c r="Y1542" s="52"/>
      <c r="Z1542" s="51"/>
      <c r="AA1542" s="73"/>
      <c r="AB1542" s="73"/>
      <c r="AC1542" s="74"/>
      <c r="AD1542" s="81" t="s">
        <v>2676</v>
      </c>
      <c r="AE1542" s="86" t="s">
        <v>2166</v>
      </c>
      <c r="AF1542" s="81">
        <v>82</v>
      </c>
      <c r="AG1542" s="81">
        <v>1204</v>
      </c>
      <c r="AH1542" s="81">
        <v>3849</v>
      </c>
      <c r="AI1542" s="81">
        <v>139</v>
      </c>
      <c r="AJ1542" s="81"/>
      <c r="AK1542" s="81" t="s">
        <v>3500</v>
      </c>
      <c r="AL1542" s="81" t="s">
        <v>3677</v>
      </c>
      <c r="AM1542" s="84" t="str">
        <f>HYPERLINK("https://t.co/Mhnmm8qxjg")</f>
        <v>https://t.co/Mhnmm8qxjg</v>
      </c>
      <c r="AN1542" s="81"/>
      <c r="AO1542" s="83">
        <v>42893.034212962964</v>
      </c>
      <c r="AP1542" s="84" t="str">
        <f>HYPERLINK("https://pbs.twimg.com/profile_banners/872254095410642944/1581561640")</f>
        <v>https://pbs.twimg.com/profile_banners/872254095410642944/1581561640</v>
      </c>
      <c r="AQ1542" s="81" t="b">
        <v>1</v>
      </c>
      <c r="AR1542" s="81" t="b">
        <v>0</v>
      </c>
      <c r="AS1542" s="81" t="b">
        <v>0</v>
      </c>
      <c r="AT1542" s="81"/>
      <c r="AU1542" s="81">
        <v>0</v>
      </c>
      <c r="AV1542" s="81"/>
      <c r="AW1542" s="81" t="b">
        <v>0</v>
      </c>
      <c r="AX1542" s="81" t="s">
        <v>3728</v>
      </c>
      <c r="AY1542" s="84" t="str">
        <f>HYPERLINK("https://twitter.com/asabri_official")</f>
        <v>https://twitter.com/asabri_official</v>
      </c>
      <c r="AZ1542" s="81" t="s">
        <v>66</v>
      </c>
    </row>
    <row r="1543" spans="1:52" x14ac:dyDescent="0.35">
      <c r="A1543" s="66" t="s">
        <v>12524</v>
      </c>
      <c r="B1543" s="67"/>
      <c r="C1543" s="67"/>
      <c r="D1543" s="68"/>
      <c r="E1543" s="94"/>
      <c r="F1543" s="93" t="str">
        <f>HYPERLINK("https://pbs.twimg.com/profile_images/1101078918545600512/RkJnUwdY_normal.png")</f>
        <v>https://pbs.twimg.com/profile_images/1101078918545600512/RkJnUwdY_normal.png</v>
      </c>
      <c r="G1543" s="95"/>
      <c r="H1543" s="71"/>
      <c r="I1543" s="72"/>
      <c r="J1543" s="96"/>
      <c r="K1543" s="71" t="s">
        <v>14313</v>
      </c>
      <c r="L1543" s="97"/>
      <c r="M1543" s="76"/>
      <c r="N1543" s="76"/>
      <c r="O1543" s="77"/>
      <c r="P1543" s="78"/>
      <c r="Q1543" s="78"/>
      <c r="R1543" s="92"/>
      <c r="S1543" s="92"/>
      <c r="T1543" s="92"/>
      <c r="U1543" s="92"/>
      <c r="V1543" s="52"/>
      <c r="W1543" s="52"/>
      <c r="X1543" s="52"/>
      <c r="Y1543" s="52"/>
      <c r="Z1543" s="51"/>
      <c r="AA1543" s="73"/>
      <c r="AB1543" s="73"/>
      <c r="AC1543" s="74"/>
      <c r="AD1543" s="81" t="s">
        <v>13522</v>
      </c>
      <c r="AE1543" s="86" t="s">
        <v>13745</v>
      </c>
      <c r="AF1543" s="81">
        <v>211</v>
      </c>
      <c r="AG1543" s="81">
        <v>838724</v>
      </c>
      <c r="AH1543" s="81">
        <v>905530</v>
      </c>
      <c r="AI1543" s="81">
        <v>17</v>
      </c>
      <c r="AJ1543" s="81"/>
      <c r="AK1543" s="81" t="s">
        <v>13983</v>
      </c>
      <c r="AL1543" s="81" t="s">
        <v>3503</v>
      </c>
      <c r="AM1543" s="81"/>
      <c r="AN1543" s="81"/>
      <c r="AO1543" s="83">
        <v>40339.466979166667</v>
      </c>
      <c r="AP1543" s="84" t="str">
        <f>HYPERLINK("https://pbs.twimg.com/profile_banners/154102750/1609678380")</f>
        <v>https://pbs.twimg.com/profile_banners/154102750/1609678380</v>
      </c>
      <c r="AQ1543" s="81" t="b">
        <v>0</v>
      </c>
      <c r="AR1543" s="81" t="b">
        <v>0</v>
      </c>
      <c r="AS1543" s="81" t="b">
        <v>1</v>
      </c>
      <c r="AT1543" s="81"/>
      <c r="AU1543" s="81">
        <v>1666</v>
      </c>
      <c r="AV1543" s="84" t="str">
        <f>HYPERLINK("https://abs.twimg.com/images/themes/theme1/bg.png")</f>
        <v>https://abs.twimg.com/images/themes/theme1/bg.png</v>
      </c>
      <c r="AW1543" s="81" t="b">
        <v>1</v>
      </c>
      <c r="AX1543" s="81" t="s">
        <v>3728</v>
      </c>
      <c r="AY1543" s="84" t="str">
        <f>HYPERLINK("https://twitter.com/beritasatu")</f>
        <v>https://twitter.com/beritasatu</v>
      </c>
      <c r="AZ1543" s="81" t="s">
        <v>66</v>
      </c>
    </row>
    <row r="1544" spans="1:52" x14ac:dyDescent="0.35">
      <c r="A1544" s="66" t="s">
        <v>12525</v>
      </c>
      <c r="B1544" s="67"/>
      <c r="C1544" s="67"/>
      <c r="D1544" s="68"/>
      <c r="E1544" s="94"/>
      <c r="F1544" s="93" t="str">
        <f>HYPERLINK("https://pbs.twimg.com/profile_images/1240285042678681610/OdbE1Ebo_normal.jpg")</f>
        <v>https://pbs.twimg.com/profile_images/1240285042678681610/OdbE1Ebo_normal.jpg</v>
      </c>
      <c r="G1544" s="95"/>
      <c r="H1544" s="71"/>
      <c r="I1544" s="72"/>
      <c r="J1544" s="96"/>
      <c r="K1544" s="71" t="s">
        <v>14314</v>
      </c>
      <c r="L1544" s="97"/>
      <c r="M1544" s="76"/>
      <c r="N1544" s="76"/>
      <c r="O1544" s="77"/>
      <c r="P1544" s="78"/>
      <c r="Q1544" s="78"/>
      <c r="R1544" s="92"/>
      <c r="S1544" s="92"/>
      <c r="T1544" s="92"/>
      <c r="U1544" s="92"/>
      <c r="V1544" s="52"/>
      <c r="W1544" s="52"/>
      <c r="X1544" s="52"/>
      <c r="Y1544" s="52"/>
      <c r="Z1544" s="51"/>
      <c r="AA1544" s="73"/>
      <c r="AB1544" s="73"/>
      <c r="AC1544" s="74"/>
      <c r="AD1544" s="81" t="s">
        <v>13523</v>
      </c>
      <c r="AE1544" s="86" t="s">
        <v>13746</v>
      </c>
      <c r="AF1544" s="81">
        <v>1021</v>
      </c>
      <c r="AG1544" s="81">
        <v>2812</v>
      </c>
      <c r="AH1544" s="81">
        <v>30810</v>
      </c>
      <c r="AI1544" s="81">
        <v>166</v>
      </c>
      <c r="AJ1544" s="81"/>
      <c r="AK1544" s="81" t="s">
        <v>13984</v>
      </c>
      <c r="AL1544" s="81" t="s">
        <v>14174</v>
      </c>
      <c r="AM1544" s="84" t="str">
        <f>HYPERLINK("https://t.co/twPIcLNWdx")</f>
        <v>https://t.co/twPIcLNWdx</v>
      </c>
      <c r="AN1544" s="81"/>
      <c r="AO1544" s="83">
        <v>42187.85738425926</v>
      </c>
      <c r="AP1544" s="84" t="str">
        <f>HYPERLINK("https://pbs.twimg.com/profile_banners/3266364020/1522094140")</f>
        <v>https://pbs.twimg.com/profile_banners/3266364020/1522094140</v>
      </c>
      <c r="AQ1544" s="81" t="b">
        <v>0</v>
      </c>
      <c r="AR1544" s="81" t="b">
        <v>0</v>
      </c>
      <c r="AS1544" s="81" t="b">
        <v>0</v>
      </c>
      <c r="AT1544" s="81"/>
      <c r="AU1544" s="81">
        <v>33</v>
      </c>
      <c r="AV1544" s="84" t="str">
        <f>HYPERLINK("https://abs.twimg.com/images/themes/theme1/bg.png")</f>
        <v>https://abs.twimg.com/images/themes/theme1/bg.png</v>
      </c>
      <c r="AW1544" s="81" t="b">
        <v>0</v>
      </c>
      <c r="AX1544" s="81" t="s">
        <v>3728</v>
      </c>
      <c r="AY1544" s="84" t="str">
        <f>HYPERLINK("https://twitter.com/jopintopt")</f>
        <v>https://twitter.com/jopintopt</v>
      </c>
      <c r="AZ1544" s="81" t="s">
        <v>66</v>
      </c>
    </row>
    <row r="1545" spans="1:52" x14ac:dyDescent="0.35">
      <c r="A1545" s="66" t="s">
        <v>12526</v>
      </c>
      <c r="B1545" s="67"/>
      <c r="C1545" s="67"/>
      <c r="D1545" s="68"/>
      <c r="E1545" s="94"/>
      <c r="F1545" s="93" t="str">
        <f>HYPERLINK("https://pbs.twimg.com/profile_images/1371794831786213380/dy0eKO3I_normal.jpg")</f>
        <v>https://pbs.twimg.com/profile_images/1371794831786213380/dy0eKO3I_normal.jpg</v>
      </c>
      <c r="G1545" s="95"/>
      <c r="H1545" s="71"/>
      <c r="I1545" s="72"/>
      <c r="J1545" s="96"/>
      <c r="K1545" s="71" t="s">
        <v>14315</v>
      </c>
      <c r="L1545" s="97"/>
      <c r="M1545" s="76"/>
      <c r="N1545" s="76"/>
      <c r="O1545" s="77"/>
      <c r="P1545" s="78"/>
      <c r="Q1545" s="78"/>
      <c r="R1545" s="92"/>
      <c r="S1545" s="92"/>
      <c r="T1545" s="92"/>
      <c r="U1545" s="92"/>
      <c r="V1545" s="52"/>
      <c r="W1545" s="52"/>
      <c r="X1545" s="52"/>
      <c r="Y1545" s="52"/>
      <c r="Z1545" s="51"/>
      <c r="AA1545" s="73"/>
      <c r="AB1545" s="73"/>
      <c r="AC1545" s="74"/>
      <c r="AD1545" s="81" t="s">
        <v>13524</v>
      </c>
      <c r="AE1545" s="86" t="s">
        <v>13747</v>
      </c>
      <c r="AF1545" s="81">
        <v>194</v>
      </c>
      <c r="AG1545" s="81">
        <v>53</v>
      </c>
      <c r="AH1545" s="81">
        <v>740</v>
      </c>
      <c r="AI1545" s="81">
        <v>160</v>
      </c>
      <c r="AJ1545" s="81"/>
      <c r="AK1545" s="81" t="s">
        <v>13985</v>
      </c>
      <c r="AL1545" s="81" t="s">
        <v>14175</v>
      </c>
      <c r="AM1545" s="81"/>
      <c r="AN1545" s="81"/>
      <c r="AO1545" s="83">
        <v>44210.217291666668</v>
      </c>
      <c r="AP1545" s="84" t="str">
        <f>HYPERLINK("https://pbs.twimg.com/profile_banners/1349585204898222082/1615896395")</f>
        <v>https://pbs.twimg.com/profile_banners/1349585204898222082/1615896395</v>
      </c>
      <c r="AQ1545" s="81" t="b">
        <v>1</v>
      </c>
      <c r="AR1545" s="81" t="b">
        <v>0</v>
      </c>
      <c r="AS1545" s="81" t="b">
        <v>0</v>
      </c>
      <c r="AT1545" s="81"/>
      <c r="AU1545" s="81">
        <v>0</v>
      </c>
      <c r="AV1545" s="81"/>
      <c r="AW1545" s="81" t="b">
        <v>0</v>
      </c>
      <c r="AX1545" s="81" t="s">
        <v>3728</v>
      </c>
      <c r="AY1545" s="84" t="str">
        <f>HYPERLINK("https://twitter.com/lamalif24")</f>
        <v>https://twitter.com/lamalif24</v>
      </c>
      <c r="AZ1545" s="81" t="s">
        <v>66</v>
      </c>
    </row>
    <row r="1546" spans="1:52" x14ac:dyDescent="0.35">
      <c r="A1546" s="66" t="s">
        <v>12677</v>
      </c>
      <c r="B1546" s="67"/>
      <c r="C1546" s="67"/>
      <c r="D1546" s="68"/>
      <c r="E1546" s="94"/>
      <c r="F1546" s="93" t="str">
        <f>HYPERLINK("https://pbs.twimg.com/profile_images/1434395230401269769/r1T6djYv_normal.jpg")</f>
        <v>https://pbs.twimg.com/profile_images/1434395230401269769/r1T6djYv_normal.jpg</v>
      </c>
      <c r="G1546" s="95"/>
      <c r="H1546" s="71"/>
      <c r="I1546" s="72"/>
      <c r="J1546" s="96"/>
      <c r="K1546" s="71" t="s">
        <v>14316</v>
      </c>
      <c r="L1546" s="97"/>
      <c r="M1546" s="76"/>
      <c r="N1546" s="76"/>
      <c r="O1546" s="77"/>
      <c r="P1546" s="78"/>
      <c r="Q1546" s="78"/>
      <c r="R1546" s="92"/>
      <c r="S1546" s="92"/>
      <c r="T1546" s="92"/>
      <c r="U1546" s="92"/>
      <c r="V1546" s="52"/>
      <c r="W1546" s="52"/>
      <c r="X1546" s="52"/>
      <c r="Y1546" s="52"/>
      <c r="Z1546" s="51"/>
      <c r="AA1546" s="73"/>
      <c r="AB1546" s="73"/>
      <c r="AC1546" s="74"/>
      <c r="AD1546" s="81" t="s">
        <v>13525</v>
      </c>
      <c r="AE1546" s="86" t="s">
        <v>13409</v>
      </c>
      <c r="AF1546" s="81">
        <v>1545</v>
      </c>
      <c r="AG1546" s="81">
        <v>1733</v>
      </c>
      <c r="AH1546" s="81">
        <v>104759</v>
      </c>
      <c r="AI1546" s="81">
        <v>34419</v>
      </c>
      <c r="AJ1546" s="81"/>
      <c r="AK1546" s="81" t="s">
        <v>13986</v>
      </c>
      <c r="AL1546" s="81" t="s">
        <v>3548</v>
      </c>
      <c r="AM1546" s="84" t="str">
        <f>HYPERLINK("https://t.co/8gibdJ6Zep")</f>
        <v>https://t.co/8gibdJ6Zep</v>
      </c>
      <c r="AN1546" s="81"/>
      <c r="AO1546" s="83">
        <v>40274.562592592592</v>
      </c>
      <c r="AP1546" s="84" t="str">
        <f>HYPERLINK("https://pbs.twimg.com/profile_banners/130152356/1595864354")</f>
        <v>https://pbs.twimg.com/profile_banners/130152356/1595864354</v>
      </c>
      <c r="AQ1546" s="81" t="b">
        <v>0</v>
      </c>
      <c r="AR1546" s="81" t="b">
        <v>0</v>
      </c>
      <c r="AS1546" s="81" t="b">
        <v>1</v>
      </c>
      <c r="AT1546" s="81"/>
      <c r="AU1546" s="81">
        <v>7</v>
      </c>
      <c r="AV1546" s="84" t="str">
        <f>HYPERLINK("https://abs.twimg.com/images/themes/theme19/bg.gif")</f>
        <v>https://abs.twimg.com/images/themes/theme19/bg.gif</v>
      </c>
      <c r="AW1546" s="81" t="b">
        <v>0</v>
      </c>
      <c r="AX1546" s="81" t="s">
        <v>3728</v>
      </c>
      <c r="AY1546" s="84" t="str">
        <f>HYPERLINK("https://twitter.com/agneesls")</f>
        <v>https://twitter.com/agneesls</v>
      </c>
      <c r="AZ1546" s="81" t="s">
        <v>65</v>
      </c>
    </row>
    <row r="1547" spans="1:52" x14ac:dyDescent="0.35">
      <c r="A1547" s="66" t="s">
        <v>12527</v>
      </c>
      <c r="B1547" s="67"/>
      <c r="C1547" s="67"/>
      <c r="D1547" s="68"/>
      <c r="E1547" s="94"/>
      <c r="F1547" s="93" t="str">
        <f>HYPERLINK("https://pbs.twimg.com/profile_images/1357099911532208129/JIVYSsxt_normal.jpg")</f>
        <v>https://pbs.twimg.com/profile_images/1357099911532208129/JIVYSsxt_normal.jpg</v>
      </c>
      <c r="G1547" s="95"/>
      <c r="H1547" s="71"/>
      <c r="I1547" s="72"/>
      <c r="J1547" s="96"/>
      <c r="K1547" s="71" t="s">
        <v>14317</v>
      </c>
      <c r="L1547" s="97"/>
      <c r="M1547" s="76"/>
      <c r="N1547" s="76"/>
      <c r="O1547" s="77"/>
      <c r="P1547" s="78"/>
      <c r="Q1547" s="78"/>
      <c r="R1547" s="92"/>
      <c r="S1547" s="92"/>
      <c r="T1547" s="92"/>
      <c r="U1547" s="92"/>
      <c r="V1547" s="52"/>
      <c r="W1547" s="52"/>
      <c r="X1547" s="52"/>
      <c r="Y1547" s="52"/>
      <c r="Z1547" s="51"/>
      <c r="AA1547" s="73"/>
      <c r="AB1547" s="73"/>
      <c r="AC1547" s="74"/>
      <c r="AD1547" s="81" t="s">
        <v>13526</v>
      </c>
      <c r="AE1547" s="86" t="s">
        <v>13748</v>
      </c>
      <c r="AF1547" s="81">
        <v>1156</v>
      </c>
      <c r="AG1547" s="81">
        <v>586</v>
      </c>
      <c r="AH1547" s="81">
        <v>15765</v>
      </c>
      <c r="AI1547" s="81">
        <v>3783</v>
      </c>
      <c r="AJ1547" s="81"/>
      <c r="AK1547" s="81" t="s">
        <v>13987</v>
      </c>
      <c r="AL1547" s="81" t="s">
        <v>14176</v>
      </c>
      <c r="AM1547" s="81"/>
      <c r="AN1547" s="81"/>
      <c r="AO1547" s="83">
        <v>42718.597766203704</v>
      </c>
      <c r="AP1547" s="84" t="str">
        <f>HYPERLINK("https://pbs.twimg.com/profile_banners/809040442864074752/1481794882")</f>
        <v>https://pbs.twimg.com/profile_banners/809040442864074752/1481794882</v>
      </c>
      <c r="AQ1547" s="81" t="b">
        <v>1</v>
      </c>
      <c r="AR1547" s="81" t="b">
        <v>0</v>
      </c>
      <c r="AS1547" s="81" t="b">
        <v>0</v>
      </c>
      <c r="AT1547" s="81"/>
      <c r="AU1547" s="81">
        <v>0</v>
      </c>
      <c r="AV1547" s="81"/>
      <c r="AW1547" s="81" t="b">
        <v>0</v>
      </c>
      <c r="AX1547" s="81" t="s">
        <v>3728</v>
      </c>
      <c r="AY1547" s="84" t="str">
        <f>HYPERLINK("https://twitter.com/cezarkr")</f>
        <v>https://twitter.com/cezarkr</v>
      </c>
      <c r="AZ1547" s="81" t="s">
        <v>66</v>
      </c>
    </row>
    <row r="1548" spans="1:52" x14ac:dyDescent="0.35">
      <c r="A1548" s="66" t="s">
        <v>12678</v>
      </c>
      <c r="B1548" s="67"/>
      <c r="C1548" s="67"/>
      <c r="D1548" s="68"/>
      <c r="E1548" s="94"/>
      <c r="F1548" s="93" t="str">
        <f>HYPERLINK("https://pbs.twimg.com/profile_images/1396236480633266185/EF6TeFxN_normal.jpg")</f>
        <v>https://pbs.twimg.com/profile_images/1396236480633266185/EF6TeFxN_normal.jpg</v>
      </c>
      <c r="G1548" s="95"/>
      <c r="H1548" s="71"/>
      <c r="I1548" s="72"/>
      <c r="J1548" s="96"/>
      <c r="K1548" s="71" t="s">
        <v>14318</v>
      </c>
      <c r="L1548" s="97"/>
      <c r="M1548" s="76"/>
      <c r="N1548" s="76"/>
      <c r="O1548" s="77"/>
      <c r="P1548" s="78"/>
      <c r="Q1548" s="78"/>
      <c r="R1548" s="92"/>
      <c r="S1548" s="92"/>
      <c r="T1548" s="92"/>
      <c r="U1548" s="92"/>
      <c r="V1548" s="52"/>
      <c r="W1548" s="52"/>
      <c r="X1548" s="52"/>
      <c r="Y1548" s="52"/>
      <c r="Z1548" s="51"/>
      <c r="AA1548" s="73"/>
      <c r="AB1548" s="73"/>
      <c r="AC1548" s="74"/>
      <c r="AD1548" s="81" t="s">
        <v>13527</v>
      </c>
      <c r="AE1548" s="86" t="s">
        <v>13749</v>
      </c>
      <c r="AF1548" s="81">
        <v>2574</v>
      </c>
      <c r="AG1548" s="81">
        <v>94423</v>
      </c>
      <c r="AH1548" s="81">
        <v>21402</v>
      </c>
      <c r="AI1548" s="81">
        <v>9286</v>
      </c>
      <c r="AJ1548" s="81"/>
      <c r="AK1548" s="81" t="s">
        <v>13988</v>
      </c>
      <c r="AL1548" s="81" t="s">
        <v>7998</v>
      </c>
      <c r="AM1548" s="84" t="str">
        <f>HYPERLINK("https://t.co/BTaItnnk4h")</f>
        <v>https://t.co/BTaItnnk4h</v>
      </c>
      <c r="AN1548" s="81"/>
      <c r="AO1548" s="83">
        <v>39890.199571759258</v>
      </c>
      <c r="AP1548" s="84" t="str">
        <f>HYPERLINK("https://pbs.twimg.com/profile_banners/25029808/1547950542")</f>
        <v>https://pbs.twimg.com/profile_banners/25029808/1547950542</v>
      </c>
      <c r="AQ1548" s="81" t="b">
        <v>0</v>
      </c>
      <c r="AR1548" s="81" t="b">
        <v>0</v>
      </c>
      <c r="AS1548" s="81" t="b">
        <v>0</v>
      </c>
      <c r="AT1548" s="81"/>
      <c r="AU1548" s="81">
        <v>502</v>
      </c>
      <c r="AV1548" s="84" t="str">
        <f>HYPERLINK("https://abs.twimg.com/images/themes/theme15/bg.png")</f>
        <v>https://abs.twimg.com/images/themes/theme15/bg.png</v>
      </c>
      <c r="AW1548" s="81" t="b">
        <v>1</v>
      </c>
      <c r="AX1548" s="81" t="s">
        <v>3728</v>
      </c>
      <c r="AY1548" s="84" t="str">
        <f>HYPERLINK("https://twitter.com/guilherme_amado")</f>
        <v>https://twitter.com/guilherme_amado</v>
      </c>
      <c r="AZ1548" s="81" t="s">
        <v>65</v>
      </c>
    </row>
    <row r="1549" spans="1:52" x14ac:dyDescent="0.35">
      <c r="A1549" s="66" t="s">
        <v>12679</v>
      </c>
      <c r="B1549" s="67"/>
      <c r="C1549" s="67"/>
      <c r="D1549" s="68"/>
      <c r="E1549" s="94"/>
      <c r="F1549" s="93" t="str">
        <f>HYPERLINK("https://pbs.twimg.com/profile_images/1441398397890613251/urBVRI1__normal.jpg")</f>
        <v>https://pbs.twimg.com/profile_images/1441398397890613251/urBVRI1__normal.jpg</v>
      </c>
      <c r="G1549" s="95"/>
      <c r="H1549" s="71"/>
      <c r="I1549" s="72"/>
      <c r="J1549" s="96"/>
      <c r="K1549" s="71" t="s">
        <v>14319</v>
      </c>
      <c r="L1549" s="97"/>
      <c r="M1549" s="76"/>
      <c r="N1549" s="76"/>
      <c r="O1549" s="77"/>
      <c r="P1549" s="78"/>
      <c r="Q1549" s="78"/>
      <c r="R1549" s="92"/>
      <c r="S1549" s="92"/>
      <c r="T1549" s="92"/>
      <c r="U1549" s="92"/>
      <c r="V1549" s="52"/>
      <c r="W1549" s="52"/>
      <c r="X1549" s="52"/>
      <c r="Y1549" s="52"/>
      <c r="Z1549" s="51"/>
      <c r="AA1549" s="73"/>
      <c r="AB1549" s="73"/>
      <c r="AC1549" s="74"/>
      <c r="AD1549" s="81" t="s">
        <v>13528</v>
      </c>
      <c r="AE1549" s="86" t="s">
        <v>13750</v>
      </c>
      <c r="AF1549" s="81">
        <v>479</v>
      </c>
      <c r="AG1549" s="81">
        <v>579</v>
      </c>
      <c r="AH1549" s="81">
        <v>125145</v>
      </c>
      <c r="AI1549" s="81">
        <v>62388</v>
      </c>
      <c r="AJ1549" s="81"/>
      <c r="AK1549" s="81" t="s">
        <v>13989</v>
      </c>
      <c r="AL1549" s="81" t="s">
        <v>14177</v>
      </c>
      <c r="AM1549" s="84" t="str">
        <f>HYPERLINK("https://t.co/D3Mm7I1S19")</f>
        <v>https://t.co/D3Mm7I1S19</v>
      </c>
      <c r="AN1549" s="81"/>
      <c r="AO1549" s="83">
        <v>41467.592222222222</v>
      </c>
      <c r="AP1549" s="84" t="str">
        <f>HYPERLINK("https://pbs.twimg.com/profile_banners/1588591592/1612970917")</f>
        <v>https://pbs.twimg.com/profile_banners/1588591592/1612970917</v>
      </c>
      <c r="AQ1549" s="81" t="b">
        <v>0</v>
      </c>
      <c r="AR1549" s="81" t="b">
        <v>0</v>
      </c>
      <c r="AS1549" s="81" t="b">
        <v>0</v>
      </c>
      <c r="AT1549" s="81"/>
      <c r="AU1549" s="81">
        <v>15</v>
      </c>
      <c r="AV1549" s="84" t="str">
        <f>HYPERLINK("https://abs.twimg.com/images/themes/theme14/bg.gif")</f>
        <v>https://abs.twimg.com/images/themes/theme14/bg.gif</v>
      </c>
      <c r="AW1549" s="81" t="b">
        <v>0</v>
      </c>
      <c r="AX1549" s="81" t="s">
        <v>3728</v>
      </c>
      <c r="AY1549" s="84" t="str">
        <f>HYPERLINK("https://twitter.com/guimarrocos")</f>
        <v>https://twitter.com/guimarrocos</v>
      </c>
      <c r="AZ1549" s="81" t="s">
        <v>65</v>
      </c>
    </row>
    <row r="1550" spans="1:52" x14ac:dyDescent="0.35">
      <c r="A1550" s="66" t="s">
        <v>12680</v>
      </c>
      <c r="B1550" s="67"/>
      <c r="C1550" s="67"/>
      <c r="D1550" s="68"/>
      <c r="E1550" s="94"/>
      <c r="F1550" s="93" t="str">
        <f>HYPERLINK("https://pbs.twimg.com/profile_images/1408090409864241154/BbMFv7fa_normal.jpg")</f>
        <v>https://pbs.twimg.com/profile_images/1408090409864241154/BbMFv7fa_normal.jpg</v>
      </c>
      <c r="G1550" s="95"/>
      <c r="H1550" s="71"/>
      <c r="I1550" s="72"/>
      <c r="J1550" s="96"/>
      <c r="K1550" s="71" t="s">
        <v>14320</v>
      </c>
      <c r="L1550" s="97"/>
      <c r="M1550" s="76"/>
      <c r="N1550" s="76"/>
      <c r="O1550" s="77"/>
      <c r="P1550" s="78"/>
      <c r="Q1550" s="78"/>
      <c r="R1550" s="92"/>
      <c r="S1550" s="92"/>
      <c r="T1550" s="92"/>
      <c r="U1550" s="92"/>
      <c r="V1550" s="52"/>
      <c r="W1550" s="52"/>
      <c r="X1550" s="52"/>
      <c r="Y1550" s="52"/>
      <c r="Z1550" s="51"/>
      <c r="AA1550" s="73"/>
      <c r="AB1550" s="73"/>
      <c r="AC1550" s="74"/>
      <c r="AD1550" s="81" t="s">
        <v>13529</v>
      </c>
      <c r="AE1550" s="86" t="s">
        <v>13751</v>
      </c>
      <c r="AF1550" s="81">
        <v>345</v>
      </c>
      <c r="AG1550" s="81">
        <v>25</v>
      </c>
      <c r="AH1550" s="81">
        <v>4052</v>
      </c>
      <c r="AI1550" s="81">
        <v>2050</v>
      </c>
      <c r="AJ1550" s="81"/>
      <c r="AK1550" s="81" t="s">
        <v>13990</v>
      </c>
      <c r="AL1550" s="81" t="s">
        <v>14178</v>
      </c>
      <c r="AM1550" s="81"/>
      <c r="AN1550" s="81"/>
      <c r="AO1550" s="83">
        <v>41870.148761574077</v>
      </c>
      <c r="AP1550" s="84" t="str">
        <f>HYPERLINK("https://pbs.twimg.com/profile_banners/2747048884/1414102557")</f>
        <v>https://pbs.twimg.com/profile_banners/2747048884/1414102557</v>
      </c>
      <c r="AQ1550" s="81" t="b">
        <v>1</v>
      </c>
      <c r="AR1550" s="81" t="b">
        <v>0</v>
      </c>
      <c r="AS1550" s="81" t="b">
        <v>0</v>
      </c>
      <c r="AT1550" s="81"/>
      <c r="AU1550" s="81">
        <v>0</v>
      </c>
      <c r="AV1550" s="84" t="str">
        <f>HYPERLINK("https://abs.twimg.com/images/themes/theme1/bg.png")</f>
        <v>https://abs.twimg.com/images/themes/theme1/bg.png</v>
      </c>
      <c r="AW1550" s="81" t="b">
        <v>0</v>
      </c>
      <c r="AX1550" s="81" t="s">
        <v>3728</v>
      </c>
      <c r="AY1550" s="84" t="str">
        <f>HYPERLINK("https://twitter.com/graxa_ln")</f>
        <v>https://twitter.com/graxa_ln</v>
      </c>
      <c r="AZ1550" s="81" t="s">
        <v>65</v>
      </c>
    </row>
    <row r="1551" spans="1:52" x14ac:dyDescent="0.35">
      <c r="A1551" s="66" t="s">
        <v>12681</v>
      </c>
      <c r="B1551" s="67"/>
      <c r="C1551" s="67"/>
      <c r="D1551" s="68"/>
      <c r="E1551" s="94"/>
      <c r="F1551" s="93" t="str">
        <f>HYPERLINK("https://pbs.twimg.com/profile_images/1391110980457975810/bYITnUe1_normal.jpg")</f>
        <v>https://pbs.twimg.com/profile_images/1391110980457975810/bYITnUe1_normal.jpg</v>
      </c>
      <c r="G1551" s="95"/>
      <c r="H1551" s="71"/>
      <c r="I1551" s="72"/>
      <c r="J1551" s="96"/>
      <c r="K1551" s="71" t="s">
        <v>14321</v>
      </c>
      <c r="L1551" s="97"/>
      <c r="M1551" s="76"/>
      <c r="N1551" s="76"/>
      <c r="O1551" s="77"/>
      <c r="P1551" s="78"/>
      <c r="Q1551" s="78"/>
      <c r="R1551" s="92"/>
      <c r="S1551" s="92"/>
      <c r="T1551" s="92"/>
      <c r="U1551" s="92"/>
      <c r="V1551" s="52"/>
      <c r="W1551" s="52"/>
      <c r="X1551" s="52"/>
      <c r="Y1551" s="52"/>
      <c r="Z1551" s="51"/>
      <c r="AA1551" s="73"/>
      <c r="AB1551" s="73"/>
      <c r="AC1551" s="74"/>
      <c r="AD1551" s="81" t="s">
        <v>13530</v>
      </c>
      <c r="AE1551" s="86" t="s">
        <v>13410</v>
      </c>
      <c r="AF1551" s="81">
        <v>247</v>
      </c>
      <c r="AG1551" s="81">
        <v>13</v>
      </c>
      <c r="AH1551" s="81">
        <v>3404</v>
      </c>
      <c r="AI1551" s="81">
        <v>170</v>
      </c>
      <c r="AJ1551" s="81"/>
      <c r="AK1551" s="81" t="s">
        <v>13991</v>
      </c>
      <c r="AL1551" s="81" t="s">
        <v>14179</v>
      </c>
      <c r="AM1551" s="81"/>
      <c r="AN1551" s="81"/>
      <c r="AO1551" s="83">
        <v>40774.81349537037</v>
      </c>
      <c r="AP1551" s="81"/>
      <c r="AQ1551" s="81" t="b">
        <v>1</v>
      </c>
      <c r="AR1551" s="81" t="b">
        <v>0</v>
      </c>
      <c r="AS1551" s="81" t="b">
        <v>0</v>
      </c>
      <c r="AT1551" s="81"/>
      <c r="AU1551" s="81">
        <v>1</v>
      </c>
      <c r="AV1551" s="84" t="str">
        <f>HYPERLINK("https://abs.twimg.com/images/themes/theme1/bg.png")</f>
        <v>https://abs.twimg.com/images/themes/theme1/bg.png</v>
      </c>
      <c r="AW1551" s="81" t="b">
        <v>0</v>
      </c>
      <c r="AX1551" s="81" t="s">
        <v>3728</v>
      </c>
      <c r="AY1551" s="84" t="str">
        <f>HYPERLINK("https://twitter.com/marceloperescft")</f>
        <v>https://twitter.com/marceloperescft</v>
      </c>
      <c r="AZ1551" s="81" t="s">
        <v>65</v>
      </c>
    </row>
    <row r="1552" spans="1:52" x14ac:dyDescent="0.35">
      <c r="A1552" s="66" t="s">
        <v>12528</v>
      </c>
      <c r="B1552" s="67"/>
      <c r="C1552" s="67"/>
      <c r="D1552" s="68"/>
      <c r="E1552" s="94"/>
      <c r="F1552" s="93" t="str">
        <f>HYPERLINK("https://pbs.twimg.com/profile_images/1067752624043114498/wCNF8vYi_normal.jpg")</f>
        <v>https://pbs.twimg.com/profile_images/1067752624043114498/wCNF8vYi_normal.jpg</v>
      </c>
      <c r="G1552" s="95"/>
      <c r="H1552" s="71"/>
      <c r="I1552" s="72"/>
      <c r="J1552" s="96"/>
      <c r="K1552" s="71" t="s">
        <v>14322</v>
      </c>
      <c r="L1552" s="97"/>
      <c r="M1552" s="76"/>
      <c r="N1552" s="76"/>
      <c r="O1552" s="77"/>
      <c r="P1552" s="78"/>
      <c r="Q1552" s="78"/>
      <c r="R1552" s="92"/>
      <c r="S1552" s="92"/>
      <c r="T1552" s="92"/>
      <c r="U1552" s="92"/>
      <c r="V1552" s="52"/>
      <c r="W1552" s="52"/>
      <c r="X1552" s="52"/>
      <c r="Y1552" s="52"/>
      <c r="Z1552" s="51"/>
      <c r="AA1552" s="73"/>
      <c r="AB1552" s="73"/>
      <c r="AC1552" s="74"/>
      <c r="AD1552" s="81" t="s">
        <v>13531</v>
      </c>
      <c r="AE1552" s="86" t="s">
        <v>13752</v>
      </c>
      <c r="AF1552" s="81">
        <v>327</v>
      </c>
      <c r="AG1552" s="81">
        <v>169</v>
      </c>
      <c r="AH1552" s="81">
        <v>15752</v>
      </c>
      <c r="AI1552" s="81">
        <v>5010</v>
      </c>
      <c r="AJ1552" s="81"/>
      <c r="AK1552" s="81" t="s">
        <v>13992</v>
      </c>
      <c r="AL1552" s="81" t="s">
        <v>14180</v>
      </c>
      <c r="AM1552" s="81"/>
      <c r="AN1552" s="81"/>
      <c r="AO1552" s="83">
        <v>41239.628634259258</v>
      </c>
      <c r="AP1552" s="84" t="str">
        <f>HYPERLINK("https://pbs.twimg.com/profile_banners/972135187/1428776996")</f>
        <v>https://pbs.twimg.com/profile_banners/972135187/1428776996</v>
      </c>
      <c r="AQ1552" s="81" t="b">
        <v>0</v>
      </c>
      <c r="AR1552" s="81" t="b">
        <v>0</v>
      </c>
      <c r="AS1552" s="81" t="b">
        <v>1</v>
      </c>
      <c r="AT1552" s="81"/>
      <c r="AU1552" s="81">
        <v>0</v>
      </c>
      <c r="AV1552" s="84" t="str">
        <f>HYPERLINK("https://abs.twimg.com/images/themes/theme1/bg.png")</f>
        <v>https://abs.twimg.com/images/themes/theme1/bg.png</v>
      </c>
      <c r="AW1552" s="81" t="b">
        <v>0</v>
      </c>
      <c r="AX1552" s="81" t="s">
        <v>3728</v>
      </c>
      <c r="AY1552" s="84" t="str">
        <f>HYPERLINK("https://twitter.com/sheikhkhan3")</f>
        <v>https://twitter.com/sheikhkhan3</v>
      </c>
      <c r="AZ1552" s="81" t="s">
        <v>66</v>
      </c>
    </row>
    <row r="1553" spans="1:52" x14ac:dyDescent="0.35">
      <c r="A1553" s="66" t="s">
        <v>12682</v>
      </c>
      <c r="B1553" s="67"/>
      <c r="C1553" s="67"/>
      <c r="D1553" s="68"/>
      <c r="E1553" s="94"/>
      <c r="F1553" s="93" t="str">
        <f>HYPERLINK("https://pbs.twimg.com/profile_images/1441626599091171332/Cxm1og1Y_normal.jpg")</f>
        <v>https://pbs.twimg.com/profile_images/1441626599091171332/Cxm1og1Y_normal.jpg</v>
      </c>
      <c r="G1553" s="95"/>
      <c r="H1553" s="71"/>
      <c r="I1553" s="72"/>
      <c r="J1553" s="96"/>
      <c r="K1553" s="71" t="s">
        <v>14323</v>
      </c>
      <c r="L1553" s="97"/>
      <c r="M1553" s="76"/>
      <c r="N1553" s="76"/>
      <c r="O1553" s="77"/>
      <c r="P1553" s="78"/>
      <c r="Q1553" s="78"/>
      <c r="R1553" s="92"/>
      <c r="S1553" s="92"/>
      <c r="T1553" s="92"/>
      <c r="U1553" s="92"/>
      <c r="V1553" s="52"/>
      <c r="W1553" s="52"/>
      <c r="X1553" s="52"/>
      <c r="Y1553" s="52"/>
      <c r="Z1553" s="51"/>
      <c r="AA1553" s="73"/>
      <c r="AB1553" s="73"/>
      <c r="AC1553" s="74"/>
      <c r="AD1553" s="81" t="s">
        <v>13532</v>
      </c>
      <c r="AE1553" s="86" t="s">
        <v>13411</v>
      </c>
      <c r="AF1553" s="81">
        <v>403</v>
      </c>
      <c r="AG1553" s="81">
        <v>190</v>
      </c>
      <c r="AH1553" s="81">
        <v>20336</v>
      </c>
      <c r="AI1553" s="81">
        <v>2161</v>
      </c>
      <c r="AJ1553" s="81"/>
      <c r="AK1553" s="81" t="s">
        <v>13993</v>
      </c>
      <c r="AL1553" s="81" t="s">
        <v>14181</v>
      </c>
      <c r="AM1553" s="81"/>
      <c r="AN1553" s="81"/>
      <c r="AO1553" s="83">
        <v>41425.253495370373</v>
      </c>
      <c r="AP1553" s="84" t="str">
        <f>HYPERLINK("https://pbs.twimg.com/profile_banners/1471454606/1578291233")</f>
        <v>https://pbs.twimg.com/profile_banners/1471454606/1578291233</v>
      </c>
      <c r="AQ1553" s="81" t="b">
        <v>0</v>
      </c>
      <c r="AR1553" s="81" t="b">
        <v>0</v>
      </c>
      <c r="AS1553" s="81" t="b">
        <v>1</v>
      </c>
      <c r="AT1553" s="81"/>
      <c r="AU1553" s="81">
        <v>1</v>
      </c>
      <c r="AV1553" s="84" t="str">
        <f>HYPERLINK("https://abs.twimg.com/images/themes/theme1/bg.png")</f>
        <v>https://abs.twimg.com/images/themes/theme1/bg.png</v>
      </c>
      <c r="AW1553" s="81" t="b">
        <v>0</v>
      </c>
      <c r="AX1553" s="81" t="s">
        <v>3728</v>
      </c>
      <c r="AY1553" s="84" t="str">
        <f>HYPERLINK("https://twitter.com/alyphilot")</f>
        <v>https://twitter.com/alyphilot</v>
      </c>
      <c r="AZ1553" s="81" t="s">
        <v>65</v>
      </c>
    </row>
    <row r="1554" spans="1:52" x14ac:dyDescent="0.35">
      <c r="A1554" s="66" t="s">
        <v>218</v>
      </c>
      <c r="B1554" s="67"/>
      <c r="C1554" s="67"/>
      <c r="D1554" s="68"/>
      <c r="E1554" s="94"/>
      <c r="F1554" s="93" t="str">
        <f>HYPERLINK("https://pbs.twimg.com/profile_images/1394919866776264704/ZeNbpu-D_normal.jpg")</f>
        <v>https://pbs.twimg.com/profile_images/1394919866776264704/ZeNbpu-D_normal.jpg</v>
      </c>
      <c r="G1554" s="95"/>
      <c r="H1554" s="71"/>
      <c r="I1554" s="72"/>
      <c r="J1554" s="96"/>
      <c r="K1554" s="71" t="s">
        <v>14324</v>
      </c>
      <c r="L1554" s="97"/>
      <c r="M1554" s="76"/>
      <c r="N1554" s="76"/>
      <c r="O1554" s="77"/>
      <c r="P1554" s="78"/>
      <c r="Q1554" s="78"/>
      <c r="R1554" s="92"/>
      <c r="S1554" s="92"/>
      <c r="T1554" s="92"/>
      <c r="U1554" s="92"/>
      <c r="V1554" s="52"/>
      <c r="W1554" s="52"/>
      <c r="X1554" s="52"/>
      <c r="Y1554" s="52"/>
      <c r="Z1554" s="51"/>
      <c r="AA1554" s="73"/>
      <c r="AB1554" s="73"/>
      <c r="AC1554" s="74"/>
      <c r="AD1554" s="81" t="s">
        <v>2246</v>
      </c>
      <c r="AE1554" s="86" t="s">
        <v>2684</v>
      </c>
      <c r="AF1554" s="81">
        <v>7</v>
      </c>
      <c r="AG1554" s="81">
        <v>11622</v>
      </c>
      <c r="AH1554" s="81">
        <v>59544</v>
      </c>
      <c r="AI1554" s="81">
        <v>132</v>
      </c>
      <c r="AJ1554" s="81"/>
      <c r="AK1554" s="81" t="s">
        <v>3085</v>
      </c>
      <c r="AL1554" s="81" t="s">
        <v>2202</v>
      </c>
      <c r="AM1554" s="84" t="str">
        <f>HYPERLINK("https://t.co/7nwcUT8u4d")</f>
        <v>https://t.co/7nwcUT8u4d</v>
      </c>
      <c r="AN1554" s="81"/>
      <c r="AO1554" s="83">
        <v>43761.420335648145</v>
      </c>
      <c r="AP1554" s="84" t="str">
        <f>HYPERLINK("https://pbs.twimg.com/profile_banners/1186946650595418116/1629044607")</f>
        <v>https://pbs.twimg.com/profile_banners/1186946650595418116/1629044607</v>
      </c>
      <c r="AQ1554" s="81" t="b">
        <v>1</v>
      </c>
      <c r="AR1554" s="81" t="b">
        <v>0</v>
      </c>
      <c r="AS1554" s="81" t="b">
        <v>0</v>
      </c>
      <c r="AT1554" s="81"/>
      <c r="AU1554" s="81">
        <v>39</v>
      </c>
      <c r="AV1554" s="81"/>
      <c r="AW1554" s="81" t="b">
        <v>0</v>
      </c>
      <c r="AX1554" s="81" t="s">
        <v>3728</v>
      </c>
      <c r="AY1554" s="84" t="str">
        <f>HYPERLINK("https://twitter.com/voidotid")</f>
        <v>https://twitter.com/voidotid</v>
      </c>
      <c r="AZ1554" s="81" t="s">
        <v>66</v>
      </c>
    </row>
    <row r="1555" spans="1:52" x14ac:dyDescent="0.35">
      <c r="A1555" s="66" t="s">
        <v>4909</v>
      </c>
      <c r="B1555" s="67"/>
      <c r="C1555" s="67"/>
      <c r="D1555" s="68"/>
      <c r="E1555" s="94"/>
      <c r="F1555" s="93" t="str">
        <f>HYPERLINK("https://pbs.twimg.com/profile_images/1414724573325574146/W8dcJYo__normal.jpg")</f>
        <v>https://pbs.twimg.com/profile_images/1414724573325574146/W8dcJYo__normal.jpg</v>
      </c>
      <c r="G1555" s="95"/>
      <c r="H1555" s="71"/>
      <c r="I1555" s="72"/>
      <c r="J1555" s="96"/>
      <c r="K1555" s="71" t="s">
        <v>14325</v>
      </c>
      <c r="L1555" s="97"/>
      <c r="M1555" s="76"/>
      <c r="N1555" s="76"/>
      <c r="O1555" s="77"/>
      <c r="P1555" s="78"/>
      <c r="Q1555" s="78"/>
      <c r="R1555" s="92"/>
      <c r="S1555" s="92"/>
      <c r="T1555" s="92"/>
      <c r="U1555" s="92"/>
      <c r="V1555" s="52"/>
      <c r="W1555" s="52"/>
      <c r="X1555" s="52"/>
      <c r="Y1555" s="52"/>
      <c r="Z1555" s="51"/>
      <c r="AA1555" s="73"/>
      <c r="AB1555" s="73"/>
      <c r="AC1555" s="74"/>
      <c r="AD1555" s="81" t="s">
        <v>8973</v>
      </c>
      <c r="AE1555" s="86" t="s">
        <v>9930</v>
      </c>
      <c r="AF1555" s="81">
        <v>483</v>
      </c>
      <c r="AG1555" s="81">
        <v>9636</v>
      </c>
      <c r="AH1555" s="81">
        <v>29423</v>
      </c>
      <c r="AI1555" s="81">
        <v>6176</v>
      </c>
      <c r="AJ1555" s="81"/>
      <c r="AK1555" s="81" t="s">
        <v>10850</v>
      </c>
      <c r="AL1555" s="81" t="s">
        <v>10990</v>
      </c>
      <c r="AM1555" s="84" t="str">
        <f>HYPERLINK("https://t.co/67K4f9NobZ")</f>
        <v>https://t.co/67K4f9NobZ</v>
      </c>
      <c r="AN1555" s="81"/>
      <c r="AO1555" s="83">
        <v>41385.470173611109</v>
      </c>
      <c r="AP1555" s="84" t="str">
        <f>HYPERLINK("https://pbs.twimg.com/profile_banners/1369316678/1626131628")</f>
        <v>https://pbs.twimg.com/profile_banners/1369316678/1626131628</v>
      </c>
      <c r="AQ1555" s="81" t="b">
        <v>0</v>
      </c>
      <c r="AR1555" s="81" t="b">
        <v>0</v>
      </c>
      <c r="AS1555" s="81" t="b">
        <v>1</v>
      </c>
      <c r="AT1555" s="81"/>
      <c r="AU1555" s="81">
        <v>168</v>
      </c>
      <c r="AV1555" s="84" t="str">
        <f>HYPERLINK("https://abs.twimg.com/images/themes/theme1/bg.png")</f>
        <v>https://abs.twimg.com/images/themes/theme1/bg.png</v>
      </c>
      <c r="AW1555" s="81" t="b">
        <v>1</v>
      </c>
      <c r="AX1555" s="81" t="s">
        <v>3728</v>
      </c>
      <c r="AY1555" s="84" t="str">
        <f>HYPERLINK("https://twitter.com/shifterpt")</f>
        <v>https://twitter.com/shifterpt</v>
      </c>
      <c r="AZ1555" s="81" t="s">
        <v>66</v>
      </c>
    </row>
    <row r="1556" spans="1:52" x14ac:dyDescent="0.35">
      <c r="A1556" s="66" t="s">
        <v>12529</v>
      </c>
      <c r="B1556" s="67"/>
      <c r="C1556" s="67"/>
      <c r="D1556" s="68"/>
      <c r="E1556" s="94"/>
      <c r="F1556" s="93" t="str">
        <f>HYPERLINK("https://pbs.twimg.com/profile_images/1384537870778748929/duVozpFr_normal.jpg")</f>
        <v>https://pbs.twimg.com/profile_images/1384537870778748929/duVozpFr_normal.jpg</v>
      </c>
      <c r="G1556" s="95"/>
      <c r="H1556" s="71"/>
      <c r="I1556" s="72"/>
      <c r="J1556" s="96"/>
      <c r="K1556" s="71" t="s">
        <v>14326</v>
      </c>
      <c r="L1556" s="97"/>
      <c r="M1556" s="76"/>
      <c r="N1556" s="76"/>
      <c r="O1556" s="77"/>
      <c r="P1556" s="78"/>
      <c r="Q1556" s="78"/>
      <c r="R1556" s="92"/>
      <c r="S1556" s="92"/>
      <c r="T1556" s="92"/>
      <c r="U1556" s="92"/>
      <c r="V1556" s="52"/>
      <c r="W1556" s="52"/>
      <c r="X1556" s="52"/>
      <c r="Y1556" s="52"/>
      <c r="Z1556" s="51"/>
      <c r="AA1556" s="73"/>
      <c r="AB1556" s="73"/>
      <c r="AC1556" s="74"/>
      <c r="AD1556" s="81" t="s">
        <v>13533</v>
      </c>
      <c r="AE1556" s="86" t="s">
        <v>13753</v>
      </c>
      <c r="AF1556" s="81">
        <v>111</v>
      </c>
      <c r="AG1556" s="81">
        <v>125</v>
      </c>
      <c r="AH1556" s="81">
        <v>5731</v>
      </c>
      <c r="AI1556" s="81">
        <v>5288</v>
      </c>
      <c r="AJ1556" s="81"/>
      <c r="AK1556" s="81" t="s">
        <v>13994</v>
      </c>
      <c r="AL1556" s="81"/>
      <c r="AM1556" s="81"/>
      <c r="AN1556" s="81"/>
      <c r="AO1556" s="83">
        <v>42204.728807870371</v>
      </c>
      <c r="AP1556" s="84" t="str">
        <f>HYPERLINK("https://pbs.twimg.com/profile_banners/3383292069/1569786739")</f>
        <v>https://pbs.twimg.com/profile_banners/3383292069/1569786739</v>
      </c>
      <c r="AQ1556" s="81" t="b">
        <v>0</v>
      </c>
      <c r="AR1556" s="81" t="b">
        <v>0</v>
      </c>
      <c r="AS1556" s="81" t="b">
        <v>0</v>
      </c>
      <c r="AT1556" s="81"/>
      <c r="AU1556" s="81">
        <v>3</v>
      </c>
      <c r="AV1556" s="84" t="str">
        <f>HYPERLINK("https://abs.twimg.com/images/themes/theme1/bg.png")</f>
        <v>https://abs.twimg.com/images/themes/theme1/bg.png</v>
      </c>
      <c r="AW1556" s="81" t="b">
        <v>0</v>
      </c>
      <c r="AX1556" s="81" t="s">
        <v>3728</v>
      </c>
      <c r="AY1556" s="84" t="str">
        <f>HYPERLINK("https://twitter.com/pos_tolmas")</f>
        <v>https://twitter.com/pos_tolmas</v>
      </c>
      <c r="AZ1556" s="81" t="s">
        <v>66</v>
      </c>
    </row>
    <row r="1557" spans="1:52" x14ac:dyDescent="0.35">
      <c r="A1557" s="66" t="s">
        <v>12530</v>
      </c>
      <c r="B1557" s="67"/>
      <c r="C1557" s="67"/>
      <c r="D1557" s="68"/>
      <c r="E1557" s="94"/>
      <c r="F1557" s="93" t="str">
        <f>HYPERLINK("https://pbs.twimg.com/profile_images/378800000798983875/f992a5a82c6c41b5e35c7606cd04384d_normal.png")</f>
        <v>https://pbs.twimg.com/profile_images/378800000798983875/f992a5a82c6c41b5e35c7606cd04384d_normal.png</v>
      </c>
      <c r="G1557" s="95"/>
      <c r="H1557" s="71"/>
      <c r="I1557" s="72"/>
      <c r="J1557" s="96"/>
      <c r="K1557" s="71" t="s">
        <v>14327</v>
      </c>
      <c r="L1557" s="97"/>
      <c r="M1557" s="76"/>
      <c r="N1557" s="76"/>
      <c r="O1557" s="77"/>
      <c r="P1557" s="78"/>
      <c r="Q1557" s="78"/>
      <c r="R1557" s="92"/>
      <c r="S1557" s="92"/>
      <c r="T1557" s="92"/>
      <c r="U1557" s="92"/>
      <c r="V1557" s="52"/>
      <c r="W1557" s="52"/>
      <c r="X1557" s="52"/>
      <c r="Y1557" s="52"/>
      <c r="Z1557" s="51"/>
      <c r="AA1557" s="73"/>
      <c r="AB1557" s="73"/>
      <c r="AC1557" s="74"/>
      <c r="AD1557" s="81" t="s">
        <v>13534</v>
      </c>
      <c r="AE1557" s="86" t="s">
        <v>13754</v>
      </c>
      <c r="AF1557" s="81">
        <v>1956</v>
      </c>
      <c r="AG1557" s="81">
        <v>1933</v>
      </c>
      <c r="AH1557" s="81">
        <v>49566</v>
      </c>
      <c r="AI1557" s="81">
        <v>20053</v>
      </c>
      <c r="AJ1557" s="81"/>
      <c r="AK1557" s="81" t="s">
        <v>13995</v>
      </c>
      <c r="AL1557" s="81" t="s">
        <v>14182</v>
      </c>
      <c r="AM1557" s="84" t="str">
        <f>HYPERLINK("http://t.co/t07fY59Uyx")</f>
        <v>http://t.co/t07fY59Uyx</v>
      </c>
      <c r="AN1557" s="81"/>
      <c r="AO1557" s="83">
        <v>41605.879247685189</v>
      </c>
      <c r="AP1557" s="84" t="str">
        <f>HYPERLINK("https://pbs.twimg.com/profile_banners/2218432902/1457038110")</f>
        <v>https://pbs.twimg.com/profile_banners/2218432902/1457038110</v>
      </c>
      <c r="AQ1557" s="81" t="b">
        <v>0</v>
      </c>
      <c r="AR1557" s="81" t="b">
        <v>0</v>
      </c>
      <c r="AS1557" s="81" t="b">
        <v>1</v>
      </c>
      <c r="AT1557" s="81"/>
      <c r="AU1557" s="81">
        <v>18</v>
      </c>
      <c r="AV1557" s="84" t="str">
        <f>HYPERLINK("https://abs.twimg.com/images/themes/theme1/bg.png")</f>
        <v>https://abs.twimg.com/images/themes/theme1/bg.png</v>
      </c>
      <c r="AW1557" s="81" t="b">
        <v>0</v>
      </c>
      <c r="AX1557" s="81" t="s">
        <v>3728</v>
      </c>
      <c r="AY1557" s="84" t="str">
        <f>HYPERLINK("https://twitter.com/covercouch")</f>
        <v>https://twitter.com/covercouch</v>
      </c>
      <c r="AZ1557" s="81" t="s">
        <v>66</v>
      </c>
    </row>
    <row r="1558" spans="1:52" x14ac:dyDescent="0.35">
      <c r="A1558" s="66" t="s">
        <v>583</v>
      </c>
      <c r="B1558" s="67"/>
      <c r="C1558" s="67"/>
      <c r="D1558" s="68"/>
      <c r="E1558" s="94"/>
      <c r="F1558" s="93" t="str">
        <f>HYPERLINK("https://pbs.twimg.com/profile_images/1156431153143808001/WoOH3eF6_normal.jpg")</f>
        <v>https://pbs.twimg.com/profile_images/1156431153143808001/WoOH3eF6_normal.jpg</v>
      </c>
      <c r="G1558" s="95"/>
      <c r="H1558" s="71"/>
      <c r="I1558" s="72"/>
      <c r="J1558" s="96"/>
      <c r="K1558" s="71" t="s">
        <v>14328</v>
      </c>
      <c r="L1558" s="97"/>
      <c r="M1558" s="76"/>
      <c r="N1558" s="76"/>
      <c r="O1558" s="77"/>
      <c r="P1558" s="78"/>
      <c r="Q1558" s="78"/>
      <c r="R1558" s="92"/>
      <c r="S1558" s="92"/>
      <c r="T1558" s="92"/>
      <c r="U1558" s="92"/>
      <c r="V1558" s="52"/>
      <c r="W1558" s="52"/>
      <c r="X1558" s="52"/>
      <c r="Y1558" s="52"/>
      <c r="Z1558" s="51"/>
      <c r="AA1558" s="73"/>
      <c r="AB1558" s="73"/>
      <c r="AC1558" s="74"/>
      <c r="AD1558" s="81" t="s">
        <v>2667</v>
      </c>
      <c r="AE1558" s="86" t="s">
        <v>3065</v>
      </c>
      <c r="AF1558" s="81">
        <v>6</v>
      </c>
      <c r="AG1558" s="81">
        <v>6</v>
      </c>
      <c r="AH1558" s="81">
        <v>831</v>
      </c>
      <c r="AI1558" s="81">
        <v>1</v>
      </c>
      <c r="AJ1558" s="81"/>
      <c r="AK1558" s="81" t="s">
        <v>3491</v>
      </c>
      <c r="AL1558" s="81" t="s">
        <v>2202</v>
      </c>
      <c r="AM1558" s="81"/>
      <c r="AN1558" s="81"/>
      <c r="AO1558" s="83">
        <v>42529.412222222221</v>
      </c>
      <c r="AP1558" s="84" t="str">
        <f>HYPERLINK("https://pbs.twimg.com/profile_banners/740481894756683777/1467692249")</f>
        <v>https://pbs.twimg.com/profile_banners/740481894756683777/1467692249</v>
      </c>
      <c r="AQ1558" s="81" t="b">
        <v>1</v>
      </c>
      <c r="AR1558" s="81" t="b">
        <v>0</v>
      </c>
      <c r="AS1558" s="81" t="b">
        <v>1</v>
      </c>
      <c r="AT1558" s="81"/>
      <c r="AU1558" s="81">
        <v>0</v>
      </c>
      <c r="AV1558" s="81"/>
      <c r="AW1558" s="81" t="b">
        <v>0</v>
      </c>
      <c r="AX1558" s="81" t="s">
        <v>3728</v>
      </c>
      <c r="AY1558" s="84" t="str">
        <f>HYPERLINK("https://twitter.com/tbssouvenir")</f>
        <v>https://twitter.com/tbssouvenir</v>
      </c>
      <c r="AZ1558" s="81" t="s">
        <v>66</v>
      </c>
    </row>
    <row r="1559" spans="1:52" x14ac:dyDescent="0.35">
      <c r="A1559" s="66" t="s">
        <v>12531</v>
      </c>
      <c r="B1559" s="67"/>
      <c r="C1559" s="67"/>
      <c r="D1559" s="68"/>
      <c r="E1559" s="94"/>
      <c r="F1559" s="93" t="str">
        <f>HYPERLINK("https://pbs.twimg.com/profile_images/1381821499779211266/nQ7kjpKa_normal.jpg")</f>
        <v>https://pbs.twimg.com/profile_images/1381821499779211266/nQ7kjpKa_normal.jpg</v>
      </c>
      <c r="G1559" s="95"/>
      <c r="H1559" s="71"/>
      <c r="I1559" s="72"/>
      <c r="J1559" s="96"/>
      <c r="K1559" s="71" t="s">
        <v>14329</v>
      </c>
      <c r="L1559" s="97"/>
      <c r="M1559" s="76"/>
      <c r="N1559" s="76"/>
      <c r="O1559" s="77"/>
      <c r="P1559" s="78"/>
      <c r="Q1559" s="78"/>
      <c r="R1559" s="92"/>
      <c r="S1559" s="92"/>
      <c r="T1559" s="92"/>
      <c r="U1559" s="92"/>
      <c r="V1559" s="52"/>
      <c r="W1559" s="52"/>
      <c r="X1559" s="52"/>
      <c r="Y1559" s="52"/>
      <c r="Z1559" s="51"/>
      <c r="AA1559" s="73"/>
      <c r="AB1559" s="73"/>
      <c r="AC1559" s="74"/>
      <c r="AD1559" s="81" t="s">
        <v>13535</v>
      </c>
      <c r="AE1559" s="86" t="s">
        <v>13755</v>
      </c>
      <c r="AF1559" s="81">
        <v>155</v>
      </c>
      <c r="AG1559" s="81">
        <v>52</v>
      </c>
      <c r="AH1559" s="81">
        <v>2086</v>
      </c>
      <c r="AI1559" s="81">
        <v>2234</v>
      </c>
      <c r="AJ1559" s="81"/>
      <c r="AK1559" s="81" t="s">
        <v>13996</v>
      </c>
      <c r="AL1559" s="81"/>
      <c r="AM1559" s="81"/>
      <c r="AN1559" s="81"/>
      <c r="AO1559" s="83">
        <v>44004.61923611111</v>
      </c>
      <c r="AP1559" s="81"/>
      <c r="AQ1559" s="81" t="b">
        <v>1</v>
      </c>
      <c r="AR1559" s="81" t="b">
        <v>0</v>
      </c>
      <c r="AS1559" s="81" t="b">
        <v>0</v>
      </c>
      <c r="AT1559" s="81"/>
      <c r="AU1559" s="81">
        <v>0</v>
      </c>
      <c r="AV1559" s="81"/>
      <c r="AW1559" s="81" t="b">
        <v>0</v>
      </c>
      <c r="AX1559" s="81" t="s">
        <v>3728</v>
      </c>
      <c r="AY1559" s="84" t="str">
        <f>HYPERLINK("https://twitter.com/leandro78671009")</f>
        <v>https://twitter.com/leandro78671009</v>
      </c>
      <c r="AZ1559" s="81" t="s">
        <v>66</v>
      </c>
    </row>
    <row r="1560" spans="1:52" x14ac:dyDescent="0.35">
      <c r="A1560" s="66" t="s">
        <v>12683</v>
      </c>
      <c r="B1560" s="67"/>
      <c r="C1560" s="67"/>
      <c r="D1560" s="68"/>
      <c r="E1560" s="94"/>
      <c r="F1560" s="93" t="str">
        <f>HYPERLINK("https://pbs.twimg.com/profile_images/1441025377783136256/NULfPUWm_normal.png")</f>
        <v>https://pbs.twimg.com/profile_images/1441025377783136256/NULfPUWm_normal.png</v>
      </c>
      <c r="G1560" s="95"/>
      <c r="H1560" s="71"/>
      <c r="I1560" s="72"/>
      <c r="J1560" s="96"/>
      <c r="K1560" s="71" t="s">
        <v>14330</v>
      </c>
      <c r="L1560" s="97"/>
      <c r="M1560" s="76"/>
      <c r="N1560" s="76"/>
      <c r="O1560" s="77"/>
      <c r="P1560" s="78"/>
      <c r="Q1560" s="78"/>
      <c r="R1560" s="92"/>
      <c r="S1560" s="92"/>
      <c r="T1560" s="92"/>
      <c r="U1560" s="92"/>
      <c r="V1560" s="52"/>
      <c r="W1560" s="52"/>
      <c r="X1560" s="52"/>
      <c r="Y1560" s="52"/>
      <c r="Z1560" s="51"/>
      <c r="AA1560" s="73"/>
      <c r="AB1560" s="73"/>
      <c r="AC1560" s="74"/>
      <c r="AD1560" s="81" t="s">
        <v>13536</v>
      </c>
      <c r="AE1560" s="86" t="s">
        <v>13412</v>
      </c>
      <c r="AF1560" s="81">
        <v>592</v>
      </c>
      <c r="AG1560" s="81">
        <v>38868</v>
      </c>
      <c r="AH1560" s="81">
        <v>8434</v>
      </c>
      <c r="AI1560" s="81">
        <v>13781</v>
      </c>
      <c r="AJ1560" s="81"/>
      <c r="AK1560" s="81" t="s">
        <v>13997</v>
      </c>
      <c r="AL1560" s="81" t="s">
        <v>10985</v>
      </c>
      <c r="AM1560" s="81"/>
      <c r="AN1560" s="81"/>
      <c r="AO1560" s="83">
        <v>42767.20653935185</v>
      </c>
      <c r="AP1560" s="84" t="str">
        <f>HYPERLINK("https://pbs.twimg.com/profile_banners/826655671416401921/1612284653")</f>
        <v>https://pbs.twimg.com/profile_banners/826655671416401921/1612284653</v>
      </c>
      <c r="AQ1560" s="81" t="b">
        <v>1</v>
      </c>
      <c r="AR1560" s="81" t="b">
        <v>0</v>
      </c>
      <c r="AS1560" s="81" t="b">
        <v>1</v>
      </c>
      <c r="AT1560" s="81"/>
      <c r="AU1560" s="81">
        <v>192</v>
      </c>
      <c r="AV1560" s="81"/>
      <c r="AW1560" s="81" t="b">
        <v>1</v>
      </c>
      <c r="AX1560" s="81" t="s">
        <v>3728</v>
      </c>
      <c r="AY1560" s="84" t="str">
        <f>HYPERLINK("https://twitter.com/janainalimasp")</f>
        <v>https://twitter.com/janainalimasp</v>
      </c>
      <c r="AZ1560" s="81" t="s">
        <v>65</v>
      </c>
    </row>
    <row r="1561" spans="1:52" x14ac:dyDescent="0.35">
      <c r="A1561" s="66" t="s">
        <v>12532</v>
      </c>
      <c r="B1561" s="67"/>
      <c r="C1561" s="67"/>
      <c r="D1561" s="68"/>
      <c r="E1561" s="94"/>
      <c r="F1561" s="93" t="str">
        <f>HYPERLINK("https://pbs.twimg.com/profile_images/3637532007/e47bac661a303badfb2b2b7848b710ff_normal.jpeg")</f>
        <v>https://pbs.twimg.com/profile_images/3637532007/e47bac661a303badfb2b2b7848b710ff_normal.jpeg</v>
      </c>
      <c r="G1561" s="95"/>
      <c r="H1561" s="71"/>
      <c r="I1561" s="72"/>
      <c r="J1561" s="96"/>
      <c r="K1561" s="71" t="s">
        <v>14331</v>
      </c>
      <c r="L1561" s="97"/>
      <c r="M1561" s="76"/>
      <c r="N1561" s="76"/>
      <c r="O1561" s="77"/>
      <c r="P1561" s="78"/>
      <c r="Q1561" s="78"/>
      <c r="R1561" s="92"/>
      <c r="S1561" s="92"/>
      <c r="T1561" s="92"/>
      <c r="U1561" s="92"/>
      <c r="V1561" s="52"/>
      <c r="W1561" s="52"/>
      <c r="X1561" s="52"/>
      <c r="Y1561" s="52"/>
      <c r="Z1561" s="51"/>
      <c r="AA1561" s="73"/>
      <c r="AB1561" s="73"/>
      <c r="AC1561" s="74"/>
      <c r="AD1561" s="81" t="s">
        <v>13537</v>
      </c>
      <c r="AE1561" s="86" t="s">
        <v>13756</v>
      </c>
      <c r="AF1561" s="81">
        <v>392</v>
      </c>
      <c r="AG1561" s="81">
        <v>622</v>
      </c>
      <c r="AH1561" s="81">
        <v>4062</v>
      </c>
      <c r="AI1561" s="81">
        <v>3711</v>
      </c>
      <c r="AJ1561" s="81"/>
      <c r="AK1561" s="81" t="s">
        <v>13998</v>
      </c>
      <c r="AL1561" s="81" t="s">
        <v>14183</v>
      </c>
      <c r="AM1561" s="84" t="str">
        <f>HYPERLINK("https://t.co/SsXazBCTH0")</f>
        <v>https://t.co/SsXazBCTH0</v>
      </c>
      <c r="AN1561" s="81"/>
      <c r="AO1561" s="83">
        <v>40079.803611111114</v>
      </c>
      <c r="AP1561" s="81"/>
      <c r="AQ1561" s="81" t="b">
        <v>0</v>
      </c>
      <c r="AR1561" s="81" t="b">
        <v>0</v>
      </c>
      <c r="AS1561" s="81" t="b">
        <v>0</v>
      </c>
      <c r="AT1561" s="81"/>
      <c r="AU1561" s="81">
        <v>12</v>
      </c>
      <c r="AV1561" s="84" t="str">
        <f>HYPERLINK("https://abs.twimg.com/images/themes/theme8/bg.gif")</f>
        <v>https://abs.twimg.com/images/themes/theme8/bg.gif</v>
      </c>
      <c r="AW1561" s="81" t="b">
        <v>0</v>
      </c>
      <c r="AX1561" s="81" t="s">
        <v>3728</v>
      </c>
      <c r="AY1561" s="84" t="str">
        <f>HYPERLINK("https://twitter.com/fabianomendonca")</f>
        <v>https://twitter.com/fabianomendonca</v>
      </c>
      <c r="AZ1561" s="81" t="s">
        <v>66</v>
      </c>
    </row>
    <row r="1562" spans="1:52" x14ac:dyDescent="0.35">
      <c r="A1562" s="66" t="s">
        <v>12533</v>
      </c>
      <c r="B1562" s="67"/>
      <c r="C1562" s="67"/>
      <c r="D1562" s="68"/>
      <c r="E1562" s="94"/>
      <c r="F1562" s="93" t="str">
        <f>HYPERLINK("https://pbs.twimg.com/profile_images/1267197179174797312/P5pwyz6W_normal.jpg")</f>
        <v>https://pbs.twimg.com/profile_images/1267197179174797312/P5pwyz6W_normal.jpg</v>
      </c>
      <c r="G1562" s="95"/>
      <c r="H1562" s="71"/>
      <c r="I1562" s="72"/>
      <c r="J1562" s="96"/>
      <c r="K1562" s="71" t="s">
        <v>14332</v>
      </c>
      <c r="L1562" s="97"/>
      <c r="M1562" s="76"/>
      <c r="N1562" s="76"/>
      <c r="O1562" s="77"/>
      <c r="P1562" s="78"/>
      <c r="Q1562" s="78"/>
      <c r="R1562" s="92"/>
      <c r="S1562" s="92"/>
      <c r="T1562" s="92"/>
      <c r="U1562" s="92"/>
      <c r="V1562" s="52"/>
      <c r="W1562" s="52"/>
      <c r="X1562" s="52"/>
      <c r="Y1562" s="52"/>
      <c r="Z1562" s="51"/>
      <c r="AA1562" s="73"/>
      <c r="AB1562" s="73"/>
      <c r="AC1562" s="74"/>
      <c r="AD1562" s="81" t="s">
        <v>13538</v>
      </c>
      <c r="AE1562" s="86" t="s">
        <v>13413</v>
      </c>
      <c r="AF1562" s="81">
        <v>38</v>
      </c>
      <c r="AG1562" s="81">
        <v>54</v>
      </c>
      <c r="AH1562" s="81">
        <v>4470</v>
      </c>
      <c r="AI1562" s="81">
        <v>26585</v>
      </c>
      <c r="AJ1562" s="81"/>
      <c r="AK1562" s="81"/>
      <c r="AL1562" s="81"/>
      <c r="AM1562" s="81"/>
      <c r="AN1562" s="81"/>
      <c r="AO1562" s="83">
        <v>41168.634780092594</v>
      </c>
      <c r="AP1562" s="81"/>
      <c r="AQ1562" s="81" t="b">
        <v>1</v>
      </c>
      <c r="AR1562" s="81" t="b">
        <v>0</v>
      </c>
      <c r="AS1562" s="81" t="b">
        <v>0</v>
      </c>
      <c r="AT1562" s="81"/>
      <c r="AU1562" s="81">
        <v>0</v>
      </c>
      <c r="AV1562" s="84" t="str">
        <f>HYPERLINK("https://abs.twimg.com/images/themes/theme1/bg.png")</f>
        <v>https://abs.twimg.com/images/themes/theme1/bg.png</v>
      </c>
      <c r="AW1562" s="81" t="b">
        <v>0</v>
      </c>
      <c r="AX1562" s="81" t="s">
        <v>3728</v>
      </c>
      <c r="AY1562" s="84" t="str">
        <f>HYPERLINK("https://twitter.com/nwaissmann")</f>
        <v>https://twitter.com/nwaissmann</v>
      </c>
      <c r="AZ1562" s="81" t="s">
        <v>66</v>
      </c>
    </row>
    <row r="1563" spans="1:52" x14ac:dyDescent="0.35">
      <c r="A1563" s="66" t="s">
        <v>12684</v>
      </c>
      <c r="B1563" s="67"/>
      <c r="C1563" s="67"/>
      <c r="D1563" s="68"/>
      <c r="E1563" s="94"/>
      <c r="F1563" s="93" t="str">
        <f>HYPERLINK("https://pbs.twimg.com/profile_images/1308508653490708494/Hh_jnYtB_normal.jpg")</f>
        <v>https://pbs.twimg.com/profile_images/1308508653490708494/Hh_jnYtB_normal.jpg</v>
      </c>
      <c r="G1563" s="95"/>
      <c r="H1563" s="71"/>
      <c r="I1563" s="72"/>
      <c r="J1563" s="96"/>
      <c r="K1563" s="71" t="s">
        <v>14333</v>
      </c>
      <c r="L1563" s="97"/>
      <c r="M1563" s="76"/>
      <c r="N1563" s="76"/>
      <c r="O1563" s="77"/>
      <c r="P1563" s="78"/>
      <c r="Q1563" s="78"/>
      <c r="R1563" s="92"/>
      <c r="S1563" s="92"/>
      <c r="T1563" s="92"/>
      <c r="U1563" s="92"/>
      <c r="V1563" s="52"/>
      <c r="W1563" s="52"/>
      <c r="X1563" s="52"/>
      <c r="Y1563" s="52"/>
      <c r="Z1563" s="51"/>
      <c r="AA1563" s="73"/>
      <c r="AB1563" s="73"/>
      <c r="AC1563" s="74"/>
      <c r="AD1563" s="81" t="s">
        <v>13539</v>
      </c>
      <c r="AE1563" s="86" t="s">
        <v>13757</v>
      </c>
      <c r="AF1563" s="81">
        <v>6144</v>
      </c>
      <c r="AG1563" s="81">
        <v>6690</v>
      </c>
      <c r="AH1563" s="81">
        <v>102109</v>
      </c>
      <c r="AI1563" s="81">
        <v>41819</v>
      </c>
      <c r="AJ1563" s="81"/>
      <c r="AK1563" s="81" t="s">
        <v>13999</v>
      </c>
      <c r="AL1563" s="81" t="s">
        <v>14184</v>
      </c>
      <c r="AM1563" s="84" t="str">
        <f>HYPERLINK("https://t.co/GaEvtxE6BL")</f>
        <v>https://t.co/GaEvtxE6BL</v>
      </c>
      <c r="AN1563" s="81"/>
      <c r="AO1563" s="83">
        <v>39919.608483796299</v>
      </c>
      <c r="AP1563" s="84" t="str">
        <f>HYPERLINK("https://pbs.twimg.com/profile_banners/31842898/1615210762")</f>
        <v>https://pbs.twimg.com/profile_banners/31842898/1615210762</v>
      </c>
      <c r="AQ1563" s="81" t="b">
        <v>0</v>
      </c>
      <c r="AR1563" s="81" t="b">
        <v>0</v>
      </c>
      <c r="AS1563" s="81" t="b">
        <v>1</v>
      </c>
      <c r="AT1563" s="81"/>
      <c r="AU1563" s="81">
        <v>86</v>
      </c>
      <c r="AV1563" s="84" t="str">
        <f>HYPERLINK("https://abs.twimg.com/images/themes/theme3/bg.gif")</f>
        <v>https://abs.twimg.com/images/themes/theme3/bg.gif</v>
      </c>
      <c r="AW1563" s="81" t="b">
        <v>0</v>
      </c>
      <c r="AX1563" s="81" t="s">
        <v>3728</v>
      </c>
      <c r="AY1563" s="84" t="str">
        <f>HYPERLINK("https://twitter.com/jessicabalbino")</f>
        <v>https://twitter.com/jessicabalbino</v>
      </c>
      <c r="AZ1563" s="81" t="s">
        <v>65</v>
      </c>
    </row>
    <row r="1564" spans="1:52" x14ac:dyDescent="0.35">
      <c r="A1564" s="66" t="s">
        <v>12534</v>
      </c>
      <c r="B1564" s="67"/>
      <c r="C1564" s="67"/>
      <c r="D1564" s="68"/>
      <c r="E1564" s="94"/>
      <c r="F1564" s="93" t="str">
        <f>HYPERLINK("https://pbs.twimg.com/profile_images/1429120684999856134/0_W8fSLG_normal.jpg")</f>
        <v>https://pbs.twimg.com/profile_images/1429120684999856134/0_W8fSLG_normal.jpg</v>
      </c>
      <c r="G1564" s="95"/>
      <c r="H1564" s="71"/>
      <c r="I1564" s="72"/>
      <c r="J1564" s="96"/>
      <c r="K1564" s="71" t="s">
        <v>14334</v>
      </c>
      <c r="L1564" s="97"/>
      <c r="M1564" s="76"/>
      <c r="N1564" s="76"/>
      <c r="O1564" s="77"/>
      <c r="P1564" s="78"/>
      <c r="Q1564" s="78"/>
      <c r="R1564" s="92"/>
      <c r="S1564" s="92"/>
      <c r="T1564" s="92"/>
      <c r="U1564" s="92"/>
      <c r="V1564" s="52"/>
      <c r="W1564" s="52"/>
      <c r="X1564" s="52"/>
      <c r="Y1564" s="52"/>
      <c r="Z1564" s="51"/>
      <c r="AA1564" s="73"/>
      <c r="AB1564" s="73"/>
      <c r="AC1564" s="74"/>
      <c r="AD1564" s="81" t="s">
        <v>13540</v>
      </c>
      <c r="AE1564" s="86" t="s">
        <v>13758</v>
      </c>
      <c r="AF1564" s="81">
        <v>64</v>
      </c>
      <c r="AG1564" s="81">
        <v>23</v>
      </c>
      <c r="AH1564" s="81">
        <v>3273</v>
      </c>
      <c r="AI1564" s="81">
        <v>1092</v>
      </c>
      <c r="AJ1564" s="81"/>
      <c r="AK1564" s="81" t="s">
        <v>14000</v>
      </c>
      <c r="AL1564" s="81"/>
      <c r="AM1564" s="81"/>
      <c r="AN1564" s="81"/>
      <c r="AO1564" s="83">
        <v>44004.825659722221</v>
      </c>
      <c r="AP1564" s="84" t="str">
        <f>HYPERLINK("https://pbs.twimg.com/profile_banners/1275153787334909953/1601346964")</f>
        <v>https://pbs.twimg.com/profile_banners/1275153787334909953/1601346964</v>
      </c>
      <c r="AQ1564" s="81" t="b">
        <v>1</v>
      </c>
      <c r="AR1564" s="81" t="b">
        <v>0</v>
      </c>
      <c r="AS1564" s="81" t="b">
        <v>0</v>
      </c>
      <c r="AT1564" s="81"/>
      <c r="AU1564" s="81">
        <v>0</v>
      </c>
      <c r="AV1564" s="81"/>
      <c r="AW1564" s="81" t="b">
        <v>0</v>
      </c>
      <c r="AX1564" s="81" t="s">
        <v>3728</v>
      </c>
      <c r="AY1564" s="84" t="str">
        <f>HYPERLINK("https://twitter.com/jay_woojae")</f>
        <v>https://twitter.com/jay_woojae</v>
      </c>
      <c r="AZ1564" s="81" t="s">
        <v>66</v>
      </c>
    </row>
    <row r="1565" spans="1:52" x14ac:dyDescent="0.35">
      <c r="A1565" s="66" t="s">
        <v>12685</v>
      </c>
      <c r="B1565" s="67"/>
      <c r="C1565" s="67"/>
      <c r="D1565" s="68"/>
      <c r="E1565" s="94"/>
      <c r="F1565" s="93" t="str">
        <f>HYPERLINK("https://pbs.twimg.com/profile_images/1441727149984022528/D4KXUeoL_normal.jpg")</f>
        <v>https://pbs.twimg.com/profile_images/1441727149984022528/D4KXUeoL_normal.jpg</v>
      </c>
      <c r="G1565" s="95"/>
      <c r="H1565" s="71"/>
      <c r="I1565" s="72"/>
      <c r="J1565" s="96"/>
      <c r="K1565" s="71" t="s">
        <v>14335</v>
      </c>
      <c r="L1565" s="97"/>
      <c r="M1565" s="76"/>
      <c r="N1565" s="76"/>
      <c r="O1565" s="77"/>
      <c r="P1565" s="78"/>
      <c r="Q1565" s="78"/>
      <c r="R1565" s="92"/>
      <c r="S1565" s="92"/>
      <c r="T1565" s="92"/>
      <c r="U1565" s="92"/>
      <c r="V1565" s="52"/>
      <c r="W1565" s="52"/>
      <c r="X1565" s="52"/>
      <c r="Y1565" s="52"/>
      <c r="Z1565" s="51"/>
      <c r="AA1565" s="73"/>
      <c r="AB1565" s="73"/>
      <c r="AC1565" s="74"/>
      <c r="AD1565" s="81" t="s">
        <v>13541</v>
      </c>
      <c r="AE1565" s="86" t="s">
        <v>13414</v>
      </c>
      <c r="AF1565" s="81">
        <v>27</v>
      </c>
      <c r="AG1565" s="81">
        <v>121</v>
      </c>
      <c r="AH1565" s="81">
        <v>3053</v>
      </c>
      <c r="AI1565" s="81">
        <v>3955</v>
      </c>
      <c r="AJ1565" s="81"/>
      <c r="AK1565" s="81" t="s">
        <v>14001</v>
      </c>
      <c r="AL1565" s="81" t="s">
        <v>14185</v>
      </c>
      <c r="AM1565" s="81"/>
      <c r="AN1565" s="81"/>
      <c r="AO1565" s="83">
        <v>43311.690416666665</v>
      </c>
      <c r="AP1565" s="84" t="str">
        <f>HYPERLINK("https://pbs.twimg.com/profile_banners/1023970020802486272/1632569513")</f>
        <v>https://pbs.twimg.com/profile_banners/1023970020802486272/1632569513</v>
      </c>
      <c r="AQ1565" s="81" t="b">
        <v>0</v>
      </c>
      <c r="AR1565" s="81" t="b">
        <v>0</v>
      </c>
      <c r="AS1565" s="81" t="b">
        <v>1</v>
      </c>
      <c r="AT1565" s="81"/>
      <c r="AU1565" s="81">
        <v>1</v>
      </c>
      <c r="AV1565" s="84" t="str">
        <f>HYPERLINK("https://abs.twimg.com/images/themes/theme1/bg.png")</f>
        <v>https://abs.twimg.com/images/themes/theme1/bg.png</v>
      </c>
      <c r="AW1565" s="81" t="b">
        <v>0</v>
      </c>
      <c r="AX1565" s="81" t="s">
        <v>3728</v>
      </c>
      <c r="AY1565" s="84" t="str">
        <f>HYPERLINK("https://twitter.com/daisiecart")</f>
        <v>https://twitter.com/daisiecart</v>
      </c>
      <c r="AZ1565" s="81" t="s">
        <v>65</v>
      </c>
    </row>
    <row r="1566" spans="1:52" x14ac:dyDescent="0.35">
      <c r="A1566" s="66" t="s">
        <v>440</v>
      </c>
      <c r="B1566" s="67"/>
      <c r="C1566" s="67"/>
      <c r="D1566" s="68"/>
      <c r="E1566" s="94"/>
      <c r="F1566" s="93" t="str">
        <f>HYPERLINK("https://pbs.twimg.com/profile_images/1437782038384455692/8qSOeZSe_normal.jpg")</f>
        <v>https://pbs.twimg.com/profile_images/1437782038384455692/8qSOeZSe_normal.jpg</v>
      </c>
      <c r="G1566" s="95"/>
      <c r="H1566" s="71"/>
      <c r="I1566" s="72"/>
      <c r="J1566" s="96"/>
      <c r="K1566" s="71" t="s">
        <v>14336</v>
      </c>
      <c r="L1566" s="97"/>
      <c r="M1566" s="76"/>
      <c r="N1566" s="76"/>
      <c r="O1566" s="77"/>
      <c r="P1566" s="78"/>
      <c r="Q1566" s="78"/>
      <c r="R1566" s="92"/>
      <c r="S1566" s="92"/>
      <c r="T1566" s="92"/>
      <c r="U1566" s="92"/>
      <c r="V1566" s="52"/>
      <c r="W1566" s="52"/>
      <c r="X1566" s="52"/>
      <c r="Y1566" s="52"/>
      <c r="Z1566" s="51"/>
      <c r="AA1566" s="73"/>
      <c r="AB1566" s="73"/>
      <c r="AC1566" s="74"/>
      <c r="AD1566" s="81" t="s">
        <v>8441</v>
      </c>
      <c r="AE1566" s="86" t="s">
        <v>2923</v>
      </c>
      <c r="AF1566" s="81">
        <v>816</v>
      </c>
      <c r="AG1566" s="81">
        <v>814</v>
      </c>
      <c r="AH1566" s="81">
        <v>58400</v>
      </c>
      <c r="AI1566" s="81">
        <v>86373</v>
      </c>
      <c r="AJ1566" s="81"/>
      <c r="AK1566" s="81" t="s">
        <v>3330</v>
      </c>
      <c r="AL1566" s="81" t="s">
        <v>3509</v>
      </c>
      <c r="AM1566" s="84" t="str">
        <f>HYPERLINK("https://t.co/O49mV3OFyx")</f>
        <v>https://t.co/O49mV3OFyx</v>
      </c>
      <c r="AN1566" s="81"/>
      <c r="AO1566" s="83">
        <v>43351.61136574074</v>
      </c>
      <c r="AP1566" s="84" t="str">
        <f>HYPERLINK("https://pbs.twimg.com/profile_banners/1038436890628612096/1631460346")</f>
        <v>https://pbs.twimg.com/profile_banners/1038436890628612096/1631460346</v>
      </c>
      <c r="AQ1566" s="81" t="b">
        <v>1</v>
      </c>
      <c r="AR1566" s="81" t="b">
        <v>0</v>
      </c>
      <c r="AS1566" s="81" t="b">
        <v>0</v>
      </c>
      <c r="AT1566" s="81"/>
      <c r="AU1566" s="81">
        <v>7</v>
      </c>
      <c r="AV1566" s="81"/>
      <c r="AW1566" s="81" t="b">
        <v>0</v>
      </c>
      <c r="AX1566" s="81" t="s">
        <v>3728</v>
      </c>
      <c r="AY1566" s="84" t="str">
        <f>HYPERLINK("https://twitter.com/glitterzkoo")</f>
        <v>https://twitter.com/glitterzkoo</v>
      </c>
      <c r="AZ1566" s="81" t="s">
        <v>66</v>
      </c>
    </row>
    <row r="1567" spans="1:52" x14ac:dyDescent="0.35">
      <c r="A1567" s="66" t="s">
        <v>12686</v>
      </c>
      <c r="B1567" s="67"/>
      <c r="C1567" s="67"/>
      <c r="D1567" s="68"/>
      <c r="E1567" s="94"/>
      <c r="F1567" s="93" t="str">
        <f>HYPERLINK("https://pbs.twimg.com/profile_images/1443116958082158597/CC62SLqz_normal.jpg")</f>
        <v>https://pbs.twimg.com/profile_images/1443116958082158597/CC62SLqz_normal.jpg</v>
      </c>
      <c r="G1567" s="95"/>
      <c r="H1567" s="71"/>
      <c r="I1567" s="72"/>
      <c r="J1567" s="96"/>
      <c r="K1567" s="71" t="s">
        <v>14337</v>
      </c>
      <c r="L1567" s="97"/>
      <c r="M1567" s="76"/>
      <c r="N1567" s="76"/>
      <c r="O1567" s="77"/>
      <c r="P1567" s="78"/>
      <c r="Q1567" s="78"/>
      <c r="R1567" s="92"/>
      <c r="S1567" s="92"/>
      <c r="T1567" s="92"/>
      <c r="U1567" s="92"/>
      <c r="V1567" s="52"/>
      <c r="W1567" s="52"/>
      <c r="X1567" s="52"/>
      <c r="Y1567" s="52"/>
      <c r="Z1567" s="51"/>
      <c r="AA1567" s="73"/>
      <c r="AB1567" s="73"/>
      <c r="AC1567" s="74"/>
      <c r="AD1567" s="81" t="s">
        <v>13542</v>
      </c>
      <c r="AE1567" s="86" t="s">
        <v>13415</v>
      </c>
      <c r="AF1567" s="81">
        <v>308</v>
      </c>
      <c r="AG1567" s="81">
        <v>228</v>
      </c>
      <c r="AH1567" s="81">
        <v>8826</v>
      </c>
      <c r="AI1567" s="81">
        <v>14779</v>
      </c>
      <c r="AJ1567" s="81"/>
      <c r="AK1567" s="81" t="s">
        <v>14002</v>
      </c>
      <c r="AL1567" s="81" t="s">
        <v>14186</v>
      </c>
      <c r="AM1567" s="84" t="str">
        <f>HYPERLINK("https://t.co/4haPEoTBm0")</f>
        <v>https://t.co/4haPEoTBm0</v>
      </c>
      <c r="AN1567" s="81"/>
      <c r="AO1567" s="83">
        <v>44173.151064814818</v>
      </c>
      <c r="AP1567" s="84" t="str">
        <f>HYPERLINK("https://pbs.twimg.com/profile_banners/1336152831041028096/1631636140")</f>
        <v>https://pbs.twimg.com/profile_banners/1336152831041028096/1631636140</v>
      </c>
      <c r="AQ1567" s="81" t="b">
        <v>1</v>
      </c>
      <c r="AR1567" s="81" t="b">
        <v>0</v>
      </c>
      <c r="AS1567" s="81" t="b">
        <v>0</v>
      </c>
      <c r="AT1567" s="81"/>
      <c r="AU1567" s="81">
        <v>1</v>
      </c>
      <c r="AV1567" s="81"/>
      <c r="AW1567" s="81" t="b">
        <v>0</v>
      </c>
      <c r="AX1567" s="81" t="s">
        <v>3728</v>
      </c>
      <c r="AY1567" s="84" t="str">
        <f>HYPERLINK("https://twitter.com/kmcultvsnf")</f>
        <v>https://twitter.com/kmcultvsnf</v>
      </c>
      <c r="AZ1567" s="81" t="s">
        <v>65</v>
      </c>
    </row>
    <row r="1568" spans="1:52" x14ac:dyDescent="0.35">
      <c r="A1568" s="66" t="s">
        <v>12535</v>
      </c>
      <c r="B1568" s="67"/>
      <c r="C1568" s="67"/>
      <c r="D1568" s="68"/>
      <c r="E1568" s="94"/>
      <c r="F1568" s="93" t="str">
        <f>HYPERLINK("https://pbs.twimg.com/profile_images/1438866800754581515/BeV4lAzs_normal.jpg")</f>
        <v>https://pbs.twimg.com/profile_images/1438866800754581515/BeV4lAzs_normal.jpg</v>
      </c>
      <c r="G1568" s="95"/>
      <c r="H1568" s="71"/>
      <c r="I1568" s="72"/>
      <c r="J1568" s="96"/>
      <c r="K1568" s="71" t="s">
        <v>14338</v>
      </c>
      <c r="L1568" s="97"/>
      <c r="M1568" s="76"/>
      <c r="N1568" s="76"/>
      <c r="O1568" s="77"/>
      <c r="P1568" s="78"/>
      <c r="Q1568" s="78"/>
      <c r="R1568" s="92"/>
      <c r="S1568" s="92"/>
      <c r="T1568" s="92"/>
      <c r="U1568" s="92"/>
      <c r="V1568" s="52"/>
      <c r="W1568" s="52"/>
      <c r="X1568" s="52"/>
      <c r="Y1568" s="52"/>
      <c r="Z1568" s="51"/>
      <c r="AA1568" s="73"/>
      <c r="AB1568" s="73"/>
      <c r="AC1568" s="74"/>
      <c r="AD1568" s="81" t="s">
        <v>13543</v>
      </c>
      <c r="AE1568" s="86" t="s">
        <v>13759</v>
      </c>
      <c r="AF1568" s="81">
        <v>342</v>
      </c>
      <c r="AG1568" s="81">
        <v>28</v>
      </c>
      <c r="AH1568" s="81">
        <v>5274</v>
      </c>
      <c r="AI1568" s="81">
        <v>2388</v>
      </c>
      <c r="AJ1568" s="81"/>
      <c r="AK1568" s="81" t="s">
        <v>14003</v>
      </c>
      <c r="AL1568" s="81" t="s">
        <v>14187</v>
      </c>
      <c r="AM1568" s="81"/>
      <c r="AN1568" s="81"/>
      <c r="AO1568" s="83">
        <v>42179.537152777775</v>
      </c>
      <c r="AP1568" s="84" t="str">
        <f>HYPERLINK("https://pbs.twimg.com/profile_banners/3254562828/1618930665")</f>
        <v>https://pbs.twimg.com/profile_banners/3254562828/1618930665</v>
      </c>
      <c r="AQ1568" s="81" t="b">
        <v>1</v>
      </c>
      <c r="AR1568" s="81" t="b">
        <v>0</v>
      </c>
      <c r="AS1568" s="81" t="b">
        <v>0</v>
      </c>
      <c r="AT1568" s="81"/>
      <c r="AU1568" s="81">
        <v>0</v>
      </c>
      <c r="AV1568" s="84" t="str">
        <f>HYPERLINK("https://abs.twimg.com/images/themes/theme1/bg.png")</f>
        <v>https://abs.twimg.com/images/themes/theme1/bg.png</v>
      </c>
      <c r="AW1568" s="81" t="b">
        <v>0</v>
      </c>
      <c r="AX1568" s="81" t="s">
        <v>3728</v>
      </c>
      <c r="AY1568" s="84" t="str">
        <f>HYPERLINK("https://twitter.com/fitrijanuzaj")</f>
        <v>https://twitter.com/fitrijanuzaj</v>
      </c>
      <c r="AZ1568" s="81" t="s">
        <v>66</v>
      </c>
    </row>
    <row r="1569" spans="1:52" x14ac:dyDescent="0.35">
      <c r="A1569" s="66" t="s">
        <v>12536</v>
      </c>
      <c r="B1569" s="67"/>
      <c r="C1569" s="67"/>
      <c r="D1569" s="68"/>
      <c r="E1569" s="94"/>
      <c r="F1569" s="93" t="str">
        <f>HYPERLINK("https://pbs.twimg.com/profile_images/1230469523842707456/1nqEZvCp_normal.jpg")</f>
        <v>https://pbs.twimg.com/profile_images/1230469523842707456/1nqEZvCp_normal.jpg</v>
      </c>
      <c r="G1569" s="95"/>
      <c r="H1569" s="71"/>
      <c r="I1569" s="72"/>
      <c r="J1569" s="96"/>
      <c r="K1569" s="71" t="s">
        <v>14339</v>
      </c>
      <c r="L1569" s="97"/>
      <c r="M1569" s="76"/>
      <c r="N1569" s="76"/>
      <c r="O1569" s="77"/>
      <c r="P1569" s="78"/>
      <c r="Q1569" s="78"/>
      <c r="R1569" s="92"/>
      <c r="S1569" s="92"/>
      <c r="T1569" s="92"/>
      <c r="U1569" s="92"/>
      <c r="V1569" s="52"/>
      <c r="W1569" s="52"/>
      <c r="X1569" s="52"/>
      <c r="Y1569" s="52"/>
      <c r="Z1569" s="51"/>
      <c r="AA1569" s="73"/>
      <c r="AB1569" s="73"/>
      <c r="AC1569" s="74"/>
      <c r="AD1569" s="81" t="s">
        <v>13544</v>
      </c>
      <c r="AE1569" s="86" t="s">
        <v>13760</v>
      </c>
      <c r="AF1569" s="81">
        <v>52</v>
      </c>
      <c r="AG1569" s="81">
        <v>1642221</v>
      </c>
      <c r="AH1569" s="81">
        <v>1720343</v>
      </c>
      <c r="AI1569" s="81">
        <v>1025</v>
      </c>
      <c r="AJ1569" s="81"/>
      <c r="AK1569" s="81" t="s">
        <v>14004</v>
      </c>
      <c r="AL1569" s="81" t="s">
        <v>3504</v>
      </c>
      <c r="AM1569" s="84" t="str">
        <f>HYPERLINK("https://t.co/La76PKicQX")</f>
        <v>https://t.co/La76PKicQX</v>
      </c>
      <c r="AN1569" s="81"/>
      <c r="AO1569" s="83">
        <v>39871.430902777778</v>
      </c>
      <c r="AP1569" s="84" t="str">
        <f>HYPERLINK("https://pbs.twimg.com/profile_banners/22126902/1627627906")</f>
        <v>https://pbs.twimg.com/profile_banners/22126902/1627627906</v>
      </c>
      <c r="AQ1569" s="81" t="b">
        <v>0</v>
      </c>
      <c r="AR1569" s="81" t="b">
        <v>0</v>
      </c>
      <c r="AS1569" s="81" t="b">
        <v>1</v>
      </c>
      <c r="AT1569" s="81"/>
      <c r="AU1569" s="81">
        <v>2982</v>
      </c>
      <c r="AV1569" s="84" t="str">
        <f>HYPERLINK("https://abs.twimg.com/images/themes/theme1/bg.png")</f>
        <v>https://abs.twimg.com/images/themes/theme1/bg.png</v>
      </c>
      <c r="AW1569" s="81" t="b">
        <v>1</v>
      </c>
      <c r="AX1569" s="81" t="s">
        <v>3728</v>
      </c>
      <c r="AY1569" s="84" t="str">
        <f>HYPERLINK("https://twitter.com/republikaonline")</f>
        <v>https://twitter.com/republikaonline</v>
      </c>
      <c r="AZ1569" s="81" t="s">
        <v>66</v>
      </c>
    </row>
    <row r="1570" spans="1:52" x14ac:dyDescent="0.35">
      <c r="A1570" s="66" t="s">
        <v>12537</v>
      </c>
      <c r="B1570" s="67"/>
      <c r="C1570" s="67"/>
      <c r="D1570" s="68"/>
      <c r="E1570" s="94"/>
      <c r="F1570" s="93" t="str">
        <f>HYPERLINK("https://pbs.twimg.com/profile_images/1003685800108838912/nIKNWxL__normal.jpg")</f>
        <v>https://pbs.twimg.com/profile_images/1003685800108838912/nIKNWxL__normal.jpg</v>
      </c>
      <c r="G1570" s="95"/>
      <c r="H1570" s="71"/>
      <c r="I1570" s="72"/>
      <c r="J1570" s="96"/>
      <c r="K1570" s="71" t="s">
        <v>14340</v>
      </c>
      <c r="L1570" s="97"/>
      <c r="M1570" s="76"/>
      <c r="N1570" s="76"/>
      <c r="O1570" s="77"/>
      <c r="P1570" s="78"/>
      <c r="Q1570" s="78"/>
      <c r="R1570" s="92"/>
      <c r="S1570" s="92"/>
      <c r="T1570" s="92"/>
      <c r="U1570" s="92"/>
      <c r="V1570" s="52"/>
      <c r="W1570" s="52"/>
      <c r="X1570" s="52"/>
      <c r="Y1570" s="52"/>
      <c r="Z1570" s="51"/>
      <c r="AA1570" s="73"/>
      <c r="AB1570" s="73"/>
      <c r="AC1570" s="74"/>
      <c r="AD1570" s="81" t="s">
        <v>13545</v>
      </c>
      <c r="AE1570" s="86" t="s">
        <v>13761</v>
      </c>
      <c r="AF1570" s="81">
        <v>12199</v>
      </c>
      <c r="AG1570" s="81">
        <v>535929</v>
      </c>
      <c r="AH1570" s="81">
        <v>252433</v>
      </c>
      <c r="AI1570" s="81">
        <v>33</v>
      </c>
      <c r="AJ1570" s="81"/>
      <c r="AK1570" s="81" t="s">
        <v>14005</v>
      </c>
      <c r="AL1570" s="81" t="s">
        <v>14188</v>
      </c>
      <c r="AM1570" s="84" t="str">
        <f>HYPERLINK("http://t.co/Mzk64w9zZE")</f>
        <v>http://t.co/Mzk64w9zZE</v>
      </c>
      <c r="AN1570" s="81"/>
      <c r="AO1570" s="83">
        <v>39640.602048611108</v>
      </c>
      <c r="AP1570" s="84" t="str">
        <f>HYPERLINK("https://pbs.twimg.com/profile_banners/15391813/1574090548")</f>
        <v>https://pbs.twimg.com/profile_banners/15391813/1574090548</v>
      </c>
      <c r="AQ1570" s="81" t="b">
        <v>0</v>
      </c>
      <c r="AR1570" s="81" t="b">
        <v>0</v>
      </c>
      <c r="AS1570" s="81" t="b">
        <v>1</v>
      </c>
      <c r="AT1570" s="81"/>
      <c r="AU1570" s="81">
        <v>1846</v>
      </c>
      <c r="AV1570" s="84" t="str">
        <f>HYPERLINK("https://abs.twimg.com/images/themes/theme4/bg.gif")</f>
        <v>https://abs.twimg.com/images/themes/theme4/bg.gif</v>
      </c>
      <c r="AW1570" s="81" t="b">
        <v>0</v>
      </c>
      <c r="AX1570" s="81" t="s">
        <v>3728</v>
      </c>
      <c r="AY1570" s="84" t="str">
        <f>HYPERLINK("https://twitter.com/jornalnoticias")</f>
        <v>https://twitter.com/jornalnoticias</v>
      </c>
      <c r="AZ1570" s="81" t="s">
        <v>66</v>
      </c>
    </row>
    <row r="1571" spans="1:52" x14ac:dyDescent="0.35">
      <c r="A1571" s="66" t="s">
        <v>12538</v>
      </c>
      <c r="B1571" s="67"/>
      <c r="C1571" s="67"/>
      <c r="D1571" s="68"/>
      <c r="E1571" s="94"/>
      <c r="F1571" s="93" t="str">
        <f>HYPERLINK("https://pbs.twimg.com/profile_images/595626645744156672/gPrDI2C5_normal.jpg")</f>
        <v>https://pbs.twimg.com/profile_images/595626645744156672/gPrDI2C5_normal.jpg</v>
      </c>
      <c r="G1571" s="95"/>
      <c r="H1571" s="71"/>
      <c r="I1571" s="72"/>
      <c r="J1571" s="96"/>
      <c r="K1571" s="71" t="s">
        <v>14341</v>
      </c>
      <c r="L1571" s="97"/>
      <c r="M1571" s="76"/>
      <c r="N1571" s="76"/>
      <c r="O1571" s="77"/>
      <c r="P1571" s="78"/>
      <c r="Q1571" s="78"/>
      <c r="R1571" s="92"/>
      <c r="S1571" s="92"/>
      <c r="T1571" s="92"/>
      <c r="U1571" s="92"/>
      <c r="V1571" s="52"/>
      <c r="W1571" s="52"/>
      <c r="X1571" s="52"/>
      <c r="Y1571" s="52"/>
      <c r="Z1571" s="51"/>
      <c r="AA1571" s="73"/>
      <c r="AB1571" s="73"/>
      <c r="AC1571" s="74"/>
      <c r="AD1571" s="81" t="s">
        <v>13546</v>
      </c>
      <c r="AE1571" s="86" t="s">
        <v>13762</v>
      </c>
      <c r="AF1571" s="81">
        <v>460</v>
      </c>
      <c r="AG1571" s="81">
        <v>383</v>
      </c>
      <c r="AH1571" s="81">
        <v>1161</v>
      </c>
      <c r="AI1571" s="81">
        <v>306</v>
      </c>
      <c r="AJ1571" s="81"/>
      <c r="AK1571" s="81" t="s">
        <v>14006</v>
      </c>
      <c r="AL1571" s="81" t="s">
        <v>10998</v>
      </c>
      <c r="AM1571" s="84" t="str">
        <f>HYPERLINK("http://t.co/aHB6Zvpq3f")</f>
        <v>http://t.co/aHB6Zvpq3f</v>
      </c>
      <c r="AN1571" s="81"/>
      <c r="AO1571" s="83">
        <v>42129.683877314812</v>
      </c>
      <c r="AP1571" s="84" t="str">
        <f>HYPERLINK("https://pbs.twimg.com/profile_banners/3236173515/1430843791")</f>
        <v>https://pbs.twimg.com/profile_banners/3236173515/1430843791</v>
      </c>
      <c r="AQ1571" s="81" t="b">
        <v>0</v>
      </c>
      <c r="AR1571" s="81" t="b">
        <v>0</v>
      </c>
      <c r="AS1571" s="81" t="b">
        <v>1</v>
      </c>
      <c r="AT1571" s="81"/>
      <c r="AU1571" s="81">
        <v>4</v>
      </c>
      <c r="AV1571" s="84" t="str">
        <f>HYPERLINK("https://abs.twimg.com/images/themes/theme1/bg.png")</f>
        <v>https://abs.twimg.com/images/themes/theme1/bg.png</v>
      </c>
      <c r="AW1571" s="81" t="b">
        <v>0</v>
      </c>
      <c r="AX1571" s="81" t="s">
        <v>3728</v>
      </c>
      <c r="AY1571" s="84" t="str">
        <f>HYPERLINK("https://twitter.com/fdesporto")</f>
        <v>https://twitter.com/fdesporto</v>
      </c>
      <c r="AZ1571" s="81" t="s">
        <v>66</v>
      </c>
    </row>
    <row r="1572" spans="1:52" x14ac:dyDescent="0.35">
      <c r="A1572" s="66" t="s">
        <v>12687</v>
      </c>
      <c r="B1572" s="67"/>
      <c r="C1572" s="67"/>
      <c r="D1572" s="68"/>
      <c r="E1572" s="94"/>
      <c r="F1572" s="93" t="str">
        <f>HYPERLINK("https://pbs.twimg.com/profile_images/1335149866910056448/XCAEU3xu_normal.jpg")</f>
        <v>https://pbs.twimg.com/profile_images/1335149866910056448/XCAEU3xu_normal.jpg</v>
      </c>
      <c r="G1572" s="95"/>
      <c r="H1572" s="71"/>
      <c r="I1572" s="72"/>
      <c r="J1572" s="96"/>
      <c r="K1572" s="71" t="s">
        <v>14342</v>
      </c>
      <c r="L1572" s="97"/>
      <c r="M1572" s="76"/>
      <c r="N1572" s="76"/>
      <c r="O1572" s="77"/>
      <c r="P1572" s="78"/>
      <c r="Q1572" s="78"/>
      <c r="R1572" s="92"/>
      <c r="S1572" s="92"/>
      <c r="T1572" s="92"/>
      <c r="U1572" s="92"/>
      <c r="V1572" s="52"/>
      <c r="W1572" s="52"/>
      <c r="X1572" s="52"/>
      <c r="Y1572" s="52"/>
      <c r="Z1572" s="51"/>
      <c r="AA1572" s="73"/>
      <c r="AB1572" s="73"/>
      <c r="AC1572" s="74"/>
      <c r="AD1572" s="81" t="s">
        <v>13547</v>
      </c>
      <c r="AE1572" s="86" t="s">
        <v>13763</v>
      </c>
      <c r="AF1572" s="81">
        <v>41</v>
      </c>
      <c r="AG1572" s="81">
        <v>3173</v>
      </c>
      <c r="AH1572" s="81">
        <v>12417</v>
      </c>
      <c r="AI1572" s="81">
        <v>8994</v>
      </c>
      <c r="AJ1572" s="81"/>
      <c r="AK1572" s="81" t="s">
        <v>14007</v>
      </c>
      <c r="AL1572" s="81"/>
      <c r="AM1572" s="84" t="str">
        <f>HYPERLINK("https://t.co/dnTk1PQeA9")</f>
        <v>https://t.co/dnTk1PQeA9</v>
      </c>
      <c r="AN1572" s="81"/>
      <c r="AO1572" s="83">
        <v>43996.501527777778</v>
      </c>
      <c r="AP1572" s="84" t="str">
        <f>HYPERLINK("https://pbs.twimg.com/profile_banners/1272137156299907072/1607265535")</f>
        <v>https://pbs.twimg.com/profile_banners/1272137156299907072/1607265535</v>
      </c>
      <c r="AQ1572" s="81" t="b">
        <v>1</v>
      </c>
      <c r="AR1572" s="81" t="b">
        <v>0</v>
      </c>
      <c r="AS1572" s="81" t="b">
        <v>0</v>
      </c>
      <c r="AT1572" s="81"/>
      <c r="AU1572" s="81">
        <v>4</v>
      </c>
      <c r="AV1572" s="81"/>
      <c r="AW1572" s="81" t="b">
        <v>0</v>
      </c>
      <c r="AX1572" s="81" t="s">
        <v>3728</v>
      </c>
      <c r="AY1572" s="84" t="str">
        <f>HYPERLINK("https://twitter.com/pasartreasure")</f>
        <v>https://twitter.com/pasartreasure</v>
      </c>
      <c r="AZ1572" s="81" t="s">
        <v>65</v>
      </c>
    </row>
    <row r="1573" spans="1:52" x14ac:dyDescent="0.35">
      <c r="A1573" s="66" t="s">
        <v>12539</v>
      </c>
      <c r="B1573" s="67"/>
      <c r="C1573" s="67"/>
      <c r="D1573" s="68"/>
      <c r="E1573" s="94"/>
      <c r="F1573" s="93" t="str">
        <f>HYPERLINK("https://pbs.twimg.com/profile_images/1441687353081298949/c3ou-q6v_normal.jpg")</f>
        <v>https://pbs.twimg.com/profile_images/1441687353081298949/c3ou-q6v_normal.jpg</v>
      </c>
      <c r="G1573" s="95"/>
      <c r="H1573" s="71"/>
      <c r="I1573" s="72"/>
      <c r="J1573" s="96"/>
      <c r="K1573" s="71" t="s">
        <v>14343</v>
      </c>
      <c r="L1573" s="97"/>
      <c r="M1573" s="76"/>
      <c r="N1573" s="76"/>
      <c r="O1573" s="77"/>
      <c r="P1573" s="78"/>
      <c r="Q1573" s="78"/>
      <c r="R1573" s="92"/>
      <c r="S1573" s="92"/>
      <c r="T1573" s="92"/>
      <c r="U1573" s="92"/>
      <c r="V1573" s="52"/>
      <c r="W1573" s="52"/>
      <c r="X1573" s="52"/>
      <c r="Y1573" s="52"/>
      <c r="Z1573" s="51"/>
      <c r="AA1573" s="73"/>
      <c r="AB1573" s="73"/>
      <c r="AC1573" s="74"/>
      <c r="AD1573" s="81" t="s">
        <v>13548</v>
      </c>
      <c r="AE1573" s="86" t="s">
        <v>13764</v>
      </c>
      <c r="AF1573" s="81">
        <v>503</v>
      </c>
      <c r="AG1573" s="81">
        <v>576</v>
      </c>
      <c r="AH1573" s="81">
        <v>18896</v>
      </c>
      <c r="AI1573" s="81">
        <v>15639</v>
      </c>
      <c r="AJ1573" s="81"/>
      <c r="AK1573" s="81" t="s">
        <v>14008</v>
      </c>
      <c r="AL1573" s="81" t="s">
        <v>14189</v>
      </c>
      <c r="AM1573" s="84" t="str">
        <f>HYPERLINK("https://t.co/0rjchfmp1z")</f>
        <v>https://t.co/0rjchfmp1z</v>
      </c>
      <c r="AN1573" s="81"/>
      <c r="AO1573" s="83">
        <v>43996.636111111111</v>
      </c>
      <c r="AP1573" s="84" t="str">
        <f>HYPERLINK("https://pbs.twimg.com/profile_banners/1272185974743687170/1632325587")</f>
        <v>https://pbs.twimg.com/profile_banners/1272185974743687170/1632325587</v>
      </c>
      <c r="AQ1573" s="81" t="b">
        <v>1</v>
      </c>
      <c r="AR1573" s="81" t="b">
        <v>0</v>
      </c>
      <c r="AS1573" s="81" t="b">
        <v>0</v>
      </c>
      <c r="AT1573" s="81"/>
      <c r="AU1573" s="81">
        <v>7</v>
      </c>
      <c r="AV1573" s="81"/>
      <c r="AW1573" s="81" t="b">
        <v>0</v>
      </c>
      <c r="AX1573" s="81" t="s">
        <v>3728</v>
      </c>
      <c r="AY1573" s="84" t="str">
        <f>HYPERLINK("https://twitter.com/sweetsjhwanie")</f>
        <v>https://twitter.com/sweetsjhwanie</v>
      </c>
      <c r="AZ1573" s="81" t="s">
        <v>66</v>
      </c>
    </row>
    <row r="1574" spans="1:52" x14ac:dyDescent="0.35">
      <c r="A1574" s="66" t="s">
        <v>392</v>
      </c>
      <c r="B1574" s="67"/>
      <c r="C1574" s="67"/>
      <c r="D1574" s="68"/>
      <c r="E1574" s="94"/>
      <c r="F1574" s="93" t="str">
        <f>HYPERLINK("https://pbs.twimg.com/profile_images/1421067088865611776/SE1sUnJA_normal.jpg")</f>
        <v>https://pbs.twimg.com/profile_images/1421067088865611776/SE1sUnJA_normal.jpg</v>
      </c>
      <c r="G1574" s="95"/>
      <c r="H1574" s="71"/>
      <c r="I1574" s="72"/>
      <c r="J1574" s="96"/>
      <c r="K1574" s="71" t="s">
        <v>14344</v>
      </c>
      <c r="L1574" s="97"/>
      <c r="M1574" s="76"/>
      <c r="N1574" s="76"/>
      <c r="O1574" s="77"/>
      <c r="P1574" s="78"/>
      <c r="Q1574" s="78"/>
      <c r="R1574" s="92"/>
      <c r="S1574" s="92"/>
      <c r="T1574" s="92"/>
      <c r="U1574" s="92"/>
      <c r="V1574" s="52"/>
      <c r="W1574" s="52"/>
      <c r="X1574" s="52"/>
      <c r="Y1574" s="52"/>
      <c r="Z1574" s="51"/>
      <c r="AA1574" s="73"/>
      <c r="AB1574" s="73"/>
      <c r="AC1574" s="74"/>
      <c r="AD1574" s="81" t="s">
        <v>2450</v>
      </c>
      <c r="AE1574" s="86" t="s">
        <v>2873</v>
      </c>
      <c r="AF1574" s="81">
        <v>181</v>
      </c>
      <c r="AG1574" s="81">
        <v>1094</v>
      </c>
      <c r="AH1574" s="81">
        <v>5351</v>
      </c>
      <c r="AI1574" s="81">
        <v>281</v>
      </c>
      <c r="AJ1574" s="81"/>
      <c r="AK1574" s="81"/>
      <c r="AL1574" s="81"/>
      <c r="AM1574" s="81"/>
      <c r="AN1574" s="81"/>
      <c r="AO1574" s="83">
        <v>44174.178402777776</v>
      </c>
      <c r="AP1574" s="84" t="str">
        <f>HYPERLINK("https://pbs.twimg.com/profile_banners/1336525151110754306/1627643696")</f>
        <v>https://pbs.twimg.com/profile_banners/1336525151110754306/1627643696</v>
      </c>
      <c r="AQ1574" s="81" t="b">
        <v>1</v>
      </c>
      <c r="AR1574" s="81" t="b">
        <v>0</v>
      </c>
      <c r="AS1574" s="81" t="b">
        <v>0</v>
      </c>
      <c r="AT1574" s="81"/>
      <c r="AU1574" s="81">
        <v>2</v>
      </c>
      <c r="AV1574" s="81"/>
      <c r="AW1574" s="81" t="b">
        <v>0</v>
      </c>
      <c r="AX1574" s="81" t="s">
        <v>3728</v>
      </c>
      <c r="AY1574" s="84" t="str">
        <f>HYPERLINK("https://twitter.com/deobimarket")</f>
        <v>https://twitter.com/deobimarket</v>
      </c>
      <c r="AZ1574" s="81" t="s">
        <v>66</v>
      </c>
    </row>
    <row r="1575" spans="1:52" x14ac:dyDescent="0.35">
      <c r="A1575" s="66" t="s">
        <v>12540</v>
      </c>
      <c r="B1575" s="67"/>
      <c r="C1575" s="67"/>
      <c r="D1575" s="68"/>
      <c r="E1575" s="94"/>
      <c r="F1575" s="93" t="str">
        <f>HYPERLINK("https://pbs.twimg.com/profile_images/1442799947649224711/Zkpl99tF_normal.jpg")</f>
        <v>https://pbs.twimg.com/profile_images/1442799947649224711/Zkpl99tF_normal.jpg</v>
      </c>
      <c r="G1575" s="95"/>
      <c r="H1575" s="71"/>
      <c r="I1575" s="72"/>
      <c r="J1575" s="96"/>
      <c r="K1575" s="71" t="s">
        <v>14345</v>
      </c>
      <c r="L1575" s="97"/>
      <c r="M1575" s="76"/>
      <c r="N1575" s="76"/>
      <c r="O1575" s="77"/>
      <c r="P1575" s="78"/>
      <c r="Q1575" s="78"/>
      <c r="R1575" s="92"/>
      <c r="S1575" s="92"/>
      <c r="T1575" s="92"/>
      <c r="U1575" s="92"/>
      <c r="V1575" s="52"/>
      <c r="W1575" s="52"/>
      <c r="X1575" s="52"/>
      <c r="Y1575" s="52"/>
      <c r="Z1575" s="51"/>
      <c r="AA1575" s="73"/>
      <c r="AB1575" s="73"/>
      <c r="AC1575" s="74"/>
      <c r="AD1575" s="81" t="s">
        <v>13549</v>
      </c>
      <c r="AE1575" s="86" t="s">
        <v>13765</v>
      </c>
      <c r="AF1575" s="81">
        <v>1575</v>
      </c>
      <c r="AG1575" s="81">
        <v>1253</v>
      </c>
      <c r="AH1575" s="81">
        <v>46894</v>
      </c>
      <c r="AI1575" s="81">
        <v>24663</v>
      </c>
      <c r="AJ1575" s="81"/>
      <c r="AK1575" s="81" t="s">
        <v>14009</v>
      </c>
      <c r="AL1575" s="81" t="s">
        <v>14190</v>
      </c>
      <c r="AM1575" s="84" t="str">
        <f>HYPERLINK("https://t.co/Y4NyzXm3Is")</f>
        <v>https://t.co/Y4NyzXm3Is</v>
      </c>
      <c r="AN1575" s="81"/>
      <c r="AO1575" s="83">
        <v>44196.509317129632</v>
      </c>
      <c r="AP1575" s="84" t="str">
        <f>HYPERLINK("https://pbs.twimg.com/profile_banners/1344617625158995968/1632654048")</f>
        <v>https://pbs.twimg.com/profile_banners/1344617625158995968/1632654048</v>
      </c>
      <c r="AQ1575" s="81" t="b">
        <v>1</v>
      </c>
      <c r="AR1575" s="81" t="b">
        <v>0</v>
      </c>
      <c r="AS1575" s="81" t="b">
        <v>0</v>
      </c>
      <c r="AT1575" s="81"/>
      <c r="AU1575" s="81">
        <v>20</v>
      </c>
      <c r="AV1575" s="81"/>
      <c r="AW1575" s="81" t="b">
        <v>0</v>
      </c>
      <c r="AX1575" s="81" t="s">
        <v>3728</v>
      </c>
      <c r="AY1575" s="84" t="str">
        <f>HYPERLINK("https://twitter.com/chittawildinn")</f>
        <v>https://twitter.com/chittawildinn</v>
      </c>
      <c r="AZ1575" s="81" t="s">
        <v>66</v>
      </c>
    </row>
    <row r="1576" spans="1:52" x14ac:dyDescent="0.35">
      <c r="A1576" s="66" t="s">
        <v>12688</v>
      </c>
      <c r="B1576" s="67"/>
      <c r="C1576" s="67"/>
      <c r="D1576" s="68"/>
      <c r="E1576" s="94"/>
      <c r="F1576" s="93" t="str">
        <f>HYPERLINK("https://pbs.twimg.com/profile_images/1439172515012624388/Ez075L8j_normal.jpg")</f>
        <v>https://pbs.twimg.com/profile_images/1439172515012624388/Ez075L8j_normal.jpg</v>
      </c>
      <c r="G1576" s="95"/>
      <c r="H1576" s="71"/>
      <c r="I1576" s="72"/>
      <c r="J1576" s="96"/>
      <c r="K1576" s="71" t="s">
        <v>14346</v>
      </c>
      <c r="L1576" s="97"/>
      <c r="M1576" s="76"/>
      <c r="N1576" s="76"/>
      <c r="O1576" s="77"/>
      <c r="P1576" s="78"/>
      <c r="Q1576" s="78"/>
      <c r="R1576" s="92"/>
      <c r="S1576" s="92"/>
      <c r="T1576" s="92"/>
      <c r="U1576" s="92"/>
      <c r="V1576" s="52"/>
      <c r="W1576" s="52"/>
      <c r="X1576" s="52"/>
      <c r="Y1576" s="52"/>
      <c r="Z1576" s="51"/>
      <c r="AA1576" s="73"/>
      <c r="AB1576" s="73"/>
      <c r="AC1576" s="74"/>
      <c r="AD1576" s="81" t="s">
        <v>13550</v>
      </c>
      <c r="AE1576" s="86" t="s">
        <v>13416</v>
      </c>
      <c r="AF1576" s="81">
        <v>361</v>
      </c>
      <c r="AG1576" s="81">
        <v>466</v>
      </c>
      <c r="AH1576" s="81">
        <v>7536</v>
      </c>
      <c r="AI1576" s="81">
        <v>1391</v>
      </c>
      <c r="AJ1576" s="81"/>
      <c r="AK1576" s="81" t="s">
        <v>14010</v>
      </c>
      <c r="AL1576" s="81" t="s">
        <v>14191</v>
      </c>
      <c r="AM1576" s="81"/>
      <c r="AN1576" s="81"/>
      <c r="AO1576" s="83">
        <v>44301.050011574072</v>
      </c>
      <c r="AP1576" s="84" t="str">
        <f>HYPERLINK("https://pbs.twimg.com/profile_banners/1382501820522582017/1632231831")</f>
        <v>https://pbs.twimg.com/profile_banners/1382501820522582017/1632231831</v>
      </c>
      <c r="AQ1576" s="81" t="b">
        <v>1</v>
      </c>
      <c r="AR1576" s="81" t="b">
        <v>0</v>
      </c>
      <c r="AS1576" s="81" t="b">
        <v>0</v>
      </c>
      <c r="AT1576" s="81"/>
      <c r="AU1576" s="81">
        <v>2</v>
      </c>
      <c r="AV1576" s="81"/>
      <c r="AW1576" s="81" t="b">
        <v>0</v>
      </c>
      <c r="AX1576" s="81" t="s">
        <v>3728</v>
      </c>
      <c r="AY1576" s="84" t="str">
        <f>HYPERLINK("https://twitter.com/qtwindoie")</f>
        <v>https://twitter.com/qtwindoie</v>
      </c>
      <c r="AZ1576" s="81" t="s">
        <v>65</v>
      </c>
    </row>
    <row r="1577" spans="1:52" x14ac:dyDescent="0.35">
      <c r="A1577" s="66" t="s">
        <v>4882</v>
      </c>
      <c r="B1577" s="67"/>
      <c r="C1577" s="67"/>
      <c r="D1577" s="68"/>
      <c r="E1577" s="94"/>
      <c r="F1577" s="93" t="str">
        <f>HYPERLINK("https://pbs.twimg.com/profile_images/1443178920338067461/2N-ifeWp_normal.jpg")</f>
        <v>https://pbs.twimg.com/profile_images/1443178920338067461/2N-ifeWp_normal.jpg</v>
      </c>
      <c r="G1577" s="95"/>
      <c r="H1577" s="71"/>
      <c r="I1577" s="72"/>
      <c r="J1577" s="96"/>
      <c r="K1577" s="71" t="s">
        <v>14347</v>
      </c>
      <c r="L1577" s="97"/>
      <c r="M1577" s="76"/>
      <c r="N1577" s="76"/>
      <c r="O1577" s="77"/>
      <c r="P1577" s="78"/>
      <c r="Q1577" s="78"/>
      <c r="R1577" s="92"/>
      <c r="S1577" s="92"/>
      <c r="T1577" s="92"/>
      <c r="U1577" s="92"/>
      <c r="V1577" s="52"/>
      <c r="W1577" s="52"/>
      <c r="X1577" s="52"/>
      <c r="Y1577" s="52"/>
      <c r="Z1577" s="51"/>
      <c r="AA1577" s="73"/>
      <c r="AB1577" s="73"/>
      <c r="AC1577" s="74"/>
      <c r="AD1577" s="81" t="s">
        <v>8936</v>
      </c>
      <c r="AE1577" s="86" t="s">
        <v>9899</v>
      </c>
      <c r="AF1577" s="81">
        <v>265</v>
      </c>
      <c r="AG1577" s="81">
        <v>824</v>
      </c>
      <c r="AH1577" s="81">
        <v>5968</v>
      </c>
      <c r="AI1577" s="81">
        <v>15050</v>
      </c>
      <c r="AJ1577" s="81"/>
      <c r="AK1577" s="81" t="s">
        <v>10816</v>
      </c>
      <c r="AL1577" s="81" t="s">
        <v>11332</v>
      </c>
      <c r="AM1577" s="81"/>
      <c r="AN1577" s="81"/>
      <c r="AO1577" s="83">
        <v>44377.199293981481</v>
      </c>
      <c r="AP1577" s="84" t="str">
        <f>HYPERLINK("https://pbs.twimg.com/profile_banners/1410097093662810112/1630944451")</f>
        <v>https://pbs.twimg.com/profile_banners/1410097093662810112/1630944451</v>
      </c>
      <c r="AQ1577" s="81" t="b">
        <v>1</v>
      </c>
      <c r="AR1577" s="81" t="b">
        <v>0</v>
      </c>
      <c r="AS1577" s="81" t="b">
        <v>1</v>
      </c>
      <c r="AT1577" s="81"/>
      <c r="AU1577" s="81">
        <v>1</v>
      </c>
      <c r="AV1577" s="81"/>
      <c r="AW1577" s="81" t="b">
        <v>0</v>
      </c>
      <c r="AX1577" s="81" t="s">
        <v>3728</v>
      </c>
      <c r="AY1577" s="84" t="str">
        <f>HYPERLINK("https://twitter.com/minihyunjae")</f>
        <v>https://twitter.com/minihyunjae</v>
      </c>
      <c r="AZ1577" s="81" t="s">
        <v>66</v>
      </c>
    </row>
    <row r="1578" spans="1:52" x14ac:dyDescent="0.35">
      <c r="A1578" s="66" t="s">
        <v>12541</v>
      </c>
      <c r="B1578" s="67"/>
      <c r="C1578" s="67"/>
      <c r="D1578" s="68"/>
      <c r="E1578" s="94"/>
      <c r="F1578" s="93" t="str">
        <f>HYPERLINK("https://pbs.twimg.com/profile_images/1440280651224154116/1Fsq1Tcd_normal.jpg")</f>
        <v>https://pbs.twimg.com/profile_images/1440280651224154116/1Fsq1Tcd_normal.jpg</v>
      </c>
      <c r="G1578" s="95"/>
      <c r="H1578" s="71"/>
      <c r="I1578" s="72"/>
      <c r="J1578" s="96"/>
      <c r="K1578" s="71" t="s">
        <v>14348</v>
      </c>
      <c r="L1578" s="97"/>
      <c r="M1578" s="76"/>
      <c r="N1578" s="76"/>
      <c r="O1578" s="77"/>
      <c r="P1578" s="78"/>
      <c r="Q1578" s="78"/>
      <c r="R1578" s="92"/>
      <c r="S1578" s="92"/>
      <c r="T1578" s="92"/>
      <c r="U1578" s="92"/>
      <c r="V1578" s="52"/>
      <c r="W1578" s="52"/>
      <c r="X1578" s="52"/>
      <c r="Y1578" s="52"/>
      <c r="Z1578" s="51"/>
      <c r="AA1578" s="73"/>
      <c r="AB1578" s="73"/>
      <c r="AC1578" s="74"/>
      <c r="AD1578" s="81" t="s">
        <v>13551</v>
      </c>
      <c r="AE1578" s="86" t="s">
        <v>13766</v>
      </c>
      <c r="AF1578" s="81">
        <v>1641</v>
      </c>
      <c r="AG1578" s="81">
        <v>370</v>
      </c>
      <c r="AH1578" s="81">
        <v>33018</v>
      </c>
      <c r="AI1578" s="81">
        <v>36094</v>
      </c>
      <c r="AJ1578" s="81"/>
      <c r="AK1578" s="81" t="s">
        <v>14011</v>
      </c>
      <c r="AL1578" s="81"/>
      <c r="AM1578" s="84" t="str">
        <f>HYPERLINK("https://t.co/fBJ3AJa6da")</f>
        <v>https://t.co/fBJ3AJa6da</v>
      </c>
      <c r="AN1578" s="81"/>
      <c r="AO1578" s="83">
        <v>43981.503969907404</v>
      </c>
      <c r="AP1578" s="84" t="str">
        <f>HYPERLINK("https://pbs.twimg.com/profile_banners/1266702074533707778/1630477263")</f>
        <v>https://pbs.twimg.com/profile_banners/1266702074533707778/1630477263</v>
      </c>
      <c r="AQ1578" s="81" t="b">
        <v>1</v>
      </c>
      <c r="AR1578" s="81" t="b">
        <v>0</v>
      </c>
      <c r="AS1578" s="81" t="b">
        <v>0</v>
      </c>
      <c r="AT1578" s="81"/>
      <c r="AU1578" s="81">
        <v>2</v>
      </c>
      <c r="AV1578" s="81"/>
      <c r="AW1578" s="81" t="b">
        <v>0</v>
      </c>
      <c r="AX1578" s="81" t="s">
        <v>3728</v>
      </c>
      <c r="AY1578" s="84" t="str">
        <f>HYPERLINK("https://twitter.com/mirahan0612")</f>
        <v>https://twitter.com/mirahan0612</v>
      </c>
      <c r="AZ1578" s="81" t="s">
        <v>66</v>
      </c>
    </row>
    <row r="1579" spans="1:52" x14ac:dyDescent="0.35">
      <c r="A1579" s="66" t="s">
        <v>4888</v>
      </c>
      <c r="B1579" s="67"/>
      <c r="C1579" s="67"/>
      <c r="D1579" s="68"/>
      <c r="E1579" s="94"/>
      <c r="F1579" s="93" t="str">
        <f>HYPERLINK("https://pbs.twimg.com/profile_images/1441307019562999812/eJ6PfXdE_normal.jpg")</f>
        <v>https://pbs.twimg.com/profile_images/1441307019562999812/eJ6PfXdE_normal.jpg</v>
      </c>
      <c r="G1579" s="95"/>
      <c r="H1579" s="71"/>
      <c r="I1579" s="72"/>
      <c r="J1579" s="96"/>
      <c r="K1579" s="71" t="s">
        <v>14349</v>
      </c>
      <c r="L1579" s="97"/>
      <c r="M1579" s="76"/>
      <c r="N1579" s="76"/>
      <c r="O1579" s="77"/>
      <c r="P1579" s="78"/>
      <c r="Q1579" s="78"/>
      <c r="R1579" s="92"/>
      <c r="S1579" s="92"/>
      <c r="T1579" s="92"/>
      <c r="U1579" s="92"/>
      <c r="V1579" s="52"/>
      <c r="W1579" s="52"/>
      <c r="X1579" s="52"/>
      <c r="Y1579" s="52"/>
      <c r="Z1579" s="51"/>
      <c r="AA1579" s="73"/>
      <c r="AB1579" s="73"/>
      <c r="AC1579" s="74"/>
      <c r="AD1579" s="81" t="s">
        <v>8942</v>
      </c>
      <c r="AE1579" s="86" t="s">
        <v>9905</v>
      </c>
      <c r="AF1579" s="81">
        <v>501</v>
      </c>
      <c r="AG1579" s="81">
        <v>1101</v>
      </c>
      <c r="AH1579" s="81">
        <v>17200</v>
      </c>
      <c r="AI1579" s="81">
        <v>37901</v>
      </c>
      <c r="AJ1579" s="81"/>
      <c r="AK1579" s="81" t="s">
        <v>10822</v>
      </c>
      <c r="AL1579" s="81" t="s">
        <v>11337</v>
      </c>
      <c r="AM1579" s="81"/>
      <c r="AN1579" s="81"/>
      <c r="AO1579" s="83">
        <v>43981.159444444442</v>
      </c>
      <c r="AP1579" s="84" t="str">
        <f>HYPERLINK("https://pbs.twimg.com/profile_banners/1266577387598180352/1630227138")</f>
        <v>https://pbs.twimg.com/profile_banners/1266577387598180352/1630227138</v>
      </c>
      <c r="AQ1579" s="81" t="b">
        <v>1</v>
      </c>
      <c r="AR1579" s="81" t="b">
        <v>0</v>
      </c>
      <c r="AS1579" s="81" t="b">
        <v>1</v>
      </c>
      <c r="AT1579" s="81"/>
      <c r="AU1579" s="81">
        <v>19</v>
      </c>
      <c r="AV1579" s="81"/>
      <c r="AW1579" s="81" t="b">
        <v>0</v>
      </c>
      <c r="AX1579" s="81" t="s">
        <v>3728</v>
      </c>
      <c r="AY1579" s="84" t="str">
        <f>HYPERLINK("https://twitter.com/luvbbangjukyu")</f>
        <v>https://twitter.com/luvbbangjukyu</v>
      </c>
      <c r="AZ1579" s="81" t="s">
        <v>66</v>
      </c>
    </row>
    <row r="1580" spans="1:52" x14ac:dyDescent="0.35">
      <c r="A1580" s="66" t="s">
        <v>12542</v>
      </c>
      <c r="B1580" s="67"/>
      <c r="C1580" s="67"/>
      <c r="D1580" s="68"/>
      <c r="E1580" s="94"/>
      <c r="F1580" s="93" t="str">
        <f>HYPERLINK("https://abs.twimg.com/sticky/default_profile_images/default_profile_normal.png")</f>
        <v>https://abs.twimg.com/sticky/default_profile_images/default_profile_normal.png</v>
      </c>
      <c r="G1580" s="95"/>
      <c r="H1580" s="71"/>
      <c r="I1580" s="72"/>
      <c r="J1580" s="96"/>
      <c r="K1580" s="71" t="s">
        <v>14350</v>
      </c>
      <c r="L1580" s="97"/>
      <c r="M1580" s="76"/>
      <c r="N1580" s="76"/>
      <c r="O1580" s="77"/>
      <c r="P1580" s="78"/>
      <c r="Q1580" s="78"/>
      <c r="R1580" s="92"/>
      <c r="S1580" s="92"/>
      <c r="T1580" s="92"/>
      <c r="U1580" s="92"/>
      <c r="V1580" s="52"/>
      <c r="W1580" s="52"/>
      <c r="X1580" s="52"/>
      <c r="Y1580" s="52"/>
      <c r="Z1580" s="51"/>
      <c r="AA1580" s="73"/>
      <c r="AB1580" s="73"/>
      <c r="AC1580" s="74"/>
      <c r="AD1580" s="81" t="s">
        <v>13552</v>
      </c>
      <c r="AE1580" s="86" t="s">
        <v>13767</v>
      </c>
      <c r="AF1580" s="81">
        <v>39</v>
      </c>
      <c r="AG1580" s="81">
        <v>15</v>
      </c>
      <c r="AH1580" s="81">
        <v>3322</v>
      </c>
      <c r="AI1580" s="81">
        <v>1514</v>
      </c>
      <c r="AJ1580" s="81"/>
      <c r="AK1580" s="81"/>
      <c r="AL1580" s="81"/>
      <c r="AM1580" s="81"/>
      <c r="AN1580" s="81"/>
      <c r="AO1580" s="83">
        <v>44429.534571759257</v>
      </c>
      <c r="AP1580" s="81"/>
      <c r="AQ1580" s="81" t="b">
        <v>1</v>
      </c>
      <c r="AR1580" s="81" t="b">
        <v>1</v>
      </c>
      <c r="AS1580" s="81" t="b">
        <v>0</v>
      </c>
      <c r="AT1580" s="81"/>
      <c r="AU1580" s="81">
        <v>0</v>
      </c>
      <c r="AV1580" s="81"/>
      <c r="AW1580" s="81" t="b">
        <v>0</v>
      </c>
      <c r="AX1580" s="81" t="s">
        <v>3728</v>
      </c>
      <c r="AY1580" s="84" t="str">
        <f>HYPERLINK("https://twitter.com/joscunh1965")</f>
        <v>https://twitter.com/joscunh1965</v>
      </c>
      <c r="AZ1580" s="81" t="s">
        <v>66</v>
      </c>
    </row>
    <row r="1581" spans="1:52" x14ac:dyDescent="0.35">
      <c r="A1581" s="66" t="s">
        <v>12689</v>
      </c>
      <c r="B1581" s="67"/>
      <c r="C1581" s="67"/>
      <c r="D1581" s="68"/>
      <c r="E1581" s="94"/>
      <c r="F1581" s="67"/>
      <c r="G1581" s="95"/>
      <c r="H1581" s="71"/>
      <c r="I1581" s="72"/>
      <c r="J1581" s="96"/>
      <c r="K1581" s="71" t="s">
        <v>14351</v>
      </c>
      <c r="L1581" s="97"/>
      <c r="M1581" s="76"/>
      <c r="N1581" s="76"/>
      <c r="O1581" s="77"/>
      <c r="P1581" s="78"/>
      <c r="Q1581" s="78"/>
      <c r="R1581" s="92"/>
      <c r="S1581" s="92"/>
      <c r="T1581" s="92"/>
      <c r="U1581" s="92"/>
      <c r="V1581" s="52"/>
      <c r="W1581" s="52"/>
      <c r="X1581" s="52"/>
      <c r="Y1581" s="52"/>
      <c r="Z1581" s="51"/>
      <c r="AA1581" s="73"/>
      <c r="AB1581" s="73"/>
      <c r="AC1581" s="74"/>
      <c r="AD1581" s="81"/>
      <c r="AE1581" s="86" t="s">
        <v>13768</v>
      </c>
      <c r="AF1581" s="81">
        <v>8</v>
      </c>
      <c r="AG1581" s="81">
        <v>12</v>
      </c>
      <c r="AH1581" s="81">
        <v>22</v>
      </c>
      <c r="AI1581" s="81">
        <v>21</v>
      </c>
      <c r="AJ1581" s="81"/>
      <c r="AK1581" s="81" t="s">
        <v>14012</v>
      </c>
      <c r="AL1581" s="81"/>
      <c r="AM1581" s="81"/>
      <c r="AN1581" s="81"/>
      <c r="AO1581" s="83">
        <v>44156.594976851855</v>
      </c>
      <c r="AP1581" s="81"/>
      <c r="AQ1581" s="81" t="b">
        <v>1</v>
      </c>
      <c r="AR1581" s="81" t="b">
        <v>0</v>
      </c>
      <c r="AS1581" s="81" t="b">
        <v>0</v>
      </c>
      <c r="AT1581" s="81"/>
      <c r="AU1581" s="81">
        <v>0</v>
      </c>
      <c r="AV1581" s="81"/>
      <c r="AW1581" s="81" t="b">
        <v>0</v>
      </c>
      <c r="AX1581" s="81" t="s">
        <v>3728</v>
      </c>
      <c r="AY1581" s="84" t="str">
        <f>HYPERLINK("https://twitter.com/andreventurac")</f>
        <v>https://twitter.com/andreventurac</v>
      </c>
      <c r="AZ1581" s="81" t="s">
        <v>65</v>
      </c>
    </row>
    <row r="1582" spans="1:52" x14ac:dyDescent="0.35">
      <c r="A1582" s="66" t="s">
        <v>12690</v>
      </c>
      <c r="B1582" s="67"/>
      <c r="C1582" s="67"/>
      <c r="D1582" s="68"/>
      <c r="E1582" s="94"/>
      <c r="F1582" s="93" t="str">
        <f>HYPERLINK("https://pbs.twimg.com/profile_images/1268613214595624960/Z8LWFFp__normal.jpg")</f>
        <v>https://pbs.twimg.com/profile_images/1268613214595624960/Z8LWFFp__normal.jpg</v>
      </c>
      <c r="G1582" s="95"/>
      <c r="H1582" s="71"/>
      <c r="I1582" s="72"/>
      <c r="J1582" s="96"/>
      <c r="K1582" s="71" t="s">
        <v>14352</v>
      </c>
      <c r="L1582" s="97"/>
      <c r="M1582" s="76"/>
      <c r="N1582" s="76"/>
      <c r="O1582" s="77"/>
      <c r="P1582" s="78"/>
      <c r="Q1582" s="78"/>
      <c r="R1582" s="92"/>
      <c r="S1582" s="92"/>
      <c r="T1582" s="92"/>
      <c r="U1582" s="92"/>
      <c r="V1582" s="52"/>
      <c r="W1582" s="52"/>
      <c r="X1582" s="52"/>
      <c r="Y1582" s="52"/>
      <c r="Z1582" s="51"/>
      <c r="AA1582" s="73"/>
      <c r="AB1582" s="73"/>
      <c r="AC1582" s="74"/>
      <c r="AD1582" s="81" t="s">
        <v>13553</v>
      </c>
      <c r="AE1582" s="86" t="s">
        <v>13769</v>
      </c>
      <c r="AF1582" s="81">
        <v>65</v>
      </c>
      <c r="AG1582" s="81">
        <v>58359</v>
      </c>
      <c r="AH1582" s="81">
        <v>1708</v>
      </c>
      <c r="AI1582" s="81">
        <v>242</v>
      </c>
      <c r="AJ1582" s="81"/>
      <c r="AK1582" s="81" t="s">
        <v>14013</v>
      </c>
      <c r="AL1582" s="81"/>
      <c r="AM1582" s="81"/>
      <c r="AN1582" s="81"/>
      <c r="AO1582" s="83">
        <v>43515.871087962965</v>
      </c>
      <c r="AP1582" s="84" t="str">
        <f>HYPERLINK("https://pbs.twimg.com/profile_banners/1097962618596327424/1615294748")</f>
        <v>https://pbs.twimg.com/profile_banners/1097962618596327424/1615294748</v>
      </c>
      <c r="AQ1582" s="81" t="b">
        <v>1</v>
      </c>
      <c r="AR1582" s="81" t="b">
        <v>0</v>
      </c>
      <c r="AS1582" s="81" t="b">
        <v>0</v>
      </c>
      <c r="AT1582" s="81"/>
      <c r="AU1582" s="81">
        <v>142</v>
      </c>
      <c r="AV1582" s="81"/>
      <c r="AW1582" s="81" t="b">
        <v>0</v>
      </c>
      <c r="AX1582" s="81" t="s">
        <v>3728</v>
      </c>
      <c r="AY1582" s="84" t="str">
        <f>HYPERLINK("https://twitter.com/andrecventura")</f>
        <v>https://twitter.com/andrecventura</v>
      </c>
      <c r="AZ1582" s="81" t="s">
        <v>65</v>
      </c>
    </row>
    <row r="1583" spans="1:52" x14ac:dyDescent="0.35">
      <c r="A1583" s="66" t="s">
        <v>12691</v>
      </c>
      <c r="B1583" s="67"/>
      <c r="C1583" s="67"/>
      <c r="D1583" s="68"/>
      <c r="E1583" s="94"/>
      <c r="F1583" s="93" t="str">
        <f>HYPERLINK("https://pbs.twimg.com/profile_images/91774102/carlos_cessna_normal.jpg")</f>
        <v>https://pbs.twimg.com/profile_images/91774102/carlos_cessna_normal.jpg</v>
      </c>
      <c r="G1583" s="95"/>
      <c r="H1583" s="71"/>
      <c r="I1583" s="72"/>
      <c r="J1583" s="96"/>
      <c r="K1583" s="71" t="s">
        <v>14353</v>
      </c>
      <c r="L1583" s="97"/>
      <c r="M1583" s="76"/>
      <c r="N1583" s="76"/>
      <c r="O1583" s="77"/>
      <c r="P1583" s="78"/>
      <c r="Q1583" s="78"/>
      <c r="R1583" s="92"/>
      <c r="S1583" s="92"/>
      <c r="T1583" s="92"/>
      <c r="U1583" s="92"/>
      <c r="V1583" s="52"/>
      <c r="W1583" s="52"/>
      <c r="X1583" s="52"/>
      <c r="Y1583" s="52"/>
      <c r="Z1583" s="51"/>
      <c r="AA1583" s="73"/>
      <c r="AB1583" s="73"/>
      <c r="AC1583" s="74"/>
      <c r="AD1583" s="81" t="s">
        <v>13554</v>
      </c>
      <c r="AE1583" s="86" t="s">
        <v>13770</v>
      </c>
      <c r="AF1583" s="81">
        <v>441</v>
      </c>
      <c r="AG1583" s="81">
        <v>131</v>
      </c>
      <c r="AH1583" s="81">
        <v>1817</v>
      </c>
      <c r="AI1583" s="81">
        <v>7739</v>
      </c>
      <c r="AJ1583" s="81"/>
      <c r="AK1583" s="81" t="s">
        <v>14014</v>
      </c>
      <c r="AL1583" s="81" t="s">
        <v>10971</v>
      </c>
      <c r="AM1583" s="81"/>
      <c r="AN1583" s="81"/>
      <c r="AO1583" s="83">
        <v>39853.453414351854</v>
      </c>
      <c r="AP1583" s="84" t="str">
        <f>HYPERLINK("https://pbs.twimg.com/profile_banners/20427899/1450899719")</f>
        <v>https://pbs.twimg.com/profile_banners/20427899/1450899719</v>
      </c>
      <c r="AQ1583" s="81" t="b">
        <v>0</v>
      </c>
      <c r="AR1583" s="81" t="b">
        <v>0</v>
      </c>
      <c r="AS1583" s="81" t="b">
        <v>0</v>
      </c>
      <c r="AT1583" s="81"/>
      <c r="AU1583" s="81">
        <v>3</v>
      </c>
      <c r="AV1583" s="84" t="str">
        <f>HYPERLINK("https://abs.twimg.com/images/themes/theme9/bg.gif")</f>
        <v>https://abs.twimg.com/images/themes/theme9/bg.gif</v>
      </c>
      <c r="AW1583" s="81" t="b">
        <v>0</v>
      </c>
      <c r="AX1583" s="81" t="s">
        <v>3728</v>
      </c>
      <c r="AY1583" s="84" t="str">
        <f>HYPERLINK("https://twitter.com/charliebrown_pt")</f>
        <v>https://twitter.com/charliebrown_pt</v>
      </c>
      <c r="AZ1583" s="81" t="s">
        <v>65</v>
      </c>
    </row>
    <row r="1584" spans="1:52" x14ac:dyDescent="0.35">
      <c r="A1584" s="66" t="s">
        <v>12692</v>
      </c>
      <c r="B1584" s="67"/>
      <c r="C1584" s="67"/>
      <c r="D1584" s="68"/>
      <c r="E1584" s="94"/>
      <c r="F1584" s="93" t="str">
        <f>HYPERLINK("https://pbs.twimg.com/profile_images/1408984335038959628/mYFjm3Ea_normal.jpg")</f>
        <v>https://pbs.twimg.com/profile_images/1408984335038959628/mYFjm3Ea_normal.jpg</v>
      </c>
      <c r="G1584" s="95"/>
      <c r="H1584" s="71"/>
      <c r="I1584" s="72"/>
      <c r="J1584" s="96"/>
      <c r="K1584" s="71" t="s">
        <v>14354</v>
      </c>
      <c r="L1584" s="97"/>
      <c r="M1584" s="76"/>
      <c r="N1584" s="76"/>
      <c r="O1584" s="77"/>
      <c r="P1584" s="78"/>
      <c r="Q1584" s="78"/>
      <c r="R1584" s="92"/>
      <c r="S1584" s="92"/>
      <c r="T1584" s="92"/>
      <c r="U1584" s="92"/>
      <c r="V1584" s="52"/>
      <c r="W1584" s="52"/>
      <c r="X1584" s="52"/>
      <c r="Y1584" s="52"/>
      <c r="Z1584" s="51"/>
      <c r="AA1584" s="73"/>
      <c r="AB1584" s="73"/>
      <c r="AC1584" s="74"/>
      <c r="AD1584" s="81" t="s">
        <v>13555</v>
      </c>
      <c r="AE1584" s="86" t="s">
        <v>13771</v>
      </c>
      <c r="AF1584" s="81">
        <v>13</v>
      </c>
      <c r="AG1584" s="81">
        <v>9</v>
      </c>
      <c r="AH1584" s="81">
        <v>903</v>
      </c>
      <c r="AI1584" s="81">
        <v>104</v>
      </c>
      <c r="AJ1584" s="81"/>
      <c r="AK1584" s="81"/>
      <c r="AL1584" s="81"/>
      <c r="AM1584" s="81"/>
      <c r="AN1584" s="81"/>
      <c r="AO1584" s="83">
        <v>44372.737222222226</v>
      </c>
      <c r="AP1584" s="81"/>
      <c r="AQ1584" s="81" t="b">
        <v>1</v>
      </c>
      <c r="AR1584" s="81" t="b">
        <v>0</v>
      </c>
      <c r="AS1584" s="81" t="b">
        <v>0</v>
      </c>
      <c r="AT1584" s="81"/>
      <c r="AU1584" s="81">
        <v>0</v>
      </c>
      <c r="AV1584" s="81"/>
      <c r="AW1584" s="81" t="b">
        <v>0</v>
      </c>
      <c r="AX1584" s="81" t="s">
        <v>3728</v>
      </c>
      <c r="AY1584" s="84" t="str">
        <f>HYPERLINK("https://twitter.com/santolas9")</f>
        <v>https://twitter.com/santolas9</v>
      </c>
      <c r="AZ1584" s="81" t="s">
        <v>65</v>
      </c>
    </row>
    <row r="1585" spans="1:52" x14ac:dyDescent="0.35">
      <c r="A1585" s="66" t="s">
        <v>12693</v>
      </c>
      <c r="B1585" s="67"/>
      <c r="C1585" s="67"/>
      <c r="D1585" s="68"/>
      <c r="E1585" s="94"/>
      <c r="F1585" s="93" t="str">
        <f>HYPERLINK("https://pbs.twimg.com/profile_images/1376356657169580033/GA-L9CXD_normal.jpg")</f>
        <v>https://pbs.twimg.com/profile_images/1376356657169580033/GA-L9CXD_normal.jpg</v>
      </c>
      <c r="G1585" s="95"/>
      <c r="H1585" s="71"/>
      <c r="I1585" s="72"/>
      <c r="J1585" s="96"/>
      <c r="K1585" s="71" t="s">
        <v>14355</v>
      </c>
      <c r="L1585" s="97"/>
      <c r="M1585" s="76"/>
      <c r="N1585" s="76"/>
      <c r="O1585" s="77"/>
      <c r="P1585" s="78"/>
      <c r="Q1585" s="78"/>
      <c r="R1585" s="92"/>
      <c r="S1585" s="92"/>
      <c r="T1585" s="92"/>
      <c r="U1585" s="92"/>
      <c r="V1585" s="52"/>
      <c r="W1585" s="52"/>
      <c r="X1585" s="52"/>
      <c r="Y1585" s="52"/>
      <c r="Z1585" s="51"/>
      <c r="AA1585" s="73"/>
      <c r="AB1585" s="73"/>
      <c r="AC1585" s="74"/>
      <c r="AD1585" s="81" t="s">
        <v>13556</v>
      </c>
      <c r="AE1585" s="86" t="s">
        <v>13417</v>
      </c>
      <c r="AF1585" s="81">
        <v>158</v>
      </c>
      <c r="AG1585" s="81">
        <v>71</v>
      </c>
      <c r="AH1585" s="81">
        <v>2928</v>
      </c>
      <c r="AI1585" s="81">
        <v>3538</v>
      </c>
      <c r="AJ1585" s="81"/>
      <c r="AK1585" s="81" t="s">
        <v>14015</v>
      </c>
      <c r="AL1585" s="81"/>
      <c r="AM1585" s="81"/>
      <c r="AN1585" s="81"/>
      <c r="AO1585" s="83">
        <v>44284.091504629629</v>
      </c>
      <c r="AP1585" s="81"/>
      <c r="AQ1585" s="81" t="b">
        <v>1</v>
      </c>
      <c r="AR1585" s="81" t="b">
        <v>0</v>
      </c>
      <c r="AS1585" s="81" t="b">
        <v>1</v>
      </c>
      <c r="AT1585" s="81"/>
      <c r="AU1585" s="81">
        <v>0</v>
      </c>
      <c r="AV1585" s="81"/>
      <c r="AW1585" s="81" t="b">
        <v>0</v>
      </c>
      <c r="AX1585" s="81" t="s">
        <v>3728</v>
      </c>
      <c r="AY1585" s="84" t="str">
        <f>HYPERLINK("https://twitter.com/pedrofilipevas1")</f>
        <v>https://twitter.com/pedrofilipevas1</v>
      </c>
      <c r="AZ1585" s="81" t="s">
        <v>65</v>
      </c>
    </row>
    <row r="1586" spans="1:52" x14ac:dyDescent="0.35">
      <c r="A1586" s="66" t="s">
        <v>393</v>
      </c>
      <c r="B1586" s="67"/>
      <c r="C1586" s="67"/>
      <c r="D1586" s="68"/>
      <c r="E1586" s="94"/>
      <c r="F1586" s="93" t="str">
        <f>HYPERLINK("https://pbs.twimg.com/profile_images/1376026828968632324/wlSf4RqP_normal.jpg")</f>
        <v>https://pbs.twimg.com/profile_images/1376026828968632324/wlSf4RqP_normal.jpg</v>
      </c>
      <c r="G1586" s="95"/>
      <c r="H1586" s="71"/>
      <c r="I1586" s="72"/>
      <c r="J1586" s="96"/>
      <c r="K1586" s="71" t="s">
        <v>14356</v>
      </c>
      <c r="L1586" s="97"/>
      <c r="M1586" s="76"/>
      <c r="N1586" s="76"/>
      <c r="O1586" s="77"/>
      <c r="P1586" s="78"/>
      <c r="Q1586" s="78"/>
      <c r="R1586" s="92"/>
      <c r="S1586" s="92"/>
      <c r="T1586" s="92"/>
      <c r="U1586" s="92"/>
      <c r="V1586" s="52"/>
      <c r="W1586" s="52"/>
      <c r="X1586" s="52"/>
      <c r="Y1586" s="52"/>
      <c r="Z1586" s="51"/>
      <c r="AA1586" s="73"/>
      <c r="AB1586" s="73"/>
      <c r="AC1586" s="74"/>
      <c r="AD1586" s="81" t="s">
        <v>2451</v>
      </c>
      <c r="AE1586" s="86" t="s">
        <v>2874</v>
      </c>
      <c r="AF1586" s="81">
        <v>12</v>
      </c>
      <c r="AG1586" s="81">
        <v>2214</v>
      </c>
      <c r="AH1586" s="81">
        <v>8594</v>
      </c>
      <c r="AI1586" s="81">
        <v>44</v>
      </c>
      <c r="AJ1586" s="81"/>
      <c r="AK1586" s="81" t="s">
        <v>3283</v>
      </c>
      <c r="AL1586" s="81" t="s">
        <v>3514</v>
      </c>
      <c r="AM1586" s="84" t="str">
        <f>HYPERLINK("https://t.co/Pp1Qfng7iO")</f>
        <v>https://t.co/Pp1Qfng7iO</v>
      </c>
      <c r="AN1586" s="81"/>
      <c r="AO1586" s="83">
        <v>44011.092233796298</v>
      </c>
      <c r="AP1586" s="84" t="str">
        <f>HYPERLINK("https://pbs.twimg.com/profile_banners/1277424676822646785/1616905464")</f>
        <v>https://pbs.twimg.com/profile_banners/1277424676822646785/1616905464</v>
      </c>
      <c r="AQ1586" s="81" t="b">
        <v>1</v>
      </c>
      <c r="AR1586" s="81" t="b">
        <v>0</v>
      </c>
      <c r="AS1586" s="81" t="b">
        <v>0</v>
      </c>
      <c r="AT1586" s="81"/>
      <c r="AU1586" s="81">
        <v>5</v>
      </c>
      <c r="AV1586" s="81"/>
      <c r="AW1586" s="81" t="b">
        <v>0</v>
      </c>
      <c r="AX1586" s="81" t="s">
        <v>3728</v>
      </c>
      <c r="AY1586" s="84" t="str">
        <f>HYPERLINK("https://twitter.com/pasartheboyzmy")</f>
        <v>https://twitter.com/pasartheboyzmy</v>
      </c>
      <c r="AZ1586" s="81" t="s">
        <v>66</v>
      </c>
    </row>
    <row r="1587" spans="1:52" x14ac:dyDescent="0.35">
      <c r="A1587" s="66" t="s">
        <v>12543</v>
      </c>
      <c r="B1587" s="67"/>
      <c r="C1587" s="67"/>
      <c r="D1587" s="68"/>
      <c r="E1587" s="94"/>
      <c r="F1587" s="93" t="str">
        <f>HYPERLINK("https://pbs.twimg.com/profile_images/1439548913510273024/1eyT5pB6_normal.jpg")</f>
        <v>https://pbs.twimg.com/profile_images/1439548913510273024/1eyT5pB6_normal.jpg</v>
      </c>
      <c r="G1587" s="95"/>
      <c r="H1587" s="71"/>
      <c r="I1587" s="72"/>
      <c r="J1587" s="96"/>
      <c r="K1587" s="71" t="s">
        <v>14357</v>
      </c>
      <c r="L1587" s="97"/>
      <c r="M1587" s="76"/>
      <c r="N1587" s="76"/>
      <c r="O1587" s="77"/>
      <c r="P1587" s="78"/>
      <c r="Q1587" s="78"/>
      <c r="R1587" s="92"/>
      <c r="S1587" s="92"/>
      <c r="T1587" s="92"/>
      <c r="U1587" s="92"/>
      <c r="V1587" s="52"/>
      <c r="W1587" s="52"/>
      <c r="X1587" s="52"/>
      <c r="Y1587" s="52"/>
      <c r="Z1587" s="51"/>
      <c r="AA1587" s="73"/>
      <c r="AB1587" s="73"/>
      <c r="AC1587" s="74"/>
      <c r="AD1587" s="81" t="s">
        <v>13557</v>
      </c>
      <c r="AE1587" s="86" t="s">
        <v>13772</v>
      </c>
      <c r="AF1587" s="81">
        <v>285</v>
      </c>
      <c r="AG1587" s="81">
        <v>262</v>
      </c>
      <c r="AH1587" s="81">
        <v>28788</v>
      </c>
      <c r="AI1587" s="81">
        <v>608</v>
      </c>
      <c r="AJ1587" s="81"/>
      <c r="AK1587" s="81" t="s">
        <v>14016</v>
      </c>
      <c r="AL1587" s="81" t="s">
        <v>14192</v>
      </c>
      <c r="AM1587" s="81"/>
      <c r="AN1587" s="81"/>
      <c r="AO1587" s="83">
        <v>44050.717118055552</v>
      </c>
      <c r="AP1587" s="84" t="str">
        <f>HYPERLINK("https://pbs.twimg.com/profile_banners/1291784267085668352/1615042424")</f>
        <v>https://pbs.twimg.com/profile_banners/1291784267085668352/1615042424</v>
      </c>
      <c r="AQ1587" s="81" t="b">
        <v>1</v>
      </c>
      <c r="AR1587" s="81" t="b">
        <v>0</v>
      </c>
      <c r="AS1587" s="81" t="b">
        <v>0</v>
      </c>
      <c r="AT1587" s="81"/>
      <c r="AU1587" s="81">
        <v>2</v>
      </c>
      <c r="AV1587" s="81"/>
      <c r="AW1587" s="81" t="b">
        <v>0</v>
      </c>
      <c r="AX1587" s="81" t="s">
        <v>3728</v>
      </c>
      <c r="AY1587" s="84" t="str">
        <f>HYPERLINK("https://twitter.com/soleil_mil")</f>
        <v>https://twitter.com/soleil_mil</v>
      </c>
      <c r="AZ1587" s="81" t="s">
        <v>66</v>
      </c>
    </row>
    <row r="1588" spans="1:52" x14ac:dyDescent="0.35">
      <c r="A1588" s="66" t="s">
        <v>12544</v>
      </c>
      <c r="B1588" s="67"/>
      <c r="C1588" s="67"/>
      <c r="D1588" s="68"/>
      <c r="E1588" s="94"/>
      <c r="F1588" s="93" t="str">
        <f>HYPERLINK("https://pbs.twimg.com/profile_images/709685958967480321/B9if7Sg2_normal.jpg")</f>
        <v>https://pbs.twimg.com/profile_images/709685958967480321/B9if7Sg2_normal.jpg</v>
      </c>
      <c r="G1588" s="95"/>
      <c r="H1588" s="71"/>
      <c r="I1588" s="72"/>
      <c r="J1588" s="96"/>
      <c r="K1588" s="71" t="s">
        <v>14358</v>
      </c>
      <c r="L1588" s="97"/>
      <c r="M1588" s="76"/>
      <c r="N1588" s="76"/>
      <c r="O1588" s="77"/>
      <c r="P1588" s="78"/>
      <c r="Q1588" s="78"/>
      <c r="R1588" s="92"/>
      <c r="S1588" s="92"/>
      <c r="T1588" s="92"/>
      <c r="U1588" s="92"/>
      <c r="V1588" s="52"/>
      <c r="W1588" s="52"/>
      <c r="X1588" s="52"/>
      <c r="Y1588" s="52"/>
      <c r="Z1588" s="51"/>
      <c r="AA1588" s="73"/>
      <c r="AB1588" s="73"/>
      <c r="AC1588" s="74"/>
      <c r="AD1588" s="81" t="s">
        <v>13558</v>
      </c>
      <c r="AE1588" s="86" t="s">
        <v>13773</v>
      </c>
      <c r="AF1588" s="81">
        <v>501</v>
      </c>
      <c r="AG1588" s="81">
        <v>514</v>
      </c>
      <c r="AH1588" s="81">
        <v>19072</v>
      </c>
      <c r="AI1588" s="81">
        <v>3</v>
      </c>
      <c r="AJ1588" s="81"/>
      <c r="AK1588" s="81" t="s">
        <v>14017</v>
      </c>
      <c r="AL1588" s="81" t="s">
        <v>14193</v>
      </c>
      <c r="AM1588" s="84" t="str">
        <f>HYPERLINK("http://t.co/mnGOBwuokZ")</f>
        <v>http://t.co/mnGOBwuokZ</v>
      </c>
      <c r="AN1588" s="81"/>
      <c r="AO1588" s="83">
        <v>41082.436759259261</v>
      </c>
      <c r="AP1588" s="84" t="str">
        <f>HYPERLINK("https://pbs.twimg.com/profile_banners/615042257/1458037280")</f>
        <v>https://pbs.twimg.com/profile_banners/615042257/1458037280</v>
      </c>
      <c r="AQ1588" s="81" t="b">
        <v>0</v>
      </c>
      <c r="AR1588" s="81" t="b">
        <v>0</v>
      </c>
      <c r="AS1588" s="81" t="b">
        <v>0</v>
      </c>
      <c r="AT1588" s="81"/>
      <c r="AU1588" s="81">
        <v>10</v>
      </c>
      <c r="AV1588" s="84" t="str">
        <f>HYPERLINK("https://abs.twimg.com/images/themes/theme1/bg.png")</f>
        <v>https://abs.twimg.com/images/themes/theme1/bg.png</v>
      </c>
      <c r="AW1588" s="81" t="b">
        <v>0</v>
      </c>
      <c r="AX1588" s="81" t="s">
        <v>3728</v>
      </c>
      <c r="AY1588" s="84" t="str">
        <f>HYPERLINK("https://twitter.com/infoans_pt")</f>
        <v>https://twitter.com/infoans_pt</v>
      </c>
      <c r="AZ1588" s="81" t="s">
        <v>66</v>
      </c>
    </row>
    <row r="1589" spans="1:52" x14ac:dyDescent="0.35">
      <c r="A1589" s="66" t="s">
        <v>399</v>
      </c>
      <c r="B1589" s="67"/>
      <c r="C1589" s="67"/>
      <c r="D1589" s="68"/>
      <c r="E1589" s="94"/>
      <c r="F1589" s="93" t="str">
        <f>HYPERLINK("https://pbs.twimg.com/profile_images/1421942142407041028/mQngoOcx_normal.jpg")</f>
        <v>https://pbs.twimg.com/profile_images/1421942142407041028/mQngoOcx_normal.jpg</v>
      </c>
      <c r="G1589" s="95"/>
      <c r="H1589" s="71"/>
      <c r="I1589" s="72"/>
      <c r="J1589" s="96"/>
      <c r="K1589" s="71" t="s">
        <v>14359</v>
      </c>
      <c r="L1589" s="97"/>
      <c r="M1589" s="76"/>
      <c r="N1589" s="76"/>
      <c r="O1589" s="77"/>
      <c r="P1589" s="78"/>
      <c r="Q1589" s="78"/>
      <c r="R1589" s="92"/>
      <c r="S1589" s="92"/>
      <c r="T1589" s="92"/>
      <c r="U1589" s="92"/>
      <c r="V1589" s="52"/>
      <c r="W1589" s="52"/>
      <c r="X1589" s="52"/>
      <c r="Y1589" s="52"/>
      <c r="Z1589" s="51"/>
      <c r="AA1589" s="73"/>
      <c r="AB1589" s="73"/>
      <c r="AC1589" s="74"/>
      <c r="AD1589" s="81" t="s">
        <v>2459</v>
      </c>
      <c r="AE1589" s="86" t="s">
        <v>2880</v>
      </c>
      <c r="AF1589" s="81">
        <v>0</v>
      </c>
      <c r="AG1589" s="81">
        <v>140</v>
      </c>
      <c r="AH1589" s="81">
        <v>2032</v>
      </c>
      <c r="AI1589" s="81">
        <v>122</v>
      </c>
      <c r="AJ1589" s="81"/>
      <c r="AK1589" s="81" t="s">
        <v>3291</v>
      </c>
      <c r="AL1589" s="81"/>
      <c r="AM1589" s="81"/>
      <c r="AN1589" s="81"/>
      <c r="AO1589" s="83">
        <v>44304.590092592596</v>
      </c>
      <c r="AP1589" s="84" t="str">
        <f>HYPERLINK("https://pbs.twimg.com/profile_banners/1383784547607736321/1627852400")</f>
        <v>https://pbs.twimg.com/profile_banners/1383784547607736321/1627852400</v>
      </c>
      <c r="AQ1589" s="81" t="b">
        <v>1</v>
      </c>
      <c r="AR1589" s="81" t="b">
        <v>0</v>
      </c>
      <c r="AS1589" s="81" t="b">
        <v>0</v>
      </c>
      <c r="AT1589" s="81"/>
      <c r="AU1589" s="81">
        <v>0</v>
      </c>
      <c r="AV1589" s="81"/>
      <c r="AW1589" s="81" t="b">
        <v>0</v>
      </c>
      <c r="AX1589" s="81" t="s">
        <v>3728</v>
      </c>
      <c r="AY1589" s="84" t="str">
        <f>HYPERLINK("https://twitter.com/bazaardeobi")</f>
        <v>https://twitter.com/bazaardeobi</v>
      </c>
      <c r="AZ1589" s="81" t="s">
        <v>66</v>
      </c>
    </row>
    <row r="1590" spans="1:52" x14ac:dyDescent="0.35">
      <c r="A1590" s="66" t="s">
        <v>4943</v>
      </c>
      <c r="B1590" s="67"/>
      <c r="C1590" s="67"/>
      <c r="D1590" s="68"/>
      <c r="E1590" s="94"/>
      <c r="F1590" s="93" t="str">
        <f>HYPERLINK("https://pbs.twimg.com/profile_images/1261285963290066945/cV40UCvI_normal.jpg")</f>
        <v>https://pbs.twimg.com/profile_images/1261285963290066945/cV40UCvI_normal.jpg</v>
      </c>
      <c r="G1590" s="95"/>
      <c r="H1590" s="71"/>
      <c r="I1590" s="72"/>
      <c r="J1590" s="96"/>
      <c r="K1590" s="71" t="s">
        <v>12404</v>
      </c>
      <c r="L1590" s="97"/>
      <c r="M1590" s="76"/>
      <c r="N1590" s="76"/>
      <c r="O1590" s="77"/>
      <c r="P1590" s="78"/>
      <c r="Q1590" s="78"/>
      <c r="R1590" s="92"/>
      <c r="S1590" s="92"/>
      <c r="T1590" s="92"/>
      <c r="U1590" s="92"/>
      <c r="V1590" s="52"/>
      <c r="W1590" s="52"/>
      <c r="X1590" s="52"/>
      <c r="Y1590" s="52"/>
      <c r="Z1590" s="51"/>
      <c r="AA1590" s="73"/>
      <c r="AB1590" s="73"/>
      <c r="AC1590" s="74"/>
      <c r="AD1590" s="81" t="s">
        <v>9021</v>
      </c>
      <c r="AE1590" s="86" t="s">
        <v>9972</v>
      </c>
      <c r="AF1590" s="81">
        <v>846</v>
      </c>
      <c r="AG1590" s="81">
        <v>218</v>
      </c>
      <c r="AH1590" s="81">
        <v>360</v>
      </c>
      <c r="AI1590" s="81">
        <v>306</v>
      </c>
      <c r="AJ1590" s="81"/>
      <c r="AK1590" s="81" t="s">
        <v>10891</v>
      </c>
      <c r="AL1590" s="81" t="s">
        <v>11361</v>
      </c>
      <c r="AM1590" s="84" t="str">
        <f>HYPERLINK("https://t.co/bN1LWDRjH7")</f>
        <v>https://t.co/bN1LWDRjH7</v>
      </c>
      <c r="AN1590" s="81"/>
      <c r="AO1590" s="83">
        <v>42042.489178240743</v>
      </c>
      <c r="AP1590" s="84" t="str">
        <f>HYPERLINK("https://pbs.twimg.com/profile_banners/3023122810/1423309662")</f>
        <v>https://pbs.twimg.com/profile_banners/3023122810/1423309662</v>
      </c>
      <c r="AQ1590" s="81" t="b">
        <v>1</v>
      </c>
      <c r="AR1590" s="81" t="b">
        <v>0</v>
      </c>
      <c r="AS1590" s="81" t="b">
        <v>1</v>
      </c>
      <c r="AT1590" s="81"/>
      <c r="AU1590" s="81">
        <v>1</v>
      </c>
      <c r="AV1590" s="84" t="str">
        <f>HYPERLINK("https://abs.twimg.com/images/themes/theme1/bg.png")</f>
        <v>https://abs.twimg.com/images/themes/theme1/bg.png</v>
      </c>
      <c r="AW1590" s="81" t="b">
        <v>0</v>
      </c>
      <c r="AX1590" s="81" t="s">
        <v>3728</v>
      </c>
      <c r="AY1590" s="84" t="str">
        <f>HYPERLINK("https://twitter.com/esceipvc")</f>
        <v>https://twitter.com/esceipvc</v>
      </c>
      <c r="AZ1590" s="81" t="s">
        <v>66</v>
      </c>
    </row>
    <row r="1591" spans="1:52" x14ac:dyDescent="0.35">
      <c r="A1591" s="66" t="s">
        <v>12545</v>
      </c>
      <c r="B1591" s="67"/>
      <c r="C1591" s="67"/>
      <c r="D1591" s="68"/>
      <c r="E1591" s="94"/>
      <c r="F1591" s="93" t="str">
        <f>HYPERLINK("https://pbs.twimg.com/profile_images/558211669944332288/3GJZdEgD_normal.jpeg")</f>
        <v>https://pbs.twimg.com/profile_images/558211669944332288/3GJZdEgD_normal.jpeg</v>
      </c>
      <c r="G1591" s="95"/>
      <c r="H1591" s="71"/>
      <c r="I1591" s="72"/>
      <c r="J1591" s="96"/>
      <c r="K1591" s="71" t="s">
        <v>14360</v>
      </c>
      <c r="L1591" s="97"/>
      <c r="M1591" s="76"/>
      <c r="N1591" s="76"/>
      <c r="O1591" s="77"/>
      <c r="P1591" s="78"/>
      <c r="Q1591" s="78"/>
      <c r="R1591" s="92"/>
      <c r="S1591" s="92"/>
      <c r="T1591" s="92"/>
      <c r="U1591" s="92"/>
      <c r="V1591" s="52"/>
      <c r="W1591" s="52"/>
      <c r="X1591" s="52"/>
      <c r="Y1591" s="52"/>
      <c r="Z1591" s="51"/>
      <c r="AA1591" s="73"/>
      <c r="AB1591" s="73"/>
      <c r="AC1591" s="74"/>
      <c r="AD1591" s="81" t="s">
        <v>13559</v>
      </c>
      <c r="AE1591" s="86" t="s">
        <v>13774</v>
      </c>
      <c r="AF1591" s="81">
        <v>403</v>
      </c>
      <c r="AG1591" s="81">
        <v>2532</v>
      </c>
      <c r="AH1591" s="81">
        <v>11060</v>
      </c>
      <c r="AI1591" s="81">
        <v>19576</v>
      </c>
      <c r="AJ1591" s="81"/>
      <c r="AK1591" s="81" t="s">
        <v>14018</v>
      </c>
      <c r="AL1591" s="81" t="s">
        <v>14194</v>
      </c>
      <c r="AM1591" s="84" t="str">
        <f>HYPERLINK("https://t.co/sUbXoJCNSG")</f>
        <v>https://t.co/sUbXoJCNSG</v>
      </c>
      <c r="AN1591" s="81"/>
      <c r="AO1591" s="83">
        <v>40193.62908564815</v>
      </c>
      <c r="AP1591" s="84" t="str">
        <f>HYPERLINK("https://pbs.twimg.com/profile_banners/105164381/1447669030")</f>
        <v>https://pbs.twimg.com/profile_banners/105164381/1447669030</v>
      </c>
      <c r="AQ1591" s="81" t="b">
        <v>0</v>
      </c>
      <c r="AR1591" s="81" t="b">
        <v>0</v>
      </c>
      <c r="AS1591" s="81" t="b">
        <v>1</v>
      </c>
      <c r="AT1591" s="81"/>
      <c r="AU1591" s="81">
        <v>38</v>
      </c>
      <c r="AV1591" s="84" t="str">
        <f>HYPERLINK("https://abs.twimg.com/images/themes/theme1/bg.png")</f>
        <v>https://abs.twimg.com/images/themes/theme1/bg.png</v>
      </c>
      <c r="AW1591" s="81" t="b">
        <v>0</v>
      </c>
      <c r="AX1591" s="81" t="s">
        <v>3728</v>
      </c>
      <c r="AY1591" s="84" t="str">
        <f>HYPERLINK("https://twitter.com/mun_valenca")</f>
        <v>https://twitter.com/mun_valenca</v>
      </c>
      <c r="AZ1591" s="81" t="s">
        <v>66</v>
      </c>
    </row>
    <row r="1592" spans="1:52" x14ac:dyDescent="0.35">
      <c r="A1592" s="66" t="s">
        <v>4497</v>
      </c>
      <c r="B1592" s="67"/>
      <c r="C1592" s="67"/>
      <c r="D1592" s="68"/>
      <c r="E1592" s="94"/>
      <c r="F1592" s="93" t="str">
        <f>HYPERLINK("https://pbs.twimg.com/profile_images/1102746224808132615/PfoqaW_N_normal.png")</f>
        <v>https://pbs.twimg.com/profile_images/1102746224808132615/PfoqaW_N_normal.png</v>
      </c>
      <c r="G1592" s="95"/>
      <c r="H1592" s="71"/>
      <c r="I1592" s="72"/>
      <c r="J1592" s="96"/>
      <c r="K1592" s="71" t="s">
        <v>14361</v>
      </c>
      <c r="L1592" s="97"/>
      <c r="M1592" s="76"/>
      <c r="N1592" s="76"/>
      <c r="O1592" s="77"/>
      <c r="P1592" s="78"/>
      <c r="Q1592" s="78"/>
      <c r="R1592" s="92"/>
      <c r="S1592" s="92"/>
      <c r="T1592" s="92"/>
      <c r="U1592" s="92"/>
      <c r="V1592" s="52"/>
      <c r="W1592" s="52"/>
      <c r="X1592" s="52"/>
      <c r="Y1592" s="52"/>
      <c r="Z1592" s="51"/>
      <c r="AA1592" s="73"/>
      <c r="AB1592" s="73"/>
      <c r="AC1592" s="74"/>
      <c r="AD1592" s="81" t="s">
        <v>8485</v>
      </c>
      <c r="AE1592" s="86" t="s">
        <v>9486</v>
      </c>
      <c r="AF1592" s="81">
        <v>4543</v>
      </c>
      <c r="AG1592" s="81">
        <v>7296</v>
      </c>
      <c r="AH1592" s="81">
        <v>467422</v>
      </c>
      <c r="AI1592" s="81">
        <v>29491</v>
      </c>
      <c r="AJ1592" s="81"/>
      <c r="AK1592" s="81" t="s">
        <v>10440</v>
      </c>
      <c r="AL1592" s="81" t="s">
        <v>10985</v>
      </c>
      <c r="AM1592" s="84" t="str">
        <f>HYPERLINK("https://t.co/39OBhuNwoF")</f>
        <v>https://t.co/39OBhuNwoF</v>
      </c>
      <c r="AN1592" s="81"/>
      <c r="AO1592" s="83">
        <v>39747.692731481482</v>
      </c>
      <c r="AP1592" s="84" t="str">
        <f>HYPERLINK("https://pbs.twimg.com/profile_banners/16982294/1551750217")</f>
        <v>https://pbs.twimg.com/profile_banners/16982294/1551750217</v>
      </c>
      <c r="AQ1592" s="81" t="b">
        <v>0</v>
      </c>
      <c r="AR1592" s="81" t="b">
        <v>0</v>
      </c>
      <c r="AS1592" s="81" t="b">
        <v>1</v>
      </c>
      <c r="AT1592" s="81"/>
      <c r="AU1592" s="81">
        <v>56</v>
      </c>
      <c r="AV1592" s="84" t="str">
        <f>HYPERLINK("https://abs.twimg.com/images/themes/theme1/bg.png")</f>
        <v>https://abs.twimg.com/images/themes/theme1/bg.png</v>
      </c>
      <c r="AW1592" s="81" t="b">
        <v>0</v>
      </c>
      <c r="AX1592" s="81" t="s">
        <v>3728</v>
      </c>
      <c r="AY1592" s="84" t="str">
        <f>HYPERLINK("https://twitter.com/bubuzinha")</f>
        <v>https://twitter.com/bubuzinha</v>
      </c>
      <c r="AZ1592" s="81" t="s">
        <v>66</v>
      </c>
    </row>
    <row r="1593" spans="1:52" x14ac:dyDescent="0.35">
      <c r="A1593" s="66" t="s">
        <v>4530</v>
      </c>
      <c r="B1593" s="67"/>
      <c r="C1593" s="67"/>
      <c r="D1593" s="68"/>
      <c r="E1593" s="94"/>
      <c r="F1593" s="93" t="str">
        <f>HYPERLINK("https://pbs.twimg.com/profile_images/510997898394206208/HJjvfBBA_normal.jpeg")</f>
        <v>https://pbs.twimg.com/profile_images/510997898394206208/HJjvfBBA_normal.jpeg</v>
      </c>
      <c r="G1593" s="95"/>
      <c r="H1593" s="71"/>
      <c r="I1593" s="72"/>
      <c r="J1593" s="96"/>
      <c r="K1593" s="71" t="s">
        <v>14362</v>
      </c>
      <c r="L1593" s="97"/>
      <c r="M1593" s="76"/>
      <c r="N1593" s="76"/>
      <c r="O1593" s="77"/>
      <c r="P1593" s="78"/>
      <c r="Q1593" s="78"/>
      <c r="R1593" s="92"/>
      <c r="S1593" s="92"/>
      <c r="T1593" s="92"/>
      <c r="U1593" s="92"/>
      <c r="V1593" s="52"/>
      <c r="W1593" s="52"/>
      <c r="X1593" s="52"/>
      <c r="Y1593" s="52"/>
      <c r="Z1593" s="51"/>
      <c r="AA1593" s="73"/>
      <c r="AB1593" s="73"/>
      <c r="AC1593" s="74"/>
      <c r="AD1593" s="81" t="s">
        <v>8545</v>
      </c>
      <c r="AE1593" s="86" t="s">
        <v>9533</v>
      </c>
      <c r="AF1593" s="81">
        <v>1690</v>
      </c>
      <c r="AG1593" s="81">
        <v>632</v>
      </c>
      <c r="AH1593" s="81">
        <v>34021</v>
      </c>
      <c r="AI1593" s="81">
        <v>126919</v>
      </c>
      <c r="AJ1593" s="81"/>
      <c r="AK1593" s="81" t="s">
        <v>10488</v>
      </c>
      <c r="AL1593" s="81"/>
      <c r="AM1593" s="84" t="str">
        <f>HYPERLINK("https://t.co/diIJDebJkW")</f>
        <v>https://t.co/diIJDebJkW</v>
      </c>
      <c r="AN1593" s="81"/>
      <c r="AO1593" s="83">
        <v>40801.747731481482</v>
      </c>
      <c r="AP1593" s="81"/>
      <c r="AQ1593" s="81" t="b">
        <v>1</v>
      </c>
      <c r="AR1593" s="81" t="b">
        <v>0</v>
      </c>
      <c r="AS1593" s="81" t="b">
        <v>1</v>
      </c>
      <c r="AT1593" s="81"/>
      <c r="AU1593" s="81">
        <v>3</v>
      </c>
      <c r="AV1593" s="84" t="str">
        <f>HYPERLINK("https://abs.twimg.com/images/themes/theme1/bg.png")</f>
        <v>https://abs.twimg.com/images/themes/theme1/bg.png</v>
      </c>
      <c r="AW1593" s="81" t="b">
        <v>0</v>
      </c>
      <c r="AX1593" s="81" t="s">
        <v>3728</v>
      </c>
      <c r="AY1593" s="84" t="str">
        <f>HYPERLINK("https://twitter.com/gfonsecaadv")</f>
        <v>https://twitter.com/gfonsecaadv</v>
      </c>
      <c r="AZ1593" s="81" t="s">
        <v>66</v>
      </c>
    </row>
    <row r="1594" spans="1:52" x14ac:dyDescent="0.35">
      <c r="A1594" s="66" t="s">
        <v>12590</v>
      </c>
      <c r="B1594" s="67"/>
      <c r="C1594" s="67"/>
      <c r="D1594" s="68"/>
      <c r="E1594" s="94"/>
      <c r="F1594" s="93" t="str">
        <f>HYPERLINK("https://pbs.twimg.com/profile_images/1443217870167711748/waJKhsOw_normal.jpg")</f>
        <v>https://pbs.twimg.com/profile_images/1443217870167711748/waJKhsOw_normal.jpg</v>
      </c>
      <c r="G1594" s="95"/>
      <c r="H1594" s="71"/>
      <c r="I1594" s="72"/>
      <c r="J1594" s="96"/>
      <c r="K1594" s="71" t="s">
        <v>14363</v>
      </c>
      <c r="L1594" s="97"/>
      <c r="M1594" s="76"/>
      <c r="N1594" s="76"/>
      <c r="O1594" s="77"/>
      <c r="P1594" s="78"/>
      <c r="Q1594" s="78"/>
      <c r="R1594" s="92"/>
      <c r="S1594" s="92"/>
      <c r="T1594" s="92"/>
      <c r="U1594" s="92"/>
      <c r="V1594" s="52"/>
      <c r="W1594" s="52"/>
      <c r="X1594" s="52"/>
      <c r="Y1594" s="52"/>
      <c r="Z1594" s="51"/>
      <c r="AA1594" s="73"/>
      <c r="AB1594" s="73"/>
      <c r="AC1594" s="74"/>
      <c r="AD1594" s="81" t="s">
        <v>13560</v>
      </c>
      <c r="AE1594" s="86" t="s">
        <v>13775</v>
      </c>
      <c r="AF1594" s="81">
        <v>125</v>
      </c>
      <c r="AG1594" s="81">
        <v>110601</v>
      </c>
      <c r="AH1594" s="81">
        <v>34913</v>
      </c>
      <c r="AI1594" s="81">
        <v>658</v>
      </c>
      <c r="AJ1594" s="81"/>
      <c r="AK1594" s="81" t="s">
        <v>14019</v>
      </c>
      <c r="AL1594" s="81" t="s">
        <v>10975</v>
      </c>
      <c r="AM1594" s="84" t="str">
        <f>HYPERLINK("https://t.co/gImUbuU2YB")</f>
        <v>https://t.co/gImUbuU2YB</v>
      </c>
      <c r="AN1594" s="81"/>
      <c r="AO1594" s="83">
        <v>39833.514606481483</v>
      </c>
      <c r="AP1594" s="84" t="str">
        <f>HYPERLINK("https://pbs.twimg.com/profile_banners/19233442/1632924927")</f>
        <v>https://pbs.twimg.com/profile_banners/19233442/1632924927</v>
      </c>
      <c r="AQ1594" s="81" t="b">
        <v>0</v>
      </c>
      <c r="AR1594" s="81" t="b">
        <v>0</v>
      </c>
      <c r="AS1594" s="81" t="b">
        <v>1</v>
      </c>
      <c r="AT1594" s="81"/>
      <c r="AU1594" s="81">
        <v>340</v>
      </c>
      <c r="AV1594" s="84" t="str">
        <f>HYPERLINK("https://abs.twimg.com/images/themes/theme16/bg.gif")</f>
        <v>https://abs.twimg.com/images/themes/theme16/bg.gif</v>
      </c>
      <c r="AW1594" s="81" t="b">
        <v>1</v>
      </c>
      <c r="AX1594" s="81" t="s">
        <v>3728</v>
      </c>
      <c r="AY1594" s="84" t="str">
        <f>HYPERLINK("https://twitter.com/iasd")</f>
        <v>https://twitter.com/iasd</v>
      </c>
      <c r="AZ1594" s="81" t="s">
        <v>66</v>
      </c>
    </row>
    <row r="1595" spans="1:52" x14ac:dyDescent="0.35">
      <c r="A1595" s="66" t="s">
        <v>12546</v>
      </c>
      <c r="B1595" s="67"/>
      <c r="C1595" s="67"/>
      <c r="D1595" s="68"/>
      <c r="E1595" s="94"/>
      <c r="F1595" s="93" t="str">
        <f>HYPERLINK("https://pbs.twimg.com/profile_images/853783755290431488/lWwW8aKa_normal.jpg")</f>
        <v>https://pbs.twimg.com/profile_images/853783755290431488/lWwW8aKa_normal.jpg</v>
      </c>
      <c r="G1595" s="95"/>
      <c r="H1595" s="71"/>
      <c r="I1595" s="72"/>
      <c r="J1595" s="96"/>
      <c r="K1595" s="71" t="s">
        <v>14364</v>
      </c>
      <c r="L1595" s="97"/>
      <c r="M1595" s="76"/>
      <c r="N1595" s="76"/>
      <c r="O1595" s="77"/>
      <c r="P1595" s="78"/>
      <c r="Q1595" s="78"/>
      <c r="R1595" s="92"/>
      <c r="S1595" s="92"/>
      <c r="T1595" s="92"/>
      <c r="U1595" s="92"/>
      <c r="V1595" s="52"/>
      <c r="W1595" s="52"/>
      <c r="X1595" s="52"/>
      <c r="Y1595" s="52"/>
      <c r="Z1595" s="51"/>
      <c r="AA1595" s="73"/>
      <c r="AB1595" s="73"/>
      <c r="AC1595" s="74"/>
      <c r="AD1595" s="81" t="s">
        <v>13561</v>
      </c>
      <c r="AE1595" s="86" t="s">
        <v>13776</v>
      </c>
      <c r="AF1595" s="81">
        <v>17</v>
      </c>
      <c r="AG1595" s="81">
        <v>1058</v>
      </c>
      <c r="AH1595" s="81">
        <v>22215</v>
      </c>
      <c r="AI1595" s="81">
        <v>0</v>
      </c>
      <c r="AJ1595" s="81"/>
      <c r="AK1595" s="81"/>
      <c r="AL1595" s="81"/>
      <c r="AM1595" s="84" t="str">
        <f>HYPERLINK("https://t.co/KVij20DffJ")</f>
        <v>https://t.co/KVij20DffJ</v>
      </c>
      <c r="AN1595" s="81"/>
      <c r="AO1595" s="83">
        <v>42842.063530092593</v>
      </c>
      <c r="AP1595" s="81"/>
      <c r="AQ1595" s="81" t="b">
        <v>1</v>
      </c>
      <c r="AR1595" s="81" t="b">
        <v>0</v>
      </c>
      <c r="AS1595" s="81" t="b">
        <v>0</v>
      </c>
      <c r="AT1595" s="81"/>
      <c r="AU1595" s="81">
        <v>2</v>
      </c>
      <c r="AV1595" s="81"/>
      <c r="AW1595" s="81" t="b">
        <v>0</v>
      </c>
      <c r="AX1595" s="81" t="s">
        <v>3728</v>
      </c>
      <c r="AY1595" s="84" t="str">
        <f>HYPERLINK("https://twitter.com/radaraktual")</f>
        <v>https://twitter.com/radaraktual</v>
      </c>
      <c r="AZ1595" s="81" t="s">
        <v>66</v>
      </c>
    </row>
    <row r="1596" spans="1:52" x14ac:dyDescent="0.35">
      <c r="A1596" s="66" t="s">
        <v>12547</v>
      </c>
      <c r="B1596" s="67"/>
      <c r="C1596" s="67"/>
      <c r="D1596" s="68"/>
      <c r="E1596" s="94"/>
      <c r="F1596" s="93" t="str">
        <f>HYPERLINK("https://pbs.twimg.com/profile_images/1354141414041509889/LsL_1XgT_normal.jpg")</f>
        <v>https://pbs.twimg.com/profile_images/1354141414041509889/LsL_1XgT_normal.jpg</v>
      </c>
      <c r="G1596" s="95"/>
      <c r="H1596" s="71"/>
      <c r="I1596" s="72"/>
      <c r="J1596" s="96"/>
      <c r="K1596" s="71" t="s">
        <v>14365</v>
      </c>
      <c r="L1596" s="97"/>
      <c r="M1596" s="76"/>
      <c r="N1596" s="76"/>
      <c r="O1596" s="77"/>
      <c r="P1596" s="78"/>
      <c r="Q1596" s="78"/>
      <c r="R1596" s="92"/>
      <c r="S1596" s="92"/>
      <c r="T1596" s="92"/>
      <c r="U1596" s="92"/>
      <c r="V1596" s="52"/>
      <c r="W1596" s="52"/>
      <c r="X1596" s="52"/>
      <c r="Y1596" s="52"/>
      <c r="Z1596" s="51"/>
      <c r="AA1596" s="73"/>
      <c r="AB1596" s="73"/>
      <c r="AC1596" s="74"/>
      <c r="AD1596" s="81" t="s">
        <v>13562</v>
      </c>
      <c r="AE1596" s="86" t="s">
        <v>13777</v>
      </c>
      <c r="AF1596" s="81">
        <v>448</v>
      </c>
      <c r="AG1596" s="81">
        <v>194</v>
      </c>
      <c r="AH1596" s="81">
        <v>23554</v>
      </c>
      <c r="AI1596" s="81">
        <v>23430</v>
      </c>
      <c r="AJ1596" s="81"/>
      <c r="AK1596" s="81" t="s">
        <v>14020</v>
      </c>
      <c r="AL1596" s="81" t="s">
        <v>14195</v>
      </c>
      <c r="AM1596" s="81"/>
      <c r="AN1596" s="81"/>
      <c r="AO1596" s="83">
        <v>40734.213379629633</v>
      </c>
      <c r="AP1596" s="84" t="str">
        <f>HYPERLINK("https://pbs.twimg.com/profile_banners/332640504/1430006988")</f>
        <v>https://pbs.twimg.com/profile_banners/332640504/1430006988</v>
      </c>
      <c r="AQ1596" s="81" t="b">
        <v>0</v>
      </c>
      <c r="AR1596" s="81" t="b">
        <v>0</v>
      </c>
      <c r="AS1596" s="81" t="b">
        <v>0</v>
      </c>
      <c r="AT1596" s="81"/>
      <c r="AU1596" s="81">
        <v>1</v>
      </c>
      <c r="AV1596" s="84" t="str">
        <f>HYPERLINK("https://abs.twimg.com/images/themes/theme1/bg.png")</f>
        <v>https://abs.twimg.com/images/themes/theme1/bg.png</v>
      </c>
      <c r="AW1596" s="81" t="b">
        <v>0</v>
      </c>
      <c r="AX1596" s="81" t="s">
        <v>3728</v>
      </c>
      <c r="AY1596" s="84" t="str">
        <f>HYPERLINK("https://twitter.com/cyllenon")</f>
        <v>https://twitter.com/cyllenon</v>
      </c>
      <c r="AZ1596" s="81" t="s">
        <v>66</v>
      </c>
    </row>
    <row r="1597" spans="1:52" x14ac:dyDescent="0.35">
      <c r="A1597" s="66" t="s">
        <v>12548</v>
      </c>
      <c r="B1597" s="67"/>
      <c r="C1597" s="67"/>
      <c r="D1597" s="68"/>
      <c r="E1597" s="94"/>
      <c r="F1597" s="93" t="str">
        <f>HYPERLINK("https://pbs.twimg.com/profile_images/1388215159169110018/SB41PULM_normal.jpg")</f>
        <v>https://pbs.twimg.com/profile_images/1388215159169110018/SB41PULM_normal.jpg</v>
      </c>
      <c r="G1597" s="95"/>
      <c r="H1597" s="71"/>
      <c r="I1597" s="72"/>
      <c r="J1597" s="96"/>
      <c r="K1597" s="71" t="s">
        <v>14366</v>
      </c>
      <c r="L1597" s="97"/>
      <c r="M1597" s="76"/>
      <c r="N1597" s="76"/>
      <c r="O1597" s="77"/>
      <c r="P1597" s="78"/>
      <c r="Q1597" s="78"/>
      <c r="R1597" s="92"/>
      <c r="S1597" s="92"/>
      <c r="T1597" s="92"/>
      <c r="U1597" s="92"/>
      <c r="V1597" s="52"/>
      <c r="W1597" s="52"/>
      <c r="X1597" s="52"/>
      <c r="Y1597" s="52"/>
      <c r="Z1597" s="51"/>
      <c r="AA1597" s="73"/>
      <c r="AB1597" s="73"/>
      <c r="AC1597" s="74"/>
      <c r="AD1597" s="81" t="s">
        <v>13563</v>
      </c>
      <c r="AE1597" s="86" t="s">
        <v>13778</v>
      </c>
      <c r="AF1597" s="81">
        <v>5</v>
      </c>
      <c r="AG1597" s="81">
        <v>9</v>
      </c>
      <c r="AH1597" s="81">
        <v>1162</v>
      </c>
      <c r="AI1597" s="81">
        <v>1797</v>
      </c>
      <c r="AJ1597" s="81"/>
      <c r="AK1597" s="81" t="s">
        <v>14021</v>
      </c>
      <c r="AL1597" s="81"/>
      <c r="AM1597" s="81"/>
      <c r="AN1597" s="81"/>
      <c r="AO1597" s="83">
        <v>44209.476342592592</v>
      </c>
      <c r="AP1597" s="84" t="str">
        <f>HYPERLINK("https://pbs.twimg.com/profile_banners/1349316688303550464/1619811480")</f>
        <v>https://pbs.twimg.com/profile_banners/1349316688303550464/1619811480</v>
      </c>
      <c r="AQ1597" s="81" t="b">
        <v>1</v>
      </c>
      <c r="AR1597" s="81" t="b">
        <v>0</v>
      </c>
      <c r="AS1597" s="81" t="b">
        <v>0</v>
      </c>
      <c r="AT1597" s="81"/>
      <c r="AU1597" s="81">
        <v>0</v>
      </c>
      <c r="AV1597" s="81"/>
      <c r="AW1597" s="81" t="b">
        <v>0</v>
      </c>
      <c r="AX1597" s="81" t="s">
        <v>3728</v>
      </c>
      <c r="AY1597" s="84" t="str">
        <f>HYPERLINK("https://twitter.com/adilson28173410")</f>
        <v>https://twitter.com/adilson28173410</v>
      </c>
      <c r="AZ1597" s="81" t="s">
        <v>66</v>
      </c>
    </row>
    <row r="1598" spans="1:52" x14ac:dyDescent="0.35">
      <c r="A1598" s="66" t="s">
        <v>12694</v>
      </c>
      <c r="B1598" s="67"/>
      <c r="C1598" s="67"/>
      <c r="D1598" s="68"/>
      <c r="E1598" s="94"/>
      <c r="F1598" s="93" t="str">
        <f>HYPERLINK("https://pbs.twimg.com/profile_images/1412409197518626818/X8rwZONH_normal.jpg")</f>
        <v>https://pbs.twimg.com/profile_images/1412409197518626818/X8rwZONH_normal.jpg</v>
      </c>
      <c r="G1598" s="95"/>
      <c r="H1598" s="71"/>
      <c r="I1598" s="72"/>
      <c r="J1598" s="96"/>
      <c r="K1598" s="71" t="s">
        <v>14367</v>
      </c>
      <c r="L1598" s="97"/>
      <c r="M1598" s="76"/>
      <c r="N1598" s="76"/>
      <c r="O1598" s="77"/>
      <c r="P1598" s="78"/>
      <c r="Q1598" s="78"/>
      <c r="R1598" s="92"/>
      <c r="S1598" s="92"/>
      <c r="T1598" s="92"/>
      <c r="U1598" s="92"/>
      <c r="V1598" s="52"/>
      <c r="W1598" s="52"/>
      <c r="X1598" s="52"/>
      <c r="Y1598" s="52"/>
      <c r="Z1598" s="51"/>
      <c r="AA1598" s="73"/>
      <c r="AB1598" s="73"/>
      <c r="AC1598" s="74"/>
      <c r="AD1598" s="81" t="s">
        <v>13564</v>
      </c>
      <c r="AE1598" s="86" t="s">
        <v>13779</v>
      </c>
      <c r="AF1598" s="81">
        <v>2906</v>
      </c>
      <c r="AG1598" s="81">
        <v>2426</v>
      </c>
      <c r="AH1598" s="81">
        <v>21983</v>
      </c>
      <c r="AI1598" s="81">
        <v>67058</v>
      </c>
      <c r="AJ1598" s="81"/>
      <c r="AK1598" s="81" t="s">
        <v>14022</v>
      </c>
      <c r="AL1598" s="81" t="s">
        <v>14196</v>
      </c>
      <c r="AM1598" s="81"/>
      <c r="AN1598" s="81"/>
      <c r="AO1598" s="83">
        <v>42070.135914351849</v>
      </c>
      <c r="AP1598" s="84" t="str">
        <f>HYPERLINK("https://pbs.twimg.com/profile_banners/3076355853/1603937740")</f>
        <v>https://pbs.twimg.com/profile_banners/3076355853/1603937740</v>
      </c>
      <c r="AQ1598" s="81" t="b">
        <v>1</v>
      </c>
      <c r="AR1598" s="81" t="b">
        <v>0</v>
      </c>
      <c r="AS1598" s="81" t="b">
        <v>0</v>
      </c>
      <c r="AT1598" s="81"/>
      <c r="AU1598" s="81">
        <v>1</v>
      </c>
      <c r="AV1598" s="84" t="str">
        <f>HYPERLINK("https://abs.twimg.com/images/themes/theme1/bg.png")</f>
        <v>https://abs.twimg.com/images/themes/theme1/bg.png</v>
      </c>
      <c r="AW1598" s="81" t="b">
        <v>0</v>
      </c>
      <c r="AX1598" s="81" t="s">
        <v>3728</v>
      </c>
      <c r="AY1598" s="84" t="str">
        <f>HYPERLINK("https://twitter.com/tuca_nos")</f>
        <v>https://twitter.com/tuca_nos</v>
      </c>
      <c r="AZ1598" s="81" t="s">
        <v>65</v>
      </c>
    </row>
    <row r="1599" spans="1:52" x14ac:dyDescent="0.35">
      <c r="A1599" s="66" t="s">
        <v>12695</v>
      </c>
      <c r="B1599" s="67"/>
      <c r="C1599" s="67"/>
      <c r="D1599" s="68"/>
      <c r="E1599" s="94"/>
      <c r="F1599" s="93" t="str">
        <f>HYPERLINK("https://pbs.twimg.com/profile_images/1403728853848277000/iPsV5alE_normal.jpg")</f>
        <v>https://pbs.twimg.com/profile_images/1403728853848277000/iPsV5alE_normal.jpg</v>
      </c>
      <c r="G1599" s="95"/>
      <c r="H1599" s="71"/>
      <c r="I1599" s="72"/>
      <c r="J1599" s="96"/>
      <c r="K1599" s="71" t="s">
        <v>14368</v>
      </c>
      <c r="L1599" s="97"/>
      <c r="M1599" s="76"/>
      <c r="N1599" s="76"/>
      <c r="O1599" s="77"/>
      <c r="P1599" s="78"/>
      <c r="Q1599" s="78"/>
      <c r="R1599" s="92"/>
      <c r="S1599" s="92"/>
      <c r="T1599" s="92"/>
      <c r="U1599" s="92"/>
      <c r="V1599" s="52"/>
      <c r="W1599" s="52"/>
      <c r="X1599" s="52"/>
      <c r="Y1599" s="52"/>
      <c r="Z1599" s="51"/>
      <c r="AA1599" s="73"/>
      <c r="AB1599" s="73"/>
      <c r="AC1599" s="74"/>
      <c r="AD1599" s="81" t="s">
        <v>13565</v>
      </c>
      <c r="AE1599" s="86" t="s">
        <v>13780</v>
      </c>
      <c r="AF1599" s="81">
        <v>4977</v>
      </c>
      <c r="AG1599" s="81">
        <v>6504</v>
      </c>
      <c r="AH1599" s="81">
        <v>19449</v>
      </c>
      <c r="AI1599" s="81">
        <v>72418</v>
      </c>
      <c r="AJ1599" s="81"/>
      <c r="AK1599" s="81" t="s">
        <v>14023</v>
      </c>
      <c r="AL1599" s="81" t="s">
        <v>10969</v>
      </c>
      <c r="AM1599" s="81"/>
      <c r="AN1599" s="81"/>
      <c r="AO1599" s="83">
        <v>40195.725081018521</v>
      </c>
      <c r="AP1599" s="84" t="str">
        <f>HYPERLINK("https://pbs.twimg.com/profile_banners/105839402/1629853255")</f>
        <v>https://pbs.twimg.com/profile_banners/105839402/1629853255</v>
      </c>
      <c r="AQ1599" s="81" t="b">
        <v>0</v>
      </c>
      <c r="AR1599" s="81" t="b">
        <v>0</v>
      </c>
      <c r="AS1599" s="81" t="b">
        <v>1</v>
      </c>
      <c r="AT1599" s="81"/>
      <c r="AU1599" s="81">
        <v>15</v>
      </c>
      <c r="AV1599" s="84" t="str">
        <f>HYPERLINK("https://abs.twimg.com/images/themes/theme14/bg.gif")</f>
        <v>https://abs.twimg.com/images/themes/theme14/bg.gif</v>
      </c>
      <c r="AW1599" s="81" t="b">
        <v>0</v>
      </c>
      <c r="AX1599" s="81" t="s">
        <v>3728</v>
      </c>
      <c r="AY1599" s="84" t="str">
        <f>HYPERLINK("https://twitter.com/andregguerrero")</f>
        <v>https://twitter.com/andregguerrero</v>
      </c>
      <c r="AZ1599" s="81" t="s">
        <v>65</v>
      </c>
    </row>
    <row r="1600" spans="1:52" x14ac:dyDescent="0.35">
      <c r="A1600" s="66" t="s">
        <v>12696</v>
      </c>
      <c r="B1600" s="67"/>
      <c r="C1600" s="67"/>
      <c r="D1600" s="68"/>
      <c r="E1600" s="94"/>
      <c r="F1600" s="93" t="str">
        <f>HYPERLINK("https://pbs.twimg.com/profile_images/1391897678397812743/SSmGSoEJ_normal.jpg")</f>
        <v>https://pbs.twimg.com/profile_images/1391897678397812743/SSmGSoEJ_normal.jpg</v>
      </c>
      <c r="G1600" s="95"/>
      <c r="H1600" s="71"/>
      <c r="I1600" s="72"/>
      <c r="J1600" s="96"/>
      <c r="K1600" s="71" t="s">
        <v>14369</v>
      </c>
      <c r="L1600" s="97"/>
      <c r="M1600" s="76"/>
      <c r="N1600" s="76"/>
      <c r="O1600" s="77"/>
      <c r="P1600" s="78"/>
      <c r="Q1600" s="78"/>
      <c r="R1600" s="92"/>
      <c r="S1600" s="92"/>
      <c r="T1600" s="92"/>
      <c r="U1600" s="92"/>
      <c r="V1600" s="52"/>
      <c r="W1600" s="52"/>
      <c r="X1600" s="52"/>
      <c r="Y1600" s="52"/>
      <c r="Z1600" s="51"/>
      <c r="AA1600" s="73"/>
      <c r="AB1600" s="73"/>
      <c r="AC1600" s="74"/>
      <c r="AD1600" s="81" t="s">
        <v>13566</v>
      </c>
      <c r="AE1600" s="86" t="s">
        <v>13418</v>
      </c>
      <c r="AF1600" s="81">
        <v>58</v>
      </c>
      <c r="AG1600" s="81">
        <v>14</v>
      </c>
      <c r="AH1600" s="81">
        <v>1203</v>
      </c>
      <c r="AI1600" s="81">
        <v>5470</v>
      </c>
      <c r="AJ1600" s="81"/>
      <c r="AK1600" s="81" t="s">
        <v>14024</v>
      </c>
      <c r="AL1600" s="81"/>
      <c r="AM1600" s="81"/>
      <c r="AN1600" s="81"/>
      <c r="AO1600" s="83">
        <v>43535.56050925926</v>
      </c>
      <c r="AP1600" s="84" t="str">
        <f>HYPERLINK("https://pbs.twimg.com/profile_banners/1105097828022603776/1606026074")</f>
        <v>https://pbs.twimg.com/profile_banners/1105097828022603776/1606026074</v>
      </c>
      <c r="AQ1600" s="81" t="b">
        <v>1</v>
      </c>
      <c r="AR1600" s="81" t="b">
        <v>0</v>
      </c>
      <c r="AS1600" s="81" t="b">
        <v>0</v>
      </c>
      <c r="AT1600" s="81"/>
      <c r="AU1600" s="81">
        <v>0</v>
      </c>
      <c r="AV1600" s="81"/>
      <c r="AW1600" s="81" t="b">
        <v>0</v>
      </c>
      <c r="AX1600" s="81" t="s">
        <v>3728</v>
      </c>
      <c r="AY1600" s="84" t="str">
        <f>HYPERLINK("https://twitter.com/budocaio")</f>
        <v>https://twitter.com/budocaio</v>
      </c>
      <c r="AZ1600" s="81" t="s">
        <v>65</v>
      </c>
    </row>
    <row r="1601" spans="1:52" x14ac:dyDescent="0.35">
      <c r="A1601" s="66" t="s">
        <v>4539</v>
      </c>
      <c r="B1601" s="67"/>
      <c r="C1601" s="67"/>
      <c r="D1601" s="68"/>
      <c r="E1601" s="94"/>
      <c r="F1601" s="93" t="str">
        <f>HYPERLINK("https://pbs.twimg.com/profile_images/1435202943301525510/mGjW4mxd_normal.jpg")</f>
        <v>https://pbs.twimg.com/profile_images/1435202943301525510/mGjW4mxd_normal.jpg</v>
      </c>
      <c r="G1601" s="95"/>
      <c r="H1601" s="71"/>
      <c r="I1601" s="72"/>
      <c r="J1601" s="96"/>
      <c r="K1601" s="71" t="s">
        <v>11927</v>
      </c>
      <c r="L1601" s="97"/>
      <c r="M1601" s="76"/>
      <c r="N1601" s="76"/>
      <c r="O1601" s="77"/>
      <c r="P1601" s="78"/>
      <c r="Q1601" s="78"/>
      <c r="R1601" s="92"/>
      <c r="S1601" s="92"/>
      <c r="T1601" s="92"/>
      <c r="U1601" s="92"/>
      <c r="V1601" s="52"/>
      <c r="W1601" s="52"/>
      <c r="X1601" s="52"/>
      <c r="Y1601" s="52"/>
      <c r="Z1601" s="51"/>
      <c r="AA1601" s="73"/>
      <c r="AB1601" s="73"/>
      <c r="AC1601" s="74"/>
      <c r="AD1601" s="81" t="s">
        <v>8552</v>
      </c>
      <c r="AE1601" s="86" t="s">
        <v>9542</v>
      </c>
      <c r="AF1601" s="81">
        <v>407</v>
      </c>
      <c r="AG1601" s="81">
        <v>529</v>
      </c>
      <c r="AH1601" s="81">
        <v>69854</v>
      </c>
      <c r="AI1601" s="81">
        <v>20538</v>
      </c>
      <c r="AJ1601" s="81"/>
      <c r="AK1601" s="81" t="s">
        <v>10497</v>
      </c>
      <c r="AL1601" s="81"/>
      <c r="AM1601" s="81"/>
      <c r="AN1601" s="81"/>
      <c r="AO1601" s="83">
        <v>41724.386979166666</v>
      </c>
      <c r="AP1601" s="84" t="str">
        <f>HYPERLINK("https://pbs.twimg.com/profile_banners/2412324834/1622215696")</f>
        <v>https://pbs.twimg.com/profile_banners/2412324834/1622215696</v>
      </c>
      <c r="AQ1601" s="81" t="b">
        <v>1</v>
      </c>
      <c r="AR1601" s="81" t="b">
        <v>0</v>
      </c>
      <c r="AS1601" s="81" t="b">
        <v>1</v>
      </c>
      <c r="AT1601" s="81"/>
      <c r="AU1601" s="81">
        <v>26</v>
      </c>
      <c r="AV1601" s="84" t="str">
        <f>HYPERLINK("https://abs.twimg.com/images/themes/theme1/bg.png")</f>
        <v>https://abs.twimg.com/images/themes/theme1/bg.png</v>
      </c>
      <c r="AW1601" s="81" t="b">
        <v>0</v>
      </c>
      <c r="AX1601" s="81" t="s">
        <v>3728</v>
      </c>
      <c r="AY1601" s="84" t="str">
        <f>HYPERLINK("https://twitter.com/iilyknight")</f>
        <v>https://twitter.com/iilyknight</v>
      </c>
      <c r="AZ1601" s="81" t="s">
        <v>66</v>
      </c>
    </row>
    <row r="1602" spans="1:52" x14ac:dyDescent="0.35">
      <c r="A1602" s="66" t="s">
        <v>4540</v>
      </c>
      <c r="B1602" s="67"/>
      <c r="C1602" s="67"/>
      <c r="D1602" s="68"/>
      <c r="E1602" s="94"/>
      <c r="F1602" s="93" t="str">
        <f>HYPERLINK("https://pbs.twimg.com/profile_images/1228562385939492868/FdtWOLgS_normal.jpg")</f>
        <v>https://pbs.twimg.com/profile_images/1228562385939492868/FdtWOLgS_normal.jpg</v>
      </c>
      <c r="G1602" s="95"/>
      <c r="H1602" s="71"/>
      <c r="I1602" s="72"/>
      <c r="J1602" s="96"/>
      <c r="K1602" s="71" t="s">
        <v>14370</v>
      </c>
      <c r="L1602" s="97"/>
      <c r="M1602" s="76"/>
      <c r="N1602" s="76"/>
      <c r="O1602" s="77"/>
      <c r="P1602" s="78"/>
      <c r="Q1602" s="78"/>
      <c r="R1602" s="92"/>
      <c r="S1602" s="92"/>
      <c r="T1602" s="92"/>
      <c r="U1602" s="92"/>
      <c r="V1602" s="52"/>
      <c r="W1602" s="52"/>
      <c r="X1602" s="52"/>
      <c r="Y1602" s="52"/>
      <c r="Z1602" s="51"/>
      <c r="AA1602" s="73"/>
      <c r="AB1602" s="73"/>
      <c r="AC1602" s="74"/>
      <c r="AD1602" s="81" t="s">
        <v>8553</v>
      </c>
      <c r="AE1602" s="86" t="s">
        <v>9543</v>
      </c>
      <c r="AF1602" s="81">
        <v>4365</v>
      </c>
      <c r="AG1602" s="81">
        <v>3003</v>
      </c>
      <c r="AH1602" s="81">
        <v>27389</v>
      </c>
      <c r="AI1602" s="81">
        <v>40251</v>
      </c>
      <c r="AJ1602" s="81"/>
      <c r="AK1602" s="81" t="s">
        <v>10498</v>
      </c>
      <c r="AL1602" s="81"/>
      <c r="AM1602" s="81"/>
      <c r="AN1602" s="81"/>
      <c r="AO1602" s="83">
        <v>42344.326863425929</v>
      </c>
      <c r="AP1602" s="84" t="str">
        <f>HYPERLINK("https://pbs.twimg.com/profile_banners/4472872513/1539280625")</f>
        <v>https://pbs.twimg.com/profile_banners/4472872513/1539280625</v>
      </c>
      <c r="AQ1602" s="81" t="b">
        <v>1</v>
      </c>
      <c r="AR1602" s="81" t="b">
        <v>0</v>
      </c>
      <c r="AS1602" s="81" t="b">
        <v>1</v>
      </c>
      <c r="AT1602" s="81"/>
      <c r="AU1602" s="81">
        <v>35</v>
      </c>
      <c r="AV1602" s="84" t="str">
        <f>HYPERLINK("https://abs.twimg.com/images/themes/theme1/bg.png")</f>
        <v>https://abs.twimg.com/images/themes/theme1/bg.png</v>
      </c>
      <c r="AW1602" s="81" t="b">
        <v>0</v>
      </c>
      <c r="AX1602" s="81" t="s">
        <v>3728</v>
      </c>
      <c r="AY1602" s="84" t="str">
        <f>HYPERLINK("https://twitter.com/pos__san")</f>
        <v>https://twitter.com/pos__san</v>
      </c>
      <c r="AZ1602" s="81" t="s">
        <v>66</v>
      </c>
    </row>
    <row r="1603" spans="1:52" x14ac:dyDescent="0.35">
      <c r="A1603" s="66" t="s">
        <v>12549</v>
      </c>
      <c r="B1603" s="67"/>
      <c r="C1603" s="67"/>
      <c r="D1603" s="68"/>
      <c r="E1603" s="94"/>
      <c r="F1603" s="93" t="str">
        <f>HYPERLINK("https://pbs.twimg.com/profile_images/1364370088367857669/koJ0KmpH_normal.png")</f>
        <v>https://pbs.twimg.com/profile_images/1364370088367857669/koJ0KmpH_normal.png</v>
      </c>
      <c r="G1603" s="95"/>
      <c r="H1603" s="71"/>
      <c r="I1603" s="72"/>
      <c r="J1603" s="96"/>
      <c r="K1603" s="71" t="s">
        <v>14371</v>
      </c>
      <c r="L1603" s="97"/>
      <c r="M1603" s="76"/>
      <c r="N1603" s="76"/>
      <c r="O1603" s="77"/>
      <c r="P1603" s="78"/>
      <c r="Q1603" s="78"/>
      <c r="R1603" s="92"/>
      <c r="S1603" s="92"/>
      <c r="T1603" s="92"/>
      <c r="U1603" s="92"/>
      <c r="V1603" s="52"/>
      <c r="W1603" s="52"/>
      <c r="X1603" s="52"/>
      <c r="Y1603" s="52"/>
      <c r="Z1603" s="51"/>
      <c r="AA1603" s="73"/>
      <c r="AB1603" s="73"/>
      <c r="AC1603" s="74"/>
      <c r="AD1603" s="81" t="s">
        <v>13567</v>
      </c>
      <c r="AE1603" s="86" t="s">
        <v>13781</v>
      </c>
      <c r="AF1603" s="81">
        <v>16</v>
      </c>
      <c r="AG1603" s="81">
        <v>1140431</v>
      </c>
      <c r="AH1603" s="81">
        <v>3201</v>
      </c>
      <c r="AI1603" s="81">
        <v>0</v>
      </c>
      <c r="AJ1603" s="81"/>
      <c r="AK1603" s="81" t="s">
        <v>14025</v>
      </c>
      <c r="AL1603" s="81"/>
      <c r="AM1603" s="84" t="str">
        <f>HYPERLINK("https://t.co/ght4xaMdfC")</f>
        <v>https://t.co/ght4xaMdfC</v>
      </c>
      <c r="AN1603" s="81"/>
      <c r="AO1603" s="83">
        <v>42608.302175925928</v>
      </c>
      <c r="AP1603" s="84" t="str">
        <f>HYPERLINK("https://pbs.twimg.com/profile_banners/769070659943235584/1627527909")</f>
        <v>https://pbs.twimg.com/profile_banners/769070659943235584/1627527909</v>
      </c>
      <c r="AQ1603" s="81" t="b">
        <v>0</v>
      </c>
      <c r="AR1603" s="81" t="b">
        <v>0</v>
      </c>
      <c r="AS1603" s="81" t="b">
        <v>0</v>
      </c>
      <c r="AT1603" s="81"/>
      <c r="AU1603" s="81">
        <v>6931</v>
      </c>
      <c r="AV1603" s="84" t="str">
        <f>HYPERLINK("https://abs.twimg.com/images/themes/theme1/bg.png")</f>
        <v>https://abs.twimg.com/images/themes/theme1/bg.png</v>
      </c>
      <c r="AW1603" s="81" t="b">
        <v>1</v>
      </c>
      <c r="AX1603" s="81" t="s">
        <v>3728</v>
      </c>
      <c r="AY1603" s="84" t="str">
        <f>HYPERLINK("https://twitter.com/uma_musu")</f>
        <v>https://twitter.com/uma_musu</v>
      </c>
      <c r="AZ1603" s="81" t="s">
        <v>66</v>
      </c>
    </row>
    <row r="1604" spans="1:52" x14ac:dyDescent="0.35">
      <c r="A1604" s="66" t="s">
        <v>12550</v>
      </c>
      <c r="B1604" s="67"/>
      <c r="C1604" s="67"/>
      <c r="D1604" s="68"/>
      <c r="E1604" s="94"/>
      <c r="F1604" s="93" t="str">
        <f>HYPERLINK("https://pbs.twimg.com/profile_images/1441068162372435976/F-D2pdVc_normal.png")</f>
        <v>https://pbs.twimg.com/profile_images/1441068162372435976/F-D2pdVc_normal.png</v>
      </c>
      <c r="G1604" s="95"/>
      <c r="H1604" s="71"/>
      <c r="I1604" s="72"/>
      <c r="J1604" s="96"/>
      <c r="K1604" s="71" t="s">
        <v>14372</v>
      </c>
      <c r="L1604" s="97"/>
      <c r="M1604" s="76"/>
      <c r="N1604" s="76"/>
      <c r="O1604" s="77"/>
      <c r="P1604" s="78"/>
      <c r="Q1604" s="78"/>
      <c r="R1604" s="92"/>
      <c r="S1604" s="92"/>
      <c r="T1604" s="92"/>
      <c r="U1604" s="92"/>
      <c r="V1604" s="52"/>
      <c r="W1604" s="52"/>
      <c r="X1604" s="52"/>
      <c r="Y1604" s="52"/>
      <c r="Z1604" s="51"/>
      <c r="AA1604" s="73"/>
      <c r="AB1604" s="73"/>
      <c r="AC1604" s="74"/>
      <c r="AD1604" s="81" t="s">
        <v>13568</v>
      </c>
      <c r="AE1604" s="86" t="s">
        <v>13782</v>
      </c>
      <c r="AF1604" s="81">
        <v>786</v>
      </c>
      <c r="AG1604" s="81">
        <v>581</v>
      </c>
      <c r="AH1604" s="81">
        <v>30460</v>
      </c>
      <c r="AI1604" s="81">
        <v>70350</v>
      </c>
      <c r="AJ1604" s="81"/>
      <c r="AK1604" s="81" t="s">
        <v>14026</v>
      </c>
      <c r="AL1604" s="81" t="s">
        <v>3514</v>
      </c>
      <c r="AM1604" s="81"/>
      <c r="AN1604" s="81"/>
      <c r="AO1604" s="83">
        <v>44285.169212962966</v>
      </c>
      <c r="AP1604" s="84" t="str">
        <f>HYPERLINK("https://pbs.twimg.com/profile_banners/1376746851454513161/1632419898")</f>
        <v>https://pbs.twimg.com/profile_banners/1376746851454513161/1632419898</v>
      </c>
      <c r="AQ1604" s="81" t="b">
        <v>1</v>
      </c>
      <c r="AR1604" s="81" t="b">
        <v>0</v>
      </c>
      <c r="AS1604" s="81" t="b">
        <v>0</v>
      </c>
      <c r="AT1604" s="81"/>
      <c r="AU1604" s="81">
        <v>0</v>
      </c>
      <c r="AV1604" s="81"/>
      <c r="AW1604" s="81" t="b">
        <v>0</v>
      </c>
      <c r="AX1604" s="81" t="s">
        <v>3728</v>
      </c>
      <c r="AY1604" s="84" t="str">
        <f>HYPERLINK("https://twitter.com/lxl_747")</f>
        <v>https://twitter.com/lxl_747</v>
      </c>
      <c r="AZ1604" s="81" t="s">
        <v>66</v>
      </c>
    </row>
    <row r="1605" spans="1:52" x14ac:dyDescent="0.35">
      <c r="A1605" s="66" t="s">
        <v>4874</v>
      </c>
      <c r="B1605" s="67"/>
      <c r="C1605" s="67"/>
      <c r="D1605" s="68"/>
      <c r="E1605" s="94"/>
      <c r="F1605" s="93" t="str">
        <f>HYPERLINK("https://pbs.twimg.com/profile_images/1357650922692890624/TwCQgdMw_normal.jpg")</f>
        <v>https://pbs.twimg.com/profile_images/1357650922692890624/TwCQgdMw_normal.jpg</v>
      </c>
      <c r="G1605" s="95"/>
      <c r="H1605" s="71"/>
      <c r="I1605" s="72"/>
      <c r="J1605" s="96"/>
      <c r="K1605" s="71" t="s">
        <v>14373</v>
      </c>
      <c r="L1605" s="97"/>
      <c r="M1605" s="76"/>
      <c r="N1605" s="76"/>
      <c r="O1605" s="77"/>
      <c r="P1605" s="78"/>
      <c r="Q1605" s="78"/>
      <c r="R1605" s="92"/>
      <c r="S1605" s="92"/>
      <c r="T1605" s="92"/>
      <c r="U1605" s="92"/>
      <c r="V1605" s="52"/>
      <c r="W1605" s="52"/>
      <c r="X1605" s="52"/>
      <c r="Y1605" s="52"/>
      <c r="Z1605" s="51"/>
      <c r="AA1605" s="73"/>
      <c r="AB1605" s="73"/>
      <c r="AC1605" s="74"/>
      <c r="AD1605" s="81" t="s">
        <v>8925</v>
      </c>
      <c r="AE1605" s="86" t="s">
        <v>9888</v>
      </c>
      <c r="AF1605" s="81">
        <v>51</v>
      </c>
      <c r="AG1605" s="81">
        <v>284759</v>
      </c>
      <c r="AH1605" s="81">
        <v>253697</v>
      </c>
      <c r="AI1605" s="81">
        <v>16</v>
      </c>
      <c r="AJ1605" s="81"/>
      <c r="AK1605" s="81" t="s">
        <v>10804</v>
      </c>
      <c r="AL1605" s="81" t="s">
        <v>11324</v>
      </c>
      <c r="AM1605" s="84" t="str">
        <f>HYPERLINK("https://t.co/CQNoxmSx49")</f>
        <v>https://t.co/CQNoxmSx49</v>
      </c>
      <c r="AN1605" s="81"/>
      <c r="AO1605" s="83">
        <v>39640.625243055554</v>
      </c>
      <c r="AP1605" s="84" t="str">
        <f>HYPERLINK("https://pbs.twimg.com/profile_banners/15392221/1612524156")</f>
        <v>https://pbs.twimg.com/profile_banners/15392221/1612524156</v>
      </c>
      <c r="AQ1605" s="81" t="b">
        <v>0</v>
      </c>
      <c r="AR1605" s="81" t="b">
        <v>0</v>
      </c>
      <c r="AS1605" s="81" t="b">
        <v>1</v>
      </c>
      <c r="AT1605" s="81"/>
      <c r="AU1605" s="81">
        <v>1293</v>
      </c>
      <c r="AV1605" s="84" t="str">
        <f>HYPERLINK("https://abs.twimg.com/images/themes/theme1/bg.png")</f>
        <v>https://abs.twimg.com/images/themes/theme1/bg.png</v>
      </c>
      <c r="AW1605" s="81" t="b">
        <v>1</v>
      </c>
      <c r="AX1605" s="81" t="s">
        <v>3728</v>
      </c>
      <c r="AY1605" s="84" t="str">
        <f>HYPERLINK("https://twitter.com/tsfradio")</f>
        <v>https://twitter.com/tsfradio</v>
      </c>
      <c r="AZ1605" s="81" t="s">
        <v>66</v>
      </c>
    </row>
    <row r="1606" spans="1:52" x14ac:dyDescent="0.35">
      <c r="A1606" s="66" t="s">
        <v>12551</v>
      </c>
      <c r="B1606" s="67"/>
      <c r="C1606" s="67"/>
      <c r="D1606" s="68"/>
      <c r="E1606" s="94"/>
      <c r="F1606" s="93" t="str">
        <f>HYPERLINK("https://pbs.twimg.com/profile_images/1190674118347280385/8kkf4mPv_normal.jpg")</f>
        <v>https://pbs.twimg.com/profile_images/1190674118347280385/8kkf4mPv_normal.jpg</v>
      </c>
      <c r="G1606" s="95"/>
      <c r="H1606" s="71"/>
      <c r="I1606" s="72"/>
      <c r="J1606" s="96"/>
      <c r="K1606" s="71" t="s">
        <v>14374</v>
      </c>
      <c r="L1606" s="97"/>
      <c r="M1606" s="76"/>
      <c r="N1606" s="76"/>
      <c r="O1606" s="77"/>
      <c r="P1606" s="78"/>
      <c r="Q1606" s="78"/>
      <c r="R1606" s="92"/>
      <c r="S1606" s="92"/>
      <c r="T1606" s="92"/>
      <c r="U1606" s="92"/>
      <c r="V1606" s="52"/>
      <c r="W1606" s="52"/>
      <c r="X1606" s="52"/>
      <c r="Y1606" s="52"/>
      <c r="Z1606" s="51"/>
      <c r="AA1606" s="73"/>
      <c r="AB1606" s="73"/>
      <c r="AC1606" s="74"/>
      <c r="AD1606" s="81" t="s">
        <v>13569</v>
      </c>
      <c r="AE1606" s="86" t="s">
        <v>13783</v>
      </c>
      <c r="AF1606" s="81">
        <v>190</v>
      </c>
      <c r="AG1606" s="81">
        <v>153</v>
      </c>
      <c r="AH1606" s="81">
        <v>259587</v>
      </c>
      <c r="AI1606" s="81">
        <v>25</v>
      </c>
      <c r="AJ1606" s="81"/>
      <c r="AK1606" s="81"/>
      <c r="AL1606" s="81"/>
      <c r="AM1606" s="81"/>
      <c r="AN1606" s="81"/>
      <c r="AO1606" s="83">
        <v>43771.70417824074</v>
      </c>
      <c r="AP1606" s="84" t="str">
        <f>HYPERLINK("https://pbs.twimg.com/profile_banners/1190673374940401664/1572716211")</f>
        <v>https://pbs.twimg.com/profile_banners/1190673374940401664/1572716211</v>
      </c>
      <c r="AQ1606" s="81" t="b">
        <v>1</v>
      </c>
      <c r="AR1606" s="81" t="b">
        <v>0</v>
      </c>
      <c r="AS1606" s="81" t="b">
        <v>0</v>
      </c>
      <c r="AT1606" s="81"/>
      <c r="AU1606" s="81">
        <v>1</v>
      </c>
      <c r="AV1606" s="81"/>
      <c r="AW1606" s="81" t="b">
        <v>0</v>
      </c>
      <c r="AX1606" s="81" t="s">
        <v>3728</v>
      </c>
      <c r="AY1606" s="84" t="str">
        <f>HYPERLINK("https://twitter.com/trilubiusgrow")</f>
        <v>https://twitter.com/trilubiusgrow</v>
      </c>
      <c r="AZ1606" s="81" t="s">
        <v>66</v>
      </c>
    </row>
    <row r="1607" spans="1:52" x14ac:dyDescent="0.35">
      <c r="A1607" s="66" t="s">
        <v>12567</v>
      </c>
      <c r="B1607" s="67"/>
      <c r="C1607" s="67"/>
      <c r="D1607" s="68"/>
      <c r="E1607" s="94"/>
      <c r="F1607" s="93" t="str">
        <f>HYPERLINK("https://pbs.twimg.com/profile_images/1143441418058420224/JuY2FOx9_normal.png")</f>
        <v>https://pbs.twimg.com/profile_images/1143441418058420224/JuY2FOx9_normal.png</v>
      </c>
      <c r="G1607" s="95"/>
      <c r="H1607" s="71"/>
      <c r="I1607" s="72"/>
      <c r="J1607" s="96"/>
      <c r="K1607" s="71" t="s">
        <v>14375</v>
      </c>
      <c r="L1607" s="97"/>
      <c r="M1607" s="76"/>
      <c r="N1607" s="76"/>
      <c r="O1607" s="77"/>
      <c r="P1607" s="78"/>
      <c r="Q1607" s="78"/>
      <c r="R1607" s="92"/>
      <c r="S1607" s="92"/>
      <c r="T1607" s="92"/>
      <c r="U1607" s="92"/>
      <c r="V1607" s="52"/>
      <c r="W1607" s="52"/>
      <c r="X1607" s="52"/>
      <c r="Y1607" s="52"/>
      <c r="Z1607" s="51"/>
      <c r="AA1607" s="73"/>
      <c r="AB1607" s="73"/>
      <c r="AC1607" s="74"/>
      <c r="AD1607" s="81" t="s">
        <v>13570</v>
      </c>
      <c r="AE1607" s="86" t="s">
        <v>13784</v>
      </c>
      <c r="AF1607" s="81">
        <v>88</v>
      </c>
      <c r="AG1607" s="81">
        <v>22348</v>
      </c>
      <c r="AH1607" s="81">
        <v>8546</v>
      </c>
      <c r="AI1607" s="81">
        <v>596</v>
      </c>
      <c r="AJ1607" s="81"/>
      <c r="AK1607" s="81" t="s">
        <v>14027</v>
      </c>
      <c r="AL1607" s="81" t="s">
        <v>14197</v>
      </c>
      <c r="AM1607" s="84" t="str">
        <f>HYPERLINK("https://t.co/h0BgIBwnDT")</f>
        <v>https://t.co/h0BgIBwnDT</v>
      </c>
      <c r="AN1607" s="81"/>
      <c r="AO1607" s="83">
        <v>40518.401076388887</v>
      </c>
      <c r="AP1607" s="84" t="str">
        <f>HYPERLINK("https://pbs.twimg.com/profile_banners/223411301/1618826746")</f>
        <v>https://pbs.twimg.com/profile_banners/223411301/1618826746</v>
      </c>
      <c r="AQ1607" s="81" t="b">
        <v>0</v>
      </c>
      <c r="AR1607" s="81" t="b">
        <v>0</v>
      </c>
      <c r="AS1607" s="81" t="b">
        <v>0</v>
      </c>
      <c r="AT1607" s="81"/>
      <c r="AU1607" s="81">
        <v>99</v>
      </c>
      <c r="AV1607" s="84" t="str">
        <f>HYPERLINK("https://abs.twimg.com/images/themes/theme14/bg.gif")</f>
        <v>https://abs.twimg.com/images/themes/theme14/bg.gif</v>
      </c>
      <c r="AW1607" s="81" t="b">
        <v>0</v>
      </c>
      <c r="AX1607" s="81" t="s">
        <v>3728</v>
      </c>
      <c r="AY1607" s="84" t="str">
        <f>HYPERLINK("https://twitter.com/univdecoimbra")</f>
        <v>https://twitter.com/univdecoimbra</v>
      </c>
      <c r="AZ1607" s="81" t="s">
        <v>66</v>
      </c>
    </row>
    <row r="1608" spans="1:52" x14ac:dyDescent="0.35">
      <c r="A1608" s="66" t="s">
        <v>12552</v>
      </c>
      <c r="B1608" s="67"/>
      <c r="C1608" s="67"/>
      <c r="D1608" s="68"/>
      <c r="E1608" s="94"/>
      <c r="F1608" s="93" t="str">
        <f>HYPERLINK("https://pbs.twimg.com/profile_images/643174267207725056/D3jFbdZW_normal.jpg")</f>
        <v>https://pbs.twimg.com/profile_images/643174267207725056/D3jFbdZW_normal.jpg</v>
      </c>
      <c r="G1608" s="95"/>
      <c r="H1608" s="71"/>
      <c r="I1608" s="72"/>
      <c r="J1608" s="96"/>
      <c r="K1608" s="71" t="s">
        <v>14376</v>
      </c>
      <c r="L1608" s="97"/>
      <c r="M1608" s="76"/>
      <c r="N1608" s="76"/>
      <c r="O1608" s="77"/>
      <c r="P1608" s="78"/>
      <c r="Q1608" s="78"/>
      <c r="R1608" s="92"/>
      <c r="S1608" s="92"/>
      <c r="T1608" s="92"/>
      <c r="U1608" s="92"/>
      <c r="V1608" s="52"/>
      <c r="W1608" s="52"/>
      <c r="X1608" s="52"/>
      <c r="Y1608" s="52"/>
      <c r="Z1608" s="51"/>
      <c r="AA1608" s="73"/>
      <c r="AB1608" s="73"/>
      <c r="AC1608" s="74"/>
      <c r="AD1608" s="81" t="s">
        <v>13571</v>
      </c>
      <c r="AE1608" s="86" t="s">
        <v>13785</v>
      </c>
      <c r="AF1608" s="81">
        <v>182</v>
      </c>
      <c r="AG1608" s="81">
        <v>272</v>
      </c>
      <c r="AH1608" s="81">
        <v>8830</v>
      </c>
      <c r="AI1608" s="81">
        <v>8</v>
      </c>
      <c r="AJ1608" s="81"/>
      <c r="AK1608" s="81" t="s">
        <v>14028</v>
      </c>
      <c r="AL1608" s="81" t="s">
        <v>14198</v>
      </c>
      <c r="AM1608" s="84" t="str">
        <f>HYPERLINK("https://t.co/t80oBEmNTz")</f>
        <v>https://t.co/t80oBEmNTz</v>
      </c>
      <c r="AN1608" s="81"/>
      <c r="AO1608" s="83">
        <v>42220.492349537039</v>
      </c>
      <c r="AP1608" s="84" t="str">
        <f>HYPERLINK("https://pbs.twimg.com/profile_banners/3402644416/1441886687")</f>
        <v>https://pbs.twimg.com/profile_banners/3402644416/1441886687</v>
      </c>
      <c r="AQ1608" s="81" t="b">
        <v>0</v>
      </c>
      <c r="AR1608" s="81" t="b">
        <v>0</v>
      </c>
      <c r="AS1608" s="81" t="b">
        <v>0</v>
      </c>
      <c r="AT1608" s="81"/>
      <c r="AU1608" s="81">
        <v>3</v>
      </c>
      <c r="AV1608" s="84" t="str">
        <f>HYPERLINK("https://abs.twimg.com/images/themes/theme1/bg.png")</f>
        <v>https://abs.twimg.com/images/themes/theme1/bg.png</v>
      </c>
      <c r="AW1608" s="81" t="b">
        <v>0</v>
      </c>
      <c r="AX1608" s="81" t="s">
        <v>3728</v>
      </c>
      <c r="AY1608" s="84" t="str">
        <f>HYPERLINK("https://twitter.com/revistaposvenda")</f>
        <v>https://twitter.com/revistaposvenda</v>
      </c>
      <c r="AZ1608" s="81" t="s">
        <v>66</v>
      </c>
    </row>
    <row r="1609" spans="1:52" x14ac:dyDescent="0.35">
      <c r="A1609" s="66" t="s">
        <v>12553</v>
      </c>
      <c r="B1609" s="67"/>
      <c r="C1609" s="67"/>
      <c r="D1609" s="68"/>
      <c r="E1609" s="94"/>
      <c r="F1609" s="93" t="str">
        <f>HYPERLINK("https://pbs.twimg.com/profile_images/919031988123660288/Y8cpsF_M_normal.jpg")</f>
        <v>https://pbs.twimg.com/profile_images/919031988123660288/Y8cpsF_M_normal.jpg</v>
      </c>
      <c r="G1609" s="95"/>
      <c r="H1609" s="71"/>
      <c r="I1609" s="72"/>
      <c r="J1609" s="96"/>
      <c r="K1609" s="71" t="s">
        <v>14377</v>
      </c>
      <c r="L1609" s="97"/>
      <c r="M1609" s="76"/>
      <c r="N1609" s="76"/>
      <c r="O1609" s="77"/>
      <c r="P1609" s="78"/>
      <c r="Q1609" s="78"/>
      <c r="R1609" s="92"/>
      <c r="S1609" s="92"/>
      <c r="T1609" s="92"/>
      <c r="U1609" s="92"/>
      <c r="V1609" s="52"/>
      <c r="W1609" s="52"/>
      <c r="X1609" s="52"/>
      <c r="Y1609" s="52"/>
      <c r="Z1609" s="51"/>
      <c r="AA1609" s="73"/>
      <c r="AB1609" s="73"/>
      <c r="AC1609" s="74"/>
      <c r="AD1609" s="81" t="s">
        <v>13572</v>
      </c>
      <c r="AE1609" s="86" t="s">
        <v>13786</v>
      </c>
      <c r="AF1609" s="81">
        <v>157</v>
      </c>
      <c r="AG1609" s="81">
        <v>226</v>
      </c>
      <c r="AH1609" s="81">
        <v>3212</v>
      </c>
      <c r="AI1609" s="81">
        <v>546</v>
      </c>
      <c r="AJ1609" s="81"/>
      <c r="AK1609" s="81" t="s">
        <v>14029</v>
      </c>
      <c r="AL1609" s="81" t="s">
        <v>14199</v>
      </c>
      <c r="AM1609" s="84" t="str">
        <f>HYPERLINK("https://t.co/lmZdnCOpcN")</f>
        <v>https://t.co/lmZdnCOpcN</v>
      </c>
      <c r="AN1609" s="81"/>
      <c r="AO1609" s="83">
        <v>42991.152256944442</v>
      </c>
      <c r="AP1609" s="84" t="str">
        <f>HYPERLINK("https://pbs.twimg.com/profile_banners/907810884226973697/1622712381")</f>
        <v>https://pbs.twimg.com/profile_banners/907810884226973697/1622712381</v>
      </c>
      <c r="AQ1609" s="81" t="b">
        <v>0</v>
      </c>
      <c r="AR1609" s="81" t="b">
        <v>0</v>
      </c>
      <c r="AS1609" s="81" t="b">
        <v>1</v>
      </c>
      <c r="AT1609" s="81"/>
      <c r="AU1609" s="81">
        <v>0</v>
      </c>
      <c r="AV1609" s="84" t="str">
        <f>HYPERLINK("https://abs.twimg.com/images/themes/theme1/bg.png")</f>
        <v>https://abs.twimg.com/images/themes/theme1/bg.png</v>
      </c>
      <c r="AW1609" s="81" t="b">
        <v>0</v>
      </c>
      <c r="AX1609" s="81" t="s">
        <v>3728</v>
      </c>
      <c r="AY1609" s="84" t="str">
        <f>HYPERLINK("https://twitter.com/kreatifsultanid")</f>
        <v>https://twitter.com/kreatifsultanid</v>
      </c>
      <c r="AZ1609" s="81" t="s">
        <v>66</v>
      </c>
    </row>
    <row r="1610" spans="1:52" x14ac:dyDescent="0.35">
      <c r="A1610" s="66" t="s">
        <v>12697</v>
      </c>
      <c r="B1610" s="67"/>
      <c r="C1610" s="67"/>
      <c r="D1610" s="68"/>
      <c r="E1610" s="94"/>
      <c r="F1610" s="93" t="str">
        <f>HYPERLINK("https://pbs.twimg.com/profile_images/651791169685360640/bRluiXQB_normal.jpg")</f>
        <v>https://pbs.twimg.com/profile_images/651791169685360640/bRluiXQB_normal.jpg</v>
      </c>
      <c r="G1610" s="95"/>
      <c r="H1610" s="71"/>
      <c r="I1610" s="72"/>
      <c r="J1610" s="96"/>
      <c r="K1610" s="71" t="s">
        <v>14378</v>
      </c>
      <c r="L1610" s="97"/>
      <c r="M1610" s="76"/>
      <c r="N1610" s="76"/>
      <c r="O1610" s="77"/>
      <c r="P1610" s="78"/>
      <c r="Q1610" s="78"/>
      <c r="R1610" s="92"/>
      <c r="S1610" s="92"/>
      <c r="T1610" s="92"/>
      <c r="U1610" s="92"/>
      <c r="V1610" s="52"/>
      <c r="W1610" s="52"/>
      <c r="X1610" s="52"/>
      <c r="Y1610" s="52"/>
      <c r="Z1610" s="51"/>
      <c r="AA1610" s="73"/>
      <c r="AB1610" s="73"/>
      <c r="AC1610" s="74"/>
      <c r="AD1610" s="81" t="s">
        <v>13573</v>
      </c>
      <c r="AE1610" s="86" t="s">
        <v>13787</v>
      </c>
      <c r="AF1610" s="81">
        <v>1</v>
      </c>
      <c r="AG1610" s="81">
        <v>101</v>
      </c>
      <c r="AH1610" s="81">
        <v>0</v>
      </c>
      <c r="AI1610" s="81">
        <v>0</v>
      </c>
      <c r="AJ1610" s="81"/>
      <c r="AK1610" s="81" t="s">
        <v>14030</v>
      </c>
      <c r="AL1610" s="81"/>
      <c r="AM1610" s="84" t="str">
        <f>HYPERLINK("http://t.co/j8VkVibdgh")</f>
        <v>http://t.co/j8VkVibdgh</v>
      </c>
      <c r="AN1610" s="81"/>
      <c r="AO1610" s="83">
        <v>40611.168807870374</v>
      </c>
      <c r="AP1610" s="84" t="str">
        <f>HYPERLINK("https://pbs.twimg.com/profile_banners/262982580/1444234142")</f>
        <v>https://pbs.twimg.com/profile_banners/262982580/1444234142</v>
      </c>
      <c r="AQ1610" s="81" t="b">
        <v>1</v>
      </c>
      <c r="AR1610" s="81" t="b">
        <v>0</v>
      </c>
      <c r="AS1610" s="81" t="b">
        <v>0</v>
      </c>
      <c r="AT1610" s="81"/>
      <c r="AU1610" s="81">
        <v>1</v>
      </c>
      <c r="AV1610" s="84" t="str">
        <f>HYPERLINK("https://abs.twimg.com/images/themes/theme1/bg.png")</f>
        <v>https://abs.twimg.com/images/themes/theme1/bg.png</v>
      </c>
      <c r="AW1610" s="81" t="b">
        <v>0</v>
      </c>
      <c r="AX1610" s="81" t="s">
        <v>3728</v>
      </c>
      <c r="AY1610" s="84" t="str">
        <f>HYPERLINK("https://twitter.com/posindonesia279")</f>
        <v>https://twitter.com/posindonesia279</v>
      </c>
      <c r="AZ1610" s="81" t="s">
        <v>65</v>
      </c>
    </row>
    <row r="1611" spans="1:52" x14ac:dyDescent="0.35">
      <c r="A1611" s="66" t="s">
        <v>12554</v>
      </c>
      <c r="B1611" s="67"/>
      <c r="C1611" s="67"/>
      <c r="D1611" s="68"/>
      <c r="E1611" s="94"/>
      <c r="F1611" s="93" t="str">
        <f>HYPERLINK("https://pbs.twimg.com/profile_images/1388780334498549760/YXB9rou__normal.jpg")</f>
        <v>https://pbs.twimg.com/profile_images/1388780334498549760/YXB9rou__normal.jpg</v>
      </c>
      <c r="G1611" s="95"/>
      <c r="H1611" s="71"/>
      <c r="I1611" s="72"/>
      <c r="J1611" s="96"/>
      <c r="K1611" s="71" t="s">
        <v>14379</v>
      </c>
      <c r="L1611" s="97"/>
      <c r="M1611" s="76"/>
      <c r="N1611" s="76"/>
      <c r="O1611" s="77"/>
      <c r="P1611" s="78"/>
      <c r="Q1611" s="78"/>
      <c r="R1611" s="92"/>
      <c r="S1611" s="92"/>
      <c r="T1611" s="92"/>
      <c r="U1611" s="92"/>
      <c r="V1611" s="52"/>
      <c r="W1611" s="52"/>
      <c r="X1611" s="52"/>
      <c r="Y1611" s="52"/>
      <c r="Z1611" s="51"/>
      <c r="AA1611" s="73"/>
      <c r="AB1611" s="73"/>
      <c r="AC1611" s="74"/>
      <c r="AD1611" s="81" t="s">
        <v>13574</v>
      </c>
      <c r="AE1611" s="86" t="s">
        <v>13788</v>
      </c>
      <c r="AF1611" s="81">
        <v>36</v>
      </c>
      <c r="AG1611" s="81">
        <v>77</v>
      </c>
      <c r="AH1611" s="81">
        <v>1365</v>
      </c>
      <c r="AI1611" s="81">
        <v>1888</v>
      </c>
      <c r="AJ1611" s="81"/>
      <c r="AK1611" s="81" t="s">
        <v>14031</v>
      </c>
      <c r="AL1611" s="81" t="s">
        <v>14199</v>
      </c>
      <c r="AM1611" s="84" t="str">
        <f>HYPERLINK("https://t.co/aDQ7nbqciQ")</f>
        <v>https://t.co/aDQ7nbqciQ</v>
      </c>
      <c r="AN1611" s="81"/>
      <c r="AO1611" s="83">
        <v>43898.579305555555</v>
      </c>
      <c r="AP1611" s="84" t="str">
        <f>HYPERLINK("https://pbs.twimg.com/profile_banners/1236651319428956161/1595269392")</f>
        <v>https://pbs.twimg.com/profile_banners/1236651319428956161/1595269392</v>
      </c>
      <c r="AQ1611" s="81" t="b">
        <v>1</v>
      </c>
      <c r="AR1611" s="81" t="b">
        <v>0</v>
      </c>
      <c r="AS1611" s="81" t="b">
        <v>0</v>
      </c>
      <c r="AT1611" s="81"/>
      <c r="AU1611" s="81">
        <v>0</v>
      </c>
      <c r="AV1611" s="81"/>
      <c r="AW1611" s="81" t="b">
        <v>0</v>
      </c>
      <c r="AX1611" s="81" t="s">
        <v>3728</v>
      </c>
      <c r="AY1611" s="84" t="str">
        <f>HYPERLINK("https://twitter.com/aep62247434")</f>
        <v>https://twitter.com/aep62247434</v>
      </c>
      <c r="AZ1611" s="81" t="s">
        <v>66</v>
      </c>
    </row>
    <row r="1612" spans="1:52" x14ac:dyDescent="0.35">
      <c r="A1612" s="66" t="s">
        <v>12698</v>
      </c>
      <c r="B1612" s="67"/>
      <c r="C1612" s="67"/>
      <c r="D1612" s="68"/>
      <c r="E1612" s="94"/>
      <c r="F1612" s="93" t="str">
        <f>HYPERLINK("https://pbs.twimg.com/profile_images/1026349211770474497/HHl7SpNC_normal.jpg")</f>
        <v>https://pbs.twimg.com/profile_images/1026349211770474497/HHl7SpNC_normal.jpg</v>
      </c>
      <c r="G1612" s="95"/>
      <c r="H1612" s="71"/>
      <c r="I1612" s="72"/>
      <c r="J1612" s="96"/>
      <c r="K1612" s="71" t="s">
        <v>14380</v>
      </c>
      <c r="L1612" s="97"/>
      <c r="M1612" s="76"/>
      <c r="N1612" s="76"/>
      <c r="O1612" s="77"/>
      <c r="P1612" s="78"/>
      <c r="Q1612" s="78"/>
      <c r="R1612" s="92"/>
      <c r="S1612" s="92"/>
      <c r="T1612" s="92"/>
      <c r="U1612" s="92"/>
      <c r="V1612" s="52"/>
      <c r="W1612" s="52"/>
      <c r="X1612" s="52"/>
      <c r="Y1612" s="52"/>
      <c r="Z1612" s="51"/>
      <c r="AA1612" s="73"/>
      <c r="AB1612" s="73"/>
      <c r="AC1612" s="74"/>
      <c r="AD1612" s="81" t="s">
        <v>13575</v>
      </c>
      <c r="AE1612" s="86" t="s">
        <v>13789</v>
      </c>
      <c r="AF1612" s="81">
        <v>229</v>
      </c>
      <c r="AG1612" s="81">
        <v>181851</v>
      </c>
      <c r="AH1612" s="81">
        <v>13926</v>
      </c>
      <c r="AI1612" s="81">
        <v>11701</v>
      </c>
      <c r="AJ1612" s="81"/>
      <c r="AK1612" s="81" t="s">
        <v>14032</v>
      </c>
      <c r="AL1612" s="81" t="s">
        <v>14200</v>
      </c>
      <c r="AM1612" s="84" t="str">
        <f>HYPERLINK("https://t.co/dhIORpsGiv")</f>
        <v>https://t.co/dhIORpsGiv</v>
      </c>
      <c r="AN1612" s="81"/>
      <c r="AO1612" s="83">
        <v>42432.263958333337</v>
      </c>
      <c r="AP1612" s="84" t="str">
        <f>HYPERLINK("https://pbs.twimg.com/profile_banners/705276546735407104/1628595015")</f>
        <v>https://pbs.twimg.com/profile_banners/705276546735407104/1628595015</v>
      </c>
      <c r="AQ1612" s="81" t="b">
        <v>0</v>
      </c>
      <c r="AR1612" s="81" t="b">
        <v>0</v>
      </c>
      <c r="AS1612" s="81" t="b">
        <v>1</v>
      </c>
      <c r="AT1612" s="81"/>
      <c r="AU1612" s="81">
        <v>140</v>
      </c>
      <c r="AV1612" s="84" t="str">
        <f>HYPERLINK("https://abs.twimg.com/images/themes/theme1/bg.png")</f>
        <v>https://abs.twimg.com/images/themes/theme1/bg.png</v>
      </c>
      <c r="AW1612" s="81" t="b">
        <v>1</v>
      </c>
      <c r="AX1612" s="81" t="s">
        <v>3728</v>
      </c>
      <c r="AY1612" s="84" t="str">
        <f>HYPERLINK("https://twitter.com/kejaksaanri")</f>
        <v>https://twitter.com/kejaksaanri</v>
      </c>
      <c r="AZ1612" s="81" t="s">
        <v>65</v>
      </c>
    </row>
    <row r="1613" spans="1:52" x14ac:dyDescent="0.35">
      <c r="A1613" s="66" t="s">
        <v>12699</v>
      </c>
      <c r="B1613" s="67"/>
      <c r="C1613" s="67"/>
      <c r="D1613" s="68"/>
      <c r="E1613" s="94"/>
      <c r="F1613" s="93" t="str">
        <f>HYPERLINK("https://pbs.twimg.com/profile_images/1427480111482245153/FjgvWpIt_normal.jpg")</f>
        <v>https://pbs.twimg.com/profile_images/1427480111482245153/FjgvWpIt_normal.jpg</v>
      </c>
      <c r="G1613" s="95"/>
      <c r="H1613" s="71"/>
      <c r="I1613" s="72"/>
      <c r="J1613" s="96"/>
      <c r="K1613" s="71" t="s">
        <v>14381</v>
      </c>
      <c r="L1613" s="97"/>
      <c r="M1613" s="76"/>
      <c r="N1613" s="76"/>
      <c r="O1613" s="77"/>
      <c r="P1613" s="78"/>
      <c r="Q1613" s="78"/>
      <c r="R1613" s="92"/>
      <c r="S1613" s="92"/>
      <c r="T1613" s="92"/>
      <c r="U1613" s="92"/>
      <c r="V1613" s="52"/>
      <c r="W1613" s="52"/>
      <c r="X1613" s="52"/>
      <c r="Y1613" s="52"/>
      <c r="Z1613" s="51"/>
      <c r="AA1613" s="73"/>
      <c r="AB1613" s="73"/>
      <c r="AC1613" s="74"/>
      <c r="AD1613" s="81" t="s">
        <v>13576</v>
      </c>
      <c r="AE1613" s="86" t="s">
        <v>13790</v>
      </c>
      <c r="AF1613" s="81">
        <v>43</v>
      </c>
      <c r="AG1613" s="81">
        <v>1312</v>
      </c>
      <c r="AH1613" s="81">
        <v>996</v>
      </c>
      <c r="AI1613" s="81">
        <v>2</v>
      </c>
      <c r="AJ1613" s="81"/>
      <c r="AK1613" s="81" t="s">
        <v>14033</v>
      </c>
      <c r="AL1613" s="81" t="s">
        <v>14201</v>
      </c>
      <c r="AM1613" s="84" t="str">
        <f>HYPERLINK("https://t.co/YpXLYrEbKC")</f>
        <v>https://t.co/YpXLYrEbKC</v>
      </c>
      <c r="AN1613" s="81"/>
      <c r="AO1613" s="83">
        <v>40616.296296296299</v>
      </c>
      <c r="AP1613" s="81"/>
      <c r="AQ1613" s="81" t="b">
        <v>0</v>
      </c>
      <c r="AR1613" s="81" t="b">
        <v>0</v>
      </c>
      <c r="AS1613" s="81" t="b">
        <v>0</v>
      </c>
      <c r="AT1613" s="81"/>
      <c r="AU1613" s="81">
        <v>2</v>
      </c>
      <c r="AV1613" s="84" t="str">
        <f>HYPERLINK("https://abs.twimg.com/images/themes/theme1/bg.png")</f>
        <v>https://abs.twimg.com/images/themes/theme1/bg.png</v>
      </c>
      <c r="AW1613" s="81" t="b">
        <v>0</v>
      </c>
      <c r="AX1613" s="81" t="s">
        <v>3728</v>
      </c>
      <c r="AY1613" s="84" t="str">
        <f>HYPERLINK("https://twitter.com/kejati_jabar")</f>
        <v>https://twitter.com/kejati_jabar</v>
      </c>
      <c r="AZ1613" s="81" t="s">
        <v>65</v>
      </c>
    </row>
    <row r="1614" spans="1:52" x14ac:dyDescent="0.35">
      <c r="A1614" s="66" t="s">
        <v>12555</v>
      </c>
      <c r="B1614" s="67"/>
      <c r="C1614" s="67"/>
      <c r="D1614" s="68"/>
      <c r="E1614" s="94"/>
      <c r="F1614" s="93" t="str">
        <f>HYPERLINK("https://pbs.twimg.com/profile_images/1016328877692637184/tgG9qSER_normal.jpg")</f>
        <v>https://pbs.twimg.com/profile_images/1016328877692637184/tgG9qSER_normal.jpg</v>
      </c>
      <c r="G1614" s="95"/>
      <c r="H1614" s="71"/>
      <c r="I1614" s="72"/>
      <c r="J1614" s="96"/>
      <c r="K1614" s="71" t="s">
        <v>14382</v>
      </c>
      <c r="L1614" s="97"/>
      <c r="M1614" s="76"/>
      <c r="N1614" s="76"/>
      <c r="O1614" s="77"/>
      <c r="P1614" s="78"/>
      <c r="Q1614" s="78"/>
      <c r="R1614" s="92"/>
      <c r="S1614" s="92"/>
      <c r="T1614" s="92"/>
      <c r="U1614" s="92"/>
      <c r="V1614" s="52"/>
      <c r="W1614" s="52"/>
      <c r="X1614" s="52"/>
      <c r="Y1614" s="52"/>
      <c r="Z1614" s="51"/>
      <c r="AA1614" s="73"/>
      <c r="AB1614" s="73"/>
      <c r="AC1614" s="74"/>
      <c r="AD1614" s="81" t="s">
        <v>13577</v>
      </c>
      <c r="AE1614" s="86" t="s">
        <v>13791</v>
      </c>
      <c r="AF1614" s="81">
        <v>626</v>
      </c>
      <c r="AG1614" s="81">
        <v>28451</v>
      </c>
      <c r="AH1614" s="81">
        <v>103955</v>
      </c>
      <c r="AI1614" s="81">
        <v>171</v>
      </c>
      <c r="AJ1614" s="81"/>
      <c r="AK1614" s="81" t="s">
        <v>14034</v>
      </c>
      <c r="AL1614" s="81" t="s">
        <v>10990</v>
      </c>
      <c r="AM1614" s="84" t="str">
        <f>HYPERLINK("https://t.co/c1SmtoznTB")</f>
        <v>https://t.co/c1SmtoznTB</v>
      </c>
      <c r="AN1614" s="81"/>
      <c r="AO1614" s="83">
        <v>42634.785254629627</v>
      </c>
      <c r="AP1614" s="84" t="str">
        <f>HYPERLINK("https://pbs.twimg.com/profile_banners/778667805734469632/1617633956")</f>
        <v>https://pbs.twimg.com/profile_banners/778667805734469632/1617633956</v>
      </c>
      <c r="AQ1614" s="81" t="b">
        <v>1</v>
      </c>
      <c r="AR1614" s="81" t="b">
        <v>0</v>
      </c>
      <c r="AS1614" s="81" t="b">
        <v>1</v>
      </c>
      <c r="AT1614" s="81"/>
      <c r="AU1614" s="81">
        <v>301</v>
      </c>
      <c r="AV1614" s="81"/>
      <c r="AW1614" s="81" t="b">
        <v>1</v>
      </c>
      <c r="AX1614" s="81" t="s">
        <v>3728</v>
      </c>
      <c r="AY1614" s="84" t="str">
        <f>HYPERLINK("https://twitter.com/eco_pt")</f>
        <v>https://twitter.com/eco_pt</v>
      </c>
      <c r="AZ1614" s="81" t="s">
        <v>66</v>
      </c>
    </row>
    <row r="1615" spans="1:52" x14ac:dyDescent="0.35">
      <c r="A1615" s="66" t="s">
        <v>12556</v>
      </c>
      <c r="B1615" s="67"/>
      <c r="C1615" s="67"/>
      <c r="D1615" s="68"/>
      <c r="E1615" s="94"/>
      <c r="F1615" s="93" t="str">
        <f>HYPERLINK("https://pbs.twimg.com/profile_images/1440966115220393985/9hy6ywrj_normal.jpg")</f>
        <v>https://pbs.twimg.com/profile_images/1440966115220393985/9hy6ywrj_normal.jpg</v>
      </c>
      <c r="G1615" s="95"/>
      <c r="H1615" s="71"/>
      <c r="I1615" s="72"/>
      <c r="J1615" s="96"/>
      <c r="K1615" s="71" t="s">
        <v>14383</v>
      </c>
      <c r="L1615" s="97"/>
      <c r="M1615" s="76"/>
      <c r="N1615" s="76"/>
      <c r="O1615" s="77"/>
      <c r="P1615" s="78"/>
      <c r="Q1615" s="78"/>
      <c r="R1615" s="92"/>
      <c r="S1615" s="92"/>
      <c r="T1615" s="92"/>
      <c r="U1615" s="92"/>
      <c r="V1615" s="52"/>
      <c r="W1615" s="52"/>
      <c r="X1615" s="52"/>
      <c r="Y1615" s="52"/>
      <c r="Z1615" s="51"/>
      <c r="AA1615" s="73"/>
      <c r="AB1615" s="73"/>
      <c r="AC1615" s="74"/>
      <c r="AD1615" s="81" t="s">
        <v>13578</v>
      </c>
      <c r="AE1615" s="86" t="s">
        <v>13792</v>
      </c>
      <c r="AF1615" s="81">
        <v>2191</v>
      </c>
      <c r="AG1615" s="81">
        <v>1904</v>
      </c>
      <c r="AH1615" s="81">
        <v>14093</v>
      </c>
      <c r="AI1615" s="81">
        <v>15399</v>
      </c>
      <c r="AJ1615" s="81"/>
      <c r="AK1615" s="81" t="s">
        <v>14035</v>
      </c>
      <c r="AL1615" s="81" t="s">
        <v>14202</v>
      </c>
      <c r="AM1615" s="81"/>
      <c r="AN1615" s="81"/>
      <c r="AO1615" s="83">
        <v>40084.713356481479</v>
      </c>
      <c r="AP1615" s="84" t="str">
        <f>HYPERLINK("https://pbs.twimg.com/profile_banners/78064510/1631982341")</f>
        <v>https://pbs.twimg.com/profile_banners/78064510/1631982341</v>
      </c>
      <c r="AQ1615" s="81" t="b">
        <v>0</v>
      </c>
      <c r="AR1615" s="81" t="b">
        <v>0</v>
      </c>
      <c r="AS1615" s="81" t="b">
        <v>1</v>
      </c>
      <c r="AT1615" s="81"/>
      <c r="AU1615" s="81">
        <v>4</v>
      </c>
      <c r="AV1615" s="84" t="str">
        <f>HYPERLINK("https://abs.twimg.com/images/themes/theme1/bg.png")</f>
        <v>https://abs.twimg.com/images/themes/theme1/bg.png</v>
      </c>
      <c r="AW1615" s="81" t="b">
        <v>0</v>
      </c>
      <c r="AX1615" s="81" t="s">
        <v>3728</v>
      </c>
      <c r="AY1615" s="84" t="str">
        <f>HYPERLINK("https://twitter.com/luveiga13")</f>
        <v>https://twitter.com/luveiga13</v>
      </c>
      <c r="AZ1615" s="81" t="s">
        <v>66</v>
      </c>
    </row>
    <row r="1616" spans="1:52" x14ac:dyDescent="0.35">
      <c r="A1616" s="66" t="s">
        <v>12700</v>
      </c>
      <c r="B1616" s="67"/>
      <c r="C1616" s="67"/>
      <c r="D1616" s="68"/>
      <c r="E1616" s="94"/>
      <c r="F1616" s="93" t="str">
        <f>HYPERLINK("https://pbs.twimg.com/profile_images/1050024567480160256/L_qfqrK8_normal.jpg")</f>
        <v>https://pbs.twimg.com/profile_images/1050024567480160256/L_qfqrK8_normal.jpg</v>
      </c>
      <c r="G1616" s="95"/>
      <c r="H1616" s="71"/>
      <c r="I1616" s="72"/>
      <c r="J1616" s="96"/>
      <c r="K1616" s="71" t="s">
        <v>14384</v>
      </c>
      <c r="L1616" s="97"/>
      <c r="M1616" s="76"/>
      <c r="N1616" s="76"/>
      <c r="O1616" s="77"/>
      <c r="P1616" s="78"/>
      <c r="Q1616" s="78"/>
      <c r="R1616" s="92"/>
      <c r="S1616" s="92"/>
      <c r="T1616" s="92"/>
      <c r="U1616" s="92"/>
      <c r="V1616" s="52"/>
      <c r="W1616" s="52"/>
      <c r="X1616" s="52"/>
      <c r="Y1616" s="52"/>
      <c r="Z1616" s="51"/>
      <c r="AA1616" s="73"/>
      <c r="AB1616" s="73"/>
      <c r="AC1616" s="74"/>
      <c r="AD1616" s="81" t="s">
        <v>13579</v>
      </c>
      <c r="AE1616" s="86" t="s">
        <v>13419</v>
      </c>
      <c r="AF1616" s="81">
        <v>269</v>
      </c>
      <c r="AG1616" s="81">
        <v>22</v>
      </c>
      <c r="AH1616" s="81">
        <v>1642</v>
      </c>
      <c r="AI1616" s="81">
        <v>2760</v>
      </c>
      <c r="AJ1616" s="81"/>
      <c r="AK1616" s="81" t="s">
        <v>14036</v>
      </c>
      <c r="AL1616" s="81" t="s">
        <v>11377</v>
      </c>
      <c r="AM1616" s="81"/>
      <c r="AN1616" s="81"/>
      <c r="AO1616" s="83">
        <v>41712.851597222223</v>
      </c>
      <c r="AP1616" s="84" t="str">
        <f>HYPERLINK("https://pbs.twimg.com/profile_banners/2389795748/1519769046")</f>
        <v>https://pbs.twimg.com/profile_banners/2389795748/1519769046</v>
      </c>
      <c r="AQ1616" s="81" t="b">
        <v>0</v>
      </c>
      <c r="AR1616" s="81" t="b">
        <v>0</v>
      </c>
      <c r="AS1616" s="81" t="b">
        <v>1</v>
      </c>
      <c r="AT1616" s="81"/>
      <c r="AU1616" s="81">
        <v>1</v>
      </c>
      <c r="AV1616" s="84" t="str">
        <f>HYPERLINK("https://abs.twimg.com/images/themes/theme1/bg.png")</f>
        <v>https://abs.twimg.com/images/themes/theme1/bg.png</v>
      </c>
      <c r="AW1616" s="81" t="b">
        <v>0</v>
      </c>
      <c r="AX1616" s="81" t="s">
        <v>3728</v>
      </c>
      <c r="AY1616" s="84" t="str">
        <f>HYPERLINK("https://twitter.com/guilhermearrow")</f>
        <v>https://twitter.com/guilhermearrow</v>
      </c>
      <c r="AZ1616" s="81" t="s">
        <v>65</v>
      </c>
    </row>
    <row r="1617" spans="1:52" x14ac:dyDescent="0.35">
      <c r="A1617" s="66" t="s">
        <v>12557</v>
      </c>
      <c r="B1617" s="67"/>
      <c r="C1617" s="67"/>
      <c r="D1617" s="68"/>
      <c r="E1617" s="94"/>
      <c r="F1617" s="93" t="str">
        <f>HYPERLINK("https://abs.twimg.com/sticky/default_profile_images/default_profile_normal.png")</f>
        <v>https://abs.twimg.com/sticky/default_profile_images/default_profile_normal.png</v>
      </c>
      <c r="G1617" s="95"/>
      <c r="H1617" s="71"/>
      <c r="I1617" s="72"/>
      <c r="J1617" s="96"/>
      <c r="K1617" s="71" t="s">
        <v>14385</v>
      </c>
      <c r="L1617" s="97"/>
      <c r="M1617" s="76"/>
      <c r="N1617" s="76"/>
      <c r="O1617" s="77"/>
      <c r="P1617" s="78"/>
      <c r="Q1617" s="78"/>
      <c r="R1617" s="92"/>
      <c r="S1617" s="92"/>
      <c r="T1617" s="92"/>
      <c r="U1617" s="92"/>
      <c r="V1617" s="52"/>
      <c r="W1617" s="52"/>
      <c r="X1617" s="52"/>
      <c r="Y1617" s="52"/>
      <c r="Z1617" s="51"/>
      <c r="AA1617" s="73"/>
      <c r="AB1617" s="73"/>
      <c r="AC1617" s="74"/>
      <c r="AD1617" s="81" t="s">
        <v>13580</v>
      </c>
      <c r="AE1617" s="86" t="s">
        <v>13793</v>
      </c>
      <c r="AF1617" s="81">
        <v>108</v>
      </c>
      <c r="AG1617" s="81">
        <v>4</v>
      </c>
      <c r="AH1617" s="81">
        <v>60</v>
      </c>
      <c r="AI1617" s="81">
        <v>80</v>
      </c>
      <c r="AJ1617" s="81"/>
      <c r="AK1617" s="81"/>
      <c r="AL1617" s="81"/>
      <c r="AM1617" s="81"/>
      <c r="AN1617" s="81"/>
      <c r="AO1617" s="83">
        <v>43480.077835648146</v>
      </c>
      <c r="AP1617" s="81"/>
      <c r="AQ1617" s="81" t="b">
        <v>1</v>
      </c>
      <c r="AR1617" s="81" t="b">
        <v>1</v>
      </c>
      <c r="AS1617" s="81" t="b">
        <v>0</v>
      </c>
      <c r="AT1617" s="81"/>
      <c r="AU1617" s="81">
        <v>0</v>
      </c>
      <c r="AV1617" s="81"/>
      <c r="AW1617" s="81" t="b">
        <v>0</v>
      </c>
      <c r="AX1617" s="81" t="s">
        <v>3728</v>
      </c>
      <c r="AY1617" s="84" t="str">
        <f>HYPERLINK("https://twitter.com/pedro13091398")</f>
        <v>https://twitter.com/pedro13091398</v>
      </c>
      <c r="AZ1617" s="81" t="s">
        <v>66</v>
      </c>
    </row>
    <row r="1618" spans="1:52" x14ac:dyDescent="0.35">
      <c r="A1618" s="66" t="s">
        <v>12701</v>
      </c>
      <c r="B1618" s="67"/>
      <c r="C1618" s="67"/>
      <c r="D1618" s="68"/>
      <c r="E1618" s="94"/>
      <c r="F1618" s="93" t="str">
        <f>HYPERLINK("https://pbs.twimg.com/profile_images/1372962580759724039/vBAvf7o3_normal.jpg")</f>
        <v>https://pbs.twimg.com/profile_images/1372962580759724039/vBAvf7o3_normal.jpg</v>
      </c>
      <c r="G1618" s="95"/>
      <c r="H1618" s="71"/>
      <c r="I1618" s="72"/>
      <c r="J1618" s="96"/>
      <c r="K1618" s="71" t="s">
        <v>14386</v>
      </c>
      <c r="L1618" s="97"/>
      <c r="M1618" s="76"/>
      <c r="N1618" s="76"/>
      <c r="O1618" s="77"/>
      <c r="P1618" s="78"/>
      <c r="Q1618" s="78"/>
      <c r="R1618" s="92"/>
      <c r="S1618" s="92"/>
      <c r="T1618" s="92"/>
      <c r="U1618" s="92"/>
      <c r="V1618" s="52"/>
      <c r="W1618" s="52"/>
      <c r="X1618" s="52"/>
      <c r="Y1618" s="52"/>
      <c r="Z1618" s="51"/>
      <c r="AA1618" s="73"/>
      <c r="AB1618" s="73"/>
      <c r="AC1618" s="74"/>
      <c r="AD1618" s="81" t="s">
        <v>13581</v>
      </c>
      <c r="AE1618" s="86" t="s">
        <v>13794</v>
      </c>
      <c r="AF1618" s="81">
        <v>567</v>
      </c>
      <c r="AG1618" s="81">
        <v>1081</v>
      </c>
      <c r="AH1618" s="81">
        <v>1366</v>
      </c>
      <c r="AI1618" s="81">
        <v>1878</v>
      </c>
      <c r="AJ1618" s="81"/>
      <c r="AK1618" s="81" t="s">
        <v>14037</v>
      </c>
      <c r="AL1618" s="81" t="s">
        <v>10986</v>
      </c>
      <c r="AM1618" s="84" t="str">
        <f>HYPERLINK("https://t.co/6EgaUwFXMR")</f>
        <v>https://t.co/6EgaUwFXMR</v>
      </c>
      <c r="AN1618" s="81"/>
      <c r="AO1618" s="83">
        <v>42992.776782407411</v>
      </c>
      <c r="AP1618" s="84" t="str">
        <f>HYPERLINK("https://pbs.twimg.com/profile_banners/908399589664927744/1505418278")</f>
        <v>https://pbs.twimg.com/profile_banners/908399589664927744/1505418278</v>
      </c>
      <c r="AQ1618" s="81" t="b">
        <v>0</v>
      </c>
      <c r="AR1618" s="81" t="b">
        <v>0</v>
      </c>
      <c r="AS1618" s="81" t="b">
        <v>0</v>
      </c>
      <c r="AT1618" s="81"/>
      <c r="AU1618" s="81">
        <v>19</v>
      </c>
      <c r="AV1618" s="84" t="str">
        <f>HYPERLINK("https://abs.twimg.com/images/themes/theme1/bg.png")</f>
        <v>https://abs.twimg.com/images/themes/theme1/bg.png</v>
      </c>
      <c r="AW1618" s="81" t="b">
        <v>1</v>
      </c>
      <c r="AX1618" s="81" t="s">
        <v>3728</v>
      </c>
      <c r="AY1618" s="84" t="str">
        <f>HYPERLINK("https://twitter.com/gabrielavinhal")</f>
        <v>https://twitter.com/gabrielavinhal</v>
      </c>
      <c r="AZ1618" s="81" t="s">
        <v>65</v>
      </c>
    </row>
    <row r="1619" spans="1:52" x14ac:dyDescent="0.35">
      <c r="A1619" s="66" t="s">
        <v>12702</v>
      </c>
      <c r="B1619" s="67"/>
      <c r="C1619" s="67"/>
      <c r="D1619" s="68"/>
      <c r="E1619" s="94"/>
      <c r="F1619" s="93" t="str">
        <f>HYPERLINK("https://pbs.twimg.com/profile_images/1251957093168529414/Y_Q_66is_normal.jpg")</f>
        <v>https://pbs.twimg.com/profile_images/1251957093168529414/Y_Q_66is_normal.jpg</v>
      </c>
      <c r="G1619" s="95"/>
      <c r="H1619" s="71"/>
      <c r="I1619" s="72"/>
      <c r="J1619" s="96"/>
      <c r="K1619" s="71" t="s">
        <v>14387</v>
      </c>
      <c r="L1619" s="97"/>
      <c r="M1619" s="76"/>
      <c r="N1619" s="76"/>
      <c r="O1619" s="77"/>
      <c r="P1619" s="78"/>
      <c r="Q1619" s="78"/>
      <c r="R1619" s="92"/>
      <c r="S1619" s="92"/>
      <c r="T1619" s="92"/>
      <c r="U1619" s="92"/>
      <c r="V1619" s="52"/>
      <c r="W1619" s="52"/>
      <c r="X1619" s="52"/>
      <c r="Y1619" s="52"/>
      <c r="Z1619" s="51"/>
      <c r="AA1619" s="73"/>
      <c r="AB1619" s="73"/>
      <c r="AC1619" s="74"/>
      <c r="AD1619" s="81" t="s">
        <v>13582</v>
      </c>
      <c r="AE1619" s="86" t="s">
        <v>13420</v>
      </c>
      <c r="AF1619" s="81">
        <v>2618</v>
      </c>
      <c r="AG1619" s="81">
        <v>37785</v>
      </c>
      <c r="AH1619" s="81">
        <v>27093</v>
      </c>
      <c r="AI1619" s="81">
        <v>83170</v>
      </c>
      <c r="AJ1619" s="81"/>
      <c r="AK1619" s="81" t="s">
        <v>14038</v>
      </c>
      <c r="AL1619" s="81" t="s">
        <v>14203</v>
      </c>
      <c r="AM1619" s="84" t="str">
        <f>HYPERLINK("https://t.co/l1iqB7H8A8")</f>
        <v>https://t.co/l1iqB7H8A8</v>
      </c>
      <c r="AN1619" s="81"/>
      <c r="AO1619" s="83">
        <v>40016.634687500002</v>
      </c>
      <c r="AP1619" s="84" t="str">
        <f>HYPERLINK("https://pbs.twimg.com/profile_banners/59150875/1581130026")</f>
        <v>https://pbs.twimg.com/profile_banners/59150875/1581130026</v>
      </c>
      <c r="AQ1619" s="81" t="b">
        <v>0</v>
      </c>
      <c r="AR1619" s="81" t="b">
        <v>0</v>
      </c>
      <c r="AS1619" s="81" t="b">
        <v>1</v>
      </c>
      <c r="AT1619" s="81"/>
      <c r="AU1619" s="81">
        <v>237</v>
      </c>
      <c r="AV1619" s="84" t="str">
        <f>HYPERLINK("https://abs.twimg.com/images/themes/theme9/bg.gif")</f>
        <v>https://abs.twimg.com/images/themes/theme9/bg.gif</v>
      </c>
      <c r="AW1619" s="81" t="b">
        <v>1</v>
      </c>
      <c r="AX1619" s="81" t="s">
        <v>3728</v>
      </c>
      <c r="AY1619" s="84" t="str">
        <f>HYPERLINK("https://twitter.com/reporterenato")</f>
        <v>https://twitter.com/reporterenato</v>
      </c>
      <c r="AZ1619" s="81" t="s">
        <v>65</v>
      </c>
    </row>
    <row r="1620" spans="1:52" x14ac:dyDescent="0.35">
      <c r="A1620" s="66" t="s">
        <v>12558</v>
      </c>
      <c r="B1620" s="67"/>
      <c r="C1620" s="67"/>
      <c r="D1620" s="68"/>
      <c r="E1620" s="94"/>
      <c r="F1620" s="93" t="str">
        <f>HYPERLINK("https://pbs.twimg.com/profile_images/1443193490632953864/5UTWKS2N_normal.jpg")</f>
        <v>https://pbs.twimg.com/profile_images/1443193490632953864/5UTWKS2N_normal.jpg</v>
      </c>
      <c r="G1620" s="95"/>
      <c r="H1620" s="71"/>
      <c r="I1620" s="72"/>
      <c r="J1620" s="96"/>
      <c r="K1620" s="71" t="s">
        <v>14388</v>
      </c>
      <c r="L1620" s="97"/>
      <c r="M1620" s="76"/>
      <c r="N1620" s="76"/>
      <c r="O1620" s="77"/>
      <c r="P1620" s="78"/>
      <c r="Q1620" s="78"/>
      <c r="R1620" s="92"/>
      <c r="S1620" s="92"/>
      <c r="T1620" s="92"/>
      <c r="U1620" s="92"/>
      <c r="V1620" s="52"/>
      <c r="W1620" s="52"/>
      <c r="X1620" s="52"/>
      <c r="Y1620" s="52"/>
      <c r="Z1620" s="51"/>
      <c r="AA1620" s="73"/>
      <c r="AB1620" s="73"/>
      <c r="AC1620" s="74"/>
      <c r="AD1620" s="81" t="s">
        <v>13583</v>
      </c>
      <c r="AE1620" s="86" t="s">
        <v>13795</v>
      </c>
      <c r="AF1620" s="81">
        <v>384</v>
      </c>
      <c r="AG1620" s="81">
        <v>343</v>
      </c>
      <c r="AH1620" s="81">
        <v>52940</v>
      </c>
      <c r="AI1620" s="81">
        <v>34690</v>
      </c>
      <c r="AJ1620" s="81"/>
      <c r="AK1620" s="81" t="s">
        <v>14039</v>
      </c>
      <c r="AL1620" s="81" t="s">
        <v>14204</v>
      </c>
      <c r="AM1620" s="81"/>
      <c r="AN1620" s="81"/>
      <c r="AO1620" s="83">
        <v>43767.388240740744</v>
      </c>
      <c r="AP1620" s="84" t="str">
        <f>HYPERLINK("https://pbs.twimg.com/profile_banners/1189109329271508992/1622817516")</f>
        <v>https://pbs.twimg.com/profile_banners/1189109329271508992/1622817516</v>
      </c>
      <c r="AQ1620" s="81" t="b">
        <v>1</v>
      </c>
      <c r="AR1620" s="81" t="b">
        <v>0</v>
      </c>
      <c r="AS1620" s="81" t="b">
        <v>0</v>
      </c>
      <c r="AT1620" s="81"/>
      <c r="AU1620" s="81">
        <v>5</v>
      </c>
      <c r="AV1620" s="81"/>
      <c r="AW1620" s="81" t="b">
        <v>0</v>
      </c>
      <c r="AX1620" s="81" t="s">
        <v>3728</v>
      </c>
      <c r="AY1620" s="84" t="str">
        <f>HYPERLINK("https://twitter.com/iusedtobed")</f>
        <v>https://twitter.com/iusedtobed</v>
      </c>
      <c r="AZ1620" s="81" t="s">
        <v>66</v>
      </c>
    </row>
    <row r="1621" spans="1:52" x14ac:dyDescent="0.35">
      <c r="A1621" s="66" t="s">
        <v>12564</v>
      </c>
      <c r="B1621" s="67"/>
      <c r="C1621" s="67"/>
      <c r="D1621" s="68"/>
      <c r="E1621" s="94"/>
      <c r="F1621" s="93" t="str">
        <f>HYPERLINK("https://pbs.twimg.com/profile_images/1443194304923504648/6NrxJgvH_normal.jpg")</f>
        <v>https://pbs.twimg.com/profile_images/1443194304923504648/6NrxJgvH_normal.jpg</v>
      </c>
      <c r="G1621" s="95"/>
      <c r="H1621" s="71"/>
      <c r="I1621" s="72"/>
      <c r="J1621" s="96"/>
      <c r="K1621" s="71" t="s">
        <v>14389</v>
      </c>
      <c r="L1621" s="97"/>
      <c r="M1621" s="76"/>
      <c r="N1621" s="76"/>
      <c r="O1621" s="77"/>
      <c r="P1621" s="78"/>
      <c r="Q1621" s="78"/>
      <c r="R1621" s="92"/>
      <c r="S1621" s="92"/>
      <c r="T1621" s="92"/>
      <c r="U1621" s="92"/>
      <c r="V1621" s="52"/>
      <c r="W1621" s="52"/>
      <c r="X1621" s="52"/>
      <c r="Y1621" s="52"/>
      <c r="Z1621" s="51"/>
      <c r="AA1621" s="73"/>
      <c r="AB1621" s="73"/>
      <c r="AC1621" s="74"/>
      <c r="AD1621" s="81" t="s">
        <v>13584</v>
      </c>
      <c r="AE1621" s="86" t="s">
        <v>13796</v>
      </c>
      <c r="AF1621" s="81">
        <v>895</v>
      </c>
      <c r="AG1621" s="81">
        <v>652</v>
      </c>
      <c r="AH1621" s="81">
        <v>49206</v>
      </c>
      <c r="AI1621" s="81">
        <v>90450</v>
      </c>
      <c r="AJ1621" s="81"/>
      <c r="AK1621" s="81" t="s">
        <v>14040</v>
      </c>
      <c r="AL1621" s="81" t="s">
        <v>14205</v>
      </c>
      <c r="AM1621" s="81"/>
      <c r="AN1621" s="81"/>
      <c r="AO1621" s="83">
        <v>41211.708356481482</v>
      </c>
      <c r="AP1621" s="84" t="str">
        <f>HYPERLINK("https://pbs.twimg.com/profile_banners/912829256/1607954657")</f>
        <v>https://pbs.twimg.com/profile_banners/912829256/1607954657</v>
      </c>
      <c r="AQ1621" s="81" t="b">
        <v>0</v>
      </c>
      <c r="AR1621" s="81" t="b">
        <v>0</v>
      </c>
      <c r="AS1621" s="81" t="b">
        <v>1</v>
      </c>
      <c r="AT1621" s="81"/>
      <c r="AU1621" s="81">
        <v>4</v>
      </c>
      <c r="AV1621" s="84" t="str">
        <f>HYPERLINK("https://abs.twimg.com/images/themes/theme13/bg.gif")</f>
        <v>https://abs.twimg.com/images/themes/theme13/bg.gif</v>
      </c>
      <c r="AW1621" s="81" t="b">
        <v>0</v>
      </c>
      <c r="AX1621" s="81" t="s">
        <v>3728</v>
      </c>
      <c r="AY1621" s="84" t="str">
        <f>HYPERLINK("https://twitter.com/heartfullofhwaa")</f>
        <v>https://twitter.com/heartfullofhwaa</v>
      </c>
      <c r="AZ1621" s="81" t="s">
        <v>66</v>
      </c>
    </row>
    <row r="1622" spans="1:52" x14ac:dyDescent="0.35">
      <c r="A1622" s="66" t="s">
        <v>12559</v>
      </c>
      <c r="B1622" s="67"/>
      <c r="C1622" s="67"/>
      <c r="D1622" s="68"/>
      <c r="E1622" s="94"/>
      <c r="F1622" s="93" t="str">
        <f>HYPERLINK("https://pbs.twimg.com/profile_images/1442469496103464962/N2fiJrYx_normal.jpg")</f>
        <v>https://pbs.twimg.com/profile_images/1442469496103464962/N2fiJrYx_normal.jpg</v>
      </c>
      <c r="G1622" s="95"/>
      <c r="H1622" s="71"/>
      <c r="I1622" s="72"/>
      <c r="J1622" s="96"/>
      <c r="K1622" s="71" t="s">
        <v>14390</v>
      </c>
      <c r="L1622" s="97"/>
      <c r="M1622" s="76"/>
      <c r="N1622" s="76"/>
      <c r="O1622" s="77"/>
      <c r="P1622" s="78"/>
      <c r="Q1622" s="78"/>
      <c r="R1622" s="92"/>
      <c r="S1622" s="92"/>
      <c r="T1622" s="92"/>
      <c r="U1622" s="92"/>
      <c r="V1622" s="52"/>
      <c r="W1622" s="52"/>
      <c r="X1622" s="52"/>
      <c r="Y1622" s="52"/>
      <c r="Z1622" s="51"/>
      <c r="AA1622" s="73"/>
      <c r="AB1622" s="73"/>
      <c r="AC1622" s="74"/>
      <c r="AD1622" s="81" t="s">
        <v>13585</v>
      </c>
      <c r="AE1622" s="86" t="s">
        <v>13797</v>
      </c>
      <c r="AF1622" s="81">
        <v>418</v>
      </c>
      <c r="AG1622" s="81">
        <v>429</v>
      </c>
      <c r="AH1622" s="81">
        <v>17622</v>
      </c>
      <c r="AI1622" s="81">
        <v>3666</v>
      </c>
      <c r="AJ1622" s="81"/>
      <c r="AK1622" s="81" t="s">
        <v>14041</v>
      </c>
      <c r="AL1622" s="81" t="s">
        <v>14206</v>
      </c>
      <c r="AM1622" s="84" t="str">
        <f>HYPERLINK("https://t.co/gITNruLHEb")</f>
        <v>https://t.co/gITNruLHEb</v>
      </c>
      <c r="AN1622" s="81"/>
      <c r="AO1622" s="83">
        <v>43742.620034722226</v>
      </c>
      <c r="AP1622" s="84" t="str">
        <f>HYPERLINK("https://pbs.twimg.com/profile_banners/1180133658419576832/1631621904")</f>
        <v>https://pbs.twimg.com/profile_banners/1180133658419576832/1631621904</v>
      </c>
      <c r="AQ1622" s="81" t="b">
        <v>1</v>
      </c>
      <c r="AR1622" s="81" t="b">
        <v>0</v>
      </c>
      <c r="AS1622" s="81" t="b">
        <v>0</v>
      </c>
      <c r="AT1622" s="81"/>
      <c r="AU1622" s="81">
        <v>6</v>
      </c>
      <c r="AV1622" s="81"/>
      <c r="AW1622" s="81" t="b">
        <v>0</v>
      </c>
      <c r="AX1622" s="81" t="s">
        <v>3728</v>
      </c>
      <c r="AY1622" s="84" t="str">
        <f>HYPERLINK("https://twitter.com/xchsan99")</f>
        <v>https://twitter.com/xchsan99</v>
      </c>
      <c r="AZ1622" s="81" t="s">
        <v>66</v>
      </c>
    </row>
    <row r="1623" spans="1:52" x14ac:dyDescent="0.35">
      <c r="A1623" s="66" t="s">
        <v>12560</v>
      </c>
      <c r="B1623" s="67"/>
      <c r="C1623" s="67"/>
      <c r="D1623" s="68"/>
      <c r="E1623" s="94"/>
      <c r="F1623" s="93" t="str">
        <f>HYPERLINK("https://pbs.twimg.com/profile_images/1442181847358717960/FwzZS2N1_normal.jpg")</f>
        <v>https://pbs.twimg.com/profile_images/1442181847358717960/FwzZS2N1_normal.jpg</v>
      </c>
      <c r="G1623" s="95"/>
      <c r="H1623" s="71"/>
      <c r="I1623" s="72"/>
      <c r="J1623" s="96"/>
      <c r="K1623" s="71" t="s">
        <v>14391</v>
      </c>
      <c r="L1623" s="97"/>
      <c r="M1623" s="76"/>
      <c r="N1623" s="76"/>
      <c r="O1623" s="77"/>
      <c r="P1623" s="78"/>
      <c r="Q1623" s="78"/>
      <c r="R1623" s="92"/>
      <c r="S1623" s="92"/>
      <c r="T1623" s="92"/>
      <c r="U1623" s="92"/>
      <c r="V1623" s="52"/>
      <c r="W1623" s="52"/>
      <c r="X1623" s="52"/>
      <c r="Y1623" s="52"/>
      <c r="Z1623" s="51"/>
      <c r="AA1623" s="73"/>
      <c r="AB1623" s="73"/>
      <c r="AC1623" s="74"/>
      <c r="AD1623" s="81" t="s">
        <v>13586</v>
      </c>
      <c r="AE1623" s="86" t="s">
        <v>13798</v>
      </c>
      <c r="AF1623" s="81">
        <v>764</v>
      </c>
      <c r="AG1623" s="81">
        <v>578</v>
      </c>
      <c r="AH1623" s="81">
        <v>62435</v>
      </c>
      <c r="AI1623" s="81">
        <v>91644</v>
      </c>
      <c r="AJ1623" s="81"/>
      <c r="AK1623" s="81" t="s">
        <v>14042</v>
      </c>
      <c r="AL1623" s="81" t="s">
        <v>14207</v>
      </c>
      <c r="AM1623" s="81"/>
      <c r="AN1623" s="81"/>
      <c r="AO1623" s="83">
        <v>41377.601006944446</v>
      </c>
      <c r="AP1623" s="84" t="str">
        <f>HYPERLINK("https://pbs.twimg.com/profile_banners/1349382169/1632677920")</f>
        <v>https://pbs.twimg.com/profile_banners/1349382169/1632677920</v>
      </c>
      <c r="AQ1623" s="81" t="b">
        <v>1</v>
      </c>
      <c r="AR1623" s="81" t="b">
        <v>0</v>
      </c>
      <c r="AS1623" s="81" t="b">
        <v>0</v>
      </c>
      <c r="AT1623" s="81"/>
      <c r="AU1623" s="81">
        <v>8</v>
      </c>
      <c r="AV1623" s="84" t="str">
        <f>HYPERLINK("https://abs.twimg.com/images/themes/theme1/bg.png")</f>
        <v>https://abs.twimg.com/images/themes/theme1/bg.png</v>
      </c>
      <c r="AW1623" s="81" t="b">
        <v>0</v>
      </c>
      <c r="AX1623" s="81" t="s">
        <v>3728</v>
      </c>
      <c r="AY1623" s="84" t="str">
        <f>HYPERLINK("https://twitter.com/kimnana1987")</f>
        <v>https://twitter.com/kimnana1987</v>
      </c>
      <c r="AZ1623" s="81" t="s">
        <v>66</v>
      </c>
    </row>
    <row r="1624" spans="1:52" x14ac:dyDescent="0.35">
      <c r="A1624" s="66" t="s">
        <v>12561</v>
      </c>
      <c r="B1624" s="67"/>
      <c r="C1624" s="67"/>
      <c r="D1624" s="68"/>
      <c r="E1624" s="94"/>
      <c r="F1624" s="93" t="str">
        <f>HYPERLINK("https://pbs.twimg.com/profile_images/1443273871012941824/46DN4SWD_normal.jpg")</f>
        <v>https://pbs.twimg.com/profile_images/1443273871012941824/46DN4SWD_normal.jpg</v>
      </c>
      <c r="G1624" s="95"/>
      <c r="H1624" s="71"/>
      <c r="I1624" s="72"/>
      <c r="J1624" s="96"/>
      <c r="K1624" s="71" t="s">
        <v>14392</v>
      </c>
      <c r="L1624" s="97"/>
      <c r="M1624" s="76"/>
      <c r="N1624" s="76"/>
      <c r="O1624" s="77"/>
      <c r="P1624" s="78"/>
      <c r="Q1624" s="78"/>
      <c r="R1624" s="92"/>
      <c r="S1624" s="92"/>
      <c r="T1624" s="92"/>
      <c r="U1624" s="92"/>
      <c r="V1624" s="52"/>
      <c r="W1624" s="52"/>
      <c r="X1624" s="52"/>
      <c r="Y1624" s="52"/>
      <c r="Z1624" s="51"/>
      <c r="AA1624" s="73"/>
      <c r="AB1624" s="73"/>
      <c r="AC1624" s="74"/>
      <c r="AD1624" s="81" t="s">
        <v>13587</v>
      </c>
      <c r="AE1624" s="86" t="s">
        <v>13799</v>
      </c>
      <c r="AF1624" s="81">
        <v>1383</v>
      </c>
      <c r="AG1624" s="81">
        <v>1123</v>
      </c>
      <c r="AH1624" s="81">
        <v>109796</v>
      </c>
      <c r="AI1624" s="81">
        <v>135334</v>
      </c>
      <c r="AJ1624" s="81"/>
      <c r="AK1624" s="81" t="s">
        <v>14043</v>
      </c>
      <c r="AL1624" s="81" t="s">
        <v>14208</v>
      </c>
      <c r="AM1624" s="81"/>
      <c r="AN1624" s="81"/>
      <c r="AO1624" s="83">
        <v>42732.752835648149</v>
      </c>
      <c r="AP1624" s="84" t="str">
        <f>HYPERLINK("https://pbs.twimg.com/profile_banners/814170069303316480/1613039396")</f>
        <v>https://pbs.twimg.com/profile_banners/814170069303316480/1613039396</v>
      </c>
      <c r="AQ1624" s="81" t="b">
        <v>1</v>
      </c>
      <c r="AR1624" s="81" t="b">
        <v>0</v>
      </c>
      <c r="AS1624" s="81" t="b">
        <v>0</v>
      </c>
      <c r="AT1624" s="81"/>
      <c r="AU1624" s="81">
        <v>16</v>
      </c>
      <c r="AV1624" s="81"/>
      <c r="AW1624" s="81" t="b">
        <v>0</v>
      </c>
      <c r="AX1624" s="81" t="s">
        <v>3728</v>
      </c>
      <c r="AY1624" s="84" t="str">
        <f>HYPERLINK("https://twitter.com/yehetddeonghwa")</f>
        <v>https://twitter.com/yehetddeonghwa</v>
      </c>
      <c r="AZ1624" s="81" t="s">
        <v>66</v>
      </c>
    </row>
    <row r="1625" spans="1:52" x14ac:dyDescent="0.35">
      <c r="A1625" s="66" t="s">
        <v>12562</v>
      </c>
      <c r="B1625" s="67"/>
      <c r="C1625" s="67"/>
      <c r="D1625" s="68"/>
      <c r="E1625" s="94"/>
      <c r="F1625" s="93" t="str">
        <f>HYPERLINK("https://pbs.twimg.com/profile_images/1438847903959699458/EdXFUC5m_normal.jpg")</f>
        <v>https://pbs.twimg.com/profile_images/1438847903959699458/EdXFUC5m_normal.jpg</v>
      </c>
      <c r="G1625" s="95"/>
      <c r="H1625" s="71"/>
      <c r="I1625" s="72"/>
      <c r="J1625" s="96"/>
      <c r="K1625" s="71" t="s">
        <v>14393</v>
      </c>
      <c r="L1625" s="97"/>
      <c r="M1625" s="76"/>
      <c r="N1625" s="76"/>
      <c r="O1625" s="77"/>
      <c r="P1625" s="78"/>
      <c r="Q1625" s="78"/>
      <c r="R1625" s="92"/>
      <c r="S1625" s="92"/>
      <c r="T1625" s="92"/>
      <c r="U1625" s="92"/>
      <c r="V1625" s="52"/>
      <c r="W1625" s="52"/>
      <c r="X1625" s="52"/>
      <c r="Y1625" s="52"/>
      <c r="Z1625" s="51"/>
      <c r="AA1625" s="73"/>
      <c r="AB1625" s="73"/>
      <c r="AC1625" s="74"/>
      <c r="AD1625" s="81" t="s">
        <v>13588</v>
      </c>
      <c r="AE1625" s="86" t="s">
        <v>13800</v>
      </c>
      <c r="AF1625" s="81">
        <v>504</v>
      </c>
      <c r="AG1625" s="81">
        <v>715</v>
      </c>
      <c r="AH1625" s="81">
        <v>15529</v>
      </c>
      <c r="AI1625" s="81">
        <v>1857</v>
      </c>
      <c r="AJ1625" s="81"/>
      <c r="AK1625" s="81" t="s">
        <v>14044</v>
      </c>
      <c r="AL1625" s="81" t="s">
        <v>14209</v>
      </c>
      <c r="AM1625" s="84" t="str">
        <f>HYPERLINK("https://t.co/qBKsk9QaCI")</f>
        <v>https://t.co/qBKsk9QaCI</v>
      </c>
      <c r="AN1625" s="81"/>
      <c r="AO1625" s="83">
        <v>43610.650729166664</v>
      </c>
      <c r="AP1625" s="84" t="str">
        <f>HYPERLINK("https://pbs.twimg.com/profile_banners/1132309612600864770/1631883323")</f>
        <v>https://pbs.twimg.com/profile_banners/1132309612600864770/1631883323</v>
      </c>
      <c r="AQ1625" s="81" t="b">
        <v>1</v>
      </c>
      <c r="AR1625" s="81" t="b">
        <v>0</v>
      </c>
      <c r="AS1625" s="81" t="b">
        <v>0</v>
      </c>
      <c r="AT1625" s="81"/>
      <c r="AU1625" s="81">
        <v>4</v>
      </c>
      <c r="AV1625" s="81"/>
      <c r="AW1625" s="81" t="b">
        <v>0</v>
      </c>
      <c r="AX1625" s="81" t="s">
        <v>3728</v>
      </c>
      <c r="AY1625" s="84" t="str">
        <f>HYPERLINK("https://twitter.com/qtshwajy")</f>
        <v>https://twitter.com/qtshwajy</v>
      </c>
      <c r="AZ1625" s="81" t="s">
        <v>66</v>
      </c>
    </row>
    <row r="1626" spans="1:52" x14ac:dyDescent="0.35">
      <c r="A1626" s="66" t="s">
        <v>237</v>
      </c>
      <c r="B1626" s="67"/>
      <c r="C1626" s="67"/>
      <c r="D1626" s="68"/>
      <c r="E1626" s="94"/>
      <c r="F1626" s="93" t="str">
        <f>HYPERLINK("https://pbs.twimg.com/profile_images/1440255806717382661/nIfujllw_normal.jpg")</f>
        <v>https://pbs.twimg.com/profile_images/1440255806717382661/nIfujllw_normal.jpg</v>
      </c>
      <c r="G1626" s="95"/>
      <c r="H1626" s="71"/>
      <c r="I1626" s="72"/>
      <c r="J1626" s="96"/>
      <c r="K1626" s="71" t="s">
        <v>14394</v>
      </c>
      <c r="L1626" s="97"/>
      <c r="M1626" s="76"/>
      <c r="N1626" s="76"/>
      <c r="O1626" s="77"/>
      <c r="P1626" s="78"/>
      <c r="Q1626" s="78"/>
      <c r="R1626" s="92"/>
      <c r="S1626" s="92"/>
      <c r="T1626" s="92"/>
      <c r="U1626" s="92"/>
      <c r="V1626" s="52"/>
      <c r="W1626" s="52"/>
      <c r="X1626" s="52"/>
      <c r="Y1626" s="52"/>
      <c r="Z1626" s="51"/>
      <c r="AA1626" s="73"/>
      <c r="AB1626" s="73"/>
      <c r="AC1626" s="74"/>
      <c r="AD1626" s="81" t="s">
        <v>13589</v>
      </c>
      <c r="AE1626" s="86" t="s">
        <v>2707</v>
      </c>
      <c r="AF1626" s="81">
        <v>80</v>
      </c>
      <c r="AG1626" s="81">
        <v>48</v>
      </c>
      <c r="AH1626" s="81">
        <v>1669</v>
      </c>
      <c r="AI1626" s="81">
        <v>325</v>
      </c>
      <c r="AJ1626" s="81"/>
      <c r="AK1626" s="81" t="s">
        <v>3105</v>
      </c>
      <c r="AL1626" s="81" t="s">
        <v>3536</v>
      </c>
      <c r="AM1626" s="81"/>
      <c r="AN1626" s="81"/>
      <c r="AO1626" s="83">
        <v>44336.08803240741</v>
      </c>
      <c r="AP1626" s="84" t="str">
        <f>HYPERLINK("https://pbs.twimg.com/profile_banners/1395199185641644033/1631119971")</f>
        <v>https://pbs.twimg.com/profile_banners/1395199185641644033/1631119971</v>
      </c>
      <c r="AQ1626" s="81" t="b">
        <v>1</v>
      </c>
      <c r="AR1626" s="81" t="b">
        <v>0</v>
      </c>
      <c r="AS1626" s="81" t="b">
        <v>0</v>
      </c>
      <c r="AT1626" s="81"/>
      <c r="AU1626" s="81">
        <v>0</v>
      </c>
      <c r="AV1626" s="81"/>
      <c r="AW1626" s="81" t="b">
        <v>0</v>
      </c>
      <c r="AX1626" s="81" t="s">
        <v>3728</v>
      </c>
      <c r="AY1626" s="84" t="str">
        <f>HYPERLINK("https://twitter.com/stayeri1")</f>
        <v>https://twitter.com/stayeri1</v>
      </c>
      <c r="AZ1626" s="81" t="s">
        <v>66</v>
      </c>
    </row>
    <row r="1627" spans="1:52" x14ac:dyDescent="0.35">
      <c r="A1627" s="66" t="s">
        <v>12563</v>
      </c>
      <c r="B1627" s="67"/>
      <c r="C1627" s="67"/>
      <c r="D1627" s="68"/>
      <c r="E1627" s="94"/>
      <c r="F1627" s="93" t="str">
        <f>HYPERLINK("https://pbs.twimg.com/profile_images/472735222622990336/BVPwRu1y_normal.png")</f>
        <v>https://pbs.twimg.com/profile_images/472735222622990336/BVPwRu1y_normal.png</v>
      </c>
      <c r="G1627" s="95"/>
      <c r="H1627" s="71"/>
      <c r="I1627" s="72"/>
      <c r="J1627" s="96"/>
      <c r="K1627" s="71" t="s">
        <v>14395</v>
      </c>
      <c r="L1627" s="97"/>
      <c r="M1627" s="76"/>
      <c r="N1627" s="76"/>
      <c r="O1627" s="77"/>
      <c r="P1627" s="78"/>
      <c r="Q1627" s="78"/>
      <c r="R1627" s="92"/>
      <c r="S1627" s="92"/>
      <c r="T1627" s="92"/>
      <c r="U1627" s="92"/>
      <c r="V1627" s="52"/>
      <c r="W1627" s="52"/>
      <c r="X1627" s="52"/>
      <c r="Y1627" s="52"/>
      <c r="Z1627" s="51"/>
      <c r="AA1627" s="73"/>
      <c r="AB1627" s="73"/>
      <c r="AC1627" s="74"/>
      <c r="AD1627" s="81" t="s">
        <v>13590</v>
      </c>
      <c r="AE1627" s="86" t="s">
        <v>13801</v>
      </c>
      <c r="AF1627" s="81">
        <v>16</v>
      </c>
      <c r="AG1627" s="81">
        <v>159</v>
      </c>
      <c r="AH1627" s="81">
        <v>1312</v>
      </c>
      <c r="AI1627" s="81">
        <v>6</v>
      </c>
      <c r="AJ1627" s="81"/>
      <c r="AK1627" s="81"/>
      <c r="AL1627" s="81" t="s">
        <v>11237</v>
      </c>
      <c r="AM1627" s="84" t="str">
        <f>HYPERLINK("https://t.co/to2ck2sO0o")</f>
        <v>https://t.co/to2ck2sO0o</v>
      </c>
      <c r="AN1627" s="81"/>
      <c r="AO1627" s="83">
        <v>41445.730393518519</v>
      </c>
      <c r="AP1627" s="84" t="str">
        <f>HYPERLINK("https://pbs.twimg.com/profile_banners/1534514683/1509829848")</f>
        <v>https://pbs.twimg.com/profile_banners/1534514683/1509829848</v>
      </c>
      <c r="AQ1627" s="81" t="b">
        <v>0</v>
      </c>
      <c r="AR1627" s="81" t="b">
        <v>0</v>
      </c>
      <c r="AS1627" s="81" t="b">
        <v>0</v>
      </c>
      <c r="AT1627" s="81"/>
      <c r="AU1627" s="81">
        <v>3</v>
      </c>
      <c r="AV1627" s="84" t="str">
        <f>HYPERLINK("https://abs.twimg.com/images/themes/theme1/bg.png")</f>
        <v>https://abs.twimg.com/images/themes/theme1/bg.png</v>
      </c>
      <c r="AW1627" s="81" t="b">
        <v>0</v>
      </c>
      <c r="AX1627" s="81" t="s">
        <v>3728</v>
      </c>
      <c r="AY1627" s="84" t="str">
        <f>HYPERLINK("https://twitter.com/cascais24_")</f>
        <v>https://twitter.com/cascais24_</v>
      </c>
      <c r="AZ1627" s="81" t="s">
        <v>66</v>
      </c>
    </row>
    <row r="1628" spans="1:52" x14ac:dyDescent="0.35">
      <c r="A1628" s="66" t="s">
        <v>12565</v>
      </c>
      <c r="B1628" s="67"/>
      <c r="C1628" s="67"/>
      <c r="D1628" s="68"/>
      <c r="E1628" s="94"/>
      <c r="F1628" s="93" t="str">
        <f>HYPERLINK("https://pbs.twimg.com/profile_images/1430847085700542464/Vt_PjwUw_normal.jpg")</f>
        <v>https://pbs.twimg.com/profile_images/1430847085700542464/Vt_PjwUw_normal.jpg</v>
      </c>
      <c r="G1628" s="95"/>
      <c r="H1628" s="71"/>
      <c r="I1628" s="72"/>
      <c r="J1628" s="96"/>
      <c r="K1628" s="71" t="s">
        <v>14396</v>
      </c>
      <c r="L1628" s="97"/>
      <c r="M1628" s="76"/>
      <c r="N1628" s="76"/>
      <c r="O1628" s="77"/>
      <c r="P1628" s="78"/>
      <c r="Q1628" s="78"/>
      <c r="R1628" s="92"/>
      <c r="S1628" s="92"/>
      <c r="T1628" s="92"/>
      <c r="U1628" s="92"/>
      <c r="V1628" s="52"/>
      <c r="W1628" s="52"/>
      <c r="X1628" s="52"/>
      <c r="Y1628" s="52"/>
      <c r="Z1628" s="51"/>
      <c r="AA1628" s="73"/>
      <c r="AB1628" s="73"/>
      <c r="AC1628" s="74"/>
      <c r="AD1628" s="81" t="s">
        <v>13591</v>
      </c>
      <c r="AE1628" s="86" t="s">
        <v>13802</v>
      </c>
      <c r="AF1628" s="81">
        <v>432</v>
      </c>
      <c r="AG1628" s="81">
        <v>543</v>
      </c>
      <c r="AH1628" s="81">
        <v>23183</v>
      </c>
      <c r="AI1628" s="81">
        <v>33073</v>
      </c>
      <c r="AJ1628" s="81"/>
      <c r="AK1628" s="81" t="s">
        <v>14045</v>
      </c>
      <c r="AL1628" s="81" t="s">
        <v>14210</v>
      </c>
      <c r="AM1628" s="84" t="str">
        <f>HYPERLINK("https://t.co/ZfggMxdXvM")</f>
        <v>https://t.co/ZfggMxdXvM</v>
      </c>
      <c r="AN1628" s="81"/>
      <c r="AO1628" s="83">
        <v>43417.483726851853</v>
      </c>
      <c r="AP1628" s="84" t="str">
        <f>HYPERLINK("https://pbs.twimg.com/profile_banners/1062308235443494912/1632851293")</f>
        <v>https://pbs.twimg.com/profile_banners/1062308235443494912/1632851293</v>
      </c>
      <c r="AQ1628" s="81" t="b">
        <v>1</v>
      </c>
      <c r="AR1628" s="81" t="b">
        <v>0</v>
      </c>
      <c r="AS1628" s="81" t="b">
        <v>0</v>
      </c>
      <c r="AT1628" s="81"/>
      <c r="AU1628" s="81">
        <v>19</v>
      </c>
      <c r="AV1628" s="81"/>
      <c r="AW1628" s="81" t="b">
        <v>0</v>
      </c>
      <c r="AX1628" s="81" t="s">
        <v>3728</v>
      </c>
      <c r="AY1628" s="84" t="str">
        <f>HYPERLINK("https://twitter.com/velvhong")</f>
        <v>https://twitter.com/velvhong</v>
      </c>
      <c r="AZ1628" s="81" t="s">
        <v>66</v>
      </c>
    </row>
    <row r="1629" spans="1:52" x14ac:dyDescent="0.35">
      <c r="A1629" s="66" t="s">
        <v>12566</v>
      </c>
      <c r="B1629" s="67"/>
      <c r="C1629" s="67"/>
      <c r="D1629" s="68"/>
      <c r="E1629" s="94"/>
      <c r="F1629" s="93" t="str">
        <f>HYPERLINK("https://pbs.twimg.com/profile_images/696513776624013312/h40s4WD0_normal.jpg")</f>
        <v>https://pbs.twimg.com/profile_images/696513776624013312/h40s4WD0_normal.jpg</v>
      </c>
      <c r="G1629" s="95"/>
      <c r="H1629" s="71"/>
      <c r="I1629" s="72"/>
      <c r="J1629" s="96"/>
      <c r="K1629" s="71" t="s">
        <v>14397</v>
      </c>
      <c r="L1629" s="97"/>
      <c r="M1629" s="76"/>
      <c r="N1629" s="76"/>
      <c r="O1629" s="77"/>
      <c r="P1629" s="78"/>
      <c r="Q1629" s="78"/>
      <c r="R1629" s="92"/>
      <c r="S1629" s="92"/>
      <c r="T1629" s="92"/>
      <c r="U1629" s="92"/>
      <c r="V1629" s="52"/>
      <c r="W1629" s="52"/>
      <c r="X1629" s="52"/>
      <c r="Y1629" s="52"/>
      <c r="Z1629" s="51"/>
      <c r="AA1629" s="73"/>
      <c r="AB1629" s="73"/>
      <c r="AC1629" s="74"/>
      <c r="AD1629" s="81" t="s">
        <v>13592</v>
      </c>
      <c r="AE1629" s="86" t="s">
        <v>13803</v>
      </c>
      <c r="AF1629" s="81">
        <v>316</v>
      </c>
      <c r="AG1629" s="81">
        <v>419</v>
      </c>
      <c r="AH1629" s="81">
        <v>87985</v>
      </c>
      <c r="AI1629" s="81">
        <v>37229</v>
      </c>
      <c r="AJ1629" s="81"/>
      <c r="AK1629" s="81" t="s">
        <v>14046</v>
      </c>
      <c r="AL1629" s="81" t="s">
        <v>14211</v>
      </c>
      <c r="AM1629" s="81"/>
      <c r="AN1629" s="81"/>
      <c r="AO1629" s="83">
        <v>40704.581956018519</v>
      </c>
      <c r="AP1629" s="84" t="str">
        <f>HYPERLINK("https://pbs.twimg.com/profile_banners/314583623/1603458612")</f>
        <v>https://pbs.twimg.com/profile_banners/314583623/1603458612</v>
      </c>
      <c r="AQ1629" s="81" t="b">
        <v>0</v>
      </c>
      <c r="AR1629" s="81" t="b">
        <v>0</v>
      </c>
      <c r="AS1629" s="81" t="b">
        <v>0</v>
      </c>
      <c r="AT1629" s="81"/>
      <c r="AU1629" s="81">
        <v>2</v>
      </c>
      <c r="AV1629" s="84" t="str">
        <f>HYPERLINK("https://abs.twimg.com/images/themes/theme1/bg.png")</f>
        <v>https://abs.twimg.com/images/themes/theme1/bg.png</v>
      </c>
      <c r="AW1629" s="81" t="b">
        <v>0</v>
      </c>
      <c r="AX1629" s="81" t="s">
        <v>3728</v>
      </c>
      <c r="AY1629" s="84" t="str">
        <f>HYPERLINK("https://twitter.com/andarom")</f>
        <v>https://twitter.com/andarom</v>
      </c>
      <c r="AZ1629" s="81" t="s">
        <v>66</v>
      </c>
    </row>
    <row r="1630" spans="1:52" x14ac:dyDescent="0.35">
      <c r="A1630" s="66" t="s">
        <v>12568</v>
      </c>
      <c r="B1630" s="67"/>
      <c r="C1630" s="67"/>
      <c r="D1630" s="68"/>
      <c r="E1630" s="94"/>
      <c r="F1630" s="93" t="str">
        <f>HYPERLINK("https://pbs.twimg.com/profile_images/1174737899939610624/GSdi6Y7E_normal.jpg")</f>
        <v>https://pbs.twimg.com/profile_images/1174737899939610624/GSdi6Y7E_normal.jpg</v>
      </c>
      <c r="G1630" s="95"/>
      <c r="H1630" s="71"/>
      <c r="I1630" s="72"/>
      <c r="J1630" s="96"/>
      <c r="K1630" s="71" t="s">
        <v>14398</v>
      </c>
      <c r="L1630" s="97"/>
      <c r="M1630" s="76"/>
      <c r="N1630" s="76"/>
      <c r="O1630" s="77"/>
      <c r="P1630" s="78"/>
      <c r="Q1630" s="78"/>
      <c r="R1630" s="92"/>
      <c r="S1630" s="92"/>
      <c r="T1630" s="92"/>
      <c r="U1630" s="92"/>
      <c r="V1630" s="52"/>
      <c r="W1630" s="52"/>
      <c r="X1630" s="52"/>
      <c r="Y1630" s="52"/>
      <c r="Z1630" s="51"/>
      <c r="AA1630" s="73"/>
      <c r="AB1630" s="73"/>
      <c r="AC1630" s="74"/>
      <c r="AD1630" s="81" t="s">
        <v>13593</v>
      </c>
      <c r="AE1630" s="86" t="s">
        <v>13804</v>
      </c>
      <c r="AF1630" s="81">
        <v>188</v>
      </c>
      <c r="AG1630" s="81">
        <v>2044</v>
      </c>
      <c r="AH1630" s="81">
        <v>192346</v>
      </c>
      <c r="AI1630" s="81">
        <v>53</v>
      </c>
      <c r="AJ1630" s="81"/>
      <c r="AK1630" s="81" t="s">
        <v>14047</v>
      </c>
      <c r="AL1630" s="81" t="s">
        <v>14212</v>
      </c>
      <c r="AM1630" s="84" t="str">
        <f>HYPERLINK("https://t.co/ylbXVtKKwn")</f>
        <v>https://t.co/ylbXVtKKwn</v>
      </c>
      <c r="AN1630" s="81"/>
      <c r="AO1630" s="83">
        <v>39233.717083333337</v>
      </c>
      <c r="AP1630" s="84" t="str">
        <f>HYPERLINK("https://pbs.twimg.com/profile_banners/6477792/1527669435")</f>
        <v>https://pbs.twimg.com/profile_banners/6477792/1527669435</v>
      </c>
      <c r="AQ1630" s="81" t="b">
        <v>0</v>
      </c>
      <c r="AR1630" s="81" t="b">
        <v>0</v>
      </c>
      <c r="AS1630" s="81" t="b">
        <v>1</v>
      </c>
      <c r="AT1630" s="81"/>
      <c r="AU1630" s="81">
        <v>3153</v>
      </c>
      <c r="AV1630" s="84" t="str">
        <f>HYPERLINK("https://abs.twimg.com/images/themes/theme1/bg.png")</f>
        <v>https://abs.twimg.com/images/themes/theme1/bg.png</v>
      </c>
      <c r="AW1630" s="81" t="b">
        <v>0</v>
      </c>
      <c r="AX1630" s="81" t="s">
        <v>3728</v>
      </c>
      <c r="AY1630" s="84" t="str">
        <f>HYPERLINK("https://twitter.com/luisb")</f>
        <v>https://twitter.com/luisb</v>
      </c>
      <c r="AZ1630" s="81" t="s">
        <v>66</v>
      </c>
    </row>
    <row r="1631" spans="1:52" x14ac:dyDescent="0.35">
      <c r="A1631" s="66" t="s">
        <v>12569</v>
      </c>
      <c r="B1631" s="67"/>
      <c r="C1631" s="67"/>
      <c r="D1631" s="68"/>
      <c r="E1631" s="94"/>
      <c r="F1631" s="93" t="str">
        <f>HYPERLINK("https://pbs.twimg.com/profile_images/1431371075019960324/QLQMKIPk_normal.jpg")</f>
        <v>https://pbs.twimg.com/profile_images/1431371075019960324/QLQMKIPk_normal.jpg</v>
      </c>
      <c r="G1631" s="95"/>
      <c r="H1631" s="71"/>
      <c r="I1631" s="72"/>
      <c r="J1631" s="96"/>
      <c r="K1631" s="71" t="s">
        <v>14399</v>
      </c>
      <c r="L1631" s="97"/>
      <c r="M1631" s="76"/>
      <c r="N1631" s="76"/>
      <c r="O1631" s="77"/>
      <c r="P1631" s="78"/>
      <c r="Q1631" s="78"/>
      <c r="R1631" s="92"/>
      <c r="S1631" s="92"/>
      <c r="T1631" s="92"/>
      <c r="U1631" s="92"/>
      <c r="V1631" s="52"/>
      <c r="W1631" s="52"/>
      <c r="X1631" s="52"/>
      <c r="Y1631" s="52"/>
      <c r="Z1631" s="51"/>
      <c r="AA1631" s="73"/>
      <c r="AB1631" s="73"/>
      <c r="AC1631" s="74"/>
      <c r="AD1631" s="81" t="s">
        <v>13594</v>
      </c>
      <c r="AE1631" s="86" t="s">
        <v>13805</v>
      </c>
      <c r="AF1631" s="81">
        <v>118</v>
      </c>
      <c r="AG1631" s="81">
        <v>381</v>
      </c>
      <c r="AH1631" s="81">
        <v>21275</v>
      </c>
      <c r="AI1631" s="81">
        <v>28344</v>
      </c>
      <c r="AJ1631" s="81"/>
      <c r="AK1631" s="81" t="s">
        <v>14048</v>
      </c>
      <c r="AL1631" s="81" t="s">
        <v>14213</v>
      </c>
      <c r="AM1631" s="81"/>
      <c r="AN1631" s="81"/>
      <c r="AO1631" s="83">
        <v>43841.610023148147</v>
      </c>
      <c r="AP1631" s="84" t="str">
        <f>HYPERLINK("https://pbs.twimg.com/profile_banners/1216006402998562817/1630700119")</f>
        <v>https://pbs.twimg.com/profile_banners/1216006402998562817/1630700119</v>
      </c>
      <c r="AQ1631" s="81" t="b">
        <v>1</v>
      </c>
      <c r="AR1631" s="81" t="b">
        <v>0</v>
      </c>
      <c r="AS1631" s="81" t="b">
        <v>1</v>
      </c>
      <c r="AT1631" s="81"/>
      <c r="AU1631" s="81">
        <v>0</v>
      </c>
      <c r="AV1631" s="81"/>
      <c r="AW1631" s="81" t="b">
        <v>0</v>
      </c>
      <c r="AX1631" s="81" t="s">
        <v>3728</v>
      </c>
      <c r="AY1631" s="84" t="str">
        <f>HYPERLINK("https://twitter.com/alephwang")</f>
        <v>https://twitter.com/alephwang</v>
      </c>
      <c r="AZ1631" s="81" t="s">
        <v>66</v>
      </c>
    </row>
    <row r="1632" spans="1:52" x14ac:dyDescent="0.35">
      <c r="A1632" s="66" t="s">
        <v>12570</v>
      </c>
      <c r="B1632" s="67"/>
      <c r="C1632" s="67"/>
      <c r="D1632" s="68"/>
      <c r="E1632" s="94"/>
      <c r="F1632" s="93" t="str">
        <f>HYPERLINK("https://pbs.twimg.com/profile_images/1352209335917699073/m-cT8IjM_normal.png")</f>
        <v>https://pbs.twimg.com/profile_images/1352209335917699073/m-cT8IjM_normal.png</v>
      </c>
      <c r="G1632" s="95"/>
      <c r="H1632" s="71"/>
      <c r="I1632" s="72"/>
      <c r="J1632" s="96"/>
      <c r="K1632" s="71" t="s">
        <v>14400</v>
      </c>
      <c r="L1632" s="97"/>
      <c r="M1632" s="76"/>
      <c r="N1632" s="76"/>
      <c r="O1632" s="77"/>
      <c r="P1632" s="78"/>
      <c r="Q1632" s="78"/>
      <c r="R1632" s="92"/>
      <c r="S1632" s="92"/>
      <c r="T1632" s="92"/>
      <c r="U1632" s="92"/>
      <c r="V1632" s="52"/>
      <c r="W1632" s="52"/>
      <c r="X1632" s="52"/>
      <c r="Y1632" s="52"/>
      <c r="Z1632" s="51"/>
      <c r="AA1632" s="73"/>
      <c r="AB1632" s="73"/>
      <c r="AC1632" s="74"/>
      <c r="AD1632" s="81" t="s">
        <v>13595</v>
      </c>
      <c r="AE1632" s="86" t="s">
        <v>13806</v>
      </c>
      <c r="AF1632" s="81">
        <v>82</v>
      </c>
      <c r="AG1632" s="81">
        <v>893</v>
      </c>
      <c r="AH1632" s="81">
        <v>1412</v>
      </c>
      <c r="AI1632" s="81">
        <v>27</v>
      </c>
      <c r="AJ1632" s="81"/>
      <c r="AK1632" s="81" t="s">
        <v>14049</v>
      </c>
      <c r="AL1632" s="81" t="s">
        <v>10998</v>
      </c>
      <c r="AM1632" s="84" t="str">
        <f>HYPERLINK("https://t.co/xN0Sv0ZzRy")</f>
        <v>https://t.co/xN0Sv0ZzRy</v>
      </c>
      <c r="AN1632" s="81"/>
      <c r="AO1632" s="83">
        <v>43350.367094907408</v>
      </c>
      <c r="AP1632" s="84" t="str">
        <f>HYPERLINK("https://pbs.twimg.com/profile_banners/1037985980119220224/1611226808")</f>
        <v>https://pbs.twimg.com/profile_banners/1037985980119220224/1611226808</v>
      </c>
      <c r="AQ1632" s="81" t="b">
        <v>1</v>
      </c>
      <c r="AR1632" s="81" t="b">
        <v>0</v>
      </c>
      <c r="AS1632" s="81" t="b">
        <v>0</v>
      </c>
      <c r="AT1632" s="81"/>
      <c r="AU1632" s="81">
        <v>22</v>
      </c>
      <c r="AV1632" s="81"/>
      <c r="AW1632" s="81" t="b">
        <v>0</v>
      </c>
      <c r="AX1632" s="81" t="s">
        <v>3728</v>
      </c>
      <c r="AY1632" s="84" t="str">
        <f>HYPERLINK("https://twitter.com/cmvm_pt")</f>
        <v>https://twitter.com/cmvm_pt</v>
      </c>
      <c r="AZ1632" s="81" t="s">
        <v>66</v>
      </c>
    </row>
    <row r="1633" spans="1:52" x14ac:dyDescent="0.35">
      <c r="A1633" s="66" t="s">
        <v>12571</v>
      </c>
      <c r="B1633" s="67"/>
      <c r="C1633" s="67"/>
      <c r="D1633" s="68"/>
      <c r="E1633" s="94"/>
      <c r="F1633" s="93" t="str">
        <f>HYPERLINK("https://pbs.twimg.com/profile_images/1327316086098956289/NgEQu6pi_normal.jpg")</f>
        <v>https://pbs.twimg.com/profile_images/1327316086098956289/NgEQu6pi_normal.jpg</v>
      </c>
      <c r="G1633" s="95"/>
      <c r="H1633" s="71"/>
      <c r="I1633" s="72"/>
      <c r="J1633" s="96"/>
      <c r="K1633" s="71" t="s">
        <v>14401</v>
      </c>
      <c r="L1633" s="97"/>
      <c r="M1633" s="76"/>
      <c r="N1633" s="76"/>
      <c r="O1633" s="77"/>
      <c r="P1633" s="78"/>
      <c r="Q1633" s="78"/>
      <c r="R1633" s="92"/>
      <c r="S1633" s="92"/>
      <c r="T1633" s="92"/>
      <c r="U1633" s="92"/>
      <c r="V1633" s="52"/>
      <c r="W1633" s="52"/>
      <c r="X1633" s="52"/>
      <c r="Y1633" s="52"/>
      <c r="Z1633" s="51"/>
      <c r="AA1633" s="73"/>
      <c r="AB1633" s="73"/>
      <c r="AC1633" s="74"/>
      <c r="AD1633" s="81" t="s">
        <v>13596</v>
      </c>
      <c r="AE1633" s="86" t="s">
        <v>13807</v>
      </c>
      <c r="AF1633" s="81">
        <v>1080</v>
      </c>
      <c r="AG1633" s="81">
        <v>85</v>
      </c>
      <c r="AH1633" s="81">
        <v>3153</v>
      </c>
      <c r="AI1633" s="81">
        <v>21463</v>
      </c>
      <c r="AJ1633" s="81"/>
      <c r="AK1633" s="81" t="s">
        <v>14050</v>
      </c>
      <c r="AL1633" s="81"/>
      <c r="AM1633" s="81"/>
      <c r="AN1633" s="81"/>
      <c r="AO1633" s="83">
        <v>40362.749942129631</v>
      </c>
      <c r="AP1633" s="84" t="str">
        <f>HYPERLINK("https://pbs.twimg.com/profile_banners/162446025/1628777679")</f>
        <v>https://pbs.twimg.com/profile_banners/162446025/1628777679</v>
      </c>
      <c r="AQ1633" s="81" t="b">
        <v>0</v>
      </c>
      <c r="AR1633" s="81" t="b">
        <v>0</v>
      </c>
      <c r="AS1633" s="81" t="b">
        <v>1</v>
      </c>
      <c r="AT1633" s="81"/>
      <c r="AU1633" s="81">
        <v>0</v>
      </c>
      <c r="AV1633" s="84" t="str">
        <f>HYPERLINK("https://abs.twimg.com/images/themes/theme2/bg.gif")</f>
        <v>https://abs.twimg.com/images/themes/theme2/bg.gif</v>
      </c>
      <c r="AW1633" s="81" t="b">
        <v>0</v>
      </c>
      <c r="AX1633" s="81" t="s">
        <v>3728</v>
      </c>
      <c r="AY1633" s="84" t="str">
        <f>HYPERLINK("https://twitter.com/marcio_clay")</f>
        <v>https://twitter.com/marcio_clay</v>
      </c>
      <c r="AZ1633" s="81" t="s">
        <v>66</v>
      </c>
    </row>
    <row r="1634" spans="1:52" x14ac:dyDescent="0.35">
      <c r="A1634" s="66" t="s">
        <v>12703</v>
      </c>
      <c r="B1634" s="67"/>
      <c r="C1634" s="67"/>
      <c r="D1634" s="68"/>
      <c r="E1634" s="94"/>
      <c r="F1634" s="93" t="str">
        <f>HYPERLINK("https://pbs.twimg.com/profile_images/784373820815708160/PFmrloK9_normal.jpg")</f>
        <v>https://pbs.twimg.com/profile_images/784373820815708160/PFmrloK9_normal.jpg</v>
      </c>
      <c r="G1634" s="95"/>
      <c r="H1634" s="71"/>
      <c r="I1634" s="72"/>
      <c r="J1634" s="96"/>
      <c r="K1634" s="71" t="s">
        <v>14402</v>
      </c>
      <c r="L1634" s="97"/>
      <c r="M1634" s="76"/>
      <c r="N1634" s="76"/>
      <c r="O1634" s="77"/>
      <c r="P1634" s="78"/>
      <c r="Q1634" s="78"/>
      <c r="R1634" s="92"/>
      <c r="S1634" s="92"/>
      <c r="T1634" s="92"/>
      <c r="U1634" s="92"/>
      <c r="V1634" s="52"/>
      <c r="W1634" s="52"/>
      <c r="X1634" s="52"/>
      <c r="Y1634" s="52"/>
      <c r="Z1634" s="51"/>
      <c r="AA1634" s="73"/>
      <c r="AB1634" s="73"/>
      <c r="AC1634" s="74"/>
      <c r="AD1634" s="81" t="s">
        <v>13597</v>
      </c>
      <c r="AE1634" s="86" t="s">
        <v>13808</v>
      </c>
      <c r="AF1634" s="81">
        <v>28</v>
      </c>
      <c r="AG1634" s="81">
        <v>3501</v>
      </c>
      <c r="AH1634" s="81">
        <v>2436</v>
      </c>
      <c r="AI1634" s="81">
        <v>8</v>
      </c>
      <c r="AJ1634" s="81"/>
      <c r="AK1634" s="81" t="s">
        <v>14051</v>
      </c>
      <c r="AL1634" s="81" t="s">
        <v>10975</v>
      </c>
      <c r="AM1634" s="84" t="str">
        <f>HYPERLINK("https://t.co/Fqc4UMo0vC")</f>
        <v>https://t.co/Fqc4UMo0vC</v>
      </c>
      <c r="AN1634" s="81"/>
      <c r="AO1634" s="83">
        <v>40028.596273148149</v>
      </c>
      <c r="AP1634" s="84" t="str">
        <f>HYPERLINK("https://pbs.twimg.com/profile_banners/62524565/1630851147")</f>
        <v>https://pbs.twimg.com/profile_banners/62524565/1630851147</v>
      </c>
      <c r="AQ1634" s="81" t="b">
        <v>0</v>
      </c>
      <c r="AR1634" s="81" t="b">
        <v>0</v>
      </c>
      <c r="AS1634" s="81" t="b">
        <v>1</v>
      </c>
      <c r="AT1634" s="81"/>
      <c r="AU1634" s="81">
        <v>27</v>
      </c>
      <c r="AV1634" s="84" t="str">
        <f>HYPERLINK("https://abs.twimg.com/images/themes/theme1/bg.png")</f>
        <v>https://abs.twimg.com/images/themes/theme1/bg.png</v>
      </c>
      <c r="AW1634" s="81" t="b">
        <v>0</v>
      </c>
      <c r="AX1634" s="81" t="s">
        <v>3728</v>
      </c>
      <c r="AY1634" s="84" t="str">
        <f>HYPERLINK("https://twitter.com/sbc_cientifico")</f>
        <v>https://twitter.com/sbc_cientifico</v>
      </c>
      <c r="AZ1634" s="81" t="s">
        <v>65</v>
      </c>
    </row>
    <row r="1635" spans="1:52" x14ac:dyDescent="0.35">
      <c r="A1635" s="66" t="s">
        <v>12704</v>
      </c>
      <c r="B1635" s="67"/>
      <c r="C1635" s="67"/>
      <c r="D1635" s="68"/>
      <c r="E1635" s="94"/>
      <c r="F1635" s="93" t="str">
        <f>HYPERLINK("https://pbs.twimg.com/profile_images/1401554827268833280/-ymTKmdV_normal.jpg")</f>
        <v>https://pbs.twimg.com/profile_images/1401554827268833280/-ymTKmdV_normal.jpg</v>
      </c>
      <c r="G1635" s="95"/>
      <c r="H1635" s="71"/>
      <c r="I1635" s="72"/>
      <c r="J1635" s="96"/>
      <c r="K1635" s="71" t="s">
        <v>14403</v>
      </c>
      <c r="L1635" s="97"/>
      <c r="M1635" s="76"/>
      <c r="N1635" s="76"/>
      <c r="O1635" s="77"/>
      <c r="P1635" s="78"/>
      <c r="Q1635" s="78"/>
      <c r="R1635" s="92"/>
      <c r="S1635" s="92"/>
      <c r="T1635" s="92"/>
      <c r="U1635" s="92"/>
      <c r="V1635" s="52"/>
      <c r="W1635" s="52"/>
      <c r="X1635" s="52"/>
      <c r="Y1635" s="52"/>
      <c r="Z1635" s="51"/>
      <c r="AA1635" s="73"/>
      <c r="AB1635" s="73"/>
      <c r="AC1635" s="74"/>
      <c r="AD1635" s="81" t="s">
        <v>13598</v>
      </c>
      <c r="AE1635" s="86" t="s">
        <v>13421</v>
      </c>
      <c r="AF1635" s="81">
        <v>406</v>
      </c>
      <c r="AG1635" s="81">
        <v>110112</v>
      </c>
      <c r="AH1635" s="81">
        <v>1579</v>
      </c>
      <c r="AI1635" s="81">
        <v>2966</v>
      </c>
      <c r="AJ1635" s="81"/>
      <c r="AK1635" s="81" t="s">
        <v>14052</v>
      </c>
      <c r="AL1635" s="81" t="s">
        <v>14214</v>
      </c>
      <c r="AM1635" s="84" t="str">
        <f>HYPERLINK("https://t.co/ypREZUqLBi")</f>
        <v>https://t.co/ypREZUqLBi</v>
      </c>
      <c r="AN1635" s="81"/>
      <c r="AO1635" s="83">
        <v>41903.405671296299</v>
      </c>
      <c r="AP1635" s="84" t="str">
        <f>HYPERLINK("https://pbs.twimg.com/profile_banners/2823869072/1622072058")</f>
        <v>https://pbs.twimg.com/profile_banners/2823869072/1622072058</v>
      </c>
      <c r="AQ1635" s="81" t="b">
        <v>1</v>
      </c>
      <c r="AR1635" s="81" t="b">
        <v>0</v>
      </c>
      <c r="AS1635" s="81" t="b">
        <v>1</v>
      </c>
      <c r="AT1635" s="81"/>
      <c r="AU1635" s="81">
        <v>173</v>
      </c>
      <c r="AV1635" s="84" t="str">
        <f>HYPERLINK("https://abs.twimg.com/images/themes/theme1/bg.png")</f>
        <v>https://abs.twimg.com/images/themes/theme1/bg.png</v>
      </c>
      <c r="AW1635" s="81" t="b">
        <v>1</v>
      </c>
      <c r="AX1635" s="81" t="s">
        <v>3728</v>
      </c>
      <c r="AY1635" s="84" t="str">
        <f>HYPERLINK("https://twitter.com/mqueiroga2")</f>
        <v>https://twitter.com/mqueiroga2</v>
      </c>
      <c r="AZ1635" s="81" t="s">
        <v>65</v>
      </c>
    </row>
    <row r="1636" spans="1:52" x14ac:dyDescent="0.35">
      <c r="A1636" s="66" t="s">
        <v>12572</v>
      </c>
      <c r="B1636" s="67"/>
      <c r="C1636" s="67"/>
      <c r="D1636" s="68"/>
      <c r="E1636" s="94"/>
      <c r="F1636" s="93" t="str">
        <f>HYPERLINK("https://pbs.twimg.com/profile_images/1407261683366596619/8rd_TXcH_normal.jpg")</f>
        <v>https://pbs.twimg.com/profile_images/1407261683366596619/8rd_TXcH_normal.jpg</v>
      </c>
      <c r="G1636" s="95"/>
      <c r="H1636" s="71"/>
      <c r="I1636" s="72"/>
      <c r="J1636" s="96"/>
      <c r="K1636" s="71" t="s">
        <v>14404</v>
      </c>
      <c r="L1636" s="97"/>
      <c r="M1636" s="76"/>
      <c r="N1636" s="76"/>
      <c r="O1636" s="77"/>
      <c r="P1636" s="78"/>
      <c r="Q1636" s="78"/>
      <c r="R1636" s="92"/>
      <c r="S1636" s="92"/>
      <c r="T1636" s="92"/>
      <c r="U1636" s="92"/>
      <c r="V1636" s="52"/>
      <c r="W1636" s="52"/>
      <c r="X1636" s="52"/>
      <c r="Y1636" s="52"/>
      <c r="Z1636" s="51"/>
      <c r="AA1636" s="73"/>
      <c r="AB1636" s="73"/>
      <c r="AC1636" s="74"/>
      <c r="AD1636" s="81" t="s">
        <v>13599</v>
      </c>
      <c r="AE1636" s="86" t="s">
        <v>13809</v>
      </c>
      <c r="AF1636" s="81">
        <v>823</v>
      </c>
      <c r="AG1636" s="81">
        <v>125</v>
      </c>
      <c r="AH1636" s="81">
        <v>17219</v>
      </c>
      <c r="AI1636" s="81">
        <v>29691</v>
      </c>
      <c r="AJ1636" s="81"/>
      <c r="AK1636" s="81" t="s">
        <v>14053</v>
      </c>
      <c r="AL1636" s="81" t="s">
        <v>3514</v>
      </c>
      <c r="AM1636" s="84" t="str">
        <f>HYPERLINK("https://t.co/ERcBwA9AOx")</f>
        <v>https://t.co/ERcBwA9AOx</v>
      </c>
      <c r="AN1636" s="81"/>
      <c r="AO1636" s="83">
        <v>44089.291400462964</v>
      </c>
      <c r="AP1636" s="84" t="str">
        <f>HYPERLINK("https://pbs.twimg.com/profile_banners/1305763148801011712/1600983625")</f>
        <v>https://pbs.twimg.com/profile_banners/1305763148801011712/1600983625</v>
      </c>
      <c r="AQ1636" s="81" t="b">
        <v>1</v>
      </c>
      <c r="AR1636" s="81" t="b">
        <v>0</v>
      </c>
      <c r="AS1636" s="81" t="b">
        <v>0</v>
      </c>
      <c r="AT1636" s="81"/>
      <c r="AU1636" s="81">
        <v>0</v>
      </c>
      <c r="AV1636" s="81"/>
      <c r="AW1636" s="81" t="b">
        <v>0</v>
      </c>
      <c r="AX1636" s="81" t="s">
        <v>3728</v>
      </c>
      <c r="AY1636" s="84" t="str">
        <f>HYPERLINK("https://twitter.com/flyztrex")</f>
        <v>https://twitter.com/flyztrex</v>
      </c>
      <c r="AZ1636" s="81" t="s">
        <v>66</v>
      </c>
    </row>
    <row r="1637" spans="1:52" x14ac:dyDescent="0.35">
      <c r="A1637" s="66" t="s">
        <v>12664</v>
      </c>
      <c r="B1637" s="67"/>
      <c r="C1637" s="67"/>
      <c r="D1637" s="68"/>
      <c r="E1637" s="94"/>
      <c r="F1637" s="93" t="str">
        <f>HYPERLINK("https://pbs.twimg.com/profile_images/1437213406881202177/pD6M9N4k_normal.jpg")</f>
        <v>https://pbs.twimg.com/profile_images/1437213406881202177/pD6M9N4k_normal.jpg</v>
      </c>
      <c r="G1637" s="95"/>
      <c r="H1637" s="71"/>
      <c r="I1637" s="72"/>
      <c r="J1637" s="96"/>
      <c r="K1637" s="71" t="s">
        <v>14405</v>
      </c>
      <c r="L1637" s="97"/>
      <c r="M1637" s="76"/>
      <c r="N1637" s="76"/>
      <c r="O1637" s="77"/>
      <c r="P1637" s="78"/>
      <c r="Q1637" s="78"/>
      <c r="R1637" s="92"/>
      <c r="S1637" s="92"/>
      <c r="T1637" s="92"/>
      <c r="U1637" s="92"/>
      <c r="V1637" s="52"/>
      <c r="W1637" s="52"/>
      <c r="X1637" s="52"/>
      <c r="Y1637" s="52"/>
      <c r="Z1637" s="51"/>
      <c r="AA1637" s="73"/>
      <c r="AB1637" s="73"/>
      <c r="AC1637" s="74"/>
      <c r="AD1637" s="81" t="s">
        <v>13600</v>
      </c>
      <c r="AE1637" s="86" t="s">
        <v>13810</v>
      </c>
      <c r="AF1637" s="81">
        <v>421</v>
      </c>
      <c r="AG1637" s="81">
        <v>65</v>
      </c>
      <c r="AH1637" s="81">
        <v>1845</v>
      </c>
      <c r="AI1637" s="81">
        <v>19925</v>
      </c>
      <c r="AJ1637" s="81"/>
      <c r="AK1637" s="81" t="s">
        <v>14054</v>
      </c>
      <c r="AL1637" s="81" t="s">
        <v>14215</v>
      </c>
      <c r="AM1637" s="81"/>
      <c r="AN1637" s="81"/>
      <c r="AO1637" s="83">
        <v>44216.638807870368</v>
      </c>
      <c r="AP1637" s="84" t="str">
        <f>HYPERLINK("https://pbs.twimg.com/profile_banners/1351912306666401793/1611233902")</f>
        <v>https://pbs.twimg.com/profile_banners/1351912306666401793/1611233902</v>
      </c>
      <c r="AQ1637" s="81" t="b">
        <v>1</v>
      </c>
      <c r="AR1637" s="81" t="b">
        <v>0</v>
      </c>
      <c r="AS1637" s="81" t="b">
        <v>0</v>
      </c>
      <c r="AT1637" s="81"/>
      <c r="AU1637" s="81">
        <v>10</v>
      </c>
      <c r="AV1637" s="81"/>
      <c r="AW1637" s="81" t="b">
        <v>0</v>
      </c>
      <c r="AX1637" s="81" t="s">
        <v>3728</v>
      </c>
      <c r="AY1637" s="84" t="str">
        <f>HYPERLINK("https://twitter.com/lilieslalisamn")</f>
        <v>https://twitter.com/lilieslalisamn</v>
      </c>
      <c r="AZ1637" s="81" t="s">
        <v>66</v>
      </c>
    </row>
    <row r="1638" spans="1:52" x14ac:dyDescent="0.35">
      <c r="A1638" s="66" t="s">
        <v>12573</v>
      </c>
      <c r="B1638" s="67"/>
      <c r="C1638" s="67"/>
      <c r="D1638" s="68"/>
      <c r="E1638" s="94"/>
      <c r="F1638" s="93" t="str">
        <f>HYPERLINK("https://pbs.twimg.com/profile_images/1443265591620489221/oM5wk6vP_normal.jpg")</f>
        <v>https://pbs.twimg.com/profile_images/1443265591620489221/oM5wk6vP_normal.jpg</v>
      </c>
      <c r="G1638" s="95"/>
      <c r="H1638" s="71"/>
      <c r="I1638" s="72"/>
      <c r="J1638" s="96"/>
      <c r="K1638" s="71" t="s">
        <v>14406</v>
      </c>
      <c r="L1638" s="97"/>
      <c r="M1638" s="76"/>
      <c r="N1638" s="76"/>
      <c r="O1638" s="77"/>
      <c r="P1638" s="78"/>
      <c r="Q1638" s="78"/>
      <c r="R1638" s="92"/>
      <c r="S1638" s="92"/>
      <c r="T1638" s="92"/>
      <c r="U1638" s="92"/>
      <c r="V1638" s="52"/>
      <c r="W1638" s="52"/>
      <c r="X1638" s="52"/>
      <c r="Y1638" s="52"/>
      <c r="Z1638" s="51"/>
      <c r="AA1638" s="73"/>
      <c r="AB1638" s="73"/>
      <c r="AC1638" s="74"/>
      <c r="AD1638" s="81" t="s">
        <v>13601</v>
      </c>
      <c r="AE1638" s="86" t="s">
        <v>13811</v>
      </c>
      <c r="AF1638" s="81">
        <v>187</v>
      </c>
      <c r="AG1638" s="81">
        <v>13</v>
      </c>
      <c r="AH1638" s="81">
        <v>9690</v>
      </c>
      <c r="AI1638" s="81">
        <v>8225</v>
      </c>
      <c r="AJ1638" s="81"/>
      <c r="AK1638" s="81" t="s">
        <v>14055</v>
      </c>
      <c r="AL1638" s="81"/>
      <c r="AM1638" s="84" t="str">
        <f>HYPERLINK("https://t.co/yMhb9rUeXf")</f>
        <v>https://t.co/yMhb9rUeXf</v>
      </c>
      <c r="AN1638" s="81"/>
      <c r="AO1638" s="83">
        <v>44342.748576388891</v>
      </c>
      <c r="AP1638" s="84" t="str">
        <f>HYPERLINK("https://pbs.twimg.com/profile_banners/1397611930097897475/1630751860")</f>
        <v>https://pbs.twimg.com/profile_banners/1397611930097897475/1630751860</v>
      </c>
      <c r="AQ1638" s="81" t="b">
        <v>1</v>
      </c>
      <c r="AR1638" s="81" t="b">
        <v>0</v>
      </c>
      <c r="AS1638" s="81" t="b">
        <v>0</v>
      </c>
      <c r="AT1638" s="81"/>
      <c r="AU1638" s="81">
        <v>0</v>
      </c>
      <c r="AV1638" s="81"/>
      <c r="AW1638" s="81" t="b">
        <v>0</v>
      </c>
      <c r="AX1638" s="81" t="s">
        <v>3728</v>
      </c>
      <c r="AY1638" s="84" t="str">
        <f>HYPERLINK("https://twitter.com/ellathree2")</f>
        <v>https://twitter.com/ellathree2</v>
      </c>
      <c r="AZ1638" s="81" t="s">
        <v>66</v>
      </c>
    </row>
    <row r="1639" spans="1:52" x14ac:dyDescent="0.35">
      <c r="A1639" s="66" t="s">
        <v>509</v>
      </c>
      <c r="B1639" s="67"/>
      <c r="C1639" s="67"/>
      <c r="D1639" s="68"/>
      <c r="E1639" s="94"/>
      <c r="F1639" s="93" t="str">
        <f>HYPERLINK("https://pbs.twimg.com/profile_images/1439265703626899460/TlHVoOEC_normal.jpg")</f>
        <v>https://pbs.twimg.com/profile_images/1439265703626899460/TlHVoOEC_normal.jpg</v>
      </c>
      <c r="G1639" s="95"/>
      <c r="H1639" s="71"/>
      <c r="I1639" s="72"/>
      <c r="J1639" s="96"/>
      <c r="K1639" s="71" t="s">
        <v>14407</v>
      </c>
      <c r="L1639" s="97"/>
      <c r="M1639" s="76"/>
      <c r="N1639" s="76"/>
      <c r="O1639" s="77"/>
      <c r="P1639" s="78"/>
      <c r="Q1639" s="78"/>
      <c r="R1639" s="92"/>
      <c r="S1639" s="92"/>
      <c r="T1639" s="92"/>
      <c r="U1639" s="92"/>
      <c r="V1639" s="52"/>
      <c r="W1639" s="52"/>
      <c r="X1639" s="52"/>
      <c r="Y1639" s="52"/>
      <c r="Z1639" s="51"/>
      <c r="AA1639" s="73"/>
      <c r="AB1639" s="73"/>
      <c r="AC1639" s="74"/>
      <c r="AD1639" s="81" t="s">
        <v>8801</v>
      </c>
      <c r="AE1639" s="86" t="s">
        <v>2999</v>
      </c>
      <c r="AF1639" s="81">
        <v>62</v>
      </c>
      <c r="AG1639" s="81">
        <v>20</v>
      </c>
      <c r="AH1639" s="81">
        <v>365</v>
      </c>
      <c r="AI1639" s="81">
        <v>684</v>
      </c>
      <c r="AJ1639" s="81"/>
      <c r="AK1639" s="81" t="s">
        <v>3419</v>
      </c>
      <c r="AL1639" s="81" t="s">
        <v>3509</v>
      </c>
      <c r="AM1639" s="81"/>
      <c r="AN1639" s="81"/>
      <c r="AO1639" s="83">
        <v>44432.415462962963</v>
      </c>
      <c r="AP1639" s="84" t="str">
        <f>HYPERLINK("https://pbs.twimg.com/profile_banners/1430107145693896713/1631982687")</f>
        <v>https://pbs.twimg.com/profile_banners/1430107145693896713/1631982687</v>
      </c>
      <c r="AQ1639" s="81" t="b">
        <v>1</v>
      </c>
      <c r="AR1639" s="81" t="b">
        <v>0</v>
      </c>
      <c r="AS1639" s="81" t="b">
        <v>0</v>
      </c>
      <c r="AT1639" s="81"/>
      <c r="AU1639" s="81">
        <v>0</v>
      </c>
      <c r="AV1639" s="81"/>
      <c r="AW1639" s="81" t="b">
        <v>0</v>
      </c>
      <c r="AX1639" s="81" t="s">
        <v>3728</v>
      </c>
      <c r="AY1639" s="84" t="str">
        <f>HYPERLINK("https://twitter.com/ncit31")</f>
        <v>https://twitter.com/ncit31</v>
      </c>
      <c r="AZ1639" s="81" t="s">
        <v>66</v>
      </c>
    </row>
    <row r="1640" spans="1:52" x14ac:dyDescent="0.35">
      <c r="A1640" s="66" t="s">
        <v>12574</v>
      </c>
      <c r="B1640" s="67"/>
      <c r="C1640" s="67"/>
      <c r="D1640" s="68"/>
      <c r="E1640" s="94"/>
      <c r="F1640" s="93" t="str">
        <f>HYPERLINK("https://pbs.twimg.com/profile_images/1442771362125254662/1xjVLh1b_normal.jpg")</f>
        <v>https://pbs.twimg.com/profile_images/1442771362125254662/1xjVLh1b_normal.jpg</v>
      </c>
      <c r="G1640" s="95"/>
      <c r="H1640" s="71"/>
      <c r="I1640" s="72"/>
      <c r="J1640" s="96"/>
      <c r="K1640" s="71" t="s">
        <v>14408</v>
      </c>
      <c r="L1640" s="97"/>
      <c r="M1640" s="76"/>
      <c r="N1640" s="76"/>
      <c r="O1640" s="77"/>
      <c r="P1640" s="78"/>
      <c r="Q1640" s="78"/>
      <c r="R1640" s="92"/>
      <c r="S1640" s="92"/>
      <c r="T1640" s="92"/>
      <c r="U1640" s="92"/>
      <c r="V1640" s="52"/>
      <c r="W1640" s="52"/>
      <c r="X1640" s="52"/>
      <c r="Y1640" s="52"/>
      <c r="Z1640" s="51"/>
      <c r="AA1640" s="73"/>
      <c r="AB1640" s="73"/>
      <c r="AC1640" s="74"/>
      <c r="AD1640" s="81" t="s">
        <v>13602</v>
      </c>
      <c r="AE1640" s="86" t="s">
        <v>13812</v>
      </c>
      <c r="AF1640" s="81">
        <v>362</v>
      </c>
      <c r="AG1640" s="81">
        <v>139</v>
      </c>
      <c r="AH1640" s="81">
        <v>16839</v>
      </c>
      <c r="AI1640" s="81">
        <v>39919</v>
      </c>
      <c r="AJ1640" s="81"/>
      <c r="AK1640" s="81" t="s">
        <v>14056</v>
      </c>
      <c r="AL1640" s="81"/>
      <c r="AM1640" s="81"/>
      <c r="AN1640" s="81"/>
      <c r="AO1640" s="83">
        <v>43796.476122685184</v>
      </c>
      <c r="AP1640" s="84" t="str">
        <f>HYPERLINK("https://pbs.twimg.com/profile_banners/1199650398262329344/1632818702")</f>
        <v>https://pbs.twimg.com/profile_banners/1199650398262329344/1632818702</v>
      </c>
      <c r="AQ1640" s="81" t="b">
        <v>1</v>
      </c>
      <c r="AR1640" s="81" t="b">
        <v>0</v>
      </c>
      <c r="AS1640" s="81" t="b">
        <v>0</v>
      </c>
      <c r="AT1640" s="81"/>
      <c r="AU1640" s="81">
        <v>0</v>
      </c>
      <c r="AV1640" s="81"/>
      <c r="AW1640" s="81" t="b">
        <v>0</v>
      </c>
      <c r="AX1640" s="81" t="s">
        <v>3728</v>
      </c>
      <c r="AY1640" s="84" t="str">
        <f>HYPERLINK("https://twitter.com/jaeemann")</f>
        <v>https://twitter.com/jaeemann</v>
      </c>
      <c r="AZ1640" s="81" t="s">
        <v>66</v>
      </c>
    </row>
    <row r="1641" spans="1:52" x14ac:dyDescent="0.35">
      <c r="A1641" s="66" t="s">
        <v>313</v>
      </c>
      <c r="B1641" s="67"/>
      <c r="C1641" s="67"/>
      <c r="D1641" s="68"/>
      <c r="E1641" s="94"/>
      <c r="F1641" s="93" t="str">
        <f>HYPERLINK("https://pbs.twimg.com/profile_images/1437069728149762055/ash7s3_v_normal.jpg")</f>
        <v>https://pbs.twimg.com/profile_images/1437069728149762055/ash7s3_v_normal.jpg</v>
      </c>
      <c r="G1641" s="95"/>
      <c r="H1641" s="71"/>
      <c r="I1641" s="72"/>
      <c r="J1641" s="96"/>
      <c r="K1641" s="71" t="s">
        <v>14409</v>
      </c>
      <c r="L1641" s="97"/>
      <c r="M1641" s="76"/>
      <c r="N1641" s="76"/>
      <c r="O1641" s="77"/>
      <c r="P1641" s="78"/>
      <c r="Q1641" s="78"/>
      <c r="R1641" s="92"/>
      <c r="S1641" s="92"/>
      <c r="T1641" s="92"/>
      <c r="U1641" s="92"/>
      <c r="V1641" s="52"/>
      <c r="W1641" s="52"/>
      <c r="X1641" s="52"/>
      <c r="Y1641" s="52"/>
      <c r="Z1641" s="51"/>
      <c r="AA1641" s="73"/>
      <c r="AB1641" s="73"/>
      <c r="AC1641" s="74"/>
      <c r="AD1641" s="81" t="s">
        <v>2367</v>
      </c>
      <c r="AE1641" s="86" t="s">
        <v>2792</v>
      </c>
      <c r="AF1641" s="81">
        <v>0</v>
      </c>
      <c r="AG1641" s="81">
        <v>3306</v>
      </c>
      <c r="AH1641" s="81">
        <v>25344</v>
      </c>
      <c r="AI1641" s="81">
        <v>68</v>
      </c>
      <c r="AJ1641" s="81"/>
      <c r="AK1641" s="81" t="s">
        <v>3199</v>
      </c>
      <c r="AL1641" s="81" t="s">
        <v>3588</v>
      </c>
      <c r="AM1641" s="81"/>
      <c r="AN1641" s="81"/>
      <c r="AO1641" s="83">
        <v>43909.173946759256</v>
      </c>
      <c r="AP1641" s="84" t="str">
        <f>HYPERLINK("https://pbs.twimg.com/profile_banners/1240490750023888896/1628258570")</f>
        <v>https://pbs.twimg.com/profile_banners/1240490750023888896/1628258570</v>
      </c>
      <c r="AQ1641" s="81" t="b">
        <v>1</v>
      </c>
      <c r="AR1641" s="81" t="b">
        <v>0</v>
      </c>
      <c r="AS1641" s="81" t="b">
        <v>0</v>
      </c>
      <c r="AT1641" s="81"/>
      <c r="AU1641" s="81">
        <v>12</v>
      </c>
      <c r="AV1641" s="81"/>
      <c r="AW1641" s="81" t="b">
        <v>0</v>
      </c>
      <c r="AX1641" s="81" t="s">
        <v>3728</v>
      </c>
      <c r="AY1641" s="84" t="str">
        <f>HYPERLINK("https://twitter.com/myncteam")</f>
        <v>https://twitter.com/myncteam</v>
      </c>
      <c r="AZ1641" s="81" t="s">
        <v>66</v>
      </c>
    </row>
    <row r="1642" spans="1:52" x14ac:dyDescent="0.35">
      <c r="A1642" s="66" t="s">
        <v>12575</v>
      </c>
      <c r="B1642" s="67"/>
      <c r="C1642" s="67"/>
      <c r="D1642" s="68"/>
      <c r="E1642" s="94"/>
      <c r="F1642" s="93" t="str">
        <f>HYPERLINK("https://pbs.twimg.com/profile_images/1434551191736766465/kgwV8snT_normal.jpg")</f>
        <v>https://pbs.twimg.com/profile_images/1434551191736766465/kgwV8snT_normal.jpg</v>
      </c>
      <c r="G1642" s="95"/>
      <c r="H1642" s="71"/>
      <c r="I1642" s="72"/>
      <c r="J1642" s="96"/>
      <c r="K1642" s="71" t="s">
        <v>14410</v>
      </c>
      <c r="L1642" s="97"/>
      <c r="M1642" s="76"/>
      <c r="N1642" s="76"/>
      <c r="O1642" s="77"/>
      <c r="P1642" s="78"/>
      <c r="Q1642" s="78"/>
      <c r="R1642" s="92"/>
      <c r="S1642" s="92"/>
      <c r="T1642" s="92"/>
      <c r="U1642" s="92"/>
      <c r="V1642" s="52"/>
      <c r="W1642" s="52"/>
      <c r="X1642" s="52"/>
      <c r="Y1642" s="52"/>
      <c r="Z1642" s="51"/>
      <c r="AA1642" s="73"/>
      <c r="AB1642" s="73"/>
      <c r="AC1642" s="74"/>
      <c r="AD1642" s="81" t="s">
        <v>13603</v>
      </c>
      <c r="AE1642" s="86" t="s">
        <v>13813</v>
      </c>
      <c r="AF1642" s="81">
        <v>346</v>
      </c>
      <c r="AG1642" s="81">
        <v>122</v>
      </c>
      <c r="AH1642" s="81">
        <v>6576</v>
      </c>
      <c r="AI1642" s="81">
        <v>3200</v>
      </c>
      <c r="AJ1642" s="81"/>
      <c r="AK1642" s="81" t="s">
        <v>14057</v>
      </c>
      <c r="AL1642" s="81"/>
      <c r="AM1642" s="84" t="str">
        <f>HYPERLINK("https://t.co/YsMJDxfSeI")</f>
        <v>https://t.co/YsMJDxfSeI</v>
      </c>
      <c r="AN1642" s="81"/>
      <c r="AO1642" s="83">
        <v>43798.773819444446</v>
      </c>
      <c r="AP1642" s="84" t="str">
        <f>HYPERLINK("https://pbs.twimg.com/profile_banners/1200483093691301888/1630828377")</f>
        <v>https://pbs.twimg.com/profile_banners/1200483093691301888/1630828377</v>
      </c>
      <c r="AQ1642" s="81" t="b">
        <v>1</v>
      </c>
      <c r="AR1642" s="81" t="b">
        <v>0</v>
      </c>
      <c r="AS1642" s="81" t="b">
        <v>0</v>
      </c>
      <c r="AT1642" s="81"/>
      <c r="AU1642" s="81">
        <v>0</v>
      </c>
      <c r="AV1642" s="81"/>
      <c r="AW1642" s="81" t="b">
        <v>0</v>
      </c>
      <c r="AX1642" s="81" t="s">
        <v>3728</v>
      </c>
      <c r="AY1642" s="84" t="str">
        <f>HYPERLINK("https://twitter.com/kamlaiyin")</f>
        <v>https://twitter.com/kamlaiyin</v>
      </c>
      <c r="AZ1642" s="81" t="s">
        <v>66</v>
      </c>
    </row>
    <row r="1643" spans="1:52" x14ac:dyDescent="0.35">
      <c r="A1643" s="66" t="s">
        <v>12576</v>
      </c>
      <c r="B1643" s="67"/>
      <c r="C1643" s="67"/>
      <c r="D1643" s="68"/>
      <c r="E1643" s="94"/>
      <c r="F1643" s="93" t="str">
        <f>HYPERLINK("https://pbs.twimg.com/profile_images/1439921646727356416/f2JIdnjU_normal.jpg")</f>
        <v>https://pbs.twimg.com/profile_images/1439921646727356416/f2JIdnjU_normal.jpg</v>
      </c>
      <c r="G1643" s="95"/>
      <c r="H1643" s="71"/>
      <c r="I1643" s="72"/>
      <c r="J1643" s="96"/>
      <c r="K1643" s="71" t="s">
        <v>14411</v>
      </c>
      <c r="L1643" s="97"/>
      <c r="M1643" s="76"/>
      <c r="N1643" s="76"/>
      <c r="O1643" s="77"/>
      <c r="P1643" s="78"/>
      <c r="Q1643" s="78"/>
      <c r="R1643" s="92"/>
      <c r="S1643" s="92"/>
      <c r="T1643" s="92"/>
      <c r="U1643" s="92"/>
      <c r="V1643" s="52"/>
      <c r="W1643" s="52"/>
      <c r="X1643" s="52"/>
      <c r="Y1643" s="52"/>
      <c r="Z1643" s="51"/>
      <c r="AA1643" s="73"/>
      <c r="AB1643" s="73"/>
      <c r="AC1643" s="74"/>
      <c r="AD1643" s="81" t="s">
        <v>13604</v>
      </c>
      <c r="AE1643" s="86" t="s">
        <v>13814</v>
      </c>
      <c r="AF1643" s="81">
        <v>470</v>
      </c>
      <c r="AG1643" s="81">
        <v>319</v>
      </c>
      <c r="AH1643" s="81">
        <v>5709</v>
      </c>
      <c r="AI1643" s="81">
        <v>1458</v>
      </c>
      <c r="AJ1643" s="81"/>
      <c r="AK1643" s="81" t="s">
        <v>14058</v>
      </c>
      <c r="AL1643" s="81"/>
      <c r="AM1643" s="81"/>
      <c r="AN1643" s="81"/>
      <c r="AO1643" s="83">
        <v>44285.501840277779</v>
      </c>
      <c r="AP1643" s="84" t="str">
        <f>HYPERLINK("https://pbs.twimg.com/profile_banners/1376867366303277058/1630561143")</f>
        <v>https://pbs.twimg.com/profile_banners/1376867366303277058/1630561143</v>
      </c>
      <c r="AQ1643" s="81" t="b">
        <v>1</v>
      </c>
      <c r="AR1643" s="81" t="b">
        <v>0</v>
      </c>
      <c r="AS1643" s="81" t="b">
        <v>1</v>
      </c>
      <c r="AT1643" s="81"/>
      <c r="AU1643" s="81">
        <v>0</v>
      </c>
      <c r="AV1643" s="81"/>
      <c r="AW1643" s="81" t="b">
        <v>0</v>
      </c>
      <c r="AX1643" s="81" t="s">
        <v>3728</v>
      </c>
      <c r="AY1643" s="84" t="str">
        <f>HYPERLINK("https://twitter.com/naynayli_")</f>
        <v>https://twitter.com/naynayli_</v>
      </c>
      <c r="AZ1643" s="81" t="s">
        <v>66</v>
      </c>
    </row>
    <row r="1644" spans="1:52" x14ac:dyDescent="0.35">
      <c r="A1644" s="66" t="s">
        <v>12577</v>
      </c>
      <c r="B1644" s="67"/>
      <c r="C1644" s="67"/>
      <c r="D1644" s="68"/>
      <c r="E1644" s="94"/>
      <c r="F1644" s="93" t="str">
        <f>HYPERLINK("https://pbs.twimg.com/profile_images/1436614885236899840/sUrgkqKA_normal.jpg")</f>
        <v>https://pbs.twimg.com/profile_images/1436614885236899840/sUrgkqKA_normal.jpg</v>
      </c>
      <c r="G1644" s="95"/>
      <c r="H1644" s="71"/>
      <c r="I1644" s="72"/>
      <c r="J1644" s="96"/>
      <c r="K1644" s="71" t="s">
        <v>14412</v>
      </c>
      <c r="L1644" s="97"/>
      <c r="M1644" s="76"/>
      <c r="N1644" s="76"/>
      <c r="O1644" s="77"/>
      <c r="P1644" s="78"/>
      <c r="Q1644" s="78"/>
      <c r="R1644" s="92"/>
      <c r="S1644" s="92"/>
      <c r="T1644" s="92"/>
      <c r="U1644" s="92"/>
      <c r="V1644" s="52"/>
      <c r="W1644" s="52"/>
      <c r="X1644" s="52"/>
      <c r="Y1644" s="52"/>
      <c r="Z1644" s="51"/>
      <c r="AA1644" s="73"/>
      <c r="AB1644" s="73"/>
      <c r="AC1644" s="74"/>
      <c r="AD1644" s="81" t="s">
        <v>13605</v>
      </c>
      <c r="AE1644" s="86" t="s">
        <v>13815</v>
      </c>
      <c r="AF1644" s="81">
        <v>264</v>
      </c>
      <c r="AG1644" s="81">
        <v>147</v>
      </c>
      <c r="AH1644" s="81">
        <v>8808</v>
      </c>
      <c r="AI1644" s="81">
        <v>12763</v>
      </c>
      <c r="AJ1644" s="81"/>
      <c r="AK1644" s="81" t="s">
        <v>14059</v>
      </c>
      <c r="AL1644" s="81" t="s">
        <v>14216</v>
      </c>
      <c r="AM1644" s="81"/>
      <c r="AN1644" s="81"/>
      <c r="AO1644" s="83">
        <v>43916.727372685185</v>
      </c>
      <c r="AP1644" s="84" t="str">
        <f>HYPERLINK("https://pbs.twimg.com/profile_banners/1243227999920467968/1631634251")</f>
        <v>https://pbs.twimg.com/profile_banners/1243227999920467968/1631634251</v>
      </c>
      <c r="AQ1644" s="81" t="b">
        <v>1</v>
      </c>
      <c r="AR1644" s="81" t="b">
        <v>0</v>
      </c>
      <c r="AS1644" s="81" t="b">
        <v>0</v>
      </c>
      <c r="AT1644" s="81"/>
      <c r="AU1644" s="81">
        <v>0</v>
      </c>
      <c r="AV1644" s="81"/>
      <c r="AW1644" s="81" t="b">
        <v>0</v>
      </c>
      <c r="AX1644" s="81" t="s">
        <v>3728</v>
      </c>
      <c r="AY1644" s="84" t="str">
        <f>HYPERLINK("https://twitter.com/sweettyprncss")</f>
        <v>https://twitter.com/sweettyprncss</v>
      </c>
      <c r="AZ1644" s="81" t="s">
        <v>66</v>
      </c>
    </row>
    <row r="1645" spans="1:52" x14ac:dyDescent="0.35">
      <c r="A1645" s="66" t="s">
        <v>320</v>
      </c>
      <c r="B1645" s="67"/>
      <c r="C1645" s="67"/>
      <c r="D1645" s="68"/>
      <c r="E1645" s="94"/>
      <c r="F1645" s="93" t="str">
        <f>HYPERLINK("https://pbs.twimg.com/profile_images/1353853268976312320/5QYb3LCX_normal.jpg")</f>
        <v>https://pbs.twimg.com/profile_images/1353853268976312320/5QYb3LCX_normal.jpg</v>
      </c>
      <c r="G1645" s="95"/>
      <c r="H1645" s="71"/>
      <c r="I1645" s="72"/>
      <c r="J1645" s="96"/>
      <c r="K1645" s="71" t="s">
        <v>14413</v>
      </c>
      <c r="L1645" s="97"/>
      <c r="M1645" s="76"/>
      <c r="N1645" s="76"/>
      <c r="O1645" s="77"/>
      <c r="P1645" s="78"/>
      <c r="Q1645" s="78"/>
      <c r="R1645" s="92"/>
      <c r="S1645" s="92"/>
      <c r="T1645" s="92"/>
      <c r="U1645" s="92"/>
      <c r="V1645" s="52"/>
      <c r="W1645" s="52"/>
      <c r="X1645" s="52"/>
      <c r="Y1645" s="52"/>
      <c r="Z1645" s="51"/>
      <c r="AA1645" s="73"/>
      <c r="AB1645" s="73"/>
      <c r="AC1645" s="74"/>
      <c r="AD1645" s="81" t="s">
        <v>2374</v>
      </c>
      <c r="AE1645" s="86" t="s">
        <v>2800</v>
      </c>
      <c r="AF1645" s="81">
        <v>5</v>
      </c>
      <c r="AG1645" s="81">
        <v>619</v>
      </c>
      <c r="AH1645" s="81">
        <v>13405</v>
      </c>
      <c r="AI1645" s="81">
        <v>37</v>
      </c>
      <c r="AJ1645" s="81"/>
      <c r="AK1645" s="81" t="s">
        <v>3206</v>
      </c>
      <c r="AL1645" s="81" t="s">
        <v>3562</v>
      </c>
      <c r="AM1645" s="81"/>
      <c r="AN1645" s="81"/>
      <c r="AO1645" s="83">
        <v>44213.376759259256</v>
      </c>
      <c r="AP1645" s="84" t="str">
        <f>HYPERLINK("https://pbs.twimg.com/profile_banners/1350730138997018624/1611587541")</f>
        <v>https://pbs.twimg.com/profile_banners/1350730138997018624/1611587541</v>
      </c>
      <c r="AQ1645" s="81" t="b">
        <v>1</v>
      </c>
      <c r="AR1645" s="81" t="b">
        <v>0</v>
      </c>
      <c r="AS1645" s="81" t="b">
        <v>0</v>
      </c>
      <c r="AT1645" s="81"/>
      <c r="AU1645" s="81">
        <v>3</v>
      </c>
      <c r="AV1645" s="81"/>
      <c r="AW1645" s="81" t="b">
        <v>0</v>
      </c>
      <c r="AX1645" s="81" t="s">
        <v>3728</v>
      </c>
      <c r="AY1645" s="84" t="str">
        <f>HYPERLINK("https://twitter.com/dearczennies_")</f>
        <v>https://twitter.com/dearczennies_</v>
      </c>
      <c r="AZ1645" s="81" t="s">
        <v>66</v>
      </c>
    </row>
    <row r="1646" spans="1:52" x14ac:dyDescent="0.35">
      <c r="A1646" s="66" t="s">
        <v>12578</v>
      </c>
      <c r="B1646" s="67"/>
      <c r="C1646" s="67"/>
      <c r="D1646" s="68"/>
      <c r="E1646" s="94"/>
      <c r="F1646" s="93" t="str">
        <f>HYPERLINK("https://pbs.twimg.com/profile_images/1436374531011235879/wMUZddAm_normal.png")</f>
        <v>https://pbs.twimg.com/profile_images/1436374531011235879/wMUZddAm_normal.png</v>
      </c>
      <c r="G1646" s="95"/>
      <c r="H1646" s="71"/>
      <c r="I1646" s="72"/>
      <c r="J1646" s="96"/>
      <c r="K1646" s="71" t="s">
        <v>14414</v>
      </c>
      <c r="L1646" s="97"/>
      <c r="M1646" s="76"/>
      <c r="N1646" s="76"/>
      <c r="O1646" s="77"/>
      <c r="P1646" s="78"/>
      <c r="Q1646" s="78"/>
      <c r="R1646" s="92"/>
      <c r="S1646" s="92"/>
      <c r="T1646" s="92"/>
      <c r="U1646" s="92"/>
      <c r="V1646" s="52"/>
      <c r="W1646" s="52"/>
      <c r="X1646" s="52"/>
      <c r="Y1646" s="52"/>
      <c r="Z1646" s="51"/>
      <c r="AA1646" s="73"/>
      <c r="AB1646" s="73"/>
      <c r="AC1646" s="74"/>
      <c r="AD1646" s="81" t="s">
        <v>13606</v>
      </c>
      <c r="AE1646" s="86" t="s">
        <v>13816</v>
      </c>
      <c r="AF1646" s="81">
        <v>652</v>
      </c>
      <c r="AG1646" s="81">
        <v>268</v>
      </c>
      <c r="AH1646" s="81">
        <v>139</v>
      </c>
      <c r="AI1646" s="81">
        <v>141</v>
      </c>
      <c r="AJ1646" s="81"/>
      <c r="AK1646" s="81" t="s">
        <v>14060</v>
      </c>
      <c r="AL1646" s="81" t="s">
        <v>14217</v>
      </c>
      <c r="AM1646" s="81"/>
      <c r="AN1646" s="81"/>
      <c r="AO1646" s="83">
        <v>44449.710057870368</v>
      </c>
      <c r="AP1646" s="81"/>
      <c r="AQ1646" s="81" t="b">
        <v>1</v>
      </c>
      <c r="AR1646" s="81" t="b">
        <v>0</v>
      </c>
      <c r="AS1646" s="81" t="b">
        <v>0</v>
      </c>
      <c r="AT1646" s="81"/>
      <c r="AU1646" s="81">
        <v>0</v>
      </c>
      <c r="AV1646" s="81"/>
      <c r="AW1646" s="81" t="b">
        <v>0</v>
      </c>
      <c r="AX1646" s="81" t="s">
        <v>3728</v>
      </c>
      <c r="AY1646" s="84" t="str">
        <f>HYPERLINK("https://twitter.com/antniosrgiomen4")</f>
        <v>https://twitter.com/antniosrgiomen4</v>
      </c>
      <c r="AZ1646" s="81" t="s">
        <v>66</v>
      </c>
    </row>
    <row r="1647" spans="1:52" x14ac:dyDescent="0.35">
      <c r="A1647" s="66" t="s">
        <v>12705</v>
      </c>
      <c r="B1647" s="67"/>
      <c r="C1647" s="67"/>
      <c r="D1647" s="68"/>
      <c r="E1647" s="94"/>
      <c r="F1647" s="93" t="str">
        <f>HYPERLINK("https://pbs.twimg.com/profile_images/1410643486009958401/owIURLL5_normal.jpg")</f>
        <v>https://pbs.twimg.com/profile_images/1410643486009958401/owIURLL5_normal.jpg</v>
      </c>
      <c r="G1647" s="95"/>
      <c r="H1647" s="71"/>
      <c r="I1647" s="72"/>
      <c r="J1647" s="96"/>
      <c r="K1647" s="71" t="s">
        <v>14415</v>
      </c>
      <c r="L1647" s="97"/>
      <c r="M1647" s="76"/>
      <c r="N1647" s="76"/>
      <c r="O1647" s="77"/>
      <c r="P1647" s="78"/>
      <c r="Q1647" s="78"/>
      <c r="R1647" s="92"/>
      <c r="S1647" s="92"/>
      <c r="T1647" s="92"/>
      <c r="U1647" s="92"/>
      <c r="V1647" s="52"/>
      <c r="W1647" s="52"/>
      <c r="X1647" s="52"/>
      <c r="Y1647" s="52"/>
      <c r="Z1647" s="51"/>
      <c r="AA1647" s="73"/>
      <c r="AB1647" s="73"/>
      <c r="AC1647" s="74"/>
      <c r="AD1647" s="81" t="s">
        <v>13607</v>
      </c>
      <c r="AE1647" s="86" t="s">
        <v>13422</v>
      </c>
      <c r="AF1647" s="81">
        <v>1161</v>
      </c>
      <c r="AG1647" s="81">
        <v>413272</v>
      </c>
      <c r="AH1647" s="81">
        <v>50214</v>
      </c>
      <c r="AI1647" s="81">
        <v>7113</v>
      </c>
      <c r="AJ1647" s="81"/>
      <c r="AK1647" s="81" t="s">
        <v>14061</v>
      </c>
      <c r="AL1647" s="81" t="s">
        <v>10975</v>
      </c>
      <c r="AM1647" s="84" t="str">
        <f>HYPERLINK("https://t.co/c7JGZUJJBg")</f>
        <v>https://t.co/c7JGZUJJBg</v>
      </c>
      <c r="AN1647" s="81"/>
      <c r="AO1647" s="83">
        <v>42076.087083333332</v>
      </c>
      <c r="AP1647" s="84" t="str">
        <f>HYPERLINK("https://pbs.twimg.com/profile_banners/3090382647/1631048713")</f>
        <v>https://pbs.twimg.com/profile_banners/3090382647/1631048713</v>
      </c>
      <c r="AQ1647" s="81" t="b">
        <v>0</v>
      </c>
      <c r="AR1647" s="81" t="b">
        <v>0</v>
      </c>
      <c r="AS1647" s="81" t="b">
        <v>1</v>
      </c>
      <c r="AT1647" s="81"/>
      <c r="AU1647" s="81">
        <v>1494</v>
      </c>
      <c r="AV1647" s="84" t="str">
        <f>HYPERLINK("https://abs.twimg.com/images/themes/theme1/bg.png")</f>
        <v>https://abs.twimg.com/images/themes/theme1/bg.png</v>
      </c>
      <c r="AW1647" s="81" t="b">
        <v>1</v>
      </c>
      <c r="AX1647" s="81" t="s">
        <v>3728</v>
      </c>
      <c r="AY1647" s="84" t="str">
        <f>HYPERLINK("https://twitter.com/j_livres")</f>
        <v>https://twitter.com/j_livres</v>
      </c>
      <c r="AZ1647" s="81" t="s">
        <v>65</v>
      </c>
    </row>
    <row r="1648" spans="1:52" x14ac:dyDescent="0.35">
      <c r="A1648" s="66" t="s">
        <v>12579</v>
      </c>
      <c r="B1648" s="67"/>
      <c r="C1648" s="67"/>
      <c r="D1648" s="68"/>
      <c r="E1648" s="94"/>
      <c r="F1648" s="93" t="str">
        <f>HYPERLINK("https://pbs.twimg.com/profile_images/1443245492431851521/7aV4EfYG_normal.jpg")</f>
        <v>https://pbs.twimg.com/profile_images/1443245492431851521/7aV4EfYG_normal.jpg</v>
      </c>
      <c r="G1648" s="95"/>
      <c r="H1648" s="71"/>
      <c r="I1648" s="72"/>
      <c r="J1648" s="96"/>
      <c r="K1648" s="71" t="s">
        <v>14416</v>
      </c>
      <c r="L1648" s="97"/>
      <c r="M1648" s="76"/>
      <c r="N1648" s="76"/>
      <c r="O1648" s="77"/>
      <c r="P1648" s="78"/>
      <c r="Q1648" s="78"/>
      <c r="R1648" s="92"/>
      <c r="S1648" s="92"/>
      <c r="T1648" s="92"/>
      <c r="U1648" s="92"/>
      <c r="V1648" s="52"/>
      <c r="W1648" s="52"/>
      <c r="X1648" s="52"/>
      <c r="Y1648" s="52"/>
      <c r="Z1648" s="51"/>
      <c r="AA1648" s="73"/>
      <c r="AB1648" s="73"/>
      <c r="AC1648" s="74"/>
      <c r="AD1648" s="81" t="s">
        <v>13608</v>
      </c>
      <c r="AE1648" s="86" t="s">
        <v>13817</v>
      </c>
      <c r="AF1648" s="81">
        <v>294</v>
      </c>
      <c r="AG1648" s="81">
        <v>402</v>
      </c>
      <c r="AH1648" s="81">
        <v>14375</v>
      </c>
      <c r="AI1648" s="81">
        <v>21691</v>
      </c>
      <c r="AJ1648" s="81"/>
      <c r="AK1648" s="81" t="s">
        <v>14062</v>
      </c>
      <c r="AL1648" s="81" t="s">
        <v>14218</v>
      </c>
      <c r="AM1648" s="81"/>
      <c r="AN1648" s="81"/>
      <c r="AO1648" s="83">
        <v>42008.403483796297</v>
      </c>
      <c r="AP1648" s="84" t="str">
        <f>HYPERLINK("https://pbs.twimg.com/profile_banners/2958228468/1632931513")</f>
        <v>https://pbs.twimg.com/profile_banners/2958228468/1632931513</v>
      </c>
      <c r="AQ1648" s="81" t="b">
        <v>1</v>
      </c>
      <c r="AR1648" s="81" t="b">
        <v>0</v>
      </c>
      <c r="AS1648" s="81" t="b">
        <v>0</v>
      </c>
      <c r="AT1648" s="81"/>
      <c r="AU1648" s="81">
        <v>3</v>
      </c>
      <c r="AV1648" s="84" t="str">
        <f>HYPERLINK("https://abs.twimg.com/images/themes/theme1/bg.png")</f>
        <v>https://abs.twimg.com/images/themes/theme1/bg.png</v>
      </c>
      <c r="AW1648" s="81" t="b">
        <v>0</v>
      </c>
      <c r="AX1648" s="81" t="s">
        <v>3728</v>
      </c>
      <c r="AY1648" s="84" t="str">
        <f>HYPERLINK("https://twitter.com/aestheticallyeo")</f>
        <v>https://twitter.com/aestheticallyeo</v>
      </c>
      <c r="AZ1648" s="81" t="s">
        <v>66</v>
      </c>
    </row>
    <row r="1649" spans="1:52" x14ac:dyDescent="0.35">
      <c r="A1649" s="66" t="s">
        <v>12580</v>
      </c>
      <c r="B1649" s="67"/>
      <c r="C1649" s="67"/>
      <c r="D1649" s="68"/>
      <c r="E1649" s="94"/>
      <c r="F1649" s="93" t="str">
        <f>HYPERLINK("https://pbs.twimg.com/profile_images/1443177513367134214/14YpxANA_normal.jpg")</f>
        <v>https://pbs.twimg.com/profile_images/1443177513367134214/14YpxANA_normal.jpg</v>
      </c>
      <c r="G1649" s="95"/>
      <c r="H1649" s="71"/>
      <c r="I1649" s="72"/>
      <c r="J1649" s="96"/>
      <c r="K1649" s="71" t="s">
        <v>14417</v>
      </c>
      <c r="L1649" s="97"/>
      <c r="M1649" s="76"/>
      <c r="N1649" s="76"/>
      <c r="O1649" s="77"/>
      <c r="P1649" s="78"/>
      <c r="Q1649" s="78"/>
      <c r="R1649" s="92"/>
      <c r="S1649" s="92"/>
      <c r="T1649" s="92"/>
      <c r="U1649" s="92"/>
      <c r="V1649" s="52"/>
      <c r="W1649" s="52"/>
      <c r="X1649" s="52"/>
      <c r="Y1649" s="52"/>
      <c r="Z1649" s="51"/>
      <c r="AA1649" s="73"/>
      <c r="AB1649" s="73"/>
      <c r="AC1649" s="74"/>
      <c r="AD1649" s="81" t="s">
        <v>13609</v>
      </c>
      <c r="AE1649" s="86" t="s">
        <v>13818</v>
      </c>
      <c r="AF1649" s="81">
        <v>853</v>
      </c>
      <c r="AG1649" s="81">
        <v>659</v>
      </c>
      <c r="AH1649" s="81">
        <v>15811</v>
      </c>
      <c r="AI1649" s="81">
        <v>57284</v>
      </c>
      <c r="AJ1649" s="81"/>
      <c r="AK1649" s="81" t="s">
        <v>14063</v>
      </c>
      <c r="AL1649" s="81" t="s">
        <v>3508</v>
      </c>
      <c r="AM1649" s="84" t="str">
        <f>HYPERLINK("https://t.co/CBy9XGWzru")</f>
        <v>https://t.co/CBy9XGWzru</v>
      </c>
      <c r="AN1649" s="81"/>
      <c r="AO1649" s="83">
        <v>44057.528587962966</v>
      </c>
      <c r="AP1649" s="84" t="str">
        <f>HYPERLINK("https://pbs.twimg.com/profile_banners/1294252691397304320/1626158930")</f>
        <v>https://pbs.twimg.com/profile_banners/1294252691397304320/1626158930</v>
      </c>
      <c r="AQ1649" s="81" t="b">
        <v>1</v>
      </c>
      <c r="AR1649" s="81" t="b">
        <v>0</v>
      </c>
      <c r="AS1649" s="81" t="b">
        <v>0</v>
      </c>
      <c r="AT1649" s="81"/>
      <c r="AU1649" s="81">
        <v>3</v>
      </c>
      <c r="AV1649" s="81"/>
      <c r="AW1649" s="81" t="b">
        <v>0</v>
      </c>
      <c r="AX1649" s="81" t="s">
        <v>3728</v>
      </c>
      <c r="AY1649" s="84" t="str">
        <f>HYPERLINK("https://twitter.com/qtpiejcm")</f>
        <v>https://twitter.com/qtpiejcm</v>
      </c>
      <c r="AZ1649" s="81" t="s">
        <v>66</v>
      </c>
    </row>
    <row r="1650" spans="1:52" x14ac:dyDescent="0.35">
      <c r="A1650" s="66" t="s">
        <v>5228</v>
      </c>
      <c r="B1650" s="67"/>
      <c r="C1650" s="67"/>
      <c r="D1650" s="68"/>
      <c r="E1650" s="94"/>
      <c r="F1650" s="93" t="str">
        <f>HYPERLINK("https://pbs.twimg.com/profile_images/1056205859536158720/fw2ytANd_normal.jpg")</f>
        <v>https://pbs.twimg.com/profile_images/1056205859536158720/fw2ytANd_normal.jpg</v>
      </c>
      <c r="G1650" s="95"/>
      <c r="H1650" s="71"/>
      <c r="I1650" s="72"/>
      <c r="J1650" s="96"/>
      <c r="K1650" s="71" t="s">
        <v>12438</v>
      </c>
      <c r="L1650" s="97"/>
      <c r="M1650" s="76"/>
      <c r="N1650" s="76"/>
      <c r="O1650" s="77"/>
      <c r="P1650" s="78"/>
      <c r="Q1650" s="78"/>
      <c r="R1650" s="92"/>
      <c r="S1650" s="92"/>
      <c r="T1650" s="92"/>
      <c r="U1650" s="92"/>
      <c r="V1650" s="52"/>
      <c r="W1650" s="52"/>
      <c r="X1650" s="52"/>
      <c r="Y1650" s="52"/>
      <c r="Z1650" s="51"/>
      <c r="AA1650" s="73"/>
      <c r="AB1650" s="73"/>
      <c r="AC1650" s="74"/>
      <c r="AD1650" s="81" t="s">
        <v>9052</v>
      </c>
      <c r="AE1650" s="86" t="s">
        <v>7948</v>
      </c>
      <c r="AF1650" s="81">
        <v>537</v>
      </c>
      <c r="AG1650" s="81">
        <v>13196491</v>
      </c>
      <c r="AH1650" s="81">
        <v>12259</v>
      </c>
      <c r="AI1650" s="81">
        <v>202</v>
      </c>
      <c r="AJ1650" s="81"/>
      <c r="AK1650" s="81" t="s">
        <v>10916</v>
      </c>
      <c r="AL1650" s="81" t="s">
        <v>10970</v>
      </c>
      <c r="AM1650" s="81"/>
      <c r="AN1650" s="81"/>
      <c r="AO1650" s="83">
        <v>39961.087546296294</v>
      </c>
      <c r="AP1650" s="84" t="str">
        <f>HYPERLINK("https://pbs.twimg.com/profile_banners/43023158/1608040934")</f>
        <v>https://pbs.twimg.com/profile_banners/43023158/1608040934</v>
      </c>
      <c r="AQ1650" s="81" t="b">
        <v>0</v>
      </c>
      <c r="AR1650" s="81" t="b">
        <v>0</v>
      </c>
      <c r="AS1650" s="81" t="b">
        <v>1</v>
      </c>
      <c r="AT1650" s="81"/>
      <c r="AU1650" s="81">
        <v>25339</v>
      </c>
      <c r="AV1650" s="84" t="str">
        <f>HYPERLINK("https://abs.twimg.com/images/themes/theme1/bg.png")</f>
        <v>https://abs.twimg.com/images/themes/theme1/bg.png</v>
      </c>
      <c r="AW1650" s="81" t="b">
        <v>1</v>
      </c>
      <c r="AX1650" s="81" t="s">
        <v>3728</v>
      </c>
      <c r="AY1650" s="84" t="str">
        <f>HYPERLINK("https://twitter.com/lucianohuck")</f>
        <v>https://twitter.com/lucianohuck</v>
      </c>
      <c r="AZ1650" s="81" t="s">
        <v>65</v>
      </c>
    </row>
    <row r="1651" spans="1:52" x14ac:dyDescent="0.35">
      <c r="A1651" s="66" t="s">
        <v>4964</v>
      </c>
      <c r="B1651" s="67"/>
      <c r="C1651" s="67"/>
      <c r="D1651" s="68"/>
      <c r="E1651" s="94"/>
      <c r="F1651" s="93" t="str">
        <f>HYPERLINK("https://pbs.twimg.com/profile_images/1442268002653704194/YVzvfEte_normal.jpg")</f>
        <v>https://pbs.twimg.com/profile_images/1442268002653704194/YVzvfEte_normal.jpg</v>
      </c>
      <c r="G1651" s="95"/>
      <c r="H1651" s="71"/>
      <c r="I1651" s="72"/>
      <c r="J1651" s="96"/>
      <c r="K1651" s="71" t="s">
        <v>12439</v>
      </c>
      <c r="L1651" s="97"/>
      <c r="M1651" s="76"/>
      <c r="N1651" s="76"/>
      <c r="O1651" s="77"/>
      <c r="P1651" s="78"/>
      <c r="Q1651" s="78"/>
      <c r="R1651" s="92"/>
      <c r="S1651" s="92"/>
      <c r="T1651" s="92"/>
      <c r="U1651" s="92"/>
      <c r="V1651" s="52"/>
      <c r="W1651" s="52"/>
      <c r="X1651" s="52"/>
      <c r="Y1651" s="52"/>
      <c r="Z1651" s="51"/>
      <c r="AA1651" s="73"/>
      <c r="AB1651" s="73"/>
      <c r="AC1651" s="74"/>
      <c r="AD1651" s="81" t="s">
        <v>9053</v>
      </c>
      <c r="AE1651" s="86" t="s">
        <v>9997</v>
      </c>
      <c r="AF1651" s="81">
        <v>4688</v>
      </c>
      <c r="AG1651" s="81">
        <v>4450</v>
      </c>
      <c r="AH1651" s="81">
        <v>174810</v>
      </c>
      <c r="AI1651" s="81">
        <v>131912</v>
      </c>
      <c r="AJ1651" s="81"/>
      <c r="AK1651" s="81" t="s">
        <v>10917</v>
      </c>
      <c r="AL1651" s="81" t="s">
        <v>11374</v>
      </c>
      <c r="AM1651" s="81"/>
      <c r="AN1651" s="81"/>
      <c r="AO1651" s="83">
        <v>41962.86513888889</v>
      </c>
      <c r="AP1651" s="84" t="str">
        <f>HYPERLINK("https://pbs.twimg.com/profile_banners/2884739723/1584308196")</f>
        <v>https://pbs.twimg.com/profile_banners/2884739723/1584308196</v>
      </c>
      <c r="AQ1651" s="81" t="b">
        <v>1</v>
      </c>
      <c r="AR1651" s="81" t="b">
        <v>0</v>
      </c>
      <c r="AS1651" s="81" t="b">
        <v>1</v>
      </c>
      <c r="AT1651" s="81"/>
      <c r="AU1651" s="81">
        <v>19</v>
      </c>
      <c r="AV1651" s="84" t="str">
        <f>HYPERLINK("https://abs.twimg.com/images/themes/theme1/bg.png")</f>
        <v>https://abs.twimg.com/images/themes/theme1/bg.png</v>
      </c>
      <c r="AW1651" s="81" t="b">
        <v>0</v>
      </c>
      <c r="AX1651" s="81" t="s">
        <v>3728</v>
      </c>
      <c r="AY1651" s="84" t="str">
        <f>HYPERLINK("https://twitter.com/solcaetanocost1")</f>
        <v>https://twitter.com/solcaetanocost1</v>
      </c>
      <c r="AZ1651" s="81" t="s">
        <v>66</v>
      </c>
    </row>
    <row r="1652" spans="1:52" x14ac:dyDescent="0.35">
      <c r="A1652" s="66" t="s">
        <v>5229</v>
      </c>
      <c r="B1652" s="67"/>
      <c r="C1652" s="67"/>
      <c r="D1652" s="68"/>
      <c r="E1652" s="94"/>
      <c r="F1652" s="93" t="str">
        <f>HYPERLINK("https://pbs.twimg.com/profile_images/1107367660579377153/1ZELS8bF_normal.jpg")</f>
        <v>https://pbs.twimg.com/profile_images/1107367660579377153/1ZELS8bF_normal.jpg</v>
      </c>
      <c r="G1652" s="95"/>
      <c r="H1652" s="71"/>
      <c r="I1652" s="72"/>
      <c r="J1652" s="96"/>
      <c r="K1652" s="71" t="s">
        <v>12440</v>
      </c>
      <c r="L1652" s="97"/>
      <c r="M1652" s="76"/>
      <c r="N1652" s="76"/>
      <c r="O1652" s="77"/>
      <c r="P1652" s="78"/>
      <c r="Q1652" s="78"/>
      <c r="R1652" s="92"/>
      <c r="S1652" s="92"/>
      <c r="T1652" s="92"/>
      <c r="U1652" s="92"/>
      <c r="V1652" s="52"/>
      <c r="W1652" s="52"/>
      <c r="X1652" s="52"/>
      <c r="Y1652" s="52"/>
      <c r="Z1652" s="51"/>
      <c r="AA1652" s="73"/>
      <c r="AB1652" s="73"/>
      <c r="AC1652" s="74"/>
      <c r="AD1652" s="81" t="s">
        <v>9054</v>
      </c>
      <c r="AE1652" s="86" t="s">
        <v>9998</v>
      </c>
      <c r="AF1652" s="81">
        <v>221</v>
      </c>
      <c r="AG1652" s="81">
        <v>14398</v>
      </c>
      <c r="AH1652" s="81">
        <v>3283</v>
      </c>
      <c r="AI1652" s="81">
        <v>4519</v>
      </c>
      <c r="AJ1652" s="81"/>
      <c r="AK1652" s="81" t="s">
        <v>10918</v>
      </c>
      <c r="AL1652" s="81" t="s">
        <v>10975</v>
      </c>
      <c r="AM1652" s="84" t="str">
        <f>HYPERLINK("https://t.co/ZDjQBfwsIz")</f>
        <v>https://t.co/ZDjQBfwsIz</v>
      </c>
      <c r="AN1652" s="81"/>
      <c r="AO1652" s="83">
        <v>40317.844259259262</v>
      </c>
      <c r="AP1652" s="84" t="str">
        <f>HYPERLINK("https://pbs.twimg.com/profile_banners/145758202/1622728244")</f>
        <v>https://pbs.twimg.com/profile_banners/145758202/1622728244</v>
      </c>
      <c r="AQ1652" s="81" t="b">
        <v>0</v>
      </c>
      <c r="AR1652" s="81" t="b">
        <v>0</v>
      </c>
      <c r="AS1652" s="81" t="b">
        <v>1</v>
      </c>
      <c r="AT1652" s="81"/>
      <c r="AU1652" s="81">
        <v>67</v>
      </c>
      <c r="AV1652" s="84" t="str">
        <f>HYPERLINK("https://abs.twimg.com/images/themes/theme1/bg.png")</f>
        <v>https://abs.twimg.com/images/themes/theme1/bg.png</v>
      </c>
      <c r="AW1652" s="81" t="b">
        <v>0</v>
      </c>
      <c r="AX1652" s="81" t="s">
        <v>3728</v>
      </c>
      <c r="AY1652" s="84" t="str">
        <f>HYPERLINK("https://twitter.com/mlfattorelli")</f>
        <v>https://twitter.com/mlfattorelli</v>
      </c>
      <c r="AZ1652" s="81" t="s">
        <v>65</v>
      </c>
    </row>
    <row r="1653" spans="1:52" x14ac:dyDescent="0.35">
      <c r="A1653" s="66" t="s">
        <v>4966</v>
      </c>
      <c r="B1653" s="67"/>
      <c r="C1653" s="67"/>
      <c r="D1653" s="68"/>
      <c r="E1653" s="94"/>
      <c r="F1653" s="93" t="str">
        <f>HYPERLINK("https://pbs.twimg.com/profile_images/1281040610372222982/GJuyvmvD_normal.jpg")</f>
        <v>https://pbs.twimg.com/profile_images/1281040610372222982/GJuyvmvD_normal.jpg</v>
      </c>
      <c r="G1653" s="95"/>
      <c r="H1653" s="71"/>
      <c r="I1653" s="72"/>
      <c r="J1653" s="96"/>
      <c r="K1653" s="71" t="s">
        <v>12441</v>
      </c>
      <c r="L1653" s="97"/>
      <c r="M1653" s="76"/>
      <c r="N1653" s="76"/>
      <c r="O1653" s="77"/>
      <c r="P1653" s="78"/>
      <c r="Q1653" s="78"/>
      <c r="R1653" s="92"/>
      <c r="S1653" s="92"/>
      <c r="T1653" s="92"/>
      <c r="U1653" s="92"/>
      <c r="V1653" s="52"/>
      <c r="W1653" s="52"/>
      <c r="X1653" s="52"/>
      <c r="Y1653" s="52"/>
      <c r="Z1653" s="51"/>
      <c r="AA1653" s="73"/>
      <c r="AB1653" s="73"/>
      <c r="AC1653" s="74"/>
      <c r="AD1653" s="81" t="s">
        <v>9055</v>
      </c>
      <c r="AE1653" s="86" t="s">
        <v>9999</v>
      </c>
      <c r="AF1653" s="81">
        <v>10706</v>
      </c>
      <c r="AG1653" s="81">
        <v>10835</v>
      </c>
      <c r="AH1653" s="81">
        <v>104480</v>
      </c>
      <c r="AI1653" s="81">
        <v>24952</v>
      </c>
      <c r="AJ1653" s="81"/>
      <c r="AK1653" s="81" t="s">
        <v>10919</v>
      </c>
      <c r="AL1653" s="81"/>
      <c r="AM1653" s="81"/>
      <c r="AN1653" s="81"/>
      <c r="AO1653" s="83">
        <v>43590.904606481483</v>
      </c>
      <c r="AP1653" s="84" t="str">
        <f>HYPERLINK("https://pbs.twimg.com/profile_banners/1125153857963745280/1594002172")</f>
        <v>https://pbs.twimg.com/profile_banners/1125153857963745280/1594002172</v>
      </c>
      <c r="AQ1653" s="81" t="b">
        <v>1</v>
      </c>
      <c r="AR1653" s="81" t="b">
        <v>0</v>
      </c>
      <c r="AS1653" s="81" t="b">
        <v>0</v>
      </c>
      <c r="AT1653" s="81"/>
      <c r="AU1653" s="81">
        <v>7</v>
      </c>
      <c r="AV1653" s="81"/>
      <c r="AW1653" s="81" t="b">
        <v>0</v>
      </c>
      <c r="AX1653" s="81" t="s">
        <v>3728</v>
      </c>
      <c r="AY1653" s="84" t="str">
        <f>HYPERLINK("https://twitter.com/lotemarcio")</f>
        <v>https://twitter.com/lotemarcio</v>
      </c>
      <c r="AZ1653" s="81" t="s">
        <v>66</v>
      </c>
    </row>
    <row r="1654" spans="1:52" x14ac:dyDescent="0.35">
      <c r="A1654" s="66" t="s">
        <v>5230</v>
      </c>
      <c r="B1654" s="67"/>
      <c r="C1654" s="67"/>
      <c r="D1654" s="68"/>
      <c r="E1654" s="94"/>
      <c r="F1654" s="93" t="str">
        <f>HYPERLINK("https://pbs.twimg.com/profile_images/1398055525506596876/XAqj_DDK_normal.jpg")</f>
        <v>https://pbs.twimg.com/profile_images/1398055525506596876/XAqj_DDK_normal.jpg</v>
      </c>
      <c r="G1654" s="95"/>
      <c r="H1654" s="71"/>
      <c r="I1654" s="72"/>
      <c r="J1654" s="96"/>
      <c r="K1654" s="71" t="s">
        <v>12442</v>
      </c>
      <c r="L1654" s="97"/>
      <c r="M1654" s="76"/>
      <c r="N1654" s="76"/>
      <c r="O1654" s="77"/>
      <c r="P1654" s="78"/>
      <c r="Q1654" s="78"/>
      <c r="R1654" s="92"/>
      <c r="S1654" s="92"/>
      <c r="T1654" s="92"/>
      <c r="U1654" s="92"/>
      <c r="V1654" s="52"/>
      <c r="W1654" s="52"/>
      <c r="X1654" s="52"/>
      <c r="Y1654" s="52"/>
      <c r="Z1654" s="51"/>
      <c r="AA1654" s="73"/>
      <c r="AB1654" s="73"/>
      <c r="AC1654" s="74"/>
      <c r="AD1654" s="81" t="s">
        <v>9056</v>
      </c>
      <c r="AE1654" s="86" t="s">
        <v>10000</v>
      </c>
      <c r="AF1654" s="81">
        <v>1637</v>
      </c>
      <c r="AG1654" s="81">
        <v>1541</v>
      </c>
      <c r="AH1654" s="81">
        <v>39043</v>
      </c>
      <c r="AI1654" s="81">
        <v>65136</v>
      </c>
      <c r="AJ1654" s="81"/>
      <c r="AK1654" s="81" t="s">
        <v>10920</v>
      </c>
      <c r="AL1654" s="81" t="s">
        <v>11375</v>
      </c>
      <c r="AM1654" s="81"/>
      <c r="AN1654" s="81"/>
      <c r="AO1654" s="83">
        <v>41035.729409722226</v>
      </c>
      <c r="AP1654" s="84" t="str">
        <f>HYPERLINK("https://pbs.twimg.com/profile_banners/572843753/1622157388")</f>
        <v>https://pbs.twimg.com/profile_banners/572843753/1622157388</v>
      </c>
      <c r="AQ1654" s="81" t="b">
        <v>1</v>
      </c>
      <c r="AR1654" s="81" t="b">
        <v>0</v>
      </c>
      <c r="AS1654" s="81" t="b">
        <v>0</v>
      </c>
      <c r="AT1654" s="81"/>
      <c r="AU1654" s="81">
        <v>3</v>
      </c>
      <c r="AV1654" s="84" t="str">
        <f>HYPERLINK("https://abs.twimg.com/images/themes/theme1/bg.png")</f>
        <v>https://abs.twimg.com/images/themes/theme1/bg.png</v>
      </c>
      <c r="AW1654" s="81" t="b">
        <v>0</v>
      </c>
      <c r="AX1654" s="81" t="s">
        <v>3728</v>
      </c>
      <c r="AY1654" s="84" t="str">
        <f>HYPERLINK("https://twitter.com/verancorrea")</f>
        <v>https://twitter.com/verancorrea</v>
      </c>
      <c r="AZ1654" s="81" t="s">
        <v>65</v>
      </c>
    </row>
    <row r="1655" spans="1:52" x14ac:dyDescent="0.35">
      <c r="A1655" s="66" t="s">
        <v>4946</v>
      </c>
      <c r="B1655" s="67"/>
      <c r="C1655" s="67"/>
      <c r="D1655" s="68"/>
      <c r="E1655" s="94"/>
      <c r="F1655" s="93" t="str">
        <f>HYPERLINK("https://pbs.twimg.com/profile_images/1193285207933231104/E0ZewVMF_normal.jpg")</f>
        <v>https://pbs.twimg.com/profile_images/1193285207933231104/E0ZewVMF_normal.jpg</v>
      </c>
      <c r="G1655" s="95"/>
      <c r="H1655" s="71"/>
      <c r="I1655" s="72"/>
      <c r="J1655" s="96"/>
      <c r="K1655" s="71" t="s">
        <v>12406</v>
      </c>
      <c r="L1655" s="97"/>
      <c r="M1655" s="76"/>
      <c r="N1655" s="76"/>
      <c r="O1655" s="77"/>
      <c r="P1655" s="78"/>
      <c r="Q1655" s="78"/>
      <c r="R1655" s="92"/>
      <c r="S1655" s="92"/>
      <c r="T1655" s="92"/>
      <c r="U1655" s="92"/>
      <c r="V1655" s="52"/>
      <c r="W1655" s="52"/>
      <c r="X1655" s="52"/>
      <c r="Y1655" s="52"/>
      <c r="Z1655" s="51"/>
      <c r="AA1655" s="73"/>
      <c r="AB1655" s="73"/>
      <c r="AC1655" s="74"/>
      <c r="AD1655" s="81" t="s">
        <v>9023</v>
      </c>
      <c r="AE1655" s="86" t="s">
        <v>9974</v>
      </c>
      <c r="AF1655" s="81">
        <v>1633</v>
      </c>
      <c r="AG1655" s="81">
        <v>1707</v>
      </c>
      <c r="AH1655" s="81">
        <v>15576</v>
      </c>
      <c r="AI1655" s="81">
        <v>17465</v>
      </c>
      <c r="AJ1655" s="81"/>
      <c r="AK1655" s="81" t="s">
        <v>10893</v>
      </c>
      <c r="AL1655" s="81"/>
      <c r="AM1655" s="81"/>
      <c r="AN1655" s="81"/>
      <c r="AO1655" s="83">
        <v>43778.911064814813</v>
      </c>
      <c r="AP1655" s="84" t="str">
        <f>HYPERLINK("https://pbs.twimg.com/profile_banners/1193285024981880833/1573337962")</f>
        <v>https://pbs.twimg.com/profile_banners/1193285024981880833/1573337962</v>
      </c>
      <c r="AQ1655" s="81" t="b">
        <v>1</v>
      </c>
      <c r="AR1655" s="81" t="b">
        <v>0</v>
      </c>
      <c r="AS1655" s="81" t="b">
        <v>0</v>
      </c>
      <c r="AT1655" s="81"/>
      <c r="AU1655" s="81">
        <v>0</v>
      </c>
      <c r="AV1655" s="81"/>
      <c r="AW1655" s="81" t="b">
        <v>0</v>
      </c>
      <c r="AX1655" s="81" t="s">
        <v>3728</v>
      </c>
      <c r="AY1655" s="84" t="str">
        <f>HYPERLINK("https://twitter.com/sim_paraiba")</f>
        <v>https://twitter.com/sim_paraiba</v>
      </c>
      <c r="AZ1655" s="81" t="s">
        <v>66</v>
      </c>
    </row>
    <row r="1656" spans="1:52" x14ac:dyDescent="0.35">
      <c r="A1656" s="66" t="s">
        <v>5231</v>
      </c>
      <c r="B1656" s="67"/>
      <c r="C1656" s="67"/>
      <c r="D1656" s="68"/>
      <c r="E1656" s="94"/>
      <c r="F1656" s="93" t="str">
        <f>HYPERLINK("https://pbs.twimg.com/profile_images/1361445905057071106/OYQE8wJW_normal.jpg")</f>
        <v>https://pbs.twimg.com/profile_images/1361445905057071106/OYQE8wJW_normal.jpg</v>
      </c>
      <c r="G1656" s="95"/>
      <c r="H1656" s="71"/>
      <c r="I1656" s="72"/>
      <c r="J1656" s="96"/>
      <c r="K1656" s="71" t="s">
        <v>12443</v>
      </c>
      <c r="L1656" s="97"/>
      <c r="M1656" s="76"/>
      <c r="N1656" s="76"/>
      <c r="O1656" s="77"/>
      <c r="P1656" s="78"/>
      <c r="Q1656" s="78"/>
      <c r="R1656" s="92"/>
      <c r="S1656" s="92"/>
      <c r="T1656" s="92"/>
      <c r="U1656" s="92"/>
      <c r="V1656" s="52"/>
      <c r="W1656" s="52"/>
      <c r="X1656" s="52"/>
      <c r="Y1656" s="52"/>
      <c r="Z1656" s="51"/>
      <c r="AA1656" s="73"/>
      <c r="AB1656" s="73"/>
      <c r="AC1656" s="74"/>
      <c r="AD1656" s="81" t="s">
        <v>9057</v>
      </c>
      <c r="AE1656" s="86" t="s">
        <v>10001</v>
      </c>
      <c r="AF1656" s="81">
        <v>3701</v>
      </c>
      <c r="AG1656" s="81">
        <v>3501</v>
      </c>
      <c r="AH1656" s="81">
        <v>20407</v>
      </c>
      <c r="AI1656" s="81">
        <v>44959</v>
      </c>
      <c r="AJ1656" s="81"/>
      <c r="AK1656" s="81" t="s">
        <v>10921</v>
      </c>
      <c r="AL1656" s="81" t="s">
        <v>10985</v>
      </c>
      <c r="AM1656" s="81"/>
      <c r="AN1656" s="81"/>
      <c r="AO1656" s="83">
        <v>40136.761967592596</v>
      </c>
      <c r="AP1656" s="84" t="str">
        <f>HYPERLINK("https://pbs.twimg.com/profile_banners/91158662/1627519356")</f>
        <v>https://pbs.twimg.com/profile_banners/91158662/1627519356</v>
      </c>
      <c r="AQ1656" s="81" t="b">
        <v>1</v>
      </c>
      <c r="AR1656" s="81" t="b">
        <v>0</v>
      </c>
      <c r="AS1656" s="81" t="b">
        <v>1</v>
      </c>
      <c r="AT1656" s="81"/>
      <c r="AU1656" s="81">
        <v>1</v>
      </c>
      <c r="AV1656" s="84" t="str">
        <f>HYPERLINK("https://abs.twimg.com/images/themes/theme1/bg.png")</f>
        <v>https://abs.twimg.com/images/themes/theme1/bg.png</v>
      </c>
      <c r="AW1656" s="81" t="b">
        <v>0</v>
      </c>
      <c r="AX1656" s="81" t="s">
        <v>3728</v>
      </c>
      <c r="AY1656" s="84" t="str">
        <f>HYPERLINK("https://twitter.com/danielsimonas")</f>
        <v>https://twitter.com/danielsimonas</v>
      </c>
      <c r="AZ1656" s="81" t="s">
        <v>65</v>
      </c>
    </row>
    <row r="1657" spans="1:52" x14ac:dyDescent="0.35">
      <c r="A1657" s="66" t="s">
        <v>5232</v>
      </c>
      <c r="B1657" s="67"/>
      <c r="C1657" s="67"/>
      <c r="D1657" s="68"/>
      <c r="E1657" s="94"/>
      <c r="F1657" s="93" t="str">
        <f>HYPERLINK("https://pbs.twimg.com/profile_images/1340330048654618624/dGBKKi9w_normal.jpg")</f>
        <v>https://pbs.twimg.com/profile_images/1340330048654618624/dGBKKi9w_normal.jpg</v>
      </c>
      <c r="G1657" s="95"/>
      <c r="H1657" s="71"/>
      <c r="I1657" s="72"/>
      <c r="J1657" s="96"/>
      <c r="K1657" s="71" t="s">
        <v>12444</v>
      </c>
      <c r="L1657" s="97"/>
      <c r="M1657" s="76"/>
      <c r="N1657" s="76"/>
      <c r="O1657" s="77"/>
      <c r="P1657" s="78"/>
      <c r="Q1657" s="78"/>
      <c r="R1657" s="92"/>
      <c r="S1657" s="92"/>
      <c r="T1657" s="92"/>
      <c r="U1657" s="92"/>
      <c r="V1657" s="52"/>
      <c r="W1657" s="52"/>
      <c r="X1657" s="52"/>
      <c r="Y1657" s="52"/>
      <c r="Z1657" s="51"/>
      <c r="AA1657" s="73"/>
      <c r="AB1657" s="73"/>
      <c r="AC1657" s="74"/>
      <c r="AD1657" s="81" t="s">
        <v>9058</v>
      </c>
      <c r="AE1657" s="86" t="s">
        <v>10002</v>
      </c>
      <c r="AF1657" s="81">
        <v>559</v>
      </c>
      <c r="AG1657" s="81">
        <v>440</v>
      </c>
      <c r="AH1657" s="81">
        <v>8573</v>
      </c>
      <c r="AI1657" s="81">
        <v>38005</v>
      </c>
      <c r="AJ1657" s="81"/>
      <c r="AK1657" s="81"/>
      <c r="AL1657" s="81"/>
      <c r="AM1657" s="81"/>
      <c r="AN1657" s="81"/>
      <c r="AO1657" s="83">
        <v>42985.836643518516</v>
      </c>
      <c r="AP1657" s="84" t="str">
        <f>HYPERLINK("https://pbs.twimg.com/profile_banners/905884567260860416/1612140442")</f>
        <v>https://pbs.twimg.com/profile_banners/905884567260860416/1612140442</v>
      </c>
      <c r="AQ1657" s="81" t="b">
        <v>1</v>
      </c>
      <c r="AR1657" s="81" t="b">
        <v>0</v>
      </c>
      <c r="AS1657" s="81" t="b">
        <v>0</v>
      </c>
      <c r="AT1657" s="81"/>
      <c r="AU1657" s="81">
        <v>0</v>
      </c>
      <c r="AV1657" s="81"/>
      <c r="AW1657" s="81" t="b">
        <v>0</v>
      </c>
      <c r="AX1657" s="81" t="s">
        <v>3728</v>
      </c>
      <c r="AY1657" s="84" t="str">
        <f>HYPERLINK("https://twitter.com/ednacamiloyaho1")</f>
        <v>https://twitter.com/ednacamiloyaho1</v>
      </c>
      <c r="AZ1657" s="81" t="s">
        <v>65</v>
      </c>
    </row>
    <row r="1658" spans="1:52" x14ac:dyDescent="0.35">
      <c r="A1658" s="66" t="s">
        <v>5233</v>
      </c>
      <c r="B1658" s="67"/>
      <c r="C1658" s="67"/>
      <c r="D1658" s="68"/>
      <c r="E1658" s="94"/>
      <c r="F1658" s="93" t="str">
        <f>HYPERLINK("https://pbs.twimg.com/profile_images/1308067137500708864/9ysvVTGK_normal.jpg")</f>
        <v>https://pbs.twimg.com/profile_images/1308067137500708864/9ysvVTGK_normal.jpg</v>
      </c>
      <c r="G1658" s="95"/>
      <c r="H1658" s="71"/>
      <c r="I1658" s="72"/>
      <c r="J1658" s="96"/>
      <c r="K1658" s="71" t="s">
        <v>12445</v>
      </c>
      <c r="L1658" s="97"/>
      <c r="M1658" s="76"/>
      <c r="N1658" s="76"/>
      <c r="O1658" s="77"/>
      <c r="P1658" s="78"/>
      <c r="Q1658" s="78"/>
      <c r="R1658" s="92"/>
      <c r="S1658" s="92"/>
      <c r="T1658" s="92"/>
      <c r="U1658" s="92"/>
      <c r="V1658" s="52"/>
      <c r="W1658" s="52"/>
      <c r="X1658" s="52"/>
      <c r="Y1658" s="52"/>
      <c r="Z1658" s="51"/>
      <c r="AA1658" s="73"/>
      <c r="AB1658" s="73"/>
      <c r="AC1658" s="74"/>
      <c r="AD1658" s="81" t="s">
        <v>9059</v>
      </c>
      <c r="AE1658" s="86" t="s">
        <v>10003</v>
      </c>
      <c r="AF1658" s="81">
        <v>757</v>
      </c>
      <c r="AG1658" s="81">
        <v>548</v>
      </c>
      <c r="AH1658" s="81">
        <v>35483</v>
      </c>
      <c r="AI1658" s="81">
        <v>79387</v>
      </c>
      <c r="AJ1658" s="81"/>
      <c r="AK1658" s="81" t="s">
        <v>10922</v>
      </c>
      <c r="AL1658" s="81" t="s">
        <v>11376</v>
      </c>
      <c r="AM1658" s="81"/>
      <c r="AN1658" s="81"/>
      <c r="AO1658" s="83">
        <v>41992.11822916667</v>
      </c>
      <c r="AP1658" s="84" t="str">
        <f>HYPERLINK("https://pbs.twimg.com/profile_banners/2931344637/1600587757")</f>
        <v>https://pbs.twimg.com/profile_banners/2931344637/1600587757</v>
      </c>
      <c r="AQ1658" s="81" t="b">
        <v>1</v>
      </c>
      <c r="AR1658" s="81" t="b">
        <v>0</v>
      </c>
      <c r="AS1658" s="81" t="b">
        <v>1</v>
      </c>
      <c r="AT1658" s="81"/>
      <c r="AU1658" s="81">
        <v>4</v>
      </c>
      <c r="AV1658" s="84" t="str">
        <f>HYPERLINK("https://abs.twimg.com/images/themes/theme1/bg.png")</f>
        <v>https://abs.twimg.com/images/themes/theme1/bg.png</v>
      </c>
      <c r="AW1658" s="81" t="b">
        <v>0</v>
      </c>
      <c r="AX1658" s="81" t="s">
        <v>3728</v>
      </c>
      <c r="AY1658" s="84" t="str">
        <f>HYPERLINK("https://twitter.com/deboramustafa")</f>
        <v>https://twitter.com/deboramustafa</v>
      </c>
      <c r="AZ1658" s="81" t="s">
        <v>65</v>
      </c>
    </row>
    <row r="1659" spans="1:52" x14ac:dyDescent="0.35">
      <c r="A1659" s="66" t="s">
        <v>5234</v>
      </c>
      <c r="B1659" s="67"/>
      <c r="C1659" s="67"/>
      <c r="D1659" s="68"/>
      <c r="E1659" s="94"/>
      <c r="F1659" s="93" t="str">
        <f>HYPERLINK("https://pbs.twimg.com/profile_images/1375483351671406594/1flnuo_I_normal.jpg")</f>
        <v>https://pbs.twimg.com/profile_images/1375483351671406594/1flnuo_I_normal.jpg</v>
      </c>
      <c r="G1659" s="95"/>
      <c r="H1659" s="71"/>
      <c r="I1659" s="72"/>
      <c r="J1659" s="96"/>
      <c r="K1659" s="71" t="s">
        <v>12446</v>
      </c>
      <c r="L1659" s="97"/>
      <c r="M1659" s="76"/>
      <c r="N1659" s="76"/>
      <c r="O1659" s="77"/>
      <c r="P1659" s="78"/>
      <c r="Q1659" s="78"/>
      <c r="R1659" s="92"/>
      <c r="S1659" s="92"/>
      <c r="T1659" s="92"/>
      <c r="U1659" s="92"/>
      <c r="V1659" s="52"/>
      <c r="W1659" s="52"/>
      <c r="X1659" s="52"/>
      <c r="Y1659" s="52"/>
      <c r="Z1659" s="51"/>
      <c r="AA1659" s="73"/>
      <c r="AB1659" s="73"/>
      <c r="AC1659" s="74"/>
      <c r="AD1659" s="81" t="s">
        <v>9060</v>
      </c>
      <c r="AE1659" s="86" t="s">
        <v>10004</v>
      </c>
      <c r="AF1659" s="81">
        <v>1752</v>
      </c>
      <c r="AG1659" s="81">
        <v>1166</v>
      </c>
      <c r="AH1659" s="81">
        <v>29046</v>
      </c>
      <c r="AI1659" s="81">
        <v>54623</v>
      </c>
      <c r="AJ1659" s="81"/>
      <c r="AK1659" s="81" t="s">
        <v>10923</v>
      </c>
      <c r="AL1659" s="81"/>
      <c r="AM1659" s="81"/>
      <c r="AN1659" s="81"/>
      <c r="AO1659" s="83">
        <v>43479.663865740738</v>
      </c>
      <c r="AP1659" s="84" t="str">
        <f>HYPERLINK("https://pbs.twimg.com/profile_banners/1084841563858092032/1602816772")</f>
        <v>https://pbs.twimg.com/profile_banners/1084841563858092032/1602816772</v>
      </c>
      <c r="AQ1659" s="81" t="b">
        <v>1</v>
      </c>
      <c r="AR1659" s="81" t="b">
        <v>0</v>
      </c>
      <c r="AS1659" s="81" t="b">
        <v>0</v>
      </c>
      <c r="AT1659" s="81"/>
      <c r="AU1659" s="81">
        <v>0</v>
      </c>
      <c r="AV1659" s="81"/>
      <c r="AW1659" s="81" t="b">
        <v>0</v>
      </c>
      <c r="AX1659" s="81" t="s">
        <v>3728</v>
      </c>
      <c r="AY1659" s="84" t="str">
        <f>HYPERLINK("https://twitter.com/clauregsil")</f>
        <v>https://twitter.com/clauregsil</v>
      </c>
      <c r="AZ1659" s="81" t="s">
        <v>65</v>
      </c>
    </row>
    <row r="1660" spans="1:52" x14ac:dyDescent="0.35">
      <c r="A1660" s="66" t="s">
        <v>4965</v>
      </c>
      <c r="B1660" s="67"/>
      <c r="C1660" s="67"/>
      <c r="D1660" s="68"/>
      <c r="E1660" s="94"/>
      <c r="F1660" s="93" t="str">
        <f>HYPERLINK("https://pbs.twimg.com/profile_images/1103359646331486208/iTL5L1vb_normal.jpg")</f>
        <v>https://pbs.twimg.com/profile_images/1103359646331486208/iTL5L1vb_normal.jpg</v>
      </c>
      <c r="G1660" s="95"/>
      <c r="H1660" s="71"/>
      <c r="I1660" s="72"/>
      <c r="J1660" s="96"/>
      <c r="K1660" s="71" t="s">
        <v>12447</v>
      </c>
      <c r="L1660" s="97"/>
      <c r="M1660" s="76"/>
      <c r="N1660" s="76"/>
      <c r="O1660" s="77"/>
      <c r="P1660" s="78"/>
      <c r="Q1660" s="78"/>
      <c r="R1660" s="92"/>
      <c r="S1660" s="92"/>
      <c r="T1660" s="92"/>
      <c r="U1660" s="92"/>
      <c r="V1660" s="52"/>
      <c r="W1660" s="52"/>
      <c r="X1660" s="52"/>
      <c r="Y1660" s="52"/>
      <c r="Z1660" s="51"/>
      <c r="AA1660" s="73"/>
      <c r="AB1660" s="73"/>
      <c r="AC1660" s="74"/>
      <c r="AD1660" s="81" t="s">
        <v>9061</v>
      </c>
      <c r="AE1660" s="86" t="s">
        <v>10005</v>
      </c>
      <c r="AF1660" s="81">
        <v>2133</v>
      </c>
      <c r="AG1660" s="81">
        <v>1836</v>
      </c>
      <c r="AH1660" s="81">
        <v>94190</v>
      </c>
      <c r="AI1660" s="81">
        <v>86763</v>
      </c>
      <c r="AJ1660" s="81"/>
      <c r="AK1660" s="81" t="s">
        <v>10924</v>
      </c>
      <c r="AL1660" s="81" t="s">
        <v>10973</v>
      </c>
      <c r="AM1660" s="81"/>
      <c r="AN1660" s="81"/>
      <c r="AO1660" s="83">
        <v>42850.938402777778</v>
      </c>
      <c r="AP1660" s="84" t="str">
        <f>HYPERLINK("https://pbs.twimg.com/profile_banners/856999084313505792/1501780595")</f>
        <v>https://pbs.twimg.com/profile_banners/856999084313505792/1501780595</v>
      </c>
      <c r="AQ1660" s="81" t="b">
        <v>1</v>
      </c>
      <c r="AR1660" s="81" t="b">
        <v>0</v>
      </c>
      <c r="AS1660" s="81" t="b">
        <v>0</v>
      </c>
      <c r="AT1660" s="81"/>
      <c r="AU1660" s="81">
        <v>4</v>
      </c>
      <c r="AV1660" s="81"/>
      <c r="AW1660" s="81" t="b">
        <v>0</v>
      </c>
      <c r="AX1660" s="81" t="s">
        <v>3728</v>
      </c>
      <c r="AY1660" s="84" t="str">
        <f>HYPERLINK("https://twitter.com/catiaamorim5")</f>
        <v>https://twitter.com/catiaamorim5</v>
      </c>
      <c r="AZ1660" s="81" t="s">
        <v>66</v>
      </c>
    </row>
    <row r="1661" spans="1:52" x14ac:dyDescent="0.35">
      <c r="A1661" s="66" t="s">
        <v>5235</v>
      </c>
      <c r="B1661" s="67"/>
      <c r="C1661" s="67"/>
      <c r="D1661" s="68"/>
      <c r="E1661" s="94"/>
      <c r="F1661" s="93" t="str">
        <f>HYPERLINK("https://pbs.twimg.com/profile_images/1138957652699090947/Hq_Pg47C_normal.jpg")</f>
        <v>https://pbs.twimg.com/profile_images/1138957652699090947/Hq_Pg47C_normal.jpg</v>
      </c>
      <c r="G1661" s="95"/>
      <c r="H1661" s="71"/>
      <c r="I1661" s="72"/>
      <c r="J1661" s="96"/>
      <c r="K1661" s="71" t="s">
        <v>12448</v>
      </c>
      <c r="L1661" s="97"/>
      <c r="M1661" s="76"/>
      <c r="N1661" s="76"/>
      <c r="O1661" s="77"/>
      <c r="P1661" s="78"/>
      <c r="Q1661" s="78"/>
      <c r="R1661" s="92"/>
      <c r="S1661" s="92"/>
      <c r="T1661" s="92"/>
      <c r="U1661" s="92"/>
      <c r="V1661" s="52"/>
      <c r="W1661" s="52"/>
      <c r="X1661" s="52"/>
      <c r="Y1661" s="52"/>
      <c r="Z1661" s="51"/>
      <c r="AA1661" s="73"/>
      <c r="AB1661" s="73"/>
      <c r="AC1661" s="74"/>
      <c r="AD1661" s="81" t="s">
        <v>9062</v>
      </c>
      <c r="AE1661" s="86" t="s">
        <v>10006</v>
      </c>
      <c r="AF1661" s="81">
        <v>671</v>
      </c>
      <c r="AG1661" s="81">
        <v>1015</v>
      </c>
      <c r="AH1661" s="81">
        <v>5770</v>
      </c>
      <c r="AI1661" s="81">
        <v>451365</v>
      </c>
      <c r="AJ1661" s="81"/>
      <c r="AK1661" s="81"/>
      <c r="AL1661" s="81"/>
      <c r="AM1661" s="81"/>
      <c r="AN1661" s="81"/>
      <c r="AO1661" s="83">
        <v>43012.068379629629</v>
      </c>
      <c r="AP1661" s="84" t="str">
        <f>HYPERLINK("https://pbs.twimg.com/profile_banners/915390632444743680/1618719243")</f>
        <v>https://pbs.twimg.com/profile_banners/915390632444743680/1618719243</v>
      </c>
      <c r="AQ1661" s="81" t="b">
        <v>1</v>
      </c>
      <c r="AR1661" s="81" t="b">
        <v>0</v>
      </c>
      <c r="AS1661" s="81" t="b">
        <v>0</v>
      </c>
      <c r="AT1661" s="81"/>
      <c r="AU1661" s="81">
        <v>0</v>
      </c>
      <c r="AV1661" s="81"/>
      <c r="AW1661" s="81" t="b">
        <v>0</v>
      </c>
      <c r="AX1661" s="81" t="s">
        <v>3728</v>
      </c>
      <c r="AY1661" s="84" t="str">
        <f>HYPERLINK("https://twitter.com/annacaralb")</f>
        <v>https://twitter.com/annacaralb</v>
      </c>
      <c r="AZ1661" s="81" t="s">
        <v>65</v>
      </c>
    </row>
    <row r="1662" spans="1:52" x14ac:dyDescent="0.35">
      <c r="A1662" s="66" t="s">
        <v>5236</v>
      </c>
      <c r="B1662" s="67"/>
      <c r="C1662" s="67"/>
      <c r="D1662" s="68"/>
      <c r="E1662" s="94"/>
      <c r="F1662" s="93" t="str">
        <f>HYPERLINK("https://pbs.twimg.com/profile_images/1285283572048441344/lY_3N8QG_normal.jpg")</f>
        <v>https://pbs.twimg.com/profile_images/1285283572048441344/lY_3N8QG_normal.jpg</v>
      </c>
      <c r="G1662" s="95"/>
      <c r="H1662" s="71"/>
      <c r="I1662" s="72"/>
      <c r="J1662" s="96"/>
      <c r="K1662" s="71" t="s">
        <v>12449</v>
      </c>
      <c r="L1662" s="97"/>
      <c r="M1662" s="76"/>
      <c r="N1662" s="76"/>
      <c r="O1662" s="77"/>
      <c r="P1662" s="78"/>
      <c r="Q1662" s="78"/>
      <c r="R1662" s="92"/>
      <c r="S1662" s="92"/>
      <c r="T1662" s="92"/>
      <c r="U1662" s="92"/>
      <c r="V1662" s="52"/>
      <c r="W1662" s="52"/>
      <c r="X1662" s="52"/>
      <c r="Y1662" s="52"/>
      <c r="Z1662" s="51"/>
      <c r="AA1662" s="73"/>
      <c r="AB1662" s="73"/>
      <c r="AC1662" s="74"/>
      <c r="AD1662" s="81" t="s">
        <v>9063</v>
      </c>
      <c r="AE1662" s="86" t="s">
        <v>10007</v>
      </c>
      <c r="AF1662" s="81">
        <v>444</v>
      </c>
      <c r="AG1662" s="81">
        <v>367</v>
      </c>
      <c r="AH1662" s="81">
        <v>1610</v>
      </c>
      <c r="AI1662" s="81">
        <v>23415</v>
      </c>
      <c r="AJ1662" s="81"/>
      <c r="AK1662" s="81" t="s">
        <v>10925</v>
      </c>
      <c r="AL1662" s="81" t="s">
        <v>11377</v>
      </c>
      <c r="AM1662" s="81"/>
      <c r="AN1662" s="81"/>
      <c r="AO1662" s="83">
        <v>42451.071851851855</v>
      </c>
      <c r="AP1662" s="81"/>
      <c r="AQ1662" s="81" t="b">
        <v>1</v>
      </c>
      <c r="AR1662" s="81" t="b">
        <v>0</v>
      </c>
      <c r="AS1662" s="81" t="b">
        <v>0</v>
      </c>
      <c r="AT1662" s="81"/>
      <c r="AU1662" s="81">
        <v>0</v>
      </c>
      <c r="AV1662" s="81"/>
      <c r="AW1662" s="81" t="b">
        <v>0</v>
      </c>
      <c r="AX1662" s="81" t="s">
        <v>3728</v>
      </c>
      <c r="AY1662" s="84" t="str">
        <f>HYPERLINK("https://twitter.com/marusa_sales")</f>
        <v>https://twitter.com/marusa_sales</v>
      </c>
      <c r="AZ1662" s="81" t="s">
        <v>65</v>
      </c>
    </row>
    <row r="1663" spans="1:52" x14ac:dyDescent="0.35">
      <c r="A1663" s="66" t="s">
        <v>5237</v>
      </c>
      <c r="B1663" s="67"/>
      <c r="C1663" s="67"/>
      <c r="D1663" s="68"/>
      <c r="E1663" s="94"/>
      <c r="F1663" s="93" t="str">
        <f>HYPERLINK("https://pbs.twimg.com/profile_images/1380361130531512329/uMHNxVkT_normal.jpg")</f>
        <v>https://pbs.twimg.com/profile_images/1380361130531512329/uMHNxVkT_normal.jpg</v>
      </c>
      <c r="G1663" s="95"/>
      <c r="H1663" s="71"/>
      <c r="I1663" s="72"/>
      <c r="J1663" s="96"/>
      <c r="K1663" s="71" t="s">
        <v>12450</v>
      </c>
      <c r="L1663" s="97"/>
      <c r="M1663" s="76"/>
      <c r="N1663" s="76"/>
      <c r="O1663" s="77"/>
      <c r="P1663" s="78"/>
      <c r="Q1663" s="78"/>
      <c r="R1663" s="92"/>
      <c r="S1663" s="92"/>
      <c r="T1663" s="92"/>
      <c r="U1663" s="92"/>
      <c r="V1663" s="52"/>
      <c r="W1663" s="52"/>
      <c r="X1663" s="52"/>
      <c r="Y1663" s="52"/>
      <c r="Z1663" s="51"/>
      <c r="AA1663" s="73"/>
      <c r="AB1663" s="73"/>
      <c r="AC1663" s="74"/>
      <c r="AD1663" s="81" t="s">
        <v>9064</v>
      </c>
      <c r="AE1663" s="86" t="s">
        <v>10008</v>
      </c>
      <c r="AF1663" s="81">
        <v>2858</v>
      </c>
      <c r="AG1663" s="81">
        <v>1846</v>
      </c>
      <c r="AH1663" s="81">
        <v>6148</v>
      </c>
      <c r="AI1663" s="81">
        <v>3870</v>
      </c>
      <c r="AJ1663" s="81"/>
      <c r="AK1663" s="81" t="s">
        <v>10926</v>
      </c>
      <c r="AL1663" s="81" t="s">
        <v>10986</v>
      </c>
      <c r="AM1663" s="81"/>
      <c r="AN1663" s="81"/>
      <c r="AO1663" s="83">
        <v>41902.089270833334</v>
      </c>
      <c r="AP1663" s="84" t="str">
        <f>HYPERLINK("https://pbs.twimg.com/profile_banners/2820893155/1630884300")</f>
        <v>https://pbs.twimg.com/profile_banners/2820893155/1630884300</v>
      </c>
      <c r="AQ1663" s="81" t="b">
        <v>0</v>
      </c>
      <c r="AR1663" s="81" t="b">
        <v>0</v>
      </c>
      <c r="AS1663" s="81" t="b">
        <v>0</v>
      </c>
      <c r="AT1663" s="81"/>
      <c r="AU1663" s="81">
        <v>2</v>
      </c>
      <c r="AV1663" s="84" t="str">
        <f>HYPERLINK("https://abs.twimg.com/images/themes/theme15/bg.png")</f>
        <v>https://abs.twimg.com/images/themes/theme15/bg.png</v>
      </c>
      <c r="AW1663" s="81" t="b">
        <v>0</v>
      </c>
      <c r="AX1663" s="81" t="s">
        <v>3728</v>
      </c>
      <c r="AY1663" s="84" t="str">
        <f>HYPERLINK("https://twitter.com/bastasil")</f>
        <v>https://twitter.com/bastasil</v>
      </c>
      <c r="AZ1663" s="81" t="s">
        <v>65</v>
      </c>
    </row>
    <row r="1664" spans="1:52" x14ac:dyDescent="0.35">
      <c r="A1664" s="66" t="s">
        <v>5238</v>
      </c>
      <c r="B1664" s="67"/>
      <c r="C1664" s="67"/>
      <c r="D1664" s="68"/>
      <c r="E1664" s="94"/>
      <c r="F1664" s="93" t="str">
        <f>HYPERLINK("https://pbs.twimg.com/profile_images/1434968485835194379/mIp5olR__normal.jpg")</f>
        <v>https://pbs.twimg.com/profile_images/1434968485835194379/mIp5olR__normal.jpg</v>
      </c>
      <c r="G1664" s="95"/>
      <c r="H1664" s="71"/>
      <c r="I1664" s="72"/>
      <c r="J1664" s="96"/>
      <c r="K1664" s="71" t="s">
        <v>12451</v>
      </c>
      <c r="L1664" s="97"/>
      <c r="M1664" s="76"/>
      <c r="N1664" s="76"/>
      <c r="O1664" s="77"/>
      <c r="P1664" s="78"/>
      <c r="Q1664" s="78"/>
      <c r="R1664" s="92"/>
      <c r="S1664" s="92"/>
      <c r="T1664" s="92"/>
      <c r="U1664" s="92"/>
      <c r="V1664" s="52"/>
      <c r="W1664" s="52"/>
      <c r="X1664" s="52"/>
      <c r="Y1664" s="52"/>
      <c r="Z1664" s="51"/>
      <c r="AA1664" s="73"/>
      <c r="AB1664" s="73"/>
      <c r="AC1664" s="74"/>
      <c r="AD1664" s="81" t="s">
        <v>9065</v>
      </c>
      <c r="AE1664" s="86" t="s">
        <v>10009</v>
      </c>
      <c r="AF1664" s="81">
        <v>2711</v>
      </c>
      <c r="AG1664" s="81">
        <v>2501</v>
      </c>
      <c r="AH1664" s="81">
        <v>317</v>
      </c>
      <c r="AI1664" s="81">
        <v>297</v>
      </c>
      <c r="AJ1664" s="81"/>
      <c r="AK1664" s="81" t="s">
        <v>10927</v>
      </c>
      <c r="AL1664" s="81"/>
      <c r="AM1664" s="81"/>
      <c r="AN1664" s="81"/>
      <c r="AO1664" s="83">
        <v>44231.665694444448</v>
      </c>
      <c r="AP1664" s="84" t="str">
        <f>HYPERLINK("https://pbs.twimg.com/profile_banners/1357357773030379520/1632426143")</f>
        <v>https://pbs.twimg.com/profile_banners/1357357773030379520/1632426143</v>
      </c>
      <c r="AQ1664" s="81" t="b">
        <v>1</v>
      </c>
      <c r="AR1664" s="81" t="b">
        <v>0</v>
      </c>
      <c r="AS1664" s="81" t="b">
        <v>0</v>
      </c>
      <c r="AT1664" s="81"/>
      <c r="AU1664" s="81">
        <v>1</v>
      </c>
      <c r="AV1664" s="81"/>
      <c r="AW1664" s="81" t="b">
        <v>0</v>
      </c>
      <c r="AX1664" s="81" t="s">
        <v>3728</v>
      </c>
      <c r="AY1664" s="84" t="str">
        <f>HYPERLINK("https://twitter.com/admconexao")</f>
        <v>https://twitter.com/admconexao</v>
      </c>
      <c r="AZ1664" s="81" t="s">
        <v>65</v>
      </c>
    </row>
    <row r="1665" spans="1:52" x14ac:dyDescent="0.35">
      <c r="A1665" s="66" t="s">
        <v>5239</v>
      </c>
      <c r="B1665" s="67"/>
      <c r="C1665" s="67"/>
      <c r="D1665" s="68"/>
      <c r="E1665" s="94"/>
      <c r="F1665" s="93" t="str">
        <f>HYPERLINK("https://pbs.twimg.com/profile_images/1421850084032061450/tCHsauup_normal.jpg")</f>
        <v>https://pbs.twimg.com/profile_images/1421850084032061450/tCHsauup_normal.jpg</v>
      </c>
      <c r="G1665" s="95"/>
      <c r="H1665" s="71"/>
      <c r="I1665" s="72"/>
      <c r="J1665" s="96"/>
      <c r="K1665" s="71" t="s">
        <v>12452</v>
      </c>
      <c r="L1665" s="97"/>
      <c r="M1665" s="76"/>
      <c r="N1665" s="76"/>
      <c r="O1665" s="77"/>
      <c r="P1665" s="78"/>
      <c r="Q1665" s="78"/>
      <c r="R1665" s="92"/>
      <c r="S1665" s="92"/>
      <c r="T1665" s="92"/>
      <c r="U1665" s="92"/>
      <c r="V1665" s="52"/>
      <c r="W1665" s="52"/>
      <c r="X1665" s="52"/>
      <c r="Y1665" s="52"/>
      <c r="Z1665" s="51"/>
      <c r="AA1665" s="73"/>
      <c r="AB1665" s="73"/>
      <c r="AC1665" s="74"/>
      <c r="AD1665" s="81" t="s">
        <v>9066</v>
      </c>
      <c r="AE1665" s="86" t="s">
        <v>10010</v>
      </c>
      <c r="AF1665" s="81">
        <v>543</v>
      </c>
      <c r="AG1665" s="81">
        <v>536</v>
      </c>
      <c r="AH1665" s="81">
        <v>238</v>
      </c>
      <c r="AI1665" s="81">
        <v>1352</v>
      </c>
      <c r="AJ1665" s="81"/>
      <c r="AK1665" s="81" t="s">
        <v>10928</v>
      </c>
      <c r="AL1665" s="81"/>
      <c r="AM1665" s="81"/>
      <c r="AN1665" s="81"/>
      <c r="AO1665" s="83">
        <v>44397.81490740741</v>
      </c>
      <c r="AP1665" s="84" t="str">
        <f>HYPERLINK("https://pbs.twimg.com/profile_banners/1417568321692655628/1629410180")</f>
        <v>https://pbs.twimg.com/profile_banners/1417568321692655628/1629410180</v>
      </c>
      <c r="AQ1665" s="81" t="b">
        <v>1</v>
      </c>
      <c r="AR1665" s="81" t="b">
        <v>0</v>
      </c>
      <c r="AS1665" s="81" t="b">
        <v>0</v>
      </c>
      <c r="AT1665" s="81"/>
      <c r="AU1665" s="81">
        <v>1</v>
      </c>
      <c r="AV1665" s="81"/>
      <c r="AW1665" s="81" t="b">
        <v>0</v>
      </c>
      <c r="AX1665" s="81" t="s">
        <v>3728</v>
      </c>
      <c r="AY1665" s="84" t="str">
        <f>HYPERLINK("https://twitter.com/tonhosdv")</f>
        <v>https://twitter.com/tonhosdv</v>
      </c>
      <c r="AZ1665" s="81" t="s">
        <v>65</v>
      </c>
    </row>
    <row r="1666" spans="1:52" x14ac:dyDescent="0.35">
      <c r="A1666" s="66" t="s">
        <v>5240</v>
      </c>
      <c r="B1666" s="67"/>
      <c r="C1666" s="67"/>
      <c r="D1666" s="68"/>
      <c r="E1666" s="94"/>
      <c r="F1666" s="93" t="str">
        <f>HYPERLINK("https://pbs.twimg.com/profile_images/1442698600560173057/USKXX6PH_normal.jpg")</f>
        <v>https://pbs.twimg.com/profile_images/1442698600560173057/USKXX6PH_normal.jpg</v>
      </c>
      <c r="G1666" s="95"/>
      <c r="H1666" s="71"/>
      <c r="I1666" s="72"/>
      <c r="J1666" s="96"/>
      <c r="K1666" s="71" t="s">
        <v>12453</v>
      </c>
      <c r="L1666" s="97"/>
      <c r="M1666" s="76"/>
      <c r="N1666" s="76"/>
      <c r="O1666" s="77"/>
      <c r="P1666" s="78"/>
      <c r="Q1666" s="78"/>
      <c r="R1666" s="92"/>
      <c r="S1666" s="92"/>
      <c r="T1666" s="92"/>
      <c r="U1666" s="92"/>
      <c r="V1666" s="52"/>
      <c r="W1666" s="52"/>
      <c r="X1666" s="52"/>
      <c r="Y1666" s="52"/>
      <c r="Z1666" s="51"/>
      <c r="AA1666" s="73"/>
      <c r="AB1666" s="73"/>
      <c r="AC1666" s="74"/>
      <c r="AD1666" s="81" t="s">
        <v>9067</v>
      </c>
      <c r="AE1666" s="86" t="s">
        <v>10011</v>
      </c>
      <c r="AF1666" s="81">
        <v>1045</v>
      </c>
      <c r="AG1666" s="81">
        <v>653</v>
      </c>
      <c r="AH1666" s="81">
        <v>199</v>
      </c>
      <c r="AI1666" s="81">
        <v>17998</v>
      </c>
      <c r="AJ1666" s="81"/>
      <c r="AK1666" s="81" t="s">
        <v>10929</v>
      </c>
      <c r="AL1666" s="81"/>
      <c r="AM1666" s="81"/>
      <c r="AN1666" s="81"/>
      <c r="AO1666" s="83">
        <v>40211.946828703702</v>
      </c>
      <c r="AP1666" s="84" t="str">
        <f>HYPERLINK("https://pbs.twimg.com/profile_banners/110830583/1632801159")</f>
        <v>https://pbs.twimg.com/profile_banners/110830583/1632801159</v>
      </c>
      <c r="AQ1666" s="81" t="b">
        <v>0</v>
      </c>
      <c r="AR1666" s="81" t="b">
        <v>0</v>
      </c>
      <c r="AS1666" s="81" t="b">
        <v>0</v>
      </c>
      <c r="AT1666" s="81"/>
      <c r="AU1666" s="81">
        <v>2</v>
      </c>
      <c r="AV1666" s="84" t="str">
        <f>HYPERLINK("https://abs.twimg.com/images/themes/theme10/bg.gif")</f>
        <v>https://abs.twimg.com/images/themes/theme10/bg.gif</v>
      </c>
      <c r="AW1666" s="81" t="b">
        <v>0</v>
      </c>
      <c r="AX1666" s="81" t="s">
        <v>3728</v>
      </c>
      <c r="AY1666" s="84" t="str">
        <f>HYPERLINK("https://twitter.com/sol_tropical")</f>
        <v>https://twitter.com/sol_tropical</v>
      </c>
      <c r="AZ1666" s="81" t="s">
        <v>65</v>
      </c>
    </row>
    <row r="1667" spans="1:52" x14ac:dyDescent="0.35">
      <c r="A1667" s="66" t="s">
        <v>5241</v>
      </c>
      <c r="B1667" s="67"/>
      <c r="C1667" s="67"/>
      <c r="D1667" s="68"/>
      <c r="E1667" s="94"/>
      <c r="F1667" s="93" t="str">
        <f>HYPERLINK("https://pbs.twimg.com/profile_images/1400240406969958407/4UrBP1S9_normal.jpg")</f>
        <v>https://pbs.twimg.com/profile_images/1400240406969958407/4UrBP1S9_normal.jpg</v>
      </c>
      <c r="G1667" s="95"/>
      <c r="H1667" s="71"/>
      <c r="I1667" s="72"/>
      <c r="J1667" s="96"/>
      <c r="K1667" s="71" t="s">
        <v>12454</v>
      </c>
      <c r="L1667" s="97"/>
      <c r="M1667" s="76"/>
      <c r="N1667" s="76"/>
      <c r="O1667" s="77"/>
      <c r="P1667" s="78"/>
      <c r="Q1667" s="78"/>
      <c r="R1667" s="92"/>
      <c r="S1667" s="92"/>
      <c r="T1667" s="92"/>
      <c r="U1667" s="92"/>
      <c r="V1667" s="52"/>
      <c r="W1667" s="52"/>
      <c r="X1667" s="52"/>
      <c r="Y1667" s="52"/>
      <c r="Z1667" s="51"/>
      <c r="AA1667" s="73"/>
      <c r="AB1667" s="73"/>
      <c r="AC1667" s="74"/>
      <c r="AD1667" s="81" t="s">
        <v>9068</v>
      </c>
      <c r="AE1667" s="86" t="s">
        <v>10012</v>
      </c>
      <c r="AF1667" s="81">
        <v>1458</v>
      </c>
      <c r="AG1667" s="81">
        <v>1088</v>
      </c>
      <c r="AH1667" s="81">
        <v>80</v>
      </c>
      <c r="AI1667" s="81">
        <v>861</v>
      </c>
      <c r="AJ1667" s="81"/>
      <c r="AK1667" s="81" t="s">
        <v>10930</v>
      </c>
      <c r="AL1667" s="81"/>
      <c r="AM1667" s="81"/>
      <c r="AN1667" s="81"/>
      <c r="AO1667" s="83">
        <v>43987.135104166664</v>
      </c>
      <c r="AP1667" s="81"/>
      <c r="AQ1667" s="81" t="b">
        <v>1</v>
      </c>
      <c r="AR1667" s="81" t="b">
        <v>0</v>
      </c>
      <c r="AS1667" s="81" t="b">
        <v>0</v>
      </c>
      <c r="AT1667" s="81"/>
      <c r="AU1667" s="81">
        <v>2</v>
      </c>
      <c r="AV1667" s="81"/>
      <c r="AW1667" s="81" t="b">
        <v>0</v>
      </c>
      <c r="AX1667" s="81" t="s">
        <v>3728</v>
      </c>
      <c r="AY1667" s="84" t="str">
        <f>HYPERLINK("https://twitter.com/paty_vacina")</f>
        <v>https://twitter.com/paty_vacina</v>
      </c>
      <c r="AZ1667" s="81" t="s">
        <v>65</v>
      </c>
    </row>
    <row r="1668" spans="1:52" x14ac:dyDescent="0.35">
      <c r="A1668" s="66" t="s">
        <v>5242</v>
      </c>
      <c r="B1668" s="67"/>
      <c r="C1668" s="67"/>
      <c r="D1668" s="68"/>
      <c r="E1668" s="94"/>
      <c r="F1668" s="93" t="str">
        <f>HYPERLINK("https://pbs.twimg.com/profile_images/1435525580062171140/QLuQvPMe_normal.jpg")</f>
        <v>https://pbs.twimg.com/profile_images/1435525580062171140/QLuQvPMe_normal.jpg</v>
      </c>
      <c r="G1668" s="95"/>
      <c r="H1668" s="71"/>
      <c r="I1668" s="72"/>
      <c r="J1668" s="96"/>
      <c r="K1668" s="71" t="s">
        <v>12455</v>
      </c>
      <c r="L1668" s="97"/>
      <c r="M1668" s="76"/>
      <c r="N1668" s="76"/>
      <c r="O1668" s="77"/>
      <c r="P1668" s="78"/>
      <c r="Q1668" s="78"/>
      <c r="R1668" s="92"/>
      <c r="S1668" s="92"/>
      <c r="T1668" s="92"/>
      <c r="U1668" s="92"/>
      <c r="V1668" s="52"/>
      <c r="W1668" s="52"/>
      <c r="X1668" s="52"/>
      <c r="Y1668" s="52"/>
      <c r="Z1668" s="51"/>
      <c r="AA1668" s="73"/>
      <c r="AB1668" s="73"/>
      <c r="AC1668" s="74"/>
      <c r="AD1668" s="81" t="s">
        <v>9069</v>
      </c>
      <c r="AE1668" s="86" t="s">
        <v>10013</v>
      </c>
      <c r="AF1668" s="81">
        <v>1426</v>
      </c>
      <c r="AG1668" s="81">
        <v>1103</v>
      </c>
      <c r="AH1668" s="81">
        <v>222</v>
      </c>
      <c r="AI1668" s="81">
        <v>495</v>
      </c>
      <c r="AJ1668" s="81"/>
      <c r="AK1668" s="81" t="s">
        <v>10931</v>
      </c>
      <c r="AL1668" s="81"/>
      <c r="AM1668" s="81"/>
      <c r="AN1668" s="81"/>
      <c r="AO1668" s="83">
        <v>44396.914756944447</v>
      </c>
      <c r="AP1668" s="84" t="str">
        <f>HYPERLINK("https://pbs.twimg.com/profile_banners/1417242025544622088/1628792124")</f>
        <v>https://pbs.twimg.com/profile_banners/1417242025544622088/1628792124</v>
      </c>
      <c r="AQ1668" s="81" t="b">
        <v>1</v>
      </c>
      <c r="AR1668" s="81" t="b">
        <v>0</v>
      </c>
      <c r="AS1668" s="81" t="b">
        <v>0</v>
      </c>
      <c r="AT1668" s="81"/>
      <c r="AU1668" s="81">
        <v>6</v>
      </c>
      <c r="AV1668" s="81"/>
      <c r="AW1668" s="81" t="b">
        <v>0</v>
      </c>
      <c r="AX1668" s="81" t="s">
        <v>3728</v>
      </c>
      <c r="AY1668" s="84" t="str">
        <f>HYPERLINK("https://twitter.com/geografo2004")</f>
        <v>https://twitter.com/geografo2004</v>
      </c>
      <c r="AZ1668" s="81" t="s">
        <v>65</v>
      </c>
    </row>
    <row r="1669" spans="1:52" x14ac:dyDescent="0.35">
      <c r="A1669" s="66" t="s">
        <v>5243</v>
      </c>
      <c r="B1669" s="67"/>
      <c r="C1669" s="67"/>
      <c r="D1669" s="68"/>
      <c r="E1669" s="94"/>
      <c r="F1669" s="93" t="str">
        <f>HYPERLINK("https://pbs.twimg.com/profile_images/1093459771187957760/v7xM5cuG_normal.jpg")</f>
        <v>https://pbs.twimg.com/profile_images/1093459771187957760/v7xM5cuG_normal.jpg</v>
      </c>
      <c r="G1669" s="95"/>
      <c r="H1669" s="71"/>
      <c r="I1669" s="72"/>
      <c r="J1669" s="96"/>
      <c r="K1669" s="71" t="s">
        <v>12456</v>
      </c>
      <c r="L1669" s="97"/>
      <c r="M1669" s="76"/>
      <c r="N1669" s="76"/>
      <c r="O1669" s="77"/>
      <c r="P1669" s="78"/>
      <c r="Q1669" s="78"/>
      <c r="R1669" s="92"/>
      <c r="S1669" s="92"/>
      <c r="T1669" s="92"/>
      <c r="U1669" s="92"/>
      <c r="V1669" s="52"/>
      <c r="W1669" s="52"/>
      <c r="X1669" s="52"/>
      <c r="Y1669" s="52"/>
      <c r="Z1669" s="51"/>
      <c r="AA1669" s="73"/>
      <c r="AB1669" s="73"/>
      <c r="AC1669" s="74"/>
      <c r="AD1669" s="81" t="s">
        <v>9070</v>
      </c>
      <c r="AE1669" s="86" t="s">
        <v>10014</v>
      </c>
      <c r="AF1669" s="81">
        <v>4951</v>
      </c>
      <c r="AG1669" s="81">
        <v>4914</v>
      </c>
      <c r="AH1669" s="81">
        <v>3396</v>
      </c>
      <c r="AI1669" s="81">
        <v>40304</v>
      </c>
      <c r="AJ1669" s="81"/>
      <c r="AK1669" s="81" t="s">
        <v>10932</v>
      </c>
      <c r="AL1669" s="81" t="s">
        <v>11127</v>
      </c>
      <c r="AM1669" s="81"/>
      <c r="AN1669" s="81"/>
      <c r="AO1669" s="83">
        <v>43344.589560185188</v>
      </c>
      <c r="AP1669" s="84" t="str">
        <f>HYPERLINK("https://pbs.twimg.com/profile_banners/1035892272976617472/1624537430")</f>
        <v>https://pbs.twimg.com/profile_banners/1035892272976617472/1624537430</v>
      </c>
      <c r="AQ1669" s="81" t="b">
        <v>1</v>
      </c>
      <c r="AR1669" s="81" t="b">
        <v>0</v>
      </c>
      <c r="AS1669" s="81" t="b">
        <v>0</v>
      </c>
      <c r="AT1669" s="81"/>
      <c r="AU1669" s="81">
        <v>2</v>
      </c>
      <c r="AV1669" s="81"/>
      <c r="AW1669" s="81" t="b">
        <v>0</v>
      </c>
      <c r="AX1669" s="81" t="s">
        <v>3728</v>
      </c>
      <c r="AY1669" s="84" t="str">
        <f>HYPERLINK("https://twitter.com/gpwlu")</f>
        <v>https://twitter.com/gpwlu</v>
      </c>
      <c r="AZ1669" s="81" t="s">
        <v>65</v>
      </c>
    </row>
    <row r="1670" spans="1:52" x14ac:dyDescent="0.35">
      <c r="A1670" s="66" t="s">
        <v>5244</v>
      </c>
      <c r="B1670" s="67"/>
      <c r="C1670" s="67"/>
      <c r="D1670" s="68"/>
      <c r="E1670" s="94"/>
      <c r="F1670" s="93" t="str">
        <f>HYPERLINK("https://pbs.twimg.com/profile_images/1403058152359202817/4LYun9nl_normal.jpg")</f>
        <v>https://pbs.twimg.com/profile_images/1403058152359202817/4LYun9nl_normal.jpg</v>
      </c>
      <c r="G1670" s="95"/>
      <c r="H1670" s="71"/>
      <c r="I1670" s="72"/>
      <c r="J1670" s="96"/>
      <c r="K1670" s="71" t="s">
        <v>12457</v>
      </c>
      <c r="L1670" s="97"/>
      <c r="M1670" s="76"/>
      <c r="N1670" s="76"/>
      <c r="O1670" s="77"/>
      <c r="P1670" s="78"/>
      <c r="Q1670" s="78"/>
      <c r="R1670" s="92"/>
      <c r="S1670" s="92"/>
      <c r="T1670" s="92"/>
      <c r="U1670" s="92"/>
      <c r="V1670" s="52"/>
      <c r="W1670" s="52"/>
      <c r="X1670" s="52"/>
      <c r="Y1670" s="52"/>
      <c r="Z1670" s="51"/>
      <c r="AA1670" s="73"/>
      <c r="AB1670" s="73"/>
      <c r="AC1670" s="74"/>
      <c r="AD1670" s="81" t="s">
        <v>9071</v>
      </c>
      <c r="AE1670" s="86" t="s">
        <v>10015</v>
      </c>
      <c r="AF1670" s="81">
        <v>1467</v>
      </c>
      <c r="AG1670" s="81">
        <v>1627</v>
      </c>
      <c r="AH1670" s="81">
        <v>20910</v>
      </c>
      <c r="AI1670" s="81">
        <v>127444</v>
      </c>
      <c r="AJ1670" s="81"/>
      <c r="AK1670" s="81" t="s">
        <v>10933</v>
      </c>
      <c r="AL1670" s="81" t="s">
        <v>11378</v>
      </c>
      <c r="AM1670" s="81"/>
      <c r="AN1670" s="81"/>
      <c r="AO1670" s="83">
        <v>42940.503379629627</v>
      </c>
      <c r="AP1670" s="84" t="str">
        <f>HYPERLINK("https://pbs.twimg.com/profile_banners/889456343714865152/1591436737")</f>
        <v>https://pbs.twimg.com/profile_banners/889456343714865152/1591436737</v>
      </c>
      <c r="AQ1670" s="81" t="b">
        <v>1</v>
      </c>
      <c r="AR1670" s="81" t="b">
        <v>0</v>
      </c>
      <c r="AS1670" s="81" t="b">
        <v>1</v>
      </c>
      <c r="AT1670" s="81"/>
      <c r="AU1670" s="81">
        <v>9</v>
      </c>
      <c r="AV1670" s="81"/>
      <c r="AW1670" s="81" t="b">
        <v>0</v>
      </c>
      <c r="AX1670" s="81" t="s">
        <v>3728</v>
      </c>
      <c r="AY1670" s="84" t="str">
        <f>HYPERLINK("https://twitter.com/oliveiraalves5")</f>
        <v>https://twitter.com/oliveiraalves5</v>
      </c>
      <c r="AZ1670" s="81" t="s">
        <v>65</v>
      </c>
    </row>
    <row r="1671" spans="1:52" x14ac:dyDescent="0.35">
      <c r="A1671" s="66" t="s">
        <v>5245</v>
      </c>
      <c r="B1671" s="67"/>
      <c r="C1671" s="67"/>
      <c r="D1671" s="68"/>
      <c r="E1671" s="94"/>
      <c r="F1671" s="93" t="str">
        <f>HYPERLINK("https://pbs.twimg.com/profile_images/1244490524435849216/rwyW9Jpw_normal.jpg")</f>
        <v>https://pbs.twimg.com/profile_images/1244490524435849216/rwyW9Jpw_normal.jpg</v>
      </c>
      <c r="G1671" s="95"/>
      <c r="H1671" s="71"/>
      <c r="I1671" s="72"/>
      <c r="J1671" s="96"/>
      <c r="K1671" s="71" t="s">
        <v>12458</v>
      </c>
      <c r="L1671" s="97"/>
      <c r="M1671" s="76"/>
      <c r="N1671" s="76"/>
      <c r="O1671" s="77"/>
      <c r="P1671" s="78"/>
      <c r="Q1671" s="78"/>
      <c r="R1671" s="92"/>
      <c r="S1671" s="92"/>
      <c r="T1671" s="92"/>
      <c r="U1671" s="92"/>
      <c r="V1671" s="52"/>
      <c r="W1671" s="52"/>
      <c r="X1671" s="52"/>
      <c r="Y1671" s="52"/>
      <c r="Z1671" s="51"/>
      <c r="AA1671" s="73"/>
      <c r="AB1671" s="73"/>
      <c r="AC1671" s="74"/>
      <c r="AD1671" s="81" t="s">
        <v>9072</v>
      </c>
      <c r="AE1671" s="86" t="s">
        <v>10016</v>
      </c>
      <c r="AF1671" s="81">
        <v>1294</v>
      </c>
      <c r="AG1671" s="81">
        <v>1458</v>
      </c>
      <c r="AH1671" s="81">
        <v>222</v>
      </c>
      <c r="AI1671" s="81">
        <v>3084</v>
      </c>
      <c r="AJ1671" s="81"/>
      <c r="AK1671" s="81" t="s">
        <v>10934</v>
      </c>
      <c r="AL1671" s="81" t="s">
        <v>11379</v>
      </c>
      <c r="AM1671" s="84" t="str">
        <f>HYPERLINK("https://t.co/cuAHFFPGs4")</f>
        <v>https://t.co/cuAHFFPGs4</v>
      </c>
      <c r="AN1671" s="81"/>
      <c r="AO1671" s="83">
        <v>43789.570983796293</v>
      </c>
      <c r="AP1671" s="84" t="str">
        <f>HYPERLINK("https://pbs.twimg.com/profile_banners/1197148073950089217/1585544569")</f>
        <v>https://pbs.twimg.com/profile_banners/1197148073950089217/1585544569</v>
      </c>
      <c r="AQ1671" s="81" t="b">
        <v>1</v>
      </c>
      <c r="AR1671" s="81" t="b">
        <v>0</v>
      </c>
      <c r="AS1671" s="81" t="b">
        <v>0</v>
      </c>
      <c r="AT1671" s="81"/>
      <c r="AU1671" s="81">
        <v>1</v>
      </c>
      <c r="AV1671" s="81"/>
      <c r="AW1671" s="81" t="b">
        <v>0</v>
      </c>
      <c r="AX1671" s="81" t="s">
        <v>3728</v>
      </c>
      <c r="AY1671" s="84" t="str">
        <f>HYPERLINK("https://twitter.com/lucianafabiano_")</f>
        <v>https://twitter.com/lucianafabiano_</v>
      </c>
      <c r="AZ1671" s="81" t="s">
        <v>65</v>
      </c>
    </row>
    <row r="1672" spans="1:52" x14ac:dyDescent="0.35">
      <c r="A1672" s="66" t="s">
        <v>5246</v>
      </c>
      <c r="B1672" s="67"/>
      <c r="C1672" s="67"/>
      <c r="D1672" s="68"/>
      <c r="E1672" s="94"/>
      <c r="F1672" s="93" t="str">
        <f>HYPERLINK("https://pbs.twimg.com/profile_images/827410712523730944/Wmr-WUqY_normal.jpg")</f>
        <v>https://pbs.twimg.com/profile_images/827410712523730944/Wmr-WUqY_normal.jpg</v>
      </c>
      <c r="G1672" s="95"/>
      <c r="H1672" s="71"/>
      <c r="I1672" s="72"/>
      <c r="J1672" s="96"/>
      <c r="K1672" s="71" t="s">
        <v>12459</v>
      </c>
      <c r="L1672" s="97"/>
      <c r="M1672" s="76"/>
      <c r="N1672" s="76"/>
      <c r="O1672" s="77"/>
      <c r="P1672" s="78"/>
      <c r="Q1672" s="78"/>
      <c r="R1672" s="92"/>
      <c r="S1672" s="92"/>
      <c r="T1672" s="92"/>
      <c r="U1672" s="92"/>
      <c r="V1672" s="52"/>
      <c r="W1672" s="52"/>
      <c r="X1672" s="52"/>
      <c r="Y1672" s="52"/>
      <c r="Z1672" s="51"/>
      <c r="AA1672" s="73"/>
      <c r="AB1672" s="73"/>
      <c r="AC1672" s="74"/>
      <c r="AD1672" s="81" t="s">
        <v>9073</v>
      </c>
      <c r="AE1672" s="86" t="s">
        <v>10017</v>
      </c>
      <c r="AF1672" s="81">
        <v>2787</v>
      </c>
      <c r="AG1672" s="81">
        <v>2105</v>
      </c>
      <c r="AH1672" s="81">
        <v>102036</v>
      </c>
      <c r="AI1672" s="81">
        <v>177914</v>
      </c>
      <c r="AJ1672" s="81"/>
      <c r="AK1672" s="81" t="s">
        <v>10935</v>
      </c>
      <c r="AL1672" s="81" t="s">
        <v>10985</v>
      </c>
      <c r="AM1672" s="81"/>
      <c r="AN1672" s="81"/>
      <c r="AO1672" s="83">
        <v>42768.412094907406</v>
      </c>
      <c r="AP1672" s="84" t="str">
        <f>HYPERLINK("https://pbs.twimg.com/profile_banners/827092548858609665/1627159032")</f>
        <v>https://pbs.twimg.com/profile_banners/827092548858609665/1627159032</v>
      </c>
      <c r="AQ1672" s="81" t="b">
        <v>1</v>
      </c>
      <c r="AR1672" s="81" t="b">
        <v>0</v>
      </c>
      <c r="AS1672" s="81" t="b">
        <v>0</v>
      </c>
      <c r="AT1672" s="81"/>
      <c r="AU1672" s="81">
        <v>4</v>
      </c>
      <c r="AV1672" s="81"/>
      <c r="AW1672" s="81" t="b">
        <v>0</v>
      </c>
      <c r="AX1672" s="81" t="s">
        <v>3728</v>
      </c>
      <c r="AY1672" s="84" t="str">
        <f>HYPERLINK("https://twitter.com/elainen1960")</f>
        <v>https://twitter.com/elainen1960</v>
      </c>
      <c r="AZ1672" s="81" t="s">
        <v>65</v>
      </c>
    </row>
    <row r="1673" spans="1:52" x14ac:dyDescent="0.35">
      <c r="A1673" s="66" t="s">
        <v>5247</v>
      </c>
      <c r="B1673" s="67"/>
      <c r="C1673" s="67"/>
      <c r="D1673" s="68"/>
      <c r="E1673" s="94"/>
      <c r="F1673" s="93" t="str">
        <f>HYPERLINK("https://pbs.twimg.com/profile_images/1270166619558461442/Edb3WRUH_normal.jpg")</f>
        <v>https://pbs.twimg.com/profile_images/1270166619558461442/Edb3WRUH_normal.jpg</v>
      </c>
      <c r="G1673" s="95"/>
      <c r="H1673" s="71"/>
      <c r="I1673" s="72"/>
      <c r="J1673" s="96"/>
      <c r="K1673" s="71" t="s">
        <v>12460</v>
      </c>
      <c r="L1673" s="97"/>
      <c r="M1673" s="76"/>
      <c r="N1673" s="76"/>
      <c r="O1673" s="77"/>
      <c r="P1673" s="78"/>
      <c r="Q1673" s="78"/>
      <c r="R1673" s="92"/>
      <c r="S1673" s="92"/>
      <c r="T1673" s="92"/>
      <c r="U1673" s="92"/>
      <c r="V1673" s="52"/>
      <c r="W1673" s="52"/>
      <c r="X1673" s="52"/>
      <c r="Y1673" s="52"/>
      <c r="Z1673" s="51"/>
      <c r="AA1673" s="73"/>
      <c r="AB1673" s="73"/>
      <c r="AC1673" s="74"/>
      <c r="AD1673" s="81" t="s">
        <v>9074</v>
      </c>
      <c r="AE1673" s="86" t="s">
        <v>10018</v>
      </c>
      <c r="AF1673" s="81">
        <v>1012</v>
      </c>
      <c r="AG1673" s="81">
        <v>872</v>
      </c>
      <c r="AH1673" s="81">
        <v>1663</v>
      </c>
      <c r="AI1673" s="81">
        <v>11561</v>
      </c>
      <c r="AJ1673" s="81"/>
      <c r="AK1673" s="81" t="s">
        <v>10936</v>
      </c>
      <c r="AL1673" s="81"/>
      <c r="AM1673" s="81"/>
      <c r="AN1673" s="81"/>
      <c r="AO1673" s="83">
        <v>43989.782638888886</v>
      </c>
      <c r="AP1673" s="84" t="str">
        <f>HYPERLINK("https://pbs.twimg.com/profile_banners/1269702340484923397/1605430230")</f>
        <v>https://pbs.twimg.com/profile_banners/1269702340484923397/1605430230</v>
      </c>
      <c r="AQ1673" s="81" t="b">
        <v>1</v>
      </c>
      <c r="AR1673" s="81" t="b">
        <v>0</v>
      </c>
      <c r="AS1673" s="81" t="b">
        <v>0</v>
      </c>
      <c r="AT1673" s="81"/>
      <c r="AU1673" s="81">
        <v>2</v>
      </c>
      <c r="AV1673" s="81"/>
      <c r="AW1673" s="81" t="b">
        <v>0</v>
      </c>
      <c r="AX1673" s="81" t="s">
        <v>3728</v>
      </c>
      <c r="AY1673" s="84" t="str">
        <f>HYPERLINK("https://twitter.com/rochakalily")</f>
        <v>https://twitter.com/rochakalily</v>
      </c>
      <c r="AZ1673" s="81" t="s">
        <v>65</v>
      </c>
    </row>
    <row r="1674" spans="1:52" x14ac:dyDescent="0.35">
      <c r="A1674" s="66" t="s">
        <v>5248</v>
      </c>
      <c r="B1674" s="67"/>
      <c r="C1674" s="67"/>
      <c r="D1674" s="68"/>
      <c r="E1674" s="94"/>
      <c r="F1674" s="93" t="str">
        <f>HYPERLINK("https://pbs.twimg.com/profile_images/1374553425254440962/yxdST6DL_normal.jpg")</f>
        <v>https://pbs.twimg.com/profile_images/1374553425254440962/yxdST6DL_normal.jpg</v>
      </c>
      <c r="G1674" s="95"/>
      <c r="H1674" s="71"/>
      <c r="I1674" s="72"/>
      <c r="J1674" s="96"/>
      <c r="K1674" s="71" t="s">
        <v>12461</v>
      </c>
      <c r="L1674" s="97"/>
      <c r="M1674" s="76"/>
      <c r="N1674" s="76"/>
      <c r="O1674" s="77"/>
      <c r="P1674" s="78"/>
      <c r="Q1674" s="78"/>
      <c r="R1674" s="92"/>
      <c r="S1674" s="92"/>
      <c r="T1674" s="92"/>
      <c r="U1674" s="92"/>
      <c r="V1674" s="52"/>
      <c r="W1674" s="52"/>
      <c r="X1674" s="52"/>
      <c r="Y1674" s="52"/>
      <c r="Z1674" s="51"/>
      <c r="AA1674" s="73"/>
      <c r="AB1674" s="73"/>
      <c r="AC1674" s="74"/>
      <c r="AD1674" s="81" t="s">
        <v>9075</v>
      </c>
      <c r="AE1674" s="86" t="s">
        <v>10019</v>
      </c>
      <c r="AF1674" s="81">
        <v>2633</v>
      </c>
      <c r="AG1674" s="81">
        <v>2721</v>
      </c>
      <c r="AH1674" s="81">
        <v>9394</v>
      </c>
      <c r="AI1674" s="81">
        <v>1653</v>
      </c>
      <c r="AJ1674" s="81"/>
      <c r="AK1674" s="81" t="s">
        <v>10937</v>
      </c>
      <c r="AL1674" s="81" t="s">
        <v>8066</v>
      </c>
      <c r="AM1674" s="81"/>
      <c r="AN1674" s="81"/>
      <c r="AO1674" s="83">
        <v>40061.043703703705</v>
      </c>
      <c r="AP1674" s="81"/>
      <c r="AQ1674" s="81" t="b">
        <v>0</v>
      </c>
      <c r="AR1674" s="81" t="b">
        <v>0</v>
      </c>
      <c r="AS1674" s="81" t="b">
        <v>1</v>
      </c>
      <c r="AT1674" s="81"/>
      <c r="AU1674" s="81">
        <v>20</v>
      </c>
      <c r="AV1674" s="84" t="str">
        <f>HYPERLINK("https://abs.twimg.com/images/themes/theme1/bg.png")</f>
        <v>https://abs.twimg.com/images/themes/theme1/bg.png</v>
      </c>
      <c r="AW1674" s="81" t="b">
        <v>0</v>
      </c>
      <c r="AX1674" s="81" t="s">
        <v>3728</v>
      </c>
      <c r="AY1674" s="84" t="str">
        <f>HYPERLINK("https://twitter.com/glaucorbraga")</f>
        <v>https://twitter.com/glaucorbraga</v>
      </c>
      <c r="AZ1674" s="81" t="s">
        <v>65</v>
      </c>
    </row>
    <row r="1675" spans="1:52" x14ac:dyDescent="0.35">
      <c r="A1675" s="66" t="s">
        <v>5249</v>
      </c>
      <c r="B1675" s="67"/>
      <c r="C1675" s="67"/>
      <c r="D1675" s="68"/>
      <c r="E1675" s="94"/>
      <c r="F1675" s="93" t="str">
        <f>HYPERLINK("https://pbs.twimg.com/profile_images/1440099360465956864/wdHEdElU_normal.jpg")</f>
        <v>https://pbs.twimg.com/profile_images/1440099360465956864/wdHEdElU_normal.jpg</v>
      </c>
      <c r="G1675" s="95"/>
      <c r="H1675" s="71"/>
      <c r="I1675" s="72"/>
      <c r="J1675" s="96"/>
      <c r="K1675" s="71" t="s">
        <v>12462</v>
      </c>
      <c r="L1675" s="97"/>
      <c r="M1675" s="76"/>
      <c r="N1675" s="76"/>
      <c r="O1675" s="77"/>
      <c r="P1675" s="78"/>
      <c r="Q1675" s="78"/>
      <c r="R1675" s="92"/>
      <c r="S1675" s="92"/>
      <c r="T1675" s="92"/>
      <c r="U1675" s="92"/>
      <c r="V1675" s="52"/>
      <c r="W1675" s="52"/>
      <c r="X1675" s="52"/>
      <c r="Y1675" s="52"/>
      <c r="Z1675" s="51"/>
      <c r="AA1675" s="73"/>
      <c r="AB1675" s="73"/>
      <c r="AC1675" s="74"/>
      <c r="AD1675" s="81" t="s">
        <v>9076</v>
      </c>
      <c r="AE1675" s="86" t="s">
        <v>10020</v>
      </c>
      <c r="AF1675" s="81">
        <v>14379</v>
      </c>
      <c r="AG1675" s="81">
        <v>14380</v>
      </c>
      <c r="AH1675" s="81">
        <v>15958</v>
      </c>
      <c r="AI1675" s="81">
        <v>39724</v>
      </c>
      <c r="AJ1675" s="81"/>
      <c r="AK1675" s="81" t="s">
        <v>10938</v>
      </c>
      <c r="AL1675" s="81" t="s">
        <v>11380</v>
      </c>
      <c r="AM1675" s="81"/>
      <c r="AN1675" s="81"/>
      <c r="AO1675" s="83">
        <v>40490.905347222222</v>
      </c>
      <c r="AP1675" s="84" t="str">
        <f>HYPERLINK("https://pbs.twimg.com/profile_banners/213417742/1618189781")</f>
        <v>https://pbs.twimg.com/profile_banners/213417742/1618189781</v>
      </c>
      <c r="AQ1675" s="81" t="b">
        <v>1</v>
      </c>
      <c r="AR1675" s="81" t="b">
        <v>0</v>
      </c>
      <c r="AS1675" s="81" t="b">
        <v>1</v>
      </c>
      <c r="AT1675" s="81"/>
      <c r="AU1675" s="81">
        <v>12</v>
      </c>
      <c r="AV1675" s="84" t="str">
        <f>HYPERLINK("https://abs.twimg.com/images/themes/theme1/bg.png")</f>
        <v>https://abs.twimg.com/images/themes/theme1/bg.png</v>
      </c>
      <c r="AW1675" s="81" t="b">
        <v>0</v>
      </c>
      <c r="AX1675" s="81" t="s">
        <v>3728</v>
      </c>
      <c r="AY1675" s="84" t="str">
        <f>HYPERLINK("https://twitter.com/doce_pimenta13")</f>
        <v>https://twitter.com/doce_pimenta13</v>
      </c>
      <c r="AZ1675" s="81" t="s">
        <v>65</v>
      </c>
    </row>
    <row r="1676" spans="1:52" x14ac:dyDescent="0.35">
      <c r="A1676" s="66" t="s">
        <v>5250</v>
      </c>
      <c r="B1676" s="67"/>
      <c r="C1676" s="67"/>
      <c r="D1676" s="68"/>
      <c r="E1676" s="94"/>
      <c r="F1676" s="93" t="str">
        <f>HYPERLINK("https://pbs.twimg.com/profile_images/1433512419419099141/-UvIQNXw_normal.jpg")</f>
        <v>https://pbs.twimg.com/profile_images/1433512419419099141/-UvIQNXw_normal.jpg</v>
      </c>
      <c r="G1676" s="95"/>
      <c r="H1676" s="71"/>
      <c r="I1676" s="72"/>
      <c r="J1676" s="96"/>
      <c r="K1676" s="71" t="s">
        <v>12463</v>
      </c>
      <c r="L1676" s="97"/>
      <c r="M1676" s="76"/>
      <c r="N1676" s="76"/>
      <c r="O1676" s="77"/>
      <c r="P1676" s="78"/>
      <c r="Q1676" s="78"/>
      <c r="R1676" s="92"/>
      <c r="S1676" s="92"/>
      <c r="T1676" s="92"/>
      <c r="U1676" s="92"/>
      <c r="V1676" s="52"/>
      <c r="W1676" s="52"/>
      <c r="X1676" s="52"/>
      <c r="Y1676" s="52"/>
      <c r="Z1676" s="51"/>
      <c r="AA1676" s="73"/>
      <c r="AB1676" s="73"/>
      <c r="AC1676" s="74"/>
      <c r="AD1676" s="81" t="s">
        <v>9077</v>
      </c>
      <c r="AE1676" s="86" t="s">
        <v>10021</v>
      </c>
      <c r="AF1676" s="81">
        <v>15462</v>
      </c>
      <c r="AG1676" s="81">
        <v>16035</v>
      </c>
      <c r="AH1676" s="81">
        <v>40513</v>
      </c>
      <c r="AI1676" s="81">
        <v>108702</v>
      </c>
      <c r="AJ1676" s="81"/>
      <c r="AK1676" s="81" t="s">
        <v>10939</v>
      </c>
      <c r="AL1676" s="81"/>
      <c r="AM1676" s="81"/>
      <c r="AN1676" s="81"/>
      <c r="AO1676" s="83">
        <v>44011.779675925929</v>
      </c>
      <c r="AP1676" s="84" t="str">
        <f>HYPERLINK("https://pbs.twimg.com/profile_banners/1277673837224738817/1631483219")</f>
        <v>https://pbs.twimg.com/profile_banners/1277673837224738817/1631483219</v>
      </c>
      <c r="AQ1676" s="81" t="b">
        <v>1</v>
      </c>
      <c r="AR1676" s="81" t="b">
        <v>0</v>
      </c>
      <c r="AS1676" s="81" t="b">
        <v>1</v>
      </c>
      <c r="AT1676" s="81"/>
      <c r="AU1676" s="81">
        <v>35</v>
      </c>
      <c r="AV1676" s="81"/>
      <c r="AW1676" s="81" t="b">
        <v>0</v>
      </c>
      <c r="AX1676" s="81" t="s">
        <v>3728</v>
      </c>
      <c r="AY1676" s="84" t="str">
        <f>HYPERLINK("https://twitter.com/bruna85172176")</f>
        <v>https://twitter.com/bruna85172176</v>
      </c>
      <c r="AZ1676" s="81" t="s">
        <v>65</v>
      </c>
    </row>
    <row r="1677" spans="1:52" x14ac:dyDescent="0.35">
      <c r="A1677" s="66" t="s">
        <v>5251</v>
      </c>
      <c r="B1677" s="67"/>
      <c r="C1677" s="67"/>
      <c r="D1677" s="68"/>
      <c r="E1677" s="94"/>
      <c r="F1677" s="93" t="str">
        <f>HYPERLINK("https://pbs.twimg.com/profile_images/1439250823083696132/TuG_o6w3_normal.jpg")</f>
        <v>https://pbs.twimg.com/profile_images/1439250823083696132/TuG_o6w3_normal.jpg</v>
      </c>
      <c r="G1677" s="95"/>
      <c r="H1677" s="71"/>
      <c r="I1677" s="72"/>
      <c r="J1677" s="96"/>
      <c r="K1677" s="71" t="s">
        <v>12464</v>
      </c>
      <c r="L1677" s="97"/>
      <c r="M1677" s="76"/>
      <c r="N1677" s="76"/>
      <c r="O1677" s="77"/>
      <c r="P1677" s="78"/>
      <c r="Q1677" s="78"/>
      <c r="R1677" s="92"/>
      <c r="S1677" s="92"/>
      <c r="T1677" s="92"/>
      <c r="U1677" s="92"/>
      <c r="V1677" s="52"/>
      <c r="W1677" s="52"/>
      <c r="X1677" s="52"/>
      <c r="Y1677" s="52"/>
      <c r="Z1677" s="51"/>
      <c r="AA1677" s="73"/>
      <c r="AB1677" s="73"/>
      <c r="AC1677" s="74"/>
      <c r="AD1677" s="81" t="s">
        <v>9078</v>
      </c>
      <c r="AE1677" s="86" t="s">
        <v>10022</v>
      </c>
      <c r="AF1677" s="81">
        <v>19310</v>
      </c>
      <c r="AG1677" s="81">
        <v>21272</v>
      </c>
      <c r="AH1677" s="81">
        <v>72080</v>
      </c>
      <c r="AI1677" s="81">
        <v>16528</v>
      </c>
      <c r="AJ1677" s="81"/>
      <c r="AK1677" s="81" t="s">
        <v>10940</v>
      </c>
      <c r="AL1677" s="81" t="s">
        <v>11275</v>
      </c>
      <c r="AM1677" s="81"/>
      <c r="AN1677" s="81"/>
      <c r="AO1677" s="83">
        <v>41638.475138888891</v>
      </c>
      <c r="AP1677" s="84" t="str">
        <f>HYPERLINK("https://pbs.twimg.com/profile_banners/2268730459/1546639634")</f>
        <v>https://pbs.twimg.com/profile_banners/2268730459/1546639634</v>
      </c>
      <c r="AQ1677" s="81" t="b">
        <v>0</v>
      </c>
      <c r="AR1677" s="81" t="b">
        <v>0</v>
      </c>
      <c r="AS1677" s="81" t="b">
        <v>0</v>
      </c>
      <c r="AT1677" s="81"/>
      <c r="AU1677" s="81">
        <v>11</v>
      </c>
      <c r="AV1677" s="84" t="str">
        <f>HYPERLINK("https://abs.twimg.com/images/themes/theme1/bg.png")</f>
        <v>https://abs.twimg.com/images/themes/theme1/bg.png</v>
      </c>
      <c r="AW1677" s="81" t="b">
        <v>0</v>
      </c>
      <c r="AX1677" s="81" t="s">
        <v>3728</v>
      </c>
      <c r="AY1677" s="84" t="str">
        <f>HYPERLINK("https://twitter.com/fjosi1")</f>
        <v>https://twitter.com/fjosi1</v>
      </c>
      <c r="AZ1677" s="81" t="s">
        <v>65</v>
      </c>
    </row>
    <row r="1678" spans="1:52" x14ac:dyDescent="0.35">
      <c r="A1678" s="66" t="s">
        <v>5252</v>
      </c>
      <c r="B1678" s="67"/>
      <c r="C1678" s="67"/>
      <c r="D1678" s="68"/>
      <c r="E1678" s="94"/>
      <c r="F1678" s="93" t="str">
        <f>HYPERLINK("https://pbs.twimg.com/profile_images/465919973895204864/j9-vXx7v_normal.jpeg")</f>
        <v>https://pbs.twimg.com/profile_images/465919973895204864/j9-vXx7v_normal.jpeg</v>
      </c>
      <c r="G1678" s="95"/>
      <c r="H1678" s="71"/>
      <c r="I1678" s="72"/>
      <c r="J1678" s="96"/>
      <c r="K1678" s="71" t="s">
        <v>12465</v>
      </c>
      <c r="L1678" s="97"/>
      <c r="M1678" s="76"/>
      <c r="N1678" s="76"/>
      <c r="O1678" s="77"/>
      <c r="P1678" s="78"/>
      <c r="Q1678" s="78"/>
      <c r="R1678" s="92"/>
      <c r="S1678" s="92"/>
      <c r="T1678" s="92"/>
      <c r="U1678" s="92"/>
      <c r="V1678" s="52"/>
      <c r="W1678" s="52"/>
      <c r="X1678" s="52"/>
      <c r="Y1678" s="52"/>
      <c r="Z1678" s="51"/>
      <c r="AA1678" s="73"/>
      <c r="AB1678" s="73"/>
      <c r="AC1678" s="74"/>
      <c r="AD1678" s="81" t="s">
        <v>9079</v>
      </c>
      <c r="AE1678" s="86" t="s">
        <v>10023</v>
      </c>
      <c r="AF1678" s="81">
        <v>1498</v>
      </c>
      <c r="AG1678" s="81">
        <v>876</v>
      </c>
      <c r="AH1678" s="81">
        <v>707</v>
      </c>
      <c r="AI1678" s="81">
        <v>1863</v>
      </c>
      <c r="AJ1678" s="81"/>
      <c r="AK1678" s="81"/>
      <c r="AL1678" s="81" t="s">
        <v>11381</v>
      </c>
      <c r="AM1678" s="81"/>
      <c r="AN1678" s="81"/>
      <c r="AO1678" s="83">
        <v>40617.953993055555</v>
      </c>
      <c r="AP1678" s="81"/>
      <c r="AQ1678" s="81" t="b">
        <v>1</v>
      </c>
      <c r="AR1678" s="81" t="b">
        <v>0</v>
      </c>
      <c r="AS1678" s="81" t="b">
        <v>0</v>
      </c>
      <c r="AT1678" s="81"/>
      <c r="AU1678" s="81">
        <v>0</v>
      </c>
      <c r="AV1678" s="84" t="str">
        <f>HYPERLINK("https://abs.twimg.com/images/themes/theme1/bg.png")</f>
        <v>https://abs.twimg.com/images/themes/theme1/bg.png</v>
      </c>
      <c r="AW1678" s="81" t="b">
        <v>0</v>
      </c>
      <c r="AX1678" s="81" t="s">
        <v>3728</v>
      </c>
      <c r="AY1678" s="84" t="str">
        <f>HYPERLINK("https://twitter.com/tmachado84")</f>
        <v>https://twitter.com/tmachado84</v>
      </c>
      <c r="AZ1678" s="81" t="s">
        <v>65</v>
      </c>
    </row>
    <row r="1679" spans="1:52" x14ac:dyDescent="0.35">
      <c r="A1679" s="66" t="s">
        <v>5253</v>
      </c>
      <c r="B1679" s="67"/>
      <c r="C1679" s="67"/>
      <c r="D1679" s="68"/>
      <c r="E1679" s="94"/>
      <c r="F1679" s="93" t="str">
        <f>HYPERLINK("https://pbs.twimg.com/profile_images/1280714022896259072/aHNIKo4k_normal.jpg")</f>
        <v>https://pbs.twimg.com/profile_images/1280714022896259072/aHNIKo4k_normal.jpg</v>
      </c>
      <c r="G1679" s="95"/>
      <c r="H1679" s="71"/>
      <c r="I1679" s="72"/>
      <c r="J1679" s="96"/>
      <c r="K1679" s="71" t="s">
        <v>12466</v>
      </c>
      <c r="L1679" s="97"/>
      <c r="M1679" s="76"/>
      <c r="N1679" s="76"/>
      <c r="O1679" s="77"/>
      <c r="P1679" s="78"/>
      <c r="Q1679" s="78"/>
      <c r="R1679" s="92"/>
      <c r="S1679" s="92"/>
      <c r="T1679" s="92"/>
      <c r="U1679" s="92"/>
      <c r="V1679" s="52"/>
      <c r="W1679" s="52"/>
      <c r="X1679" s="52"/>
      <c r="Y1679" s="52"/>
      <c r="Z1679" s="51"/>
      <c r="AA1679" s="73"/>
      <c r="AB1679" s="73"/>
      <c r="AC1679" s="74"/>
      <c r="AD1679" s="81" t="s">
        <v>9080</v>
      </c>
      <c r="AE1679" s="86" t="s">
        <v>10024</v>
      </c>
      <c r="AF1679" s="81">
        <v>5835</v>
      </c>
      <c r="AG1679" s="81">
        <v>5559</v>
      </c>
      <c r="AH1679" s="81">
        <v>722</v>
      </c>
      <c r="AI1679" s="81">
        <v>2601</v>
      </c>
      <c r="AJ1679" s="81"/>
      <c r="AK1679" s="81" t="s">
        <v>10941</v>
      </c>
      <c r="AL1679" s="81" t="s">
        <v>11382</v>
      </c>
      <c r="AM1679" s="81"/>
      <c r="AN1679" s="81"/>
      <c r="AO1679" s="83">
        <v>40142.648298611108</v>
      </c>
      <c r="AP1679" s="84" t="str">
        <f>HYPERLINK("https://pbs.twimg.com/profile_banners/92546272/1594462794")</f>
        <v>https://pbs.twimg.com/profile_banners/92546272/1594462794</v>
      </c>
      <c r="AQ1679" s="81" t="b">
        <v>1</v>
      </c>
      <c r="AR1679" s="81" t="b">
        <v>0</v>
      </c>
      <c r="AS1679" s="81" t="b">
        <v>1</v>
      </c>
      <c r="AT1679" s="81"/>
      <c r="AU1679" s="81">
        <v>2</v>
      </c>
      <c r="AV1679" s="84" t="str">
        <f>HYPERLINK("https://abs.twimg.com/images/themes/theme1/bg.png")</f>
        <v>https://abs.twimg.com/images/themes/theme1/bg.png</v>
      </c>
      <c r="AW1679" s="81" t="b">
        <v>0</v>
      </c>
      <c r="AX1679" s="81" t="s">
        <v>3728</v>
      </c>
      <c r="AY1679" s="84" t="str">
        <f>HYPERLINK("https://twitter.com/rodrigoelpidio")</f>
        <v>https://twitter.com/rodrigoelpidio</v>
      </c>
      <c r="AZ1679" s="81" t="s">
        <v>65</v>
      </c>
    </row>
    <row r="1680" spans="1:52" x14ac:dyDescent="0.35">
      <c r="A1680" s="66" t="s">
        <v>5254</v>
      </c>
      <c r="B1680" s="67"/>
      <c r="C1680" s="67"/>
      <c r="D1680" s="68"/>
      <c r="E1680" s="94"/>
      <c r="F1680" s="93" t="str">
        <f>HYPERLINK("https://pbs.twimg.com/profile_images/1420707395504910337/E2fg_Y8K_normal.jpg")</f>
        <v>https://pbs.twimg.com/profile_images/1420707395504910337/E2fg_Y8K_normal.jpg</v>
      </c>
      <c r="G1680" s="95"/>
      <c r="H1680" s="71"/>
      <c r="I1680" s="72"/>
      <c r="J1680" s="96"/>
      <c r="K1680" s="71" t="s">
        <v>12467</v>
      </c>
      <c r="L1680" s="97"/>
      <c r="M1680" s="76"/>
      <c r="N1680" s="76"/>
      <c r="O1680" s="77"/>
      <c r="P1680" s="78"/>
      <c r="Q1680" s="78"/>
      <c r="R1680" s="92"/>
      <c r="S1680" s="92"/>
      <c r="T1680" s="92"/>
      <c r="U1680" s="92"/>
      <c r="V1680" s="52"/>
      <c r="W1680" s="52"/>
      <c r="X1680" s="52"/>
      <c r="Y1680" s="52"/>
      <c r="Z1680" s="51"/>
      <c r="AA1680" s="73"/>
      <c r="AB1680" s="73"/>
      <c r="AC1680" s="74"/>
      <c r="AD1680" s="81" t="s">
        <v>9081</v>
      </c>
      <c r="AE1680" s="86" t="s">
        <v>10025</v>
      </c>
      <c r="AF1680" s="81">
        <v>2090</v>
      </c>
      <c r="AG1680" s="81">
        <v>2036</v>
      </c>
      <c r="AH1680" s="81">
        <v>379</v>
      </c>
      <c r="AI1680" s="81">
        <v>2492</v>
      </c>
      <c r="AJ1680" s="81"/>
      <c r="AK1680" s="81" t="s">
        <v>10942</v>
      </c>
      <c r="AL1680" s="81" t="s">
        <v>10985</v>
      </c>
      <c r="AM1680" s="81"/>
      <c r="AN1680" s="81"/>
      <c r="AO1680" s="83">
        <v>44404.077349537038</v>
      </c>
      <c r="AP1680" s="81"/>
      <c r="AQ1680" s="81" t="b">
        <v>1</v>
      </c>
      <c r="AR1680" s="81" t="b">
        <v>0</v>
      </c>
      <c r="AS1680" s="81" t="b">
        <v>0</v>
      </c>
      <c r="AT1680" s="81"/>
      <c r="AU1680" s="81">
        <v>25</v>
      </c>
      <c r="AV1680" s="81"/>
      <c r="AW1680" s="81" t="b">
        <v>0</v>
      </c>
      <c r="AX1680" s="81" t="s">
        <v>3728</v>
      </c>
      <c r="AY1680" s="84" t="str">
        <f>HYPERLINK("https://twitter.com/williambassane2")</f>
        <v>https://twitter.com/williambassane2</v>
      </c>
      <c r="AZ1680" s="81" t="s">
        <v>65</v>
      </c>
    </row>
    <row r="1681" spans="1:52" x14ac:dyDescent="0.35">
      <c r="A1681" s="66" t="s">
        <v>5255</v>
      </c>
      <c r="B1681" s="67"/>
      <c r="C1681" s="67"/>
      <c r="D1681" s="68"/>
      <c r="E1681" s="94"/>
      <c r="F1681" s="93" t="str">
        <f>HYPERLINK("https://pbs.twimg.com/profile_images/1419389342666133507/TlnbMog7_normal.jpg")</f>
        <v>https://pbs.twimg.com/profile_images/1419389342666133507/TlnbMog7_normal.jpg</v>
      </c>
      <c r="G1681" s="95"/>
      <c r="H1681" s="71"/>
      <c r="I1681" s="72"/>
      <c r="J1681" s="96"/>
      <c r="K1681" s="71" t="s">
        <v>12468</v>
      </c>
      <c r="L1681" s="97"/>
      <c r="M1681" s="76"/>
      <c r="N1681" s="76"/>
      <c r="O1681" s="77"/>
      <c r="P1681" s="78"/>
      <c r="Q1681" s="78"/>
      <c r="R1681" s="92"/>
      <c r="S1681" s="92"/>
      <c r="T1681" s="92"/>
      <c r="U1681" s="92"/>
      <c r="V1681" s="52"/>
      <c r="W1681" s="52"/>
      <c r="X1681" s="52"/>
      <c r="Y1681" s="52"/>
      <c r="Z1681" s="51"/>
      <c r="AA1681" s="73"/>
      <c r="AB1681" s="73"/>
      <c r="AC1681" s="74"/>
      <c r="AD1681" s="81" t="s">
        <v>9082</v>
      </c>
      <c r="AE1681" s="86" t="s">
        <v>10026</v>
      </c>
      <c r="AF1681" s="81">
        <v>5416</v>
      </c>
      <c r="AG1681" s="81">
        <v>4966</v>
      </c>
      <c r="AH1681" s="81">
        <v>28726</v>
      </c>
      <c r="AI1681" s="81">
        <v>149175</v>
      </c>
      <c r="AJ1681" s="81"/>
      <c r="AK1681" s="81" t="s">
        <v>10943</v>
      </c>
      <c r="AL1681" s="81" t="s">
        <v>11256</v>
      </c>
      <c r="AM1681" s="81"/>
      <c r="AN1681" s="81"/>
      <c r="AO1681" s="83">
        <v>41239.745810185188</v>
      </c>
      <c r="AP1681" s="84" t="str">
        <f>HYPERLINK("https://pbs.twimg.com/profile_banners/972413358/1496709243")</f>
        <v>https://pbs.twimg.com/profile_banners/972413358/1496709243</v>
      </c>
      <c r="AQ1681" s="81" t="b">
        <v>0</v>
      </c>
      <c r="AR1681" s="81" t="b">
        <v>0</v>
      </c>
      <c r="AS1681" s="81" t="b">
        <v>1</v>
      </c>
      <c r="AT1681" s="81"/>
      <c r="AU1681" s="81">
        <v>4</v>
      </c>
      <c r="AV1681" s="84" t="str">
        <f>HYPERLINK("https://abs.twimg.com/images/themes/theme5/bg.gif")</f>
        <v>https://abs.twimg.com/images/themes/theme5/bg.gif</v>
      </c>
      <c r="AW1681" s="81" t="b">
        <v>0</v>
      </c>
      <c r="AX1681" s="81" t="s">
        <v>3728</v>
      </c>
      <c r="AY1681" s="84" t="str">
        <f>HYPERLINK("https://twitter.com/emanoelseabra")</f>
        <v>https://twitter.com/emanoelseabra</v>
      </c>
      <c r="AZ1681" s="81" t="s">
        <v>65</v>
      </c>
    </row>
    <row r="1682" spans="1:52" x14ac:dyDescent="0.35">
      <c r="A1682" s="66" t="s">
        <v>5256</v>
      </c>
      <c r="B1682" s="67"/>
      <c r="C1682" s="67"/>
      <c r="D1682" s="68"/>
      <c r="E1682" s="94"/>
      <c r="F1682" s="93" t="str">
        <f>HYPERLINK("https://pbs.twimg.com/profile_images/1416743022751109120/qPJdtVWW_normal.jpg")</f>
        <v>https://pbs.twimg.com/profile_images/1416743022751109120/qPJdtVWW_normal.jpg</v>
      </c>
      <c r="G1682" s="95"/>
      <c r="H1682" s="71"/>
      <c r="I1682" s="72"/>
      <c r="J1682" s="96"/>
      <c r="K1682" s="71" t="s">
        <v>12469</v>
      </c>
      <c r="L1682" s="97"/>
      <c r="M1682" s="76"/>
      <c r="N1682" s="76"/>
      <c r="O1682" s="77"/>
      <c r="P1682" s="78"/>
      <c r="Q1682" s="78"/>
      <c r="R1682" s="92"/>
      <c r="S1682" s="92"/>
      <c r="T1682" s="92"/>
      <c r="U1682" s="92"/>
      <c r="V1682" s="52"/>
      <c r="W1682" s="52"/>
      <c r="X1682" s="52"/>
      <c r="Y1682" s="52"/>
      <c r="Z1682" s="51"/>
      <c r="AA1682" s="73"/>
      <c r="AB1682" s="73"/>
      <c r="AC1682" s="74"/>
      <c r="AD1682" s="81" t="s">
        <v>9083</v>
      </c>
      <c r="AE1682" s="86" t="s">
        <v>10027</v>
      </c>
      <c r="AF1682" s="81">
        <v>4127</v>
      </c>
      <c r="AG1682" s="81">
        <v>3297</v>
      </c>
      <c r="AH1682" s="81">
        <v>3258</v>
      </c>
      <c r="AI1682" s="81">
        <v>15888</v>
      </c>
      <c r="AJ1682" s="81"/>
      <c r="AK1682" s="81" t="s">
        <v>10944</v>
      </c>
      <c r="AL1682" s="81" t="s">
        <v>11383</v>
      </c>
      <c r="AM1682" s="81"/>
      <c r="AN1682" s="81"/>
      <c r="AO1682" s="83">
        <v>43730.70103009259</v>
      </c>
      <c r="AP1682" s="84" t="str">
        <f>HYPERLINK("https://pbs.twimg.com/profile_banners/1175814303196356614/1630108236")</f>
        <v>https://pbs.twimg.com/profile_banners/1175814303196356614/1630108236</v>
      </c>
      <c r="AQ1682" s="81" t="b">
        <v>1</v>
      </c>
      <c r="AR1682" s="81" t="b">
        <v>0</v>
      </c>
      <c r="AS1682" s="81" t="b">
        <v>1</v>
      </c>
      <c r="AT1682" s="81"/>
      <c r="AU1682" s="81">
        <v>0</v>
      </c>
      <c r="AV1682" s="81"/>
      <c r="AW1682" s="81" t="b">
        <v>0</v>
      </c>
      <c r="AX1682" s="81" t="s">
        <v>3728</v>
      </c>
      <c r="AY1682" s="84" t="str">
        <f>HYPERLINK("https://twitter.com/felipe89f")</f>
        <v>https://twitter.com/felipe89f</v>
      </c>
      <c r="AZ1682" s="81" t="s">
        <v>65</v>
      </c>
    </row>
    <row r="1683" spans="1:52" x14ac:dyDescent="0.35">
      <c r="A1683" s="66" t="s">
        <v>5257</v>
      </c>
      <c r="B1683" s="67"/>
      <c r="C1683" s="67"/>
      <c r="D1683" s="68"/>
      <c r="E1683" s="94"/>
      <c r="F1683" s="93" t="str">
        <f>HYPERLINK("https://pbs.twimg.com/profile_images/1417883267664076804/aZHf935x_normal.jpg")</f>
        <v>https://pbs.twimg.com/profile_images/1417883267664076804/aZHf935x_normal.jpg</v>
      </c>
      <c r="G1683" s="95"/>
      <c r="H1683" s="71"/>
      <c r="I1683" s="72"/>
      <c r="J1683" s="96"/>
      <c r="K1683" s="71" t="s">
        <v>12470</v>
      </c>
      <c r="L1683" s="97"/>
      <c r="M1683" s="76"/>
      <c r="N1683" s="76"/>
      <c r="O1683" s="77"/>
      <c r="P1683" s="78"/>
      <c r="Q1683" s="78"/>
      <c r="R1683" s="92"/>
      <c r="S1683" s="92"/>
      <c r="T1683" s="92"/>
      <c r="U1683" s="92"/>
      <c r="V1683" s="52"/>
      <c r="W1683" s="52"/>
      <c r="X1683" s="52"/>
      <c r="Y1683" s="52"/>
      <c r="Z1683" s="51"/>
      <c r="AA1683" s="73"/>
      <c r="AB1683" s="73"/>
      <c r="AC1683" s="74"/>
      <c r="AD1683" s="81" t="s">
        <v>9084</v>
      </c>
      <c r="AE1683" s="86" t="s">
        <v>10028</v>
      </c>
      <c r="AF1683" s="81">
        <v>2615</v>
      </c>
      <c r="AG1683" s="81">
        <v>3349</v>
      </c>
      <c r="AH1683" s="81">
        <v>1576</v>
      </c>
      <c r="AI1683" s="81">
        <v>1960</v>
      </c>
      <c r="AJ1683" s="81"/>
      <c r="AK1683" s="81" t="s">
        <v>10945</v>
      </c>
      <c r="AL1683" s="81" t="s">
        <v>10985</v>
      </c>
      <c r="AM1683" s="81"/>
      <c r="AN1683" s="81"/>
      <c r="AO1683" s="83">
        <v>44134.918124999997</v>
      </c>
      <c r="AP1683" s="84" t="str">
        <f>HYPERLINK("https://pbs.twimg.com/profile_banners/1322297576788496386/1632233407")</f>
        <v>https://pbs.twimg.com/profile_banners/1322297576788496386/1632233407</v>
      </c>
      <c r="AQ1683" s="81" t="b">
        <v>1</v>
      </c>
      <c r="AR1683" s="81" t="b">
        <v>0</v>
      </c>
      <c r="AS1683" s="81" t="b">
        <v>0</v>
      </c>
      <c r="AT1683" s="81"/>
      <c r="AU1683" s="81">
        <v>5</v>
      </c>
      <c r="AV1683" s="81"/>
      <c r="AW1683" s="81" t="b">
        <v>0</v>
      </c>
      <c r="AX1683" s="81" t="s">
        <v>3728</v>
      </c>
      <c r="AY1683" s="84" t="str">
        <f>HYPERLINK("https://twitter.com/paulodella4")</f>
        <v>https://twitter.com/paulodella4</v>
      </c>
      <c r="AZ1683" s="81" t="s">
        <v>65</v>
      </c>
    </row>
    <row r="1684" spans="1:52" x14ac:dyDescent="0.35">
      <c r="A1684" s="66" t="s">
        <v>5258</v>
      </c>
      <c r="B1684" s="67"/>
      <c r="C1684" s="67"/>
      <c r="D1684" s="68"/>
      <c r="E1684" s="94"/>
      <c r="F1684" s="93" t="str">
        <f>HYPERLINK("https://pbs.twimg.com/profile_images/1259618296141357057/Q3LR7IYe_normal.jpg")</f>
        <v>https://pbs.twimg.com/profile_images/1259618296141357057/Q3LR7IYe_normal.jpg</v>
      </c>
      <c r="G1684" s="95"/>
      <c r="H1684" s="71"/>
      <c r="I1684" s="72"/>
      <c r="J1684" s="96"/>
      <c r="K1684" s="71" t="s">
        <v>12471</v>
      </c>
      <c r="L1684" s="97"/>
      <c r="M1684" s="76"/>
      <c r="N1684" s="76"/>
      <c r="O1684" s="77"/>
      <c r="P1684" s="78"/>
      <c r="Q1684" s="78"/>
      <c r="R1684" s="92"/>
      <c r="S1684" s="92"/>
      <c r="T1684" s="92"/>
      <c r="U1684" s="92"/>
      <c r="V1684" s="52"/>
      <c r="W1684" s="52"/>
      <c r="X1684" s="52"/>
      <c r="Y1684" s="52"/>
      <c r="Z1684" s="51"/>
      <c r="AA1684" s="73"/>
      <c r="AB1684" s="73"/>
      <c r="AC1684" s="74"/>
      <c r="AD1684" s="81" t="s">
        <v>9085</v>
      </c>
      <c r="AE1684" s="86" t="s">
        <v>10029</v>
      </c>
      <c r="AF1684" s="81">
        <v>2948</v>
      </c>
      <c r="AG1684" s="81">
        <v>2418</v>
      </c>
      <c r="AH1684" s="81">
        <v>16628</v>
      </c>
      <c r="AI1684" s="81">
        <v>39560</v>
      </c>
      <c r="AJ1684" s="81"/>
      <c r="AK1684" s="81" t="s">
        <v>10946</v>
      </c>
      <c r="AL1684" s="81"/>
      <c r="AM1684" s="81"/>
      <c r="AN1684" s="81"/>
      <c r="AO1684" s="83">
        <v>43880.461446759262</v>
      </c>
      <c r="AP1684" s="81"/>
      <c r="AQ1684" s="81" t="b">
        <v>1</v>
      </c>
      <c r="AR1684" s="81" t="b">
        <v>0</v>
      </c>
      <c r="AS1684" s="81" t="b">
        <v>1</v>
      </c>
      <c r="AT1684" s="81"/>
      <c r="AU1684" s="81">
        <v>1</v>
      </c>
      <c r="AV1684" s="81"/>
      <c r="AW1684" s="81" t="b">
        <v>0</v>
      </c>
      <c r="AX1684" s="81" t="s">
        <v>3728</v>
      </c>
      <c r="AY1684" s="84" t="str">
        <f>HYPERLINK("https://twitter.com/fabio70544222")</f>
        <v>https://twitter.com/fabio70544222</v>
      </c>
      <c r="AZ1684" s="81" t="s">
        <v>65</v>
      </c>
    </row>
    <row r="1685" spans="1:52" x14ac:dyDescent="0.35">
      <c r="A1685" s="66" t="s">
        <v>5259</v>
      </c>
      <c r="B1685" s="67"/>
      <c r="C1685" s="67"/>
      <c r="D1685" s="68"/>
      <c r="E1685" s="94"/>
      <c r="F1685" s="93" t="str">
        <f>HYPERLINK("https://pbs.twimg.com/profile_images/1407135417787326464/Et5ojUj8_normal.jpg")</f>
        <v>https://pbs.twimg.com/profile_images/1407135417787326464/Et5ojUj8_normal.jpg</v>
      </c>
      <c r="G1685" s="95"/>
      <c r="H1685" s="71"/>
      <c r="I1685" s="72"/>
      <c r="J1685" s="96"/>
      <c r="K1685" s="71" t="s">
        <v>12472</v>
      </c>
      <c r="L1685" s="97"/>
      <c r="M1685" s="76"/>
      <c r="N1685" s="76"/>
      <c r="O1685" s="77"/>
      <c r="P1685" s="78"/>
      <c r="Q1685" s="78"/>
      <c r="R1685" s="92"/>
      <c r="S1685" s="92"/>
      <c r="T1685" s="92"/>
      <c r="U1685" s="92"/>
      <c r="V1685" s="52"/>
      <c r="W1685" s="52"/>
      <c r="X1685" s="52"/>
      <c r="Y1685" s="52"/>
      <c r="Z1685" s="51"/>
      <c r="AA1685" s="73"/>
      <c r="AB1685" s="73"/>
      <c r="AC1685" s="74"/>
      <c r="AD1685" s="81" t="s">
        <v>9086</v>
      </c>
      <c r="AE1685" s="86" t="s">
        <v>10030</v>
      </c>
      <c r="AF1685" s="81">
        <v>3454</v>
      </c>
      <c r="AG1685" s="81">
        <v>3428</v>
      </c>
      <c r="AH1685" s="81">
        <v>1053</v>
      </c>
      <c r="AI1685" s="81">
        <v>6873</v>
      </c>
      <c r="AJ1685" s="81"/>
      <c r="AK1685" s="81" t="s">
        <v>10947</v>
      </c>
      <c r="AL1685" s="81" t="s">
        <v>11384</v>
      </c>
      <c r="AM1685" s="81"/>
      <c r="AN1685" s="81"/>
      <c r="AO1685" s="83">
        <v>44369.025150462963</v>
      </c>
      <c r="AP1685" s="84" t="str">
        <f>HYPERLINK("https://pbs.twimg.com/profile_banners/1407135189034278918/1624402404")</f>
        <v>https://pbs.twimg.com/profile_banners/1407135189034278918/1624402404</v>
      </c>
      <c r="AQ1685" s="81" t="b">
        <v>1</v>
      </c>
      <c r="AR1685" s="81" t="b">
        <v>0</v>
      </c>
      <c r="AS1685" s="81" t="b">
        <v>0</v>
      </c>
      <c r="AT1685" s="81"/>
      <c r="AU1685" s="81">
        <v>1</v>
      </c>
      <c r="AV1685" s="81"/>
      <c r="AW1685" s="81" t="b">
        <v>0</v>
      </c>
      <c r="AX1685" s="81" t="s">
        <v>3728</v>
      </c>
      <c r="AY1685" s="84" t="str">
        <f>HYPERLINK("https://twitter.com/resoares_77")</f>
        <v>https://twitter.com/resoares_77</v>
      </c>
      <c r="AZ1685" s="81" t="s">
        <v>65</v>
      </c>
    </row>
    <row r="1686" spans="1:52" x14ac:dyDescent="0.35">
      <c r="A1686" s="66" t="s">
        <v>5260</v>
      </c>
      <c r="B1686" s="67"/>
      <c r="C1686" s="67"/>
      <c r="D1686" s="68"/>
      <c r="E1686" s="94"/>
      <c r="F1686" s="93" t="str">
        <f>HYPERLINK("https://pbs.twimg.com/profile_images/1406784672126976005/iPwDep5h_normal.jpg")</f>
        <v>https://pbs.twimg.com/profile_images/1406784672126976005/iPwDep5h_normal.jpg</v>
      </c>
      <c r="G1686" s="95"/>
      <c r="H1686" s="71"/>
      <c r="I1686" s="72"/>
      <c r="J1686" s="96"/>
      <c r="K1686" s="71" t="s">
        <v>12473</v>
      </c>
      <c r="L1686" s="97"/>
      <c r="M1686" s="76"/>
      <c r="N1686" s="76"/>
      <c r="O1686" s="77"/>
      <c r="P1686" s="78"/>
      <c r="Q1686" s="78"/>
      <c r="R1686" s="92"/>
      <c r="S1686" s="92"/>
      <c r="T1686" s="92"/>
      <c r="U1686" s="92"/>
      <c r="V1686" s="52"/>
      <c r="W1686" s="52"/>
      <c r="X1686" s="52"/>
      <c r="Y1686" s="52"/>
      <c r="Z1686" s="51"/>
      <c r="AA1686" s="73"/>
      <c r="AB1686" s="73"/>
      <c r="AC1686" s="74"/>
      <c r="AD1686" s="81" t="s">
        <v>9087</v>
      </c>
      <c r="AE1686" s="86" t="s">
        <v>10031</v>
      </c>
      <c r="AF1686" s="81">
        <v>2395</v>
      </c>
      <c r="AG1686" s="81">
        <v>1717</v>
      </c>
      <c r="AH1686" s="81">
        <v>626</v>
      </c>
      <c r="AI1686" s="81">
        <v>889</v>
      </c>
      <c r="AJ1686" s="81"/>
      <c r="AK1686" s="81" t="s">
        <v>10948</v>
      </c>
      <c r="AL1686" s="81" t="s">
        <v>11385</v>
      </c>
      <c r="AM1686" s="84" t="str">
        <f>HYPERLINK("https://t.co/QpWFjs9YhS")</f>
        <v>https://t.co/QpWFjs9YhS</v>
      </c>
      <c r="AN1686" s="81"/>
      <c r="AO1686" s="83">
        <v>40200.202870370369</v>
      </c>
      <c r="AP1686" s="84" t="str">
        <f>HYPERLINK("https://pbs.twimg.com/profile_banners/107314606/1632577069")</f>
        <v>https://pbs.twimg.com/profile_banners/107314606/1632577069</v>
      </c>
      <c r="AQ1686" s="81" t="b">
        <v>0</v>
      </c>
      <c r="AR1686" s="81" t="b">
        <v>0</v>
      </c>
      <c r="AS1686" s="81" t="b">
        <v>0</v>
      </c>
      <c r="AT1686" s="81"/>
      <c r="AU1686" s="81">
        <v>5</v>
      </c>
      <c r="AV1686" s="84" t="str">
        <f>HYPERLINK("https://abs.twimg.com/images/themes/theme16/bg.gif")</f>
        <v>https://abs.twimg.com/images/themes/theme16/bg.gif</v>
      </c>
      <c r="AW1686" s="81" t="b">
        <v>0</v>
      </c>
      <c r="AX1686" s="81" t="s">
        <v>3728</v>
      </c>
      <c r="AY1686" s="84" t="str">
        <f>HYPERLINK("https://twitter.com/anayaanacleto")</f>
        <v>https://twitter.com/anayaanacleto</v>
      </c>
      <c r="AZ1686" s="81" t="s">
        <v>65</v>
      </c>
    </row>
    <row r="1687" spans="1:52" x14ac:dyDescent="0.35">
      <c r="A1687" s="66" t="s">
        <v>5261</v>
      </c>
      <c r="B1687" s="67"/>
      <c r="C1687" s="67"/>
      <c r="D1687" s="68"/>
      <c r="E1687" s="94"/>
      <c r="F1687" s="93" t="str">
        <f>HYPERLINK("https://pbs.twimg.com/profile_images/1391418505610899459/L8uJqOrv_normal.jpg")</f>
        <v>https://pbs.twimg.com/profile_images/1391418505610899459/L8uJqOrv_normal.jpg</v>
      </c>
      <c r="G1687" s="95"/>
      <c r="H1687" s="71"/>
      <c r="I1687" s="72"/>
      <c r="J1687" s="96"/>
      <c r="K1687" s="71" t="s">
        <v>12474</v>
      </c>
      <c r="L1687" s="97"/>
      <c r="M1687" s="76"/>
      <c r="N1687" s="76"/>
      <c r="O1687" s="77"/>
      <c r="P1687" s="78"/>
      <c r="Q1687" s="78"/>
      <c r="R1687" s="92"/>
      <c r="S1687" s="92"/>
      <c r="T1687" s="92"/>
      <c r="U1687" s="92"/>
      <c r="V1687" s="52"/>
      <c r="W1687" s="52"/>
      <c r="X1687" s="52"/>
      <c r="Y1687" s="52"/>
      <c r="Z1687" s="51"/>
      <c r="AA1687" s="73"/>
      <c r="AB1687" s="73"/>
      <c r="AC1687" s="74"/>
      <c r="AD1687" s="81" t="s">
        <v>9088</v>
      </c>
      <c r="AE1687" s="86" t="s">
        <v>10032</v>
      </c>
      <c r="AF1687" s="81">
        <v>3172</v>
      </c>
      <c r="AG1687" s="81">
        <v>4322</v>
      </c>
      <c r="AH1687" s="81">
        <v>10449</v>
      </c>
      <c r="AI1687" s="81">
        <v>41625</v>
      </c>
      <c r="AJ1687" s="81"/>
      <c r="AK1687" s="81" t="s">
        <v>10949</v>
      </c>
      <c r="AL1687" s="81"/>
      <c r="AM1687" s="81"/>
      <c r="AN1687" s="81"/>
      <c r="AO1687" s="83">
        <v>44325.653981481482</v>
      </c>
      <c r="AP1687" s="81"/>
      <c r="AQ1687" s="81" t="b">
        <v>1</v>
      </c>
      <c r="AR1687" s="81" t="b">
        <v>0</v>
      </c>
      <c r="AS1687" s="81" t="b">
        <v>0</v>
      </c>
      <c r="AT1687" s="81"/>
      <c r="AU1687" s="81">
        <v>37</v>
      </c>
      <c r="AV1687" s="81"/>
      <c r="AW1687" s="81" t="b">
        <v>0</v>
      </c>
      <c r="AX1687" s="81" t="s">
        <v>3728</v>
      </c>
      <c r="AY1687" s="84" t="str">
        <f>HYPERLINK("https://twitter.com/isabelfeijmach1")</f>
        <v>https://twitter.com/isabelfeijmach1</v>
      </c>
      <c r="AZ1687" s="81" t="s">
        <v>65</v>
      </c>
    </row>
    <row r="1688" spans="1:52" x14ac:dyDescent="0.35">
      <c r="A1688" s="66" t="s">
        <v>5262</v>
      </c>
      <c r="B1688" s="67"/>
      <c r="C1688" s="67"/>
      <c r="D1688" s="68"/>
      <c r="E1688" s="94"/>
      <c r="F1688" s="93" t="str">
        <f>HYPERLINK("https://pbs.twimg.com/profile_images/1421095290526969856/RNd4T4CW_normal.jpg")</f>
        <v>https://pbs.twimg.com/profile_images/1421095290526969856/RNd4T4CW_normal.jpg</v>
      </c>
      <c r="G1688" s="95"/>
      <c r="H1688" s="71"/>
      <c r="I1688" s="72"/>
      <c r="J1688" s="96"/>
      <c r="K1688" s="71" t="s">
        <v>12475</v>
      </c>
      <c r="L1688" s="97"/>
      <c r="M1688" s="76"/>
      <c r="N1688" s="76"/>
      <c r="O1688" s="77"/>
      <c r="P1688" s="78"/>
      <c r="Q1688" s="78"/>
      <c r="R1688" s="92"/>
      <c r="S1688" s="92"/>
      <c r="T1688" s="92"/>
      <c r="U1688" s="92"/>
      <c r="V1688" s="52"/>
      <c r="W1688" s="52"/>
      <c r="X1688" s="52"/>
      <c r="Y1688" s="52"/>
      <c r="Z1688" s="51"/>
      <c r="AA1688" s="73"/>
      <c r="AB1688" s="73"/>
      <c r="AC1688" s="74"/>
      <c r="AD1688" s="81" t="s">
        <v>9089</v>
      </c>
      <c r="AE1688" s="86" t="s">
        <v>10033</v>
      </c>
      <c r="AF1688" s="81">
        <v>3135</v>
      </c>
      <c r="AG1688" s="81">
        <v>2867</v>
      </c>
      <c r="AH1688" s="81">
        <v>26054</v>
      </c>
      <c r="AI1688" s="81">
        <v>23912</v>
      </c>
      <c r="AJ1688" s="81"/>
      <c r="AK1688" s="81" t="s">
        <v>10950</v>
      </c>
      <c r="AL1688" s="81"/>
      <c r="AM1688" s="81"/>
      <c r="AN1688" s="81"/>
      <c r="AO1688" s="83">
        <v>44393.721620370372</v>
      </c>
      <c r="AP1688" s="84" t="str">
        <f>HYPERLINK("https://pbs.twimg.com/profile_banners/1416084926030622723/1626462410")</f>
        <v>https://pbs.twimg.com/profile_banners/1416084926030622723/1626462410</v>
      </c>
      <c r="AQ1688" s="81" t="b">
        <v>1</v>
      </c>
      <c r="AR1688" s="81" t="b">
        <v>0</v>
      </c>
      <c r="AS1688" s="81" t="b">
        <v>0</v>
      </c>
      <c r="AT1688" s="81"/>
      <c r="AU1688" s="81">
        <v>18</v>
      </c>
      <c r="AV1688" s="81"/>
      <c r="AW1688" s="81" t="b">
        <v>0</v>
      </c>
      <c r="AX1688" s="81" t="s">
        <v>3728</v>
      </c>
      <c r="AY1688" s="84" t="str">
        <f>HYPERLINK("https://twitter.com/luizdominguesf1")</f>
        <v>https://twitter.com/luizdominguesf1</v>
      </c>
      <c r="AZ1688" s="81" t="s">
        <v>65</v>
      </c>
    </row>
    <row r="1689" spans="1:52" x14ac:dyDescent="0.35">
      <c r="A1689" s="66" t="s">
        <v>5263</v>
      </c>
      <c r="B1689" s="67"/>
      <c r="C1689" s="67"/>
      <c r="D1689" s="68"/>
      <c r="E1689" s="94"/>
      <c r="F1689" s="93" t="str">
        <f>HYPERLINK("https://pbs.twimg.com/profile_images/1384891263435030534/PJdSEKSj_normal.jpg")</f>
        <v>https://pbs.twimg.com/profile_images/1384891263435030534/PJdSEKSj_normal.jpg</v>
      </c>
      <c r="G1689" s="95"/>
      <c r="H1689" s="71"/>
      <c r="I1689" s="72"/>
      <c r="J1689" s="96"/>
      <c r="K1689" s="71" t="s">
        <v>12476</v>
      </c>
      <c r="L1689" s="97"/>
      <c r="M1689" s="76"/>
      <c r="N1689" s="76"/>
      <c r="O1689" s="77"/>
      <c r="P1689" s="78"/>
      <c r="Q1689" s="78"/>
      <c r="R1689" s="92"/>
      <c r="S1689" s="92"/>
      <c r="T1689" s="92"/>
      <c r="U1689" s="92"/>
      <c r="V1689" s="52"/>
      <c r="W1689" s="52"/>
      <c r="X1689" s="52"/>
      <c r="Y1689" s="52"/>
      <c r="Z1689" s="51"/>
      <c r="AA1689" s="73"/>
      <c r="AB1689" s="73"/>
      <c r="AC1689" s="74"/>
      <c r="AD1689" s="81" t="s">
        <v>9090</v>
      </c>
      <c r="AE1689" s="86" t="s">
        <v>10034</v>
      </c>
      <c r="AF1689" s="81">
        <v>226</v>
      </c>
      <c r="AG1689" s="81">
        <v>135</v>
      </c>
      <c r="AH1689" s="81">
        <v>43</v>
      </c>
      <c r="AI1689" s="81">
        <v>1003</v>
      </c>
      <c r="AJ1689" s="81"/>
      <c r="AK1689" s="81" t="s">
        <v>10951</v>
      </c>
      <c r="AL1689" s="81"/>
      <c r="AM1689" s="81"/>
      <c r="AN1689" s="81"/>
      <c r="AO1689" s="83">
        <v>44307.642581018517</v>
      </c>
      <c r="AP1689" s="81"/>
      <c r="AQ1689" s="81" t="b">
        <v>1</v>
      </c>
      <c r="AR1689" s="81" t="b">
        <v>0</v>
      </c>
      <c r="AS1689" s="81" t="b">
        <v>0</v>
      </c>
      <c r="AT1689" s="81"/>
      <c r="AU1689" s="81">
        <v>0</v>
      </c>
      <c r="AV1689" s="81"/>
      <c r="AW1689" s="81" t="b">
        <v>0</v>
      </c>
      <c r="AX1689" s="81" t="s">
        <v>3728</v>
      </c>
      <c r="AY1689" s="84" t="str">
        <f>HYPERLINK("https://twitter.com/ferretti_luiz")</f>
        <v>https://twitter.com/ferretti_luiz</v>
      </c>
      <c r="AZ1689" s="81" t="s">
        <v>65</v>
      </c>
    </row>
    <row r="1690" spans="1:52" x14ac:dyDescent="0.35">
      <c r="A1690" s="66" t="s">
        <v>4967</v>
      </c>
      <c r="B1690" s="67"/>
      <c r="C1690" s="67"/>
      <c r="D1690" s="68"/>
      <c r="E1690" s="94"/>
      <c r="F1690" s="93" t="str">
        <f>HYPERLINK("https://pbs.twimg.com/profile_images/1399527376242069507/ZhhDd0tB_normal.jpg")</f>
        <v>https://pbs.twimg.com/profile_images/1399527376242069507/ZhhDd0tB_normal.jpg</v>
      </c>
      <c r="G1690" s="95"/>
      <c r="H1690" s="71"/>
      <c r="I1690" s="72"/>
      <c r="J1690" s="96"/>
      <c r="K1690" s="71" t="s">
        <v>12477</v>
      </c>
      <c r="L1690" s="97"/>
      <c r="M1690" s="76"/>
      <c r="N1690" s="76"/>
      <c r="O1690" s="77"/>
      <c r="P1690" s="78"/>
      <c r="Q1690" s="78"/>
      <c r="R1690" s="92"/>
      <c r="S1690" s="92"/>
      <c r="T1690" s="92"/>
      <c r="U1690" s="92"/>
      <c r="V1690" s="52"/>
      <c r="W1690" s="52"/>
      <c r="X1690" s="52"/>
      <c r="Y1690" s="52"/>
      <c r="Z1690" s="51"/>
      <c r="AA1690" s="73"/>
      <c r="AB1690" s="73"/>
      <c r="AC1690" s="74"/>
      <c r="AD1690" s="81" t="s">
        <v>9091</v>
      </c>
      <c r="AE1690" s="86" t="s">
        <v>10035</v>
      </c>
      <c r="AF1690" s="81">
        <v>373</v>
      </c>
      <c r="AG1690" s="81">
        <v>370</v>
      </c>
      <c r="AH1690" s="81">
        <v>1806</v>
      </c>
      <c r="AI1690" s="81">
        <v>3201</v>
      </c>
      <c r="AJ1690" s="81"/>
      <c r="AK1690" s="81" t="s">
        <v>10952</v>
      </c>
      <c r="AL1690" s="81" t="s">
        <v>10985</v>
      </c>
      <c r="AM1690" s="81"/>
      <c r="AN1690" s="81"/>
      <c r="AO1690" s="83">
        <v>44348.030173611114</v>
      </c>
      <c r="AP1690" s="81"/>
      <c r="AQ1690" s="81" t="b">
        <v>1</v>
      </c>
      <c r="AR1690" s="81" t="b">
        <v>0</v>
      </c>
      <c r="AS1690" s="81" t="b">
        <v>0</v>
      </c>
      <c r="AT1690" s="81"/>
      <c r="AU1690" s="81">
        <v>0</v>
      </c>
      <c r="AV1690" s="81"/>
      <c r="AW1690" s="81" t="b">
        <v>0</v>
      </c>
      <c r="AX1690" s="81" t="s">
        <v>3728</v>
      </c>
      <c r="AY1690" s="84" t="str">
        <f>HYPERLINK("https://twitter.com/mariacr64955277")</f>
        <v>https://twitter.com/mariacr64955277</v>
      </c>
      <c r="AZ1690" s="81" t="s">
        <v>66</v>
      </c>
    </row>
    <row r="1691" spans="1:52" x14ac:dyDescent="0.35">
      <c r="A1691" s="66" t="s">
        <v>5264</v>
      </c>
      <c r="B1691" s="67"/>
      <c r="C1691" s="67"/>
      <c r="D1691" s="68"/>
      <c r="E1691" s="94"/>
      <c r="F1691" s="93" t="str">
        <f>HYPERLINK("https://pbs.twimg.com/profile_images/1416488912126713856/c-wTeB23_normal.jpg")</f>
        <v>https://pbs.twimg.com/profile_images/1416488912126713856/c-wTeB23_normal.jpg</v>
      </c>
      <c r="G1691" s="95"/>
      <c r="H1691" s="71"/>
      <c r="I1691" s="72"/>
      <c r="J1691" s="96"/>
      <c r="K1691" s="71" t="s">
        <v>12478</v>
      </c>
      <c r="L1691" s="97"/>
      <c r="M1691" s="76"/>
      <c r="N1691" s="76"/>
      <c r="O1691" s="77"/>
      <c r="P1691" s="78"/>
      <c r="Q1691" s="78"/>
      <c r="R1691" s="92"/>
      <c r="S1691" s="92"/>
      <c r="T1691" s="92"/>
      <c r="U1691" s="92"/>
      <c r="V1691" s="52"/>
      <c r="W1691" s="52"/>
      <c r="X1691" s="52"/>
      <c r="Y1691" s="52"/>
      <c r="Z1691" s="51"/>
      <c r="AA1691" s="73"/>
      <c r="AB1691" s="73"/>
      <c r="AC1691" s="74"/>
      <c r="AD1691" s="81" t="s">
        <v>9092</v>
      </c>
      <c r="AE1691" s="86" t="s">
        <v>10036</v>
      </c>
      <c r="AF1691" s="81">
        <v>17824</v>
      </c>
      <c r="AG1691" s="81">
        <v>17630</v>
      </c>
      <c r="AH1691" s="81">
        <v>290099</v>
      </c>
      <c r="AI1691" s="81">
        <v>174648</v>
      </c>
      <c r="AJ1691" s="81"/>
      <c r="AK1691" s="81" t="s">
        <v>10953</v>
      </c>
      <c r="AL1691" s="81"/>
      <c r="AM1691" s="81"/>
      <c r="AN1691" s="81"/>
      <c r="AO1691" s="83">
        <v>43912.675370370373</v>
      </c>
      <c r="AP1691" s="81"/>
      <c r="AQ1691" s="81" t="b">
        <v>1</v>
      </c>
      <c r="AR1691" s="81" t="b">
        <v>0</v>
      </c>
      <c r="AS1691" s="81" t="b">
        <v>1</v>
      </c>
      <c r="AT1691" s="81"/>
      <c r="AU1691" s="81">
        <v>21</v>
      </c>
      <c r="AV1691" s="81"/>
      <c r="AW1691" s="81" t="b">
        <v>0</v>
      </c>
      <c r="AX1691" s="81" t="s">
        <v>3728</v>
      </c>
      <c r="AY1691" s="84" t="str">
        <f>HYPERLINK("https://twitter.com/manojuoliveira1")</f>
        <v>https://twitter.com/manojuoliveira1</v>
      </c>
      <c r="AZ1691" s="81" t="s">
        <v>65</v>
      </c>
    </row>
    <row r="1692" spans="1:52" x14ac:dyDescent="0.35">
      <c r="A1692" s="66" t="s">
        <v>5265</v>
      </c>
      <c r="B1692" s="67"/>
      <c r="C1692" s="67"/>
      <c r="D1692" s="68"/>
      <c r="E1692" s="94"/>
      <c r="F1692" s="93" t="str">
        <f>HYPERLINK("https://pbs.twimg.com/profile_images/1104538807297286144/qKOfK2Cl_normal.png")</f>
        <v>https://pbs.twimg.com/profile_images/1104538807297286144/qKOfK2Cl_normal.png</v>
      </c>
      <c r="G1692" s="95"/>
      <c r="H1692" s="71"/>
      <c r="I1692" s="72"/>
      <c r="J1692" s="96"/>
      <c r="K1692" s="71" t="s">
        <v>12479</v>
      </c>
      <c r="L1692" s="97"/>
      <c r="M1692" s="76"/>
      <c r="N1692" s="76"/>
      <c r="O1692" s="77"/>
      <c r="P1692" s="78"/>
      <c r="Q1692" s="78"/>
      <c r="R1692" s="92"/>
      <c r="S1692" s="92"/>
      <c r="T1692" s="92"/>
      <c r="U1692" s="92"/>
      <c r="V1692" s="52"/>
      <c r="W1692" s="52"/>
      <c r="X1692" s="52"/>
      <c r="Y1692" s="52"/>
      <c r="Z1692" s="51"/>
      <c r="AA1692" s="73"/>
      <c r="AB1692" s="73"/>
      <c r="AC1692" s="74"/>
      <c r="AD1692" s="81" t="s">
        <v>9093</v>
      </c>
      <c r="AE1692" s="86" t="s">
        <v>10037</v>
      </c>
      <c r="AF1692" s="81">
        <v>11138</v>
      </c>
      <c r="AG1692" s="81">
        <v>12115</v>
      </c>
      <c r="AH1692" s="81">
        <v>20298</v>
      </c>
      <c r="AI1692" s="81">
        <v>29564</v>
      </c>
      <c r="AJ1692" s="81"/>
      <c r="AK1692" s="81" t="s">
        <v>10954</v>
      </c>
      <c r="AL1692" s="81" t="s">
        <v>10975</v>
      </c>
      <c r="AM1692" s="84" t="str">
        <f>HYPERLINK("https://t.co/TSfYOgm0d0")</f>
        <v>https://t.co/TSfYOgm0d0</v>
      </c>
      <c r="AN1692" s="81"/>
      <c r="AO1692" s="83">
        <v>40435.105104166665</v>
      </c>
      <c r="AP1692" s="84" t="str">
        <f>HYPERLINK("https://pbs.twimg.com/profile_banners/190494593/1632421655")</f>
        <v>https://pbs.twimg.com/profile_banners/190494593/1632421655</v>
      </c>
      <c r="AQ1692" s="81" t="b">
        <v>0</v>
      </c>
      <c r="AR1692" s="81" t="b">
        <v>0</v>
      </c>
      <c r="AS1692" s="81" t="b">
        <v>1</v>
      </c>
      <c r="AT1692" s="81"/>
      <c r="AU1692" s="81">
        <v>40</v>
      </c>
      <c r="AV1692" s="84" t="str">
        <f>HYPERLINK("https://abs.twimg.com/images/themes/theme9/bg.gif")</f>
        <v>https://abs.twimg.com/images/themes/theme9/bg.gif</v>
      </c>
      <c r="AW1692" s="81" t="b">
        <v>0</v>
      </c>
      <c r="AX1692" s="81" t="s">
        <v>3728</v>
      </c>
      <c r="AY1692" s="84" t="str">
        <f>HYPERLINK("https://twitter.com/beto1berto")</f>
        <v>https://twitter.com/beto1berto</v>
      </c>
      <c r="AZ1692" s="81" t="s">
        <v>65</v>
      </c>
    </row>
    <row r="1693" spans="1:52" x14ac:dyDescent="0.35">
      <c r="A1693" s="66" t="s">
        <v>5266</v>
      </c>
      <c r="B1693" s="67"/>
      <c r="C1693" s="67"/>
      <c r="D1693" s="68"/>
      <c r="E1693" s="94"/>
      <c r="F1693" s="93" t="str">
        <f>HYPERLINK("https://pbs.twimg.com/profile_images/1428476813886509057/mBbUeGXX_normal.jpg")</f>
        <v>https://pbs.twimg.com/profile_images/1428476813886509057/mBbUeGXX_normal.jpg</v>
      </c>
      <c r="G1693" s="95"/>
      <c r="H1693" s="71"/>
      <c r="I1693" s="72"/>
      <c r="J1693" s="96"/>
      <c r="K1693" s="71" t="s">
        <v>12480</v>
      </c>
      <c r="L1693" s="97"/>
      <c r="M1693" s="76"/>
      <c r="N1693" s="76"/>
      <c r="O1693" s="77"/>
      <c r="P1693" s="78"/>
      <c r="Q1693" s="78"/>
      <c r="R1693" s="92"/>
      <c r="S1693" s="92"/>
      <c r="T1693" s="92"/>
      <c r="U1693" s="92"/>
      <c r="V1693" s="52"/>
      <c r="W1693" s="52"/>
      <c r="X1693" s="52"/>
      <c r="Y1693" s="52"/>
      <c r="Z1693" s="51"/>
      <c r="AA1693" s="73"/>
      <c r="AB1693" s="73"/>
      <c r="AC1693" s="74"/>
      <c r="AD1693" s="81" t="s">
        <v>9094</v>
      </c>
      <c r="AE1693" s="86" t="s">
        <v>10038</v>
      </c>
      <c r="AF1693" s="81">
        <v>467</v>
      </c>
      <c r="AG1693" s="81">
        <v>515</v>
      </c>
      <c r="AH1693" s="81">
        <v>1183</v>
      </c>
      <c r="AI1693" s="81">
        <v>2589</v>
      </c>
      <c r="AJ1693" s="81"/>
      <c r="AK1693" s="81" t="s">
        <v>10955</v>
      </c>
      <c r="AL1693" s="81"/>
      <c r="AM1693" s="84" t="str">
        <f>HYPERLINK("https://t.co/EV5PDuHZwj")</f>
        <v>https://t.co/EV5PDuHZwj</v>
      </c>
      <c r="AN1693" s="81"/>
      <c r="AO1693" s="83">
        <v>44427.916226851848</v>
      </c>
      <c r="AP1693" s="84" t="str">
        <f>HYPERLINK("https://pbs.twimg.com/profile_banners/1428476678725046278/1629410509")</f>
        <v>https://pbs.twimg.com/profile_banners/1428476678725046278/1629410509</v>
      </c>
      <c r="AQ1693" s="81" t="b">
        <v>1</v>
      </c>
      <c r="AR1693" s="81" t="b">
        <v>0</v>
      </c>
      <c r="AS1693" s="81" t="b">
        <v>0</v>
      </c>
      <c r="AT1693" s="81"/>
      <c r="AU1693" s="81">
        <v>3</v>
      </c>
      <c r="AV1693" s="81"/>
      <c r="AW1693" s="81" t="b">
        <v>0</v>
      </c>
      <c r="AX1693" s="81" t="s">
        <v>3728</v>
      </c>
      <c r="AY1693" s="84" t="str">
        <f>HYPERLINK("https://twitter.com/microfonesolida")</f>
        <v>https://twitter.com/microfonesolida</v>
      </c>
      <c r="AZ1693" s="81" t="s">
        <v>65</v>
      </c>
    </row>
    <row r="1694" spans="1:52" x14ac:dyDescent="0.35">
      <c r="A1694" s="66" t="s">
        <v>5267</v>
      </c>
      <c r="B1694" s="67"/>
      <c r="C1694" s="67"/>
      <c r="D1694" s="68"/>
      <c r="E1694" s="94"/>
      <c r="F1694" s="93" t="str">
        <f>HYPERLINK("https://pbs.twimg.com/profile_images/1175459631503687681/4Wj34cBZ_normal.jpg")</f>
        <v>https://pbs.twimg.com/profile_images/1175459631503687681/4Wj34cBZ_normal.jpg</v>
      </c>
      <c r="G1694" s="95"/>
      <c r="H1694" s="71"/>
      <c r="I1694" s="72"/>
      <c r="J1694" s="96"/>
      <c r="K1694" s="71" t="s">
        <v>12481</v>
      </c>
      <c r="L1694" s="97"/>
      <c r="M1694" s="76"/>
      <c r="N1694" s="76"/>
      <c r="O1694" s="77"/>
      <c r="P1694" s="78"/>
      <c r="Q1694" s="78"/>
      <c r="R1694" s="92"/>
      <c r="S1694" s="92"/>
      <c r="T1694" s="92"/>
      <c r="U1694" s="92"/>
      <c r="V1694" s="52"/>
      <c r="W1694" s="52"/>
      <c r="X1694" s="52"/>
      <c r="Y1694" s="52"/>
      <c r="Z1694" s="51"/>
      <c r="AA1694" s="73"/>
      <c r="AB1694" s="73"/>
      <c r="AC1694" s="74"/>
      <c r="AD1694" s="81" t="s">
        <v>9095</v>
      </c>
      <c r="AE1694" s="86" t="s">
        <v>10039</v>
      </c>
      <c r="AF1694" s="81">
        <v>3520</v>
      </c>
      <c r="AG1694" s="81">
        <v>3174</v>
      </c>
      <c r="AH1694" s="81">
        <v>2784</v>
      </c>
      <c r="AI1694" s="81">
        <v>11659</v>
      </c>
      <c r="AJ1694" s="81"/>
      <c r="AK1694" s="81"/>
      <c r="AL1694" s="81" t="s">
        <v>11114</v>
      </c>
      <c r="AM1694" s="81"/>
      <c r="AN1694" s="81"/>
      <c r="AO1694" s="83">
        <v>42935.138368055559</v>
      </c>
      <c r="AP1694" s="84" t="str">
        <f>HYPERLINK("https://pbs.twimg.com/profile_banners/887512127241584641/1589549146")</f>
        <v>https://pbs.twimg.com/profile_banners/887512127241584641/1589549146</v>
      </c>
      <c r="AQ1694" s="81" t="b">
        <v>1</v>
      </c>
      <c r="AR1694" s="81" t="b">
        <v>0</v>
      </c>
      <c r="AS1694" s="81" t="b">
        <v>1</v>
      </c>
      <c r="AT1694" s="81"/>
      <c r="AU1694" s="81">
        <v>1</v>
      </c>
      <c r="AV1694" s="81"/>
      <c r="AW1694" s="81" t="b">
        <v>0</v>
      </c>
      <c r="AX1694" s="81" t="s">
        <v>3728</v>
      </c>
      <c r="AY1694" s="84" t="str">
        <f>HYPERLINK("https://twitter.com/capadocile")</f>
        <v>https://twitter.com/capadocile</v>
      </c>
      <c r="AZ1694" s="81" t="s">
        <v>65</v>
      </c>
    </row>
    <row r="1695" spans="1:52" x14ac:dyDescent="0.35">
      <c r="A1695" s="66" t="s">
        <v>5268</v>
      </c>
      <c r="B1695" s="67"/>
      <c r="C1695" s="67"/>
      <c r="D1695" s="68"/>
      <c r="E1695" s="94"/>
      <c r="F1695" s="93" t="str">
        <f>HYPERLINK("https://pbs.twimg.com/profile_images/1423021222464532482/oEdkmWTb_normal.jpg")</f>
        <v>https://pbs.twimg.com/profile_images/1423021222464532482/oEdkmWTb_normal.jpg</v>
      </c>
      <c r="G1695" s="95"/>
      <c r="H1695" s="71"/>
      <c r="I1695" s="72"/>
      <c r="J1695" s="96"/>
      <c r="K1695" s="71" t="s">
        <v>12482</v>
      </c>
      <c r="L1695" s="97"/>
      <c r="M1695" s="76"/>
      <c r="N1695" s="76"/>
      <c r="O1695" s="77"/>
      <c r="P1695" s="78"/>
      <c r="Q1695" s="78"/>
      <c r="R1695" s="92"/>
      <c r="S1695" s="92"/>
      <c r="T1695" s="92"/>
      <c r="U1695" s="92"/>
      <c r="V1695" s="52"/>
      <c r="W1695" s="52"/>
      <c r="X1695" s="52"/>
      <c r="Y1695" s="52"/>
      <c r="Z1695" s="51"/>
      <c r="AA1695" s="73"/>
      <c r="AB1695" s="73"/>
      <c r="AC1695" s="74"/>
      <c r="AD1695" s="81" t="s">
        <v>9096</v>
      </c>
      <c r="AE1695" s="86" t="s">
        <v>10040</v>
      </c>
      <c r="AF1695" s="81">
        <v>3568</v>
      </c>
      <c r="AG1695" s="81">
        <v>3316</v>
      </c>
      <c r="AH1695" s="81">
        <v>10329</v>
      </c>
      <c r="AI1695" s="81">
        <v>27995</v>
      </c>
      <c r="AJ1695" s="81"/>
      <c r="AK1695" s="81" t="s">
        <v>10956</v>
      </c>
      <c r="AL1695" s="81" t="s">
        <v>7998</v>
      </c>
      <c r="AM1695" s="81"/>
      <c r="AN1695" s="81"/>
      <c r="AO1695" s="83">
        <v>40198.058159722219</v>
      </c>
      <c r="AP1695" s="84" t="str">
        <f>HYPERLINK("https://pbs.twimg.com/profile_banners/106585203/1627584404")</f>
        <v>https://pbs.twimg.com/profile_banners/106585203/1627584404</v>
      </c>
      <c r="AQ1695" s="81" t="b">
        <v>0</v>
      </c>
      <c r="AR1695" s="81" t="b">
        <v>0</v>
      </c>
      <c r="AS1695" s="81" t="b">
        <v>1</v>
      </c>
      <c r="AT1695" s="81"/>
      <c r="AU1695" s="81">
        <v>3</v>
      </c>
      <c r="AV1695" s="84" t="str">
        <f>HYPERLINK("https://abs.twimg.com/images/themes/theme9/bg.gif")</f>
        <v>https://abs.twimg.com/images/themes/theme9/bg.gif</v>
      </c>
      <c r="AW1695" s="81" t="b">
        <v>0</v>
      </c>
      <c r="AX1695" s="81" t="s">
        <v>3728</v>
      </c>
      <c r="AY1695" s="84" t="str">
        <f>HYPERLINK("https://twitter.com/tonyjosebr")</f>
        <v>https://twitter.com/tonyjosebr</v>
      </c>
      <c r="AZ1695" s="81" t="s">
        <v>65</v>
      </c>
    </row>
    <row r="1696" spans="1:52" x14ac:dyDescent="0.35">
      <c r="A1696" s="66" t="s">
        <v>5269</v>
      </c>
      <c r="B1696" s="67"/>
      <c r="C1696" s="67"/>
      <c r="D1696" s="68"/>
      <c r="E1696" s="94"/>
      <c r="F1696" s="93" t="str">
        <f>HYPERLINK("https://pbs.twimg.com/profile_images/1441387593803853828/Nry5K1-j_normal.jpg")</f>
        <v>https://pbs.twimg.com/profile_images/1441387593803853828/Nry5K1-j_normal.jpg</v>
      </c>
      <c r="G1696" s="95"/>
      <c r="H1696" s="71"/>
      <c r="I1696" s="72"/>
      <c r="J1696" s="96"/>
      <c r="K1696" s="71" t="s">
        <v>12483</v>
      </c>
      <c r="L1696" s="97"/>
      <c r="M1696" s="76"/>
      <c r="N1696" s="76"/>
      <c r="O1696" s="77"/>
      <c r="P1696" s="78"/>
      <c r="Q1696" s="78"/>
      <c r="R1696" s="92"/>
      <c r="S1696" s="92"/>
      <c r="T1696" s="92"/>
      <c r="U1696" s="92"/>
      <c r="V1696" s="52"/>
      <c r="W1696" s="52"/>
      <c r="X1696" s="52"/>
      <c r="Y1696" s="52"/>
      <c r="Z1696" s="51"/>
      <c r="AA1696" s="73"/>
      <c r="AB1696" s="73"/>
      <c r="AC1696" s="74"/>
      <c r="AD1696" s="81" t="s">
        <v>9097</v>
      </c>
      <c r="AE1696" s="86" t="s">
        <v>10041</v>
      </c>
      <c r="AF1696" s="81">
        <v>4001</v>
      </c>
      <c r="AG1696" s="81">
        <v>3134</v>
      </c>
      <c r="AH1696" s="81">
        <v>9720</v>
      </c>
      <c r="AI1696" s="81">
        <v>34158</v>
      </c>
      <c r="AJ1696" s="81"/>
      <c r="AK1696" s="81" t="s">
        <v>10957</v>
      </c>
      <c r="AL1696" s="81" t="s">
        <v>11386</v>
      </c>
      <c r="AM1696" s="81"/>
      <c r="AN1696" s="81"/>
      <c r="AO1696" s="83">
        <v>43147.715613425928</v>
      </c>
      <c r="AP1696" s="84" t="str">
        <f>HYPERLINK("https://pbs.twimg.com/profile_banners/964547541084921857/1630696744")</f>
        <v>https://pbs.twimg.com/profile_banners/964547541084921857/1630696744</v>
      </c>
      <c r="AQ1696" s="81" t="b">
        <v>1</v>
      </c>
      <c r="AR1696" s="81" t="b">
        <v>0</v>
      </c>
      <c r="AS1696" s="81" t="b">
        <v>1</v>
      </c>
      <c r="AT1696" s="81"/>
      <c r="AU1696" s="81">
        <v>5</v>
      </c>
      <c r="AV1696" s="81"/>
      <c r="AW1696" s="81" t="b">
        <v>0</v>
      </c>
      <c r="AX1696" s="81" t="s">
        <v>3728</v>
      </c>
      <c r="AY1696" s="84" t="str">
        <f>HYPERLINK("https://twitter.com/divaolinda55")</f>
        <v>https://twitter.com/divaolinda55</v>
      </c>
      <c r="AZ1696" s="81" t="s">
        <v>65</v>
      </c>
    </row>
    <row r="1697" spans="1:52" x14ac:dyDescent="0.35">
      <c r="A1697" s="66" t="s">
        <v>5270</v>
      </c>
      <c r="B1697" s="67"/>
      <c r="C1697" s="67"/>
      <c r="D1697" s="68"/>
      <c r="E1697" s="94"/>
      <c r="F1697" s="93" t="str">
        <f>HYPERLINK("https://pbs.twimg.com/profile_images/1441549262874152966/atqesNCd_normal.jpg")</f>
        <v>https://pbs.twimg.com/profile_images/1441549262874152966/atqesNCd_normal.jpg</v>
      </c>
      <c r="G1697" s="95"/>
      <c r="H1697" s="71"/>
      <c r="I1697" s="72"/>
      <c r="J1697" s="96"/>
      <c r="K1697" s="71" t="s">
        <v>12484</v>
      </c>
      <c r="L1697" s="97"/>
      <c r="M1697" s="76"/>
      <c r="N1697" s="76"/>
      <c r="O1697" s="77"/>
      <c r="P1697" s="78"/>
      <c r="Q1697" s="78"/>
      <c r="R1697" s="92"/>
      <c r="S1697" s="92"/>
      <c r="T1697" s="92"/>
      <c r="U1697" s="92"/>
      <c r="V1697" s="52"/>
      <c r="W1697" s="52"/>
      <c r="X1697" s="52"/>
      <c r="Y1697" s="52"/>
      <c r="Z1697" s="51"/>
      <c r="AA1697" s="73"/>
      <c r="AB1697" s="73"/>
      <c r="AC1697" s="74"/>
      <c r="AD1697" s="81" t="s">
        <v>9098</v>
      </c>
      <c r="AE1697" s="86" t="s">
        <v>7951</v>
      </c>
      <c r="AF1697" s="81">
        <v>3354</v>
      </c>
      <c r="AG1697" s="81">
        <v>2615</v>
      </c>
      <c r="AH1697" s="81">
        <v>914</v>
      </c>
      <c r="AI1697" s="81">
        <v>3669</v>
      </c>
      <c r="AJ1697" s="81"/>
      <c r="AK1697" s="81" t="s">
        <v>10958</v>
      </c>
      <c r="AL1697" s="81"/>
      <c r="AM1697" s="84" t="str">
        <f>HYPERLINK("https://t.co/79ZKUb8w64")</f>
        <v>https://t.co/79ZKUb8w64</v>
      </c>
      <c r="AN1697" s="81"/>
      <c r="AO1697" s="83">
        <v>44061.002488425926</v>
      </c>
      <c r="AP1697" s="84" t="str">
        <f>HYPERLINK("https://pbs.twimg.com/profile_banners/1295511565312065536/1629518821")</f>
        <v>https://pbs.twimg.com/profile_banners/1295511565312065536/1629518821</v>
      </c>
      <c r="AQ1697" s="81" t="b">
        <v>1</v>
      </c>
      <c r="AR1697" s="81" t="b">
        <v>0</v>
      </c>
      <c r="AS1697" s="81" t="b">
        <v>0</v>
      </c>
      <c r="AT1697" s="81"/>
      <c r="AU1697" s="81">
        <v>4</v>
      </c>
      <c r="AV1697" s="81"/>
      <c r="AW1697" s="81" t="b">
        <v>0</v>
      </c>
      <c r="AX1697" s="81" t="s">
        <v>3728</v>
      </c>
      <c r="AY1697" s="84" t="str">
        <f>HYPERLINK("https://twitter.com/de_possati")</f>
        <v>https://twitter.com/de_possati</v>
      </c>
      <c r="AZ1697" s="81" t="s">
        <v>65</v>
      </c>
    </row>
    <row r="1698" spans="1:52" x14ac:dyDescent="0.35">
      <c r="A1698" s="66" t="s">
        <v>5271</v>
      </c>
      <c r="B1698" s="67"/>
      <c r="C1698" s="67"/>
      <c r="D1698" s="68"/>
      <c r="E1698" s="94"/>
      <c r="F1698" s="93" t="str">
        <f>HYPERLINK("https://pbs.twimg.com/profile_images/1392534148192079883/6hpUiZDK_normal.jpg")</f>
        <v>https://pbs.twimg.com/profile_images/1392534148192079883/6hpUiZDK_normal.jpg</v>
      </c>
      <c r="G1698" s="95"/>
      <c r="H1698" s="71"/>
      <c r="I1698" s="72"/>
      <c r="J1698" s="96"/>
      <c r="K1698" s="71" t="s">
        <v>12485</v>
      </c>
      <c r="L1698" s="97"/>
      <c r="M1698" s="76"/>
      <c r="N1698" s="76"/>
      <c r="O1698" s="77"/>
      <c r="P1698" s="78"/>
      <c r="Q1698" s="78"/>
      <c r="R1698" s="92"/>
      <c r="S1698" s="92"/>
      <c r="T1698" s="92"/>
      <c r="U1698" s="92"/>
      <c r="V1698" s="52"/>
      <c r="W1698" s="52"/>
      <c r="X1698" s="52"/>
      <c r="Y1698" s="52"/>
      <c r="Z1698" s="51"/>
      <c r="AA1698" s="73"/>
      <c r="AB1698" s="73"/>
      <c r="AC1698" s="74"/>
      <c r="AD1698" s="81" t="s">
        <v>9099</v>
      </c>
      <c r="AE1698" s="86" t="s">
        <v>7958</v>
      </c>
      <c r="AF1698" s="81">
        <v>403</v>
      </c>
      <c r="AG1698" s="81">
        <v>168052</v>
      </c>
      <c r="AH1698" s="81">
        <v>38069</v>
      </c>
      <c r="AI1698" s="81">
        <v>2870</v>
      </c>
      <c r="AJ1698" s="81"/>
      <c r="AK1698" s="81" t="s">
        <v>10959</v>
      </c>
      <c r="AL1698" s="81" t="s">
        <v>10978</v>
      </c>
      <c r="AM1698" s="84" t="str">
        <f>HYPERLINK("https://t.co/4pm4MNHYiz")</f>
        <v>https://t.co/4pm4MNHYiz</v>
      </c>
      <c r="AN1698" s="81"/>
      <c r="AO1698" s="83">
        <v>39817.550879629627</v>
      </c>
      <c r="AP1698" s="84" t="str">
        <f>HYPERLINK("https://pbs.twimg.com/profile_banners/18601589/1620856852")</f>
        <v>https://pbs.twimg.com/profile_banners/18601589/1620856852</v>
      </c>
      <c r="AQ1698" s="81" t="b">
        <v>0</v>
      </c>
      <c r="AR1698" s="81" t="b">
        <v>0</v>
      </c>
      <c r="AS1698" s="81" t="b">
        <v>1</v>
      </c>
      <c r="AT1698" s="81"/>
      <c r="AU1698" s="81">
        <v>1340</v>
      </c>
      <c r="AV1698" s="84" t="str">
        <f>HYPERLINK("https://abs.twimg.com/images/themes/theme6/bg.gif")</f>
        <v>https://abs.twimg.com/images/themes/theme6/bg.gif</v>
      </c>
      <c r="AW1698" s="81" t="b">
        <v>0</v>
      </c>
      <c r="AX1698" s="81" t="s">
        <v>3728</v>
      </c>
      <c r="AY1698" s="84" t="str">
        <f>HYPERLINK("https://twitter.com/viomundo")</f>
        <v>https://twitter.com/viomundo</v>
      </c>
      <c r="AZ1698" s="81" t="s">
        <v>65</v>
      </c>
    </row>
    <row r="1699" spans="1:52" x14ac:dyDescent="0.35">
      <c r="A1699" s="66" t="s">
        <v>12581</v>
      </c>
      <c r="B1699" s="67"/>
      <c r="C1699" s="67"/>
      <c r="D1699" s="68"/>
      <c r="E1699" s="94"/>
      <c r="F1699" s="93" t="str">
        <f>HYPERLINK("https://abs.twimg.com/sticky/default_profile_images/default_profile_normal.png")</f>
        <v>https://abs.twimg.com/sticky/default_profile_images/default_profile_normal.png</v>
      </c>
      <c r="G1699" s="95"/>
      <c r="H1699" s="71"/>
      <c r="I1699" s="72"/>
      <c r="J1699" s="96"/>
      <c r="K1699" s="71" t="s">
        <v>14418</v>
      </c>
      <c r="L1699" s="97"/>
      <c r="M1699" s="76"/>
      <c r="N1699" s="76"/>
      <c r="O1699" s="77"/>
      <c r="P1699" s="78"/>
      <c r="Q1699" s="78"/>
      <c r="R1699" s="92"/>
      <c r="S1699" s="92"/>
      <c r="T1699" s="92"/>
      <c r="U1699" s="92"/>
      <c r="V1699" s="52"/>
      <c r="W1699" s="52"/>
      <c r="X1699" s="52"/>
      <c r="Y1699" s="52"/>
      <c r="Z1699" s="51"/>
      <c r="AA1699" s="73"/>
      <c r="AB1699" s="73"/>
      <c r="AC1699" s="74"/>
      <c r="AD1699" s="81" t="s">
        <v>13610</v>
      </c>
      <c r="AE1699" s="86" t="s">
        <v>13819</v>
      </c>
      <c r="AF1699" s="81">
        <v>59</v>
      </c>
      <c r="AG1699" s="81">
        <v>3</v>
      </c>
      <c r="AH1699" s="81">
        <v>81</v>
      </c>
      <c r="AI1699" s="81">
        <v>122</v>
      </c>
      <c r="AJ1699" s="81"/>
      <c r="AK1699" s="81"/>
      <c r="AL1699" s="81"/>
      <c r="AM1699" s="81"/>
      <c r="AN1699" s="81"/>
      <c r="AO1699" s="83">
        <v>43910.640023148146</v>
      </c>
      <c r="AP1699" s="81"/>
      <c r="AQ1699" s="81" t="b">
        <v>1</v>
      </c>
      <c r="AR1699" s="81" t="b">
        <v>1</v>
      </c>
      <c r="AS1699" s="81" t="b">
        <v>0</v>
      </c>
      <c r="AT1699" s="81"/>
      <c r="AU1699" s="81">
        <v>0</v>
      </c>
      <c r="AV1699" s="81"/>
      <c r="AW1699" s="81" t="b">
        <v>0</v>
      </c>
      <c r="AX1699" s="81" t="s">
        <v>3728</v>
      </c>
      <c r="AY1699" s="84" t="str">
        <f>HYPERLINK("https://twitter.com/ester12897249")</f>
        <v>https://twitter.com/ester12897249</v>
      </c>
      <c r="AZ1699" s="81" t="s">
        <v>66</v>
      </c>
    </row>
    <row r="1700" spans="1:52" x14ac:dyDescent="0.35">
      <c r="A1700" s="66" t="s">
        <v>12582</v>
      </c>
      <c r="B1700" s="67"/>
      <c r="C1700" s="67"/>
      <c r="D1700" s="68"/>
      <c r="E1700" s="94"/>
      <c r="F1700" s="93" t="str">
        <f>HYPERLINK("https://pbs.twimg.com/profile_images/782739139892477952/el54ODtU_normal.jpg")</f>
        <v>https://pbs.twimg.com/profile_images/782739139892477952/el54ODtU_normal.jpg</v>
      </c>
      <c r="G1700" s="95"/>
      <c r="H1700" s="71"/>
      <c r="I1700" s="72"/>
      <c r="J1700" s="96"/>
      <c r="K1700" s="71" t="s">
        <v>14419</v>
      </c>
      <c r="L1700" s="97"/>
      <c r="M1700" s="76"/>
      <c r="N1700" s="76"/>
      <c r="O1700" s="77"/>
      <c r="P1700" s="78"/>
      <c r="Q1700" s="78"/>
      <c r="R1700" s="92"/>
      <c r="S1700" s="92"/>
      <c r="T1700" s="92"/>
      <c r="U1700" s="92"/>
      <c r="V1700" s="52"/>
      <c r="W1700" s="52"/>
      <c r="X1700" s="52"/>
      <c r="Y1700" s="52"/>
      <c r="Z1700" s="51"/>
      <c r="AA1700" s="73"/>
      <c r="AB1700" s="73"/>
      <c r="AC1700" s="74"/>
      <c r="AD1700" s="81" t="s">
        <v>13611</v>
      </c>
      <c r="AE1700" s="86" t="s">
        <v>13423</v>
      </c>
      <c r="AF1700" s="81">
        <v>1619</v>
      </c>
      <c r="AG1700" s="81">
        <v>917</v>
      </c>
      <c r="AH1700" s="81">
        <v>1804</v>
      </c>
      <c r="AI1700" s="81">
        <v>7679</v>
      </c>
      <c r="AJ1700" s="81"/>
      <c r="AK1700" s="81" t="s">
        <v>14064</v>
      </c>
      <c r="AL1700" s="81" t="s">
        <v>14219</v>
      </c>
      <c r="AM1700" s="84" t="str">
        <f>HYPERLINK("https://t.co/LwUcvzMYwy")</f>
        <v>https://t.co/LwUcvzMYwy</v>
      </c>
      <c r="AN1700" s="81"/>
      <c r="AO1700" s="83">
        <v>40347.835462962961</v>
      </c>
      <c r="AP1700" s="84" t="str">
        <f>HYPERLINK("https://pbs.twimg.com/profile_banners/157075827/1475454795")</f>
        <v>https://pbs.twimg.com/profile_banners/157075827/1475454795</v>
      </c>
      <c r="AQ1700" s="81" t="b">
        <v>0</v>
      </c>
      <c r="AR1700" s="81" t="b">
        <v>0</v>
      </c>
      <c r="AS1700" s="81" t="b">
        <v>1</v>
      </c>
      <c r="AT1700" s="81"/>
      <c r="AU1700" s="81">
        <v>5</v>
      </c>
      <c r="AV1700" s="84" t="str">
        <f>HYPERLINK("https://abs.twimg.com/images/themes/theme18/bg.gif")</f>
        <v>https://abs.twimg.com/images/themes/theme18/bg.gif</v>
      </c>
      <c r="AW1700" s="81" t="b">
        <v>0</v>
      </c>
      <c r="AX1700" s="81" t="s">
        <v>3728</v>
      </c>
      <c r="AY1700" s="84" t="str">
        <f>HYPERLINK("https://twitter.com/jarodrigues88")</f>
        <v>https://twitter.com/jarodrigues88</v>
      </c>
      <c r="AZ1700" s="81" t="s">
        <v>66</v>
      </c>
    </row>
    <row r="1701" spans="1:52" x14ac:dyDescent="0.35">
      <c r="A1701" s="66" t="s">
        <v>12583</v>
      </c>
      <c r="B1701" s="67"/>
      <c r="C1701" s="67"/>
      <c r="D1701" s="68"/>
      <c r="E1701" s="94"/>
      <c r="F1701" s="93" t="str">
        <f>HYPERLINK("https://pbs.twimg.com/profile_images/1414066554463944705/cCBaAo7i_normal.jpg")</f>
        <v>https://pbs.twimg.com/profile_images/1414066554463944705/cCBaAo7i_normal.jpg</v>
      </c>
      <c r="G1701" s="95"/>
      <c r="H1701" s="71"/>
      <c r="I1701" s="72"/>
      <c r="J1701" s="96"/>
      <c r="K1701" s="71" t="s">
        <v>14420</v>
      </c>
      <c r="L1701" s="97"/>
      <c r="M1701" s="76"/>
      <c r="N1701" s="76"/>
      <c r="O1701" s="77"/>
      <c r="P1701" s="78"/>
      <c r="Q1701" s="78"/>
      <c r="R1701" s="92"/>
      <c r="S1701" s="92"/>
      <c r="T1701" s="92"/>
      <c r="U1701" s="92"/>
      <c r="V1701" s="52"/>
      <c r="W1701" s="52"/>
      <c r="X1701" s="52"/>
      <c r="Y1701" s="52"/>
      <c r="Z1701" s="51"/>
      <c r="AA1701" s="73"/>
      <c r="AB1701" s="73"/>
      <c r="AC1701" s="74"/>
      <c r="AD1701" s="81" t="s">
        <v>13612</v>
      </c>
      <c r="AE1701" s="86" t="s">
        <v>13820</v>
      </c>
      <c r="AF1701" s="81">
        <v>598</v>
      </c>
      <c r="AG1701" s="81">
        <v>362</v>
      </c>
      <c r="AH1701" s="81">
        <v>16529</v>
      </c>
      <c r="AI1701" s="81">
        <v>24422</v>
      </c>
      <c r="AJ1701" s="81"/>
      <c r="AK1701" s="81" t="s">
        <v>14065</v>
      </c>
      <c r="AL1701" s="81"/>
      <c r="AM1701" s="81"/>
      <c r="AN1701" s="81"/>
      <c r="AO1701" s="83">
        <v>41723.353541666664</v>
      </c>
      <c r="AP1701" s="84" t="str">
        <f>HYPERLINK("https://pbs.twimg.com/profile_banners/2410520545/1631980958")</f>
        <v>https://pbs.twimg.com/profile_banners/2410520545/1631980958</v>
      </c>
      <c r="AQ1701" s="81" t="b">
        <v>1</v>
      </c>
      <c r="AR1701" s="81" t="b">
        <v>0</v>
      </c>
      <c r="AS1701" s="81" t="b">
        <v>1</v>
      </c>
      <c r="AT1701" s="81"/>
      <c r="AU1701" s="81">
        <v>0</v>
      </c>
      <c r="AV1701" s="84" t="str">
        <f>HYPERLINK("https://abs.twimg.com/images/themes/theme1/bg.png")</f>
        <v>https://abs.twimg.com/images/themes/theme1/bg.png</v>
      </c>
      <c r="AW1701" s="81" t="b">
        <v>0</v>
      </c>
      <c r="AX1701" s="81" t="s">
        <v>3728</v>
      </c>
      <c r="AY1701" s="84" t="str">
        <f>HYPERLINK("https://twitter.com/aliaisyin")</f>
        <v>https://twitter.com/aliaisyin</v>
      </c>
      <c r="AZ1701" s="81" t="s">
        <v>66</v>
      </c>
    </row>
    <row r="1702" spans="1:52" x14ac:dyDescent="0.35">
      <c r="A1702" s="66" t="s">
        <v>12584</v>
      </c>
      <c r="B1702" s="67"/>
      <c r="C1702" s="67"/>
      <c r="D1702" s="68"/>
      <c r="E1702" s="94"/>
      <c r="F1702" s="93" t="str">
        <f>HYPERLINK("https://pbs.twimg.com/profile_images/981964368815579144/KDsAo5NW_normal.jpg")</f>
        <v>https://pbs.twimg.com/profile_images/981964368815579144/KDsAo5NW_normal.jpg</v>
      </c>
      <c r="G1702" s="95"/>
      <c r="H1702" s="71"/>
      <c r="I1702" s="72"/>
      <c r="J1702" s="96"/>
      <c r="K1702" s="71" t="s">
        <v>14421</v>
      </c>
      <c r="L1702" s="97"/>
      <c r="M1702" s="76"/>
      <c r="N1702" s="76"/>
      <c r="O1702" s="77"/>
      <c r="P1702" s="78"/>
      <c r="Q1702" s="78"/>
      <c r="R1702" s="92"/>
      <c r="S1702" s="92"/>
      <c r="T1702" s="92"/>
      <c r="U1702" s="92"/>
      <c r="V1702" s="52"/>
      <c r="W1702" s="52"/>
      <c r="X1702" s="52"/>
      <c r="Y1702" s="52"/>
      <c r="Z1702" s="51"/>
      <c r="AA1702" s="73"/>
      <c r="AB1702" s="73"/>
      <c r="AC1702" s="74"/>
      <c r="AD1702" s="81" t="s">
        <v>13613</v>
      </c>
      <c r="AE1702" s="86" t="s">
        <v>13821</v>
      </c>
      <c r="AF1702" s="81">
        <v>1437</v>
      </c>
      <c r="AG1702" s="81">
        <v>1044</v>
      </c>
      <c r="AH1702" s="81">
        <v>30373</v>
      </c>
      <c r="AI1702" s="81">
        <v>4551</v>
      </c>
      <c r="AJ1702" s="81"/>
      <c r="AK1702" s="81" t="s">
        <v>14066</v>
      </c>
      <c r="AL1702" s="81" t="s">
        <v>14220</v>
      </c>
      <c r="AM1702" s="84" t="str">
        <f>HYPERLINK("https://t.co/jMHDqnImSL")</f>
        <v>https://t.co/jMHDqnImSL</v>
      </c>
      <c r="AN1702" s="81"/>
      <c r="AO1702" s="83">
        <v>40780.602384259262</v>
      </c>
      <c r="AP1702" s="84" t="str">
        <f>HYPERLINK("https://pbs.twimg.com/profile_banners/361897752/1601422135")</f>
        <v>https://pbs.twimg.com/profile_banners/361897752/1601422135</v>
      </c>
      <c r="AQ1702" s="81" t="b">
        <v>0</v>
      </c>
      <c r="AR1702" s="81" t="b">
        <v>0</v>
      </c>
      <c r="AS1702" s="81" t="b">
        <v>1</v>
      </c>
      <c r="AT1702" s="81"/>
      <c r="AU1702" s="81">
        <v>21</v>
      </c>
      <c r="AV1702" s="84" t="str">
        <f>HYPERLINK("https://abs.twimg.com/images/themes/theme10/bg.gif")</f>
        <v>https://abs.twimg.com/images/themes/theme10/bg.gif</v>
      </c>
      <c r="AW1702" s="81" t="b">
        <v>0</v>
      </c>
      <c r="AX1702" s="81" t="s">
        <v>3728</v>
      </c>
      <c r="AY1702" s="84" t="str">
        <f>HYPERLINK("https://twitter.com/bibliotecaippur")</f>
        <v>https://twitter.com/bibliotecaippur</v>
      </c>
      <c r="AZ1702" s="81" t="s">
        <v>66</v>
      </c>
    </row>
    <row r="1703" spans="1:52" x14ac:dyDescent="0.35">
      <c r="A1703" s="66" t="s">
        <v>12585</v>
      </c>
      <c r="B1703" s="67"/>
      <c r="C1703" s="67"/>
      <c r="D1703" s="68"/>
      <c r="E1703" s="94"/>
      <c r="F1703" s="93" t="str">
        <f>HYPERLINK("https://pbs.twimg.com/profile_images/1303090274055475203/YV2QaeYk_normal.jpg")</f>
        <v>https://pbs.twimg.com/profile_images/1303090274055475203/YV2QaeYk_normal.jpg</v>
      </c>
      <c r="G1703" s="95"/>
      <c r="H1703" s="71"/>
      <c r="I1703" s="72"/>
      <c r="J1703" s="96"/>
      <c r="K1703" s="71" t="s">
        <v>14422</v>
      </c>
      <c r="L1703" s="97"/>
      <c r="M1703" s="76"/>
      <c r="N1703" s="76"/>
      <c r="O1703" s="77"/>
      <c r="P1703" s="78"/>
      <c r="Q1703" s="78"/>
      <c r="R1703" s="92"/>
      <c r="S1703" s="92"/>
      <c r="T1703" s="92"/>
      <c r="U1703" s="92"/>
      <c r="V1703" s="52"/>
      <c r="W1703" s="52"/>
      <c r="X1703" s="52"/>
      <c r="Y1703" s="52"/>
      <c r="Z1703" s="51"/>
      <c r="AA1703" s="73"/>
      <c r="AB1703" s="73"/>
      <c r="AC1703" s="74"/>
      <c r="AD1703" s="81" t="s">
        <v>13614</v>
      </c>
      <c r="AE1703" s="86" t="s">
        <v>13822</v>
      </c>
      <c r="AF1703" s="81">
        <v>1171</v>
      </c>
      <c r="AG1703" s="81">
        <v>213</v>
      </c>
      <c r="AH1703" s="81">
        <v>87901</v>
      </c>
      <c r="AI1703" s="81">
        <v>16319</v>
      </c>
      <c r="AJ1703" s="81"/>
      <c r="AK1703" s="81" t="s">
        <v>14067</v>
      </c>
      <c r="AL1703" s="81" t="s">
        <v>10970</v>
      </c>
      <c r="AM1703" s="81"/>
      <c r="AN1703" s="81"/>
      <c r="AO1703" s="83">
        <v>42866.920752314814</v>
      </c>
      <c r="AP1703" s="84" t="str">
        <f>HYPERLINK("https://pbs.twimg.com/profile_banners/862790892985491456/1630672110")</f>
        <v>https://pbs.twimg.com/profile_banners/862790892985491456/1630672110</v>
      </c>
      <c r="AQ1703" s="81" t="b">
        <v>1</v>
      </c>
      <c r="AR1703" s="81" t="b">
        <v>0</v>
      </c>
      <c r="AS1703" s="81" t="b">
        <v>1</v>
      </c>
      <c r="AT1703" s="81"/>
      <c r="AU1703" s="81">
        <v>1</v>
      </c>
      <c r="AV1703" s="81"/>
      <c r="AW1703" s="81" t="b">
        <v>0</v>
      </c>
      <c r="AX1703" s="81" t="s">
        <v>3728</v>
      </c>
      <c r="AY1703" s="84" t="str">
        <f>HYPERLINK("https://twitter.com/marcinhaboar")</f>
        <v>https://twitter.com/marcinhaboar</v>
      </c>
      <c r="AZ1703" s="81" t="s">
        <v>66</v>
      </c>
    </row>
    <row r="1704" spans="1:52" x14ac:dyDescent="0.35">
      <c r="A1704" s="66" t="s">
        <v>4937</v>
      </c>
      <c r="B1704" s="67"/>
      <c r="C1704" s="67"/>
      <c r="D1704" s="68"/>
      <c r="E1704" s="94"/>
      <c r="F1704" s="93" t="str">
        <f>HYPERLINK("https://pbs.twimg.com/profile_images/1429632276606951426/cph6gg0j_normal.jpg")</f>
        <v>https://pbs.twimg.com/profile_images/1429632276606951426/cph6gg0j_normal.jpg</v>
      </c>
      <c r="G1704" s="95"/>
      <c r="H1704" s="71"/>
      <c r="I1704" s="72"/>
      <c r="J1704" s="96"/>
      <c r="K1704" s="71" t="s">
        <v>14423</v>
      </c>
      <c r="L1704" s="97"/>
      <c r="M1704" s="76"/>
      <c r="N1704" s="76"/>
      <c r="O1704" s="77"/>
      <c r="P1704" s="78"/>
      <c r="Q1704" s="78"/>
      <c r="R1704" s="92"/>
      <c r="S1704" s="92"/>
      <c r="T1704" s="92"/>
      <c r="U1704" s="92"/>
      <c r="V1704" s="52"/>
      <c r="W1704" s="52"/>
      <c r="X1704" s="52"/>
      <c r="Y1704" s="52"/>
      <c r="Z1704" s="51"/>
      <c r="AA1704" s="73"/>
      <c r="AB1704" s="73"/>
      <c r="AC1704" s="74"/>
      <c r="AD1704" s="81" t="s">
        <v>9012</v>
      </c>
      <c r="AE1704" s="86" t="s">
        <v>9963</v>
      </c>
      <c r="AF1704" s="81">
        <v>2470</v>
      </c>
      <c r="AG1704" s="81">
        <v>1910</v>
      </c>
      <c r="AH1704" s="81">
        <v>39504</v>
      </c>
      <c r="AI1704" s="81">
        <v>5246</v>
      </c>
      <c r="AJ1704" s="81"/>
      <c r="AK1704" s="81" t="s">
        <v>10883</v>
      </c>
      <c r="AL1704" s="81" t="s">
        <v>11360</v>
      </c>
      <c r="AM1704" s="84" t="str">
        <f>HYPERLINK("https://t.co/TLOQabZY52")</f>
        <v>https://t.co/TLOQabZY52</v>
      </c>
      <c r="AN1704" s="81"/>
      <c r="AO1704" s="83">
        <v>39747.069606481484</v>
      </c>
      <c r="AP1704" s="84" t="str">
        <f>HYPERLINK("https://pbs.twimg.com/profile_banners/16974422/1632862947")</f>
        <v>https://pbs.twimg.com/profile_banners/16974422/1632862947</v>
      </c>
      <c r="AQ1704" s="81" t="b">
        <v>0</v>
      </c>
      <c r="AR1704" s="81" t="b">
        <v>0</v>
      </c>
      <c r="AS1704" s="81" t="b">
        <v>1</v>
      </c>
      <c r="AT1704" s="81"/>
      <c r="AU1704" s="81">
        <v>60</v>
      </c>
      <c r="AV1704" s="84" t="str">
        <f>HYPERLINK("https://abs.twimg.com/images/themes/theme1/bg.png")</f>
        <v>https://abs.twimg.com/images/themes/theme1/bg.png</v>
      </c>
      <c r="AW1704" s="81" t="b">
        <v>0</v>
      </c>
      <c r="AX1704" s="81" t="s">
        <v>3728</v>
      </c>
      <c r="AY1704" s="84" t="str">
        <f>HYPERLINK("https://twitter.com/gustavobarreto_")</f>
        <v>https://twitter.com/gustavobarreto_</v>
      </c>
      <c r="AZ1704" s="81" t="s">
        <v>66</v>
      </c>
    </row>
    <row r="1705" spans="1:52" x14ac:dyDescent="0.35">
      <c r="A1705" s="66" t="s">
        <v>12586</v>
      </c>
      <c r="B1705" s="67"/>
      <c r="C1705" s="67"/>
      <c r="D1705" s="68"/>
      <c r="E1705" s="94"/>
      <c r="F1705" s="93" t="str">
        <f>HYPERLINK("https://pbs.twimg.com/profile_images/1417404837562515459/fFmOKG-I_normal.jpg")</f>
        <v>https://pbs.twimg.com/profile_images/1417404837562515459/fFmOKG-I_normal.jpg</v>
      </c>
      <c r="G1705" s="95"/>
      <c r="H1705" s="71"/>
      <c r="I1705" s="72"/>
      <c r="J1705" s="96"/>
      <c r="K1705" s="71" t="s">
        <v>14424</v>
      </c>
      <c r="L1705" s="97"/>
      <c r="M1705" s="76"/>
      <c r="N1705" s="76"/>
      <c r="O1705" s="77"/>
      <c r="P1705" s="78"/>
      <c r="Q1705" s="78"/>
      <c r="R1705" s="92"/>
      <c r="S1705" s="92"/>
      <c r="T1705" s="92"/>
      <c r="U1705" s="92"/>
      <c r="V1705" s="52"/>
      <c r="W1705" s="52"/>
      <c r="X1705" s="52"/>
      <c r="Y1705" s="52"/>
      <c r="Z1705" s="51"/>
      <c r="AA1705" s="73"/>
      <c r="AB1705" s="73"/>
      <c r="AC1705" s="74"/>
      <c r="AD1705" s="81" t="s">
        <v>13615</v>
      </c>
      <c r="AE1705" s="86" t="s">
        <v>13823</v>
      </c>
      <c r="AF1705" s="81">
        <v>166</v>
      </c>
      <c r="AG1705" s="81">
        <v>19</v>
      </c>
      <c r="AH1705" s="81">
        <v>2247</v>
      </c>
      <c r="AI1705" s="81">
        <v>4304</v>
      </c>
      <c r="AJ1705" s="81"/>
      <c r="AK1705" s="81" t="s">
        <v>14068</v>
      </c>
      <c r="AL1705" s="81" t="s">
        <v>14221</v>
      </c>
      <c r="AM1705" s="84" t="str">
        <f>HYPERLINK("https://t.co/JcoUfGHPki")</f>
        <v>https://t.co/JcoUfGHPki</v>
      </c>
      <c r="AN1705" s="81"/>
      <c r="AO1705" s="83">
        <v>43968.840462962966</v>
      </c>
      <c r="AP1705" s="84" t="str">
        <f>HYPERLINK("https://pbs.twimg.com/profile_banners/1262113186871799808/1626787492")</f>
        <v>https://pbs.twimg.com/profile_banners/1262113186871799808/1626787492</v>
      </c>
      <c r="AQ1705" s="81" t="b">
        <v>1</v>
      </c>
      <c r="AR1705" s="81" t="b">
        <v>0</v>
      </c>
      <c r="AS1705" s="81" t="b">
        <v>0</v>
      </c>
      <c r="AT1705" s="81"/>
      <c r="AU1705" s="81">
        <v>0</v>
      </c>
      <c r="AV1705" s="81"/>
      <c r="AW1705" s="81" t="b">
        <v>0</v>
      </c>
      <c r="AX1705" s="81" t="s">
        <v>3728</v>
      </c>
      <c r="AY1705" s="84" t="str">
        <f>HYPERLINK("https://twitter.com/modemoodmove")</f>
        <v>https://twitter.com/modemoodmove</v>
      </c>
      <c r="AZ1705" s="81" t="s">
        <v>66</v>
      </c>
    </row>
    <row r="1706" spans="1:52" x14ac:dyDescent="0.35">
      <c r="A1706" s="66" t="s">
        <v>12587</v>
      </c>
      <c r="B1706" s="67"/>
      <c r="C1706" s="67"/>
      <c r="D1706" s="68"/>
      <c r="E1706" s="94"/>
      <c r="F1706" s="93" t="str">
        <f>HYPERLINK("https://pbs.twimg.com/profile_images/1234537487218946049/w23lKdva_normal.jpg")</f>
        <v>https://pbs.twimg.com/profile_images/1234537487218946049/w23lKdva_normal.jpg</v>
      </c>
      <c r="G1706" s="95"/>
      <c r="H1706" s="71"/>
      <c r="I1706" s="72"/>
      <c r="J1706" s="96"/>
      <c r="K1706" s="71" t="s">
        <v>14425</v>
      </c>
      <c r="L1706" s="97"/>
      <c r="M1706" s="76"/>
      <c r="N1706" s="76"/>
      <c r="O1706" s="77"/>
      <c r="P1706" s="78"/>
      <c r="Q1706" s="78"/>
      <c r="R1706" s="92"/>
      <c r="S1706" s="92"/>
      <c r="T1706" s="92"/>
      <c r="U1706" s="92"/>
      <c r="V1706" s="52"/>
      <c r="W1706" s="52"/>
      <c r="X1706" s="52"/>
      <c r="Y1706" s="52"/>
      <c r="Z1706" s="51"/>
      <c r="AA1706" s="73"/>
      <c r="AB1706" s="73"/>
      <c r="AC1706" s="74"/>
      <c r="AD1706" s="81" t="s">
        <v>13616</v>
      </c>
      <c r="AE1706" s="86" t="s">
        <v>13824</v>
      </c>
      <c r="AF1706" s="81">
        <v>1433</v>
      </c>
      <c r="AG1706" s="81">
        <v>98</v>
      </c>
      <c r="AH1706" s="81">
        <v>5201</v>
      </c>
      <c r="AI1706" s="81">
        <v>5434</v>
      </c>
      <c r="AJ1706" s="81"/>
      <c r="AK1706" s="81" t="s">
        <v>14069</v>
      </c>
      <c r="AL1706" s="81" t="s">
        <v>14222</v>
      </c>
      <c r="AM1706" s="81"/>
      <c r="AN1706" s="81"/>
      <c r="AO1706" s="83">
        <v>43796.61037037037</v>
      </c>
      <c r="AP1706" s="84" t="str">
        <f>HYPERLINK("https://pbs.twimg.com/profile_banners/1199697792631025666/1582380687")</f>
        <v>https://pbs.twimg.com/profile_banners/1199697792631025666/1582380687</v>
      </c>
      <c r="AQ1706" s="81" t="b">
        <v>1</v>
      </c>
      <c r="AR1706" s="81" t="b">
        <v>0</v>
      </c>
      <c r="AS1706" s="81" t="b">
        <v>0</v>
      </c>
      <c r="AT1706" s="81"/>
      <c r="AU1706" s="81">
        <v>0</v>
      </c>
      <c r="AV1706" s="81"/>
      <c r="AW1706" s="81" t="b">
        <v>0</v>
      </c>
      <c r="AX1706" s="81" t="s">
        <v>3728</v>
      </c>
      <c r="AY1706" s="84" t="str">
        <f>HYPERLINK("https://twitter.com/bianchi_jc")</f>
        <v>https://twitter.com/bianchi_jc</v>
      </c>
      <c r="AZ1706" s="81" t="s">
        <v>66</v>
      </c>
    </row>
    <row r="1707" spans="1:52" x14ac:dyDescent="0.35">
      <c r="A1707" s="66" t="s">
        <v>12588</v>
      </c>
      <c r="B1707" s="67"/>
      <c r="C1707" s="67"/>
      <c r="D1707" s="68"/>
      <c r="E1707" s="94"/>
      <c r="F1707" s="93" t="str">
        <f>HYPERLINK("https://pbs.twimg.com/profile_images/1435043193863688196/mCH9_BWo_normal.jpg")</f>
        <v>https://pbs.twimg.com/profile_images/1435043193863688196/mCH9_BWo_normal.jpg</v>
      </c>
      <c r="G1707" s="95"/>
      <c r="H1707" s="71"/>
      <c r="I1707" s="72"/>
      <c r="J1707" s="96"/>
      <c r="K1707" s="71" t="s">
        <v>14426</v>
      </c>
      <c r="L1707" s="97"/>
      <c r="M1707" s="76"/>
      <c r="N1707" s="76"/>
      <c r="O1707" s="77"/>
      <c r="P1707" s="78"/>
      <c r="Q1707" s="78"/>
      <c r="R1707" s="92"/>
      <c r="S1707" s="92"/>
      <c r="T1707" s="92"/>
      <c r="U1707" s="92"/>
      <c r="V1707" s="52"/>
      <c r="W1707" s="52"/>
      <c r="X1707" s="52"/>
      <c r="Y1707" s="52"/>
      <c r="Z1707" s="51"/>
      <c r="AA1707" s="73"/>
      <c r="AB1707" s="73"/>
      <c r="AC1707" s="74"/>
      <c r="AD1707" s="81" t="s">
        <v>13617</v>
      </c>
      <c r="AE1707" s="86" t="s">
        <v>13825</v>
      </c>
      <c r="AF1707" s="81">
        <v>251</v>
      </c>
      <c r="AG1707" s="81">
        <v>60</v>
      </c>
      <c r="AH1707" s="81">
        <v>4515</v>
      </c>
      <c r="AI1707" s="81">
        <v>10745</v>
      </c>
      <c r="AJ1707" s="81"/>
      <c r="AK1707" s="81" t="s">
        <v>14070</v>
      </c>
      <c r="AL1707" s="81"/>
      <c r="AM1707" s="81"/>
      <c r="AN1707" s="81"/>
      <c r="AO1707" s="83">
        <v>44369.524421296293</v>
      </c>
      <c r="AP1707" s="84" t="str">
        <f>HYPERLINK("https://pbs.twimg.com/profile_banners/1407316160459284488/1630512297")</f>
        <v>https://pbs.twimg.com/profile_banners/1407316160459284488/1630512297</v>
      </c>
      <c r="AQ1707" s="81" t="b">
        <v>1</v>
      </c>
      <c r="AR1707" s="81" t="b">
        <v>0</v>
      </c>
      <c r="AS1707" s="81" t="b">
        <v>0</v>
      </c>
      <c r="AT1707" s="81"/>
      <c r="AU1707" s="81">
        <v>2</v>
      </c>
      <c r="AV1707" s="81"/>
      <c r="AW1707" s="81" t="b">
        <v>0</v>
      </c>
      <c r="AX1707" s="81" t="s">
        <v>3728</v>
      </c>
      <c r="AY1707" s="84" t="str">
        <f>HYPERLINK("https://twitter.com/gio73568992")</f>
        <v>https://twitter.com/gio73568992</v>
      </c>
      <c r="AZ1707" s="81" t="s">
        <v>66</v>
      </c>
    </row>
    <row r="1708" spans="1:52" x14ac:dyDescent="0.35">
      <c r="A1708" s="66" t="s">
        <v>4294</v>
      </c>
      <c r="B1708" s="67"/>
      <c r="C1708" s="67"/>
      <c r="D1708" s="68"/>
      <c r="E1708" s="94"/>
      <c r="F1708" s="93" t="str">
        <f>HYPERLINK("https://pbs.twimg.com/profile_images/1366413028946812936/Mco07dO0_normal.jpg")</f>
        <v>https://pbs.twimg.com/profile_images/1366413028946812936/Mco07dO0_normal.jpg</v>
      </c>
      <c r="G1708" s="95"/>
      <c r="H1708" s="71"/>
      <c r="I1708" s="72"/>
      <c r="J1708" s="96"/>
      <c r="K1708" s="71" t="s">
        <v>14427</v>
      </c>
      <c r="L1708" s="97"/>
      <c r="M1708" s="76"/>
      <c r="N1708" s="76"/>
      <c r="O1708" s="77"/>
      <c r="P1708" s="78"/>
      <c r="Q1708" s="78"/>
      <c r="R1708" s="92"/>
      <c r="S1708" s="92"/>
      <c r="T1708" s="92"/>
      <c r="U1708" s="92"/>
      <c r="V1708" s="52"/>
      <c r="W1708" s="52"/>
      <c r="X1708" s="52"/>
      <c r="Y1708" s="52"/>
      <c r="Z1708" s="51"/>
      <c r="AA1708" s="73"/>
      <c r="AB1708" s="73"/>
      <c r="AC1708" s="74"/>
      <c r="AD1708" s="81" t="s">
        <v>8203</v>
      </c>
      <c r="AE1708" s="86" t="s">
        <v>9255</v>
      </c>
      <c r="AF1708" s="81">
        <v>391</v>
      </c>
      <c r="AG1708" s="81">
        <v>284069</v>
      </c>
      <c r="AH1708" s="81">
        <v>364120</v>
      </c>
      <c r="AI1708" s="81">
        <v>48</v>
      </c>
      <c r="AJ1708" s="81"/>
      <c r="AK1708" s="81" t="s">
        <v>10215</v>
      </c>
      <c r="AL1708" s="81" t="s">
        <v>10990</v>
      </c>
      <c r="AM1708" s="84" t="str">
        <f>HYPERLINK("https://t.co/aSf7LZ2uxv")</f>
        <v>https://t.co/aSf7LZ2uxv</v>
      </c>
      <c r="AN1708" s="81"/>
      <c r="AO1708" s="83">
        <v>39868.794108796297</v>
      </c>
      <c r="AP1708" s="84" t="str">
        <f>HYPERLINK("https://pbs.twimg.com/profile_banners/21783395/1617281135")</f>
        <v>https://pbs.twimg.com/profile_banners/21783395/1617281135</v>
      </c>
      <c r="AQ1708" s="81" t="b">
        <v>0</v>
      </c>
      <c r="AR1708" s="81" t="b">
        <v>0</v>
      </c>
      <c r="AS1708" s="81" t="b">
        <v>1</v>
      </c>
      <c r="AT1708" s="81"/>
      <c r="AU1708" s="81">
        <v>1032</v>
      </c>
      <c r="AV1708" s="84" t="str">
        <f>HYPERLINK("https://abs.twimg.com/images/themes/theme1/bg.png")</f>
        <v>https://abs.twimg.com/images/themes/theme1/bg.png</v>
      </c>
      <c r="AW1708" s="81" t="b">
        <v>1</v>
      </c>
      <c r="AX1708" s="81" t="s">
        <v>3728</v>
      </c>
      <c r="AY1708" s="84" t="str">
        <f>HYPERLINK("https://twitter.com/tvi24pt")</f>
        <v>https://twitter.com/tvi24pt</v>
      </c>
      <c r="AZ1708" s="81" t="s">
        <v>66</v>
      </c>
    </row>
    <row r="1709" spans="1:52" x14ac:dyDescent="0.35">
      <c r="A1709" s="66" t="s">
        <v>4295</v>
      </c>
      <c r="B1709" s="67"/>
      <c r="C1709" s="67"/>
      <c r="D1709" s="68"/>
      <c r="E1709" s="94"/>
      <c r="F1709" s="93" t="str">
        <f>HYPERLINK("https://pbs.twimg.com/profile_images/1366413337056182273/MwyDpJGX_normal.jpg")</f>
        <v>https://pbs.twimg.com/profile_images/1366413337056182273/MwyDpJGX_normal.jpg</v>
      </c>
      <c r="G1709" s="95"/>
      <c r="H1709" s="71"/>
      <c r="I1709" s="72"/>
      <c r="J1709" s="96"/>
      <c r="K1709" s="71" t="s">
        <v>14428</v>
      </c>
      <c r="L1709" s="97"/>
      <c r="M1709" s="76"/>
      <c r="N1709" s="76"/>
      <c r="O1709" s="77"/>
      <c r="P1709" s="78"/>
      <c r="Q1709" s="78"/>
      <c r="R1709" s="92"/>
      <c r="S1709" s="92"/>
      <c r="T1709" s="92"/>
      <c r="U1709" s="92"/>
      <c r="V1709" s="52"/>
      <c r="W1709" s="52"/>
      <c r="X1709" s="52"/>
      <c r="Y1709" s="52"/>
      <c r="Z1709" s="51"/>
      <c r="AA1709" s="73"/>
      <c r="AB1709" s="73"/>
      <c r="AC1709" s="74"/>
      <c r="AD1709" s="81" t="s">
        <v>8204</v>
      </c>
      <c r="AE1709" s="86" t="s">
        <v>9256</v>
      </c>
      <c r="AF1709" s="81">
        <v>1100</v>
      </c>
      <c r="AG1709" s="81">
        <v>87047</v>
      </c>
      <c r="AH1709" s="81">
        <v>201520</v>
      </c>
      <c r="AI1709" s="81">
        <v>18</v>
      </c>
      <c r="AJ1709" s="81"/>
      <c r="AK1709" s="81" t="s">
        <v>10215</v>
      </c>
      <c r="AL1709" s="81"/>
      <c r="AM1709" s="84" t="str">
        <f>HYPERLINK("https://t.co/ytFrUGED0m")</f>
        <v>https://t.co/ytFrUGED0m</v>
      </c>
      <c r="AN1709" s="81"/>
      <c r="AO1709" s="83">
        <v>40911.971828703703</v>
      </c>
      <c r="AP1709" s="84" t="str">
        <f>HYPERLINK("https://pbs.twimg.com/profile_banners/454395581/1617281150")</f>
        <v>https://pbs.twimg.com/profile_banners/454395581/1617281150</v>
      </c>
      <c r="AQ1709" s="81" t="b">
        <v>0</v>
      </c>
      <c r="AR1709" s="81" t="b">
        <v>0</v>
      </c>
      <c r="AS1709" s="81" t="b">
        <v>0</v>
      </c>
      <c r="AT1709" s="81"/>
      <c r="AU1709" s="81">
        <v>364</v>
      </c>
      <c r="AV1709" s="84" t="str">
        <f>HYPERLINK("https://abs.twimg.com/images/themes/theme15/bg.png")</f>
        <v>https://abs.twimg.com/images/themes/theme15/bg.png</v>
      </c>
      <c r="AW1709" s="81" t="b">
        <v>1</v>
      </c>
      <c r="AX1709" s="81" t="s">
        <v>3728</v>
      </c>
      <c r="AY1709" s="84" t="str">
        <f>HYPERLINK("https://twitter.com/tvi24ultimas")</f>
        <v>https://twitter.com/tvi24ultimas</v>
      </c>
      <c r="AZ1709" s="81" t="s">
        <v>66</v>
      </c>
    </row>
    <row r="1710" spans="1:52" x14ac:dyDescent="0.35">
      <c r="A1710" s="66" t="s">
        <v>12589</v>
      </c>
      <c r="B1710" s="67"/>
      <c r="C1710" s="67"/>
      <c r="D1710" s="68"/>
      <c r="E1710" s="94"/>
      <c r="F1710" s="93" t="str">
        <f>HYPERLINK("https://pbs.twimg.com/profile_images/1227387007/eu_normal.JPG")</f>
        <v>https://pbs.twimg.com/profile_images/1227387007/eu_normal.JPG</v>
      </c>
      <c r="G1710" s="95"/>
      <c r="H1710" s="71"/>
      <c r="I1710" s="72"/>
      <c r="J1710" s="96"/>
      <c r="K1710" s="71" t="s">
        <v>14429</v>
      </c>
      <c r="L1710" s="97"/>
      <c r="M1710" s="76"/>
      <c r="N1710" s="76"/>
      <c r="O1710" s="77"/>
      <c r="P1710" s="78"/>
      <c r="Q1710" s="78"/>
      <c r="R1710" s="92"/>
      <c r="S1710" s="92"/>
      <c r="T1710" s="92"/>
      <c r="U1710" s="92"/>
      <c r="V1710" s="52"/>
      <c r="W1710" s="52"/>
      <c r="X1710" s="52"/>
      <c r="Y1710" s="52"/>
      <c r="Z1710" s="51"/>
      <c r="AA1710" s="73"/>
      <c r="AB1710" s="73"/>
      <c r="AC1710" s="74"/>
      <c r="AD1710" s="81" t="s">
        <v>13618</v>
      </c>
      <c r="AE1710" s="86" t="s">
        <v>13826</v>
      </c>
      <c r="AF1710" s="81">
        <v>182</v>
      </c>
      <c r="AG1710" s="81">
        <v>73</v>
      </c>
      <c r="AH1710" s="81">
        <v>1189</v>
      </c>
      <c r="AI1710" s="81">
        <v>571</v>
      </c>
      <c r="AJ1710" s="81"/>
      <c r="AK1710" s="81" t="s">
        <v>14071</v>
      </c>
      <c r="AL1710" s="81" t="s">
        <v>14223</v>
      </c>
      <c r="AM1710" s="84" t="str">
        <f>HYPERLINK("https://t.co/AJEGRhKV8b")</f>
        <v>https://t.co/AJEGRhKV8b</v>
      </c>
      <c r="AN1710" s="81"/>
      <c r="AO1710" s="83">
        <v>40239.740127314813</v>
      </c>
      <c r="AP1710" s="84" t="str">
        <f>HYPERLINK("https://pbs.twimg.com/profile_banners/119103398/1406506709")</f>
        <v>https://pbs.twimg.com/profile_banners/119103398/1406506709</v>
      </c>
      <c r="AQ1710" s="81" t="b">
        <v>0</v>
      </c>
      <c r="AR1710" s="81" t="b">
        <v>0</v>
      </c>
      <c r="AS1710" s="81" t="b">
        <v>0</v>
      </c>
      <c r="AT1710" s="81"/>
      <c r="AU1710" s="81">
        <v>2</v>
      </c>
      <c r="AV1710" s="84" t="str">
        <f>HYPERLINK("https://abs.twimg.com/images/themes/theme2/bg.gif")</f>
        <v>https://abs.twimg.com/images/themes/theme2/bg.gif</v>
      </c>
      <c r="AW1710" s="81" t="b">
        <v>0</v>
      </c>
      <c r="AX1710" s="81" t="s">
        <v>3728</v>
      </c>
      <c r="AY1710" s="84" t="str">
        <f>HYPERLINK("https://twitter.com/marciomanoo")</f>
        <v>https://twitter.com/marciomanoo</v>
      </c>
      <c r="AZ1710" s="81" t="s">
        <v>66</v>
      </c>
    </row>
    <row r="1711" spans="1:52" x14ac:dyDescent="0.35">
      <c r="A1711" s="66" t="s">
        <v>12706</v>
      </c>
      <c r="B1711" s="67"/>
      <c r="C1711" s="67"/>
      <c r="D1711" s="68"/>
      <c r="E1711" s="94"/>
      <c r="F1711" s="93" t="str">
        <f>HYPERLINK("https://pbs.twimg.com/profile_images/1116337503055822849/K6K6ujzr_normal.png")</f>
        <v>https://pbs.twimg.com/profile_images/1116337503055822849/K6K6ujzr_normal.png</v>
      </c>
      <c r="G1711" s="95"/>
      <c r="H1711" s="71"/>
      <c r="I1711" s="72"/>
      <c r="J1711" s="96"/>
      <c r="K1711" s="71" t="s">
        <v>14430</v>
      </c>
      <c r="L1711" s="97"/>
      <c r="M1711" s="76"/>
      <c r="N1711" s="76"/>
      <c r="O1711" s="77"/>
      <c r="P1711" s="78"/>
      <c r="Q1711" s="78"/>
      <c r="R1711" s="92"/>
      <c r="S1711" s="92"/>
      <c r="T1711" s="92"/>
      <c r="U1711" s="92"/>
      <c r="V1711" s="52"/>
      <c r="W1711" s="52"/>
      <c r="X1711" s="52"/>
      <c r="Y1711" s="52"/>
      <c r="Z1711" s="51"/>
      <c r="AA1711" s="73"/>
      <c r="AB1711" s="73"/>
      <c r="AC1711" s="74"/>
      <c r="AD1711" s="81" t="s">
        <v>13619</v>
      </c>
      <c r="AE1711" s="86" t="s">
        <v>13827</v>
      </c>
      <c r="AF1711" s="81">
        <v>456</v>
      </c>
      <c r="AG1711" s="81">
        <v>193076</v>
      </c>
      <c r="AH1711" s="81">
        <v>2599</v>
      </c>
      <c r="AI1711" s="81">
        <v>3931</v>
      </c>
      <c r="AJ1711" s="81"/>
      <c r="AK1711" s="81" t="s">
        <v>14072</v>
      </c>
      <c r="AL1711" s="81" t="s">
        <v>10983</v>
      </c>
      <c r="AM1711" s="81"/>
      <c r="AN1711" s="81"/>
      <c r="AO1711" s="83">
        <v>42330.665219907409</v>
      </c>
      <c r="AP1711" s="84" t="str">
        <f>HYPERLINK("https://pbs.twimg.com/profile_banners/4250596815/1631794948")</f>
        <v>https://pbs.twimg.com/profile_banners/4250596815/1631794948</v>
      </c>
      <c r="AQ1711" s="81" t="b">
        <v>1</v>
      </c>
      <c r="AR1711" s="81" t="b">
        <v>0</v>
      </c>
      <c r="AS1711" s="81" t="b">
        <v>1</v>
      </c>
      <c r="AT1711" s="81"/>
      <c r="AU1711" s="81">
        <v>532</v>
      </c>
      <c r="AV1711" s="84" t="str">
        <f>HYPERLINK("https://abs.twimg.com/images/themes/theme1/bg.png")</f>
        <v>https://abs.twimg.com/images/themes/theme1/bg.png</v>
      </c>
      <c r="AW1711" s="81" t="b">
        <v>1</v>
      </c>
      <c r="AX1711" s="81" t="s">
        <v>3728</v>
      </c>
      <c r="AY1711" s="84" t="str">
        <f>HYPERLINK("https://twitter.com/sen_alessandro")</f>
        <v>https://twitter.com/sen_alessandro</v>
      </c>
      <c r="AZ1711" s="81" t="s">
        <v>65</v>
      </c>
    </row>
    <row r="1712" spans="1:52" x14ac:dyDescent="0.35">
      <c r="A1712" s="66" t="s">
        <v>12707</v>
      </c>
      <c r="B1712" s="67"/>
      <c r="C1712" s="67"/>
      <c r="D1712" s="68"/>
      <c r="E1712" s="94"/>
      <c r="F1712" s="93" t="str">
        <f>HYPERLINK("https://abs.twimg.com/sticky/default_profile_images/default_profile_normal.png")</f>
        <v>https://abs.twimg.com/sticky/default_profile_images/default_profile_normal.png</v>
      </c>
      <c r="G1712" s="95"/>
      <c r="H1712" s="71"/>
      <c r="I1712" s="72"/>
      <c r="J1712" s="96"/>
      <c r="K1712" s="71" t="s">
        <v>14431</v>
      </c>
      <c r="L1712" s="97"/>
      <c r="M1712" s="76"/>
      <c r="N1712" s="76"/>
      <c r="O1712" s="77"/>
      <c r="P1712" s="78"/>
      <c r="Q1712" s="78"/>
      <c r="R1712" s="92"/>
      <c r="S1712" s="92"/>
      <c r="T1712" s="92"/>
      <c r="U1712" s="92"/>
      <c r="V1712" s="52"/>
      <c r="W1712" s="52"/>
      <c r="X1712" s="52"/>
      <c r="Y1712" s="52"/>
      <c r="Z1712" s="51"/>
      <c r="AA1712" s="73"/>
      <c r="AB1712" s="73"/>
      <c r="AC1712" s="74"/>
      <c r="AD1712" s="81" t="s">
        <v>13620</v>
      </c>
      <c r="AE1712" s="86" t="s">
        <v>13828</v>
      </c>
      <c r="AF1712" s="81">
        <v>708</v>
      </c>
      <c r="AG1712" s="81">
        <v>340</v>
      </c>
      <c r="AH1712" s="81">
        <v>132</v>
      </c>
      <c r="AI1712" s="81">
        <v>312</v>
      </c>
      <c r="AJ1712" s="81"/>
      <c r="AK1712" s="81" t="s">
        <v>14073</v>
      </c>
      <c r="AL1712" s="81"/>
      <c r="AM1712" s="81"/>
      <c r="AN1712" s="81"/>
      <c r="AO1712" s="83">
        <v>44446.803831018522</v>
      </c>
      <c r="AP1712" s="81"/>
      <c r="AQ1712" s="81" t="b">
        <v>1</v>
      </c>
      <c r="AR1712" s="81" t="b">
        <v>1</v>
      </c>
      <c r="AS1712" s="81" t="b">
        <v>0</v>
      </c>
      <c r="AT1712" s="81"/>
      <c r="AU1712" s="81">
        <v>0</v>
      </c>
      <c r="AV1712" s="81"/>
      <c r="AW1712" s="81" t="b">
        <v>0</v>
      </c>
      <c r="AX1712" s="81" t="s">
        <v>3728</v>
      </c>
      <c r="AY1712" s="84" t="str">
        <f>HYPERLINK("https://twitter.com/mauricinho2507")</f>
        <v>https://twitter.com/mauricinho2507</v>
      </c>
      <c r="AZ1712" s="81" t="s">
        <v>65</v>
      </c>
    </row>
    <row r="1713" spans="1:52" x14ac:dyDescent="0.35">
      <c r="A1713" s="66" t="s">
        <v>12708</v>
      </c>
      <c r="B1713" s="67"/>
      <c r="C1713" s="67"/>
      <c r="D1713" s="68"/>
      <c r="E1713" s="94"/>
      <c r="F1713" s="93" t="str">
        <f>HYPERLINK("https://pbs.twimg.com/profile_images/1436148770522247168/7rmKav-I_normal.jpg")</f>
        <v>https://pbs.twimg.com/profile_images/1436148770522247168/7rmKav-I_normal.jpg</v>
      </c>
      <c r="G1713" s="95"/>
      <c r="H1713" s="71"/>
      <c r="I1713" s="72"/>
      <c r="J1713" s="96"/>
      <c r="K1713" s="71" t="s">
        <v>14432</v>
      </c>
      <c r="L1713" s="97"/>
      <c r="M1713" s="76"/>
      <c r="N1713" s="76"/>
      <c r="O1713" s="77"/>
      <c r="P1713" s="78"/>
      <c r="Q1713" s="78"/>
      <c r="R1713" s="92"/>
      <c r="S1713" s="92"/>
      <c r="T1713" s="92"/>
      <c r="U1713" s="92"/>
      <c r="V1713" s="52"/>
      <c r="W1713" s="52"/>
      <c r="X1713" s="52"/>
      <c r="Y1713" s="52"/>
      <c r="Z1713" s="51"/>
      <c r="AA1713" s="73"/>
      <c r="AB1713" s="73"/>
      <c r="AC1713" s="74"/>
      <c r="AD1713" s="81" t="s">
        <v>13621</v>
      </c>
      <c r="AE1713" s="86" t="s">
        <v>13829</v>
      </c>
      <c r="AF1713" s="81">
        <v>198</v>
      </c>
      <c r="AG1713" s="81">
        <v>69</v>
      </c>
      <c r="AH1713" s="81">
        <v>2732</v>
      </c>
      <c r="AI1713" s="81">
        <v>5895</v>
      </c>
      <c r="AJ1713" s="81"/>
      <c r="AK1713" s="81" t="s">
        <v>14074</v>
      </c>
      <c r="AL1713" s="81"/>
      <c r="AM1713" s="81"/>
      <c r="AN1713" s="81"/>
      <c r="AO1713" s="83">
        <v>43770.641111111108</v>
      </c>
      <c r="AP1713" s="84" t="str">
        <f>HYPERLINK("https://pbs.twimg.com/profile_banners/1190288141539778564/1631555543")</f>
        <v>https://pbs.twimg.com/profile_banners/1190288141539778564/1631555543</v>
      </c>
      <c r="AQ1713" s="81" t="b">
        <v>1</v>
      </c>
      <c r="AR1713" s="81" t="b">
        <v>0</v>
      </c>
      <c r="AS1713" s="81" t="b">
        <v>0</v>
      </c>
      <c r="AT1713" s="81"/>
      <c r="AU1713" s="81">
        <v>0</v>
      </c>
      <c r="AV1713" s="81"/>
      <c r="AW1713" s="81" t="b">
        <v>0</v>
      </c>
      <c r="AX1713" s="81" t="s">
        <v>3728</v>
      </c>
      <c r="AY1713" s="84" t="str">
        <f>HYPERLINK("https://twitter.com/edwin_niles_fox")</f>
        <v>https://twitter.com/edwin_niles_fox</v>
      </c>
      <c r="AZ1713" s="81" t="s">
        <v>65</v>
      </c>
    </row>
    <row r="1714" spans="1:52" x14ac:dyDescent="0.35">
      <c r="A1714" s="66" t="s">
        <v>12709</v>
      </c>
      <c r="B1714" s="67"/>
      <c r="C1714" s="67"/>
      <c r="D1714" s="68"/>
      <c r="E1714" s="94"/>
      <c r="F1714" s="93" t="str">
        <f>HYPERLINK("https://pbs.twimg.com/profile_images/1395073560222343168/3oHo64Ys_normal.jpg")</f>
        <v>https://pbs.twimg.com/profile_images/1395073560222343168/3oHo64Ys_normal.jpg</v>
      </c>
      <c r="G1714" s="95"/>
      <c r="H1714" s="71"/>
      <c r="I1714" s="72"/>
      <c r="J1714" s="96"/>
      <c r="K1714" s="71" t="s">
        <v>14433</v>
      </c>
      <c r="L1714" s="97"/>
      <c r="M1714" s="76"/>
      <c r="N1714" s="76"/>
      <c r="O1714" s="77"/>
      <c r="P1714" s="78"/>
      <c r="Q1714" s="78"/>
      <c r="R1714" s="92"/>
      <c r="S1714" s="92"/>
      <c r="T1714" s="92"/>
      <c r="U1714" s="92"/>
      <c r="V1714" s="52"/>
      <c r="W1714" s="52"/>
      <c r="X1714" s="52"/>
      <c r="Y1714" s="52"/>
      <c r="Z1714" s="51"/>
      <c r="AA1714" s="73"/>
      <c r="AB1714" s="73"/>
      <c r="AC1714" s="74"/>
      <c r="AD1714" s="81" t="s">
        <v>13622</v>
      </c>
      <c r="AE1714" s="86" t="s">
        <v>13424</v>
      </c>
      <c r="AF1714" s="81">
        <v>863</v>
      </c>
      <c r="AG1714" s="81">
        <v>713</v>
      </c>
      <c r="AH1714" s="81">
        <v>3234</v>
      </c>
      <c r="AI1714" s="81">
        <v>6069</v>
      </c>
      <c r="AJ1714" s="81"/>
      <c r="AK1714" s="81" t="s">
        <v>14075</v>
      </c>
      <c r="AL1714" s="81"/>
      <c r="AM1714" s="81"/>
      <c r="AN1714" s="81"/>
      <c r="AO1714" s="83">
        <v>40634.909918981481</v>
      </c>
      <c r="AP1714" s="81"/>
      <c r="AQ1714" s="81" t="b">
        <v>1</v>
      </c>
      <c r="AR1714" s="81" t="b">
        <v>0</v>
      </c>
      <c r="AS1714" s="81" t="b">
        <v>0</v>
      </c>
      <c r="AT1714" s="81"/>
      <c r="AU1714" s="81">
        <v>0</v>
      </c>
      <c r="AV1714" s="84" t="str">
        <f>HYPERLINK("https://abs.twimg.com/images/themes/theme1/bg.png")</f>
        <v>https://abs.twimg.com/images/themes/theme1/bg.png</v>
      </c>
      <c r="AW1714" s="81" t="b">
        <v>0</v>
      </c>
      <c r="AX1714" s="81" t="s">
        <v>3728</v>
      </c>
      <c r="AY1714" s="84" t="str">
        <f>HYPERLINK("https://twitter.com/slvgm")</f>
        <v>https://twitter.com/slvgm</v>
      </c>
      <c r="AZ1714" s="81" t="s">
        <v>65</v>
      </c>
    </row>
    <row r="1715" spans="1:52" x14ac:dyDescent="0.35">
      <c r="A1715" s="66" t="s">
        <v>12710</v>
      </c>
      <c r="B1715" s="67"/>
      <c r="C1715" s="67"/>
      <c r="D1715" s="68"/>
      <c r="E1715" s="94"/>
      <c r="F1715" s="93" t="str">
        <f>HYPERLINK("https://pbs.twimg.com/profile_images/1440277015295250438/6QA3eIh4_normal.jpg")</f>
        <v>https://pbs.twimg.com/profile_images/1440277015295250438/6QA3eIh4_normal.jpg</v>
      </c>
      <c r="G1715" s="95"/>
      <c r="H1715" s="71"/>
      <c r="I1715" s="72"/>
      <c r="J1715" s="96"/>
      <c r="K1715" s="71" t="s">
        <v>14434</v>
      </c>
      <c r="L1715" s="97"/>
      <c r="M1715" s="76"/>
      <c r="N1715" s="76"/>
      <c r="O1715" s="77"/>
      <c r="P1715" s="78"/>
      <c r="Q1715" s="78"/>
      <c r="R1715" s="92"/>
      <c r="S1715" s="92"/>
      <c r="T1715" s="92"/>
      <c r="U1715" s="92"/>
      <c r="V1715" s="52"/>
      <c r="W1715" s="52"/>
      <c r="X1715" s="52"/>
      <c r="Y1715" s="52"/>
      <c r="Z1715" s="51"/>
      <c r="AA1715" s="73"/>
      <c r="AB1715" s="73"/>
      <c r="AC1715" s="74"/>
      <c r="AD1715" s="81" t="s">
        <v>13623</v>
      </c>
      <c r="AE1715" s="86" t="s">
        <v>13428</v>
      </c>
      <c r="AF1715" s="81">
        <v>207</v>
      </c>
      <c r="AG1715" s="81">
        <v>96</v>
      </c>
      <c r="AH1715" s="81">
        <v>13679</v>
      </c>
      <c r="AI1715" s="81">
        <v>26821</v>
      </c>
      <c r="AJ1715" s="81"/>
      <c r="AK1715" s="81" t="s">
        <v>14076</v>
      </c>
      <c r="AL1715" s="81"/>
      <c r="AM1715" s="81"/>
      <c r="AN1715" s="81"/>
      <c r="AO1715" s="83">
        <v>44364.397951388892</v>
      </c>
      <c r="AP1715" s="84" t="str">
        <f>HYPERLINK("https://pbs.twimg.com/profile_banners/1405458368609800192/1630596203")</f>
        <v>https://pbs.twimg.com/profile_banners/1405458368609800192/1630596203</v>
      </c>
      <c r="AQ1715" s="81" t="b">
        <v>1</v>
      </c>
      <c r="AR1715" s="81" t="b">
        <v>0</v>
      </c>
      <c r="AS1715" s="81" t="b">
        <v>0</v>
      </c>
      <c r="AT1715" s="81"/>
      <c r="AU1715" s="81">
        <v>0</v>
      </c>
      <c r="AV1715" s="81"/>
      <c r="AW1715" s="81" t="b">
        <v>0</v>
      </c>
      <c r="AX1715" s="81" t="s">
        <v>3728</v>
      </c>
      <c r="AY1715" s="84" t="str">
        <f>HYPERLINK("https://twitter.com/pt_caveira")</f>
        <v>https://twitter.com/pt_caveira</v>
      </c>
      <c r="AZ1715" s="81" t="s">
        <v>65</v>
      </c>
    </row>
    <row r="1716" spans="1:52" x14ac:dyDescent="0.35">
      <c r="A1716" s="66" t="s">
        <v>12591</v>
      </c>
      <c r="B1716" s="67"/>
      <c r="C1716" s="67"/>
      <c r="D1716" s="68"/>
      <c r="E1716" s="94"/>
      <c r="F1716" s="93" t="str">
        <f>HYPERLINK("https://pbs.twimg.com/profile_images/1394422928377270276/v-ae9n03_normal.jpg")</f>
        <v>https://pbs.twimg.com/profile_images/1394422928377270276/v-ae9n03_normal.jpg</v>
      </c>
      <c r="G1716" s="95"/>
      <c r="H1716" s="71"/>
      <c r="I1716" s="72"/>
      <c r="J1716" s="96"/>
      <c r="K1716" s="71" t="s">
        <v>14435</v>
      </c>
      <c r="L1716" s="97"/>
      <c r="M1716" s="76"/>
      <c r="N1716" s="76"/>
      <c r="O1716" s="77"/>
      <c r="P1716" s="78"/>
      <c r="Q1716" s="78"/>
      <c r="R1716" s="92"/>
      <c r="S1716" s="92"/>
      <c r="T1716" s="92"/>
      <c r="U1716" s="92"/>
      <c r="V1716" s="52"/>
      <c r="W1716" s="52"/>
      <c r="X1716" s="52"/>
      <c r="Y1716" s="52"/>
      <c r="Z1716" s="51"/>
      <c r="AA1716" s="73"/>
      <c r="AB1716" s="73"/>
      <c r="AC1716" s="74"/>
      <c r="AD1716" s="81" t="s">
        <v>13624</v>
      </c>
      <c r="AE1716" s="86" t="s">
        <v>13830</v>
      </c>
      <c r="AF1716" s="81">
        <v>7666</v>
      </c>
      <c r="AG1716" s="81">
        <v>7651</v>
      </c>
      <c r="AH1716" s="81">
        <v>77629</v>
      </c>
      <c r="AI1716" s="81">
        <v>172428</v>
      </c>
      <c r="AJ1716" s="81"/>
      <c r="AK1716" s="81" t="s">
        <v>14077</v>
      </c>
      <c r="AL1716" s="81" t="s">
        <v>11244</v>
      </c>
      <c r="AM1716" s="81"/>
      <c r="AN1716" s="81"/>
      <c r="AO1716" s="83">
        <v>41871.896747685183</v>
      </c>
      <c r="AP1716" s="84" t="str">
        <f>HYPERLINK("https://pbs.twimg.com/profile_banners/2748469408/1631283382")</f>
        <v>https://pbs.twimg.com/profile_banners/2748469408/1631283382</v>
      </c>
      <c r="AQ1716" s="81" t="b">
        <v>1</v>
      </c>
      <c r="AR1716" s="81" t="b">
        <v>0</v>
      </c>
      <c r="AS1716" s="81" t="b">
        <v>0</v>
      </c>
      <c r="AT1716" s="81"/>
      <c r="AU1716" s="81">
        <v>3</v>
      </c>
      <c r="AV1716" s="84" t="str">
        <f>HYPERLINK("https://abs.twimg.com/images/themes/theme1/bg.png")</f>
        <v>https://abs.twimg.com/images/themes/theme1/bg.png</v>
      </c>
      <c r="AW1716" s="81" t="b">
        <v>0</v>
      </c>
      <c r="AX1716" s="81" t="s">
        <v>3728</v>
      </c>
      <c r="AY1716" s="84" t="str">
        <f>HYPERLINK("https://twitter.com/valdenizo07")</f>
        <v>https://twitter.com/valdenizo07</v>
      </c>
      <c r="AZ1716" s="81" t="s">
        <v>66</v>
      </c>
    </row>
    <row r="1717" spans="1:52" x14ac:dyDescent="0.35">
      <c r="A1717" s="66" t="s">
        <v>12592</v>
      </c>
      <c r="B1717" s="67"/>
      <c r="C1717" s="67"/>
      <c r="D1717" s="68"/>
      <c r="E1717" s="94"/>
      <c r="F1717" s="93" t="str">
        <f>HYPERLINK("https://pbs.twimg.com/profile_images/1413647431720374274/rOKRIivd_normal.jpg")</f>
        <v>https://pbs.twimg.com/profile_images/1413647431720374274/rOKRIivd_normal.jpg</v>
      </c>
      <c r="G1717" s="95"/>
      <c r="H1717" s="71"/>
      <c r="I1717" s="72"/>
      <c r="J1717" s="96"/>
      <c r="K1717" s="71" t="s">
        <v>14436</v>
      </c>
      <c r="L1717" s="97"/>
      <c r="M1717" s="76"/>
      <c r="N1717" s="76"/>
      <c r="O1717" s="77"/>
      <c r="P1717" s="78"/>
      <c r="Q1717" s="78"/>
      <c r="R1717" s="92"/>
      <c r="S1717" s="92"/>
      <c r="T1717" s="92"/>
      <c r="U1717" s="92"/>
      <c r="V1717" s="52"/>
      <c r="W1717" s="52"/>
      <c r="X1717" s="52"/>
      <c r="Y1717" s="52"/>
      <c r="Z1717" s="51"/>
      <c r="AA1717" s="73"/>
      <c r="AB1717" s="73"/>
      <c r="AC1717" s="74"/>
      <c r="AD1717" s="81" t="s">
        <v>13625</v>
      </c>
      <c r="AE1717" s="86" t="s">
        <v>13831</v>
      </c>
      <c r="AF1717" s="81">
        <v>2586</v>
      </c>
      <c r="AG1717" s="81">
        <v>623</v>
      </c>
      <c r="AH1717" s="81">
        <v>85459</v>
      </c>
      <c r="AI1717" s="81">
        <v>313187</v>
      </c>
      <c r="AJ1717" s="81"/>
      <c r="AK1717" s="81" t="s">
        <v>14078</v>
      </c>
      <c r="AL1717" s="81" t="s">
        <v>14224</v>
      </c>
      <c r="AM1717" s="84" t="str">
        <f>HYPERLINK("https://t.co/S5J2WiI39I")</f>
        <v>https://t.co/S5J2WiI39I</v>
      </c>
      <c r="AN1717" s="81"/>
      <c r="AO1717" s="83">
        <v>40010.024583333332</v>
      </c>
      <c r="AP1717" s="84" t="str">
        <f>HYPERLINK("https://pbs.twimg.com/profile_banners/57188975/1533346848")</f>
        <v>https://pbs.twimg.com/profile_banners/57188975/1533346848</v>
      </c>
      <c r="AQ1717" s="81" t="b">
        <v>0</v>
      </c>
      <c r="AR1717" s="81" t="b">
        <v>0</v>
      </c>
      <c r="AS1717" s="81" t="b">
        <v>1</v>
      </c>
      <c r="AT1717" s="81"/>
      <c r="AU1717" s="81">
        <v>19</v>
      </c>
      <c r="AV1717" s="84" t="str">
        <f>HYPERLINK("https://abs.twimg.com/images/themes/theme1/bg.png")</f>
        <v>https://abs.twimg.com/images/themes/theme1/bg.png</v>
      </c>
      <c r="AW1717" s="81" t="b">
        <v>0</v>
      </c>
      <c r="AX1717" s="81" t="s">
        <v>3728</v>
      </c>
      <c r="AY1717" s="84" t="str">
        <f>HYPERLINK("https://twitter.com/soyrach")</f>
        <v>https://twitter.com/soyrach</v>
      </c>
      <c r="AZ1717" s="81" t="s">
        <v>66</v>
      </c>
    </row>
    <row r="1718" spans="1:52" x14ac:dyDescent="0.35">
      <c r="A1718" s="66" t="s">
        <v>12618</v>
      </c>
      <c r="B1718" s="67"/>
      <c r="C1718" s="67"/>
      <c r="D1718" s="68"/>
      <c r="E1718" s="94"/>
      <c r="F1718" s="93" t="str">
        <f>HYPERLINK("https://pbs.twimg.com/profile_images/1397587393096605696/3IvuMxku_normal.jpg")</f>
        <v>https://pbs.twimg.com/profile_images/1397587393096605696/3IvuMxku_normal.jpg</v>
      </c>
      <c r="G1718" s="95"/>
      <c r="H1718" s="71"/>
      <c r="I1718" s="72"/>
      <c r="J1718" s="96"/>
      <c r="K1718" s="71" t="s">
        <v>14437</v>
      </c>
      <c r="L1718" s="97"/>
      <c r="M1718" s="76"/>
      <c r="N1718" s="76"/>
      <c r="O1718" s="77"/>
      <c r="P1718" s="78"/>
      <c r="Q1718" s="78"/>
      <c r="R1718" s="92"/>
      <c r="S1718" s="92"/>
      <c r="T1718" s="92"/>
      <c r="U1718" s="92"/>
      <c r="V1718" s="52"/>
      <c r="W1718" s="52"/>
      <c r="X1718" s="52"/>
      <c r="Y1718" s="52"/>
      <c r="Z1718" s="51"/>
      <c r="AA1718" s="73"/>
      <c r="AB1718" s="73"/>
      <c r="AC1718" s="74"/>
      <c r="AD1718" s="81" t="s">
        <v>13626</v>
      </c>
      <c r="AE1718" s="86" t="s">
        <v>13832</v>
      </c>
      <c r="AF1718" s="81">
        <v>916</v>
      </c>
      <c r="AG1718" s="81">
        <v>223</v>
      </c>
      <c r="AH1718" s="81">
        <v>932</v>
      </c>
      <c r="AI1718" s="81">
        <v>19814</v>
      </c>
      <c r="AJ1718" s="81"/>
      <c r="AK1718" s="81" t="s">
        <v>14079</v>
      </c>
      <c r="AL1718" s="81" t="s">
        <v>10970</v>
      </c>
      <c r="AM1718" s="81"/>
      <c r="AN1718" s="81"/>
      <c r="AO1718" s="83">
        <v>44342.674212962964</v>
      </c>
      <c r="AP1718" s="84" t="str">
        <f>HYPERLINK("https://pbs.twimg.com/profile_banners/1397585908048842756/1622061423")</f>
        <v>https://pbs.twimg.com/profile_banners/1397585908048842756/1622061423</v>
      </c>
      <c r="AQ1718" s="81" t="b">
        <v>1</v>
      </c>
      <c r="AR1718" s="81" t="b">
        <v>0</v>
      </c>
      <c r="AS1718" s="81" t="b">
        <v>0</v>
      </c>
      <c r="AT1718" s="81"/>
      <c r="AU1718" s="81">
        <v>0</v>
      </c>
      <c r="AV1718" s="81"/>
      <c r="AW1718" s="81" t="b">
        <v>0</v>
      </c>
      <c r="AX1718" s="81" t="s">
        <v>3728</v>
      </c>
      <c r="AY1718" s="84" t="str">
        <f>HYPERLINK("https://twitter.com/gremiothreads")</f>
        <v>https://twitter.com/gremiothreads</v>
      </c>
      <c r="AZ1718" s="81" t="s">
        <v>66</v>
      </c>
    </row>
    <row r="1719" spans="1:52" x14ac:dyDescent="0.35">
      <c r="A1719" s="66" t="s">
        <v>12593</v>
      </c>
      <c r="B1719" s="67"/>
      <c r="C1719" s="67"/>
      <c r="D1719" s="68"/>
      <c r="E1719" s="94"/>
      <c r="F1719" s="93" t="str">
        <f>HYPERLINK("https://pbs.twimg.com/profile_images/1443086436551561218/lKvrHYpS_normal.jpg")</f>
        <v>https://pbs.twimg.com/profile_images/1443086436551561218/lKvrHYpS_normal.jpg</v>
      </c>
      <c r="G1719" s="95"/>
      <c r="H1719" s="71"/>
      <c r="I1719" s="72"/>
      <c r="J1719" s="96"/>
      <c r="K1719" s="71" t="s">
        <v>14438</v>
      </c>
      <c r="L1719" s="97"/>
      <c r="M1719" s="76"/>
      <c r="N1719" s="76"/>
      <c r="O1719" s="77"/>
      <c r="P1719" s="78"/>
      <c r="Q1719" s="78"/>
      <c r="R1719" s="92"/>
      <c r="S1719" s="92"/>
      <c r="T1719" s="92"/>
      <c r="U1719" s="92"/>
      <c r="V1719" s="52"/>
      <c r="W1719" s="52"/>
      <c r="X1719" s="52"/>
      <c r="Y1719" s="52"/>
      <c r="Z1719" s="51"/>
      <c r="AA1719" s="73"/>
      <c r="AB1719" s="73"/>
      <c r="AC1719" s="74"/>
      <c r="AD1719" s="81" t="s">
        <v>13627</v>
      </c>
      <c r="AE1719" s="86" t="s">
        <v>13833</v>
      </c>
      <c r="AF1719" s="81">
        <v>2092</v>
      </c>
      <c r="AG1719" s="81">
        <v>12863</v>
      </c>
      <c r="AH1719" s="81">
        <v>253472</v>
      </c>
      <c r="AI1719" s="81">
        <v>206512</v>
      </c>
      <c r="AJ1719" s="81"/>
      <c r="AK1719" s="81" t="s">
        <v>14080</v>
      </c>
      <c r="AL1719" s="81" t="s">
        <v>10992</v>
      </c>
      <c r="AM1719" s="84" t="str">
        <f>HYPERLINK("https://t.co/w08BZSluxt")</f>
        <v>https://t.co/w08BZSluxt</v>
      </c>
      <c r="AN1719" s="81"/>
      <c r="AO1719" s="83">
        <v>39810.979108796295</v>
      </c>
      <c r="AP1719" s="84" t="str">
        <f>HYPERLINK("https://pbs.twimg.com/profile_banners/18436797/1605071391")</f>
        <v>https://pbs.twimg.com/profile_banners/18436797/1605071391</v>
      </c>
      <c r="AQ1719" s="81" t="b">
        <v>0</v>
      </c>
      <c r="AR1719" s="81" t="b">
        <v>0</v>
      </c>
      <c r="AS1719" s="81" t="b">
        <v>1</v>
      </c>
      <c r="AT1719" s="81"/>
      <c r="AU1719" s="81">
        <v>45</v>
      </c>
      <c r="AV1719" s="84" t="str">
        <f>HYPERLINK("https://abs.twimg.com/images/themes/theme7/bg.gif")</f>
        <v>https://abs.twimg.com/images/themes/theme7/bg.gif</v>
      </c>
      <c r="AW1719" s="81" t="b">
        <v>0</v>
      </c>
      <c r="AX1719" s="81" t="s">
        <v>3728</v>
      </c>
      <c r="AY1719" s="84" t="str">
        <f>HYPERLINK("https://twitter.com/biabionica")</f>
        <v>https://twitter.com/biabionica</v>
      </c>
      <c r="AZ1719" s="81" t="s">
        <v>66</v>
      </c>
    </row>
    <row r="1720" spans="1:52" x14ac:dyDescent="0.35">
      <c r="A1720" s="66" t="s">
        <v>12594</v>
      </c>
      <c r="B1720" s="67"/>
      <c r="C1720" s="67"/>
      <c r="D1720" s="68"/>
      <c r="E1720" s="94"/>
      <c r="F1720" s="93" t="str">
        <f>HYPERLINK("https://pbs.twimg.com/profile_images/1441540687174897671/TrJR5Ix2_normal.jpg")</f>
        <v>https://pbs.twimg.com/profile_images/1441540687174897671/TrJR5Ix2_normal.jpg</v>
      </c>
      <c r="G1720" s="95"/>
      <c r="H1720" s="71"/>
      <c r="I1720" s="72"/>
      <c r="J1720" s="96"/>
      <c r="K1720" s="71" t="s">
        <v>14439</v>
      </c>
      <c r="L1720" s="97"/>
      <c r="M1720" s="76"/>
      <c r="N1720" s="76"/>
      <c r="O1720" s="77"/>
      <c r="P1720" s="78"/>
      <c r="Q1720" s="78"/>
      <c r="R1720" s="92"/>
      <c r="S1720" s="92"/>
      <c r="T1720" s="92"/>
      <c r="U1720" s="92"/>
      <c r="V1720" s="52"/>
      <c r="W1720" s="52"/>
      <c r="X1720" s="52"/>
      <c r="Y1720" s="52"/>
      <c r="Z1720" s="51"/>
      <c r="AA1720" s="73"/>
      <c r="AB1720" s="73"/>
      <c r="AC1720" s="74"/>
      <c r="AD1720" s="81" t="s">
        <v>13628</v>
      </c>
      <c r="AE1720" s="86" t="s">
        <v>13834</v>
      </c>
      <c r="AF1720" s="81">
        <v>0</v>
      </c>
      <c r="AG1720" s="81">
        <v>26</v>
      </c>
      <c r="AH1720" s="81">
        <v>6618</v>
      </c>
      <c r="AI1720" s="81">
        <v>7</v>
      </c>
      <c r="AJ1720" s="81"/>
      <c r="AK1720" s="81" t="s">
        <v>14081</v>
      </c>
      <c r="AL1720" s="81"/>
      <c r="AM1720" s="81"/>
      <c r="AN1720" s="81"/>
      <c r="AO1720" s="83">
        <v>44463.812094907407</v>
      </c>
      <c r="AP1720" s="84" t="str">
        <f>HYPERLINK("https://pbs.twimg.com/profile_banners/1441484909382709249/1632525058")</f>
        <v>https://pbs.twimg.com/profile_banners/1441484909382709249/1632525058</v>
      </c>
      <c r="AQ1720" s="81" t="b">
        <v>1</v>
      </c>
      <c r="AR1720" s="81" t="b">
        <v>0</v>
      </c>
      <c r="AS1720" s="81" t="b">
        <v>0</v>
      </c>
      <c r="AT1720" s="81"/>
      <c r="AU1720" s="81">
        <v>0</v>
      </c>
      <c r="AV1720" s="81"/>
      <c r="AW1720" s="81" t="b">
        <v>0</v>
      </c>
      <c r="AX1720" s="81" t="s">
        <v>3728</v>
      </c>
      <c r="AY1720" s="84" t="str">
        <f>HYPERLINK("https://twitter.com/ficaramsabendo")</f>
        <v>https://twitter.com/ficaramsabendo</v>
      </c>
      <c r="AZ1720" s="81" t="s">
        <v>66</v>
      </c>
    </row>
    <row r="1721" spans="1:52" x14ac:dyDescent="0.35">
      <c r="A1721" s="66" t="s">
        <v>4627</v>
      </c>
      <c r="B1721" s="67"/>
      <c r="C1721" s="67"/>
      <c r="D1721" s="68"/>
      <c r="E1721" s="94"/>
      <c r="F1721" s="93" t="str">
        <f>HYPERLINK("https://pbs.twimg.com/profile_images/1375037922202824704/Z-KXga9A_normal.jpg")</f>
        <v>https://pbs.twimg.com/profile_images/1375037922202824704/Z-KXga9A_normal.jpg</v>
      </c>
      <c r="G1721" s="95"/>
      <c r="H1721" s="71"/>
      <c r="I1721" s="72"/>
      <c r="J1721" s="96"/>
      <c r="K1721" s="71" t="s">
        <v>14440</v>
      </c>
      <c r="L1721" s="97"/>
      <c r="M1721" s="76"/>
      <c r="N1721" s="76"/>
      <c r="O1721" s="77"/>
      <c r="P1721" s="78"/>
      <c r="Q1721" s="78"/>
      <c r="R1721" s="92"/>
      <c r="S1721" s="92"/>
      <c r="T1721" s="92"/>
      <c r="U1721" s="92"/>
      <c r="V1721" s="52"/>
      <c r="W1721" s="52"/>
      <c r="X1721" s="52"/>
      <c r="Y1721" s="52"/>
      <c r="Z1721" s="51"/>
      <c r="AA1721" s="73"/>
      <c r="AB1721" s="73"/>
      <c r="AC1721" s="74"/>
      <c r="AD1721" s="81" t="s">
        <v>8641</v>
      </c>
      <c r="AE1721" s="86" t="s">
        <v>9629</v>
      </c>
      <c r="AF1721" s="81">
        <v>4017</v>
      </c>
      <c r="AG1721" s="81">
        <v>2024</v>
      </c>
      <c r="AH1721" s="81">
        <v>70737</v>
      </c>
      <c r="AI1721" s="81">
        <v>430060</v>
      </c>
      <c r="AJ1721" s="81"/>
      <c r="AK1721" s="81" t="s">
        <v>10566</v>
      </c>
      <c r="AL1721" s="81"/>
      <c r="AM1721" s="81"/>
      <c r="AN1721" s="81"/>
      <c r="AO1721" s="83">
        <v>42752.911249999997</v>
      </c>
      <c r="AP1721" s="84" t="str">
        <f>HYPERLINK("https://pbs.twimg.com/profile_banners/821475233005715458/1615390159")</f>
        <v>https://pbs.twimg.com/profile_banners/821475233005715458/1615390159</v>
      </c>
      <c r="AQ1721" s="81" t="b">
        <v>1</v>
      </c>
      <c r="AR1721" s="81" t="b">
        <v>0</v>
      </c>
      <c r="AS1721" s="81" t="b">
        <v>0</v>
      </c>
      <c r="AT1721" s="81"/>
      <c r="AU1721" s="81">
        <v>2</v>
      </c>
      <c r="AV1721" s="81"/>
      <c r="AW1721" s="81" t="b">
        <v>0</v>
      </c>
      <c r="AX1721" s="81" t="s">
        <v>3728</v>
      </c>
      <c r="AY1721" s="84" t="str">
        <f>HYPERLINK("https://twitter.com/somel62")</f>
        <v>https://twitter.com/somel62</v>
      </c>
      <c r="AZ1721" s="81" t="s">
        <v>66</v>
      </c>
    </row>
    <row r="1722" spans="1:52" x14ac:dyDescent="0.35">
      <c r="A1722" s="66" t="s">
        <v>12595</v>
      </c>
      <c r="B1722" s="67"/>
      <c r="C1722" s="67"/>
      <c r="D1722" s="68"/>
      <c r="E1722" s="94"/>
      <c r="F1722" s="93" t="str">
        <f>HYPERLINK("https://pbs.twimg.com/profile_images/1144545697859026945/Lga-X2jN_normal.jpg")</f>
        <v>https://pbs.twimg.com/profile_images/1144545697859026945/Lga-X2jN_normal.jpg</v>
      </c>
      <c r="G1722" s="95"/>
      <c r="H1722" s="71"/>
      <c r="I1722" s="72"/>
      <c r="J1722" s="96"/>
      <c r="K1722" s="71" t="s">
        <v>14441</v>
      </c>
      <c r="L1722" s="97"/>
      <c r="M1722" s="76"/>
      <c r="N1722" s="76"/>
      <c r="O1722" s="77"/>
      <c r="P1722" s="78"/>
      <c r="Q1722" s="78"/>
      <c r="R1722" s="92"/>
      <c r="S1722" s="92"/>
      <c r="T1722" s="92"/>
      <c r="U1722" s="92"/>
      <c r="V1722" s="52"/>
      <c r="W1722" s="52"/>
      <c r="X1722" s="52"/>
      <c r="Y1722" s="52"/>
      <c r="Z1722" s="51"/>
      <c r="AA1722" s="73"/>
      <c r="AB1722" s="73"/>
      <c r="AC1722" s="74"/>
      <c r="AD1722" s="81" t="s">
        <v>13629</v>
      </c>
      <c r="AE1722" s="86" t="s">
        <v>13835</v>
      </c>
      <c r="AF1722" s="81">
        <v>305</v>
      </c>
      <c r="AG1722" s="81">
        <v>89</v>
      </c>
      <c r="AH1722" s="81">
        <v>3323</v>
      </c>
      <c r="AI1722" s="81">
        <v>20353</v>
      </c>
      <c r="AJ1722" s="81"/>
      <c r="AK1722" s="81"/>
      <c r="AL1722" s="81" t="s">
        <v>14225</v>
      </c>
      <c r="AM1722" s="81"/>
      <c r="AN1722" s="81"/>
      <c r="AO1722" s="83">
        <v>43537.755543981482</v>
      </c>
      <c r="AP1722" s="81"/>
      <c r="AQ1722" s="81" t="b">
        <v>1</v>
      </c>
      <c r="AR1722" s="81" t="b">
        <v>0</v>
      </c>
      <c r="AS1722" s="81" t="b">
        <v>0</v>
      </c>
      <c r="AT1722" s="81"/>
      <c r="AU1722" s="81">
        <v>0</v>
      </c>
      <c r="AV1722" s="81"/>
      <c r="AW1722" s="81" t="b">
        <v>0</v>
      </c>
      <c r="AX1722" s="81" t="s">
        <v>3728</v>
      </c>
      <c r="AY1722" s="84" t="str">
        <f>HYPERLINK("https://twitter.com/edi33850787")</f>
        <v>https://twitter.com/edi33850787</v>
      </c>
      <c r="AZ1722" s="81" t="s">
        <v>66</v>
      </c>
    </row>
    <row r="1723" spans="1:52" x14ac:dyDescent="0.35">
      <c r="A1723" s="66" t="s">
        <v>4977</v>
      </c>
      <c r="B1723" s="67"/>
      <c r="C1723" s="67"/>
      <c r="D1723" s="68"/>
      <c r="E1723" s="94"/>
      <c r="F1723" s="93" t="str">
        <f>HYPERLINK("https://pbs.twimg.com/profile_images/1407315285737103366/hWICAZ1P_normal.jpg")</f>
        <v>https://pbs.twimg.com/profile_images/1407315285737103366/hWICAZ1P_normal.jpg</v>
      </c>
      <c r="G1723" s="95"/>
      <c r="H1723" s="71"/>
      <c r="I1723" s="72"/>
      <c r="J1723" s="96"/>
      <c r="K1723" s="71" t="s">
        <v>11391</v>
      </c>
      <c r="L1723" s="97"/>
      <c r="M1723" s="76"/>
      <c r="N1723" s="76"/>
      <c r="O1723" s="77"/>
      <c r="P1723" s="78"/>
      <c r="Q1723" s="78"/>
      <c r="R1723" s="92"/>
      <c r="S1723" s="92"/>
      <c r="T1723" s="92"/>
      <c r="U1723" s="92"/>
      <c r="V1723" s="52"/>
      <c r="W1723" s="52"/>
      <c r="X1723" s="52"/>
      <c r="Y1723" s="52"/>
      <c r="Z1723" s="51"/>
      <c r="AA1723" s="73"/>
      <c r="AB1723" s="73"/>
      <c r="AC1723" s="74"/>
      <c r="AD1723" s="81" t="s">
        <v>8025</v>
      </c>
      <c r="AE1723" s="86" t="s">
        <v>7791</v>
      </c>
      <c r="AF1723" s="81">
        <v>6199</v>
      </c>
      <c r="AG1723" s="81">
        <v>431492</v>
      </c>
      <c r="AH1723" s="81">
        <v>86631</v>
      </c>
      <c r="AI1723" s="81">
        <v>47849</v>
      </c>
      <c r="AJ1723" s="81"/>
      <c r="AK1723" s="81" t="s">
        <v>10052</v>
      </c>
      <c r="AL1723" s="81" t="s">
        <v>10972</v>
      </c>
      <c r="AM1723" s="84" t="str">
        <f>HYPERLINK("https://t.co/3OALH8EEEt")</f>
        <v>https://t.co/3OALH8EEEt</v>
      </c>
      <c r="AN1723" s="81"/>
      <c r="AO1723" s="83">
        <v>39877.087268518517</v>
      </c>
      <c r="AP1723" s="84" t="str">
        <f>HYPERLINK("https://pbs.twimg.com/profile_banners/22864100/1614086624")</f>
        <v>https://pbs.twimg.com/profile_banners/22864100/1614086624</v>
      </c>
      <c r="AQ1723" s="81" t="b">
        <v>0</v>
      </c>
      <c r="AR1723" s="81" t="b">
        <v>0</v>
      </c>
      <c r="AS1723" s="81" t="b">
        <v>1</v>
      </c>
      <c r="AT1723" s="81"/>
      <c r="AU1723" s="81">
        <v>1110</v>
      </c>
      <c r="AV1723" s="84" t="str">
        <f>HYPERLINK("https://abs.twimg.com/images/themes/theme1/bg.png")</f>
        <v>https://abs.twimg.com/images/themes/theme1/bg.png</v>
      </c>
      <c r="AW1723" s="81" t="b">
        <v>1</v>
      </c>
      <c r="AX1723" s="81" t="s">
        <v>3728</v>
      </c>
      <c r="AY1723" s="84" t="str">
        <f>HYPERLINK("https://twitter.com/deputadofederal")</f>
        <v>https://twitter.com/deputadofederal</v>
      </c>
      <c r="AZ1723" s="81" t="s">
        <v>65</v>
      </c>
    </row>
    <row r="1724" spans="1:52" x14ac:dyDescent="0.35">
      <c r="A1724" s="66" t="s">
        <v>12596</v>
      </c>
      <c r="B1724" s="67"/>
      <c r="C1724" s="67"/>
      <c r="D1724" s="68"/>
      <c r="E1724" s="94"/>
      <c r="F1724" s="93" t="str">
        <f>HYPERLINK("https://pbs.twimg.com/profile_images/1436791969385222144/xj8Dbx_C_normal.jpg")</f>
        <v>https://pbs.twimg.com/profile_images/1436791969385222144/xj8Dbx_C_normal.jpg</v>
      </c>
      <c r="G1724" s="95"/>
      <c r="H1724" s="71"/>
      <c r="I1724" s="72"/>
      <c r="J1724" s="96"/>
      <c r="K1724" s="71" t="s">
        <v>14442</v>
      </c>
      <c r="L1724" s="97"/>
      <c r="M1724" s="76"/>
      <c r="N1724" s="76"/>
      <c r="O1724" s="77"/>
      <c r="P1724" s="78"/>
      <c r="Q1724" s="78"/>
      <c r="R1724" s="92"/>
      <c r="S1724" s="92"/>
      <c r="T1724" s="92"/>
      <c r="U1724" s="92"/>
      <c r="V1724" s="52"/>
      <c r="W1724" s="52"/>
      <c r="X1724" s="52"/>
      <c r="Y1724" s="52"/>
      <c r="Z1724" s="51"/>
      <c r="AA1724" s="73"/>
      <c r="AB1724" s="73"/>
      <c r="AC1724" s="74"/>
      <c r="AD1724" s="81" t="s">
        <v>13630</v>
      </c>
      <c r="AE1724" s="86" t="s">
        <v>13836</v>
      </c>
      <c r="AF1724" s="81">
        <v>383</v>
      </c>
      <c r="AG1724" s="81">
        <v>644</v>
      </c>
      <c r="AH1724" s="81">
        <v>12875</v>
      </c>
      <c r="AI1724" s="81">
        <v>36325</v>
      </c>
      <c r="AJ1724" s="81"/>
      <c r="AK1724" s="81" t="s">
        <v>14082</v>
      </c>
      <c r="AL1724" s="81"/>
      <c r="AM1724" s="81"/>
      <c r="AN1724" s="81"/>
      <c r="AO1724" s="83">
        <v>40626.7969212963</v>
      </c>
      <c r="AP1724" s="84" t="str">
        <f>HYPERLINK("https://pbs.twimg.com/profile_banners/271556357/1628599506")</f>
        <v>https://pbs.twimg.com/profile_banners/271556357/1628599506</v>
      </c>
      <c r="AQ1724" s="81" t="b">
        <v>0</v>
      </c>
      <c r="AR1724" s="81" t="b">
        <v>0</v>
      </c>
      <c r="AS1724" s="81" t="b">
        <v>0</v>
      </c>
      <c r="AT1724" s="81"/>
      <c r="AU1724" s="81">
        <v>0</v>
      </c>
      <c r="AV1724" s="84" t="str">
        <f>HYPERLINK("https://abs.twimg.com/images/themes/theme7/bg.gif")</f>
        <v>https://abs.twimg.com/images/themes/theme7/bg.gif</v>
      </c>
      <c r="AW1724" s="81" t="b">
        <v>0</v>
      </c>
      <c r="AX1724" s="81" t="s">
        <v>3728</v>
      </c>
      <c r="AY1724" s="84" t="str">
        <f>HYPERLINK("https://twitter.com/gyomsi")</f>
        <v>https://twitter.com/gyomsi</v>
      </c>
      <c r="AZ1724" s="81" t="s">
        <v>66</v>
      </c>
    </row>
    <row r="1725" spans="1:52" x14ac:dyDescent="0.35">
      <c r="A1725" s="66" t="s">
        <v>12597</v>
      </c>
      <c r="B1725" s="67"/>
      <c r="C1725" s="67"/>
      <c r="D1725" s="68"/>
      <c r="E1725" s="94"/>
      <c r="F1725" s="93" t="str">
        <f>HYPERLINK("https://pbs.twimg.com/profile_images/1411464096990568456/VzX_t-5P_normal.jpg")</f>
        <v>https://pbs.twimg.com/profile_images/1411464096990568456/VzX_t-5P_normal.jpg</v>
      </c>
      <c r="G1725" s="95"/>
      <c r="H1725" s="71"/>
      <c r="I1725" s="72"/>
      <c r="J1725" s="96"/>
      <c r="K1725" s="71" t="s">
        <v>14443</v>
      </c>
      <c r="L1725" s="97"/>
      <c r="M1725" s="76"/>
      <c r="N1725" s="76"/>
      <c r="O1725" s="77"/>
      <c r="P1725" s="78"/>
      <c r="Q1725" s="78"/>
      <c r="R1725" s="92"/>
      <c r="S1725" s="92"/>
      <c r="T1725" s="92"/>
      <c r="U1725" s="92"/>
      <c r="V1725" s="52"/>
      <c r="W1725" s="52"/>
      <c r="X1725" s="52"/>
      <c r="Y1725" s="52"/>
      <c r="Z1725" s="51"/>
      <c r="AA1725" s="73"/>
      <c r="AB1725" s="73"/>
      <c r="AC1725" s="74"/>
      <c r="AD1725" s="81" t="s">
        <v>13631</v>
      </c>
      <c r="AE1725" s="86" t="s">
        <v>13837</v>
      </c>
      <c r="AF1725" s="81">
        <v>1123</v>
      </c>
      <c r="AG1725" s="81">
        <v>579</v>
      </c>
      <c r="AH1725" s="81">
        <v>7843</v>
      </c>
      <c r="AI1725" s="81">
        <v>15308</v>
      </c>
      <c r="AJ1725" s="81"/>
      <c r="AK1725" s="81" t="s">
        <v>14083</v>
      </c>
      <c r="AL1725" s="81" t="s">
        <v>14226</v>
      </c>
      <c r="AM1725" s="81"/>
      <c r="AN1725" s="81"/>
      <c r="AO1725" s="83">
        <v>44366.094537037039</v>
      </c>
      <c r="AP1725" s="84" t="str">
        <f>HYPERLINK("https://pbs.twimg.com/profile_banners/1406073139918999559/1624829797")</f>
        <v>https://pbs.twimg.com/profile_banners/1406073139918999559/1624829797</v>
      </c>
      <c r="AQ1725" s="81" t="b">
        <v>1</v>
      </c>
      <c r="AR1725" s="81" t="b">
        <v>0</v>
      </c>
      <c r="AS1725" s="81" t="b">
        <v>0</v>
      </c>
      <c r="AT1725" s="81"/>
      <c r="AU1725" s="81">
        <v>0</v>
      </c>
      <c r="AV1725" s="81"/>
      <c r="AW1725" s="81" t="b">
        <v>0</v>
      </c>
      <c r="AX1725" s="81" t="s">
        <v>3728</v>
      </c>
      <c r="AY1725" s="84" t="str">
        <f>HYPERLINK("https://twitter.com/cristin11420887")</f>
        <v>https://twitter.com/cristin11420887</v>
      </c>
      <c r="AZ1725" s="81" t="s">
        <v>66</v>
      </c>
    </row>
    <row r="1726" spans="1:52" x14ac:dyDescent="0.35">
      <c r="A1726" s="66" t="s">
        <v>4605</v>
      </c>
      <c r="B1726" s="67"/>
      <c r="C1726" s="67"/>
      <c r="D1726" s="68"/>
      <c r="E1726" s="94"/>
      <c r="F1726" s="93" t="str">
        <f>HYPERLINK("https://pbs.twimg.com/profile_images/1229563164032933889/RuR219hW_normal.jpg")</f>
        <v>https://pbs.twimg.com/profile_images/1229563164032933889/RuR219hW_normal.jpg</v>
      </c>
      <c r="G1726" s="95"/>
      <c r="H1726" s="71"/>
      <c r="I1726" s="72"/>
      <c r="J1726" s="96"/>
      <c r="K1726" s="71" t="s">
        <v>14444</v>
      </c>
      <c r="L1726" s="97"/>
      <c r="M1726" s="76"/>
      <c r="N1726" s="76"/>
      <c r="O1726" s="77"/>
      <c r="P1726" s="78"/>
      <c r="Q1726" s="78"/>
      <c r="R1726" s="92"/>
      <c r="S1726" s="92"/>
      <c r="T1726" s="92"/>
      <c r="U1726" s="92"/>
      <c r="V1726" s="52"/>
      <c r="W1726" s="52"/>
      <c r="X1726" s="52"/>
      <c r="Y1726" s="52"/>
      <c r="Z1726" s="51"/>
      <c r="AA1726" s="73"/>
      <c r="AB1726" s="73"/>
      <c r="AC1726" s="74"/>
      <c r="AD1726" s="81" t="s">
        <v>8620</v>
      </c>
      <c r="AE1726" s="86" t="s">
        <v>9607</v>
      </c>
      <c r="AF1726" s="81">
        <v>476</v>
      </c>
      <c r="AG1726" s="81">
        <v>334</v>
      </c>
      <c r="AH1726" s="81">
        <v>28922</v>
      </c>
      <c r="AI1726" s="81">
        <v>196877</v>
      </c>
      <c r="AJ1726" s="81"/>
      <c r="AK1726" s="81" t="s">
        <v>10550</v>
      </c>
      <c r="AL1726" s="81" t="s">
        <v>10975</v>
      </c>
      <c r="AM1726" s="81"/>
      <c r="AN1726" s="81"/>
      <c r="AO1726" s="83">
        <v>43814.072789351849</v>
      </c>
      <c r="AP1726" s="81"/>
      <c r="AQ1726" s="81" t="b">
        <v>1</v>
      </c>
      <c r="AR1726" s="81" t="b">
        <v>0</v>
      </c>
      <c r="AS1726" s="81" t="b">
        <v>0</v>
      </c>
      <c r="AT1726" s="81"/>
      <c r="AU1726" s="81">
        <v>0</v>
      </c>
      <c r="AV1726" s="81"/>
      <c r="AW1726" s="81" t="b">
        <v>0</v>
      </c>
      <c r="AX1726" s="81" t="s">
        <v>3728</v>
      </c>
      <c r="AY1726" s="84" t="str">
        <f>HYPERLINK("https://twitter.com/lvitorporto")</f>
        <v>https://twitter.com/lvitorporto</v>
      </c>
      <c r="AZ1726" s="81" t="s">
        <v>66</v>
      </c>
    </row>
    <row r="1727" spans="1:52" x14ac:dyDescent="0.35">
      <c r="A1727" s="66" t="s">
        <v>12598</v>
      </c>
      <c r="B1727" s="67"/>
      <c r="C1727" s="67"/>
      <c r="D1727" s="68"/>
      <c r="E1727" s="94"/>
      <c r="F1727" s="93" t="str">
        <f>HYPERLINK("https://pbs.twimg.com/profile_images/419370339/joao_normal.jpg")</f>
        <v>https://pbs.twimg.com/profile_images/419370339/joao_normal.jpg</v>
      </c>
      <c r="G1727" s="95"/>
      <c r="H1727" s="71"/>
      <c r="I1727" s="72"/>
      <c r="J1727" s="96"/>
      <c r="K1727" s="71" t="s">
        <v>14445</v>
      </c>
      <c r="L1727" s="97"/>
      <c r="M1727" s="76"/>
      <c r="N1727" s="76"/>
      <c r="O1727" s="77"/>
      <c r="P1727" s="78"/>
      <c r="Q1727" s="78"/>
      <c r="R1727" s="92"/>
      <c r="S1727" s="92"/>
      <c r="T1727" s="92"/>
      <c r="U1727" s="92"/>
      <c r="V1727" s="52"/>
      <c r="W1727" s="52"/>
      <c r="X1727" s="52"/>
      <c r="Y1727" s="52"/>
      <c r="Z1727" s="51"/>
      <c r="AA1727" s="73"/>
      <c r="AB1727" s="73"/>
      <c r="AC1727" s="74"/>
      <c r="AD1727" s="81" t="s">
        <v>13632</v>
      </c>
      <c r="AE1727" s="86" t="s">
        <v>13838</v>
      </c>
      <c r="AF1727" s="81">
        <v>3015</v>
      </c>
      <c r="AG1727" s="81">
        <v>1862</v>
      </c>
      <c r="AH1727" s="81">
        <v>50807</v>
      </c>
      <c r="AI1727" s="81">
        <v>69563</v>
      </c>
      <c r="AJ1727" s="81"/>
      <c r="AK1727" s="81" t="s">
        <v>14084</v>
      </c>
      <c r="AL1727" s="81" t="s">
        <v>14227</v>
      </c>
      <c r="AM1727" s="81"/>
      <c r="AN1727" s="81"/>
      <c r="AO1727" s="83">
        <v>40007.649583333332</v>
      </c>
      <c r="AP1727" s="81"/>
      <c r="AQ1727" s="81" t="b">
        <v>1</v>
      </c>
      <c r="AR1727" s="81" t="b">
        <v>0</v>
      </c>
      <c r="AS1727" s="81" t="b">
        <v>0</v>
      </c>
      <c r="AT1727" s="81"/>
      <c r="AU1727" s="81">
        <v>1</v>
      </c>
      <c r="AV1727" s="84" t="str">
        <f>HYPERLINK("https://abs.twimg.com/images/themes/theme1/bg.png")</f>
        <v>https://abs.twimg.com/images/themes/theme1/bg.png</v>
      </c>
      <c r="AW1727" s="81" t="b">
        <v>0</v>
      </c>
      <c r="AX1727" s="81" t="s">
        <v>3728</v>
      </c>
      <c r="AY1727" s="84" t="str">
        <f>HYPERLINK("https://twitter.com/joaoboscorocha")</f>
        <v>https://twitter.com/joaoboscorocha</v>
      </c>
      <c r="AZ1727" s="81" t="s">
        <v>66</v>
      </c>
    </row>
    <row r="1728" spans="1:52" x14ac:dyDescent="0.35">
      <c r="A1728" s="66" t="s">
        <v>12599</v>
      </c>
      <c r="B1728" s="67"/>
      <c r="C1728" s="67"/>
      <c r="D1728" s="68"/>
      <c r="E1728" s="94"/>
      <c r="F1728" s="93" t="str">
        <f>HYPERLINK("https://abs.twimg.com/sticky/default_profile_images/default_profile_normal.png")</f>
        <v>https://abs.twimg.com/sticky/default_profile_images/default_profile_normal.png</v>
      </c>
      <c r="G1728" s="95"/>
      <c r="H1728" s="71"/>
      <c r="I1728" s="72"/>
      <c r="J1728" s="96"/>
      <c r="K1728" s="71" t="s">
        <v>14446</v>
      </c>
      <c r="L1728" s="97"/>
      <c r="M1728" s="76"/>
      <c r="N1728" s="76"/>
      <c r="O1728" s="77"/>
      <c r="P1728" s="78"/>
      <c r="Q1728" s="78"/>
      <c r="R1728" s="92"/>
      <c r="S1728" s="92"/>
      <c r="T1728" s="92"/>
      <c r="U1728" s="92"/>
      <c r="V1728" s="52"/>
      <c r="W1728" s="52"/>
      <c r="X1728" s="52"/>
      <c r="Y1728" s="52"/>
      <c r="Z1728" s="51"/>
      <c r="AA1728" s="73"/>
      <c r="AB1728" s="73"/>
      <c r="AC1728" s="74"/>
      <c r="AD1728" s="81" t="s">
        <v>13633</v>
      </c>
      <c r="AE1728" s="86" t="s">
        <v>13839</v>
      </c>
      <c r="AF1728" s="81">
        <v>161</v>
      </c>
      <c r="AG1728" s="81">
        <v>13</v>
      </c>
      <c r="AH1728" s="81">
        <v>3057</v>
      </c>
      <c r="AI1728" s="81">
        <v>26730</v>
      </c>
      <c r="AJ1728" s="81"/>
      <c r="AK1728" s="81"/>
      <c r="AL1728" s="81"/>
      <c r="AM1728" s="81"/>
      <c r="AN1728" s="81"/>
      <c r="AO1728" s="83">
        <v>43843.035740740743</v>
      </c>
      <c r="AP1728" s="81"/>
      <c r="AQ1728" s="81" t="b">
        <v>1</v>
      </c>
      <c r="AR1728" s="81" t="b">
        <v>1</v>
      </c>
      <c r="AS1728" s="81" t="b">
        <v>0</v>
      </c>
      <c r="AT1728" s="81"/>
      <c r="AU1728" s="81">
        <v>0</v>
      </c>
      <c r="AV1728" s="81"/>
      <c r="AW1728" s="81" t="b">
        <v>0</v>
      </c>
      <c r="AX1728" s="81" t="s">
        <v>3728</v>
      </c>
      <c r="AY1728" s="84" t="str">
        <f>HYPERLINK("https://twitter.com/mjq20983")</f>
        <v>https://twitter.com/mjq20983</v>
      </c>
      <c r="AZ1728" s="81" t="s">
        <v>66</v>
      </c>
    </row>
    <row r="1729" spans="1:52" x14ac:dyDescent="0.35">
      <c r="A1729" s="66" t="s">
        <v>12711</v>
      </c>
      <c r="B1729" s="67"/>
      <c r="C1729" s="67"/>
      <c r="D1729" s="68"/>
      <c r="E1729" s="94"/>
      <c r="F1729" s="93" t="str">
        <f>HYPERLINK("https://pbs.twimg.com/profile_images/1301646445204955142/sy-w7aWF_normal.jpg")</f>
        <v>https://pbs.twimg.com/profile_images/1301646445204955142/sy-w7aWF_normal.jpg</v>
      </c>
      <c r="G1729" s="95"/>
      <c r="H1729" s="71"/>
      <c r="I1729" s="72"/>
      <c r="J1729" s="96"/>
      <c r="K1729" s="71" t="s">
        <v>14447</v>
      </c>
      <c r="L1729" s="97"/>
      <c r="M1729" s="76"/>
      <c r="N1729" s="76"/>
      <c r="O1729" s="77"/>
      <c r="P1729" s="78"/>
      <c r="Q1729" s="78"/>
      <c r="R1729" s="92"/>
      <c r="S1729" s="92"/>
      <c r="T1729" s="92"/>
      <c r="U1729" s="92"/>
      <c r="V1729" s="52"/>
      <c r="W1729" s="52"/>
      <c r="X1729" s="52"/>
      <c r="Y1729" s="52"/>
      <c r="Z1729" s="51"/>
      <c r="AA1729" s="73"/>
      <c r="AB1729" s="73"/>
      <c r="AC1729" s="74"/>
      <c r="AD1729" s="81" t="s">
        <v>13634</v>
      </c>
      <c r="AE1729" s="86" t="s">
        <v>13840</v>
      </c>
      <c r="AF1729" s="81">
        <v>1763</v>
      </c>
      <c r="AG1729" s="81">
        <v>444520</v>
      </c>
      <c r="AH1729" s="81">
        <v>31625</v>
      </c>
      <c r="AI1729" s="81">
        <v>46268</v>
      </c>
      <c r="AJ1729" s="81"/>
      <c r="AK1729" s="81" t="s">
        <v>14085</v>
      </c>
      <c r="AL1729" s="81" t="s">
        <v>14228</v>
      </c>
      <c r="AM1729" s="81"/>
      <c r="AN1729" s="81"/>
      <c r="AO1729" s="83">
        <v>39991.002650462964</v>
      </c>
      <c r="AP1729" s="84" t="str">
        <f>HYPERLINK("https://pbs.twimg.com/profile_banners/51282549/1435770799")</f>
        <v>https://pbs.twimg.com/profile_banners/51282549/1435770799</v>
      </c>
      <c r="AQ1729" s="81" t="b">
        <v>0</v>
      </c>
      <c r="AR1729" s="81" t="b">
        <v>0</v>
      </c>
      <c r="AS1729" s="81" t="b">
        <v>1</v>
      </c>
      <c r="AT1729" s="81"/>
      <c r="AU1729" s="81">
        <v>1035</v>
      </c>
      <c r="AV1729" s="84" t="str">
        <f>HYPERLINK("https://abs.twimg.com/images/themes/theme1/bg.png")</f>
        <v>https://abs.twimg.com/images/themes/theme1/bg.png</v>
      </c>
      <c r="AW1729" s="81" t="b">
        <v>1</v>
      </c>
      <c r="AX1729" s="81" t="s">
        <v>3728</v>
      </c>
      <c r="AY1729" s="84" t="str">
        <f>HYPERLINK("https://twitter.com/chico_pinheiro")</f>
        <v>https://twitter.com/chico_pinheiro</v>
      </c>
      <c r="AZ1729" s="81" t="s">
        <v>65</v>
      </c>
    </row>
    <row r="1730" spans="1:52" x14ac:dyDescent="0.35">
      <c r="A1730" s="66" t="s">
        <v>12712</v>
      </c>
      <c r="B1730" s="67"/>
      <c r="C1730" s="67"/>
      <c r="D1730" s="68"/>
      <c r="E1730" s="94"/>
      <c r="F1730" s="93" t="str">
        <f>HYPERLINK("https://pbs.twimg.com/profile_images/1315674000283119625/SNuRvaha_normal.jpg")</f>
        <v>https://pbs.twimg.com/profile_images/1315674000283119625/SNuRvaha_normal.jpg</v>
      </c>
      <c r="G1730" s="95"/>
      <c r="H1730" s="71"/>
      <c r="I1730" s="72"/>
      <c r="J1730" s="96"/>
      <c r="K1730" s="71" t="s">
        <v>14448</v>
      </c>
      <c r="L1730" s="97"/>
      <c r="M1730" s="76"/>
      <c r="N1730" s="76"/>
      <c r="O1730" s="77"/>
      <c r="P1730" s="78"/>
      <c r="Q1730" s="78"/>
      <c r="R1730" s="92"/>
      <c r="S1730" s="92"/>
      <c r="T1730" s="92"/>
      <c r="U1730" s="92"/>
      <c r="V1730" s="52"/>
      <c r="W1730" s="52"/>
      <c r="X1730" s="52"/>
      <c r="Y1730" s="52"/>
      <c r="Z1730" s="51"/>
      <c r="AA1730" s="73"/>
      <c r="AB1730" s="73"/>
      <c r="AC1730" s="74"/>
      <c r="AD1730" s="81" t="s">
        <v>13635</v>
      </c>
      <c r="AE1730" s="86" t="s">
        <v>13841</v>
      </c>
      <c r="AF1730" s="81">
        <v>1163</v>
      </c>
      <c r="AG1730" s="81">
        <v>370</v>
      </c>
      <c r="AH1730" s="81">
        <v>12703</v>
      </c>
      <c r="AI1730" s="81">
        <v>50897</v>
      </c>
      <c r="AJ1730" s="81"/>
      <c r="AK1730" s="81"/>
      <c r="AL1730" s="81" t="s">
        <v>10975</v>
      </c>
      <c r="AM1730" s="81"/>
      <c r="AN1730" s="81"/>
      <c r="AO1730" s="83">
        <v>40374.752488425926</v>
      </c>
      <c r="AP1730" s="81"/>
      <c r="AQ1730" s="81" t="b">
        <v>1</v>
      </c>
      <c r="AR1730" s="81" t="b">
        <v>0</v>
      </c>
      <c r="AS1730" s="81" t="b">
        <v>0</v>
      </c>
      <c r="AT1730" s="81"/>
      <c r="AU1730" s="81">
        <v>0</v>
      </c>
      <c r="AV1730" s="84" t="str">
        <f>HYPERLINK("https://abs.twimg.com/images/themes/theme1/bg.png")</f>
        <v>https://abs.twimg.com/images/themes/theme1/bg.png</v>
      </c>
      <c r="AW1730" s="81" t="b">
        <v>0</v>
      </c>
      <c r="AX1730" s="81" t="s">
        <v>3728</v>
      </c>
      <c r="AY1730" s="84" t="str">
        <f>HYPERLINK("https://twitter.com/ruyfarias")</f>
        <v>https://twitter.com/ruyfarias</v>
      </c>
      <c r="AZ1730" s="81" t="s">
        <v>65</v>
      </c>
    </row>
    <row r="1731" spans="1:52" x14ac:dyDescent="0.35">
      <c r="A1731" s="66" t="s">
        <v>12713</v>
      </c>
      <c r="B1731" s="67"/>
      <c r="C1731" s="67"/>
      <c r="D1731" s="68"/>
      <c r="E1731" s="94"/>
      <c r="F1731" s="93" t="str">
        <f>HYPERLINK("https://pbs.twimg.com/profile_images/1307512047/profile_normal.jpg")</f>
        <v>https://pbs.twimg.com/profile_images/1307512047/profile_normal.jpg</v>
      </c>
      <c r="G1731" s="95"/>
      <c r="H1731" s="71"/>
      <c r="I1731" s="72"/>
      <c r="J1731" s="96"/>
      <c r="K1731" s="71" t="s">
        <v>14449</v>
      </c>
      <c r="L1731" s="97"/>
      <c r="M1731" s="76"/>
      <c r="N1731" s="76"/>
      <c r="O1731" s="77"/>
      <c r="P1731" s="78"/>
      <c r="Q1731" s="78"/>
      <c r="R1731" s="92"/>
      <c r="S1731" s="92"/>
      <c r="T1731" s="92"/>
      <c r="U1731" s="92"/>
      <c r="V1731" s="52"/>
      <c r="W1731" s="52"/>
      <c r="X1731" s="52"/>
      <c r="Y1731" s="52"/>
      <c r="Z1731" s="51"/>
      <c r="AA1731" s="73"/>
      <c r="AB1731" s="73"/>
      <c r="AC1731" s="74"/>
      <c r="AD1731" s="81" t="s">
        <v>13636</v>
      </c>
      <c r="AE1731" s="86" t="s">
        <v>13842</v>
      </c>
      <c r="AF1731" s="81">
        <v>425</v>
      </c>
      <c r="AG1731" s="81">
        <v>591</v>
      </c>
      <c r="AH1731" s="81">
        <v>6030</v>
      </c>
      <c r="AI1731" s="81">
        <v>73233</v>
      </c>
      <c r="AJ1731" s="81"/>
      <c r="AK1731" s="81"/>
      <c r="AL1731" s="81" t="s">
        <v>14229</v>
      </c>
      <c r="AM1731" s="81"/>
      <c r="AN1731" s="81"/>
      <c r="AO1731" s="83">
        <v>39906.190046296295</v>
      </c>
      <c r="AP1731" s="84" t="str">
        <f>HYPERLINK("https://pbs.twimg.com/profile_banners/28504039/1373376565")</f>
        <v>https://pbs.twimg.com/profile_banners/28504039/1373376565</v>
      </c>
      <c r="AQ1731" s="81" t="b">
        <v>0</v>
      </c>
      <c r="AR1731" s="81" t="b">
        <v>0</v>
      </c>
      <c r="AS1731" s="81" t="b">
        <v>0</v>
      </c>
      <c r="AT1731" s="81"/>
      <c r="AU1731" s="81">
        <v>7</v>
      </c>
      <c r="AV1731" s="84" t="str">
        <f>HYPERLINK("https://abs.twimg.com/images/themes/theme1/bg.png")</f>
        <v>https://abs.twimg.com/images/themes/theme1/bg.png</v>
      </c>
      <c r="AW1731" s="81" t="b">
        <v>0</v>
      </c>
      <c r="AX1731" s="81" t="s">
        <v>3728</v>
      </c>
      <c r="AY1731" s="84" t="str">
        <f>HYPERLINK("https://twitter.com/brunocastilho")</f>
        <v>https://twitter.com/brunocastilho</v>
      </c>
      <c r="AZ1731" s="81" t="s">
        <v>65</v>
      </c>
    </row>
    <row r="1732" spans="1:52" x14ac:dyDescent="0.35">
      <c r="A1732" s="66" t="s">
        <v>12714</v>
      </c>
      <c r="B1732" s="67"/>
      <c r="C1732" s="67"/>
      <c r="D1732" s="68"/>
      <c r="E1732" s="94"/>
      <c r="F1732" s="93" t="str">
        <f>HYPERLINK("https://pbs.twimg.com/profile_images/1442159835454193668/4yVhsZ1m_normal.jpg")</f>
        <v>https://pbs.twimg.com/profile_images/1442159835454193668/4yVhsZ1m_normal.jpg</v>
      </c>
      <c r="G1732" s="95"/>
      <c r="H1732" s="71"/>
      <c r="I1732" s="72"/>
      <c r="J1732" s="96"/>
      <c r="K1732" s="71" t="s">
        <v>14450</v>
      </c>
      <c r="L1732" s="97"/>
      <c r="M1732" s="76"/>
      <c r="N1732" s="76"/>
      <c r="O1732" s="77"/>
      <c r="P1732" s="78"/>
      <c r="Q1732" s="78"/>
      <c r="R1732" s="92"/>
      <c r="S1732" s="92"/>
      <c r="T1732" s="92"/>
      <c r="U1732" s="92"/>
      <c r="V1732" s="52"/>
      <c r="W1732" s="52"/>
      <c r="X1732" s="52"/>
      <c r="Y1732" s="52"/>
      <c r="Z1732" s="51"/>
      <c r="AA1732" s="73"/>
      <c r="AB1732" s="73"/>
      <c r="AC1732" s="74"/>
      <c r="AD1732" s="81" t="s">
        <v>13637</v>
      </c>
      <c r="AE1732" s="86" t="s">
        <v>13425</v>
      </c>
      <c r="AF1732" s="81">
        <v>2229</v>
      </c>
      <c r="AG1732" s="81">
        <v>567</v>
      </c>
      <c r="AH1732" s="81">
        <v>11009</v>
      </c>
      <c r="AI1732" s="81">
        <v>24364</v>
      </c>
      <c r="AJ1732" s="81"/>
      <c r="AK1732" s="81"/>
      <c r="AL1732" s="81" t="s">
        <v>11092</v>
      </c>
      <c r="AM1732" s="81"/>
      <c r="AN1732" s="81"/>
      <c r="AO1732" s="83">
        <v>39908.733032407406</v>
      </c>
      <c r="AP1732" s="84" t="str">
        <f>HYPERLINK("https://pbs.twimg.com/profile_banners/29024401/1622604765")</f>
        <v>https://pbs.twimg.com/profile_banners/29024401/1622604765</v>
      </c>
      <c r="AQ1732" s="81" t="b">
        <v>0</v>
      </c>
      <c r="AR1732" s="81" t="b">
        <v>0</v>
      </c>
      <c r="AS1732" s="81" t="b">
        <v>1</v>
      </c>
      <c r="AT1732" s="81"/>
      <c r="AU1732" s="81">
        <v>5</v>
      </c>
      <c r="AV1732" s="84" t="str">
        <f>HYPERLINK("https://abs.twimg.com/images/themes/theme13/bg.gif")</f>
        <v>https://abs.twimg.com/images/themes/theme13/bg.gif</v>
      </c>
      <c r="AW1732" s="81" t="b">
        <v>0</v>
      </c>
      <c r="AX1732" s="81" t="s">
        <v>3728</v>
      </c>
      <c r="AY1732" s="84" t="str">
        <f>HYPERLINK("https://twitter.com/douglasbaiao")</f>
        <v>https://twitter.com/douglasbaiao</v>
      </c>
      <c r="AZ1732" s="81" t="s">
        <v>65</v>
      </c>
    </row>
    <row r="1733" spans="1:52" x14ac:dyDescent="0.35">
      <c r="A1733" s="66" t="s">
        <v>12600</v>
      </c>
      <c r="B1733" s="67"/>
      <c r="C1733" s="67"/>
      <c r="D1733" s="68"/>
      <c r="E1733" s="94"/>
      <c r="F1733" s="93" t="str">
        <f>HYPERLINK("https://pbs.twimg.com/profile_images/1438337806112370699/dEA0KkOw_normal.jpg")</f>
        <v>https://pbs.twimg.com/profile_images/1438337806112370699/dEA0KkOw_normal.jpg</v>
      </c>
      <c r="G1733" s="95"/>
      <c r="H1733" s="71"/>
      <c r="I1733" s="72"/>
      <c r="J1733" s="96"/>
      <c r="K1733" s="71" t="s">
        <v>14451</v>
      </c>
      <c r="L1733" s="97"/>
      <c r="M1733" s="76"/>
      <c r="N1733" s="76"/>
      <c r="O1733" s="77"/>
      <c r="P1733" s="78"/>
      <c r="Q1733" s="78"/>
      <c r="R1733" s="92"/>
      <c r="S1733" s="92"/>
      <c r="T1733" s="92"/>
      <c r="U1733" s="92"/>
      <c r="V1733" s="52"/>
      <c r="W1733" s="52"/>
      <c r="X1733" s="52"/>
      <c r="Y1733" s="52"/>
      <c r="Z1733" s="51"/>
      <c r="AA1733" s="73"/>
      <c r="AB1733" s="73"/>
      <c r="AC1733" s="74"/>
      <c r="AD1733" s="81" t="s">
        <v>13638</v>
      </c>
      <c r="AE1733" s="86" t="s">
        <v>13843</v>
      </c>
      <c r="AF1733" s="81">
        <v>1185</v>
      </c>
      <c r="AG1733" s="81">
        <v>2130</v>
      </c>
      <c r="AH1733" s="81">
        <v>89695</v>
      </c>
      <c r="AI1733" s="81">
        <v>87296</v>
      </c>
      <c r="AJ1733" s="81"/>
      <c r="AK1733" s="81" t="s">
        <v>14086</v>
      </c>
      <c r="AL1733" s="81" t="s">
        <v>10992</v>
      </c>
      <c r="AM1733" s="84" t="str">
        <f>HYPERLINK("https://t.co/FzXGAuwwi8")</f>
        <v>https://t.co/FzXGAuwwi8</v>
      </c>
      <c r="AN1733" s="81"/>
      <c r="AO1733" s="83">
        <v>40009.784421296295</v>
      </c>
      <c r="AP1733" s="84" t="str">
        <f>HYPERLINK("https://pbs.twimg.com/profile_banners/57100510/1618525153")</f>
        <v>https://pbs.twimg.com/profile_banners/57100510/1618525153</v>
      </c>
      <c r="AQ1733" s="81" t="b">
        <v>0</v>
      </c>
      <c r="AR1733" s="81" t="b">
        <v>0</v>
      </c>
      <c r="AS1733" s="81" t="b">
        <v>1</v>
      </c>
      <c r="AT1733" s="81"/>
      <c r="AU1733" s="81">
        <v>26</v>
      </c>
      <c r="AV1733" s="84" t="str">
        <f>HYPERLINK("https://abs.twimg.com/images/themes/theme6/bg.gif")</f>
        <v>https://abs.twimg.com/images/themes/theme6/bg.gif</v>
      </c>
      <c r="AW1733" s="81" t="b">
        <v>0</v>
      </c>
      <c r="AX1733" s="81" t="s">
        <v>3728</v>
      </c>
      <c r="AY1733" s="84" t="str">
        <f>HYPERLINK("https://twitter.com/karl92s")</f>
        <v>https://twitter.com/karl92s</v>
      </c>
      <c r="AZ1733" s="81" t="s">
        <v>66</v>
      </c>
    </row>
    <row r="1734" spans="1:52" x14ac:dyDescent="0.35">
      <c r="A1734" s="66" t="s">
        <v>12601</v>
      </c>
      <c r="B1734" s="67"/>
      <c r="C1734" s="67"/>
      <c r="D1734" s="68"/>
      <c r="E1734" s="94"/>
      <c r="F1734" s="93" t="str">
        <f>HYPERLINK("https://pbs.twimg.com/profile_images/1349033081370521600/cClQV83k_normal.jpg")</f>
        <v>https://pbs.twimg.com/profile_images/1349033081370521600/cClQV83k_normal.jpg</v>
      </c>
      <c r="G1734" s="95"/>
      <c r="H1734" s="71"/>
      <c r="I1734" s="72"/>
      <c r="J1734" s="96"/>
      <c r="K1734" s="71" t="s">
        <v>14452</v>
      </c>
      <c r="L1734" s="97"/>
      <c r="M1734" s="76"/>
      <c r="N1734" s="76"/>
      <c r="O1734" s="77"/>
      <c r="P1734" s="78"/>
      <c r="Q1734" s="78"/>
      <c r="R1734" s="92"/>
      <c r="S1734" s="92"/>
      <c r="T1734" s="92"/>
      <c r="U1734" s="92"/>
      <c r="V1734" s="52"/>
      <c r="W1734" s="52"/>
      <c r="X1734" s="52"/>
      <c r="Y1734" s="52"/>
      <c r="Z1734" s="51"/>
      <c r="AA1734" s="73"/>
      <c r="AB1734" s="73"/>
      <c r="AC1734" s="74"/>
      <c r="AD1734" s="81" t="s">
        <v>13639</v>
      </c>
      <c r="AE1734" s="86" t="s">
        <v>13844</v>
      </c>
      <c r="AF1734" s="81">
        <v>492</v>
      </c>
      <c r="AG1734" s="81">
        <v>175</v>
      </c>
      <c r="AH1734" s="81">
        <v>5649</v>
      </c>
      <c r="AI1734" s="81">
        <v>8449</v>
      </c>
      <c r="AJ1734" s="81"/>
      <c r="AK1734" s="81" t="s">
        <v>14087</v>
      </c>
      <c r="AL1734" s="81" t="s">
        <v>14230</v>
      </c>
      <c r="AM1734" s="84" t="str">
        <f>HYPERLINK("https://t.co/EyKWFA2PtR")</f>
        <v>https://t.co/EyKWFA2PtR</v>
      </c>
      <c r="AN1734" s="81"/>
      <c r="AO1734" s="83">
        <v>42318.010798611111</v>
      </c>
      <c r="AP1734" s="84" t="str">
        <f>HYPERLINK("https://pbs.twimg.com/profile_banners/4152690441/1610451495")</f>
        <v>https://pbs.twimg.com/profile_banners/4152690441/1610451495</v>
      </c>
      <c r="AQ1734" s="81" t="b">
        <v>0</v>
      </c>
      <c r="AR1734" s="81" t="b">
        <v>0</v>
      </c>
      <c r="AS1734" s="81" t="b">
        <v>0</v>
      </c>
      <c r="AT1734" s="81"/>
      <c r="AU1734" s="81">
        <v>5</v>
      </c>
      <c r="AV1734" s="84" t="str">
        <f>HYPERLINK("https://abs.twimg.com/images/themes/theme1/bg.png")</f>
        <v>https://abs.twimg.com/images/themes/theme1/bg.png</v>
      </c>
      <c r="AW1734" s="81" t="b">
        <v>0</v>
      </c>
      <c r="AX1734" s="81" t="s">
        <v>3728</v>
      </c>
      <c r="AY1734" s="84" t="str">
        <f>HYPERLINK("https://twitter.com/nmbaudelaire")</f>
        <v>https://twitter.com/nmbaudelaire</v>
      </c>
      <c r="AZ1734" s="81" t="s">
        <v>66</v>
      </c>
    </row>
    <row r="1735" spans="1:52" x14ac:dyDescent="0.35">
      <c r="A1735" s="66" t="s">
        <v>12602</v>
      </c>
      <c r="B1735" s="67"/>
      <c r="C1735" s="67"/>
      <c r="D1735" s="68"/>
      <c r="E1735" s="94"/>
      <c r="F1735" s="93" t="str">
        <f>HYPERLINK("https://pbs.twimg.com/profile_images/1247563353410633729/llELIVLr_normal.jpg")</f>
        <v>https://pbs.twimg.com/profile_images/1247563353410633729/llELIVLr_normal.jpg</v>
      </c>
      <c r="G1735" s="95"/>
      <c r="H1735" s="71"/>
      <c r="I1735" s="72"/>
      <c r="J1735" s="96"/>
      <c r="K1735" s="71" t="s">
        <v>14453</v>
      </c>
      <c r="L1735" s="97"/>
      <c r="M1735" s="76"/>
      <c r="N1735" s="76"/>
      <c r="O1735" s="77"/>
      <c r="P1735" s="78"/>
      <c r="Q1735" s="78"/>
      <c r="R1735" s="92"/>
      <c r="S1735" s="92"/>
      <c r="T1735" s="92"/>
      <c r="U1735" s="92"/>
      <c r="V1735" s="52"/>
      <c r="W1735" s="52"/>
      <c r="X1735" s="52"/>
      <c r="Y1735" s="52"/>
      <c r="Z1735" s="51"/>
      <c r="AA1735" s="73"/>
      <c r="AB1735" s="73"/>
      <c r="AC1735" s="74"/>
      <c r="AD1735" s="81" t="s">
        <v>13640</v>
      </c>
      <c r="AE1735" s="86" t="s">
        <v>13845</v>
      </c>
      <c r="AF1735" s="81">
        <v>1368</v>
      </c>
      <c r="AG1735" s="81">
        <v>845</v>
      </c>
      <c r="AH1735" s="81">
        <v>15700</v>
      </c>
      <c r="AI1735" s="81">
        <v>33384</v>
      </c>
      <c r="AJ1735" s="81"/>
      <c r="AK1735" s="81" t="s">
        <v>14088</v>
      </c>
      <c r="AL1735" s="81" t="s">
        <v>10984</v>
      </c>
      <c r="AM1735" s="81"/>
      <c r="AN1735" s="81"/>
      <c r="AO1735" s="83">
        <v>41940.991608796299</v>
      </c>
      <c r="AP1735" s="84" t="str">
        <f>HYPERLINK("https://pbs.twimg.com/profile_banners/2849068624/1414540920")</f>
        <v>https://pbs.twimg.com/profile_banners/2849068624/1414540920</v>
      </c>
      <c r="AQ1735" s="81" t="b">
        <v>1</v>
      </c>
      <c r="AR1735" s="81" t="b">
        <v>0</v>
      </c>
      <c r="AS1735" s="81" t="b">
        <v>1</v>
      </c>
      <c r="AT1735" s="81"/>
      <c r="AU1735" s="81">
        <v>0</v>
      </c>
      <c r="AV1735" s="84" t="str">
        <f>HYPERLINK("https://abs.twimg.com/images/themes/theme1/bg.png")</f>
        <v>https://abs.twimg.com/images/themes/theme1/bg.png</v>
      </c>
      <c r="AW1735" s="81" t="b">
        <v>0</v>
      </c>
      <c r="AX1735" s="81" t="s">
        <v>3728</v>
      </c>
      <c r="AY1735" s="84" t="str">
        <f>HYPERLINK("https://twitter.com/marcsure00")</f>
        <v>https://twitter.com/marcsure00</v>
      </c>
      <c r="AZ1735" s="81" t="s">
        <v>66</v>
      </c>
    </row>
    <row r="1736" spans="1:52" x14ac:dyDescent="0.35">
      <c r="A1736" s="66" t="s">
        <v>12715</v>
      </c>
      <c r="B1736" s="67"/>
      <c r="C1736" s="67"/>
      <c r="D1736" s="68"/>
      <c r="E1736" s="94"/>
      <c r="F1736" s="93" t="str">
        <f>HYPERLINK("https://pbs.twimg.com/profile_images/1403057754940530690/Os9BSyWf_normal.jpg")</f>
        <v>https://pbs.twimg.com/profile_images/1403057754940530690/Os9BSyWf_normal.jpg</v>
      </c>
      <c r="G1736" s="95"/>
      <c r="H1736" s="71"/>
      <c r="I1736" s="72"/>
      <c r="J1736" s="96"/>
      <c r="K1736" s="71" t="s">
        <v>14454</v>
      </c>
      <c r="L1736" s="97"/>
      <c r="M1736" s="76"/>
      <c r="N1736" s="76"/>
      <c r="O1736" s="77"/>
      <c r="P1736" s="78"/>
      <c r="Q1736" s="78"/>
      <c r="R1736" s="92"/>
      <c r="S1736" s="92"/>
      <c r="T1736" s="92"/>
      <c r="U1736" s="92"/>
      <c r="V1736" s="52"/>
      <c r="W1736" s="52"/>
      <c r="X1736" s="52"/>
      <c r="Y1736" s="52"/>
      <c r="Z1736" s="51"/>
      <c r="AA1736" s="73"/>
      <c r="AB1736" s="73"/>
      <c r="AC1736" s="74"/>
      <c r="AD1736" s="81" t="s">
        <v>13641</v>
      </c>
      <c r="AE1736" s="86" t="s">
        <v>13426</v>
      </c>
      <c r="AF1736" s="81">
        <v>3849</v>
      </c>
      <c r="AG1736" s="81">
        <v>8988</v>
      </c>
      <c r="AH1736" s="81">
        <v>10400</v>
      </c>
      <c r="AI1736" s="81">
        <v>166019</v>
      </c>
      <c r="AJ1736" s="81"/>
      <c r="AK1736" s="81" t="s">
        <v>14089</v>
      </c>
      <c r="AL1736" s="81" t="s">
        <v>14231</v>
      </c>
      <c r="AM1736" s="81"/>
      <c r="AN1736" s="81"/>
      <c r="AO1736" s="83">
        <v>43970.879687499997</v>
      </c>
      <c r="AP1736" s="84" t="str">
        <f>HYPERLINK("https://pbs.twimg.com/profile_banners/1262852157885353989/1592102066")</f>
        <v>https://pbs.twimg.com/profile_banners/1262852157885353989/1592102066</v>
      </c>
      <c r="AQ1736" s="81" t="b">
        <v>1</v>
      </c>
      <c r="AR1736" s="81" t="b">
        <v>0</v>
      </c>
      <c r="AS1736" s="81" t="b">
        <v>1</v>
      </c>
      <c r="AT1736" s="81"/>
      <c r="AU1736" s="81">
        <v>5</v>
      </c>
      <c r="AV1736" s="81"/>
      <c r="AW1736" s="81" t="b">
        <v>0</v>
      </c>
      <c r="AX1736" s="81" t="s">
        <v>3728</v>
      </c>
      <c r="AY1736" s="84" t="str">
        <f>HYPERLINK("https://twitter.com/costajr2022")</f>
        <v>https://twitter.com/costajr2022</v>
      </c>
      <c r="AZ1736" s="81" t="s">
        <v>65</v>
      </c>
    </row>
    <row r="1737" spans="1:52" x14ac:dyDescent="0.35">
      <c r="A1737" s="66" t="s">
        <v>12603</v>
      </c>
      <c r="B1737" s="67"/>
      <c r="C1737" s="67"/>
      <c r="D1737" s="68"/>
      <c r="E1737" s="94"/>
      <c r="F1737" s="93" t="str">
        <f>HYPERLINK("https://pbs.twimg.com/profile_images/1230301451/Angela_normal.JPG")</f>
        <v>https://pbs.twimg.com/profile_images/1230301451/Angela_normal.JPG</v>
      </c>
      <c r="G1737" s="95"/>
      <c r="H1737" s="71"/>
      <c r="I1737" s="72"/>
      <c r="J1737" s="96"/>
      <c r="K1737" s="71" t="s">
        <v>14455</v>
      </c>
      <c r="L1737" s="97"/>
      <c r="M1737" s="76"/>
      <c r="N1737" s="76"/>
      <c r="O1737" s="77"/>
      <c r="P1737" s="78"/>
      <c r="Q1737" s="78"/>
      <c r="R1737" s="92"/>
      <c r="S1737" s="92"/>
      <c r="T1737" s="92"/>
      <c r="U1737" s="92"/>
      <c r="V1737" s="52"/>
      <c r="W1737" s="52"/>
      <c r="X1737" s="52"/>
      <c r="Y1737" s="52"/>
      <c r="Z1737" s="51"/>
      <c r="AA1737" s="73"/>
      <c r="AB1737" s="73"/>
      <c r="AC1737" s="74"/>
      <c r="AD1737" s="81" t="s">
        <v>13642</v>
      </c>
      <c r="AE1737" s="86" t="s">
        <v>13846</v>
      </c>
      <c r="AF1737" s="81">
        <v>885</v>
      </c>
      <c r="AG1737" s="81">
        <v>766</v>
      </c>
      <c r="AH1737" s="81">
        <v>80973</v>
      </c>
      <c r="AI1737" s="81">
        <v>120972</v>
      </c>
      <c r="AJ1737" s="81"/>
      <c r="AK1737" s="81" t="s">
        <v>14090</v>
      </c>
      <c r="AL1737" s="81" t="s">
        <v>14232</v>
      </c>
      <c r="AM1737" s="81"/>
      <c r="AN1737" s="81"/>
      <c r="AO1737" s="83">
        <v>40573.954583333332</v>
      </c>
      <c r="AP1737" s="81"/>
      <c r="AQ1737" s="81" t="b">
        <v>0</v>
      </c>
      <c r="AR1737" s="81" t="b">
        <v>0</v>
      </c>
      <c r="AS1737" s="81" t="b">
        <v>1</v>
      </c>
      <c r="AT1737" s="81"/>
      <c r="AU1737" s="81">
        <v>24</v>
      </c>
      <c r="AV1737" s="84" t="str">
        <f>HYPERLINK("https://abs.twimg.com/images/themes/theme4/bg.gif")</f>
        <v>https://abs.twimg.com/images/themes/theme4/bg.gif</v>
      </c>
      <c r="AW1737" s="81" t="b">
        <v>0</v>
      </c>
      <c r="AX1737" s="81" t="s">
        <v>3728</v>
      </c>
      <c r="AY1737" s="84" t="str">
        <f>HYPERLINK("https://twitter.com/angelarosane")</f>
        <v>https://twitter.com/angelarosane</v>
      </c>
      <c r="AZ1737" s="81" t="s">
        <v>66</v>
      </c>
    </row>
    <row r="1738" spans="1:52" x14ac:dyDescent="0.35">
      <c r="A1738" s="66" t="s">
        <v>12604</v>
      </c>
      <c r="B1738" s="67"/>
      <c r="C1738" s="67"/>
      <c r="D1738" s="68"/>
      <c r="E1738" s="94"/>
      <c r="F1738" s="93" t="str">
        <f>HYPERLINK("https://pbs.twimg.com/profile_images/1443245329407565828/GLRxDeUj_normal.jpg")</f>
        <v>https://pbs.twimg.com/profile_images/1443245329407565828/GLRxDeUj_normal.jpg</v>
      </c>
      <c r="G1738" s="95"/>
      <c r="H1738" s="71"/>
      <c r="I1738" s="72"/>
      <c r="J1738" s="96"/>
      <c r="K1738" s="71" t="s">
        <v>14456</v>
      </c>
      <c r="L1738" s="97"/>
      <c r="M1738" s="76"/>
      <c r="N1738" s="76"/>
      <c r="O1738" s="77"/>
      <c r="P1738" s="78"/>
      <c r="Q1738" s="78"/>
      <c r="R1738" s="92"/>
      <c r="S1738" s="92"/>
      <c r="T1738" s="92"/>
      <c r="U1738" s="92"/>
      <c r="V1738" s="52"/>
      <c r="W1738" s="52"/>
      <c r="X1738" s="52"/>
      <c r="Y1738" s="52"/>
      <c r="Z1738" s="51"/>
      <c r="AA1738" s="73"/>
      <c r="AB1738" s="73"/>
      <c r="AC1738" s="74"/>
      <c r="AD1738" s="81" t="s">
        <v>13643</v>
      </c>
      <c r="AE1738" s="86" t="s">
        <v>13847</v>
      </c>
      <c r="AF1738" s="81">
        <v>784</v>
      </c>
      <c r="AG1738" s="81">
        <v>661</v>
      </c>
      <c r="AH1738" s="81">
        <v>46556</v>
      </c>
      <c r="AI1738" s="81">
        <v>55656</v>
      </c>
      <c r="AJ1738" s="81"/>
      <c r="AK1738" s="81" t="s">
        <v>14091</v>
      </c>
      <c r="AL1738" s="81" t="s">
        <v>14233</v>
      </c>
      <c r="AM1738" s="81"/>
      <c r="AN1738" s="81"/>
      <c r="AO1738" s="83">
        <v>44059.601620370369</v>
      </c>
      <c r="AP1738" s="84" t="str">
        <f>HYPERLINK("https://pbs.twimg.com/profile_banners/1295003911548329985/1632791233")</f>
        <v>https://pbs.twimg.com/profile_banners/1295003911548329985/1632791233</v>
      </c>
      <c r="AQ1738" s="81" t="b">
        <v>1</v>
      </c>
      <c r="AR1738" s="81" t="b">
        <v>0</v>
      </c>
      <c r="AS1738" s="81" t="b">
        <v>0</v>
      </c>
      <c r="AT1738" s="81"/>
      <c r="AU1738" s="81">
        <v>2</v>
      </c>
      <c r="AV1738" s="81"/>
      <c r="AW1738" s="81" t="b">
        <v>0</v>
      </c>
      <c r="AX1738" s="81" t="s">
        <v>3728</v>
      </c>
      <c r="AY1738" s="84" t="str">
        <f>HYPERLINK("https://twitter.com/do0rnjun")</f>
        <v>https://twitter.com/do0rnjun</v>
      </c>
      <c r="AZ1738" s="81" t="s">
        <v>66</v>
      </c>
    </row>
    <row r="1739" spans="1:52" x14ac:dyDescent="0.35">
      <c r="A1739" s="66" t="s">
        <v>12605</v>
      </c>
      <c r="B1739" s="67"/>
      <c r="C1739" s="67"/>
      <c r="D1739" s="68"/>
      <c r="E1739" s="94"/>
      <c r="F1739" s="93" t="str">
        <f>HYPERLINK("https://pbs.twimg.com/profile_images/1039655999211233280/6itW_DaK_normal.jpg")</f>
        <v>https://pbs.twimg.com/profile_images/1039655999211233280/6itW_DaK_normal.jpg</v>
      </c>
      <c r="G1739" s="95"/>
      <c r="H1739" s="71"/>
      <c r="I1739" s="72"/>
      <c r="J1739" s="96"/>
      <c r="K1739" s="71" t="s">
        <v>14457</v>
      </c>
      <c r="L1739" s="97"/>
      <c r="M1739" s="76"/>
      <c r="N1739" s="76"/>
      <c r="O1739" s="77"/>
      <c r="P1739" s="78"/>
      <c r="Q1739" s="78"/>
      <c r="R1739" s="92"/>
      <c r="S1739" s="92"/>
      <c r="T1739" s="92"/>
      <c r="U1739" s="92"/>
      <c r="V1739" s="52"/>
      <c r="W1739" s="52"/>
      <c r="X1739" s="52"/>
      <c r="Y1739" s="52"/>
      <c r="Z1739" s="51"/>
      <c r="AA1739" s="73"/>
      <c r="AB1739" s="73"/>
      <c r="AC1739" s="74"/>
      <c r="AD1739" s="81" t="s">
        <v>13644</v>
      </c>
      <c r="AE1739" s="86" t="s">
        <v>13848</v>
      </c>
      <c r="AF1739" s="81">
        <v>1165</v>
      </c>
      <c r="AG1739" s="81">
        <v>1010</v>
      </c>
      <c r="AH1739" s="81">
        <v>208392</v>
      </c>
      <c r="AI1739" s="81">
        <v>18850</v>
      </c>
      <c r="AJ1739" s="81"/>
      <c r="AK1739" s="81"/>
      <c r="AL1739" s="81"/>
      <c r="AM1739" s="81"/>
      <c r="AN1739" s="81"/>
      <c r="AO1739" s="83">
        <v>43354.683182870373</v>
      </c>
      <c r="AP1739" s="84" t="str">
        <f>HYPERLINK("https://pbs.twimg.com/profile_banners/1039550079915487232/1588522913")</f>
        <v>https://pbs.twimg.com/profile_banners/1039550079915487232/1588522913</v>
      </c>
      <c r="AQ1739" s="81" t="b">
        <v>1</v>
      </c>
      <c r="AR1739" s="81" t="b">
        <v>0</v>
      </c>
      <c r="AS1739" s="81" t="b">
        <v>0</v>
      </c>
      <c r="AT1739" s="81"/>
      <c r="AU1739" s="81">
        <v>0</v>
      </c>
      <c r="AV1739" s="81"/>
      <c r="AW1739" s="81" t="b">
        <v>0</v>
      </c>
      <c r="AX1739" s="81" t="s">
        <v>3728</v>
      </c>
      <c r="AY1739" s="84" t="str">
        <f>HYPERLINK("https://twitter.com/patchabalgo")</f>
        <v>https://twitter.com/patchabalgo</v>
      </c>
      <c r="AZ1739" s="81" t="s">
        <v>66</v>
      </c>
    </row>
    <row r="1740" spans="1:52" x14ac:dyDescent="0.35">
      <c r="A1740" s="66" t="s">
        <v>12620</v>
      </c>
      <c r="B1740" s="67"/>
      <c r="C1740" s="67"/>
      <c r="D1740" s="68"/>
      <c r="E1740" s="94"/>
      <c r="F1740" s="93" t="str">
        <f>HYPERLINK("https://pbs.twimg.com/profile_images/1441440061124349952/e4lQzpLU_normal.jpg")</f>
        <v>https://pbs.twimg.com/profile_images/1441440061124349952/e4lQzpLU_normal.jpg</v>
      </c>
      <c r="G1740" s="95"/>
      <c r="H1740" s="71"/>
      <c r="I1740" s="72"/>
      <c r="J1740" s="96"/>
      <c r="K1740" s="71" t="s">
        <v>14458</v>
      </c>
      <c r="L1740" s="97"/>
      <c r="M1740" s="76"/>
      <c r="N1740" s="76"/>
      <c r="O1740" s="77"/>
      <c r="P1740" s="78"/>
      <c r="Q1740" s="78"/>
      <c r="R1740" s="92"/>
      <c r="S1740" s="92"/>
      <c r="T1740" s="92"/>
      <c r="U1740" s="92"/>
      <c r="V1740" s="52"/>
      <c r="W1740" s="52"/>
      <c r="X1740" s="52"/>
      <c r="Y1740" s="52"/>
      <c r="Z1740" s="51"/>
      <c r="AA1740" s="73"/>
      <c r="AB1740" s="73"/>
      <c r="AC1740" s="74"/>
      <c r="AD1740" s="81" t="s">
        <v>13645</v>
      </c>
      <c r="AE1740" s="86" t="s">
        <v>13849</v>
      </c>
      <c r="AF1740" s="81">
        <v>6450</v>
      </c>
      <c r="AG1740" s="81">
        <v>6866</v>
      </c>
      <c r="AH1740" s="81">
        <v>65112</v>
      </c>
      <c r="AI1740" s="81">
        <v>72178</v>
      </c>
      <c r="AJ1740" s="81"/>
      <c r="AK1740" s="81" t="s">
        <v>14092</v>
      </c>
      <c r="AL1740" s="81" t="s">
        <v>10975</v>
      </c>
      <c r="AM1740" s="81"/>
      <c r="AN1740" s="81"/>
      <c r="AO1740" s="83">
        <v>40014.491851851853</v>
      </c>
      <c r="AP1740" s="84" t="str">
        <f>HYPERLINK("https://pbs.twimg.com/profile_banners/58453554/1592765711")</f>
        <v>https://pbs.twimg.com/profile_banners/58453554/1592765711</v>
      </c>
      <c r="AQ1740" s="81" t="b">
        <v>0</v>
      </c>
      <c r="AR1740" s="81" t="b">
        <v>0</v>
      </c>
      <c r="AS1740" s="81" t="b">
        <v>0</v>
      </c>
      <c r="AT1740" s="81"/>
      <c r="AU1740" s="81">
        <v>19</v>
      </c>
      <c r="AV1740" s="84" t="str">
        <f>HYPERLINK("https://abs.twimg.com/images/themes/theme4/bg.gif")</f>
        <v>https://abs.twimg.com/images/themes/theme4/bg.gif</v>
      </c>
      <c r="AW1740" s="81" t="b">
        <v>0</v>
      </c>
      <c r="AX1740" s="81" t="s">
        <v>3728</v>
      </c>
      <c r="AY1740" s="84" t="str">
        <f>HYPERLINK("https://twitter.com/l_fighera")</f>
        <v>https://twitter.com/l_fighera</v>
      </c>
      <c r="AZ1740" s="81" t="s">
        <v>66</v>
      </c>
    </row>
    <row r="1741" spans="1:52" x14ac:dyDescent="0.35">
      <c r="A1741" s="66" t="s">
        <v>12606</v>
      </c>
      <c r="B1741" s="67"/>
      <c r="C1741" s="67"/>
      <c r="D1741" s="68"/>
      <c r="E1741" s="94"/>
      <c r="F1741" s="93" t="str">
        <f>HYPERLINK("https://pbs.twimg.com/profile_images/1385790245132718082/zUhzg7Uf_normal.jpg")</f>
        <v>https://pbs.twimg.com/profile_images/1385790245132718082/zUhzg7Uf_normal.jpg</v>
      </c>
      <c r="G1741" s="95"/>
      <c r="H1741" s="71"/>
      <c r="I1741" s="72"/>
      <c r="J1741" s="96"/>
      <c r="K1741" s="71" t="s">
        <v>14459</v>
      </c>
      <c r="L1741" s="97"/>
      <c r="M1741" s="76"/>
      <c r="N1741" s="76"/>
      <c r="O1741" s="77"/>
      <c r="P1741" s="78"/>
      <c r="Q1741" s="78"/>
      <c r="R1741" s="92"/>
      <c r="S1741" s="92"/>
      <c r="T1741" s="92"/>
      <c r="U1741" s="92"/>
      <c r="V1741" s="52"/>
      <c r="W1741" s="52"/>
      <c r="X1741" s="52"/>
      <c r="Y1741" s="52"/>
      <c r="Z1741" s="51"/>
      <c r="AA1741" s="73"/>
      <c r="AB1741" s="73"/>
      <c r="AC1741" s="74"/>
      <c r="AD1741" s="81" t="s">
        <v>13646</v>
      </c>
      <c r="AE1741" s="86" t="s">
        <v>13850</v>
      </c>
      <c r="AF1741" s="81">
        <v>204</v>
      </c>
      <c r="AG1741" s="81">
        <v>92</v>
      </c>
      <c r="AH1741" s="81">
        <v>1299</v>
      </c>
      <c r="AI1741" s="81">
        <v>8399</v>
      </c>
      <c r="AJ1741" s="81"/>
      <c r="AK1741" s="81" t="s">
        <v>14093</v>
      </c>
      <c r="AL1741" s="81" t="s">
        <v>10970</v>
      </c>
      <c r="AM1741" s="81"/>
      <c r="AN1741" s="81"/>
      <c r="AO1741" s="83">
        <v>43247.712939814817</v>
      </c>
      <c r="AP1741" s="81"/>
      <c r="AQ1741" s="81" t="b">
        <v>1</v>
      </c>
      <c r="AR1741" s="81" t="b">
        <v>0</v>
      </c>
      <c r="AS1741" s="81" t="b">
        <v>0</v>
      </c>
      <c r="AT1741" s="81"/>
      <c r="AU1741" s="81">
        <v>0</v>
      </c>
      <c r="AV1741" s="81"/>
      <c r="AW1741" s="81" t="b">
        <v>0</v>
      </c>
      <c r="AX1741" s="81" t="s">
        <v>3728</v>
      </c>
      <c r="AY1741" s="84" t="str">
        <f>HYPERLINK("https://twitter.com/julene30141380")</f>
        <v>https://twitter.com/julene30141380</v>
      </c>
      <c r="AZ1741" s="81" t="s">
        <v>66</v>
      </c>
    </row>
    <row r="1742" spans="1:52" x14ac:dyDescent="0.35">
      <c r="A1742" s="66" t="s">
        <v>12607</v>
      </c>
      <c r="B1742" s="67"/>
      <c r="C1742" s="67"/>
      <c r="D1742" s="68"/>
      <c r="E1742" s="94"/>
      <c r="F1742" s="93" t="str">
        <f>HYPERLINK("https://pbs.twimg.com/profile_images/1436974778162692104/AxBbHRw8_normal.jpg")</f>
        <v>https://pbs.twimg.com/profile_images/1436974778162692104/AxBbHRw8_normal.jpg</v>
      </c>
      <c r="G1742" s="95"/>
      <c r="H1742" s="71"/>
      <c r="I1742" s="72"/>
      <c r="J1742" s="96"/>
      <c r="K1742" s="71" t="s">
        <v>14460</v>
      </c>
      <c r="L1742" s="97"/>
      <c r="M1742" s="76"/>
      <c r="N1742" s="76"/>
      <c r="O1742" s="77"/>
      <c r="P1742" s="78"/>
      <c r="Q1742" s="78"/>
      <c r="R1742" s="92"/>
      <c r="S1742" s="92"/>
      <c r="T1742" s="92"/>
      <c r="U1742" s="92"/>
      <c r="V1742" s="52"/>
      <c r="W1742" s="52"/>
      <c r="X1742" s="52"/>
      <c r="Y1742" s="52"/>
      <c r="Z1742" s="51"/>
      <c r="AA1742" s="73"/>
      <c r="AB1742" s="73"/>
      <c r="AC1742" s="74"/>
      <c r="AD1742" s="81" t="s">
        <v>13647</v>
      </c>
      <c r="AE1742" s="86" t="s">
        <v>13851</v>
      </c>
      <c r="AF1742" s="81">
        <v>214</v>
      </c>
      <c r="AG1742" s="81">
        <v>50</v>
      </c>
      <c r="AH1742" s="81">
        <v>3181</v>
      </c>
      <c r="AI1742" s="81">
        <v>1609</v>
      </c>
      <c r="AJ1742" s="81"/>
      <c r="AK1742" s="81" t="s">
        <v>14094</v>
      </c>
      <c r="AL1742" s="81" t="s">
        <v>14234</v>
      </c>
      <c r="AM1742" s="84" t="str">
        <f>HYPERLINK("https://t.co/fCAf7Tw3px")</f>
        <v>https://t.co/fCAf7Tw3px</v>
      </c>
      <c r="AN1742" s="81"/>
      <c r="AO1742" s="83">
        <v>44244.482395833336</v>
      </c>
      <c r="AP1742" s="84" t="str">
        <f>HYPERLINK("https://pbs.twimg.com/profile_banners/1362002452673748995/1631377994")</f>
        <v>https://pbs.twimg.com/profile_banners/1362002452673748995/1631377994</v>
      </c>
      <c r="AQ1742" s="81" t="b">
        <v>1</v>
      </c>
      <c r="AR1742" s="81" t="b">
        <v>0</v>
      </c>
      <c r="AS1742" s="81" t="b">
        <v>0</v>
      </c>
      <c r="AT1742" s="81"/>
      <c r="AU1742" s="81">
        <v>0</v>
      </c>
      <c r="AV1742" s="81"/>
      <c r="AW1742" s="81" t="b">
        <v>0</v>
      </c>
      <c r="AX1742" s="81" t="s">
        <v>3728</v>
      </c>
      <c r="AY1742" s="84" t="str">
        <f>HYPERLINK("https://twitter.com/yochiyayaya")</f>
        <v>https://twitter.com/yochiyayaya</v>
      </c>
      <c r="AZ1742" s="81" t="s">
        <v>66</v>
      </c>
    </row>
    <row r="1743" spans="1:52" x14ac:dyDescent="0.35">
      <c r="A1743" s="66" t="s">
        <v>12608</v>
      </c>
      <c r="B1743" s="67"/>
      <c r="C1743" s="67"/>
      <c r="D1743" s="68"/>
      <c r="E1743" s="94"/>
      <c r="F1743" s="93" t="str">
        <f>HYPERLINK("https://pbs.twimg.com/profile_images/1442389662127902730/7BevtUT-_normal.jpg")</f>
        <v>https://pbs.twimg.com/profile_images/1442389662127902730/7BevtUT-_normal.jpg</v>
      </c>
      <c r="G1743" s="95"/>
      <c r="H1743" s="71"/>
      <c r="I1743" s="72"/>
      <c r="J1743" s="96"/>
      <c r="K1743" s="71" t="s">
        <v>14461</v>
      </c>
      <c r="L1743" s="97"/>
      <c r="M1743" s="76"/>
      <c r="N1743" s="76"/>
      <c r="O1743" s="77"/>
      <c r="P1743" s="78"/>
      <c r="Q1743" s="78"/>
      <c r="R1743" s="92"/>
      <c r="S1743" s="92"/>
      <c r="T1743" s="92"/>
      <c r="U1743" s="92"/>
      <c r="V1743" s="52"/>
      <c r="W1743" s="52"/>
      <c r="X1743" s="52"/>
      <c r="Y1743" s="52"/>
      <c r="Z1743" s="51"/>
      <c r="AA1743" s="73"/>
      <c r="AB1743" s="73"/>
      <c r="AC1743" s="74"/>
      <c r="AD1743" s="81" t="s">
        <v>13648</v>
      </c>
      <c r="AE1743" s="86" t="s">
        <v>13852</v>
      </c>
      <c r="AF1743" s="81">
        <v>100</v>
      </c>
      <c r="AG1743" s="81">
        <v>380</v>
      </c>
      <c r="AH1743" s="81">
        <v>36575</v>
      </c>
      <c r="AI1743" s="81">
        <v>39648</v>
      </c>
      <c r="AJ1743" s="81"/>
      <c r="AK1743" s="81" t="s">
        <v>14095</v>
      </c>
      <c r="AL1743" s="81" t="s">
        <v>14235</v>
      </c>
      <c r="AM1743" s="81"/>
      <c r="AN1743" s="81"/>
      <c r="AO1743" s="83">
        <v>42971.447569444441</v>
      </c>
      <c r="AP1743" s="84" t="str">
        <f>HYPERLINK("https://pbs.twimg.com/profile_banners/900670141746360320/1631841260")</f>
        <v>https://pbs.twimg.com/profile_banners/900670141746360320/1631841260</v>
      </c>
      <c r="AQ1743" s="81" t="b">
        <v>1</v>
      </c>
      <c r="AR1743" s="81" t="b">
        <v>0</v>
      </c>
      <c r="AS1743" s="81" t="b">
        <v>1</v>
      </c>
      <c r="AT1743" s="81"/>
      <c r="AU1743" s="81">
        <v>0</v>
      </c>
      <c r="AV1743" s="81"/>
      <c r="AW1743" s="81" t="b">
        <v>0</v>
      </c>
      <c r="AX1743" s="81" t="s">
        <v>3728</v>
      </c>
      <c r="AY1743" s="84" t="str">
        <f>HYPERLINK("https://twitter.com/roseforkayla")</f>
        <v>https://twitter.com/roseforkayla</v>
      </c>
      <c r="AZ1743" s="81" t="s">
        <v>66</v>
      </c>
    </row>
    <row r="1744" spans="1:52" x14ac:dyDescent="0.35">
      <c r="A1744" s="66" t="s">
        <v>12609</v>
      </c>
      <c r="B1744" s="67"/>
      <c r="C1744" s="67"/>
      <c r="D1744" s="68"/>
      <c r="E1744" s="94"/>
      <c r="F1744" s="93" t="str">
        <f>HYPERLINK("https://pbs.twimg.com/profile_images/1441725391282982917/k-W71Shb_normal.jpg")</f>
        <v>https://pbs.twimg.com/profile_images/1441725391282982917/k-W71Shb_normal.jpg</v>
      </c>
      <c r="G1744" s="95"/>
      <c r="H1744" s="71"/>
      <c r="I1744" s="72"/>
      <c r="J1744" s="96"/>
      <c r="K1744" s="71" t="s">
        <v>14462</v>
      </c>
      <c r="L1744" s="97"/>
      <c r="M1744" s="76"/>
      <c r="N1744" s="76"/>
      <c r="O1744" s="77"/>
      <c r="P1744" s="78"/>
      <c r="Q1744" s="78"/>
      <c r="R1744" s="92"/>
      <c r="S1744" s="92"/>
      <c r="T1744" s="92"/>
      <c r="U1744" s="92"/>
      <c r="V1744" s="52"/>
      <c r="W1744" s="52"/>
      <c r="X1744" s="52"/>
      <c r="Y1744" s="52"/>
      <c r="Z1744" s="51"/>
      <c r="AA1744" s="73"/>
      <c r="AB1744" s="73"/>
      <c r="AC1744" s="74"/>
      <c r="AD1744" s="81" t="s">
        <v>13649</v>
      </c>
      <c r="AE1744" s="86" t="s">
        <v>13853</v>
      </c>
      <c r="AF1744" s="81">
        <v>84</v>
      </c>
      <c r="AG1744" s="81">
        <v>31</v>
      </c>
      <c r="AH1744" s="81">
        <v>41</v>
      </c>
      <c r="AI1744" s="81">
        <v>94</v>
      </c>
      <c r="AJ1744" s="81"/>
      <c r="AK1744" s="81" t="s">
        <v>14096</v>
      </c>
      <c r="AL1744" s="81" t="s">
        <v>14236</v>
      </c>
      <c r="AM1744" s="81"/>
      <c r="AN1744" s="81"/>
      <c r="AO1744" s="83">
        <v>44463.817777777775</v>
      </c>
      <c r="AP1744" s="84" t="str">
        <f>HYPERLINK("https://pbs.twimg.com/profile_banners/1441486926754709504/1632569094")</f>
        <v>https://pbs.twimg.com/profile_banners/1441486926754709504/1632569094</v>
      </c>
      <c r="AQ1744" s="81" t="b">
        <v>1</v>
      </c>
      <c r="AR1744" s="81" t="b">
        <v>0</v>
      </c>
      <c r="AS1744" s="81" t="b">
        <v>0</v>
      </c>
      <c r="AT1744" s="81"/>
      <c r="AU1744" s="81">
        <v>0</v>
      </c>
      <c r="AV1744" s="81"/>
      <c r="AW1744" s="81" t="b">
        <v>0</v>
      </c>
      <c r="AX1744" s="81" t="s">
        <v>3728</v>
      </c>
      <c r="AY1744" s="84" t="str">
        <f>HYPERLINK("https://twitter.com/izzaknj")</f>
        <v>https://twitter.com/izzaknj</v>
      </c>
      <c r="AZ1744" s="81" t="s">
        <v>66</v>
      </c>
    </row>
    <row r="1745" spans="1:52" x14ac:dyDescent="0.35">
      <c r="A1745" s="66" t="s">
        <v>12610</v>
      </c>
      <c r="B1745" s="67"/>
      <c r="C1745" s="67"/>
      <c r="D1745" s="68"/>
      <c r="E1745" s="94"/>
      <c r="F1745" s="93" t="str">
        <f>HYPERLINK("https://pbs.twimg.com/profile_images/1439054957143986179/45jtaR93_normal.jpg")</f>
        <v>https://pbs.twimg.com/profile_images/1439054957143986179/45jtaR93_normal.jpg</v>
      </c>
      <c r="G1745" s="95"/>
      <c r="H1745" s="71"/>
      <c r="I1745" s="72"/>
      <c r="J1745" s="96"/>
      <c r="K1745" s="71" t="s">
        <v>14463</v>
      </c>
      <c r="L1745" s="97"/>
      <c r="M1745" s="76"/>
      <c r="N1745" s="76"/>
      <c r="O1745" s="77"/>
      <c r="P1745" s="78"/>
      <c r="Q1745" s="78"/>
      <c r="R1745" s="92"/>
      <c r="S1745" s="92"/>
      <c r="T1745" s="92"/>
      <c r="U1745" s="92"/>
      <c r="V1745" s="52"/>
      <c r="W1745" s="52"/>
      <c r="X1745" s="52"/>
      <c r="Y1745" s="52"/>
      <c r="Z1745" s="51"/>
      <c r="AA1745" s="73"/>
      <c r="AB1745" s="73"/>
      <c r="AC1745" s="74"/>
      <c r="AD1745" s="81" t="s">
        <v>13650</v>
      </c>
      <c r="AE1745" s="86" t="s">
        <v>13854</v>
      </c>
      <c r="AF1745" s="81">
        <v>835</v>
      </c>
      <c r="AG1745" s="81">
        <v>825</v>
      </c>
      <c r="AH1745" s="81">
        <v>5849</v>
      </c>
      <c r="AI1745" s="81">
        <v>197</v>
      </c>
      <c r="AJ1745" s="81"/>
      <c r="AK1745" s="81"/>
      <c r="AL1745" s="81" t="s">
        <v>14237</v>
      </c>
      <c r="AM1745" s="84" t="str">
        <f>HYPERLINK("https://t.co/tRh8iKXOnA")</f>
        <v>https://t.co/tRh8iKXOnA</v>
      </c>
      <c r="AN1745" s="81"/>
      <c r="AO1745" s="83">
        <v>44063.4690625</v>
      </c>
      <c r="AP1745" s="84" t="str">
        <f>HYPERLINK("https://pbs.twimg.com/profile_banners/1296405429145096192/1632723950")</f>
        <v>https://pbs.twimg.com/profile_banners/1296405429145096192/1632723950</v>
      </c>
      <c r="AQ1745" s="81" t="b">
        <v>1</v>
      </c>
      <c r="AR1745" s="81" t="b">
        <v>0</v>
      </c>
      <c r="AS1745" s="81" t="b">
        <v>0</v>
      </c>
      <c r="AT1745" s="81"/>
      <c r="AU1745" s="81">
        <v>0</v>
      </c>
      <c r="AV1745" s="81"/>
      <c r="AW1745" s="81" t="b">
        <v>0</v>
      </c>
      <c r="AX1745" s="81" t="s">
        <v>3728</v>
      </c>
      <c r="AY1745" s="84" t="str">
        <f>HYPERLINK("https://twitter.com/gdvbstyong")</f>
        <v>https://twitter.com/gdvbstyong</v>
      </c>
      <c r="AZ1745" s="81" t="s">
        <v>66</v>
      </c>
    </row>
    <row r="1746" spans="1:52" x14ac:dyDescent="0.35">
      <c r="A1746" s="66" t="s">
        <v>12611</v>
      </c>
      <c r="B1746" s="67"/>
      <c r="C1746" s="67"/>
      <c r="D1746" s="68"/>
      <c r="E1746" s="94"/>
      <c r="F1746" s="93" t="str">
        <f>HYPERLINK("https://pbs.twimg.com/profile_images/1422174320906838021/VUTyWJgS_normal.jpg")</f>
        <v>https://pbs.twimg.com/profile_images/1422174320906838021/VUTyWJgS_normal.jpg</v>
      </c>
      <c r="G1746" s="95"/>
      <c r="H1746" s="71"/>
      <c r="I1746" s="72"/>
      <c r="J1746" s="96"/>
      <c r="K1746" s="71" t="s">
        <v>14464</v>
      </c>
      <c r="L1746" s="97"/>
      <c r="M1746" s="76"/>
      <c r="N1746" s="76"/>
      <c r="O1746" s="77"/>
      <c r="P1746" s="78"/>
      <c r="Q1746" s="78"/>
      <c r="R1746" s="92"/>
      <c r="S1746" s="92"/>
      <c r="T1746" s="92"/>
      <c r="U1746" s="92"/>
      <c r="V1746" s="52"/>
      <c r="W1746" s="52"/>
      <c r="X1746" s="52"/>
      <c r="Y1746" s="52"/>
      <c r="Z1746" s="51"/>
      <c r="AA1746" s="73"/>
      <c r="AB1746" s="73"/>
      <c r="AC1746" s="74"/>
      <c r="AD1746" s="81" t="s">
        <v>13651</v>
      </c>
      <c r="AE1746" s="86" t="s">
        <v>13855</v>
      </c>
      <c r="AF1746" s="81">
        <v>367</v>
      </c>
      <c r="AG1746" s="81">
        <v>325</v>
      </c>
      <c r="AH1746" s="81">
        <v>12097</v>
      </c>
      <c r="AI1746" s="81">
        <v>26301</v>
      </c>
      <c r="AJ1746" s="81"/>
      <c r="AK1746" s="81" t="s">
        <v>14097</v>
      </c>
      <c r="AL1746" s="81" t="s">
        <v>14238</v>
      </c>
      <c r="AM1746" s="81"/>
      <c r="AN1746" s="81"/>
      <c r="AO1746" s="83">
        <v>44307.699004629627</v>
      </c>
      <c r="AP1746" s="84" t="str">
        <f>HYPERLINK("https://pbs.twimg.com/profile_banners/1384911395641122817/1627725435")</f>
        <v>https://pbs.twimg.com/profile_banners/1384911395641122817/1627725435</v>
      </c>
      <c r="AQ1746" s="81" t="b">
        <v>1</v>
      </c>
      <c r="AR1746" s="81" t="b">
        <v>0</v>
      </c>
      <c r="AS1746" s="81" t="b">
        <v>1</v>
      </c>
      <c r="AT1746" s="81"/>
      <c r="AU1746" s="81">
        <v>2</v>
      </c>
      <c r="AV1746" s="81"/>
      <c r="AW1746" s="81" t="b">
        <v>0</v>
      </c>
      <c r="AX1746" s="81" t="s">
        <v>3728</v>
      </c>
      <c r="AY1746" s="84" t="str">
        <f>HYPERLINK("https://twitter.com/formywoos")</f>
        <v>https://twitter.com/formywoos</v>
      </c>
      <c r="AZ1746" s="81" t="s">
        <v>66</v>
      </c>
    </row>
    <row r="1747" spans="1:52" x14ac:dyDescent="0.35">
      <c r="A1747" s="66" t="s">
        <v>12612</v>
      </c>
      <c r="B1747" s="67"/>
      <c r="C1747" s="67"/>
      <c r="D1747" s="68"/>
      <c r="E1747" s="94"/>
      <c r="F1747" s="93" t="str">
        <f>HYPERLINK("https://pbs.twimg.com/profile_images/1372721465137758212/YEgcllUF_normal.jpg")</f>
        <v>https://pbs.twimg.com/profile_images/1372721465137758212/YEgcllUF_normal.jpg</v>
      </c>
      <c r="G1747" s="95"/>
      <c r="H1747" s="71"/>
      <c r="I1747" s="72"/>
      <c r="J1747" s="96"/>
      <c r="K1747" s="71" t="s">
        <v>14465</v>
      </c>
      <c r="L1747" s="97"/>
      <c r="M1747" s="76"/>
      <c r="N1747" s="76"/>
      <c r="O1747" s="77"/>
      <c r="P1747" s="78"/>
      <c r="Q1747" s="78"/>
      <c r="R1747" s="92"/>
      <c r="S1747" s="92"/>
      <c r="T1747" s="92"/>
      <c r="U1747" s="92"/>
      <c r="V1747" s="52"/>
      <c r="W1747" s="52"/>
      <c r="X1747" s="52"/>
      <c r="Y1747" s="52"/>
      <c r="Z1747" s="51"/>
      <c r="AA1747" s="73"/>
      <c r="AB1747" s="73"/>
      <c r="AC1747" s="74"/>
      <c r="AD1747" s="81" t="s">
        <v>13652</v>
      </c>
      <c r="AE1747" s="86" t="s">
        <v>13856</v>
      </c>
      <c r="AF1747" s="81">
        <v>947</v>
      </c>
      <c r="AG1747" s="81">
        <v>408</v>
      </c>
      <c r="AH1747" s="81">
        <v>2734</v>
      </c>
      <c r="AI1747" s="81">
        <v>7438</v>
      </c>
      <c r="AJ1747" s="81"/>
      <c r="AK1747" s="81" t="s">
        <v>14098</v>
      </c>
      <c r="AL1747" s="81" t="s">
        <v>14239</v>
      </c>
      <c r="AM1747" s="81"/>
      <c r="AN1747" s="81"/>
      <c r="AO1747" s="83">
        <v>42376.068935185183</v>
      </c>
      <c r="AP1747" s="84" t="str">
        <f>HYPERLINK("https://pbs.twimg.com/profile_banners/4729990287/1604627558")</f>
        <v>https://pbs.twimg.com/profile_banners/4729990287/1604627558</v>
      </c>
      <c r="AQ1747" s="81" t="b">
        <v>1</v>
      </c>
      <c r="AR1747" s="81" t="b">
        <v>0</v>
      </c>
      <c r="AS1747" s="81" t="b">
        <v>0</v>
      </c>
      <c r="AT1747" s="81"/>
      <c r="AU1747" s="81">
        <v>1</v>
      </c>
      <c r="AV1747" s="81"/>
      <c r="AW1747" s="81" t="b">
        <v>0</v>
      </c>
      <c r="AX1747" s="81" t="s">
        <v>3728</v>
      </c>
      <c r="AY1747" s="84" t="str">
        <f>HYPERLINK("https://twitter.com/andreahelenago4")</f>
        <v>https://twitter.com/andreahelenago4</v>
      </c>
      <c r="AZ1747" s="81" t="s">
        <v>66</v>
      </c>
    </row>
    <row r="1748" spans="1:52" x14ac:dyDescent="0.35">
      <c r="A1748" s="66" t="s">
        <v>12613</v>
      </c>
      <c r="B1748" s="67"/>
      <c r="C1748" s="67"/>
      <c r="D1748" s="68"/>
      <c r="E1748" s="94"/>
      <c r="F1748" s="93" t="str">
        <f>HYPERLINK("https://pbs.twimg.com/profile_images/1439775959968731137/SkRaXLIt_normal.jpg")</f>
        <v>https://pbs.twimg.com/profile_images/1439775959968731137/SkRaXLIt_normal.jpg</v>
      </c>
      <c r="G1748" s="95"/>
      <c r="H1748" s="71"/>
      <c r="I1748" s="72"/>
      <c r="J1748" s="96"/>
      <c r="K1748" s="71" t="s">
        <v>14466</v>
      </c>
      <c r="L1748" s="97"/>
      <c r="M1748" s="76"/>
      <c r="N1748" s="76"/>
      <c r="O1748" s="77"/>
      <c r="P1748" s="78"/>
      <c r="Q1748" s="78"/>
      <c r="R1748" s="92"/>
      <c r="S1748" s="92"/>
      <c r="T1748" s="92"/>
      <c r="U1748" s="92"/>
      <c r="V1748" s="52"/>
      <c r="W1748" s="52"/>
      <c r="X1748" s="52"/>
      <c r="Y1748" s="52"/>
      <c r="Z1748" s="51"/>
      <c r="AA1748" s="73"/>
      <c r="AB1748" s="73"/>
      <c r="AC1748" s="74"/>
      <c r="AD1748" s="81" t="s">
        <v>13653</v>
      </c>
      <c r="AE1748" s="86" t="s">
        <v>13857</v>
      </c>
      <c r="AF1748" s="81">
        <v>25</v>
      </c>
      <c r="AG1748" s="81">
        <v>2</v>
      </c>
      <c r="AH1748" s="81">
        <v>140</v>
      </c>
      <c r="AI1748" s="81">
        <v>282</v>
      </c>
      <c r="AJ1748" s="81"/>
      <c r="AK1748" s="81" t="s">
        <v>14099</v>
      </c>
      <c r="AL1748" s="81"/>
      <c r="AM1748" s="81"/>
      <c r="AN1748" s="81"/>
      <c r="AO1748" s="83">
        <v>44366.438206018516</v>
      </c>
      <c r="AP1748" s="84" t="str">
        <f>HYPERLINK("https://pbs.twimg.com/profile_banners/1406197784416452610/1631368151")</f>
        <v>https://pbs.twimg.com/profile_banners/1406197784416452610/1631368151</v>
      </c>
      <c r="AQ1748" s="81" t="b">
        <v>1</v>
      </c>
      <c r="AR1748" s="81" t="b">
        <v>0</v>
      </c>
      <c r="AS1748" s="81" t="b">
        <v>0</v>
      </c>
      <c r="AT1748" s="81"/>
      <c r="AU1748" s="81">
        <v>0</v>
      </c>
      <c r="AV1748" s="81"/>
      <c r="AW1748" s="81" t="b">
        <v>0</v>
      </c>
      <c r="AX1748" s="81" t="s">
        <v>3728</v>
      </c>
      <c r="AY1748" s="84" t="str">
        <f>HYPERLINK("https://twitter.com/mintgreenfilm")</f>
        <v>https://twitter.com/mintgreenfilm</v>
      </c>
      <c r="AZ1748" s="81" t="s">
        <v>66</v>
      </c>
    </row>
    <row r="1749" spans="1:52" x14ac:dyDescent="0.35">
      <c r="A1749" s="66" t="s">
        <v>12614</v>
      </c>
      <c r="B1749" s="67"/>
      <c r="C1749" s="67"/>
      <c r="D1749" s="68"/>
      <c r="E1749" s="94"/>
      <c r="F1749" s="93" t="str">
        <f>HYPERLINK("https://pbs.twimg.com/profile_images/1104939257993535489/hcjPwxBr_normal.jpg")</f>
        <v>https://pbs.twimg.com/profile_images/1104939257993535489/hcjPwxBr_normal.jpg</v>
      </c>
      <c r="G1749" s="95"/>
      <c r="H1749" s="71"/>
      <c r="I1749" s="72"/>
      <c r="J1749" s="96"/>
      <c r="K1749" s="71" t="s">
        <v>14467</v>
      </c>
      <c r="L1749" s="97"/>
      <c r="M1749" s="76"/>
      <c r="N1749" s="76"/>
      <c r="O1749" s="77"/>
      <c r="P1749" s="78"/>
      <c r="Q1749" s="78"/>
      <c r="R1749" s="92"/>
      <c r="S1749" s="92"/>
      <c r="T1749" s="92"/>
      <c r="U1749" s="92"/>
      <c r="V1749" s="52"/>
      <c r="W1749" s="52"/>
      <c r="X1749" s="52"/>
      <c r="Y1749" s="52"/>
      <c r="Z1749" s="51"/>
      <c r="AA1749" s="73"/>
      <c r="AB1749" s="73"/>
      <c r="AC1749" s="74"/>
      <c r="AD1749" s="81" t="s">
        <v>13654</v>
      </c>
      <c r="AE1749" s="86" t="s">
        <v>13858</v>
      </c>
      <c r="AF1749" s="81">
        <v>2919</v>
      </c>
      <c r="AG1749" s="81">
        <v>2681</v>
      </c>
      <c r="AH1749" s="81">
        <v>102914</v>
      </c>
      <c r="AI1749" s="81">
        <v>130786</v>
      </c>
      <c r="AJ1749" s="81"/>
      <c r="AK1749" s="81" t="s">
        <v>14100</v>
      </c>
      <c r="AL1749" s="81" t="s">
        <v>14240</v>
      </c>
      <c r="AM1749" s="81"/>
      <c r="AN1749" s="81"/>
      <c r="AO1749" s="83">
        <v>43526.609594907408</v>
      </c>
      <c r="AP1749" s="84" t="str">
        <f>HYPERLINK("https://pbs.twimg.com/profile_banners/1101854126147809280/1618275983")</f>
        <v>https://pbs.twimg.com/profile_banners/1101854126147809280/1618275983</v>
      </c>
      <c r="AQ1749" s="81" t="b">
        <v>1</v>
      </c>
      <c r="AR1749" s="81" t="b">
        <v>0</v>
      </c>
      <c r="AS1749" s="81" t="b">
        <v>1</v>
      </c>
      <c r="AT1749" s="81"/>
      <c r="AU1749" s="81">
        <v>0</v>
      </c>
      <c r="AV1749" s="81"/>
      <c r="AW1749" s="81" t="b">
        <v>0</v>
      </c>
      <c r="AX1749" s="81" t="s">
        <v>3728</v>
      </c>
      <c r="AY1749" s="84" t="str">
        <f>HYPERLINK("https://twitter.com/antonie46522009")</f>
        <v>https://twitter.com/antonie46522009</v>
      </c>
      <c r="AZ1749" s="81" t="s">
        <v>66</v>
      </c>
    </row>
    <row r="1750" spans="1:52" x14ac:dyDescent="0.35">
      <c r="A1750" s="66" t="s">
        <v>12615</v>
      </c>
      <c r="B1750" s="67"/>
      <c r="C1750" s="67"/>
      <c r="D1750" s="68"/>
      <c r="E1750" s="94"/>
      <c r="F1750" s="93" t="str">
        <f>HYPERLINK("https://pbs.twimg.com/profile_images/1442885772055506946/MQolH-sr_normal.jpg")</f>
        <v>https://pbs.twimg.com/profile_images/1442885772055506946/MQolH-sr_normal.jpg</v>
      </c>
      <c r="G1750" s="95"/>
      <c r="H1750" s="71"/>
      <c r="I1750" s="72"/>
      <c r="J1750" s="96"/>
      <c r="K1750" s="71" t="s">
        <v>14468</v>
      </c>
      <c r="L1750" s="97"/>
      <c r="M1750" s="76"/>
      <c r="N1750" s="76"/>
      <c r="O1750" s="77"/>
      <c r="P1750" s="78"/>
      <c r="Q1750" s="78"/>
      <c r="R1750" s="92"/>
      <c r="S1750" s="92"/>
      <c r="T1750" s="92"/>
      <c r="U1750" s="92"/>
      <c r="V1750" s="52"/>
      <c r="W1750" s="52"/>
      <c r="X1750" s="52"/>
      <c r="Y1750" s="52"/>
      <c r="Z1750" s="51"/>
      <c r="AA1750" s="73"/>
      <c r="AB1750" s="73"/>
      <c r="AC1750" s="74"/>
      <c r="AD1750" s="81" t="s">
        <v>13655</v>
      </c>
      <c r="AE1750" s="86" t="s">
        <v>13859</v>
      </c>
      <c r="AF1750" s="81">
        <v>318</v>
      </c>
      <c r="AG1750" s="81">
        <v>173</v>
      </c>
      <c r="AH1750" s="81">
        <v>5184</v>
      </c>
      <c r="AI1750" s="81">
        <v>20526</v>
      </c>
      <c r="AJ1750" s="81"/>
      <c r="AK1750" s="81" t="s">
        <v>14101</v>
      </c>
      <c r="AL1750" s="81"/>
      <c r="AM1750" s="84" t="str">
        <f>HYPERLINK("https://t.co/ogVSmZHxw4")</f>
        <v>https://t.co/ogVSmZHxw4</v>
      </c>
      <c r="AN1750" s="81"/>
      <c r="AO1750" s="83">
        <v>44033.288229166668</v>
      </c>
      <c r="AP1750" s="84" t="str">
        <f>HYPERLINK("https://pbs.twimg.com/profile_banners/1285468263757918209/1632939242")</f>
        <v>https://pbs.twimg.com/profile_banners/1285468263757918209/1632939242</v>
      </c>
      <c r="AQ1750" s="81" t="b">
        <v>1</v>
      </c>
      <c r="AR1750" s="81" t="b">
        <v>0</v>
      </c>
      <c r="AS1750" s="81" t="b">
        <v>0</v>
      </c>
      <c r="AT1750" s="81"/>
      <c r="AU1750" s="81">
        <v>0</v>
      </c>
      <c r="AV1750" s="81"/>
      <c r="AW1750" s="81" t="b">
        <v>0</v>
      </c>
      <c r="AX1750" s="81" t="s">
        <v>3728</v>
      </c>
      <c r="AY1750" s="84" t="str">
        <f>HYPERLINK("https://twitter.com/nffrhinn")</f>
        <v>https://twitter.com/nffrhinn</v>
      </c>
      <c r="AZ1750" s="81" t="s">
        <v>66</v>
      </c>
    </row>
    <row r="1751" spans="1:52" x14ac:dyDescent="0.35">
      <c r="A1751" s="66" t="s">
        <v>4924</v>
      </c>
      <c r="B1751" s="67"/>
      <c r="C1751" s="67"/>
      <c r="D1751" s="68"/>
      <c r="E1751" s="94"/>
      <c r="F1751" s="93" t="str">
        <f>HYPERLINK("https://pbs.twimg.com/profile_images/1441229093282856964/y9QZv3yO_normal.jpg")</f>
        <v>https://pbs.twimg.com/profile_images/1441229093282856964/y9QZv3yO_normal.jpg</v>
      </c>
      <c r="G1751" s="95"/>
      <c r="H1751" s="71"/>
      <c r="I1751" s="72"/>
      <c r="J1751" s="96"/>
      <c r="K1751" s="71" t="s">
        <v>14469</v>
      </c>
      <c r="L1751" s="97"/>
      <c r="M1751" s="76"/>
      <c r="N1751" s="76"/>
      <c r="O1751" s="77"/>
      <c r="P1751" s="78"/>
      <c r="Q1751" s="78"/>
      <c r="R1751" s="92"/>
      <c r="S1751" s="92"/>
      <c r="T1751" s="92"/>
      <c r="U1751" s="92"/>
      <c r="V1751" s="52"/>
      <c r="W1751" s="52"/>
      <c r="X1751" s="52"/>
      <c r="Y1751" s="52"/>
      <c r="Z1751" s="51"/>
      <c r="AA1751" s="73"/>
      <c r="AB1751" s="73"/>
      <c r="AC1751" s="74"/>
      <c r="AD1751" s="81" t="s">
        <v>8998</v>
      </c>
      <c r="AE1751" s="86" t="s">
        <v>9952</v>
      </c>
      <c r="AF1751" s="81">
        <v>433</v>
      </c>
      <c r="AG1751" s="81">
        <v>288</v>
      </c>
      <c r="AH1751" s="81">
        <v>8128</v>
      </c>
      <c r="AI1751" s="81">
        <v>14473</v>
      </c>
      <c r="AJ1751" s="81"/>
      <c r="AK1751" s="81" t="s">
        <v>10870</v>
      </c>
      <c r="AL1751" s="81"/>
      <c r="AM1751" s="81"/>
      <c r="AN1751" s="81"/>
      <c r="AO1751" s="83">
        <v>44325.201874999999</v>
      </c>
      <c r="AP1751" s="84" t="str">
        <f>HYPERLINK("https://pbs.twimg.com/profile_banners/1391254247564398597/1632445737")</f>
        <v>https://pbs.twimg.com/profile_banners/1391254247564398597/1632445737</v>
      </c>
      <c r="AQ1751" s="81" t="b">
        <v>1</v>
      </c>
      <c r="AR1751" s="81" t="b">
        <v>0</v>
      </c>
      <c r="AS1751" s="81" t="b">
        <v>0</v>
      </c>
      <c r="AT1751" s="81"/>
      <c r="AU1751" s="81">
        <v>2</v>
      </c>
      <c r="AV1751" s="81"/>
      <c r="AW1751" s="81" t="b">
        <v>0</v>
      </c>
      <c r="AX1751" s="81" t="s">
        <v>3728</v>
      </c>
      <c r="AY1751" s="84" t="str">
        <f>HYPERLINK("https://twitter.com/luviejaemn")</f>
        <v>https://twitter.com/luviejaemn</v>
      </c>
      <c r="AZ1751" s="81" t="s">
        <v>66</v>
      </c>
    </row>
    <row r="1752" spans="1:52" x14ac:dyDescent="0.35">
      <c r="A1752" s="66" t="s">
        <v>12616</v>
      </c>
      <c r="B1752" s="67"/>
      <c r="C1752" s="67"/>
      <c r="D1752" s="68"/>
      <c r="E1752" s="94"/>
      <c r="F1752" s="93" t="str">
        <f>HYPERLINK("https://pbs.twimg.com/profile_images/1312252812684713984/We_Y9It8_normal.jpg")</f>
        <v>https://pbs.twimg.com/profile_images/1312252812684713984/We_Y9It8_normal.jpg</v>
      </c>
      <c r="G1752" s="95"/>
      <c r="H1752" s="71"/>
      <c r="I1752" s="72"/>
      <c r="J1752" s="96"/>
      <c r="K1752" s="71" t="s">
        <v>14470</v>
      </c>
      <c r="L1752" s="97"/>
      <c r="M1752" s="76"/>
      <c r="N1752" s="76"/>
      <c r="O1752" s="77"/>
      <c r="P1752" s="78"/>
      <c r="Q1752" s="78"/>
      <c r="R1752" s="92"/>
      <c r="S1752" s="92"/>
      <c r="T1752" s="92"/>
      <c r="U1752" s="92"/>
      <c r="V1752" s="52"/>
      <c r="W1752" s="52"/>
      <c r="X1752" s="52"/>
      <c r="Y1752" s="52"/>
      <c r="Z1752" s="51"/>
      <c r="AA1752" s="73"/>
      <c r="AB1752" s="73"/>
      <c r="AC1752" s="74"/>
      <c r="AD1752" s="81" t="s">
        <v>13656</v>
      </c>
      <c r="AE1752" s="86" t="s">
        <v>13860</v>
      </c>
      <c r="AF1752" s="81">
        <v>999</v>
      </c>
      <c r="AG1752" s="81">
        <v>558</v>
      </c>
      <c r="AH1752" s="81">
        <v>22813</v>
      </c>
      <c r="AI1752" s="81">
        <v>1734</v>
      </c>
      <c r="AJ1752" s="81"/>
      <c r="AK1752" s="81" t="s">
        <v>14102</v>
      </c>
      <c r="AL1752" s="81" t="s">
        <v>14241</v>
      </c>
      <c r="AM1752" s="84" t="str">
        <f>HYPERLINK("https://t.co/9rdiNszvnk")</f>
        <v>https://t.co/9rdiNszvnk</v>
      </c>
      <c r="AN1752" s="81"/>
      <c r="AO1752" s="83">
        <v>43670.569710648146</v>
      </c>
      <c r="AP1752" s="84" t="str">
        <f>HYPERLINK("https://pbs.twimg.com/profile_banners/1154023523347599360/1596595473")</f>
        <v>https://pbs.twimg.com/profile_banners/1154023523347599360/1596595473</v>
      </c>
      <c r="AQ1752" s="81" t="b">
        <v>1</v>
      </c>
      <c r="AR1752" s="81" t="b">
        <v>0</v>
      </c>
      <c r="AS1752" s="81" t="b">
        <v>0</v>
      </c>
      <c r="AT1752" s="81"/>
      <c r="AU1752" s="81">
        <v>1</v>
      </c>
      <c r="AV1752" s="81"/>
      <c r="AW1752" s="81" t="b">
        <v>0</v>
      </c>
      <c r="AX1752" s="81" t="s">
        <v>3728</v>
      </c>
      <c r="AY1752" s="84" t="str">
        <f>HYPERLINK("https://twitter.com/kokosungjin")</f>
        <v>https://twitter.com/kokosungjin</v>
      </c>
      <c r="AZ1752" s="81" t="s">
        <v>66</v>
      </c>
    </row>
    <row r="1753" spans="1:52" x14ac:dyDescent="0.35">
      <c r="A1753" s="66" t="s">
        <v>12617</v>
      </c>
      <c r="B1753" s="67"/>
      <c r="C1753" s="67"/>
      <c r="D1753" s="68"/>
      <c r="E1753" s="94"/>
      <c r="F1753" s="93" t="str">
        <f>HYPERLINK("https://pbs.twimg.com/profile_images/1413186868498272263/bLC3ND66_normal.jpg")</f>
        <v>https://pbs.twimg.com/profile_images/1413186868498272263/bLC3ND66_normal.jpg</v>
      </c>
      <c r="G1753" s="95"/>
      <c r="H1753" s="71"/>
      <c r="I1753" s="72"/>
      <c r="J1753" s="96"/>
      <c r="K1753" s="71" t="s">
        <v>14471</v>
      </c>
      <c r="L1753" s="97"/>
      <c r="M1753" s="76"/>
      <c r="N1753" s="76"/>
      <c r="O1753" s="77"/>
      <c r="P1753" s="78"/>
      <c r="Q1753" s="78"/>
      <c r="R1753" s="92"/>
      <c r="S1753" s="92"/>
      <c r="T1753" s="92"/>
      <c r="U1753" s="92"/>
      <c r="V1753" s="52"/>
      <c r="W1753" s="52"/>
      <c r="X1753" s="52"/>
      <c r="Y1753" s="52"/>
      <c r="Z1753" s="51"/>
      <c r="AA1753" s="73"/>
      <c r="AB1753" s="73"/>
      <c r="AC1753" s="74"/>
      <c r="AD1753" s="81" t="s">
        <v>13657</v>
      </c>
      <c r="AE1753" s="86" t="s">
        <v>13861</v>
      </c>
      <c r="AF1753" s="81">
        <v>932</v>
      </c>
      <c r="AG1753" s="81">
        <v>647</v>
      </c>
      <c r="AH1753" s="81">
        <v>353072</v>
      </c>
      <c r="AI1753" s="81">
        <v>221761</v>
      </c>
      <c r="AJ1753" s="81"/>
      <c r="AK1753" s="81" t="s">
        <v>14103</v>
      </c>
      <c r="AL1753" s="81"/>
      <c r="AM1753" s="84" t="str">
        <f>HYPERLINK("https://t.co/CqKpjRoRdv")</f>
        <v>https://t.co/CqKpjRoRdv</v>
      </c>
      <c r="AN1753" s="81"/>
      <c r="AO1753" s="83">
        <v>41816.914131944446</v>
      </c>
      <c r="AP1753" s="84" t="str">
        <f>HYPERLINK("https://pbs.twimg.com/profile_banners/2645106550/1631276779")</f>
        <v>https://pbs.twimg.com/profile_banners/2645106550/1631276779</v>
      </c>
      <c r="AQ1753" s="81" t="b">
        <v>1</v>
      </c>
      <c r="AR1753" s="81" t="b">
        <v>0</v>
      </c>
      <c r="AS1753" s="81" t="b">
        <v>0</v>
      </c>
      <c r="AT1753" s="81"/>
      <c r="AU1753" s="81">
        <v>1</v>
      </c>
      <c r="AV1753" s="84" t="str">
        <f>HYPERLINK("https://abs.twimg.com/images/themes/theme1/bg.png")</f>
        <v>https://abs.twimg.com/images/themes/theme1/bg.png</v>
      </c>
      <c r="AW1753" s="81" t="b">
        <v>0</v>
      </c>
      <c r="AX1753" s="81" t="s">
        <v>3728</v>
      </c>
      <c r="AY1753" s="84" t="str">
        <f>HYPERLINK("https://twitter.com/chriscrfla")</f>
        <v>https://twitter.com/chriscrfla</v>
      </c>
      <c r="AZ1753" s="81" t="s">
        <v>66</v>
      </c>
    </row>
    <row r="1754" spans="1:52" x14ac:dyDescent="0.35">
      <c r="A1754" s="66" t="s">
        <v>12619</v>
      </c>
      <c r="B1754" s="67"/>
      <c r="C1754" s="67"/>
      <c r="D1754" s="68"/>
      <c r="E1754" s="94"/>
      <c r="F1754" s="93" t="str">
        <f>HYPERLINK("https://pbs.twimg.com/profile_images/1434921168423821318/UXLVQ09e_normal.jpg")</f>
        <v>https://pbs.twimg.com/profile_images/1434921168423821318/UXLVQ09e_normal.jpg</v>
      </c>
      <c r="G1754" s="95"/>
      <c r="H1754" s="71"/>
      <c r="I1754" s="72"/>
      <c r="J1754" s="96"/>
      <c r="K1754" s="71" t="s">
        <v>14472</v>
      </c>
      <c r="L1754" s="97"/>
      <c r="M1754" s="76"/>
      <c r="N1754" s="76"/>
      <c r="O1754" s="77"/>
      <c r="P1754" s="78"/>
      <c r="Q1754" s="78"/>
      <c r="R1754" s="92"/>
      <c r="S1754" s="92"/>
      <c r="T1754" s="92"/>
      <c r="U1754" s="92"/>
      <c r="V1754" s="52"/>
      <c r="W1754" s="52"/>
      <c r="X1754" s="52"/>
      <c r="Y1754" s="52"/>
      <c r="Z1754" s="51"/>
      <c r="AA1754" s="73"/>
      <c r="AB1754" s="73"/>
      <c r="AC1754" s="74"/>
      <c r="AD1754" s="81" t="s">
        <v>13658</v>
      </c>
      <c r="AE1754" s="86" t="s">
        <v>13862</v>
      </c>
      <c r="AF1754" s="81">
        <v>985</v>
      </c>
      <c r="AG1754" s="81">
        <v>668</v>
      </c>
      <c r="AH1754" s="81">
        <v>27437</v>
      </c>
      <c r="AI1754" s="81">
        <v>90939</v>
      </c>
      <c r="AJ1754" s="81"/>
      <c r="AK1754" s="81" t="s">
        <v>14104</v>
      </c>
      <c r="AL1754" s="81" t="s">
        <v>14242</v>
      </c>
      <c r="AM1754" s="81"/>
      <c r="AN1754" s="81"/>
      <c r="AO1754" s="83">
        <v>40930.190115740741</v>
      </c>
      <c r="AP1754" s="84" t="str">
        <f>HYPERLINK("https://pbs.twimg.com/profile_banners/470783062/1590270636")</f>
        <v>https://pbs.twimg.com/profile_banners/470783062/1590270636</v>
      </c>
      <c r="AQ1754" s="81" t="b">
        <v>0</v>
      </c>
      <c r="AR1754" s="81" t="b">
        <v>0</v>
      </c>
      <c r="AS1754" s="81" t="b">
        <v>0</v>
      </c>
      <c r="AT1754" s="81"/>
      <c r="AU1754" s="81">
        <v>0</v>
      </c>
      <c r="AV1754" s="84" t="str">
        <f>HYPERLINK("https://abs.twimg.com/images/themes/theme1/bg.png")</f>
        <v>https://abs.twimg.com/images/themes/theme1/bg.png</v>
      </c>
      <c r="AW1754" s="81" t="b">
        <v>0</v>
      </c>
      <c r="AX1754" s="81" t="s">
        <v>3728</v>
      </c>
      <c r="AY1754" s="84" t="str">
        <f>HYPERLINK("https://twitter.com/laurissimaspfc")</f>
        <v>https://twitter.com/laurissimaspfc</v>
      </c>
      <c r="AZ1754" s="81" t="s">
        <v>66</v>
      </c>
    </row>
    <row r="1755" spans="1:52" x14ac:dyDescent="0.35">
      <c r="A1755" s="66" t="s">
        <v>12621</v>
      </c>
      <c r="B1755" s="67"/>
      <c r="C1755" s="67"/>
      <c r="D1755" s="68"/>
      <c r="E1755" s="94"/>
      <c r="F1755" s="93" t="str">
        <f>HYPERLINK("https://pbs.twimg.com/profile_images/1276933993867378693/viv3Jv_E_normal.jpg")</f>
        <v>https://pbs.twimg.com/profile_images/1276933993867378693/viv3Jv_E_normal.jpg</v>
      </c>
      <c r="G1755" s="95"/>
      <c r="H1755" s="71"/>
      <c r="I1755" s="72"/>
      <c r="J1755" s="96"/>
      <c r="K1755" s="71" t="s">
        <v>14473</v>
      </c>
      <c r="L1755" s="97"/>
      <c r="M1755" s="76"/>
      <c r="N1755" s="76"/>
      <c r="O1755" s="77"/>
      <c r="P1755" s="78"/>
      <c r="Q1755" s="78"/>
      <c r="R1755" s="92"/>
      <c r="S1755" s="92"/>
      <c r="T1755" s="92"/>
      <c r="U1755" s="92"/>
      <c r="V1755" s="52"/>
      <c r="W1755" s="52"/>
      <c r="X1755" s="52"/>
      <c r="Y1755" s="52"/>
      <c r="Z1755" s="51"/>
      <c r="AA1755" s="73"/>
      <c r="AB1755" s="73"/>
      <c r="AC1755" s="74"/>
      <c r="AD1755" s="81" t="s">
        <v>13659</v>
      </c>
      <c r="AE1755" s="86" t="s">
        <v>13863</v>
      </c>
      <c r="AF1755" s="81">
        <v>275</v>
      </c>
      <c r="AG1755" s="81">
        <v>154</v>
      </c>
      <c r="AH1755" s="81">
        <v>14001</v>
      </c>
      <c r="AI1755" s="81">
        <v>17397</v>
      </c>
      <c r="AJ1755" s="81"/>
      <c r="AK1755" s="81" t="s">
        <v>14105</v>
      </c>
      <c r="AL1755" s="81"/>
      <c r="AM1755" s="81"/>
      <c r="AN1755" s="81"/>
      <c r="AO1755" s="83">
        <v>43422.876006944447</v>
      </c>
      <c r="AP1755" s="84" t="str">
        <f>HYPERLINK("https://pbs.twimg.com/profile_banners/1064262330849079301/1614540708")</f>
        <v>https://pbs.twimg.com/profile_banners/1064262330849079301/1614540708</v>
      </c>
      <c r="AQ1755" s="81" t="b">
        <v>1</v>
      </c>
      <c r="AR1755" s="81" t="b">
        <v>0</v>
      </c>
      <c r="AS1755" s="81" t="b">
        <v>0</v>
      </c>
      <c r="AT1755" s="81"/>
      <c r="AU1755" s="81">
        <v>0</v>
      </c>
      <c r="AV1755" s="81"/>
      <c r="AW1755" s="81" t="b">
        <v>0</v>
      </c>
      <c r="AX1755" s="81" t="s">
        <v>3728</v>
      </c>
      <c r="AY1755" s="84" t="str">
        <f>HYPERLINK("https://twitter.com/rejaneyarasilv1")</f>
        <v>https://twitter.com/rejaneyarasilv1</v>
      </c>
      <c r="AZ1755" s="81" t="s">
        <v>66</v>
      </c>
    </row>
    <row r="1756" spans="1:52" x14ac:dyDescent="0.35">
      <c r="A1756" s="66" t="s">
        <v>12622</v>
      </c>
      <c r="B1756" s="67"/>
      <c r="C1756" s="67"/>
      <c r="D1756" s="68"/>
      <c r="E1756" s="94"/>
      <c r="F1756" s="93" t="str">
        <f>HYPERLINK("https://pbs.twimg.com/profile_images/1427997097295372288/BHvnI3Jo_normal.jpg")</f>
        <v>https://pbs.twimg.com/profile_images/1427997097295372288/BHvnI3Jo_normal.jpg</v>
      </c>
      <c r="G1756" s="95"/>
      <c r="H1756" s="71"/>
      <c r="I1756" s="72"/>
      <c r="J1756" s="96"/>
      <c r="K1756" s="71" t="s">
        <v>14474</v>
      </c>
      <c r="L1756" s="97"/>
      <c r="M1756" s="76"/>
      <c r="N1756" s="76"/>
      <c r="O1756" s="77"/>
      <c r="P1756" s="78"/>
      <c r="Q1756" s="78"/>
      <c r="R1756" s="92"/>
      <c r="S1756" s="92"/>
      <c r="T1756" s="92"/>
      <c r="U1756" s="92"/>
      <c r="V1756" s="52"/>
      <c r="W1756" s="52"/>
      <c r="X1756" s="52"/>
      <c r="Y1756" s="52"/>
      <c r="Z1756" s="51"/>
      <c r="AA1756" s="73"/>
      <c r="AB1756" s="73"/>
      <c r="AC1756" s="74"/>
      <c r="AD1756" s="81" t="s">
        <v>13660</v>
      </c>
      <c r="AE1756" s="86" t="s">
        <v>13864</v>
      </c>
      <c r="AF1756" s="81">
        <v>515</v>
      </c>
      <c r="AG1756" s="81">
        <v>491</v>
      </c>
      <c r="AH1756" s="81">
        <v>5804</v>
      </c>
      <c r="AI1756" s="81">
        <v>517</v>
      </c>
      <c r="AJ1756" s="81"/>
      <c r="AK1756" s="81" t="s">
        <v>14106</v>
      </c>
      <c r="AL1756" s="81" t="s">
        <v>14243</v>
      </c>
      <c r="AM1756" s="84" t="str">
        <f>HYPERLINK("https://t.co/Mk3z21B6pb")</f>
        <v>https://t.co/Mk3z21B6pb</v>
      </c>
      <c r="AN1756" s="81"/>
      <c r="AO1756" s="83">
        <v>44376.526643518519</v>
      </c>
      <c r="AP1756" s="84" t="str">
        <f>HYPERLINK("https://pbs.twimg.com/profile_banners/1409853712160288772/1626791409")</f>
        <v>https://pbs.twimg.com/profile_banners/1409853712160288772/1626791409</v>
      </c>
      <c r="AQ1756" s="81" t="b">
        <v>1</v>
      </c>
      <c r="AR1756" s="81" t="b">
        <v>0</v>
      </c>
      <c r="AS1756" s="81" t="b">
        <v>0</v>
      </c>
      <c r="AT1756" s="81"/>
      <c r="AU1756" s="81">
        <v>3</v>
      </c>
      <c r="AV1756" s="81"/>
      <c r="AW1756" s="81" t="b">
        <v>0</v>
      </c>
      <c r="AX1756" s="81" t="s">
        <v>3728</v>
      </c>
      <c r="AY1756" s="84" t="str">
        <f>HYPERLINK("https://twitter.com/fairyschengg")</f>
        <v>https://twitter.com/fairyschengg</v>
      </c>
      <c r="AZ1756" s="81" t="s">
        <v>66</v>
      </c>
    </row>
    <row r="1757" spans="1:52" x14ac:dyDescent="0.35">
      <c r="A1757" s="66" t="s">
        <v>12623</v>
      </c>
      <c r="B1757" s="67"/>
      <c r="C1757" s="67"/>
      <c r="D1757" s="68"/>
      <c r="E1757" s="94"/>
      <c r="F1757" s="93" t="str">
        <f>HYPERLINK("https://pbs.twimg.com/profile_images/914553779336417281/fB7XW78j_normal.jpg")</f>
        <v>https://pbs.twimg.com/profile_images/914553779336417281/fB7XW78j_normal.jpg</v>
      </c>
      <c r="G1757" s="95"/>
      <c r="H1757" s="71"/>
      <c r="I1757" s="72"/>
      <c r="J1757" s="96"/>
      <c r="K1757" s="71" t="s">
        <v>14475</v>
      </c>
      <c r="L1757" s="97"/>
      <c r="M1757" s="76"/>
      <c r="N1757" s="76"/>
      <c r="O1757" s="77"/>
      <c r="P1757" s="78"/>
      <c r="Q1757" s="78"/>
      <c r="R1757" s="92"/>
      <c r="S1757" s="92"/>
      <c r="T1757" s="92"/>
      <c r="U1757" s="92"/>
      <c r="V1757" s="52"/>
      <c r="W1757" s="52"/>
      <c r="X1757" s="52"/>
      <c r="Y1757" s="52"/>
      <c r="Z1757" s="51"/>
      <c r="AA1757" s="73"/>
      <c r="AB1757" s="73"/>
      <c r="AC1757" s="74"/>
      <c r="AD1757" s="81" t="s">
        <v>13661</v>
      </c>
      <c r="AE1757" s="86" t="s">
        <v>13865</v>
      </c>
      <c r="AF1757" s="81">
        <v>366</v>
      </c>
      <c r="AG1757" s="81">
        <v>508</v>
      </c>
      <c r="AH1757" s="81">
        <v>30291</v>
      </c>
      <c r="AI1757" s="81">
        <v>41698</v>
      </c>
      <c r="AJ1757" s="81"/>
      <c r="AK1757" s="81" t="s">
        <v>14107</v>
      </c>
      <c r="AL1757" s="81" t="s">
        <v>14244</v>
      </c>
      <c r="AM1757" s="81"/>
      <c r="AN1757" s="81"/>
      <c r="AO1757" s="83">
        <v>42599.921041666668</v>
      </c>
      <c r="AP1757" s="84" t="str">
        <f>HYPERLINK("https://pbs.twimg.com/profile_banners/766033435693580290/1506881586")</f>
        <v>https://pbs.twimg.com/profile_banners/766033435693580290/1506881586</v>
      </c>
      <c r="AQ1757" s="81" t="b">
        <v>1</v>
      </c>
      <c r="AR1757" s="81" t="b">
        <v>0</v>
      </c>
      <c r="AS1757" s="81" t="b">
        <v>1</v>
      </c>
      <c r="AT1757" s="81"/>
      <c r="AU1757" s="81">
        <v>2</v>
      </c>
      <c r="AV1757" s="81"/>
      <c r="AW1757" s="81" t="b">
        <v>0</v>
      </c>
      <c r="AX1757" s="81" t="s">
        <v>3728</v>
      </c>
      <c r="AY1757" s="84" t="str">
        <f>HYPERLINK("https://twitter.com/seabraped")</f>
        <v>https://twitter.com/seabraped</v>
      </c>
      <c r="AZ1757" s="81" t="s">
        <v>66</v>
      </c>
    </row>
    <row r="1758" spans="1:52" x14ac:dyDescent="0.35">
      <c r="A1758" s="66" t="s">
        <v>12716</v>
      </c>
      <c r="B1758" s="67"/>
      <c r="C1758" s="67"/>
      <c r="D1758" s="68"/>
      <c r="E1758" s="94"/>
      <c r="F1758" s="93" t="str">
        <f>HYPERLINK("https://pbs.twimg.com/profile_images/1048568750600019970/xgPKge8K_normal.jpg")</f>
        <v>https://pbs.twimg.com/profile_images/1048568750600019970/xgPKge8K_normal.jpg</v>
      </c>
      <c r="G1758" s="95"/>
      <c r="H1758" s="71"/>
      <c r="I1758" s="72"/>
      <c r="J1758" s="96"/>
      <c r="K1758" s="71" t="s">
        <v>14476</v>
      </c>
      <c r="L1758" s="97"/>
      <c r="M1758" s="76"/>
      <c r="N1758" s="76"/>
      <c r="O1758" s="77"/>
      <c r="P1758" s="78"/>
      <c r="Q1758" s="78"/>
      <c r="R1758" s="92"/>
      <c r="S1758" s="92"/>
      <c r="T1758" s="92"/>
      <c r="U1758" s="92"/>
      <c r="V1758" s="52"/>
      <c r="W1758" s="52"/>
      <c r="X1758" s="52"/>
      <c r="Y1758" s="52"/>
      <c r="Z1758" s="51"/>
      <c r="AA1758" s="73"/>
      <c r="AB1758" s="73"/>
      <c r="AC1758" s="74"/>
      <c r="AD1758" s="81" t="s">
        <v>13662</v>
      </c>
      <c r="AE1758" s="86" t="s">
        <v>13866</v>
      </c>
      <c r="AF1758" s="81">
        <v>8816</v>
      </c>
      <c r="AG1758" s="81">
        <v>586520</v>
      </c>
      <c r="AH1758" s="81">
        <v>80178</v>
      </c>
      <c r="AI1758" s="81">
        <v>158</v>
      </c>
      <c r="AJ1758" s="81"/>
      <c r="AK1758" s="81" t="s">
        <v>13662</v>
      </c>
      <c r="AL1758" s="81" t="s">
        <v>14245</v>
      </c>
      <c r="AM1758" s="84" t="str">
        <f>HYPERLINK("https://t.co/YGu2SVbR5r")</f>
        <v>https://t.co/YGu2SVbR5r</v>
      </c>
      <c r="AN1758" s="81"/>
      <c r="AO1758" s="83">
        <v>39330.121921296297</v>
      </c>
      <c r="AP1758" s="81"/>
      <c r="AQ1758" s="81" t="b">
        <v>0</v>
      </c>
      <c r="AR1758" s="81" t="b">
        <v>0</v>
      </c>
      <c r="AS1758" s="81" t="b">
        <v>0</v>
      </c>
      <c r="AT1758" s="81"/>
      <c r="AU1758" s="81">
        <v>841</v>
      </c>
      <c r="AV1758" s="84" t="str">
        <f>HYPERLINK("https://abs.twimg.com/images/themes/theme1/bg.png")</f>
        <v>https://abs.twimg.com/images/themes/theme1/bg.png</v>
      </c>
      <c r="AW1758" s="81" t="b">
        <v>1</v>
      </c>
      <c r="AX1758" s="81" t="s">
        <v>3728</v>
      </c>
      <c r="AY1758" s="84" t="str">
        <f>HYPERLINK("https://twitter.com/siconline")</f>
        <v>https://twitter.com/siconline</v>
      </c>
      <c r="AZ1758" s="81" t="s">
        <v>65</v>
      </c>
    </row>
    <row r="1759" spans="1:52" x14ac:dyDescent="0.35">
      <c r="A1759" s="66" t="s">
        <v>12717</v>
      </c>
      <c r="B1759" s="67"/>
      <c r="C1759" s="67"/>
      <c r="D1759" s="68"/>
      <c r="E1759" s="94"/>
      <c r="F1759" s="93" t="str">
        <f>HYPERLINK("https://pbs.twimg.com/profile_images/833768464431079425/s1wwHpQP_normal.jpg")</f>
        <v>https://pbs.twimg.com/profile_images/833768464431079425/s1wwHpQP_normal.jpg</v>
      </c>
      <c r="G1759" s="95"/>
      <c r="H1759" s="71"/>
      <c r="I1759" s="72"/>
      <c r="J1759" s="96"/>
      <c r="K1759" s="71" t="s">
        <v>14477</v>
      </c>
      <c r="L1759" s="97"/>
      <c r="M1759" s="76"/>
      <c r="N1759" s="76"/>
      <c r="O1759" s="77"/>
      <c r="P1759" s="78"/>
      <c r="Q1759" s="78"/>
      <c r="R1759" s="92"/>
      <c r="S1759" s="92"/>
      <c r="T1759" s="92"/>
      <c r="U1759" s="92"/>
      <c r="V1759" s="52"/>
      <c r="W1759" s="52"/>
      <c r="X1759" s="52"/>
      <c r="Y1759" s="52"/>
      <c r="Z1759" s="51"/>
      <c r="AA1759" s="73"/>
      <c r="AB1759" s="73"/>
      <c r="AC1759" s="74"/>
      <c r="AD1759" s="81" t="s">
        <v>13663</v>
      </c>
      <c r="AE1759" s="86" t="s">
        <v>13867</v>
      </c>
      <c r="AF1759" s="81">
        <v>67</v>
      </c>
      <c r="AG1759" s="81">
        <v>102018</v>
      </c>
      <c r="AH1759" s="81">
        <v>116397</v>
      </c>
      <c r="AI1759" s="81">
        <v>25</v>
      </c>
      <c r="AJ1759" s="81"/>
      <c r="AK1759" s="81" t="s">
        <v>14108</v>
      </c>
      <c r="AL1759" s="81" t="s">
        <v>10990</v>
      </c>
      <c r="AM1759" s="84" t="str">
        <f>HYPERLINK("http://t.co/W28wZBTLQR")</f>
        <v>http://t.co/W28wZBTLQR</v>
      </c>
      <c r="AN1759" s="81"/>
      <c r="AO1759" s="83">
        <v>40959.735046296293</v>
      </c>
      <c r="AP1759" s="84" t="str">
        <f>HYPERLINK("https://pbs.twimg.com/profile_banners/498086098/1601542906")</f>
        <v>https://pbs.twimg.com/profile_banners/498086098/1601542906</v>
      </c>
      <c r="AQ1759" s="81" t="b">
        <v>0</v>
      </c>
      <c r="AR1759" s="81" t="b">
        <v>0</v>
      </c>
      <c r="AS1759" s="81" t="b">
        <v>1</v>
      </c>
      <c r="AT1759" s="81"/>
      <c r="AU1759" s="81">
        <v>240</v>
      </c>
      <c r="AV1759" s="84" t="str">
        <f>HYPERLINK("https://abs.twimg.com/images/themes/theme1/bg.png")</f>
        <v>https://abs.twimg.com/images/themes/theme1/bg.png</v>
      </c>
      <c r="AW1759" s="81" t="b">
        <v>1</v>
      </c>
      <c r="AX1759" s="81" t="s">
        <v>3728</v>
      </c>
      <c r="AY1759" s="84" t="str">
        <f>HYPERLINK("https://twitter.com/tvi")</f>
        <v>https://twitter.com/tvi</v>
      </c>
      <c r="AZ1759" s="81" t="s">
        <v>65</v>
      </c>
    </row>
    <row r="1760" spans="1:52" x14ac:dyDescent="0.35">
      <c r="A1760" s="66" t="s">
        <v>12718</v>
      </c>
      <c r="B1760" s="67"/>
      <c r="C1760" s="67"/>
      <c r="D1760" s="68"/>
      <c r="E1760" s="94"/>
      <c r="F1760" s="93" t="str">
        <f>HYPERLINK("https://pbs.twimg.com/profile_images/1180123982227488769/WnJdo1fA_normal.jpg")</f>
        <v>https://pbs.twimg.com/profile_images/1180123982227488769/WnJdo1fA_normal.jpg</v>
      </c>
      <c r="G1760" s="95"/>
      <c r="H1760" s="71"/>
      <c r="I1760" s="72"/>
      <c r="J1760" s="96"/>
      <c r="K1760" s="71" t="s">
        <v>14478</v>
      </c>
      <c r="L1760" s="97"/>
      <c r="M1760" s="76"/>
      <c r="N1760" s="76"/>
      <c r="O1760" s="77"/>
      <c r="P1760" s="78"/>
      <c r="Q1760" s="78"/>
      <c r="R1760" s="92"/>
      <c r="S1760" s="92"/>
      <c r="T1760" s="92"/>
      <c r="U1760" s="92"/>
      <c r="V1760" s="52"/>
      <c r="W1760" s="52"/>
      <c r="X1760" s="52"/>
      <c r="Y1760" s="52"/>
      <c r="Z1760" s="51"/>
      <c r="AA1760" s="73"/>
      <c r="AB1760" s="73"/>
      <c r="AC1760" s="74"/>
      <c r="AD1760" s="81" t="s">
        <v>13664</v>
      </c>
      <c r="AE1760" s="86" t="s">
        <v>13868</v>
      </c>
      <c r="AF1760" s="81">
        <v>370</v>
      </c>
      <c r="AG1760" s="81">
        <v>514404</v>
      </c>
      <c r="AH1760" s="81">
        <v>31709</v>
      </c>
      <c r="AI1760" s="81">
        <v>1300</v>
      </c>
      <c r="AJ1760" s="81"/>
      <c r="AK1760" s="81" t="s">
        <v>14109</v>
      </c>
      <c r="AL1760" s="81" t="s">
        <v>10990</v>
      </c>
      <c r="AM1760" s="84" t="str">
        <f>HYPERLINK("http://t.co/ssYkoywLtL")</f>
        <v>http://t.co/ssYkoywLtL</v>
      </c>
      <c r="AN1760" s="81"/>
      <c r="AO1760" s="83">
        <v>39947.657395833332</v>
      </c>
      <c r="AP1760" s="84" t="str">
        <f>HYPERLINK("https://pbs.twimg.com/profile_banners/40019154/1631898601")</f>
        <v>https://pbs.twimg.com/profile_banners/40019154/1631898601</v>
      </c>
      <c r="AQ1760" s="81" t="b">
        <v>0</v>
      </c>
      <c r="AR1760" s="81" t="b">
        <v>0</v>
      </c>
      <c r="AS1760" s="81" t="b">
        <v>1</v>
      </c>
      <c r="AT1760" s="81"/>
      <c r="AU1760" s="81">
        <v>552</v>
      </c>
      <c r="AV1760" s="84" t="str">
        <f>HYPERLINK("https://abs.twimg.com/images/themes/theme9/bg.gif")</f>
        <v>https://abs.twimg.com/images/themes/theme9/bg.gif</v>
      </c>
      <c r="AW1760" s="81" t="b">
        <v>1</v>
      </c>
      <c r="AX1760" s="81" t="s">
        <v>3728</v>
      </c>
      <c r="AY1760" s="84" t="str">
        <f>HYPERLINK("https://twitter.com/sporttvportugal")</f>
        <v>https://twitter.com/sporttvportugal</v>
      </c>
      <c r="AZ1760" s="81" t="s">
        <v>65</v>
      </c>
    </row>
    <row r="1761" spans="1:52" x14ac:dyDescent="0.35">
      <c r="A1761" s="66" t="s">
        <v>12719</v>
      </c>
      <c r="B1761" s="67"/>
      <c r="C1761" s="67"/>
      <c r="D1761" s="68"/>
      <c r="E1761" s="94"/>
      <c r="F1761" s="93" t="str">
        <f>HYPERLINK("https://pbs.twimg.com/profile_images/902204908354633728/Yn2Rr_bO_normal.jpg")</f>
        <v>https://pbs.twimg.com/profile_images/902204908354633728/Yn2Rr_bO_normal.jpg</v>
      </c>
      <c r="G1761" s="95"/>
      <c r="H1761" s="71"/>
      <c r="I1761" s="72"/>
      <c r="J1761" s="96"/>
      <c r="K1761" s="71" t="s">
        <v>14479</v>
      </c>
      <c r="L1761" s="97"/>
      <c r="M1761" s="76"/>
      <c r="N1761" s="76"/>
      <c r="O1761" s="77"/>
      <c r="P1761" s="78"/>
      <c r="Q1761" s="78"/>
      <c r="R1761" s="92"/>
      <c r="S1761" s="92"/>
      <c r="T1761" s="92"/>
      <c r="U1761" s="92"/>
      <c r="V1761" s="52"/>
      <c r="W1761" s="52"/>
      <c r="X1761" s="52"/>
      <c r="Y1761" s="52"/>
      <c r="Z1761" s="51"/>
      <c r="AA1761" s="73"/>
      <c r="AB1761" s="73"/>
      <c r="AC1761" s="74"/>
      <c r="AD1761" s="81" t="s">
        <v>13665</v>
      </c>
      <c r="AE1761" s="86" t="s">
        <v>13427</v>
      </c>
      <c r="AF1761" s="81">
        <v>604</v>
      </c>
      <c r="AG1761" s="81">
        <v>217</v>
      </c>
      <c r="AH1761" s="81">
        <v>8764</v>
      </c>
      <c r="AI1761" s="81">
        <v>23048</v>
      </c>
      <c r="AJ1761" s="81"/>
      <c r="AK1761" s="81"/>
      <c r="AL1761" s="81" t="s">
        <v>14246</v>
      </c>
      <c r="AM1761" s="81"/>
      <c r="AN1761" s="81"/>
      <c r="AO1761" s="83">
        <v>41524.396145833336</v>
      </c>
      <c r="AP1761" s="81"/>
      <c r="AQ1761" s="81" t="b">
        <v>1</v>
      </c>
      <c r="AR1761" s="81" t="b">
        <v>0</v>
      </c>
      <c r="AS1761" s="81" t="b">
        <v>1</v>
      </c>
      <c r="AT1761" s="81"/>
      <c r="AU1761" s="81">
        <v>2</v>
      </c>
      <c r="AV1761" s="84" t="str">
        <f>HYPERLINK("https://abs.twimg.com/images/themes/theme1/bg.png")</f>
        <v>https://abs.twimg.com/images/themes/theme1/bg.png</v>
      </c>
      <c r="AW1761" s="81" t="b">
        <v>0</v>
      </c>
      <c r="AX1761" s="81" t="s">
        <v>3728</v>
      </c>
      <c r="AY1761" s="84" t="str">
        <f>HYPERLINK("https://twitter.com/joo_jalexandre")</f>
        <v>https://twitter.com/joo_jalexandre</v>
      </c>
      <c r="AZ1761" s="81" t="s">
        <v>65</v>
      </c>
    </row>
    <row r="1762" spans="1:52" x14ac:dyDescent="0.35">
      <c r="A1762" s="66" t="s">
        <v>12624</v>
      </c>
      <c r="B1762" s="67"/>
      <c r="C1762" s="67"/>
      <c r="D1762" s="68"/>
      <c r="E1762" s="94"/>
      <c r="F1762" s="93" t="str">
        <f>HYPERLINK("https://pbs.twimg.com/profile_images/982939516/image_normal.jpg")</f>
        <v>https://pbs.twimg.com/profile_images/982939516/image_normal.jpg</v>
      </c>
      <c r="G1762" s="95"/>
      <c r="H1762" s="71"/>
      <c r="I1762" s="72"/>
      <c r="J1762" s="96"/>
      <c r="K1762" s="71" t="s">
        <v>14480</v>
      </c>
      <c r="L1762" s="97"/>
      <c r="M1762" s="76"/>
      <c r="N1762" s="76"/>
      <c r="O1762" s="77"/>
      <c r="P1762" s="78"/>
      <c r="Q1762" s="78"/>
      <c r="R1762" s="92"/>
      <c r="S1762" s="92"/>
      <c r="T1762" s="92"/>
      <c r="U1762" s="92"/>
      <c r="V1762" s="52"/>
      <c r="W1762" s="52"/>
      <c r="X1762" s="52"/>
      <c r="Y1762" s="52"/>
      <c r="Z1762" s="51"/>
      <c r="AA1762" s="73"/>
      <c r="AB1762" s="73"/>
      <c r="AC1762" s="74"/>
      <c r="AD1762" s="81" t="s">
        <v>13666</v>
      </c>
      <c r="AE1762" s="86" t="s">
        <v>13869</v>
      </c>
      <c r="AF1762" s="81">
        <v>68</v>
      </c>
      <c r="AG1762" s="81">
        <v>60</v>
      </c>
      <c r="AH1762" s="81">
        <v>349</v>
      </c>
      <c r="AI1762" s="81">
        <v>18</v>
      </c>
      <c r="AJ1762" s="81"/>
      <c r="AK1762" s="81"/>
      <c r="AL1762" s="81"/>
      <c r="AM1762" s="81"/>
      <c r="AN1762" s="81"/>
      <c r="AO1762" s="83">
        <v>40341.436828703707</v>
      </c>
      <c r="AP1762" s="81"/>
      <c r="AQ1762" s="81" t="b">
        <v>1</v>
      </c>
      <c r="AR1762" s="81" t="b">
        <v>0</v>
      </c>
      <c r="AS1762" s="81" t="b">
        <v>1</v>
      </c>
      <c r="AT1762" s="81"/>
      <c r="AU1762" s="81">
        <v>0</v>
      </c>
      <c r="AV1762" s="84" t="str">
        <f>HYPERLINK("https://abs.twimg.com/images/themes/theme1/bg.png")</f>
        <v>https://abs.twimg.com/images/themes/theme1/bg.png</v>
      </c>
      <c r="AW1762" s="81" t="b">
        <v>0</v>
      </c>
      <c r="AX1762" s="81" t="s">
        <v>3728</v>
      </c>
      <c r="AY1762" s="84" t="str">
        <f>HYPERLINK("https://twitter.com/jpurwa01")</f>
        <v>https://twitter.com/jpurwa01</v>
      </c>
      <c r="AZ1762" s="81" t="s">
        <v>66</v>
      </c>
    </row>
    <row r="1763" spans="1:52" x14ac:dyDescent="0.35">
      <c r="A1763" s="66" t="s">
        <v>12625</v>
      </c>
      <c r="B1763" s="67"/>
      <c r="C1763" s="67"/>
      <c r="D1763" s="68"/>
      <c r="E1763" s="94"/>
      <c r="F1763" s="93" t="str">
        <f>HYPERLINK("https://pbs.twimg.com/profile_images/1426660685325512708/RTzC29ne_normal.jpg")</f>
        <v>https://pbs.twimg.com/profile_images/1426660685325512708/RTzC29ne_normal.jpg</v>
      </c>
      <c r="G1763" s="95"/>
      <c r="H1763" s="71"/>
      <c r="I1763" s="72"/>
      <c r="J1763" s="96"/>
      <c r="K1763" s="71" t="s">
        <v>14481</v>
      </c>
      <c r="L1763" s="97"/>
      <c r="M1763" s="76"/>
      <c r="N1763" s="76"/>
      <c r="O1763" s="77"/>
      <c r="P1763" s="78"/>
      <c r="Q1763" s="78"/>
      <c r="R1763" s="92"/>
      <c r="S1763" s="92"/>
      <c r="T1763" s="92"/>
      <c r="U1763" s="92"/>
      <c r="V1763" s="52"/>
      <c r="W1763" s="52"/>
      <c r="X1763" s="52"/>
      <c r="Y1763" s="52"/>
      <c r="Z1763" s="51"/>
      <c r="AA1763" s="73"/>
      <c r="AB1763" s="73"/>
      <c r="AC1763" s="74"/>
      <c r="AD1763" s="81" t="s">
        <v>13667</v>
      </c>
      <c r="AE1763" s="86" t="s">
        <v>13870</v>
      </c>
      <c r="AF1763" s="81">
        <v>3653</v>
      </c>
      <c r="AG1763" s="81">
        <v>3349</v>
      </c>
      <c r="AH1763" s="81">
        <v>9633</v>
      </c>
      <c r="AI1763" s="81">
        <v>26996</v>
      </c>
      <c r="AJ1763" s="81"/>
      <c r="AK1763" s="81" t="s">
        <v>14110</v>
      </c>
      <c r="AL1763" s="81" t="s">
        <v>11137</v>
      </c>
      <c r="AM1763" s="81"/>
      <c r="AN1763" s="81"/>
      <c r="AO1763" s="83">
        <v>44200.926053240742</v>
      </c>
      <c r="AP1763" s="84" t="str">
        <f>HYPERLINK("https://pbs.twimg.com/profile_banners/1346218147314102273/1627137287")</f>
        <v>https://pbs.twimg.com/profile_banners/1346218147314102273/1627137287</v>
      </c>
      <c r="AQ1763" s="81" t="b">
        <v>1</v>
      </c>
      <c r="AR1763" s="81" t="b">
        <v>0</v>
      </c>
      <c r="AS1763" s="81" t="b">
        <v>0</v>
      </c>
      <c r="AT1763" s="81"/>
      <c r="AU1763" s="81">
        <v>1</v>
      </c>
      <c r="AV1763" s="81"/>
      <c r="AW1763" s="81" t="b">
        <v>0</v>
      </c>
      <c r="AX1763" s="81" t="s">
        <v>3728</v>
      </c>
      <c r="AY1763" s="84" t="str">
        <f>HYPERLINK("https://twitter.com/michell15303291")</f>
        <v>https://twitter.com/michell15303291</v>
      </c>
      <c r="AZ1763" s="81" t="s">
        <v>66</v>
      </c>
    </row>
    <row r="1764" spans="1:52" x14ac:dyDescent="0.35">
      <c r="A1764" s="66" t="s">
        <v>12626</v>
      </c>
      <c r="B1764" s="67"/>
      <c r="C1764" s="67"/>
      <c r="D1764" s="68"/>
      <c r="E1764" s="94"/>
      <c r="F1764" s="93" t="str">
        <f>HYPERLINK("https://pbs.twimg.com/profile_images/1190631052462698497/XihaagVy_normal.jpg")</f>
        <v>https://pbs.twimg.com/profile_images/1190631052462698497/XihaagVy_normal.jpg</v>
      </c>
      <c r="G1764" s="95"/>
      <c r="H1764" s="71"/>
      <c r="I1764" s="72"/>
      <c r="J1764" s="96"/>
      <c r="K1764" s="71" t="s">
        <v>14482</v>
      </c>
      <c r="L1764" s="97"/>
      <c r="M1764" s="76"/>
      <c r="N1764" s="76"/>
      <c r="O1764" s="77"/>
      <c r="P1764" s="78"/>
      <c r="Q1764" s="78"/>
      <c r="R1764" s="92"/>
      <c r="S1764" s="92"/>
      <c r="T1764" s="92"/>
      <c r="U1764" s="92"/>
      <c r="V1764" s="52"/>
      <c r="W1764" s="52"/>
      <c r="X1764" s="52"/>
      <c r="Y1764" s="52"/>
      <c r="Z1764" s="51"/>
      <c r="AA1764" s="73"/>
      <c r="AB1764" s="73"/>
      <c r="AC1764" s="74"/>
      <c r="AD1764" s="81" t="s">
        <v>13668</v>
      </c>
      <c r="AE1764" s="86" t="s">
        <v>13871</v>
      </c>
      <c r="AF1764" s="81">
        <v>178</v>
      </c>
      <c r="AG1764" s="81">
        <v>18</v>
      </c>
      <c r="AH1764" s="81">
        <v>1628</v>
      </c>
      <c r="AI1764" s="81">
        <v>9124</v>
      </c>
      <c r="AJ1764" s="81"/>
      <c r="AK1764" s="81"/>
      <c r="AL1764" s="81" t="s">
        <v>10985</v>
      </c>
      <c r="AM1764" s="81"/>
      <c r="AN1764" s="81"/>
      <c r="AO1764" s="83">
        <v>42844.137291666666</v>
      </c>
      <c r="AP1764" s="81"/>
      <c r="AQ1764" s="81" t="b">
        <v>0</v>
      </c>
      <c r="AR1764" s="81" t="b">
        <v>0</v>
      </c>
      <c r="AS1764" s="81" t="b">
        <v>0</v>
      </c>
      <c r="AT1764" s="81"/>
      <c r="AU1764" s="81">
        <v>0</v>
      </c>
      <c r="AV1764" s="84" t="str">
        <f>HYPERLINK("https://abs.twimg.com/images/themes/theme1/bg.png")</f>
        <v>https://abs.twimg.com/images/themes/theme1/bg.png</v>
      </c>
      <c r="AW1764" s="81" t="b">
        <v>0</v>
      </c>
      <c r="AX1764" s="81" t="s">
        <v>3728</v>
      </c>
      <c r="AY1764" s="84" t="str">
        <f>HYPERLINK("https://twitter.com/riccard4andre")</f>
        <v>https://twitter.com/riccard4andre</v>
      </c>
      <c r="AZ1764" s="81" t="s">
        <v>66</v>
      </c>
    </row>
    <row r="1765" spans="1:52" x14ac:dyDescent="0.35">
      <c r="A1765" s="66" t="s">
        <v>12720</v>
      </c>
      <c r="B1765" s="67"/>
      <c r="C1765" s="67"/>
      <c r="D1765" s="68"/>
      <c r="E1765" s="94"/>
      <c r="F1765" s="93" t="str">
        <f>HYPERLINK("https://pbs.twimg.com/profile_images/1433144170345082882/Uw4JqV3w_normal.jpg")</f>
        <v>https://pbs.twimg.com/profile_images/1433144170345082882/Uw4JqV3w_normal.jpg</v>
      </c>
      <c r="G1765" s="95"/>
      <c r="H1765" s="71"/>
      <c r="I1765" s="72"/>
      <c r="J1765" s="96"/>
      <c r="K1765" s="71" t="s">
        <v>14483</v>
      </c>
      <c r="L1765" s="97"/>
      <c r="M1765" s="76"/>
      <c r="N1765" s="76"/>
      <c r="O1765" s="77"/>
      <c r="P1765" s="78"/>
      <c r="Q1765" s="78"/>
      <c r="R1765" s="92"/>
      <c r="S1765" s="92"/>
      <c r="T1765" s="92"/>
      <c r="U1765" s="92"/>
      <c r="V1765" s="52"/>
      <c r="W1765" s="52"/>
      <c r="X1765" s="52"/>
      <c r="Y1765" s="52"/>
      <c r="Z1765" s="51"/>
      <c r="AA1765" s="73"/>
      <c r="AB1765" s="73"/>
      <c r="AC1765" s="74"/>
      <c r="AD1765" s="81" t="s">
        <v>13669</v>
      </c>
      <c r="AE1765" s="86" t="s">
        <v>13872</v>
      </c>
      <c r="AF1765" s="81">
        <v>932</v>
      </c>
      <c r="AG1765" s="81">
        <v>573938</v>
      </c>
      <c r="AH1765" s="81">
        <v>25262</v>
      </c>
      <c r="AI1765" s="81">
        <v>4532</v>
      </c>
      <c r="AJ1765" s="81"/>
      <c r="AK1765" s="81" t="s">
        <v>14111</v>
      </c>
      <c r="AL1765" s="81" t="s">
        <v>10970</v>
      </c>
      <c r="AM1765" s="84" t="str">
        <f>HYPERLINK("https://t.co/V9YKj5iRXT")</f>
        <v>https://t.co/V9YKj5iRXT</v>
      </c>
      <c r="AN1765" s="81"/>
      <c r="AO1765" s="83">
        <v>39959.391296296293</v>
      </c>
      <c r="AP1765" s="84" t="str">
        <f>HYPERLINK("https://pbs.twimg.com/profile_banners/42593930/1630521965")</f>
        <v>https://pbs.twimg.com/profile_banners/42593930/1630521965</v>
      </c>
      <c r="AQ1765" s="81" t="b">
        <v>0</v>
      </c>
      <c r="AR1765" s="81" t="b">
        <v>0</v>
      </c>
      <c r="AS1765" s="81" t="b">
        <v>1</v>
      </c>
      <c r="AT1765" s="81"/>
      <c r="AU1765" s="81">
        <v>1838</v>
      </c>
      <c r="AV1765" s="84" t="str">
        <f>HYPERLINK("https://abs.twimg.com/images/themes/theme18/bg.gif")</f>
        <v>https://abs.twimg.com/images/themes/theme18/bg.gif</v>
      </c>
      <c r="AW1765" s="81" t="b">
        <v>1</v>
      </c>
      <c r="AX1765" s="81" t="s">
        <v>3728</v>
      </c>
      <c r="AY1765" s="84" t="str">
        <f>HYPERLINK("https://twitter.com/andretrig")</f>
        <v>https://twitter.com/andretrig</v>
      </c>
      <c r="AZ1765" s="81" t="s">
        <v>65</v>
      </c>
    </row>
    <row r="1766" spans="1:52" x14ac:dyDescent="0.35">
      <c r="A1766" s="66" t="s">
        <v>12721</v>
      </c>
      <c r="B1766" s="67"/>
      <c r="C1766" s="67"/>
      <c r="D1766" s="68"/>
      <c r="E1766" s="94"/>
      <c r="F1766" s="93" t="str">
        <f>HYPERLINK("https://pbs.twimg.com/profile_images/1234629255306391553/15xnf2WI_normal.jpg")</f>
        <v>https://pbs.twimg.com/profile_images/1234629255306391553/15xnf2WI_normal.jpg</v>
      </c>
      <c r="G1766" s="95"/>
      <c r="H1766" s="71"/>
      <c r="I1766" s="72"/>
      <c r="J1766" s="96"/>
      <c r="K1766" s="71" t="s">
        <v>14484</v>
      </c>
      <c r="L1766" s="97"/>
      <c r="M1766" s="76"/>
      <c r="N1766" s="76"/>
      <c r="O1766" s="77"/>
      <c r="P1766" s="78"/>
      <c r="Q1766" s="78"/>
      <c r="R1766" s="92"/>
      <c r="S1766" s="92"/>
      <c r="T1766" s="92"/>
      <c r="U1766" s="92"/>
      <c r="V1766" s="52"/>
      <c r="W1766" s="52"/>
      <c r="X1766" s="52"/>
      <c r="Y1766" s="52"/>
      <c r="Z1766" s="51"/>
      <c r="AA1766" s="73"/>
      <c r="AB1766" s="73"/>
      <c r="AC1766" s="74"/>
      <c r="AD1766" s="81" t="s">
        <v>13670</v>
      </c>
      <c r="AE1766" s="86" t="s">
        <v>13873</v>
      </c>
      <c r="AF1766" s="81">
        <v>121</v>
      </c>
      <c r="AG1766" s="81">
        <v>4776256</v>
      </c>
      <c r="AH1766" s="81">
        <v>137799</v>
      </c>
      <c r="AI1766" s="81">
        <v>133</v>
      </c>
      <c r="AJ1766" s="81"/>
      <c r="AK1766" s="81" t="s">
        <v>14112</v>
      </c>
      <c r="AL1766" s="81" t="s">
        <v>10975</v>
      </c>
      <c r="AM1766" s="84" t="str">
        <f>HYPERLINK("http://t.co/Gz0Fha2UwH")</f>
        <v>http://t.co/Gz0Fha2UwH</v>
      </c>
      <c r="AN1766" s="81"/>
      <c r="AO1766" s="83">
        <v>40308.813634259262</v>
      </c>
      <c r="AP1766" s="84" t="str">
        <f>HYPERLINK("https://pbs.twimg.com/profile_banners/142393421/1620063792")</f>
        <v>https://pbs.twimg.com/profile_banners/142393421/1620063792</v>
      </c>
      <c r="AQ1766" s="81" t="b">
        <v>0</v>
      </c>
      <c r="AR1766" s="81" t="b">
        <v>0</v>
      </c>
      <c r="AS1766" s="81" t="b">
        <v>1</v>
      </c>
      <c r="AT1766" s="81"/>
      <c r="AU1766" s="81">
        <v>7310</v>
      </c>
      <c r="AV1766" s="84" t="str">
        <f>HYPERLINK("https://abs.twimg.com/images/themes/theme1/bg.png")</f>
        <v>https://abs.twimg.com/images/themes/theme1/bg.png</v>
      </c>
      <c r="AW1766" s="81" t="b">
        <v>1</v>
      </c>
      <c r="AX1766" s="81" t="s">
        <v>3728</v>
      </c>
      <c r="AY1766" s="84" t="str">
        <f>HYPERLINK("https://twitter.com/globonews")</f>
        <v>https://twitter.com/globonews</v>
      </c>
      <c r="AZ1766" s="81" t="s">
        <v>65</v>
      </c>
    </row>
    <row r="1767" spans="1:52" x14ac:dyDescent="0.35">
      <c r="A1767" s="66" t="s">
        <v>12627</v>
      </c>
      <c r="B1767" s="67"/>
      <c r="C1767" s="67"/>
      <c r="D1767" s="68"/>
      <c r="E1767" s="94"/>
      <c r="F1767" s="93" t="str">
        <f>HYPERLINK("https://pbs.twimg.com/profile_images/1442042625989644288/2B70Uj8P_normal.jpg")</f>
        <v>https://pbs.twimg.com/profile_images/1442042625989644288/2B70Uj8P_normal.jpg</v>
      </c>
      <c r="G1767" s="95"/>
      <c r="H1767" s="71"/>
      <c r="I1767" s="72"/>
      <c r="J1767" s="96"/>
      <c r="K1767" s="71" t="s">
        <v>14485</v>
      </c>
      <c r="L1767" s="97"/>
      <c r="M1767" s="76"/>
      <c r="N1767" s="76"/>
      <c r="O1767" s="77"/>
      <c r="P1767" s="78"/>
      <c r="Q1767" s="78"/>
      <c r="R1767" s="92"/>
      <c r="S1767" s="92"/>
      <c r="T1767" s="92"/>
      <c r="U1767" s="92"/>
      <c r="V1767" s="52"/>
      <c r="W1767" s="52"/>
      <c r="X1767" s="52"/>
      <c r="Y1767" s="52"/>
      <c r="Z1767" s="51"/>
      <c r="AA1767" s="73"/>
      <c r="AB1767" s="73"/>
      <c r="AC1767" s="74"/>
      <c r="AD1767" s="81" t="s">
        <v>13671</v>
      </c>
      <c r="AE1767" s="86" t="s">
        <v>13874</v>
      </c>
      <c r="AF1767" s="81">
        <v>98</v>
      </c>
      <c r="AG1767" s="81">
        <v>13</v>
      </c>
      <c r="AH1767" s="81">
        <v>182</v>
      </c>
      <c r="AI1767" s="81">
        <v>21</v>
      </c>
      <c r="AJ1767" s="81"/>
      <c r="AK1767" s="81" t="s">
        <v>14113</v>
      </c>
      <c r="AL1767" s="81"/>
      <c r="AM1767" s="84" t="str">
        <f>HYPERLINK("https://t.co/9C9vXpC1ou")</f>
        <v>https://t.co/9C9vXpC1ou</v>
      </c>
      <c r="AN1767" s="81"/>
      <c r="AO1767" s="83">
        <v>44331.147835648146</v>
      </c>
      <c r="AP1767" s="84" t="str">
        <f>HYPERLINK("https://pbs.twimg.com/profile_banners/1393408969545191425/1632644727")</f>
        <v>https://pbs.twimg.com/profile_banners/1393408969545191425/1632644727</v>
      </c>
      <c r="AQ1767" s="81" t="b">
        <v>1</v>
      </c>
      <c r="AR1767" s="81" t="b">
        <v>0</v>
      </c>
      <c r="AS1767" s="81" t="b">
        <v>0</v>
      </c>
      <c r="AT1767" s="81"/>
      <c r="AU1767" s="81">
        <v>0</v>
      </c>
      <c r="AV1767" s="81"/>
      <c r="AW1767" s="81" t="b">
        <v>0</v>
      </c>
      <c r="AX1767" s="81" t="s">
        <v>3728</v>
      </c>
      <c r="AY1767" s="84" t="str">
        <f>HYPERLINK("https://twitter.com/haechiedotco")</f>
        <v>https://twitter.com/haechiedotco</v>
      </c>
      <c r="AZ1767" s="81" t="s">
        <v>66</v>
      </c>
    </row>
    <row r="1768" spans="1:52" x14ac:dyDescent="0.35">
      <c r="A1768" s="66" t="s">
        <v>325</v>
      </c>
      <c r="B1768" s="67"/>
      <c r="C1768" s="67"/>
      <c r="D1768" s="68"/>
      <c r="E1768" s="94"/>
      <c r="F1768" s="93" t="str">
        <f>HYPERLINK("https://pbs.twimg.com/profile_images/1427497131208704004/pOGitV6H_normal.jpg")</f>
        <v>https://pbs.twimg.com/profile_images/1427497131208704004/pOGitV6H_normal.jpg</v>
      </c>
      <c r="G1768" s="95"/>
      <c r="H1768" s="71"/>
      <c r="I1768" s="72"/>
      <c r="J1768" s="96"/>
      <c r="K1768" s="71" t="s">
        <v>14486</v>
      </c>
      <c r="L1768" s="97"/>
      <c r="M1768" s="76"/>
      <c r="N1768" s="76"/>
      <c r="O1768" s="77"/>
      <c r="P1768" s="78"/>
      <c r="Q1768" s="78"/>
      <c r="R1768" s="92"/>
      <c r="S1768" s="92"/>
      <c r="T1768" s="92"/>
      <c r="U1768" s="92"/>
      <c r="V1768" s="52"/>
      <c r="W1768" s="52"/>
      <c r="X1768" s="52"/>
      <c r="Y1768" s="52"/>
      <c r="Z1768" s="51"/>
      <c r="AA1768" s="73"/>
      <c r="AB1768" s="73"/>
      <c r="AC1768" s="74"/>
      <c r="AD1768" s="81" t="s">
        <v>325</v>
      </c>
      <c r="AE1768" s="86" t="s">
        <v>2804</v>
      </c>
      <c r="AF1768" s="81">
        <v>3</v>
      </c>
      <c r="AG1768" s="81">
        <v>2519</v>
      </c>
      <c r="AH1768" s="81">
        <v>24228</v>
      </c>
      <c r="AI1768" s="81">
        <v>173</v>
      </c>
      <c r="AJ1768" s="81"/>
      <c r="AK1768" s="81" t="s">
        <v>3211</v>
      </c>
      <c r="AL1768" s="81" t="s">
        <v>3592</v>
      </c>
      <c r="AM1768" s="84" t="str">
        <f>HYPERLINK("https://t.co/KwS8620wmh")</f>
        <v>https://t.co/KwS8620wmh</v>
      </c>
      <c r="AN1768" s="81"/>
      <c r="AO1768" s="83">
        <v>44146.272152777776</v>
      </c>
      <c r="AP1768" s="84" t="str">
        <f>HYPERLINK("https://pbs.twimg.com/profile_banners/1326412279236206592/1629176814")</f>
        <v>https://pbs.twimg.com/profile_banners/1326412279236206592/1629176814</v>
      </c>
      <c r="AQ1768" s="81" t="b">
        <v>1</v>
      </c>
      <c r="AR1768" s="81" t="b">
        <v>0</v>
      </c>
      <c r="AS1768" s="81" t="b">
        <v>0</v>
      </c>
      <c r="AT1768" s="81"/>
      <c r="AU1768" s="81">
        <v>10</v>
      </c>
      <c r="AV1768" s="81"/>
      <c r="AW1768" s="81" t="b">
        <v>0</v>
      </c>
      <c r="AX1768" s="81" t="s">
        <v>3728</v>
      </c>
      <c r="AY1768" s="84" t="str">
        <f>HYPERLINK("https://twitter.com/nctmy95")</f>
        <v>https://twitter.com/nctmy95</v>
      </c>
      <c r="AZ1768" s="81" t="s">
        <v>66</v>
      </c>
    </row>
    <row r="1769" spans="1:52" x14ac:dyDescent="0.35">
      <c r="A1769" s="66" t="s">
        <v>12628</v>
      </c>
      <c r="B1769" s="67"/>
      <c r="C1769" s="67"/>
      <c r="D1769" s="68"/>
      <c r="E1769" s="94"/>
      <c r="F1769" s="93" t="str">
        <f>HYPERLINK("https://pbs.twimg.com/profile_images/1361723895326277632/BGBymkAf_normal.jpg")</f>
        <v>https://pbs.twimg.com/profile_images/1361723895326277632/BGBymkAf_normal.jpg</v>
      </c>
      <c r="G1769" s="95"/>
      <c r="H1769" s="71"/>
      <c r="I1769" s="72"/>
      <c r="J1769" s="96"/>
      <c r="K1769" s="71" t="s">
        <v>14487</v>
      </c>
      <c r="L1769" s="97"/>
      <c r="M1769" s="76"/>
      <c r="N1769" s="76"/>
      <c r="O1769" s="77"/>
      <c r="P1769" s="78"/>
      <c r="Q1769" s="78"/>
      <c r="R1769" s="92"/>
      <c r="S1769" s="92"/>
      <c r="T1769" s="92"/>
      <c r="U1769" s="92"/>
      <c r="V1769" s="52"/>
      <c r="W1769" s="52"/>
      <c r="X1769" s="52"/>
      <c r="Y1769" s="52"/>
      <c r="Z1769" s="51"/>
      <c r="AA1769" s="73"/>
      <c r="AB1769" s="73"/>
      <c r="AC1769" s="74"/>
      <c r="AD1769" s="81" t="s">
        <v>12628</v>
      </c>
      <c r="AE1769" s="86" t="s">
        <v>13875</v>
      </c>
      <c r="AF1769" s="81">
        <v>1041</v>
      </c>
      <c r="AG1769" s="81">
        <v>883</v>
      </c>
      <c r="AH1769" s="81">
        <v>10215</v>
      </c>
      <c r="AI1769" s="81">
        <v>731</v>
      </c>
      <c r="AJ1769" s="81"/>
      <c r="AK1769" s="81" t="s">
        <v>3509</v>
      </c>
      <c r="AL1769" s="81"/>
      <c r="AM1769" s="81"/>
      <c r="AN1769" s="81"/>
      <c r="AO1769" s="83">
        <v>43557.448912037034</v>
      </c>
      <c r="AP1769" s="84" t="str">
        <f>HYPERLINK("https://pbs.twimg.com/profile_banners/1113029918789521408/1627110442")</f>
        <v>https://pbs.twimg.com/profile_banners/1113029918789521408/1627110442</v>
      </c>
      <c r="AQ1769" s="81" t="b">
        <v>1</v>
      </c>
      <c r="AR1769" s="81" t="b">
        <v>0</v>
      </c>
      <c r="AS1769" s="81" t="b">
        <v>1</v>
      </c>
      <c r="AT1769" s="81"/>
      <c r="AU1769" s="81">
        <v>1</v>
      </c>
      <c r="AV1769" s="81"/>
      <c r="AW1769" s="81" t="b">
        <v>0</v>
      </c>
      <c r="AX1769" s="81" t="s">
        <v>3728</v>
      </c>
      <c r="AY1769" s="84" t="str">
        <f>HYPERLINK("https://twitter.com/nctzen_my")</f>
        <v>https://twitter.com/nctzen_my</v>
      </c>
      <c r="AZ1769" s="81" t="s">
        <v>66</v>
      </c>
    </row>
    <row r="1770" spans="1:52" x14ac:dyDescent="0.35">
      <c r="A1770" s="66" t="s">
        <v>350</v>
      </c>
      <c r="B1770" s="67"/>
      <c r="C1770" s="67"/>
      <c r="D1770" s="68"/>
      <c r="E1770" s="94"/>
      <c r="F1770" s="93" t="str">
        <f>HYPERLINK("https://pbs.twimg.com/profile_images/1440308655086178307/35wgewAQ_normal.jpg")</f>
        <v>https://pbs.twimg.com/profile_images/1440308655086178307/35wgewAQ_normal.jpg</v>
      </c>
      <c r="G1770" s="95"/>
      <c r="H1770" s="71"/>
      <c r="I1770" s="72"/>
      <c r="J1770" s="96"/>
      <c r="K1770" s="71" t="s">
        <v>14488</v>
      </c>
      <c r="L1770" s="97"/>
      <c r="M1770" s="76"/>
      <c r="N1770" s="76"/>
      <c r="O1770" s="77"/>
      <c r="P1770" s="78"/>
      <c r="Q1770" s="78"/>
      <c r="R1770" s="92"/>
      <c r="S1770" s="92"/>
      <c r="T1770" s="92"/>
      <c r="U1770" s="92"/>
      <c r="V1770" s="52"/>
      <c r="W1770" s="52"/>
      <c r="X1770" s="52"/>
      <c r="Y1770" s="52"/>
      <c r="Z1770" s="51"/>
      <c r="AA1770" s="73"/>
      <c r="AB1770" s="73"/>
      <c r="AC1770" s="74"/>
      <c r="AD1770" s="81" t="s">
        <v>2405</v>
      </c>
      <c r="AE1770" s="86" t="s">
        <v>2829</v>
      </c>
      <c r="AF1770" s="81">
        <v>314</v>
      </c>
      <c r="AG1770" s="81">
        <v>175</v>
      </c>
      <c r="AH1770" s="81">
        <v>4030</v>
      </c>
      <c r="AI1770" s="81">
        <v>3551</v>
      </c>
      <c r="AJ1770" s="81"/>
      <c r="AK1770" s="81" t="s">
        <v>3237</v>
      </c>
      <c r="AL1770" s="81" t="s">
        <v>3514</v>
      </c>
      <c r="AM1770" s="84" t="str">
        <f>HYPERLINK("https://t.co/0GsKqXsbz4")</f>
        <v>https://t.co/0GsKqXsbz4</v>
      </c>
      <c r="AN1770" s="81"/>
      <c r="AO1770" s="83">
        <v>44209.284884259258</v>
      </c>
      <c r="AP1770" s="84" t="str">
        <f>HYPERLINK("https://pbs.twimg.com/profile_banners/1349247332563369986/1629324989")</f>
        <v>https://pbs.twimg.com/profile_banners/1349247332563369986/1629324989</v>
      </c>
      <c r="AQ1770" s="81" t="b">
        <v>1</v>
      </c>
      <c r="AR1770" s="81" t="b">
        <v>0</v>
      </c>
      <c r="AS1770" s="81" t="b">
        <v>0</v>
      </c>
      <c r="AT1770" s="81"/>
      <c r="AU1770" s="81">
        <v>0</v>
      </c>
      <c r="AV1770" s="81"/>
      <c r="AW1770" s="81" t="b">
        <v>0</v>
      </c>
      <c r="AX1770" s="81" t="s">
        <v>3728</v>
      </c>
      <c r="AY1770" s="84" t="str">
        <f>HYPERLINK("https://twitter.com/jentokiee")</f>
        <v>https://twitter.com/jentokiee</v>
      </c>
      <c r="AZ1770" s="81" t="s">
        <v>66</v>
      </c>
    </row>
    <row r="1771" spans="1:52" x14ac:dyDescent="0.35">
      <c r="A1771" s="66" t="s">
        <v>12629</v>
      </c>
      <c r="B1771" s="67"/>
      <c r="C1771" s="67"/>
      <c r="D1771" s="68"/>
      <c r="E1771" s="94"/>
      <c r="F1771" s="93" t="str">
        <f>HYPERLINK("https://pbs.twimg.com/profile_images/1390774910172213256/UXFcpUXt_normal.jpg")</f>
        <v>https://pbs.twimg.com/profile_images/1390774910172213256/UXFcpUXt_normal.jpg</v>
      </c>
      <c r="G1771" s="95"/>
      <c r="H1771" s="71"/>
      <c r="I1771" s="72"/>
      <c r="J1771" s="96"/>
      <c r="K1771" s="71" t="s">
        <v>14489</v>
      </c>
      <c r="L1771" s="97"/>
      <c r="M1771" s="76"/>
      <c r="N1771" s="76"/>
      <c r="O1771" s="77"/>
      <c r="P1771" s="78"/>
      <c r="Q1771" s="78"/>
      <c r="R1771" s="92"/>
      <c r="S1771" s="92"/>
      <c r="T1771" s="92"/>
      <c r="U1771" s="92"/>
      <c r="V1771" s="52"/>
      <c r="W1771" s="52"/>
      <c r="X1771" s="52"/>
      <c r="Y1771" s="52"/>
      <c r="Z1771" s="51"/>
      <c r="AA1771" s="73"/>
      <c r="AB1771" s="73"/>
      <c r="AC1771" s="74"/>
      <c r="AD1771" s="81" t="s">
        <v>13672</v>
      </c>
      <c r="AE1771" s="86" t="s">
        <v>13876</v>
      </c>
      <c r="AF1771" s="81">
        <v>1028</v>
      </c>
      <c r="AG1771" s="81">
        <v>1497</v>
      </c>
      <c r="AH1771" s="81">
        <v>39566</v>
      </c>
      <c r="AI1771" s="81">
        <v>161588</v>
      </c>
      <c r="AJ1771" s="81"/>
      <c r="AK1771" s="81" t="s">
        <v>14114</v>
      </c>
      <c r="AL1771" s="81" t="s">
        <v>14247</v>
      </c>
      <c r="AM1771" s="81"/>
      <c r="AN1771" s="81"/>
      <c r="AO1771" s="83">
        <v>41715.829560185186</v>
      </c>
      <c r="AP1771" s="84" t="str">
        <f>HYPERLINK("https://pbs.twimg.com/profile_banners/2395003038/1551970574")</f>
        <v>https://pbs.twimg.com/profile_banners/2395003038/1551970574</v>
      </c>
      <c r="AQ1771" s="81" t="b">
        <v>0</v>
      </c>
      <c r="AR1771" s="81" t="b">
        <v>0</v>
      </c>
      <c r="AS1771" s="81" t="b">
        <v>0</v>
      </c>
      <c r="AT1771" s="81"/>
      <c r="AU1771" s="81">
        <v>7</v>
      </c>
      <c r="AV1771" s="84" t="str">
        <f>HYPERLINK("https://abs.twimg.com/images/themes/theme1/bg.png")</f>
        <v>https://abs.twimg.com/images/themes/theme1/bg.png</v>
      </c>
      <c r="AW1771" s="81" t="b">
        <v>0</v>
      </c>
      <c r="AX1771" s="81" t="s">
        <v>3728</v>
      </c>
      <c r="AY1771" s="84" t="str">
        <f>HYPERLINK("https://twitter.com/domingoparque")</f>
        <v>https://twitter.com/domingoparque</v>
      </c>
      <c r="AZ1771" s="81" t="s">
        <v>66</v>
      </c>
    </row>
    <row r="1772" spans="1:52" x14ac:dyDescent="0.35">
      <c r="A1772" s="66" t="s">
        <v>12722</v>
      </c>
      <c r="B1772" s="67"/>
      <c r="C1772" s="67"/>
      <c r="D1772" s="68"/>
      <c r="E1772" s="94"/>
      <c r="F1772" s="93" t="str">
        <f>HYPERLINK("https://pbs.twimg.com/profile_images/1422717728423612418/tTB-M3dx_normal.jpg")</f>
        <v>https://pbs.twimg.com/profile_images/1422717728423612418/tTB-M3dx_normal.jpg</v>
      </c>
      <c r="G1772" s="95"/>
      <c r="H1772" s="71"/>
      <c r="I1772" s="72"/>
      <c r="J1772" s="96"/>
      <c r="K1772" s="71" t="s">
        <v>14490</v>
      </c>
      <c r="L1772" s="97"/>
      <c r="M1772" s="76"/>
      <c r="N1772" s="76"/>
      <c r="O1772" s="77"/>
      <c r="P1772" s="78"/>
      <c r="Q1772" s="78"/>
      <c r="R1772" s="92"/>
      <c r="S1772" s="92"/>
      <c r="T1772" s="92"/>
      <c r="U1772" s="92"/>
      <c r="V1772" s="52"/>
      <c r="W1772" s="52"/>
      <c r="X1772" s="52"/>
      <c r="Y1772" s="52"/>
      <c r="Z1772" s="51"/>
      <c r="AA1772" s="73"/>
      <c r="AB1772" s="73"/>
      <c r="AC1772" s="74"/>
      <c r="AD1772" s="81" t="s">
        <v>13673</v>
      </c>
      <c r="AE1772" s="86" t="s">
        <v>13877</v>
      </c>
      <c r="AF1772" s="81">
        <v>2970</v>
      </c>
      <c r="AG1772" s="81">
        <v>12412</v>
      </c>
      <c r="AH1772" s="81">
        <v>20915</v>
      </c>
      <c r="AI1772" s="81">
        <v>8275</v>
      </c>
      <c r="AJ1772" s="81"/>
      <c r="AK1772" s="81" t="s">
        <v>14115</v>
      </c>
      <c r="AL1772" s="81" t="s">
        <v>10978</v>
      </c>
      <c r="AM1772" s="84" t="str">
        <f>HYPERLINK("https://t.co/4gseKk2oTp")</f>
        <v>https://t.co/4gseKk2oTp</v>
      </c>
      <c r="AN1772" s="81"/>
      <c r="AO1772" s="83">
        <v>39328.741516203707</v>
      </c>
      <c r="AP1772" s="84" t="str">
        <f>HYPERLINK("https://pbs.twimg.com/profile_banners/8627962/1616968180")</f>
        <v>https://pbs.twimg.com/profile_banners/8627962/1616968180</v>
      </c>
      <c r="AQ1772" s="81" t="b">
        <v>0</v>
      </c>
      <c r="AR1772" s="81" t="b">
        <v>0</v>
      </c>
      <c r="AS1772" s="81" t="b">
        <v>1</v>
      </c>
      <c r="AT1772" s="81"/>
      <c r="AU1772" s="81">
        <v>293</v>
      </c>
      <c r="AV1772" s="84" t="str">
        <f>HYPERLINK("https://abs.twimg.com/images/themes/theme1/bg.png")</f>
        <v>https://abs.twimg.com/images/themes/theme1/bg.png</v>
      </c>
      <c r="AW1772" s="81" t="b">
        <v>1</v>
      </c>
      <c r="AX1772" s="81" t="s">
        <v>3728</v>
      </c>
      <c r="AY1772" s="84" t="str">
        <f>HYPERLINK("https://twitter.com/camilorocha")</f>
        <v>https://twitter.com/camilorocha</v>
      </c>
      <c r="AZ1772" s="81" t="s">
        <v>65</v>
      </c>
    </row>
    <row r="1773" spans="1:52" x14ac:dyDescent="0.35">
      <c r="A1773" s="66" t="s">
        <v>12723</v>
      </c>
      <c r="B1773" s="67"/>
      <c r="C1773" s="67"/>
      <c r="D1773" s="68"/>
      <c r="E1773" s="94"/>
      <c r="F1773" s="93" t="str">
        <f>HYPERLINK("https://pbs.twimg.com/profile_images/1417475400314363904/_DpIT8CD_normal.jpg")</f>
        <v>https://pbs.twimg.com/profile_images/1417475400314363904/_DpIT8CD_normal.jpg</v>
      </c>
      <c r="G1773" s="95"/>
      <c r="H1773" s="71"/>
      <c r="I1773" s="72"/>
      <c r="J1773" s="96"/>
      <c r="K1773" s="71" t="s">
        <v>14491</v>
      </c>
      <c r="L1773" s="97"/>
      <c r="M1773" s="76"/>
      <c r="N1773" s="76"/>
      <c r="O1773" s="77"/>
      <c r="P1773" s="78"/>
      <c r="Q1773" s="78"/>
      <c r="R1773" s="92"/>
      <c r="S1773" s="92"/>
      <c r="T1773" s="92"/>
      <c r="U1773" s="92"/>
      <c r="V1773" s="52"/>
      <c r="W1773" s="52"/>
      <c r="X1773" s="52"/>
      <c r="Y1773" s="52"/>
      <c r="Z1773" s="51"/>
      <c r="AA1773" s="73"/>
      <c r="AB1773" s="73"/>
      <c r="AC1773" s="74"/>
      <c r="AD1773" s="81" t="s">
        <v>13674</v>
      </c>
      <c r="AE1773" s="86" t="s">
        <v>13878</v>
      </c>
      <c r="AF1773" s="81">
        <v>196</v>
      </c>
      <c r="AG1773" s="81">
        <v>38284</v>
      </c>
      <c r="AH1773" s="81">
        <v>1087</v>
      </c>
      <c r="AI1773" s="81">
        <v>1618</v>
      </c>
      <c r="AJ1773" s="81"/>
      <c r="AK1773" s="81" t="s">
        <v>14116</v>
      </c>
      <c r="AL1773" s="81"/>
      <c r="AM1773" s="84" t="str">
        <f>HYPERLINK("https://t.co/XyB8sCYmmk")</f>
        <v>https://t.co/XyB8sCYmmk</v>
      </c>
      <c r="AN1773" s="81"/>
      <c r="AO1773" s="83">
        <v>41445.733958333331</v>
      </c>
      <c r="AP1773" s="84" t="str">
        <f>HYPERLINK("https://pbs.twimg.com/profile_banners/1534526779/1625506518")</f>
        <v>https://pbs.twimg.com/profile_banners/1534526779/1625506518</v>
      </c>
      <c r="AQ1773" s="81" t="b">
        <v>1</v>
      </c>
      <c r="AR1773" s="81" t="b">
        <v>0</v>
      </c>
      <c r="AS1773" s="81" t="b">
        <v>0</v>
      </c>
      <c r="AT1773" s="81"/>
      <c r="AU1773" s="81">
        <v>124</v>
      </c>
      <c r="AV1773" s="84" t="str">
        <f>HYPERLINK("https://abs.twimg.com/images/themes/theme1/bg.png")</f>
        <v>https://abs.twimg.com/images/themes/theme1/bg.png</v>
      </c>
      <c r="AW1773" s="81" t="b">
        <v>1</v>
      </c>
      <c r="AX1773" s="81" t="s">
        <v>3728</v>
      </c>
      <c r="AY1773" s="84" t="str">
        <f>HYPERLINK("https://twitter.com/gabrielabilo1")</f>
        <v>https://twitter.com/gabrielabilo1</v>
      </c>
      <c r="AZ1773" s="81" t="s">
        <v>65</v>
      </c>
    </row>
    <row r="1774" spans="1:52" x14ac:dyDescent="0.35">
      <c r="A1774" s="66" t="s">
        <v>12724</v>
      </c>
      <c r="B1774" s="67"/>
      <c r="C1774" s="67"/>
      <c r="D1774" s="68"/>
      <c r="E1774" s="94"/>
      <c r="F1774" s="93" t="str">
        <f>HYPERLINK("https://pbs.twimg.com/profile_images/3279785846/7a70b42301eb4be6c794e193bbc34af1_normal.jpeg")</f>
        <v>https://pbs.twimg.com/profile_images/3279785846/7a70b42301eb4be6c794e193bbc34af1_normal.jpeg</v>
      </c>
      <c r="G1774" s="95"/>
      <c r="H1774" s="71"/>
      <c r="I1774" s="72"/>
      <c r="J1774" s="96"/>
      <c r="K1774" s="71" t="s">
        <v>14492</v>
      </c>
      <c r="L1774" s="97"/>
      <c r="M1774" s="76"/>
      <c r="N1774" s="76"/>
      <c r="O1774" s="77"/>
      <c r="P1774" s="78"/>
      <c r="Q1774" s="78"/>
      <c r="R1774" s="92"/>
      <c r="S1774" s="92"/>
      <c r="T1774" s="92"/>
      <c r="U1774" s="92"/>
      <c r="V1774" s="52"/>
      <c r="W1774" s="52"/>
      <c r="X1774" s="52"/>
      <c r="Y1774" s="52"/>
      <c r="Z1774" s="51"/>
      <c r="AA1774" s="73"/>
      <c r="AB1774" s="73"/>
      <c r="AC1774" s="74"/>
      <c r="AD1774" s="81" t="s">
        <v>13675</v>
      </c>
      <c r="AE1774" s="86" t="s">
        <v>13879</v>
      </c>
      <c r="AF1774" s="81">
        <v>363</v>
      </c>
      <c r="AG1774" s="81">
        <v>392</v>
      </c>
      <c r="AH1774" s="81">
        <v>5538</v>
      </c>
      <c r="AI1774" s="81">
        <v>167</v>
      </c>
      <c r="AJ1774" s="81"/>
      <c r="AK1774" s="81" t="s">
        <v>14117</v>
      </c>
      <c r="AL1774" s="81" t="s">
        <v>11114</v>
      </c>
      <c r="AM1774" s="84" t="str">
        <f>HYPERLINK("https://t.co/RwY2jB4EPG")</f>
        <v>https://t.co/RwY2jB4EPG</v>
      </c>
      <c r="AN1774" s="81"/>
      <c r="AO1774" s="83">
        <v>39989.964907407404</v>
      </c>
      <c r="AP1774" s="84" t="str">
        <f>HYPERLINK("https://pbs.twimg.com/profile_banners/50806520/1488746293")</f>
        <v>https://pbs.twimg.com/profile_banners/50806520/1488746293</v>
      </c>
      <c r="AQ1774" s="81" t="b">
        <v>0</v>
      </c>
      <c r="AR1774" s="81" t="b">
        <v>0</v>
      </c>
      <c r="AS1774" s="81" t="b">
        <v>0</v>
      </c>
      <c r="AT1774" s="81"/>
      <c r="AU1774" s="81">
        <v>33</v>
      </c>
      <c r="AV1774" s="84" t="str">
        <f>HYPERLINK("https://abs.twimg.com/images/themes/theme5/bg.gif")</f>
        <v>https://abs.twimg.com/images/themes/theme5/bg.gif</v>
      </c>
      <c r="AW1774" s="81" t="b">
        <v>0</v>
      </c>
      <c r="AX1774" s="81" t="s">
        <v>3728</v>
      </c>
      <c r="AY1774" s="84" t="str">
        <f>HYPERLINK("https://twitter.com/leandropradodj")</f>
        <v>https://twitter.com/leandropradodj</v>
      </c>
      <c r="AZ1774" s="81" t="s">
        <v>65</v>
      </c>
    </row>
    <row r="1775" spans="1:52" x14ac:dyDescent="0.35">
      <c r="A1775" s="66" t="s">
        <v>12725</v>
      </c>
      <c r="B1775" s="67"/>
      <c r="C1775" s="67"/>
      <c r="D1775" s="68"/>
      <c r="E1775" s="94"/>
      <c r="F1775" s="93" t="str">
        <f>HYPERLINK("https://pbs.twimg.com/profile_images/1332128928606130177/e99Lsirk_normal.jpg")</f>
        <v>https://pbs.twimg.com/profile_images/1332128928606130177/e99Lsirk_normal.jpg</v>
      </c>
      <c r="G1775" s="95"/>
      <c r="H1775" s="71"/>
      <c r="I1775" s="72"/>
      <c r="J1775" s="96"/>
      <c r="K1775" s="71" t="s">
        <v>14493</v>
      </c>
      <c r="L1775" s="97"/>
      <c r="M1775" s="76"/>
      <c r="N1775" s="76"/>
      <c r="O1775" s="77"/>
      <c r="P1775" s="78"/>
      <c r="Q1775" s="78"/>
      <c r="R1775" s="92"/>
      <c r="S1775" s="92"/>
      <c r="T1775" s="92"/>
      <c r="U1775" s="92"/>
      <c r="V1775" s="52"/>
      <c r="W1775" s="52"/>
      <c r="X1775" s="52"/>
      <c r="Y1775" s="52"/>
      <c r="Z1775" s="51"/>
      <c r="AA1775" s="73"/>
      <c r="AB1775" s="73"/>
      <c r="AC1775" s="74"/>
      <c r="AD1775" s="81" t="s">
        <v>13676</v>
      </c>
      <c r="AE1775" s="86" t="s">
        <v>13429</v>
      </c>
      <c r="AF1775" s="81">
        <v>385</v>
      </c>
      <c r="AG1775" s="81">
        <v>36</v>
      </c>
      <c r="AH1775" s="81">
        <v>3372</v>
      </c>
      <c r="AI1775" s="81">
        <v>3030</v>
      </c>
      <c r="AJ1775" s="81"/>
      <c r="AK1775" s="81"/>
      <c r="AL1775" s="81"/>
      <c r="AM1775" s="81"/>
      <c r="AN1775" s="81"/>
      <c r="AO1775" s="83">
        <v>40363.819374999999</v>
      </c>
      <c r="AP1775" s="81"/>
      <c r="AQ1775" s="81" t="b">
        <v>1</v>
      </c>
      <c r="AR1775" s="81" t="b">
        <v>0</v>
      </c>
      <c r="AS1775" s="81" t="b">
        <v>0</v>
      </c>
      <c r="AT1775" s="81"/>
      <c r="AU1775" s="81">
        <v>0</v>
      </c>
      <c r="AV1775" s="84" t="str">
        <f>HYPERLINK("https://abs.twimg.com/images/themes/theme1/bg.png")</f>
        <v>https://abs.twimg.com/images/themes/theme1/bg.png</v>
      </c>
      <c r="AW1775" s="81" t="b">
        <v>0</v>
      </c>
      <c r="AX1775" s="81" t="s">
        <v>3728</v>
      </c>
      <c r="AY1775" s="84" t="str">
        <f>HYPERLINK("https://twitter.com/fta018")</f>
        <v>https://twitter.com/fta018</v>
      </c>
      <c r="AZ1775" s="81" t="s">
        <v>65</v>
      </c>
    </row>
    <row r="1776" spans="1:52" x14ac:dyDescent="0.35">
      <c r="A1776" s="66" t="s">
        <v>12630</v>
      </c>
      <c r="B1776" s="67"/>
      <c r="C1776" s="67"/>
      <c r="D1776" s="68"/>
      <c r="E1776" s="94"/>
      <c r="F1776" s="93" t="str">
        <f>HYPERLINK("https://pbs.twimg.com/profile_images/1442828442186096643/Qk60WKdb_normal.jpg")</f>
        <v>https://pbs.twimg.com/profile_images/1442828442186096643/Qk60WKdb_normal.jpg</v>
      </c>
      <c r="G1776" s="95"/>
      <c r="H1776" s="71"/>
      <c r="I1776" s="72"/>
      <c r="J1776" s="96"/>
      <c r="K1776" s="71" t="s">
        <v>14494</v>
      </c>
      <c r="L1776" s="97"/>
      <c r="M1776" s="76"/>
      <c r="N1776" s="76"/>
      <c r="O1776" s="77"/>
      <c r="P1776" s="78"/>
      <c r="Q1776" s="78"/>
      <c r="R1776" s="92"/>
      <c r="S1776" s="92"/>
      <c r="T1776" s="92"/>
      <c r="U1776" s="92"/>
      <c r="V1776" s="52"/>
      <c r="W1776" s="52"/>
      <c r="X1776" s="52"/>
      <c r="Y1776" s="52"/>
      <c r="Z1776" s="51"/>
      <c r="AA1776" s="73"/>
      <c r="AB1776" s="73"/>
      <c r="AC1776" s="74"/>
      <c r="AD1776" s="81" t="s">
        <v>13677</v>
      </c>
      <c r="AE1776" s="86" t="s">
        <v>13880</v>
      </c>
      <c r="AF1776" s="81">
        <v>47</v>
      </c>
      <c r="AG1776" s="81">
        <v>64</v>
      </c>
      <c r="AH1776" s="81">
        <v>962</v>
      </c>
      <c r="AI1776" s="81">
        <v>12</v>
      </c>
      <c r="AJ1776" s="81"/>
      <c r="AK1776" s="81" t="s">
        <v>14118</v>
      </c>
      <c r="AL1776" s="81" t="s">
        <v>3508</v>
      </c>
      <c r="AM1776" s="84" t="str">
        <f>HYPERLINK("https://t.co/WmjYBbOmhq")</f>
        <v>https://t.co/WmjYBbOmhq</v>
      </c>
      <c r="AN1776" s="81"/>
      <c r="AO1776" s="83">
        <v>44399.438750000001</v>
      </c>
      <c r="AP1776" s="84" t="str">
        <f>HYPERLINK("https://pbs.twimg.com/profile_banners/1418156770908721161/1632185217")</f>
        <v>https://pbs.twimg.com/profile_banners/1418156770908721161/1632185217</v>
      </c>
      <c r="AQ1776" s="81" t="b">
        <v>1</v>
      </c>
      <c r="AR1776" s="81" t="b">
        <v>0</v>
      </c>
      <c r="AS1776" s="81" t="b">
        <v>0</v>
      </c>
      <c r="AT1776" s="81"/>
      <c r="AU1776" s="81">
        <v>0</v>
      </c>
      <c r="AV1776" s="81"/>
      <c r="AW1776" s="81" t="b">
        <v>0</v>
      </c>
      <c r="AX1776" s="81" t="s">
        <v>3728</v>
      </c>
      <c r="AY1776" s="84" t="str">
        <f>HYPERLINK("https://twitter.com/ddaisyyarchives")</f>
        <v>https://twitter.com/ddaisyyarchives</v>
      </c>
      <c r="AZ1776" s="81" t="s">
        <v>66</v>
      </c>
    </row>
    <row r="1777" spans="1:52" x14ac:dyDescent="0.35">
      <c r="A1777" s="66" t="s">
        <v>314</v>
      </c>
      <c r="B1777" s="67"/>
      <c r="C1777" s="67"/>
      <c r="D1777" s="68"/>
      <c r="E1777" s="94"/>
      <c r="F1777" s="93" t="str">
        <f>HYPERLINK("https://pbs.twimg.com/profile_images/1442673363856416769/cl09cxoA_normal.jpg")</f>
        <v>https://pbs.twimg.com/profile_images/1442673363856416769/cl09cxoA_normal.jpg</v>
      </c>
      <c r="G1777" s="95"/>
      <c r="H1777" s="71"/>
      <c r="I1777" s="72"/>
      <c r="J1777" s="96"/>
      <c r="K1777" s="71" t="s">
        <v>14495</v>
      </c>
      <c r="L1777" s="97"/>
      <c r="M1777" s="76"/>
      <c r="N1777" s="76"/>
      <c r="O1777" s="77"/>
      <c r="P1777" s="78"/>
      <c r="Q1777" s="78"/>
      <c r="R1777" s="92"/>
      <c r="S1777" s="92"/>
      <c r="T1777" s="92"/>
      <c r="U1777" s="92"/>
      <c r="V1777" s="52"/>
      <c r="W1777" s="52"/>
      <c r="X1777" s="52"/>
      <c r="Y1777" s="52"/>
      <c r="Z1777" s="51"/>
      <c r="AA1777" s="73"/>
      <c r="AB1777" s="73"/>
      <c r="AC1777" s="74"/>
      <c r="AD1777" s="81" t="s">
        <v>2368</v>
      </c>
      <c r="AE1777" s="86" t="s">
        <v>2793</v>
      </c>
      <c r="AF1777" s="81">
        <v>9</v>
      </c>
      <c r="AG1777" s="81">
        <v>1899</v>
      </c>
      <c r="AH1777" s="81">
        <v>9369</v>
      </c>
      <c r="AI1777" s="81">
        <v>3</v>
      </c>
      <c r="AJ1777" s="81"/>
      <c r="AK1777" s="81" t="s">
        <v>3200</v>
      </c>
      <c r="AL1777" s="81" t="s">
        <v>3509</v>
      </c>
      <c r="AM1777" s="84" t="str">
        <f>HYPERLINK("https://t.co/f2tDe127RZ")</f>
        <v>https://t.co/f2tDe127RZ</v>
      </c>
      <c r="AN1777" s="81"/>
      <c r="AO1777" s="83">
        <v>44336.60900462963</v>
      </c>
      <c r="AP1777" s="84" t="str">
        <f>HYPERLINK("https://pbs.twimg.com/profile_banners/1395388017439744003/1627545285")</f>
        <v>https://pbs.twimg.com/profile_banners/1395388017439744003/1627545285</v>
      </c>
      <c r="AQ1777" s="81" t="b">
        <v>1</v>
      </c>
      <c r="AR1777" s="81" t="b">
        <v>0</v>
      </c>
      <c r="AS1777" s="81" t="b">
        <v>0</v>
      </c>
      <c r="AT1777" s="81"/>
      <c r="AU1777" s="81">
        <v>0</v>
      </c>
      <c r="AV1777" s="81"/>
      <c r="AW1777" s="81" t="b">
        <v>0</v>
      </c>
      <c r="AX1777" s="81" t="s">
        <v>3728</v>
      </c>
      <c r="AY1777" s="84" t="str">
        <f>HYPERLINK("https://twitter.com/pasarnct")</f>
        <v>https://twitter.com/pasarnct</v>
      </c>
      <c r="AZ1777" s="81" t="s">
        <v>66</v>
      </c>
    </row>
    <row r="1778" spans="1:52" x14ac:dyDescent="0.35">
      <c r="A1778" s="66" t="s">
        <v>12631</v>
      </c>
      <c r="B1778" s="67"/>
      <c r="C1778" s="67"/>
      <c r="D1778" s="68"/>
      <c r="E1778" s="94"/>
      <c r="F1778" s="93" t="str">
        <f>HYPERLINK("https://pbs.twimg.com/profile_images/1441796293131587587/yADb3gVD_normal.jpg")</f>
        <v>https://pbs.twimg.com/profile_images/1441796293131587587/yADb3gVD_normal.jpg</v>
      </c>
      <c r="G1778" s="95"/>
      <c r="H1778" s="71"/>
      <c r="I1778" s="72"/>
      <c r="J1778" s="96"/>
      <c r="K1778" s="71" t="s">
        <v>14496</v>
      </c>
      <c r="L1778" s="97"/>
      <c r="M1778" s="76"/>
      <c r="N1778" s="76"/>
      <c r="O1778" s="77"/>
      <c r="P1778" s="78"/>
      <c r="Q1778" s="78"/>
      <c r="R1778" s="92"/>
      <c r="S1778" s="92"/>
      <c r="T1778" s="92"/>
      <c r="U1778" s="92"/>
      <c r="V1778" s="52"/>
      <c r="W1778" s="52"/>
      <c r="X1778" s="52"/>
      <c r="Y1778" s="52"/>
      <c r="Z1778" s="51"/>
      <c r="AA1778" s="73"/>
      <c r="AB1778" s="73"/>
      <c r="AC1778" s="74"/>
      <c r="AD1778" s="81" t="s">
        <v>13678</v>
      </c>
      <c r="AE1778" s="86" t="s">
        <v>13881</v>
      </c>
      <c r="AF1778" s="81">
        <v>65</v>
      </c>
      <c r="AG1778" s="81">
        <v>10</v>
      </c>
      <c r="AH1778" s="81">
        <v>631</v>
      </c>
      <c r="AI1778" s="81">
        <v>855</v>
      </c>
      <c r="AJ1778" s="81"/>
      <c r="AK1778" s="81"/>
      <c r="AL1778" s="81"/>
      <c r="AM1778" s="81"/>
      <c r="AN1778" s="81"/>
      <c r="AO1778" s="83">
        <v>44374.915671296294</v>
      </c>
      <c r="AP1778" s="84" t="str">
        <f>HYPERLINK("https://pbs.twimg.com/profile_banners/1409269912246251522/1624833646")</f>
        <v>https://pbs.twimg.com/profile_banners/1409269912246251522/1624833646</v>
      </c>
      <c r="AQ1778" s="81" t="b">
        <v>1</v>
      </c>
      <c r="AR1778" s="81" t="b">
        <v>0</v>
      </c>
      <c r="AS1778" s="81" t="b">
        <v>0</v>
      </c>
      <c r="AT1778" s="81"/>
      <c r="AU1778" s="81">
        <v>0</v>
      </c>
      <c r="AV1778" s="81"/>
      <c r="AW1778" s="81" t="b">
        <v>0</v>
      </c>
      <c r="AX1778" s="81" t="s">
        <v>3728</v>
      </c>
      <c r="AY1778" s="84" t="str">
        <f>HYPERLINK("https://twitter.com/rnjn000")</f>
        <v>https://twitter.com/rnjn000</v>
      </c>
      <c r="AZ1778" s="81" t="s">
        <v>66</v>
      </c>
    </row>
    <row r="1779" spans="1:52" x14ac:dyDescent="0.35">
      <c r="A1779" s="66" t="s">
        <v>12632</v>
      </c>
      <c r="B1779" s="67"/>
      <c r="C1779" s="67"/>
      <c r="D1779" s="68"/>
      <c r="E1779" s="94"/>
      <c r="F1779" s="93" t="str">
        <f>HYPERLINK("https://pbs.twimg.com/profile_images/1438768480682008577/agp9eGV1_normal.jpg")</f>
        <v>https://pbs.twimg.com/profile_images/1438768480682008577/agp9eGV1_normal.jpg</v>
      </c>
      <c r="G1779" s="95"/>
      <c r="H1779" s="71"/>
      <c r="I1779" s="72"/>
      <c r="J1779" s="96"/>
      <c r="K1779" s="71" t="s">
        <v>14497</v>
      </c>
      <c r="L1779" s="97"/>
      <c r="M1779" s="76"/>
      <c r="N1779" s="76"/>
      <c r="O1779" s="77"/>
      <c r="P1779" s="78"/>
      <c r="Q1779" s="78"/>
      <c r="R1779" s="92"/>
      <c r="S1779" s="92"/>
      <c r="T1779" s="92"/>
      <c r="U1779" s="92"/>
      <c r="V1779" s="52"/>
      <c r="W1779" s="52"/>
      <c r="X1779" s="52"/>
      <c r="Y1779" s="52"/>
      <c r="Z1779" s="51"/>
      <c r="AA1779" s="73"/>
      <c r="AB1779" s="73"/>
      <c r="AC1779" s="74"/>
      <c r="AD1779" s="81" t="s">
        <v>13679</v>
      </c>
      <c r="AE1779" s="86" t="s">
        <v>13882</v>
      </c>
      <c r="AF1779" s="81">
        <v>1625</v>
      </c>
      <c r="AG1779" s="81">
        <v>1103</v>
      </c>
      <c r="AH1779" s="81">
        <v>69445</v>
      </c>
      <c r="AI1779" s="81">
        <v>93352</v>
      </c>
      <c r="AJ1779" s="81"/>
      <c r="AK1779" s="81" t="s">
        <v>14119</v>
      </c>
      <c r="AL1779" s="81" t="s">
        <v>14248</v>
      </c>
      <c r="AM1779" s="81"/>
      <c r="AN1779" s="81"/>
      <c r="AO1779" s="83">
        <v>43928.17690972222</v>
      </c>
      <c r="AP1779" s="84" t="str">
        <f>HYPERLINK("https://pbs.twimg.com/profile_banners/1247377198283026433/1631604537")</f>
        <v>https://pbs.twimg.com/profile_banners/1247377198283026433/1631604537</v>
      </c>
      <c r="AQ1779" s="81" t="b">
        <v>1</v>
      </c>
      <c r="AR1779" s="81" t="b">
        <v>0</v>
      </c>
      <c r="AS1779" s="81" t="b">
        <v>0</v>
      </c>
      <c r="AT1779" s="81"/>
      <c r="AU1779" s="81">
        <v>17</v>
      </c>
      <c r="AV1779" s="81"/>
      <c r="AW1779" s="81" t="b">
        <v>0</v>
      </c>
      <c r="AX1779" s="81" t="s">
        <v>3728</v>
      </c>
      <c r="AY1779" s="84" t="str">
        <f>HYPERLINK("https://twitter.com/oning0ning")</f>
        <v>https://twitter.com/oning0ning</v>
      </c>
      <c r="AZ1779" s="81" t="s">
        <v>66</v>
      </c>
    </row>
    <row r="1780" spans="1:52" x14ac:dyDescent="0.35">
      <c r="A1780" s="66" t="s">
        <v>312</v>
      </c>
      <c r="B1780" s="67"/>
      <c r="C1780" s="67"/>
      <c r="D1780" s="68"/>
      <c r="E1780" s="94"/>
      <c r="F1780" s="93" t="str">
        <f>HYPERLINK("https://pbs.twimg.com/profile_images/1413824876339634180/XMx5qXio_normal.jpg")</f>
        <v>https://pbs.twimg.com/profile_images/1413824876339634180/XMx5qXio_normal.jpg</v>
      </c>
      <c r="G1780" s="95"/>
      <c r="H1780" s="71"/>
      <c r="I1780" s="72"/>
      <c r="J1780" s="96"/>
      <c r="K1780" s="71" t="s">
        <v>14498</v>
      </c>
      <c r="L1780" s="97"/>
      <c r="M1780" s="76"/>
      <c r="N1780" s="76"/>
      <c r="O1780" s="77"/>
      <c r="P1780" s="78"/>
      <c r="Q1780" s="78"/>
      <c r="R1780" s="92"/>
      <c r="S1780" s="92"/>
      <c r="T1780" s="92"/>
      <c r="U1780" s="92"/>
      <c r="V1780" s="52"/>
      <c r="W1780" s="52"/>
      <c r="X1780" s="52"/>
      <c r="Y1780" s="52"/>
      <c r="Z1780" s="51"/>
      <c r="AA1780" s="73"/>
      <c r="AB1780" s="73"/>
      <c r="AC1780" s="74"/>
      <c r="AD1780" s="81" t="s">
        <v>2365</v>
      </c>
      <c r="AE1780" s="86" t="s">
        <v>2790</v>
      </c>
      <c r="AF1780" s="81">
        <v>20</v>
      </c>
      <c r="AG1780" s="81">
        <v>1174</v>
      </c>
      <c r="AH1780" s="81">
        <v>22139</v>
      </c>
      <c r="AI1780" s="81">
        <v>998</v>
      </c>
      <c r="AJ1780" s="81"/>
      <c r="AK1780" s="81" t="s">
        <v>3197</v>
      </c>
      <c r="AL1780" s="81" t="s">
        <v>3586</v>
      </c>
      <c r="AM1780" s="84" t="str">
        <f>HYPERLINK("https://t.co/pEdrC7VEOA")</f>
        <v>https://t.co/pEdrC7VEOA</v>
      </c>
      <c r="AN1780" s="81"/>
      <c r="AO1780" s="83">
        <v>44218.559016203704</v>
      </c>
      <c r="AP1780" s="84" t="str">
        <f>HYPERLINK("https://pbs.twimg.com/profile_banners/1352608147433639938/1629474132")</f>
        <v>https://pbs.twimg.com/profile_banners/1352608147433639938/1629474132</v>
      </c>
      <c r="AQ1780" s="81" t="b">
        <v>1</v>
      </c>
      <c r="AR1780" s="81" t="b">
        <v>0</v>
      </c>
      <c r="AS1780" s="81" t="b">
        <v>0</v>
      </c>
      <c r="AT1780" s="81"/>
      <c r="AU1780" s="81">
        <v>5</v>
      </c>
      <c r="AV1780" s="81"/>
      <c r="AW1780" s="81" t="b">
        <v>0</v>
      </c>
      <c r="AX1780" s="81" t="s">
        <v>3728</v>
      </c>
      <c r="AY1780" s="84" t="str">
        <f>HYPERLINK("https://twitter.com/nctrting")</f>
        <v>https://twitter.com/nctrting</v>
      </c>
      <c r="AZ1780" s="81" t="s">
        <v>66</v>
      </c>
    </row>
    <row r="1781" spans="1:52" x14ac:dyDescent="0.35">
      <c r="A1781" s="66" t="s">
        <v>12633</v>
      </c>
      <c r="B1781" s="67"/>
      <c r="C1781" s="67"/>
      <c r="D1781" s="68"/>
      <c r="E1781" s="94"/>
      <c r="F1781" s="93" t="str">
        <f>HYPERLINK("https://pbs.twimg.com/profile_images/1442343417455923208/edKlF4FE_normal.jpg")</f>
        <v>https://pbs.twimg.com/profile_images/1442343417455923208/edKlF4FE_normal.jpg</v>
      </c>
      <c r="G1781" s="95"/>
      <c r="H1781" s="71"/>
      <c r="I1781" s="72"/>
      <c r="J1781" s="96"/>
      <c r="K1781" s="71" t="s">
        <v>14499</v>
      </c>
      <c r="L1781" s="97"/>
      <c r="M1781" s="76"/>
      <c r="N1781" s="76"/>
      <c r="O1781" s="77"/>
      <c r="P1781" s="78"/>
      <c r="Q1781" s="78"/>
      <c r="R1781" s="92"/>
      <c r="S1781" s="92"/>
      <c r="T1781" s="92"/>
      <c r="U1781" s="92"/>
      <c r="V1781" s="52"/>
      <c r="W1781" s="52"/>
      <c r="X1781" s="52"/>
      <c r="Y1781" s="52"/>
      <c r="Z1781" s="51"/>
      <c r="AA1781" s="73"/>
      <c r="AB1781" s="73"/>
      <c r="AC1781" s="74"/>
      <c r="AD1781" s="81" t="s">
        <v>13680</v>
      </c>
      <c r="AE1781" s="86" t="s">
        <v>13883</v>
      </c>
      <c r="AF1781" s="81">
        <v>182</v>
      </c>
      <c r="AG1781" s="81">
        <v>163</v>
      </c>
      <c r="AH1781" s="81">
        <v>4468</v>
      </c>
      <c r="AI1781" s="81">
        <v>13644</v>
      </c>
      <c r="AJ1781" s="81"/>
      <c r="AK1781" s="81" t="s">
        <v>14120</v>
      </c>
      <c r="AL1781" s="81" t="s">
        <v>14249</v>
      </c>
      <c r="AM1781" s="84" t="str">
        <f>HYPERLINK("https://t.co/zrq2s53Qs4")</f>
        <v>https://t.co/zrq2s53Qs4</v>
      </c>
      <c r="AN1781" s="81"/>
      <c r="AO1781" s="83">
        <v>41461.469456018516</v>
      </c>
      <c r="AP1781" s="84" t="str">
        <f>HYPERLINK("https://pbs.twimg.com/profile_banners/1572561806/1632792196")</f>
        <v>https://pbs.twimg.com/profile_banners/1572561806/1632792196</v>
      </c>
      <c r="AQ1781" s="81" t="b">
        <v>0</v>
      </c>
      <c r="AR1781" s="81" t="b">
        <v>0</v>
      </c>
      <c r="AS1781" s="81" t="b">
        <v>0</v>
      </c>
      <c r="AT1781" s="81"/>
      <c r="AU1781" s="81">
        <v>0</v>
      </c>
      <c r="AV1781" s="84" t="str">
        <f>HYPERLINK("https://abs.twimg.com/images/themes/theme19/bg.gif")</f>
        <v>https://abs.twimg.com/images/themes/theme19/bg.gif</v>
      </c>
      <c r="AW1781" s="81" t="b">
        <v>0</v>
      </c>
      <c r="AX1781" s="81" t="s">
        <v>3728</v>
      </c>
      <c r="AY1781" s="84" t="str">
        <f>HYPERLINK("https://twitter.com/win4nity")</f>
        <v>https://twitter.com/win4nity</v>
      </c>
      <c r="AZ1781" s="81" t="s">
        <v>66</v>
      </c>
    </row>
    <row r="1782" spans="1:52" x14ac:dyDescent="0.35">
      <c r="A1782" s="66" t="s">
        <v>12634</v>
      </c>
      <c r="B1782" s="67"/>
      <c r="C1782" s="67"/>
      <c r="D1782" s="68"/>
      <c r="E1782" s="94"/>
      <c r="F1782" s="93" t="str">
        <f>HYPERLINK("https://pbs.twimg.com/profile_images/1438513421192818690/6MLOV9W1_normal.jpg")</f>
        <v>https://pbs.twimg.com/profile_images/1438513421192818690/6MLOV9W1_normal.jpg</v>
      </c>
      <c r="G1782" s="95"/>
      <c r="H1782" s="71"/>
      <c r="I1782" s="72"/>
      <c r="J1782" s="96"/>
      <c r="K1782" s="71" t="s">
        <v>14500</v>
      </c>
      <c r="L1782" s="97"/>
      <c r="M1782" s="76"/>
      <c r="N1782" s="76"/>
      <c r="O1782" s="77"/>
      <c r="P1782" s="78"/>
      <c r="Q1782" s="78"/>
      <c r="R1782" s="92"/>
      <c r="S1782" s="92"/>
      <c r="T1782" s="92"/>
      <c r="U1782" s="92"/>
      <c r="V1782" s="52"/>
      <c r="W1782" s="52"/>
      <c r="X1782" s="52"/>
      <c r="Y1782" s="52"/>
      <c r="Z1782" s="51"/>
      <c r="AA1782" s="73"/>
      <c r="AB1782" s="73"/>
      <c r="AC1782" s="74"/>
      <c r="AD1782" s="81" t="s">
        <v>13681</v>
      </c>
      <c r="AE1782" s="86" t="s">
        <v>13884</v>
      </c>
      <c r="AF1782" s="81">
        <v>360</v>
      </c>
      <c r="AG1782" s="81">
        <v>71</v>
      </c>
      <c r="AH1782" s="81">
        <v>9355</v>
      </c>
      <c r="AI1782" s="81">
        <v>4612</v>
      </c>
      <c r="AJ1782" s="81"/>
      <c r="AK1782" s="81" t="s">
        <v>14121</v>
      </c>
      <c r="AL1782" s="81" t="s">
        <v>3514</v>
      </c>
      <c r="AM1782" s="81"/>
      <c r="AN1782" s="81"/>
      <c r="AO1782" s="83">
        <v>43978.613321759258</v>
      </c>
      <c r="AP1782" s="84" t="str">
        <f>HYPERLINK("https://pbs.twimg.com/profile_banners/1265654737120051201/1630073044")</f>
        <v>https://pbs.twimg.com/profile_banners/1265654737120051201/1630073044</v>
      </c>
      <c r="AQ1782" s="81" t="b">
        <v>1</v>
      </c>
      <c r="AR1782" s="81" t="b">
        <v>0</v>
      </c>
      <c r="AS1782" s="81" t="b">
        <v>0</v>
      </c>
      <c r="AT1782" s="81"/>
      <c r="AU1782" s="81">
        <v>0</v>
      </c>
      <c r="AV1782" s="81"/>
      <c r="AW1782" s="81" t="b">
        <v>0</v>
      </c>
      <c r="AX1782" s="81" t="s">
        <v>3728</v>
      </c>
      <c r="AY1782" s="84" t="str">
        <f>HYPERLINK("https://twitter.com/jwisungwy")</f>
        <v>https://twitter.com/jwisungwy</v>
      </c>
      <c r="AZ1782" s="81" t="s">
        <v>66</v>
      </c>
    </row>
    <row r="1783" spans="1:52" x14ac:dyDescent="0.35">
      <c r="A1783" s="66" t="s">
        <v>12635</v>
      </c>
      <c r="B1783" s="67"/>
      <c r="C1783" s="67"/>
      <c r="D1783" s="68"/>
      <c r="E1783" s="94"/>
      <c r="F1783" s="93" t="str">
        <f>HYPERLINK("https://pbs.twimg.com/profile_images/1437434946281295877/bsoe9Hcc_normal.jpg")</f>
        <v>https://pbs.twimg.com/profile_images/1437434946281295877/bsoe9Hcc_normal.jpg</v>
      </c>
      <c r="G1783" s="95"/>
      <c r="H1783" s="71"/>
      <c r="I1783" s="72"/>
      <c r="J1783" s="96"/>
      <c r="K1783" s="71" t="s">
        <v>14501</v>
      </c>
      <c r="L1783" s="97"/>
      <c r="M1783" s="76"/>
      <c r="N1783" s="76"/>
      <c r="O1783" s="77"/>
      <c r="P1783" s="78"/>
      <c r="Q1783" s="78"/>
      <c r="R1783" s="92"/>
      <c r="S1783" s="92"/>
      <c r="T1783" s="92"/>
      <c r="U1783" s="92"/>
      <c r="V1783" s="52"/>
      <c r="W1783" s="52"/>
      <c r="X1783" s="52"/>
      <c r="Y1783" s="52"/>
      <c r="Z1783" s="51"/>
      <c r="AA1783" s="73"/>
      <c r="AB1783" s="73"/>
      <c r="AC1783" s="74"/>
      <c r="AD1783" s="81" t="s">
        <v>13682</v>
      </c>
      <c r="AE1783" s="86" t="s">
        <v>13885</v>
      </c>
      <c r="AF1783" s="81">
        <v>299</v>
      </c>
      <c r="AG1783" s="81">
        <v>136</v>
      </c>
      <c r="AH1783" s="81">
        <v>1151</v>
      </c>
      <c r="AI1783" s="81">
        <v>6347</v>
      </c>
      <c r="AJ1783" s="81"/>
      <c r="AK1783" s="81" t="s">
        <v>14122</v>
      </c>
      <c r="AL1783" s="81"/>
      <c r="AM1783" s="81"/>
      <c r="AN1783" s="81"/>
      <c r="AO1783" s="83">
        <v>44080.249432870369</v>
      </c>
      <c r="AP1783" s="84" t="str">
        <f>HYPERLINK("https://pbs.twimg.com/profile_banners/1302486423644196865/1624014196")</f>
        <v>https://pbs.twimg.com/profile_banners/1302486423644196865/1624014196</v>
      </c>
      <c r="AQ1783" s="81" t="b">
        <v>1</v>
      </c>
      <c r="AR1783" s="81" t="b">
        <v>0</v>
      </c>
      <c r="AS1783" s="81" t="b">
        <v>0</v>
      </c>
      <c r="AT1783" s="81"/>
      <c r="AU1783" s="81">
        <v>0</v>
      </c>
      <c r="AV1783" s="81"/>
      <c r="AW1783" s="81" t="b">
        <v>0</v>
      </c>
      <c r="AX1783" s="81" t="s">
        <v>3728</v>
      </c>
      <c r="AY1783" s="84" t="str">
        <f>HYPERLINK("https://twitter.com/yangyang335")</f>
        <v>https://twitter.com/yangyang335</v>
      </c>
      <c r="AZ1783" s="81" t="s">
        <v>66</v>
      </c>
    </row>
    <row r="1784" spans="1:52" x14ac:dyDescent="0.35">
      <c r="A1784" s="66" t="s">
        <v>12636</v>
      </c>
      <c r="B1784" s="67"/>
      <c r="C1784" s="67"/>
      <c r="D1784" s="68"/>
      <c r="E1784" s="94"/>
      <c r="F1784" s="93" t="str">
        <f>HYPERLINK("https://pbs.twimg.com/profile_images/1441693328836206592/Sjp42jo7_normal.jpg")</f>
        <v>https://pbs.twimg.com/profile_images/1441693328836206592/Sjp42jo7_normal.jpg</v>
      </c>
      <c r="G1784" s="95"/>
      <c r="H1784" s="71"/>
      <c r="I1784" s="72"/>
      <c r="J1784" s="96"/>
      <c r="K1784" s="71" t="s">
        <v>14502</v>
      </c>
      <c r="L1784" s="97"/>
      <c r="M1784" s="76"/>
      <c r="N1784" s="76"/>
      <c r="O1784" s="77"/>
      <c r="P1784" s="78"/>
      <c r="Q1784" s="78"/>
      <c r="R1784" s="92"/>
      <c r="S1784" s="92"/>
      <c r="T1784" s="92"/>
      <c r="U1784" s="92"/>
      <c r="V1784" s="52"/>
      <c r="W1784" s="52"/>
      <c r="X1784" s="52"/>
      <c r="Y1784" s="52"/>
      <c r="Z1784" s="51"/>
      <c r="AA1784" s="73"/>
      <c r="AB1784" s="73"/>
      <c r="AC1784" s="74"/>
      <c r="AD1784" s="81" t="s">
        <v>13683</v>
      </c>
      <c r="AE1784" s="86" t="s">
        <v>13886</v>
      </c>
      <c r="AF1784" s="81">
        <v>1616</v>
      </c>
      <c r="AG1784" s="81">
        <v>2155</v>
      </c>
      <c r="AH1784" s="81">
        <v>19213</v>
      </c>
      <c r="AI1784" s="81">
        <v>20767</v>
      </c>
      <c r="AJ1784" s="81"/>
      <c r="AK1784" s="81" t="s">
        <v>14123</v>
      </c>
      <c r="AL1784" s="81" t="s">
        <v>14250</v>
      </c>
      <c r="AM1784" s="84" t="str">
        <f>HYPERLINK("https://t.co/TF9ZcNZlJ2")</f>
        <v>https://t.co/TF9ZcNZlJ2</v>
      </c>
      <c r="AN1784" s="81"/>
      <c r="AO1784" s="83">
        <v>44085.519155092596</v>
      </c>
      <c r="AP1784" s="84" t="str">
        <f>HYPERLINK("https://pbs.twimg.com/profile_banners/1304396126066335744/1632561561")</f>
        <v>https://pbs.twimg.com/profile_banners/1304396126066335744/1632561561</v>
      </c>
      <c r="AQ1784" s="81" t="b">
        <v>1</v>
      </c>
      <c r="AR1784" s="81" t="b">
        <v>0</v>
      </c>
      <c r="AS1784" s="81" t="b">
        <v>0</v>
      </c>
      <c r="AT1784" s="81"/>
      <c r="AU1784" s="81">
        <v>4</v>
      </c>
      <c r="AV1784" s="81"/>
      <c r="AW1784" s="81" t="b">
        <v>0</v>
      </c>
      <c r="AX1784" s="81" t="s">
        <v>3728</v>
      </c>
      <c r="AY1784" s="84" t="str">
        <f>HYPERLINK("https://twitter.com/mylifesiwon")</f>
        <v>https://twitter.com/mylifesiwon</v>
      </c>
      <c r="AZ1784" s="81" t="s">
        <v>66</v>
      </c>
    </row>
    <row r="1785" spans="1:52" x14ac:dyDescent="0.35">
      <c r="A1785" s="66" t="s">
        <v>12637</v>
      </c>
      <c r="B1785" s="67"/>
      <c r="C1785" s="67"/>
      <c r="D1785" s="68"/>
      <c r="E1785" s="94"/>
      <c r="F1785" s="93" t="str">
        <f>HYPERLINK("https://pbs.twimg.com/profile_images/1435890819408400386/TdpGE0p0_normal.jpg")</f>
        <v>https://pbs.twimg.com/profile_images/1435890819408400386/TdpGE0p0_normal.jpg</v>
      </c>
      <c r="G1785" s="95"/>
      <c r="H1785" s="71"/>
      <c r="I1785" s="72"/>
      <c r="J1785" s="96"/>
      <c r="K1785" s="71" t="s">
        <v>14503</v>
      </c>
      <c r="L1785" s="97"/>
      <c r="M1785" s="76"/>
      <c r="N1785" s="76"/>
      <c r="O1785" s="77"/>
      <c r="P1785" s="78"/>
      <c r="Q1785" s="78"/>
      <c r="R1785" s="92"/>
      <c r="S1785" s="92"/>
      <c r="T1785" s="92"/>
      <c r="U1785" s="92"/>
      <c r="V1785" s="52"/>
      <c r="W1785" s="52"/>
      <c r="X1785" s="52"/>
      <c r="Y1785" s="52"/>
      <c r="Z1785" s="51"/>
      <c r="AA1785" s="73"/>
      <c r="AB1785" s="73"/>
      <c r="AC1785" s="74"/>
      <c r="AD1785" s="81" t="s">
        <v>13684</v>
      </c>
      <c r="AE1785" s="86" t="s">
        <v>13887</v>
      </c>
      <c r="AF1785" s="81">
        <v>71</v>
      </c>
      <c r="AG1785" s="81">
        <v>49</v>
      </c>
      <c r="AH1785" s="81">
        <v>267</v>
      </c>
      <c r="AI1785" s="81">
        <v>390</v>
      </c>
      <c r="AJ1785" s="81"/>
      <c r="AK1785" s="81" t="s">
        <v>14124</v>
      </c>
      <c r="AL1785" s="81"/>
      <c r="AM1785" s="81"/>
      <c r="AN1785" s="81"/>
      <c r="AO1785" s="83">
        <v>44005.375937500001</v>
      </c>
      <c r="AP1785" s="84" t="str">
        <f>HYPERLINK("https://pbs.twimg.com/profile_banners/1275352760456671241/1630969622")</f>
        <v>https://pbs.twimg.com/profile_banners/1275352760456671241/1630969622</v>
      </c>
      <c r="AQ1785" s="81" t="b">
        <v>1</v>
      </c>
      <c r="AR1785" s="81" t="b">
        <v>0</v>
      </c>
      <c r="AS1785" s="81" t="b">
        <v>0</v>
      </c>
      <c r="AT1785" s="81"/>
      <c r="AU1785" s="81">
        <v>0</v>
      </c>
      <c r="AV1785" s="81"/>
      <c r="AW1785" s="81" t="b">
        <v>0</v>
      </c>
      <c r="AX1785" s="81" t="s">
        <v>3728</v>
      </c>
      <c r="AY1785" s="84" t="str">
        <f>HYPERLINK("https://twitter.com/lilkdyct")</f>
        <v>https://twitter.com/lilkdyct</v>
      </c>
      <c r="AZ1785" s="81" t="s">
        <v>66</v>
      </c>
    </row>
    <row r="1786" spans="1:52" x14ac:dyDescent="0.35">
      <c r="A1786" s="66" t="s">
        <v>12638</v>
      </c>
      <c r="B1786" s="67"/>
      <c r="C1786" s="67"/>
      <c r="D1786" s="68"/>
      <c r="E1786" s="94"/>
      <c r="F1786" s="93" t="str">
        <f>HYPERLINK("https://pbs.twimg.com/profile_images/1420860412078268416/QkcBKyoi_normal.png")</f>
        <v>https://pbs.twimg.com/profile_images/1420860412078268416/QkcBKyoi_normal.png</v>
      </c>
      <c r="G1786" s="95"/>
      <c r="H1786" s="71"/>
      <c r="I1786" s="72"/>
      <c r="J1786" s="96"/>
      <c r="K1786" s="71" t="s">
        <v>14504</v>
      </c>
      <c r="L1786" s="97"/>
      <c r="M1786" s="76"/>
      <c r="N1786" s="76"/>
      <c r="O1786" s="77"/>
      <c r="P1786" s="78"/>
      <c r="Q1786" s="78"/>
      <c r="R1786" s="92"/>
      <c r="S1786" s="92"/>
      <c r="T1786" s="92"/>
      <c r="U1786" s="92"/>
      <c r="V1786" s="52"/>
      <c r="W1786" s="52"/>
      <c r="X1786" s="52"/>
      <c r="Y1786" s="52"/>
      <c r="Z1786" s="51"/>
      <c r="AA1786" s="73"/>
      <c r="AB1786" s="73"/>
      <c r="AC1786" s="74"/>
      <c r="AD1786" s="81" t="s">
        <v>13685</v>
      </c>
      <c r="AE1786" s="86" t="s">
        <v>13888</v>
      </c>
      <c r="AF1786" s="81">
        <v>189</v>
      </c>
      <c r="AG1786" s="81">
        <v>11</v>
      </c>
      <c r="AH1786" s="81">
        <v>5180</v>
      </c>
      <c r="AI1786" s="81">
        <v>4101</v>
      </c>
      <c r="AJ1786" s="81"/>
      <c r="AK1786" s="81" t="s">
        <v>14125</v>
      </c>
      <c r="AL1786" s="81"/>
      <c r="AM1786" s="81"/>
      <c r="AN1786" s="81"/>
      <c r="AO1786" s="83">
        <v>44406.899236111109</v>
      </c>
      <c r="AP1786" s="81"/>
      <c r="AQ1786" s="81" t="b">
        <v>1</v>
      </c>
      <c r="AR1786" s="81" t="b">
        <v>0</v>
      </c>
      <c r="AS1786" s="81" t="b">
        <v>0</v>
      </c>
      <c r="AT1786" s="81"/>
      <c r="AU1786" s="81">
        <v>0</v>
      </c>
      <c r="AV1786" s="81"/>
      <c r="AW1786" s="81" t="b">
        <v>0</v>
      </c>
      <c r="AX1786" s="81" t="s">
        <v>3728</v>
      </c>
      <c r="AY1786" s="84" t="str">
        <f>HYPERLINK("https://twitter.com/josemaralves")</f>
        <v>https://twitter.com/josemaralves</v>
      </c>
      <c r="AZ1786" s="81" t="s">
        <v>66</v>
      </c>
    </row>
    <row r="1787" spans="1:52" x14ac:dyDescent="0.35">
      <c r="A1787" s="66" t="s">
        <v>12639</v>
      </c>
      <c r="B1787" s="67"/>
      <c r="C1787" s="67"/>
      <c r="D1787" s="68"/>
      <c r="E1787" s="94"/>
      <c r="F1787" s="93" t="str">
        <f>HYPERLINK("https://pbs.twimg.com/profile_images/1442364120896983041/Msq-KPAm_normal.jpg")</f>
        <v>https://pbs.twimg.com/profile_images/1442364120896983041/Msq-KPAm_normal.jpg</v>
      </c>
      <c r="G1787" s="95"/>
      <c r="H1787" s="71"/>
      <c r="I1787" s="72"/>
      <c r="J1787" s="96"/>
      <c r="K1787" s="71" t="s">
        <v>14505</v>
      </c>
      <c r="L1787" s="97"/>
      <c r="M1787" s="76"/>
      <c r="N1787" s="76"/>
      <c r="O1787" s="77"/>
      <c r="P1787" s="78"/>
      <c r="Q1787" s="78"/>
      <c r="R1787" s="92"/>
      <c r="S1787" s="92"/>
      <c r="T1787" s="92"/>
      <c r="U1787" s="92"/>
      <c r="V1787" s="52"/>
      <c r="W1787" s="52"/>
      <c r="X1787" s="52"/>
      <c r="Y1787" s="52"/>
      <c r="Z1787" s="51"/>
      <c r="AA1787" s="73"/>
      <c r="AB1787" s="73"/>
      <c r="AC1787" s="74"/>
      <c r="AD1787" s="81" t="s">
        <v>13686</v>
      </c>
      <c r="AE1787" s="86" t="s">
        <v>13889</v>
      </c>
      <c r="AF1787" s="81">
        <v>457</v>
      </c>
      <c r="AG1787" s="81">
        <v>252</v>
      </c>
      <c r="AH1787" s="81">
        <v>8208</v>
      </c>
      <c r="AI1787" s="81">
        <v>9579</v>
      </c>
      <c r="AJ1787" s="81"/>
      <c r="AK1787" s="81" t="s">
        <v>14126</v>
      </c>
      <c r="AL1787" s="81"/>
      <c r="AM1787" s="81"/>
      <c r="AN1787" s="81"/>
      <c r="AO1787" s="83">
        <v>44224.519085648149</v>
      </c>
      <c r="AP1787" s="84" t="str">
        <f>HYPERLINK("https://pbs.twimg.com/profile_banners/1354768015854723078/1629991513")</f>
        <v>https://pbs.twimg.com/profile_banners/1354768015854723078/1629991513</v>
      </c>
      <c r="AQ1787" s="81" t="b">
        <v>1</v>
      </c>
      <c r="AR1787" s="81" t="b">
        <v>0</v>
      </c>
      <c r="AS1787" s="81" t="b">
        <v>0</v>
      </c>
      <c r="AT1787" s="81"/>
      <c r="AU1787" s="81">
        <v>1</v>
      </c>
      <c r="AV1787" s="81"/>
      <c r="AW1787" s="81" t="b">
        <v>0</v>
      </c>
      <c r="AX1787" s="81" t="s">
        <v>3728</v>
      </c>
      <c r="AY1787" s="84" t="str">
        <f>HYPERLINK("https://twitter.com/eewiinn_")</f>
        <v>https://twitter.com/eewiinn_</v>
      </c>
      <c r="AZ1787" s="81" t="s">
        <v>66</v>
      </c>
    </row>
    <row r="1788" spans="1:52" x14ac:dyDescent="0.35">
      <c r="A1788" s="66" t="s">
        <v>12640</v>
      </c>
      <c r="B1788" s="67"/>
      <c r="C1788" s="67"/>
      <c r="D1788" s="68"/>
      <c r="E1788" s="94"/>
      <c r="F1788" s="93" t="str">
        <f>HYPERLINK("https://pbs.twimg.com/profile_images/1399395444917084162/VOqe1FsL_normal.jpg")</f>
        <v>https://pbs.twimg.com/profile_images/1399395444917084162/VOqe1FsL_normal.jpg</v>
      </c>
      <c r="G1788" s="95"/>
      <c r="H1788" s="71"/>
      <c r="I1788" s="72"/>
      <c r="J1788" s="96"/>
      <c r="K1788" s="71" t="s">
        <v>14506</v>
      </c>
      <c r="L1788" s="97"/>
      <c r="M1788" s="76"/>
      <c r="N1788" s="76"/>
      <c r="O1788" s="77"/>
      <c r="P1788" s="78"/>
      <c r="Q1788" s="78"/>
      <c r="R1788" s="92"/>
      <c r="S1788" s="92"/>
      <c r="T1788" s="92"/>
      <c r="U1788" s="92"/>
      <c r="V1788" s="52"/>
      <c r="W1788" s="52"/>
      <c r="X1788" s="52"/>
      <c r="Y1788" s="52"/>
      <c r="Z1788" s="51"/>
      <c r="AA1788" s="73"/>
      <c r="AB1788" s="73"/>
      <c r="AC1788" s="74"/>
      <c r="AD1788" s="81" t="s">
        <v>13687</v>
      </c>
      <c r="AE1788" s="86" t="s">
        <v>13890</v>
      </c>
      <c r="AF1788" s="81">
        <v>328</v>
      </c>
      <c r="AG1788" s="81">
        <v>57</v>
      </c>
      <c r="AH1788" s="81">
        <v>618</v>
      </c>
      <c r="AI1788" s="81">
        <v>3507</v>
      </c>
      <c r="AJ1788" s="81"/>
      <c r="AK1788" s="81" t="s">
        <v>14127</v>
      </c>
      <c r="AL1788" s="81"/>
      <c r="AM1788" s="81"/>
      <c r="AN1788" s="81"/>
      <c r="AO1788" s="83">
        <v>44155.134432870371</v>
      </c>
      <c r="AP1788" s="84" t="str">
        <f>HYPERLINK("https://pbs.twimg.com/profile_banners/1329623845565726721/1619354265")</f>
        <v>https://pbs.twimg.com/profile_banners/1329623845565726721/1619354265</v>
      </c>
      <c r="AQ1788" s="81" t="b">
        <v>1</v>
      </c>
      <c r="AR1788" s="81" t="b">
        <v>0</v>
      </c>
      <c r="AS1788" s="81" t="b">
        <v>0</v>
      </c>
      <c r="AT1788" s="81"/>
      <c r="AU1788" s="81">
        <v>0</v>
      </c>
      <c r="AV1788" s="81"/>
      <c r="AW1788" s="81" t="b">
        <v>0</v>
      </c>
      <c r="AX1788" s="81" t="s">
        <v>3728</v>
      </c>
      <c r="AY1788" s="84" t="str">
        <f>HYPERLINK("https://twitter.com/wnrashida1")</f>
        <v>https://twitter.com/wnrashida1</v>
      </c>
      <c r="AZ1788" s="81" t="s">
        <v>66</v>
      </c>
    </row>
    <row r="1789" spans="1:52" x14ac:dyDescent="0.35">
      <c r="A1789" s="66" t="s">
        <v>12641</v>
      </c>
      <c r="B1789" s="67"/>
      <c r="C1789" s="67"/>
      <c r="D1789" s="68"/>
      <c r="E1789" s="94"/>
      <c r="F1789" s="93" t="str">
        <f>HYPERLINK("https://pbs.twimg.com/profile_images/1443198778756845572/zI0jqOuF_normal.jpg")</f>
        <v>https://pbs.twimg.com/profile_images/1443198778756845572/zI0jqOuF_normal.jpg</v>
      </c>
      <c r="G1789" s="95"/>
      <c r="H1789" s="71"/>
      <c r="I1789" s="72"/>
      <c r="J1789" s="96"/>
      <c r="K1789" s="71" t="s">
        <v>14507</v>
      </c>
      <c r="L1789" s="97"/>
      <c r="M1789" s="76"/>
      <c r="N1789" s="76"/>
      <c r="O1789" s="77"/>
      <c r="P1789" s="78"/>
      <c r="Q1789" s="78"/>
      <c r="R1789" s="92"/>
      <c r="S1789" s="92"/>
      <c r="T1789" s="92"/>
      <c r="U1789" s="92"/>
      <c r="V1789" s="52"/>
      <c r="W1789" s="52"/>
      <c r="X1789" s="52"/>
      <c r="Y1789" s="52"/>
      <c r="Z1789" s="51"/>
      <c r="AA1789" s="73"/>
      <c r="AB1789" s="73"/>
      <c r="AC1789" s="74"/>
      <c r="AD1789" s="81" t="s">
        <v>13688</v>
      </c>
      <c r="AE1789" s="86" t="s">
        <v>13891</v>
      </c>
      <c r="AF1789" s="81">
        <v>199</v>
      </c>
      <c r="AG1789" s="81">
        <v>148</v>
      </c>
      <c r="AH1789" s="81">
        <v>9067</v>
      </c>
      <c r="AI1789" s="81">
        <v>2172</v>
      </c>
      <c r="AJ1789" s="81"/>
      <c r="AK1789" s="81" t="s">
        <v>14128</v>
      </c>
      <c r="AL1789" s="81" t="s">
        <v>14251</v>
      </c>
      <c r="AM1789" s="81"/>
      <c r="AN1789" s="81"/>
      <c r="AO1789" s="83">
        <v>44361.085543981484</v>
      </c>
      <c r="AP1789" s="84" t="str">
        <f>HYPERLINK("https://pbs.twimg.com/profile_banners/1404258008830332929/1631637223")</f>
        <v>https://pbs.twimg.com/profile_banners/1404258008830332929/1631637223</v>
      </c>
      <c r="AQ1789" s="81" t="b">
        <v>1</v>
      </c>
      <c r="AR1789" s="81" t="b">
        <v>0</v>
      </c>
      <c r="AS1789" s="81" t="b">
        <v>0</v>
      </c>
      <c r="AT1789" s="81"/>
      <c r="AU1789" s="81">
        <v>2</v>
      </c>
      <c r="AV1789" s="81"/>
      <c r="AW1789" s="81" t="b">
        <v>0</v>
      </c>
      <c r="AX1789" s="81" t="s">
        <v>3728</v>
      </c>
      <c r="AY1789" s="84" t="str">
        <f>HYPERLINK("https://twitter.com/ttalgijaemdonut")</f>
        <v>https://twitter.com/ttalgijaemdonut</v>
      </c>
      <c r="AZ1789" s="81" t="s">
        <v>66</v>
      </c>
    </row>
    <row r="1790" spans="1:52" x14ac:dyDescent="0.35">
      <c r="A1790" s="66" t="s">
        <v>12642</v>
      </c>
      <c r="B1790" s="67"/>
      <c r="C1790" s="67"/>
      <c r="D1790" s="68"/>
      <c r="E1790" s="94"/>
      <c r="F1790" s="93" t="str">
        <f>HYPERLINK("https://pbs.twimg.com/profile_images/1442875405979963394/TqXJ3v-v_normal.jpg")</f>
        <v>https://pbs.twimg.com/profile_images/1442875405979963394/TqXJ3v-v_normal.jpg</v>
      </c>
      <c r="G1790" s="95"/>
      <c r="H1790" s="71"/>
      <c r="I1790" s="72"/>
      <c r="J1790" s="96"/>
      <c r="K1790" s="71" t="s">
        <v>14508</v>
      </c>
      <c r="L1790" s="97"/>
      <c r="M1790" s="76"/>
      <c r="N1790" s="76"/>
      <c r="O1790" s="77"/>
      <c r="P1790" s="78"/>
      <c r="Q1790" s="78"/>
      <c r="R1790" s="92"/>
      <c r="S1790" s="92"/>
      <c r="T1790" s="92"/>
      <c r="U1790" s="92"/>
      <c r="V1790" s="52"/>
      <c r="W1790" s="52"/>
      <c r="X1790" s="52"/>
      <c r="Y1790" s="52"/>
      <c r="Z1790" s="51"/>
      <c r="AA1790" s="73"/>
      <c r="AB1790" s="73"/>
      <c r="AC1790" s="74"/>
      <c r="AD1790" s="81" t="s">
        <v>13689</v>
      </c>
      <c r="AE1790" s="86" t="s">
        <v>13892</v>
      </c>
      <c r="AF1790" s="81">
        <v>959</v>
      </c>
      <c r="AG1790" s="81">
        <v>1172</v>
      </c>
      <c r="AH1790" s="81">
        <v>25965</v>
      </c>
      <c r="AI1790" s="81">
        <v>47492</v>
      </c>
      <c r="AJ1790" s="81"/>
      <c r="AK1790" s="81" t="s">
        <v>14129</v>
      </c>
      <c r="AL1790" s="81" t="s">
        <v>14252</v>
      </c>
      <c r="AM1790" s="81"/>
      <c r="AN1790" s="81"/>
      <c r="AO1790" s="83">
        <v>43656.400069444448</v>
      </c>
      <c r="AP1790" s="84" t="str">
        <f>HYPERLINK("https://pbs.twimg.com/profile_banners/1148888619425255424/1632754189")</f>
        <v>https://pbs.twimg.com/profile_banners/1148888619425255424/1632754189</v>
      </c>
      <c r="AQ1790" s="81" t="b">
        <v>1</v>
      </c>
      <c r="AR1790" s="81" t="b">
        <v>0</v>
      </c>
      <c r="AS1790" s="81" t="b">
        <v>0</v>
      </c>
      <c r="AT1790" s="81"/>
      <c r="AU1790" s="81">
        <v>8</v>
      </c>
      <c r="AV1790" s="81"/>
      <c r="AW1790" s="81" t="b">
        <v>0</v>
      </c>
      <c r="AX1790" s="81" t="s">
        <v>3728</v>
      </c>
      <c r="AY1790" s="84" t="str">
        <f>HYPERLINK("https://twitter.com/f41ryygyuu")</f>
        <v>https://twitter.com/f41ryygyuu</v>
      </c>
      <c r="AZ1790" s="81" t="s">
        <v>66</v>
      </c>
    </row>
    <row r="1791" spans="1:52" x14ac:dyDescent="0.35">
      <c r="A1791" s="66" t="s">
        <v>12643</v>
      </c>
      <c r="B1791" s="67"/>
      <c r="C1791" s="67"/>
      <c r="D1791" s="68"/>
      <c r="E1791" s="94"/>
      <c r="F1791" s="93" t="str">
        <f>HYPERLINK("https://pbs.twimg.com/profile_images/1442471694854021249/-OH75Y4D_normal.jpg")</f>
        <v>https://pbs.twimg.com/profile_images/1442471694854021249/-OH75Y4D_normal.jpg</v>
      </c>
      <c r="G1791" s="95"/>
      <c r="H1791" s="71"/>
      <c r="I1791" s="72"/>
      <c r="J1791" s="96"/>
      <c r="K1791" s="71" t="s">
        <v>14509</v>
      </c>
      <c r="L1791" s="97"/>
      <c r="M1791" s="76"/>
      <c r="N1791" s="76"/>
      <c r="O1791" s="77"/>
      <c r="P1791" s="78"/>
      <c r="Q1791" s="78"/>
      <c r="R1791" s="92"/>
      <c r="S1791" s="92"/>
      <c r="T1791" s="92"/>
      <c r="U1791" s="92"/>
      <c r="V1791" s="52"/>
      <c r="W1791" s="52"/>
      <c r="X1791" s="52"/>
      <c r="Y1791" s="52"/>
      <c r="Z1791" s="51"/>
      <c r="AA1791" s="73"/>
      <c r="AB1791" s="73"/>
      <c r="AC1791" s="74"/>
      <c r="AD1791" s="81" t="s">
        <v>13690</v>
      </c>
      <c r="AE1791" s="86" t="s">
        <v>13893</v>
      </c>
      <c r="AF1791" s="81">
        <v>655</v>
      </c>
      <c r="AG1791" s="81">
        <v>669</v>
      </c>
      <c r="AH1791" s="81">
        <v>5891</v>
      </c>
      <c r="AI1791" s="81">
        <v>3014</v>
      </c>
      <c r="AJ1791" s="81"/>
      <c r="AK1791" s="81" t="s">
        <v>14130</v>
      </c>
      <c r="AL1791" s="81" t="s">
        <v>14253</v>
      </c>
      <c r="AM1791" s="84" t="str">
        <f>HYPERLINK("https://t.co/9xzYjl4UPG")</f>
        <v>https://t.co/9xzYjl4UPG</v>
      </c>
      <c r="AN1791" s="81"/>
      <c r="AO1791" s="83">
        <v>44388.469965277778</v>
      </c>
      <c r="AP1791" s="84" t="str">
        <f>HYPERLINK("https://pbs.twimg.com/profile_banners/1414181669175652355/1632040145")</f>
        <v>https://pbs.twimg.com/profile_banners/1414181669175652355/1632040145</v>
      </c>
      <c r="AQ1791" s="81" t="b">
        <v>1</v>
      </c>
      <c r="AR1791" s="81" t="b">
        <v>0</v>
      </c>
      <c r="AS1791" s="81" t="b">
        <v>0</v>
      </c>
      <c r="AT1791" s="81"/>
      <c r="AU1791" s="81">
        <v>11</v>
      </c>
      <c r="AV1791" s="81"/>
      <c r="AW1791" s="81" t="b">
        <v>0</v>
      </c>
      <c r="AX1791" s="81" t="s">
        <v>3728</v>
      </c>
      <c r="AY1791" s="84" t="str">
        <f>HYPERLINK("https://twitter.com/j3rrybbo_")</f>
        <v>https://twitter.com/j3rrybbo_</v>
      </c>
      <c r="AZ1791" s="81" t="s">
        <v>66</v>
      </c>
    </row>
    <row r="1792" spans="1:52" x14ac:dyDescent="0.35">
      <c r="A1792" s="66" t="s">
        <v>12644</v>
      </c>
      <c r="B1792" s="67"/>
      <c r="C1792" s="67"/>
      <c r="D1792" s="68"/>
      <c r="E1792" s="94"/>
      <c r="F1792" s="93" t="str">
        <f>HYPERLINK("https://pbs.twimg.com/profile_images/1442581893417881606/4KlG7yNF_normal.jpg")</f>
        <v>https://pbs.twimg.com/profile_images/1442581893417881606/4KlG7yNF_normal.jpg</v>
      </c>
      <c r="G1792" s="95"/>
      <c r="H1792" s="71"/>
      <c r="I1792" s="72"/>
      <c r="J1792" s="96"/>
      <c r="K1792" s="71" t="s">
        <v>14510</v>
      </c>
      <c r="L1792" s="97"/>
      <c r="M1792" s="76"/>
      <c r="N1792" s="76"/>
      <c r="O1792" s="77"/>
      <c r="P1792" s="78"/>
      <c r="Q1792" s="78"/>
      <c r="R1792" s="92"/>
      <c r="S1792" s="92"/>
      <c r="T1792" s="92"/>
      <c r="U1792" s="92"/>
      <c r="V1792" s="52"/>
      <c r="W1792" s="52"/>
      <c r="X1792" s="52"/>
      <c r="Y1792" s="52"/>
      <c r="Z1792" s="51"/>
      <c r="AA1792" s="73"/>
      <c r="AB1792" s="73"/>
      <c r="AC1792" s="74"/>
      <c r="AD1792" s="81" t="s">
        <v>13691</v>
      </c>
      <c r="AE1792" s="86" t="s">
        <v>13894</v>
      </c>
      <c r="AF1792" s="81">
        <v>441</v>
      </c>
      <c r="AG1792" s="81">
        <v>75</v>
      </c>
      <c r="AH1792" s="81">
        <v>2824</v>
      </c>
      <c r="AI1792" s="81">
        <v>2543</v>
      </c>
      <c r="AJ1792" s="81"/>
      <c r="AK1792" s="81" t="s">
        <v>14131</v>
      </c>
      <c r="AL1792" s="81" t="s">
        <v>14254</v>
      </c>
      <c r="AM1792" s="81"/>
      <c r="AN1792" s="81"/>
      <c r="AO1792" s="83">
        <v>44439.321203703701</v>
      </c>
      <c r="AP1792" s="84" t="str">
        <f>HYPERLINK("https://pbs.twimg.com/profile_banners/1432609681088737283/1632622357")</f>
        <v>https://pbs.twimg.com/profile_banners/1432609681088737283/1632622357</v>
      </c>
      <c r="AQ1792" s="81" t="b">
        <v>1</v>
      </c>
      <c r="AR1792" s="81" t="b">
        <v>0</v>
      </c>
      <c r="AS1792" s="81" t="b">
        <v>0</v>
      </c>
      <c r="AT1792" s="81"/>
      <c r="AU1792" s="81">
        <v>0</v>
      </c>
      <c r="AV1792" s="81"/>
      <c r="AW1792" s="81" t="b">
        <v>0</v>
      </c>
      <c r="AX1792" s="81" t="s">
        <v>3728</v>
      </c>
      <c r="AY1792" s="84" t="str">
        <f>HYPERLINK("https://twitter.com/lilytrisy")</f>
        <v>https://twitter.com/lilytrisy</v>
      </c>
      <c r="AZ1792" s="81" t="s">
        <v>66</v>
      </c>
    </row>
    <row r="1793" spans="1:52" x14ac:dyDescent="0.35">
      <c r="A1793" s="66" t="s">
        <v>12645</v>
      </c>
      <c r="B1793" s="67"/>
      <c r="C1793" s="67"/>
      <c r="D1793" s="68"/>
      <c r="E1793" s="94"/>
      <c r="F1793" s="93" t="str">
        <f>HYPERLINK("https://pbs.twimg.com/profile_images/419744958464020480/UvMhsXQC_normal.jpeg")</f>
        <v>https://pbs.twimg.com/profile_images/419744958464020480/UvMhsXQC_normal.jpeg</v>
      </c>
      <c r="G1793" s="95"/>
      <c r="H1793" s="71"/>
      <c r="I1793" s="72"/>
      <c r="J1793" s="96"/>
      <c r="K1793" s="71" t="s">
        <v>14511</v>
      </c>
      <c r="L1793" s="97"/>
      <c r="M1793" s="76"/>
      <c r="N1793" s="76"/>
      <c r="O1793" s="77"/>
      <c r="P1793" s="78"/>
      <c r="Q1793" s="78"/>
      <c r="R1793" s="92"/>
      <c r="S1793" s="92"/>
      <c r="T1793" s="92"/>
      <c r="U1793" s="92"/>
      <c r="V1793" s="52"/>
      <c r="W1793" s="52"/>
      <c r="X1793" s="52"/>
      <c r="Y1793" s="52"/>
      <c r="Z1793" s="51"/>
      <c r="AA1793" s="73"/>
      <c r="AB1793" s="73"/>
      <c r="AC1793" s="74"/>
      <c r="AD1793" s="81" t="s">
        <v>13692</v>
      </c>
      <c r="AE1793" s="86" t="s">
        <v>13895</v>
      </c>
      <c r="AF1793" s="81">
        <v>5000</v>
      </c>
      <c r="AG1793" s="81">
        <v>3566</v>
      </c>
      <c r="AH1793" s="81">
        <v>2926</v>
      </c>
      <c r="AI1793" s="81">
        <v>41745</v>
      </c>
      <c r="AJ1793" s="81"/>
      <c r="AK1793" s="81" t="s">
        <v>14132</v>
      </c>
      <c r="AL1793" s="81" t="s">
        <v>11156</v>
      </c>
      <c r="AM1793" s="81"/>
      <c r="AN1793" s="81"/>
      <c r="AO1793" s="83">
        <v>41644.328645833331</v>
      </c>
      <c r="AP1793" s="84" t="str">
        <f>HYPERLINK("https://pbs.twimg.com/profile_banners/2277297199/1533589171")</f>
        <v>https://pbs.twimg.com/profile_banners/2277297199/1533589171</v>
      </c>
      <c r="AQ1793" s="81" t="b">
        <v>1</v>
      </c>
      <c r="AR1793" s="81" t="b">
        <v>0</v>
      </c>
      <c r="AS1793" s="81" t="b">
        <v>1</v>
      </c>
      <c r="AT1793" s="81"/>
      <c r="AU1793" s="81">
        <v>32</v>
      </c>
      <c r="AV1793" s="84" t="str">
        <f>HYPERLINK("https://abs.twimg.com/images/themes/theme1/bg.png")</f>
        <v>https://abs.twimg.com/images/themes/theme1/bg.png</v>
      </c>
      <c r="AW1793" s="81" t="b">
        <v>0</v>
      </c>
      <c r="AX1793" s="81" t="s">
        <v>3728</v>
      </c>
      <c r="AY1793" s="84" t="str">
        <f>HYPERLINK("https://twitter.com/rebeccaeberger")</f>
        <v>https://twitter.com/rebeccaeberger</v>
      </c>
      <c r="AZ1793" s="81" t="s">
        <v>66</v>
      </c>
    </row>
    <row r="1794" spans="1:52" x14ac:dyDescent="0.35">
      <c r="A1794" s="66" t="s">
        <v>12726</v>
      </c>
      <c r="B1794" s="67"/>
      <c r="C1794" s="67"/>
      <c r="D1794" s="68"/>
      <c r="E1794" s="94"/>
      <c r="F1794" s="93" t="str">
        <f>HYPERLINK("https://pbs.twimg.com/profile_images/1402712397178191872/rjprtVOg_normal.jpg")</f>
        <v>https://pbs.twimg.com/profile_images/1402712397178191872/rjprtVOg_normal.jpg</v>
      </c>
      <c r="G1794" s="95"/>
      <c r="H1794" s="71"/>
      <c r="I1794" s="72"/>
      <c r="J1794" s="96"/>
      <c r="K1794" s="71" t="s">
        <v>14512</v>
      </c>
      <c r="L1794" s="97"/>
      <c r="M1794" s="76"/>
      <c r="N1794" s="76"/>
      <c r="O1794" s="77"/>
      <c r="P1794" s="78"/>
      <c r="Q1794" s="78"/>
      <c r="R1794" s="92"/>
      <c r="S1794" s="92"/>
      <c r="T1794" s="92"/>
      <c r="U1794" s="92"/>
      <c r="V1794" s="52"/>
      <c r="W1794" s="52"/>
      <c r="X1794" s="52"/>
      <c r="Y1794" s="52"/>
      <c r="Z1794" s="51"/>
      <c r="AA1794" s="73"/>
      <c r="AB1794" s="73"/>
      <c r="AC1794" s="74"/>
      <c r="AD1794" s="81" t="s">
        <v>13693</v>
      </c>
      <c r="AE1794" s="86" t="s">
        <v>13896</v>
      </c>
      <c r="AF1794" s="81">
        <v>733</v>
      </c>
      <c r="AG1794" s="81">
        <v>3430</v>
      </c>
      <c r="AH1794" s="81">
        <v>2168</v>
      </c>
      <c r="AI1794" s="81">
        <v>4143</v>
      </c>
      <c r="AJ1794" s="81"/>
      <c r="AK1794" s="81" t="s">
        <v>14133</v>
      </c>
      <c r="AL1794" s="81" t="s">
        <v>14255</v>
      </c>
      <c r="AM1794" s="84" t="str">
        <f>HYPERLINK("https://t.co/Tdm12O65cj")</f>
        <v>https://t.co/Tdm12O65cj</v>
      </c>
      <c r="AN1794" s="81"/>
      <c r="AO1794" s="83">
        <v>41457.557500000003</v>
      </c>
      <c r="AP1794" s="84" t="str">
        <f>HYPERLINK("https://pbs.twimg.com/profile_banners/1563149796/1627583901")</f>
        <v>https://pbs.twimg.com/profile_banners/1563149796/1627583901</v>
      </c>
      <c r="AQ1794" s="81" t="b">
        <v>1</v>
      </c>
      <c r="AR1794" s="81" t="b">
        <v>0</v>
      </c>
      <c r="AS1794" s="81" t="b">
        <v>1</v>
      </c>
      <c r="AT1794" s="81"/>
      <c r="AU1794" s="81">
        <v>30</v>
      </c>
      <c r="AV1794" s="84" t="str">
        <f>HYPERLINK("https://abs.twimg.com/images/themes/theme1/bg.png")</f>
        <v>https://abs.twimg.com/images/themes/theme1/bg.png</v>
      </c>
      <c r="AW1794" s="81" t="b">
        <v>0</v>
      </c>
      <c r="AX1794" s="81" t="s">
        <v>3728</v>
      </c>
      <c r="AY1794" s="84" t="str">
        <f>HYPERLINK("https://twitter.com/ccf_imchiefs")</f>
        <v>https://twitter.com/ccf_imchiefs</v>
      </c>
      <c r="AZ1794" s="81" t="s">
        <v>65</v>
      </c>
    </row>
    <row r="1795" spans="1:52" x14ac:dyDescent="0.35">
      <c r="A1795" s="66" t="s">
        <v>12727</v>
      </c>
      <c r="B1795" s="67"/>
      <c r="C1795" s="67"/>
      <c r="D1795" s="68"/>
      <c r="E1795" s="94"/>
      <c r="F1795" s="93" t="str">
        <f>HYPERLINK("https://pbs.twimg.com/profile_images/1417962329682108418/boLpvqf__normal.jpg")</f>
        <v>https://pbs.twimg.com/profile_images/1417962329682108418/boLpvqf__normal.jpg</v>
      </c>
      <c r="G1795" s="95"/>
      <c r="H1795" s="71"/>
      <c r="I1795" s="72"/>
      <c r="J1795" s="96"/>
      <c r="K1795" s="71" t="s">
        <v>14513</v>
      </c>
      <c r="L1795" s="97"/>
      <c r="M1795" s="76"/>
      <c r="N1795" s="76"/>
      <c r="O1795" s="77"/>
      <c r="P1795" s="78"/>
      <c r="Q1795" s="78"/>
      <c r="R1795" s="92"/>
      <c r="S1795" s="92"/>
      <c r="T1795" s="92"/>
      <c r="U1795" s="92"/>
      <c r="V1795" s="52"/>
      <c r="W1795" s="52"/>
      <c r="X1795" s="52"/>
      <c r="Y1795" s="52"/>
      <c r="Z1795" s="51"/>
      <c r="AA1795" s="73"/>
      <c r="AB1795" s="73"/>
      <c r="AC1795" s="74"/>
      <c r="AD1795" s="81" t="s">
        <v>13694</v>
      </c>
      <c r="AE1795" s="86" t="s">
        <v>13897</v>
      </c>
      <c r="AF1795" s="81">
        <v>3252</v>
      </c>
      <c r="AG1795" s="81">
        <v>9387</v>
      </c>
      <c r="AH1795" s="81">
        <v>63868</v>
      </c>
      <c r="AI1795" s="81">
        <v>86627</v>
      </c>
      <c r="AJ1795" s="81"/>
      <c r="AK1795" s="81" t="s">
        <v>14134</v>
      </c>
      <c r="AL1795" s="81" t="s">
        <v>14256</v>
      </c>
      <c r="AM1795" s="84" t="str">
        <f>HYPERLINK("https://t.co/kptllIvhS0")</f>
        <v>https://t.co/kptllIvhS0</v>
      </c>
      <c r="AN1795" s="81"/>
      <c r="AO1795" s="83">
        <v>39709.867037037038</v>
      </c>
      <c r="AP1795" s="84" t="str">
        <f>HYPERLINK("https://pbs.twimg.com/profile_banners/16352975/1611181584")</f>
        <v>https://pbs.twimg.com/profile_banners/16352975/1611181584</v>
      </c>
      <c r="AQ1795" s="81" t="b">
        <v>0</v>
      </c>
      <c r="AR1795" s="81" t="b">
        <v>0</v>
      </c>
      <c r="AS1795" s="81" t="b">
        <v>0</v>
      </c>
      <c r="AT1795" s="81"/>
      <c r="AU1795" s="81">
        <v>186</v>
      </c>
      <c r="AV1795" s="84" t="str">
        <f>HYPERLINK("https://abs.twimg.com/images/themes/theme1/bg.png")</f>
        <v>https://abs.twimg.com/images/themes/theme1/bg.png</v>
      </c>
      <c r="AW1795" s="81" t="b">
        <v>0</v>
      </c>
      <c r="AX1795" s="81" t="s">
        <v>3728</v>
      </c>
      <c r="AY1795" s="84" t="str">
        <f>HYPERLINK("https://twitter.com/medpedshosp")</f>
        <v>https://twitter.com/medpedshosp</v>
      </c>
      <c r="AZ1795" s="81" t="s">
        <v>65</v>
      </c>
    </row>
    <row r="1796" spans="1:52" x14ac:dyDescent="0.35">
      <c r="A1796" s="66" t="s">
        <v>12728</v>
      </c>
      <c r="B1796" s="67"/>
      <c r="C1796" s="67"/>
      <c r="D1796" s="68"/>
      <c r="E1796" s="94"/>
      <c r="F1796" s="93" t="str">
        <f>HYPERLINK("https://pbs.twimg.com/profile_images/1323354612687134723/m9me-yr4_normal.jpg")</f>
        <v>https://pbs.twimg.com/profile_images/1323354612687134723/m9me-yr4_normal.jpg</v>
      </c>
      <c r="G1796" s="95"/>
      <c r="H1796" s="71"/>
      <c r="I1796" s="72"/>
      <c r="J1796" s="96"/>
      <c r="K1796" s="71" t="s">
        <v>14514</v>
      </c>
      <c r="L1796" s="97"/>
      <c r="M1796" s="76"/>
      <c r="N1796" s="76"/>
      <c r="O1796" s="77"/>
      <c r="P1796" s="78"/>
      <c r="Q1796" s="78"/>
      <c r="R1796" s="92"/>
      <c r="S1796" s="92"/>
      <c r="T1796" s="92"/>
      <c r="U1796" s="92"/>
      <c r="V1796" s="52"/>
      <c r="W1796" s="52"/>
      <c r="X1796" s="52"/>
      <c r="Y1796" s="52"/>
      <c r="Z1796" s="51"/>
      <c r="AA1796" s="73"/>
      <c r="AB1796" s="73"/>
      <c r="AC1796" s="74"/>
      <c r="AD1796" s="81" t="s">
        <v>13695</v>
      </c>
      <c r="AE1796" s="86" t="s">
        <v>13430</v>
      </c>
      <c r="AF1796" s="81">
        <v>971</v>
      </c>
      <c r="AG1796" s="81">
        <v>374</v>
      </c>
      <c r="AH1796" s="81">
        <v>26136</v>
      </c>
      <c r="AI1796" s="81">
        <v>27221</v>
      </c>
      <c r="AJ1796" s="81"/>
      <c r="AK1796" s="81" t="s">
        <v>14135</v>
      </c>
      <c r="AL1796" s="81" t="s">
        <v>14257</v>
      </c>
      <c r="AM1796" s="81"/>
      <c r="AN1796" s="81"/>
      <c r="AO1796" s="83">
        <v>39982.025057870371</v>
      </c>
      <c r="AP1796" s="84" t="str">
        <f>HYPERLINK("https://pbs.twimg.com/profile_banners/48180463/1594517560")</f>
        <v>https://pbs.twimg.com/profile_banners/48180463/1594517560</v>
      </c>
      <c r="AQ1796" s="81" t="b">
        <v>0</v>
      </c>
      <c r="AR1796" s="81" t="b">
        <v>0</v>
      </c>
      <c r="AS1796" s="81" t="b">
        <v>1</v>
      </c>
      <c r="AT1796" s="81"/>
      <c r="AU1796" s="81">
        <v>3</v>
      </c>
      <c r="AV1796" s="84" t="str">
        <f>HYPERLINK("https://abs.twimg.com/images/themes/theme9/bg.gif")</f>
        <v>https://abs.twimg.com/images/themes/theme9/bg.gif</v>
      </c>
      <c r="AW1796" s="81" t="b">
        <v>0</v>
      </c>
      <c r="AX1796" s="81" t="s">
        <v>3728</v>
      </c>
      <c r="AY1796" s="84" t="str">
        <f>HYPERLINK("https://twitter.com/cheinrich86")</f>
        <v>https://twitter.com/cheinrich86</v>
      </c>
      <c r="AZ1796" s="81" t="s">
        <v>65</v>
      </c>
    </row>
    <row r="1797" spans="1:52" x14ac:dyDescent="0.35">
      <c r="A1797" s="66" t="s">
        <v>12646</v>
      </c>
      <c r="B1797" s="67"/>
      <c r="C1797" s="67"/>
      <c r="D1797" s="68"/>
      <c r="E1797" s="94"/>
      <c r="F1797" s="93" t="str">
        <f>HYPERLINK("https://pbs.twimg.com/profile_images/1442360328176615427/NKtSldyk_normal.jpg")</f>
        <v>https://pbs.twimg.com/profile_images/1442360328176615427/NKtSldyk_normal.jpg</v>
      </c>
      <c r="G1797" s="95"/>
      <c r="H1797" s="71"/>
      <c r="I1797" s="72"/>
      <c r="J1797" s="96"/>
      <c r="K1797" s="71" t="s">
        <v>14515</v>
      </c>
      <c r="L1797" s="97"/>
      <c r="M1797" s="76"/>
      <c r="N1797" s="76"/>
      <c r="O1797" s="77"/>
      <c r="P1797" s="78"/>
      <c r="Q1797" s="78"/>
      <c r="R1797" s="92"/>
      <c r="S1797" s="92"/>
      <c r="T1797" s="92"/>
      <c r="U1797" s="92"/>
      <c r="V1797" s="52"/>
      <c r="W1797" s="52"/>
      <c r="X1797" s="52"/>
      <c r="Y1797" s="52"/>
      <c r="Z1797" s="51"/>
      <c r="AA1797" s="73"/>
      <c r="AB1797" s="73"/>
      <c r="AC1797" s="74"/>
      <c r="AD1797" s="81" t="s">
        <v>13696</v>
      </c>
      <c r="AE1797" s="86" t="s">
        <v>13898</v>
      </c>
      <c r="AF1797" s="81">
        <v>414</v>
      </c>
      <c r="AG1797" s="81">
        <v>431</v>
      </c>
      <c r="AH1797" s="81">
        <v>12293</v>
      </c>
      <c r="AI1797" s="81">
        <v>29539</v>
      </c>
      <c r="AJ1797" s="81"/>
      <c r="AK1797" s="81" t="s">
        <v>14136</v>
      </c>
      <c r="AL1797" s="81"/>
      <c r="AM1797" s="81"/>
      <c r="AN1797" s="81"/>
      <c r="AO1797" s="83">
        <v>44194.203009259261</v>
      </c>
      <c r="AP1797" s="84" t="str">
        <f>HYPERLINK("https://pbs.twimg.com/profile_banners/1343781814129676288/1631535133")</f>
        <v>https://pbs.twimg.com/profile_banners/1343781814129676288/1631535133</v>
      </c>
      <c r="AQ1797" s="81" t="b">
        <v>1</v>
      </c>
      <c r="AR1797" s="81" t="b">
        <v>0</v>
      </c>
      <c r="AS1797" s="81" t="b">
        <v>0</v>
      </c>
      <c r="AT1797" s="81"/>
      <c r="AU1797" s="81">
        <v>1</v>
      </c>
      <c r="AV1797" s="81"/>
      <c r="AW1797" s="81" t="b">
        <v>0</v>
      </c>
      <c r="AX1797" s="81" t="s">
        <v>3728</v>
      </c>
      <c r="AY1797" s="84" t="str">
        <f>HYPERLINK("https://twitter.com/jenddongie_")</f>
        <v>https://twitter.com/jenddongie_</v>
      </c>
      <c r="AZ1797" s="81" t="s">
        <v>66</v>
      </c>
    </row>
    <row r="1798" spans="1:52" x14ac:dyDescent="0.35">
      <c r="A1798" s="66" t="s">
        <v>12647</v>
      </c>
      <c r="B1798" s="67"/>
      <c r="C1798" s="67"/>
      <c r="D1798" s="68"/>
      <c r="E1798" s="94"/>
      <c r="F1798" s="93" t="str">
        <f>HYPERLINK("https://pbs.twimg.com/profile_images/1391234561648910340/FR-pL0mF_normal.jpg")</f>
        <v>https://pbs.twimg.com/profile_images/1391234561648910340/FR-pL0mF_normal.jpg</v>
      </c>
      <c r="G1798" s="95"/>
      <c r="H1798" s="71"/>
      <c r="I1798" s="72"/>
      <c r="J1798" s="96"/>
      <c r="K1798" s="71" t="s">
        <v>14516</v>
      </c>
      <c r="L1798" s="97"/>
      <c r="M1798" s="76"/>
      <c r="N1798" s="76"/>
      <c r="O1798" s="77"/>
      <c r="P1798" s="78"/>
      <c r="Q1798" s="78"/>
      <c r="R1798" s="92"/>
      <c r="S1798" s="92"/>
      <c r="T1798" s="92"/>
      <c r="U1798" s="92"/>
      <c r="V1798" s="52"/>
      <c r="W1798" s="52"/>
      <c r="X1798" s="52"/>
      <c r="Y1798" s="52"/>
      <c r="Z1798" s="51"/>
      <c r="AA1798" s="73"/>
      <c r="AB1798" s="73"/>
      <c r="AC1798" s="74"/>
      <c r="AD1798" s="81" t="s">
        <v>13697</v>
      </c>
      <c r="AE1798" s="86" t="s">
        <v>13899</v>
      </c>
      <c r="AF1798" s="81">
        <v>48</v>
      </c>
      <c r="AG1798" s="81">
        <v>14</v>
      </c>
      <c r="AH1798" s="81">
        <v>617</v>
      </c>
      <c r="AI1798" s="81">
        <v>378</v>
      </c>
      <c r="AJ1798" s="81"/>
      <c r="AK1798" s="81" t="s">
        <v>14137</v>
      </c>
      <c r="AL1798" s="81"/>
      <c r="AM1798" s="81"/>
      <c r="AN1798" s="81"/>
      <c r="AO1798" s="83">
        <v>44293.222407407404</v>
      </c>
      <c r="AP1798" s="84" t="str">
        <f>HYPERLINK("https://pbs.twimg.com/profile_banners/1379665188685709315/1617844559")</f>
        <v>https://pbs.twimg.com/profile_banners/1379665188685709315/1617844559</v>
      </c>
      <c r="AQ1798" s="81" t="b">
        <v>1</v>
      </c>
      <c r="AR1798" s="81" t="b">
        <v>0</v>
      </c>
      <c r="AS1798" s="81" t="b">
        <v>0</v>
      </c>
      <c r="AT1798" s="81"/>
      <c r="AU1798" s="81">
        <v>0</v>
      </c>
      <c r="AV1798" s="81"/>
      <c r="AW1798" s="81" t="b">
        <v>0</v>
      </c>
      <c r="AX1798" s="81" t="s">
        <v>3728</v>
      </c>
      <c r="AY1798" s="84" t="str">
        <f>HYPERLINK("https://twitter.com/glittooglitchie")</f>
        <v>https://twitter.com/glittooglitchie</v>
      </c>
      <c r="AZ1798" s="81" t="s">
        <v>66</v>
      </c>
    </row>
    <row r="1799" spans="1:52" x14ac:dyDescent="0.35">
      <c r="A1799" s="66" t="s">
        <v>12648</v>
      </c>
      <c r="B1799" s="67"/>
      <c r="C1799" s="67"/>
      <c r="D1799" s="68"/>
      <c r="E1799" s="94"/>
      <c r="F1799" s="93" t="str">
        <f>HYPERLINK("https://pbs.twimg.com/profile_images/1168825837396869122/9s0sF91N_normal.jpg")</f>
        <v>https://pbs.twimg.com/profile_images/1168825837396869122/9s0sF91N_normal.jpg</v>
      </c>
      <c r="G1799" s="95"/>
      <c r="H1799" s="71"/>
      <c r="I1799" s="72"/>
      <c r="J1799" s="96"/>
      <c r="K1799" s="71" t="s">
        <v>14517</v>
      </c>
      <c r="L1799" s="97"/>
      <c r="M1799" s="76"/>
      <c r="N1799" s="76"/>
      <c r="O1799" s="77"/>
      <c r="P1799" s="78"/>
      <c r="Q1799" s="78"/>
      <c r="R1799" s="92"/>
      <c r="S1799" s="92"/>
      <c r="T1799" s="92"/>
      <c r="U1799" s="92"/>
      <c r="V1799" s="52"/>
      <c r="W1799" s="52"/>
      <c r="X1799" s="52"/>
      <c r="Y1799" s="52"/>
      <c r="Z1799" s="51"/>
      <c r="AA1799" s="73"/>
      <c r="AB1799" s="73"/>
      <c r="AC1799" s="74"/>
      <c r="AD1799" s="81" t="s">
        <v>13698</v>
      </c>
      <c r="AE1799" s="86" t="s">
        <v>13900</v>
      </c>
      <c r="AF1799" s="81">
        <v>394</v>
      </c>
      <c r="AG1799" s="81">
        <v>36521</v>
      </c>
      <c r="AH1799" s="81">
        <v>98265</v>
      </c>
      <c r="AI1799" s="81">
        <v>69</v>
      </c>
      <c r="AJ1799" s="81"/>
      <c r="AK1799" s="81" t="s">
        <v>14138</v>
      </c>
      <c r="AL1799" s="81" t="s">
        <v>14258</v>
      </c>
      <c r="AM1799" s="84" t="str">
        <f>HYPERLINK("http://t.co/upN4pxU0gr")</f>
        <v>http://t.co/upN4pxU0gr</v>
      </c>
      <c r="AN1799" s="81"/>
      <c r="AO1799" s="83">
        <v>40617.689039351855</v>
      </c>
      <c r="AP1799" s="84" t="str">
        <f>HYPERLINK("https://pbs.twimg.com/profile_banners/266677514/1416914975")</f>
        <v>https://pbs.twimg.com/profile_banners/266677514/1416914975</v>
      </c>
      <c r="AQ1799" s="81" t="b">
        <v>0</v>
      </c>
      <c r="AR1799" s="81" t="b">
        <v>0</v>
      </c>
      <c r="AS1799" s="81" t="b">
        <v>1</v>
      </c>
      <c r="AT1799" s="81"/>
      <c r="AU1799" s="81">
        <v>347</v>
      </c>
      <c r="AV1799" s="84" t="str">
        <f>HYPERLINK("https://abs.twimg.com/images/themes/theme1/bg.png")</f>
        <v>https://abs.twimg.com/images/themes/theme1/bg.png</v>
      </c>
      <c r="AW1799" s="81" t="b">
        <v>1</v>
      </c>
      <c r="AX1799" s="81" t="s">
        <v>3728</v>
      </c>
      <c r="AY1799" s="84" t="str">
        <f>HYPERLINK("https://twitter.com/euronewspt")</f>
        <v>https://twitter.com/euronewspt</v>
      </c>
      <c r="AZ1799" s="81" t="s">
        <v>66</v>
      </c>
    </row>
    <row r="1800" spans="1:52" x14ac:dyDescent="0.35">
      <c r="A1800" s="66" t="s">
        <v>12649</v>
      </c>
      <c r="B1800" s="67"/>
      <c r="C1800" s="67"/>
      <c r="D1800" s="68"/>
      <c r="E1800" s="94"/>
      <c r="F1800" s="93" t="str">
        <f>HYPERLINK("https://pbs.twimg.com/profile_images/761376416151826432/-Z5AT5mk_normal.jpg")</f>
        <v>https://pbs.twimg.com/profile_images/761376416151826432/-Z5AT5mk_normal.jpg</v>
      </c>
      <c r="G1800" s="95"/>
      <c r="H1800" s="71"/>
      <c r="I1800" s="72"/>
      <c r="J1800" s="96"/>
      <c r="K1800" s="71" t="s">
        <v>14518</v>
      </c>
      <c r="L1800" s="97"/>
      <c r="M1800" s="76"/>
      <c r="N1800" s="76"/>
      <c r="O1800" s="77"/>
      <c r="P1800" s="78"/>
      <c r="Q1800" s="78"/>
      <c r="R1800" s="92"/>
      <c r="S1800" s="92"/>
      <c r="T1800" s="92"/>
      <c r="U1800" s="92"/>
      <c r="V1800" s="52"/>
      <c r="W1800" s="52"/>
      <c r="X1800" s="52"/>
      <c r="Y1800" s="52"/>
      <c r="Z1800" s="51"/>
      <c r="AA1800" s="73"/>
      <c r="AB1800" s="73"/>
      <c r="AC1800" s="74"/>
      <c r="AD1800" s="81" t="s">
        <v>13699</v>
      </c>
      <c r="AE1800" s="86" t="s">
        <v>13901</v>
      </c>
      <c r="AF1800" s="81">
        <v>656</v>
      </c>
      <c r="AG1800" s="81">
        <v>924</v>
      </c>
      <c r="AH1800" s="81">
        <v>33581</v>
      </c>
      <c r="AI1800" s="81">
        <v>19875</v>
      </c>
      <c r="AJ1800" s="81"/>
      <c r="AK1800" s="81" t="s">
        <v>14139</v>
      </c>
      <c r="AL1800" s="81" t="s">
        <v>14259</v>
      </c>
      <c r="AM1800" s="81"/>
      <c r="AN1800" s="81"/>
      <c r="AO1800" s="83">
        <v>39955.745243055557</v>
      </c>
      <c r="AP1800" s="81"/>
      <c r="AQ1800" s="81" t="b">
        <v>0</v>
      </c>
      <c r="AR1800" s="81" t="b">
        <v>0</v>
      </c>
      <c r="AS1800" s="81" t="b">
        <v>1</v>
      </c>
      <c r="AT1800" s="81"/>
      <c r="AU1800" s="81">
        <v>6</v>
      </c>
      <c r="AV1800" s="84" t="str">
        <f>HYPERLINK("https://abs.twimg.com/images/themes/theme2/bg.gif")</f>
        <v>https://abs.twimg.com/images/themes/theme2/bg.gif</v>
      </c>
      <c r="AW1800" s="81" t="b">
        <v>0</v>
      </c>
      <c r="AX1800" s="81" t="s">
        <v>3728</v>
      </c>
      <c r="AY1800" s="84" t="str">
        <f>HYPERLINK("https://twitter.com/anamarchetti")</f>
        <v>https://twitter.com/anamarchetti</v>
      </c>
      <c r="AZ1800" s="81" t="s">
        <v>66</v>
      </c>
    </row>
    <row r="1801" spans="1:52" x14ac:dyDescent="0.35">
      <c r="A1801" s="66" t="s">
        <v>12650</v>
      </c>
      <c r="B1801" s="67"/>
      <c r="C1801" s="67"/>
      <c r="D1801" s="68"/>
      <c r="E1801" s="94"/>
      <c r="F1801" s="93" t="str">
        <f>HYPERLINK("https://pbs.twimg.com/profile_images/468039168262549504/IMDAvsCA_normal.jpeg")</f>
        <v>https://pbs.twimg.com/profile_images/468039168262549504/IMDAvsCA_normal.jpeg</v>
      </c>
      <c r="G1801" s="95"/>
      <c r="H1801" s="71"/>
      <c r="I1801" s="72"/>
      <c r="J1801" s="96"/>
      <c r="K1801" s="71" t="s">
        <v>14519</v>
      </c>
      <c r="L1801" s="97"/>
      <c r="M1801" s="76"/>
      <c r="N1801" s="76"/>
      <c r="O1801" s="77"/>
      <c r="P1801" s="78"/>
      <c r="Q1801" s="78"/>
      <c r="R1801" s="92"/>
      <c r="S1801" s="92"/>
      <c r="T1801" s="92"/>
      <c r="U1801" s="92"/>
      <c r="V1801" s="52"/>
      <c r="W1801" s="52"/>
      <c r="X1801" s="52"/>
      <c r="Y1801" s="52"/>
      <c r="Z1801" s="51"/>
      <c r="AA1801" s="73"/>
      <c r="AB1801" s="73"/>
      <c r="AC1801" s="74"/>
      <c r="AD1801" s="81" t="s">
        <v>13700</v>
      </c>
      <c r="AE1801" s="86" t="s">
        <v>13902</v>
      </c>
      <c r="AF1801" s="81">
        <v>361</v>
      </c>
      <c r="AG1801" s="81">
        <v>552830</v>
      </c>
      <c r="AH1801" s="81">
        <v>8977</v>
      </c>
      <c r="AI1801" s="81">
        <v>13</v>
      </c>
      <c r="AJ1801" s="81"/>
      <c r="AK1801" s="81" t="s">
        <v>14140</v>
      </c>
      <c r="AL1801" s="81" t="s">
        <v>3510</v>
      </c>
      <c r="AM1801" s="84" t="str">
        <f>HYPERLINK("https://t.co/sDmtKme2hA")</f>
        <v>https://t.co/sDmtKme2hA</v>
      </c>
      <c r="AN1801" s="81"/>
      <c r="AO1801" s="83">
        <v>40919.011423611111</v>
      </c>
      <c r="AP1801" s="81"/>
      <c r="AQ1801" s="81" t="b">
        <v>0</v>
      </c>
      <c r="AR1801" s="81" t="b">
        <v>0</v>
      </c>
      <c r="AS1801" s="81" t="b">
        <v>0</v>
      </c>
      <c r="AT1801" s="81"/>
      <c r="AU1801" s="81">
        <v>373</v>
      </c>
      <c r="AV1801" s="84" t="str">
        <f>HYPERLINK("https://abs.twimg.com/images/themes/theme6/bg.gif")</f>
        <v>https://abs.twimg.com/images/themes/theme6/bg.gif</v>
      </c>
      <c r="AW1801" s="81" t="b">
        <v>1</v>
      </c>
      <c r="AX1801" s="81" t="s">
        <v>3728</v>
      </c>
      <c r="AY1801" s="84" t="str">
        <f>HYPERLINK("https://twitter.com/hary_tanoe")</f>
        <v>https://twitter.com/hary_tanoe</v>
      </c>
      <c r="AZ1801" s="81" t="s">
        <v>66</v>
      </c>
    </row>
    <row r="1802" spans="1:52" x14ac:dyDescent="0.35">
      <c r="A1802" s="66" t="s">
        <v>12651</v>
      </c>
      <c r="B1802" s="67"/>
      <c r="C1802" s="67"/>
      <c r="D1802" s="68"/>
      <c r="E1802" s="94"/>
      <c r="F1802" s="93" t="str">
        <f>HYPERLINK("https://pbs.twimg.com/profile_images/1443406199152529408/e1e2c7KB_normal.jpg")</f>
        <v>https://pbs.twimg.com/profile_images/1443406199152529408/e1e2c7KB_normal.jpg</v>
      </c>
      <c r="G1802" s="95"/>
      <c r="H1802" s="71"/>
      <c r="I1802" s="72"/>
      <c r="J1802" s="96"/>
      <c r="K1802" s="71" t="s">
        <v>14520</v>
      </c>
      <c r="L1802" s="97"/>
      <c r="M1802" s="76"/>
      <c r="N1802" s="76"/>
      <c r="O1802" s="77"/>
      <c r="P1802" s="78"/>
      <c r="Q1802" s="78"/>
      <c r="R1802" s="92"/>
      <c r="S1802" s="92"/>
      <c r="T1802" s="92"/>
      <c r="U1802" s="92"/>
      <c r="V1802" s="52"/>
      <c r="W1802" s="52"/>
      <c r="X1802" s="52"/>
      <c r="Y1802" s="52"/>
      <c r="Z1802" s="51"/>
      <c r="AA1802" s="73"/>
      <c r="AB1802" s="73"/>
      <c r="AC1802" s="74"/>
      <c r="AD1802" s="81" t="s">
        <v>13701</v>
      </c>
      <c r="AE1802" s="86" t="s">
        <v>13903</v>
      </c>
      <c r="AF1802" s="81">
        <v>232</v>
      </c>
      <c r="AG1802" s="81">
        <v>42</v>
      </c>
      <c r="AH1802" s="81">
        <v>11476</v>
      </c>
      <c r="AI1802" s="81">
        <v>13310</v>
      </c>
      <c r="AJ1802" s="81"/>
      <c r="AK1802" s="81" t="s">
        <v>14141</v>
      </c>
      <c r="AL1802" s="81"/>
      <c r="AM1802" s="81"/>
      <c r="AN1802" s="81"/>
      <c r="AO1802" s="83">
        <v>44244.375</v>
      </c>
      <c r="AP1802" s="84" t="str">
        <f>HYPERLINK("https://pbs.twimg.com/profile_banners/1361963366575529987/1613553985")</f>
        <v>https://pbs.twimg.com/profile_banners/1361963366575529987/1613553985</v>
      </c>
      <c r="AQ1802" s="81" t="b">
        <v>1</v>
      </c>
      <c r="AR1802" s="81" t="b">
        <v>0</v>
      </c>
      <c r="AS1802" s="81" t="b">
        <v>0</v>
      </c>
      <c r="AT1802" s="81"/>
      <c r="AU1802" s="81">
        <v>0</v>
      </c>
      <c r="AV1802" s="81"/>
      <c r="AW1802" s="81" t="b">
        <v>0</v>
      </c>
      <c r="AX1802" s="81" t="s">
        <v>3728</v>
      </c>
      <c r="AY1802" s="84" t="str">
        <f>HYPERLINK("https://twitter.com/lignummare")</f>
        <v>https://twitter.com/lignummare</v>
      </c>
      <c r="AZ1802" s="81" t="s">
        <v>66</v>
      </c>
    </row>
    <row r="1803" spans="1:52" x14ac:dyDescent="0.35">
      <c r="A1803" s="66" t="s">
        <v>12652</v>
      </c>
      <c r="B1803" s="67"/>
      <c r="C1803" s="67"/>
      <c r="D1803" s="68"/>
      <c r="E1803" s="94"/>
      <c r="F1803" s="93" t="str">
        <f>HYPERLINK("https://pbs.twimg.com/profile_images/1441064755830005765/W0UGPaKd_normal.jpg")</f>
        <v>https://pbs.twimg.com/profile_images/1441064755830005765/W0UGPaKd_normal.jpg</v>
      </c>
      <c r="G1803" s="95"/>
      <c r="H1803" s="71"/>
      <c r="I1803" s="72"/>
      <c r="J1803" s="96"/>
      <c r="K1803" s="71" t="s">
        <v>14521</v>
      </c>
      <c r="L1803" s="97"/>
      <c r="M1803" s="76"/>
      <c r="N1803" s="76"/>
      <c r="O1803" s="77"/>
      <c r="P1803" s="78"/>
      <c r="Q1803" s="78"/>
      <c r="R1803" s="92"/>
      <c r="S1803" s="92"/>
      <c r="T1803" s="92"/>
      <c r="U1803" s="92"/>
      <c r="V1803" s="52"/>
      <c r="W1803" s="52"/>
      <c r="X1803" s="52"/>
      <c r="Y1803" s="52"/>
      <c r="Z1803" s="51"/>
      <c r="AA1803" s="73"/>
      <c r="AB1803" s="73"/>
      <c r="AC1803" s="74"/>
      <c r="AD1803" s="81" t="s">
        <v>13702</v>
      </c>
      <c r="AE1803" s="86" t="s">
        <v>13904</v>
      </c>
      <c r="AF1803" s="81">
        <v>459</v>
      </c>
      <c r="AG1803" s="81">
        <v>837</v>
      </c>
      <c r="AH1803" s="81">
        <v>28702</v>
      </c>
      <c r="AI1803" s="81">
        <v>7745</v>
      </c>
      <c r="AJ1803" s="81"/>
      <c r="AK1803" s="81" t="s">
        <v>14142</v>
      </c>
      <c r="AL1803" s="81"/>
      <c r="AM1803" s="81"/>
      <c r="AN1803" s="81"/>
      <c r="AO1803" s="83">
        <v>42731.654930555553</v>
      </c>
      <c r="AP1803" s="84" t="str">
        <f>HYPERLINK("https://pbs.twimg.com/profile_banners/813772200675151872/1623330930")</f>
        <v>https://pbs.twimg.com/profile_banners/813772200675151872/1623330930</v>
      </c>
      <c r="AQ1803" s="81" t="b">
        <v>0</v>
      </c>
      <c r="AR1803" s="81" t="b">
        <v>0</v>
      </c>
      <c r="AS1803" s="81" t="b">
        <v>0</v>
      </c>
      <c r="AT1803" s="81"/>
      <c r="AU1803" s="81">
        <v>2</v>
      </c>
      <c r="AV1803" s="84" t="str">
        <f>HYPERLINK("https://abs.twimg.com/images/themes/theme1/bg.png")</f>
        <v>https://abs.twimg.com/images/themes/theme1/bg.png</v>
      </c>
      <c r="AW1803" s="81" t="b">
        <v>0</v>
      </c>
      <c r="AX1803" s="81" t="s">
        <v>3728</v>
      </c>
      <c r="AY1803" s="84" t="str">
        <f>HYPERLINK("https://twitter.com/cinemjaem")</f>
        <v>https://twitter.com/cinemjaem</v>
      </c>
      <c r="AZ1803" s="81" t="s">
        <v>66</v>
      </c>
    </row>
    <row r="1804" spans="1:52" x14ac:dyDescent="0.35">
      <c r="A1804" s="66" t="s">
        <v>12653</v>
      </c>
      <c r="B1804" s="67"/>
      <c r="C1804" s="67"/>
      <c r="D1804" s="68"/>
      <c r="E1804" s="94"/>
      <c r="F1804" s="93" t="str">
        <f>HYPERLINK("https://pbs.twimg.com/profile_images/1395162272264122371/EtEntrIz_normal.jpg")</f>
        <v>https://pbs.twimg.com/profile_images/1395162272264122371/EtEntrIz_normal.jpg</v>
      </c>
      <c r="G1804" s="95"/>
      <c r="H1804" s="71"/>
      <c r="I1804" s="72"/>
      <c r="J1804" s="96"/>
      <c r="K1804" s="71" t="s">
        <v>14522</v>
      </c>
      <c r="L1804" s="97"/>
      <c r="M1804" s="76"/>
      <c r="N1804" s="76"/>
      <c r="O1804" s="77"/>
      <c r="P1804" s="78"/>
      <c r="Q1804" s="78"/>
      <c r="R1804" s="92"/>
      <c r="S1804" s="92"/>
      <c r="T1804" s="92"/>
      <c r="U1804" s="92"/>
      <c r="V1804" s="52"/>
      <c r="W1804" s="52"/>
      <c r="X1804" s="52"/>
      <c r="Y1804" s="52"/>
      <c r="Z1804" s="51"/>
      <c r="AA1804" s="73"/>
      <c r="AB1804" s="73"/>
      <c r="AC1804" s="74"/>
      <c r="AD1804" s="81" t="s">
        <v>13703</v>
      </c>
      <c r="AE1804" s="86" t="s">
        <v>13905</v>
      </c>
      <c r="AF1804" s="81">
        <v>0</v>
      </c>
      <c r="AG1804" s="81">
        <v>0</v>
      </c>
      <c r="AH1804" s="81">
        <v>1349</v>
      </c>
      <c r="AI1804" s="81">
        <v>0</v>
      </c>
      <c r="AJ1804" s="81"/>
      <c r="AK1804" s="81" t="s">
        <v>14143</v>
      </c>
      <c r="AL1804" s="81" t="s">
        <v>3544</v>
      </c>
      <c r="AM1804" s="84" t="str">
        <f>HYPERLINK("https://t.co/6Pkrv6NNOv")</f>
        <v>https://t.co/6Pkrv6NNOv</v>
      </c>
      <c r="AN1804" s="81"/>
      <c r="AO1804" s="83">
        <v>44335.985300925924</v>
      </c>
      <c r="AP1804" s="84" t="str">
        <f>HYPERLINK("https://pbs.twimg.com/profile_banners/1395161968479129602/1621483616")</f>
        <v>https://pbs.twimg.com/profile_banners/1395161968479129602/1621483616</v>
      </c>
      <c r="AQ1804" s="81" t="b">
        <v>1</v>
      </c>
      <c r="AR1804" s="81" t="b">
        <v>0</v>
      </c>
      <c r="AS1804" s="81" t="b">
        <v>0</v>
      </c>
      <c r="AT1804" s="81"/>
      <c r="AU1804" s="81">
        <v>0</v>
      </c>
      <c r="AV1804" s="81"/>
      <c r="AW1804" s="81" t="b">
        <v>0</v>
      </c>
      <c r="AX1804" s="81" t="s">
        <v>3728</v>
      </c>
      <c r="AY1804" s="84" t="str">
        <f>HYPERLINK("https://twitter.com/mintainfo1")</f>
        <v>https://twitter.com/mintainfo1</v>
      </c>
      <c r="AZ1804" s="81" t="s">
        <v>66</v>
      </c>
    </row>
    <row r="1805" spans="1:52" x14ac:dyDescent="0.35">
      <c r="A1805" s="66" t="s">
        <v>12654</v>
      </c>
      <c r="B1805" s="67"/>
      <c r="C1805" s="67"/>
      <c r="D1805" s="68"/>
      <c r="E1805" s="94"/>
      <c r="F1805" s="93" t="str">
        <f>HYPERLINK("https://pbs.twimg.com/profile_images/1411661928041222147/SXMBA9--_normal.jpg")</f>
        <v>https://pbs.twimg.com/profile_images/1411661928041222147/SXMBA9--_normal.jpg</v>
      </c>
      <c r="G1805" s="95"/>
      <c r="H1805" s="71"/>
      <c r="I1805" s="72"/>
      <c r="J1805" s="96"/>
      <c r="K1805" s="71" t="s">
        <v>14523</v>
      </c>
      <c r="L1805" s="97"/>
      <c r="M1805" s="76"/>
      <c r="N1805" s="76"/>
      <c r="O1805" s="77"/>
      <c r="P1805" s="78"/>
      <c r="Q1805" s="78"/>
      <c r="R1805" s="92"/>
      <c r="S1805" s="92"/>
      <c r="T1805" s="92"/>
      <c r="U1805" s="92"/>
      <c r="V1805" s="52"/>
      <c r="W1805" s="52"/>
      <c r="X1805" s="52"/>
      <c r="Y1805" s="52"/>
      <c r="Z1805" s="51"/>
      <c r="AA1805" s="73"/>
      <c r="AB1805" s="73"/>
      <c r="AC1805" s="74"/>
      <c r="AD1805" s="81" t="s">
        <v>13704</v>
      </c>
      <c r="AE1805" s="86" t="s">
        <v>13906</v>
      </c>
      <c r="AF1805" s="81">
        <v>441</v>
      </c>
      <c r="AG1805" s="81">
        <v>463</v>
      </c>
      <c r="AH1805" s="81">
        <v>9801</v>
      </c>
      <c r="AI1805" s="81">
        <v>14479</v>
      </c>
      <c r="AJ1805" s="81"/>
      <c r="AK1805" s="81" t="s">
        <v>14144</v>
      </c>
      <c r="AL1805" s="81" t="s">
        <v>14260</v>
      </c>
      <c r="AM1805" s="81"/>
      <c r="AN1805" s="81"/>
      <c r="AO1805" s="83">
        <v>42682.985451388886</v>
      </c>
      <c r="AP1805" s="84" t="str">
        <f>HYPERLINK("https://pbs.twimg.com/profile_banners/796134973162094592/1571830507")</f>
        <v>https://pbs.twimg.com/profile_banners/796134973162094592/1571830507</v>
      </c>
      <c r="AQ1805" s="81" t="b">
        <v>1</v>
      </c>
      <c r="AR1805" s="81" t="b">
        <v>0</v>
      </c>
      <c r="AS1805" s="81" t="b">
        <v>0</v>
      </c>
      <c r="AT1805" s="81"/>
      <c r="AU1805" s="81">
        <v>1</v>
      </c>
      <c r="AV1805" s="81"/>
      <c r="AW1805" s="81" t="b">
        <v>0</v>
      </c>
      <c r="AX1805" s="81" t="s">
        <v>3728</v>
      </c>
      <c r="AY1805" s="84" t="str">
        <f>HYPERLINK("https://twitter.com/duualexandrejr")</f>
        <v>https://twitter.com/duualexandrejr</v>
      </c>
      <c r="AZ1805" s="81" t="s">
        <v>66</v>
      </c>
    </row>
    <row r="1806" spans="1:52" x14ac:dyDescent="0.35">
      <c r="A1806" s="66" t="s">
        <v>12729</v>
      </c>
      <c r="B1806" s="67"/>
      <c r="C1806" s="67"/>
      <c r="D1806" s="68"/>
      <c r="E1806" s="94"/>
      <c r="F1806" s="93" t="str">
        <f>HYPERLINK("https://pbs.twimg.com/profile_images/1437293456880177158/_q1t-kV4_normal.jpg")</f>
        <v>https://pbs.twimg.com/profile_images/1437293456880177158/_q1t-kV4_normal.jpg</v>
      </c>
      <c r="G1806" s="95"/>
      <c r="H1806" s="71"/>
      <c r="I1806" s="72"/>
      <c r="J1806" s="96"/>
      <c r="K1806" s="71" t="s">
        <v>14524</v>
      </c>
      <c r="L1806" s="97"/>
      <c r="M1806" s="76"/>
      <c r="N1806" s="76"/>
      <c r="O1806" s="77"/>
      <c r="P1806" s="78"/>
      <c r="Q1806" s="78"/>
      <c r="R1806" s="92"/>
      <c r="S1806" s="92"/>
      <c r="T1806" s="92"/>
      <c r="U1806" s="92"/>
      <c r="V1806" s="52"/>
      <c r="W1806" s="52"/>
      <c r="X1806" s="52"/>
      <c r="Y1806" s="52"/>
      <c r="Z1806" s="51"/>
      <c r="AA1806" s="73"/>
      <c r="AB1806" s="73"/>
      <c r="AC1806" s="74"/>
      <c r="AD1806" s="81" t="s">
        <v>13705</v>
      </c>
      <c r="AE1806" s="86" t="s">
        <v>13431</v>
      </c>
      <c r="AF1806" s="81">
        <v>206</v>
      </c>
      <c r="AG1806" s="81">
        <v>301</v>
      </c>
      <c r="AH1806" s="81">
        <v>8658</v>
      </c>
      <c r="AI1806" s="81">
        <v>36957</v>
      </c>
      <c r="AJ1806" s="81"/>
      <c r="AK1806" s="81" t="s">
        <v>14145</v>
      </c>
      <c r="AL1806" s="81"/>
      <c r="AM1806" s="81"/>
      <c r="AN1806" s="81"/>
      <c r="AO1806" s="83">
        <v>43324.538483796299</v>
      </c>
      <c r="AP1806" s="84" t="str">
        <f>HYPERLINK("https://pbs.twimg.com/profile_banners/1028626005336965121/1615568823")</f>
        <v>https://pbs.twimg.com/profile_banners/1028626005336965121/1615568823</v>
      </c>
      <c r="AQ1806" s="81" t="b">
        <v>1</v>
      </c>
      <c r="AR1806" s="81" t="b">
        <v>0</v>
      </c>
      <c r="AS1806" s="81" t="b">
        <v>0</v>
      </c>
      <c r="AT1806" s="81"/>
      <c r="AU1806" s="81">
        <v>0</v>
      </c>
      <c r="AV1806" s="81"/>
      <c r="AW1806" s="81" t="b">
        <v>0</v>
      </c>
      <c r="AX1806" s="81" t="s">
        <v>3728</v>
      </c>
      <c r="AY1806" s="84" t="str">
        <f>HYPERLINK("https://twitter.com/raparigota")</f>
        <v>https://twitter.com/raparigota</v>
      </c>
      <c r="AZ1806" s="81" t="s">
        <v>65</v>
      </c>
    </row>
    <row r="1807" spans="1:52" x14ac:dyDescent="0.35">
      <c r="A1807" s="66" t="s">
        <v>12655</v>
      </c>
      <c r="B1807" s="67"/>
      <c r="C1807" s="67"/>
      <c r="D1807" s="68"/>
      <c r="E1807" s="94"/>
      <c r="F1807" s="93" t="str">
        <f>HYPERLINK("https://pbs.twimg.com/profile_images/1425080850232725512/L6-QlyFV_normal.jpg")</f>
        <v>https://pbs.twimg.com/profile_images/1425080850232725512/L6-QlyFV_normal.jpg</v>
      </c>
      <c r="G1807" s="95"/>
      <c r="H1807" s="71"/>
      <c r="I1807" s="72"/>
      <c r="J1807" s="96"/>
      <c r="K1807" s="71" t="s">
        <v>14525</v>
      </c>
      <c r="L1807" s="97"/>
      <c r="M1807" s="76"/>
      <c r="N1807" s="76"/>
      <c r="O1807" s="77"/>
      <c r="P1807" s="78"/>
      <c r="Q1807" s="78"/>
      <c r="R1807" s="92"/>
      <c r="S1807" s="92"/>
      <c r="T1807" s="92"/>
      <c r="U1807" s="92"/>
      <c r="V1807" s="52"/>
      <c r="W1807" s="52"/>
      <c r="X1807" s="52"/>
      <c r="Y1807" s="52"/>
      <c r="Z1807" s="51"/>
      <c r="AA1807" s="73"/>
      <c r="AB1807" s="73"/>
      <c r="AC1807" s="74"/>
      <c r="AD1807" s="81" t="s">
        <v>13706</v>
      </c>
      <c r="AE1807" s="86" t="s">
        <v>13907</v>
      </c>
      <c r="AF1807" s="81">
        <v>271</v>
      </c>
      <c r="AG1807" s="81">
        <v>134</v>
      </c>
      <c r="AH1807" s="81">
        <v>32588</v>
      </c>
      <c r="AI1807" s="81">
        <v>131737</v>
      </c>
      <c r="AJ1807" s="81"/>
      <c r="AK1807" s="81" t="s">
        <v>14146</v>
      </c>
      <c r="AL1807" s="81" t="s">
        <v>3514</v>
      </c>
      <c r="AM1807" s="81"/>
      <c r="AN1807" s="81"/>
      <c r="AO1807" s="83">
        <v>43087.551516203705</v>
      </c>
      <c r="AP1807" s="81"/>
      <c r="AQ1807" s="81" t="b">
        <v>0</v>
      </c>
      <c r="AR1807" s="81" t="b">
        <v>0</v>
      </c>
      <c r="AS1807" s="81" t="b">
        <v>0</v>
      </c>
      <c r="AT1807" s="81"/>
      <c r="AU1807" s="81">
        <v>0</v>
      </c>
      <c r="AV1807" s="84" t="str">
        <f>HYPERLINK("https://abs.twimg.com/images/themes/theme1/bg.png")</f>
        <v>https://abs.twimg.com/images/themes/theme1/bg.png</v>
      </c>
      <c r="AW1807" s="81" t="b">
        <v>0</v>
      </c>
      <c r="AX1807" s="81" t="s">
        <v>3728</v>
      </c>
      <c r="AY1807" s="84" t="str">
        <f>HYPERLINK("https://twitter.com/frrznh")</f>
        <v>https://twitter.com/frrznh</v>
      </c>
      <c r="AZ1807" s="81" t="s">
        <v>66</v>
      </c>
    </row>
    <row r="1808" spans="1:52" x14ac:dyDescent="0.35">
      <c r="A1808" s="66" t="s">
        <v>12656</v>
      </c>
      <c r="B1808" s="67"/>
      <c r="C1808" s="67"/>
      <c r="D1808" s="68"/>
      <c r="E1808" s="94"/>
      <c r="F1808" s="93" t="str">
        <f>HYPERLINK("https://pbs.twimg.com/profile_images/1404289325106348032/JuM5d5K7_normal.jpg")</f>
        <v>https://pbs.twimg.com/profile_images/1404289325106348032/JuM5d5K7_normal.jpg</v>
      </c>
      <c r="G1808" s="95"/>
      <c r="H1808" s="71"/>
      <c r="I1808" s="72"/>
      <c r="J1808" s="96"/>
      <c r="K1808" s="71" t="s">
        <v>14526</v>
      </c>
      <c r="L1808" s="97"/>
      <c r="M1808" s="76"/>
      <c r="N1808" s="76"/>
      <c r="O1808" s="77"/>
      <c r="P1808" s="78"/>
      <c r="Q1808" s="78"/>
      <c r="R1808" s="92"/>
      <c r="S1808" s="92"/>
      <c r="T1808" s="92"/>
      <c r="U1808" s="92"/>
      <c r="V1808" s="52"/>
      <c r="W1808" s="52"/>
      <c r="X1808" s="52"/>
      <c r="Y1808" s="52"/>
      <c r="Z1808" s="51"/>
      <c r="AA1808" s="73"/>
      <c r="AB1808" s="73"/>
      <c r="AC1808" s="74"/>
      <c r="AD1808" s="81" t="s">
        <v>13707</v>
      </c>
      <c r="AE1808" s="86" t="s">
        <v>13908</v>
      </c>
      <c r="AF1808" s="81">
        <v>939</v>
      </c>
      <c r="AG1808" s="81">
        <v>1089</v>
      </c>
      <c r="AH1808" s="81">
        <v>31979</v>
      </c>
      <c r="AI1808" s="81">
        <v>32179</v>
      </c>
      <c r="AJ1808" s="81"/>
      <c r="AK1808" s="81" t="s">
        <v>14147</v>
      </c>
      <c r="AL1808" s="81" t="s">
        <v>10985</v>
      </c>
      <c r="AM1808" s="81"/>
      <c r="AN1808" s="81"/>
      <c r="AO1808" s="83">
        <v>43768.813078703701</v>
      </c>
      <c r="AP1808" s="84" t="str">
        <f>HYPERLINK("https://pbs.twimg.com/profile_banners/1189625661729787906/1631759445")</f>
        <v>https://pbs.twimg.com/profile_banners/1189625661729787906/1631759445</v>
      </c>
      <c r="AQ1808" s="81" t="b">
        <v>1</v>
      </c>
      <c r="AR1808" s="81" t="b">
        <v>0</v>
      </c>
      <c r="AS1808" s="81" t="b">
        <v>1</v>
      </c>
      <c r="AT1808" s="81"/>
      <c r="AU1808" s="81">
        <v>0</v>
      </c>
      <c r="AV1808" s="81"/>
      <c r="AW1808" s="81" t="b">
        <v>0</v>
      </c>
      <c r="AX1808" s="81" t="s">
        <v>3728</v>
      </c>
      <c r="AY1808" s="84" t="str">
        <f>HYPERLINK("https://twitter.com/rosanaa80357793")</f>
        <v>https://twitter.com/rosanaa80357793</v>
      </c>
      <c r="AZ1808" s="81" t="s">
        <v>66</v>
      </c>
    </row>
    <row r="1809" spans="1:52" x14ac:dyDescent="0.35">
      <c r="A1809" s="66" t="s">
        <v>12657</v>
      </c>
      <c r="B1809" s="67"/>
      <c r="C1809" s="67"/>
      <c r="D1809" s="68"/>
      <c r="E1809" s="94"/>
      <c r="F1809" s="93" t="str">
        <f>HYPERLINK("https://pbs.twimg.com/profile_images/1434861494106136577/h0LWOF7g_normal.jpg")</f>
        <v>https://pbs.twimg.com/profile_images/1434861494106136577/h0LWOF7g_normal.jpg</v>
      </c>
      <c r="G1809" s="95"/>
      <c r="H1809" s="71"/>
      <c r="I1809" s="72"/>
      <c r="J1809" s="96"/>
      <c r="K1809" s="71" t="s">
        <v>14527</v>
      </c>
      <c r="L1809" s="97"/>
      <c r="M1809" s="76"/>
      <c r="N1809" s="76"/>
      <c r="O1809" s="77"/>
      <c r="P1809" s="78"/>
      <c r="Q1809" s="78"/>
      <c r="R1809" s="92"/>
      <c r="S1809" s="92"/>
      <c r="T1809" s="92"/>
      <c r="U1809" s="92"/>
      <c r="V1809" s="52"/>
      <c r="W1809" s="52"/>
      <c r="X1809" s="52"/>
      <c r="Y1809" s="52"/>
      <c r="Z1809" s="51"/>
      <c r="AA1809" s="73"/>
      <c r="AB1809" s="73"/>
      <c r="AC1809" s="74"/>
      <c r="AD1809" s="81" t="s">
        <v>13708</v>
      </c>
      <c r="AE1809" s="86" t="s">
        <v>13432</v>
      </c>
      <c r="AF1809" s="81">
        <v>293</v>
      </c>
      <c r="AG1809" s="81">
        <v>920</v>
      </c>
      <c r="AH1809" s="81">
        <v>7722</v>
      </c>
      <c r="AI1809" s="81">
        <v>1705</v>
      </c>
      <c r="AJ1809" s="81"/>
      <c r="AK1809" s="81" t="s">
        <v>14148</v>
      </c>
      <c r="AL1809" s="81"/>
      <c r="AM1809" s="84" t="str">
        <f>HYPERLINK("https://t.co/zaBFoxApX1")</f>
        <v>https://t.co/zaBFoxApX1</v>
      </c>
      <c r="AN1809" s="81"/>
      <c r="AO1809" s="83">
        <v>44026.118009259262</v>
      </c>
      <c r="AP1809" s="84" t="str">
        <f>HYPERLINK("https://pbs.twimg.com/profile_banners/1282869860767129600/1610759567")</f>
        <v>https://pbs.twimg.com/profile_banners/1282869860767129600/1610759567</v>
      </c>
      <c r="AQ1809" s="81" t="b">
        <v>1</v>
      </c>
      <c r="AR1809" s="81" t="b">
        <v>0</v>
      </c>
      <c r="AS1809" s="81" t="b">
        <v>0</v>
      </c>
      <c r="AT1809" s="81"/>
      <c r="AU1809" s="81">
        <v>1</v>
      </c>
      <c r="AV1809" s="81"/>
      <c r="AW1809" s="81" t="b">
        <v>0</v>
      </c>
      <c r="AX1809" s="81" t="s">
        <v>3728</v>
      </c>
      <c r="AY1809" s="84" t="str">
        <f>HYPERLINK("https://twitter.com/hellowawawax")</f>
        <v>https://twitter.com/hellowawawax</v>
      </c>
      <c r="AZ1809" s="81" t="s">
        <v>66</v>
      </c>
    </row>
    <row r="1810" spans="1:52" x14ac:dyDescent="0.35">
      <c r="A1810" s="66" t="s">
        <v>12658</v>
      </c>
      <c r="B1810" s="67"/>
      <c r="C1810" s="67"/>
      <c r="D1810" s="68"/>
      <c r="E1810" s="94"/>
      <c r="F1810" s="93" t="str">
        <f>HYPERLINK("https://pbs.twimg.com/profile_images/1210458035614896128/7LSJSfDg_normal.jpg")</f>
        <v>https://pbs.twimg.com/profile_images/1210458035614896128/7LSJSfDg_normal.jpg</v>
      </c>
      <c r="G1810" s="95"/>
      <c r="H1810" s="71"/>
      <c r="I1810" s="72"/>
      <c r="J1810" s="96"/>
      <c r="K1810" s="71" t="s">
        <v>14528</v>
      </c>
      <c r="L1810" s="97"/>
      <c r="M1810" s="76"/>
      <c r="N1810" s="76"/>
      <c r="O1810" s="77"/>
      <c r="P1810" s="78"/>
      <c r="Q1810" s="78"/>
      <c r="R1810" s="92"/>
      <c r="S1810" s="92"/>
      <c r="T1810" s="92"/>
      <c r="U1810" s="92"/>
      <c r="V1810" s="52"/>
      <c r="W1810" s="52"/>
      <c r="X1810" s="52"/>
      <c r="Y1810" s="52"/>
      <c r="Z1810" s="51"/>
      <c r="AA1810" s="73"/>
      <c r="AB1810" s="73"/>
      <c r="AC1810" s="74"/>
      <c r="AD1810" s="81" t="s">
        <v>13709</v>
      </c>
      <c r="AE1810" s="86" t="s">
        <v>13909</v>
      </c>
      <c r="AF1810" s="81">
        <v>126</v>
      </c>
      <c r="AG1810" s="81">
        <v>1946</v>
      </c>
      <c r="AH1810" s="81">
        <v>11475</v>
      </c>
      <c r="AI1810" s="81">
        <v>61923</v>
      </c>
      <c r="AJ1810" s="81"/>
      <c r="AK1810" s="81"/>
      <c r="AL1810" s="81" t="s">
        <v>10975</v>
      </c>
      <c r="AM1810" s="81"/>
      <c r="AN1810" s="81"/>
      <c r="AO1810" s="83">
        <v>40146.068414351852</v>
      </c>
      <c r="AP1810" s="84" t="str">
        <f>HYPERLINK("https://pbs.twimg.com/profile_banners/93300235/1418703731")</f>
        <v>https://pbs.twimg.com/profile_banners/93300235/1418703731</v>
      </c>
      <c r="AQ1810" s="81" t="b">
        <v>0</v>
      </c>
      <c r="AR1810" s="81" t="b">
        <v>0</v>
      </c>
      <c r="AS1810" s="81" t="b">
        <v>1</v>
      </c>
      <c r="AT1810" s="81"/>
      <c r="AU1810" s="81">
        <v>41</v>
      </c>
      <c r="AV1810" s="84" t="str">
        <f>HYPERLINK("https://abs.twimg.com/images/themes/theme14/bg.gif")</f>
        <v>https://abs.twimg.com/images/themes/theme14/bg.gif</v>
      </c>
      <c r="AW1810" s="81" t="b">
        <v>0</v>
      </c>
      <c r="AX1810" s="81" t="s">
        <v>3728</v>
      </c>
      <c r="AY1810" s="84" t="str">
        <f>HYPERLINK("https://twitter.com/marlisilveira")</f>
        <v>https://twitter.com/marlisilveira</v>
      </c>
      <c r="AZ1810" s="81" t="s">
        <v>66</v>
      </c>
    </row>
    <row r="1811" spans="1:52" x14ac:dyDescent="0.35">
      <c r="A1811" s="66" t="s">
        <v>12659</v>
      </c>
      <c r="B1811" s="67"/>
      <c r="C1811" s="67"/>
      <c r="D1811" s="68"/>
      <c r="E1811" s="94"/>
      <c r="F1811" s="93" t="str">
        <f>HYPERLINK("https://pbs.twimg.com/profile_images/1341141614564175872/sNxUMZcL_normal.jpg")</f>
        <v>https://pbs.twimg.com/profile_images/1341141614564175872/sNxUMZcL_normal.jpg</v>
      </c>
      <c r="G1811" s="95"/>
      <c r="H1811" s="71"/>
      <c r="I1811" s="72"/>
      <c r="J1811" s="96"/>
      <c r="K1811" s="71" t="s">
        <v>14529</v>
      </c>
      <c r="L1811" s="97"/>
      <c r="M1811" s="76"/>
      <c r="N1811" s="76"/>
      <c r="O1811" s="77"/>
      <c r="P1811" s="78"/>
      <c r="Q1811" s="78"/>
      <c r="R1811" s="92"/>
      <c r="S1811" s="92"/>
      <c r="T1811" s="92"/>
      <c r="U1811" s="92"/>
      <c r="V1811" s="52"/>
      <c r="W1811" s="52"/>
      <c r="X1811" s="52"/>
      <c r="Y1811" s="52"/>
      <c r="Z1811" s="51"/>
      <c r="AA1811" s="73"/>
      <c r="AB1811" s="73"/>
      <c r="AC1811" s="74"/>
      <c r="AD1811" s="81" t="s">
        <v>13710</v>
      </c>
      <c r="AE1811" s="86" t="s">
        <v>13910</v>
      </c>
      <c r="AF1811" s="81">
        <v>830</v>
      </c>
      <c r="AG1811" s="81">
        <v>686</v>
      </c>
      <c r="AH1811" s="81">
        <v>116176</v>
      </c>
      <c r="AI1811" s="81">
        <v>164372</v>
      </c>
      <c r="AJ1811" s="81"/>
      <c r="AK1811" s="81"/>
      <c r="AL1811" s="81"/>
      <c r="AM1811" s="81"/>
      <c r="AN1811" s="81"/>
      <c r="AO1811" s="83">
        <v>40745.702870370369</v>
      </c>
      <c r="AP1811" s="81"/>
      <c r="AQ1811" s="81" t="b">
        <v>1</v>
      </c>
      <c r="AR1811" s="81" t="b">
        <v>0</v>
      </c>
      <c r="AS1811" s="81" t="b">
        <v>1</v>
      </c>
      <c r="AT1811" s="81"/>
      <c r="AU1811" s="81">
        <v>0</v>
      </c>
      <c r="AV1811" s="84" t="str">
        <f>HYPERLINK("https://abs.twimg.com/images/themes/theme1/bg.png")</f>
        <v>https://abs.twimg.com/images/themes/theme1/bg.png</v>
      </c>
      <c r="AW1811" s="81" t="b">
        <v>0</v>
      </c>
      <c r="AX1811" s="81" t="s">
        <v>3728</v>
      </c>
      <c r="AY1811" s="84" t="str">
        <f>HYPERLINK("https://twitter.com/dorapereira2")</f>
        <v>https://twitter.com/dorapereira2</v>
      </c>
      <c r="AZ1811" s="81" t="s">
        <v>66</v>
      </c>
    </row>
    <row r="1812" spans="1:52" x14ac:dyDescent="0.35">
      <c r="A1812" s="66" t="s">
        <v>12730</v>
      </c>
      <c r="B1812" s="67"/>
      <c r="C1812" s="67"/>
      <c r="D1812" s="68"/>
      <c r="E1812" s="94"/>
      <c r="F1812" s="93" t="str">
        <f>HYPERLINK("https://pbs.twimg.com/profile_images/1410626678754201601/Xs4CjZLi_normal.png")</f>
        <v>https://pbs.twimg.com/profile_images/1410626678754201601/Xs4CjZLi_normal.png</v>
      </c>
      <c r="G1812" s="95"/>
      <c r="H1812" s="71"/>
      <c r="I1812" s="72"/>
      <c r="J1812" s="96"/>
      <c r="K1812" s="71" t="s">
        <v>14530</v>
      </c>
      <c r="L1812" s="97"/>
      <c r="M1812" s="76"/>
      <c r="N1812" s="76"/>
      <c r="O1812" s="77"/>
      <c r="P1812" s="78"/>
      <c r="Q1812" s="78"/>
      <c r="R1812" s="92"/>
      <c r="S1812" s="92"/>
      <c r="T1812" s="92"/>
      <c r="U1812" s="92"/>
      <c r="V1812" s="52"/>
      <c r="W1812" s="52"/>
      <c r="X1812" s="52"/>
      <c r="Y1812" s="52"/>
      <c r="Z1812" s="51"/>
      <c r="AA1812" s="73"/>
      <c r="AB1812" s="73"/>
      <c r="AC1812" s="74"/>
      <c r="AD1812" s="81" t="s">
        <v>13711</v>
      </c>
      <c r="AE1812" s="86" t="s">
        <v>13911</v>
      </c>
      <c r="AF1812" s="81">
        <v>4712</v>
      </c>
      <c r="AG1812" s="81">
        <v>11202</v>
      </c>
      <c r="AH1812" s="81">
        <v>92994</v>
      </c>
      <c r="AI1812" s="81">
        <v>107355</v>
      </c>
      <c r="AJ1812" s="81"/>
      <c r="AK1812" s="81" t="s">
        <v>14149</v>
      </c>
      <c r="AL1812" s="81" t="s">
        <v>10986</v>
      </c>
      <c r="AM1812" s="81"/>
      <c r="AN1812" s="81"/>
      <c r="AO1812" s="83">
        <v>40401.140625</v>
      </c>
      <c r="AP1812" s="84" t="str">
        <f>HYPERLINK("https://pbs.twimg.com/profile_banners/177048412/1608067479")</f>
        <v>https://pbs.twimg.com/profile_banners/177048412/1608067479</v>
      </c>
      <c r="AQ1812" s="81" t="b">
        <v>1</v>
      </c>
      <c r="AR1812" s="81" t="b">
        <v>0</v>
      </c>
      <c r="AS1812" s="81" t="b">
        <v>1</v>
      </c>
      <c r="AT1812" s="81"/>
      <c r="AU1812" s="81">
        <v>18</v>
      </c>
      <c r="AV1812" s="84" t="str">
        <f>HYPERLINK("https://abs.twimg.com/images/themes/theme1/bg.png")</f>
        <v>https://abs.twimg.com/images/themes/theme1/bg.png</v>
      </c>
      <c r="AW1812" s="81" t="b">
        <v>0</v>
      </c>
      <c r="AX1812" s="81" t="s">
        <v>3728</v>
      </c>
      <c r="AY1812" s="84" t="str">
        <f>HYPERLINK("https://twitter.com/sandrabrasilia")</f>
        <v>https://twitter.com/sandrabrasilia</v>
      </c>
      <c r="AZ1812" s="81" t="s">
        <v>65</v>
      </c>
    </row>
    <row r="1813" spans="1:52" x14ac:dyDescent="0.35">
      <c r="A1813" s="66" t="s">
        <v>12731</v>
      </c>
      <c r="B1813" s="67"/>
      <c r="C1813" s="67"/>
      <c r="D1813" s="68"/>
      <c r="E1813" s="94"/>
      <c r="F1813" s="93" t="str">
        <f>HYPERLINK("https://pbs.twimg.com/profile_images/1349373437614166017/BbDrNUdA_normal.jpg")</f>
        <v>https://pbs.twimg.com/profile_images/1349373437614166017/BbDrNUdA_normal.jpg</v>
      </c>
      <c r="G1813" s="95"/>
      <c r="H1813" s="71"/>
      <c r="I1813" s="72"/>
      <c r="J1813" s="96"/>
      <c r="K1813" s="71" t="s">
        <v>14531</v>
      </c>
      <c r="L1813" s="97"/>
      <c r="M1813" s="76"/>
      <c r="N1813" s="76"/>
      <c r="O1813" s="77"/>
      <c r="P1813" s="78"/>
      <c r="Q1813" s="78"/>
      <c r="R1813" s="92"/>
      <c r="S1813" s="92"/>
      <c r="T1813" s="92"/>
      <c r="U1813" s="92"/>
      <c r="V1813" s="52"/>
      <c r="W1813" s="52"/>
      <c r="X1813" s="52"/>
      <c r="Y1813" s="52"/>
      <c r="Z1813" s="51"/>
      <c r="AA1813" s="73"/>
      <c r="AB1813" s="73"/>
      <c r="AC1813" s="74"/>
      <c r="AD1813" s="81" t="s">
        <v>13712</v>
      </c>
      <c r="AE1813" s="86" t="s">
        <v>13433</v>
      </c>
      <c r="AF1813" s="81">
        <v>1550</v>
      </c>
      <c r="AG1813" s="81">
        <v>950</v>
      </c>
      <c r="AH1813" s="81">
        <v>65849</v>
      </c>
      <c r="AI1813" s="81">
        <v>42223</v>
      </c>
      <c r="AJ1813" s="81"/>
      <c r="AK1813" s="81" t="s">
        <v>14150</v>
      </c>
      <c r="AL1813" s="81"/>
      <c r="AM1813" s="81"/>
      <c r="AN1813" s="81"/>
      <c r="AO1813" s="83">
        <v>43930.016412037039</v>
      </c>
      <c r="AP1813" s="84" t="str">
        <f>HYPERLINK("https://pbs.twimg.com/profile_banners/1248043816323612679/1610550673")</f>
        <v>https://pbs.twimg.com/profile_banners/1248043816323612679/1610550673</v>
      </c>
      <c r="AQ1813" s="81" t="b">
        <v>1</v>
      </c>
      <c r="AR1813" s="81" t="b">
        <v>0</v>
      </c>
      <c r="AS1813" s="81" t="b">
        <v>0</v>
      </c>
      <c r="AT1813" s="81"/>
      <c r="AU1813" s="81">
        <v>0</v>
      </c>
      <c r="AV1813" s="81"/>
      <c r="AW1813" s="81" t="b">
        <v>0</v>
      </c>
      <c r="AX1813" s="81" t="s">
        <v>3728</v>
      </c>
      <c r="AY1813" s="84" t="str">
        <f>HYPERLINK("https://twitter.com/mouraedu2")</f>
        <v>https://twitter.com/mouraedu2</v>
      </c>
      <c r="AZ1813" s="81" t="s">
        <v>65</v>
      </c>
    </row>
    <row r="1814" spans="1:52" x14ac:dyDescent="0.35">
      <c r="A1814" s="66" t="s">
        <v>12660</v>
      </c>
      <c r="B1814" s="67"/>
      <c r="C1814" s="67"/>
      <c r="D1814" s="68"/>
      <c r="E1814" s="94"/>
      <c r="F1814" s="93" t="str">
        <f>HYPERLINK("https://pbs.twimg.com/profile_images/1402131563379191812/aL3FsZpw_normal.jpg")</f>
        <v>https://pbs.twimg.com/profile_images/1402131563379191812/aL3FsZpw_normal.jpg</v>
      </c>
      <c r="G1814" s="95"/>
      <c r="H1814" s="71"/>
      <c r="I1814" s="72"/>
      <c r="J1814" s="96"/>
      <c r="K1814" s="71" t="s">
        <v>14532</v>
      </c>
      <c r="L1814" s="97"/>
      <c r="M1814" s="76"/>
      <c r="N1814" s="76"/>
      <c r="O1814" s="77"/>
      <c r="P1814" s="78"/>
      <c r="Q1814" s="78"/>
      <c r="R1814" s="92"/>
      <c r="S1814" s="92"/>
      <c r="T1814" s="92"/>
      <c r="U1814" s="92"/>
      <c r="V1814" s="52"/>
      <c r="W1814" s="52"/>
      <c r="X1814" s="52"/>
      <c r="Y1814" s="52"/>
      <c r="Z1814" s="51"/>
      <c r="AA1814" s="73"/>
      <c r="AB1814" s="73"/>
      <c r="AC1814" s="74"/>
      <c r="AD1814" s="81" t="s">
        <v>13713</v>
      </c>
      <c r="AE1814" s="86" t="s">
        <v>13912</v>
      </c>
      <c r="AF1814" s="81">
        <v>680</v>
      </c>
      <c r="AG1814" s="81">
        <v>93</v>
      </c>
      <c r="AH1814" s="81">
        <v>9158</v>
      </c>
      <c r="AI1814" s="81">
        <v>11866</v>
      </c>
      <c r="AJ1814" s="81"/>
      <c r="AK1814" s="81" t="s">
        <v>14151</v>
      </c>
      <c r="AL1814" s="81" t="s">
        <v>14261</v>
      </c>
      <c r="AM1814" s="81"/>
      <c r="AN1814" s="81"/>
      <c r="AO1814" s="83">
        <v>43069.566759259258</v>
      </c>
      <c r="AP1814" s="84" t="str">
        <f>HYPERLINK("https://pbs.twimg.com/profile_banners/936227347912540160/1624004775")</f>
        <v>https://pbs.twimg.com/profile_banners/936227347912540160/1624004775</v>
      </c>
      <c r="AQ1814" s="81" t="b">
        <v>0</v>
      </c>
      <c r="AR1814" s="81" t="b">
        <v>0</v>
      </c>
      <c r="AS1814" s="81" t="b">
        <v>1</v>
      </c>
      <c r="AT1814" s="81"/>
      <c r="AU1814" s="81">
        <v>0</v>
      </c>
      <c r="AV1814" s="84" t="str">
        <f>HYPERLINK("https://abs.twimg.com/images/themes/theme1/bg.png")</f>
        <v>https://abs.twimg.com/images/themes/theme1/bg.png</v>
      </c>
      <c r="AW1814" s="81" t="b">
        <v>0</v>
      </c>
      <c r="AX1814" s="81" t="s">
        <v>3728</v>
      </c>
      <c r="AY1814" s="84" t="str">
        <f>HYPERLINK("https://twitter.com/gusticputra")</f>
        <v>https://twitter.com/gusticputra</v>
      </c>
      <c r="AZ1814" s="81" t="s">
        <v>66</v>
      </c>
    </row>
    <row r="1815" spans="1:52" x14ac:dyDescent="0.35">
      <c r="A1815" s="66" t="s">
        <v>12732</v>
      </c>
      <c r="B1815" s="67"/>
      <c r="C1815" s="67"/>
      <c r="D1815" s="68"/>
      <c r="E1815" s="94"/>
      <c r="F1815" s="93" t="str">
        <f>HYPERLINK("https://pbs.twimg.com/profile_images/1421527370004008960/smpd2NDq_normal.jpg")</f>
        <v>https://pbs.twimg.com/profile_images/1421527370004008960/smpd2NDq_normal.jpg</v>
      </c>
      <c r="G1815" s="95"/>
      <c r="H1815" s="71"/>
      <c r="I1815" s="72"/>
      <c r="J1815" s="96"/>
      <c r="K1815" s="71" t="s">
        <v>14533</v>
      </c>
      <c r="L1815" s="97"/>
      <c r="M1815" s="76"/>
      <c r="N1815" s="76"/>
      <c r="O1815" s="77"/>
      <c r="P1815" s="78"/>
      <c r="Q1815" s="78"/>
      <c r="R1815" s="92"/>
      <c r="S1815" s="92"/>
      <c r="T1815" s="92"/>
      <c r="U1815" s="92"/>
      <c r="V1815" s="52"/>
      <c r="W1815" s="52"/>
      <c r="X1815" s="52"/>
      <c r="Y1815" s="52"/>
      <c r="Z1815" s="51"/>
      <c r="AA1815" s="73"/>
      <c r="AB1815" s="73"/>
      <c r="AC1815" s="74"/>
      <c r="AD1815" s="81" t="s">
        <v>12732</v>
      </c>
      <c r="AE1815" s="86" t="s">
        <v>13913</v>
      </c>
      <c r="AF1815" s="81">
        <v>662</v>
      </c>
      <c r="AG1815" s="81">
        <v>578874</v>
      </c>
      <c r="AH1815" s="81">
        <v>67252</v>
      </c>
      <c r="AI1815" s="81">
        <v>8953</v>
      </c>
      <c r="AJ1815" s="81"/>
      <c r="AK1815" s="81" t="s">
        <v>14152</v>
      </c>
      <c r="AL1815" s="81" t="s">
        <v>2202</v>
      </c>
      <c r="AM1815" s="84" t="str">
        <f>HYPERLINK("https://t.co/zRmNX5ZfVf")</f>
        <v>https://t.co/zRmNX5ZfVf</v>
      </c>
      <c r="AN1815" s="81"/>
      <c r="AO1815" s="83">
        <v>40963.581550925926</v>
      </c>
      <c r="AP1815" s="84" t="str">
        <f>HYPERLINK("https://pbs.twimg.com/profile_banners/501800437/1630636711")</f>
        <v>https://pbs.twimg.com/profile_banners/501800437/1630636711</v>
      </c>
      <c r="AQ1815" s="81" t="b">
        <v>1</v>
      </c>
      <c r="AR1815" s="81" t="b">
        <v>0</v>
      </c>
      <c r="AS1815" s="81" t="b">
        <v>1</v>
      </c>
      <c r="AT1815" s="81"/>
      <c r="AU1815" s="81">
        <v>1022</v>
      </c>
      <c r="AV1815" s="84" t="str">
        <f>HYPERLINK("https://abs.twimg.com/images/themes/theme1/bg.png")</f>
        <v>https://abs.twimg.com/images/themes/theme1/bg.png</v>
      </c>
      <c r="AW1815" s="81" t="b">
        <v>0</v>
      </c>
      <c r="AX1815" s="81" t="s">
        <v>3728</v>
      </c>
      <c r="AY1815" s="84" t="str">
        <f>HYPERLINK("https://twitter.com/hrdbacot")</f>
        <v>https://twitter.com/hrdbacot</v>
      </c>
      <c r="AZ1815" s="81" t="s">
        <v>65</v>
      </c>
    </row>
    <row r="1816" spans="1:52" x14ac:dyDescent="0.35">
      <c r="A1816" s="66" t="s">
        <v>12733</v>
      </c>
      <c r="B1816" s="67"/>
      <c r="C1816" s="67"/>
      <c r="D1816" s="68"/>
      <c r="E1816" s="94"/>
      <c r="F1816" s="93" t="str">
        <f>HYPERLINK("https://pbs.twimg.com/profile_images/1282509049775321090/gz5TKz88_normal.jpg")</f>
        <v>https://pbs.twimg.com/profile_images/1282509049775321090/gz5TKz88_normal.jpg</v>
      </c>
      <c r="G1816" s="95"/>
      <c r="H1816" s="71"/>
      <c r="I1816" s="72"/>
      <c r="J1816" s="96"/>
      <c r="K1816" s="71" t="s">
        <v>14534</v>
      </c>
      <c r="L1816" s="97"/>
      <c r="M1816" s="76"/>
      <c r="N1816" s="76"/>
      <c r="O1816" s="77"/>
      <c r="P1816" s="78"/>
      <c r="Q1816" s="78"/>
      <c r="R1816" s="92"/>
      <c r="S1816" s="92"/>
      <c r="T1816" s="92"/>
      <c r="U1816" s="92"/>
      <c r="V1816" s="52"/>
      <c r="W1816" s="52"/>
      <c r="X1816" s="52"/>
      <c r="Y1816" s="52"/>
      <c r="Z1816" s="51"/>
      <c r="AA1816" s="73"/>
      <c r="AB1816" s="73"/>
      <c r="AC1816" s="74"/>
      <c r="AD1816" s="81" t="s">
        <v>13714</v>
      </c>
      <c r="AE1816" s="86" t="s">
        <v>13434</v>
      </c>
      <c r="AF1816" s="81">
        <v>128</v>
      </c>
      <c r="AG1816" s="81">
        <v>11483</v>
      </c>
      <c r="AH1816" s="81">
        <v>16259</v>
      </c>
      <c r="AI1816" s="81">
        <v>1505</v>
      </c>
      <c r="AJ1816" s="81"/>
      <c r="AK1816" s="81" t="s">
        <v>14153</v>
      </c>
      <c r="AL1816" s="81" t="s">
        <v>2202</v>
      </c>
      <c r="AM1816" s="84" t="str">
        <f>HYPERLINK("https://t.co/jSkpsjKPak")</f>
        <v>https://t.co/jSkpsjKPak</v>
      </c>
      <c r="AN1816" s="81"/>
      <c r="AO1816" s="83">
        <v>41688.057881944442</v>
      </c>
      <c r="AP1816" s="84" t="str">
        <f>HYPERLINK("https://pbs.twimg.com/profile_banners/2349339355/1620020573")</f>
        <v>https://pbs.twimg.com/profile_banners/2349339355/1620020573</v>
      </c>
      <c r="AQ1816" s="81" t="b">
        <v>0</v>
      </c>
      <c r="AR1816" s="81" t="b">
        <v>0</v>
      </c>
      <c r="AS1816" s="81" t="b">
        <v>1</v>
      </c>
      <c r="AT1816" s="81"/>
      <c r="AU1816" s="81">
        <v>35</v>
      </c>
      <c r="AV1816" s="84" t="str">
        <f>HYPERLINK("https://abs.twimg.com/images/themes/theme13/bg.gif")</f>
        <v>https://abs.twimg.com/images/themes/theme13/bg.gif</v>
      </c>
      <c r="AW1816" s="81" t="b">
        <v>0</v>
      </c>
      <c r="AX1816" s="81" t="s">
        <v>3728</v>
      </c>
      <c r="AY1816" s="84" t="str">
        <f>HYPERLINK("https://twitter.com/mncsekuritas")</f>
        <v>https://twitter.com/mncsekuritas</v>
      </c>
      <c r="AZ1816" s="81" t="s">
        <v>65</v>
      </c>
    </row>
    <row r="1817" spans="1:52" x14ac:dyDescent="0.35">
      <c r="A1817" s="66" t="s">
        <v>12661</v>
      </c>
      <c r="B1817" s="67"/>
      <c r="C1817" s="67"/>
      <c r="D1817" s="68"/>
      <c r="E1817" s="94"/>
      <c r="F1817" s="93" t="str">
        <f>HYPERLINK("https://pbs.twimg.com/profile_images/1358771272654614530/I_CwXrZ7_normal.jpg")</f>
        <v>https://pbs.twimg.com/profile_images/1358771272654614530/I_CwXrZ7_normal.jpg</v>
      </c>
      <c r="G1817" s="95"/>
      <c r="H1817" s="71"/>
      <c r="I1817" s="72"/>
      <c r="J1817" s="96"/>
      <c r="K1817" s="71" t="s">
        <v>14535</v>
      </c>
      <c r="L1817" s="97"/>
      <c r="M1817" s="76"/>
      <c r="N1817" s="76"/>
      <c r="O1817" s="77"/>
      <c r="P1817" s="78"/>
      <c r="Q1817" s="78"/>
      <c r="R1817" s="92"/>
      <c r="S1817" s="92"/>
      <c r="T1817" s="92"/>
      <c r="U1817" s="92"/>
      <c r="V1817" s="52"/>
      <c r="W1817" s="52"/>
      <c r="X1817" s="52"/>
      <c r="Y1817" s="52"/>
      <c r="Z1817" s="51"/>
      <c r="AA1817" s="73"/>
      <c r="AB1817" s="73"/>
      <c r="AC1817" s="74"/>
      <c r="AD1817" s="81" t="s">
        <v>13715</v>
      </c>
      <c r="AE1817" s="86" t="s">
        <v>13914</v>
      </c>
      <c r="AF1817" s="81">
        <v>229</v>
      </c>
      <c r="AG1817" s="81">
        <v>318</v>
      </c>
      <c r="AH1817" s="81">
        <v>4985</v>
      </c>
      <c r="AI1817" s="81">
        <v>288</v>
      </c>
      <c r="AJ1817" s="81"/>
      <c r="AK1817" s="81" t="s">
        <v>14154</v>
      </c>
      <c r="AL1817" s="81" t="s">
        <v>3689</v>
      </c>
      <c r="AM1817" s="81"/>
      <c r="AN1817" s="81"/>
      <c r="AO1817" s="83">
        <v>40636.089201388888</v>
      </c>
      <c r="AP1817" s="84" t="str">
        <f>HYPERLINK("https://pbs.twimg.com/profile_banners/276290875/1584934257")</f>
        <v>https://pbs.twimg.com/profile_banners/276290875/1584934257</v>
      </c>
      <c r="AQ1817" s="81" t="b">
        <v>0</v>
      </c>
      <c r="AR1817" s="81" t="b">
        <v>0</v>
      </c>
      <c r="AS1817" s="81" t="b">
        <v>1</v>
      </c>
      <c r="AT1817" s="81"/>
      <c r="AU1817" s="81">
        <v>1</v>
      </c>
      <c r="AV1817" s="84" t="str">
        <f>HYPERLINK("https://abs.twimg.com/images/themes/theme7/bg.gif")</f>
        <v>https://abs.twimg.com/images/themes/theme7/bg.gif</v>
      </c>
      <c r="AW1817" s="81" t="b">
        <v>0</v>
      </c>
      <c r="AX1817" s="81" t="s">
        <v>3728</v>
      </c>
      <c r="AY1817" s="84" t="str">
        <f>HYPERLINK("https://twitter.com/stefanusdians")</f>
        <v>https://twitter.com/stefanusdians</v>
      </c>
      <c r="AZ1817" s="81" t="s">
        <v>66</v>
      </c>
    </row>
    <row r="1818" spans="1:52" x14ac:dyDescent="0.35">
      <c r="A1818" s="66" t="s">
        <v>12734</v>
      </c>
      <c r="B1818" s="67"/>
      <c r="C1818" s="67"/>
      <c r="D1818" s="68"/>
      <c r="E1818" s="94"/>
      <c r="F1818" s="93" t="str">
        <f>HYPERLINK("https://pbs.twimg.com/profile_images/1419748496354119681/8j5R3e0n_normal.jpg")</f>
        <v>https://pbs.twimg.com/profile_images/1419748496354119681/8j5R3e0n_normal.jpg</v>
      </c>
      <c r="G1818" s="95"/>
      <c r="H1818" s="71"/>
      <c r="I1818" s="72"/>
      <c r="J1818" s="96"/>
      <c r="K1818" s="71" t="s">
        <v>14536</v>
      </c>
      <c r="L1818" s="97"/>
      <c r="M1818" s="76"/>
      <c r="N1818" s="76"/>
      <c r="O1818" s="77"/>
      <c r="P1818" s="78"/>
      <c r="Q1818" s="78"/>
      <c r="R1818" s="92"/>
      <c r="S1818" s="92"/>
      <c r="T1818" s="92"/>
      <c r="U1818" s="92"/>
      <c r="V1818" s="52"/>
      <c r="W1818" s="52"/>
      <c r="X1818" s="52"/>
      <c r="Y1818" s="52"/>
      <c r="Z1818" s="51"/>
      <c r="AA1818" s="73"/>
      <c r="AB1818" s="73"/>
      <c r="AC1818" s="74"/>
      <c r="AD1818" s="81" t="s">
        <v>13716</v>
      </c>
      <c r="AE1818" s="86" t="s">
        <v>13435</v>
      </c>
      <c r="AF1818" s="81">
        <v>776</v>
      </c>
      <c r="AG1818" s="81">
        <v>754</v>
      </c>
      <c r="AH1818" s="81">
        <v>20567</v>
      </c>
      <c r="AI1818" s="81">
        <v>5377</v>
      </c>
      <c r="AJ1818" s="81"/>
      <c r="AK1818" s="81" t="s">
        <v>14155</v>
      </c>
      <c r="AL1818" s="81" t="s">
        <v>11031</v>
      </c>
      <c r="AM1818" s="81"/>
      <c r="AN1818" s="81"/>
      <c r="AO1818" s="83">
        <v>40160.660243055558</v>
      </c>
      <c r="AP1818" s="84" t="str">
        <f>HYPERLINK("https://pbs.twimg.com/profile_banners/96572253/1618004018")</f>
        <v>https://pbs.twimg.com/profile_banners/96572253/1618004018</v>
      </c>
      <c r="AQ1818" s="81" t="b">
        <v>0</v>
      </c>
      <c r="AR1818" s="81" t="b">
        <v>0</v>
      </c>
      <c r="AS1818" s="81" t="b">
        <v>1</v>
      </c>
      <c r="AT1818" s="81"/>
      <c r="AU1818" s="81">
        <v>2</v>
      </c>
      <c r="AV1818" s="84" t="str">
        <f>HYPERLINK("https://abs.twimg.com/images/themes/theme1/bg.png")</f>
        <v>https://abs.twimg.com/images/themes/theme1/bg.png</v>
      </c>
      <c r="AW1818" s="81" t="b">
        <v>0</v>
      </c>
      <c r="AX1818" s="81" t="s">
        <v>3728</v>
      </c>
      <c r="AY1818" s="84" t="str">
        <f>HYPERLINK("https://twitter.com/patrickxavera")</f>
        <v>https://twitter.com/patrickxavera</v>
      </c>
      <c r="AZ1818" s="81" t="s">
        <v>65</v>
      </c>
    </row>
    <row r="1819" spans="1:52" x14ac:dyDescent="0.35">
      <c r="A1819" s="66" t="s">
        <v>12662</v>
      </c>
      <c r="B1819" s="67"/>
      <c r="C1819" s="67"/>
      <c r="D1819" s="68"/>
      <c r="E1819" s="94"/>
      <c r="F1819" s="93" t="str">
        <f>HYPERLINK("https://pbs.twimg.com/profile_images/1292308998172160007/mq_moTvL_normal.jpg")</f>
        <v>https://pbs.twimg.com/profile_images/1292308998172160007/mq_moTvL_normal.jpg</v>
      </c>
      <c r="G1819" s="95"/>
      <c r="H1819" s="71"/>
      <c r="I1819" s="72"/>
      <c r="J1819" s="96"/>
      <c r="K1819" s="71" t="s">
        <v>14537</v>
      </c>
      <c r="L1819" s="97"/>
      <c r="M1819" s="76"/>
      <c r="N1819" s="76"/>
      <c r="O1819" s="77"/>
      <c r="P1819" s="78"/>
      <c r="Q1819" s="78"/>
      <c r="R1819" s="92"/>
      <c r="S1819" s="92"/>
      <c r="T1819" s="92"/>
      <c r="U1819" s="92"/>
      <c r="V1819" s="52"/>
      <c r="W1819" s="52"/>
      <c r="X1819" s="52"/>
      <c r="Y1819" s="52"/>
      <c r="Z1819" s="51"/>
      <c r="AA1819" s="73"/>
      <c r="AB1819" s="73"/>
      <c r="AC1819" s="74"/>
      <c r="AD1819" s="81" t="s">
        <v>13717</v>
      </c>
      <c r="AE1819" s="86" t="s">
        <v>13915</v>
      </c>
      <c r="AF1819" s="81">
        <v>1730</v>
      </c>
      <c r="AG1819" s="81">
        <v>42059</v>
      </c>
      <c r="AH1819" s="81">
        <v>144957</v>
      </c>
      <c r="AI1819" s="81">
        <v>6659</v>
      </c>
      <c r="AJ1819" s="81"/>
      <c r="AK1819" s="81" t="s">
        <v>14156</v>
      </c>
      <c r="AL1819" s="81" t="s">
        <v>11022</v>
      </c>
      <c r="AM1819" s="84" t="str">
        <f>HYPERLINK("https://t.co/vt5nLr9zNB")</f>
        <v>https://t.co/vt5nLr9zNB</v>
      </c>
      <c r="AN1819" s="81"/>
      <c r="AO1819" s="83">
        <v>39896.002083333333</v>
      </c>
      <c r="AP1819" s="84" t="str">
        <f>HYPERLINK("https://pbs.twimg.com/profile_banners/26127407/1562452941")</f>
        <v>https://pbs.twimg.com/profile_banners/26127407/1562452941</v>
      </c>
      <c r="AQ1819" s="81" t="b">
        <v>0</v>
      </c>
      <c r="AR1819" s="81" t="b">
        <v>0</v>
      </c>
      <c r="AS1819" s="81" t="b">
        <v>1</v>
      </c>
      <c r="AT1819" s="81"/>
      <c r="AU1819" s="81">
        <v>386</v>
      </c>
      <c r="AV1819" s="84" t="str">
        <f>HYPERLINK("https://abs.twimg.com/images/themes/theme1/bg.png")</f>
        <v>https://abs.twimg.com/images/themes/theme1/bg.png</v>
      </c>
      <c r="AW1819" s="81" t="b">
        <v>0</v>
      </c>
      <c r="AX1819" s="81" t="s">
        <v>3728</v>
      </c>
      <c r="AY1819" s="84" t="str">
        <f>HYPERLINK("https://twitter.com/cortez_hsp")</f>
        <v>https://twitter.com/cortez_hsp</v>
      </c>
      <c r="AZ1819" s="81" t="s">
        <v>66</v>
      </c>
    </row>
    <row r="1820" spans="1:52" x14ac:dyDescent="0.35">
      <c r="A1820" s="66" t="s">
        <v>12663</v>
      </c>
      <c r="B1820" s="67"/>
      <c r="C1820" s="67"/>
      <c r="D1820" s="68"/>
      <c r="E1820" s="94"/>
      <c r="F1820" s="93" t="str">
        <f>HYPERLINK("https://pbs.twimg.com/profile_images/1360275843755483143/aEaFl9o-_normal.jpg")</f>
        <v>https://pbs.twimg.com/profile_images/1360275843755483143/aEaFl9o-_normal.jpg</v>
      </c>
      <c r="G1820" s="95"/>
      <c r="H1820" s="71"/>
      <c r="I1820" s="72"/>
      <c r="J1820" s="96"/>
      <c r="K1820" s="71" t="s">
        <v>14538</v>
      </c>
      <c r="L1820" s="97"/>
      <c r="M1820" s="76"/>
      <c r="N1820" s="76"/>
      <c r="O1820" s="77"/>
      <c r="P1820" s="78"/>
      <c r="Q1820" s="78"/>
      <c r="R1820" s="92"/>
      <c r="S1820" s="92"/>
      <c r="T1820" s="92"/>
      <c r="U1820" s="92"/>
      <c r="V1820" s="52"/>
      <c r="W1820" s="52"/>
      <c r="X1820" s="52"/>
      <c r="Y1820" s="52"/>
      <c r="Z1820" s="51"/>
      <c r="AA1820" s="73"/>
      <c r="AB1820" s="73"/>
      <c r="AC1820" s="74"/>
      <c r="AD1820" s="81" t="s">
        <v>13718</v>
      </c>
      <c r="AE1820" s="86" t="s">
        <v>13916</v>
      </c>
      <c r="AF1820" s="81">
        <v>491</v>
      </c>
      <c r="AG1820" s="81">
        <v>259</v>
      </c>
      <c r="AH1820" s="81">
        <v>13027</v>
      </c>
      <c r="AI1820" s="81">
        <v>54590</v>
      </c>
      <c r="AJ1820" s="81"/>
      <c r="AK1820" s="81"/>
      <c r="AL1820" s="81"/>
      <c r="AM1820" s="84" t="str">
        <f>HYPERLINK("https://t.co/8dkWw1c3pI")</f>
        <v>https://t.co/8dkWw1c3pI</v>
      </c>
      <c r="AN1820" s="81"/>
      <c r="AO1820" s="83">
        <v>43554.03497685185</v>
      </c>
      <c r="AP1820" s="81"/>
      <c r="AQ1820" s="81" t="b">
        <v>1</v>
      </c>
      <c r="AR1820" s="81" t="b">
        <v>0</v>
      </c>
      <c r="AS1820" s="81" t="b">
        <v>1</v>
      </c>
      <c r="AT1820" s="81"/>
      <c r="AU1820" s="81">
        <v>0</v>
      </c>
      <c r="AV1820" s="81"/>
      <c r="AW1820" s="81" t="b">
        <v>0</v>
      </c>
      <c r="AX1820" s="81" t="s">
        <v>3728</v>
      </c>
      <c r="AY1820" s="84" t="str">
        <f>HYPERLINK("https://twitter.com/pos_vibes_24")</f>
        <v>https://twitter.com/pos_vibes_24</v>
      </c>
      <c r="AZ1820" s="81" t="s">
        <v>66</v>
      </c>
    </row>
    <row r="1821" spans="1:52" x14ac:dyDescent="0.35">
      <c r="A1821" s="66" t="s">
        <v>12665</v>
      </c>
      <c r="B1821" s="67"/>
      <c r="C1821" s="67"/>
      <c r="D1821" s="68"/>
      <c r="E1821" s="94"/>
      <c r="F1821" s="93" t="str">
        <f>HYPERLINK("https://pbs.twimg.com/profile_images/1441344119356289027/Uy7I6PBh_normal.jpg")</f>
        <v>https://pbs.twimg.com/profile_images/1441344119356289027/Uy7I6PBh_normal.jpg</v>
      </c>
      <c r="G1821" s="95"/>
      <c r="H1821" s="71"/>
      <c r="I1821" s="72"/>
      <c r="J1821" s="96"/>
      <c r="K1821" s="71" t="s">
        <v>14539</v>
      </c>
      <c r="L1821" s="97"/>
      <c r="M1821" s="76"/>
      <c r="N1821" s="76"/>
      <c r="O1821" s="77"/>
      <c r="P1821" s="78"/>
      <c r="Q1821" s="78"/>
      <c r="R1821" s="92"/>
      <c r="S1821" s="92"/>
      <c r="T1821" s="92"/>
      <c r="U1821" s="92"/>
      <c r="V1821" s="52"/>
      <c r="W1821" s="52"/>
      <c r="X1821" s="52"/>
      <c r="Y1821" s="52"/>
      <c r="Z1821" s="51"/>
      <c r="AA1821" s="73"/>
      <c r="AB1821" s="73"/>
      <c r="AC1821" s="74"/>
      <c r="AD1821" s="81" t="s">
        <v>13719</v>
      </c>
      <c r="AE1821" s="86" t="s">
        <v>13917</v>
      </c>
      <c r="AF1821" s="81">
        <v>185</v>
      </c>
      <c r="AG1821" s="81">
        <v>136</v>
      </c>
      <c r="AH1821" s="81">
        <v>4930</v>
      </c>
      <c r="AI1821" s="81">
        <v>17906</v>
      </c>
      <c r="AJ1821" s="81"/>
      <c r="AK1821" s="81" t="s">
        <v>14157</v>
      </c>
      <c r="AL1821" s="81"/>
      <c r="AM1821" s="81"/>
      <c r="AN1821" s="81"/>
      <c r="AO1821" s="83">
        <v>44300.600219907406</v>
      </c>
      <c r="AP1821" s="84" t="str">
        <f>HYPERLINK("https://pbs.twimg.com/profile_banners/1382338893811359751/1632911406")</f>
        <v>https://pbs.twimg.com/profile_banners/1382338893811359751/1632911406</v>
      </c>
      <c r="AQ1821" s="81" t="b">
        <v>1</v>
      </c>
      <c r="AR1821" s="81" t="b">
        <v>0</v>
      </c>
      <c r="AS1821" s="81" t="b">
        <v>0</v>
      </c>
      <c r="AT1821" s="81"/>
      <c r="AU1821" s="81">
        <v>0</v>
      </c>
      <c r="AV1821" s="81"/>
      <c r="AW1821" s="81" t="b">
        <v>0</v>
      </c>
      <c r="AX1821" s="81" t="s">
        <v>3728</v>
      </c>
      <c r="AY1821" s="84" t="str">
        <f>HYPERLINK("https://twitter.com/jaejaesy")</f>
        <v>https://twitter.com/jaejaesy</v>
      </c>
      <c r="AZ1821" s="81" t="s">
        <v>66</v>
      </c>
    </row>
    <row r="1822" spans="1:52" x14ac:dyDescent="0.35">
      <c r="A1822" s="66" t="s">
        <v>12666</v>
      </c>
      <c r="B1822" s="67"/>
      <c r="C1822" s="67"/>
      <c r="D1822" s="68"/>
      <c r="E1822" s="94"/>
      <c r="F1822" s="93" t="str">
        <f>HYPERLINK("https://pbs.twimg.com/profile_images/1429703844045279235/16vNpAKz_normal.jpg")</f>
        <v>https://pbs.twimg.com/profile_images/1429703844045279235/16vNpAKz_normal.jpg</v>
      </c>
      <c r="G1822" s="95"/>
      <c r="H1822" s="71"/>
      <c r="I1822" s="72"/>
      <c r="J1822" s="96"/>
      <c r="K1822" s="71" t="s">
        <v>14540</v>
      </c>
      <c r="L1822" s="97"/>
      <c r="M1822" s="76"/>
      <c r="N1822" s="76"/>
      <c r="O1822" s="77"/>
      <c r="P1822" s="78"/>
      <c r="Q1822" s="78"/>
      <c r="R1822" s="92"/>
      <c r="S1822" s="92"/>
      <c r="T1822" s="92"/>
      <c r="U1822" s="92"/>
      <c r="V1822" s="52"/>
      <c r="W1822" s="52"/>
      <c r="X1822" s="52"/>
      <c r="Y1822" s="52"/>
      <c r="Z1822" s="51"/>
      <c r="AA1822" s="73"/>
      <c r="AB1822" s="73"/>
      <c r="AC1822" s="74"/>
      <c r="AD1822" s="81" t="s">
        <v>13720</v>
      </c>
      <c r="AE1822" s="86" t="s">
        <v>13918</v>
      </c>
      <c r="AF1822" s="81">
        <v>496</v>
      </c>
      <c r="AG1822" s="81">
        <v>281</v>
      </c>
      <c r="AH1822" s="81">
        <v>48365</v>
      </c>
      <c r="AI1822" s="81">
        <v>58666</v>
      </c>
      <c r="AJ1822" s="81"/>
      <c r="AK1822" s="81" t="s">
        <v>14158</v>
      </c>
      <c r="AL1822" s="81" t="s">
        <v>14262</v>
      </c>
      <c r="AM1822" s="81"/>
      <c r="AN1822" s="81"/>
      <c r="AO1822" s="83">
        <v>40142.112013888887</v>
      </c>
      <c r="AP1822" s="84" t="str">
        <f>HYPERLINK("https://pbs.twimg.com/profile_banners/92430203/1609604388")</f>
        <v>https://pbs.twimg.com/profile_banners/92430203/1609604388</v>
      </c>
      <c r="AQ1822" s="81" t="b">
        <v>0</v>
      </c>
      <c r="AR1822" s="81" t="b">
        <v>0</v>
      </c>
      <c r="AS1822" s="81" t="b">
        <v>0</v>
      </c>
      <c r="AT1822" s="81"/>
      <c r="AU1822" s="81">
        <v>1</v>
      </c>
      <c r="AV1822" s="84" t="str">
        <f>HYPERLINK("https://abs.twimg.com/images/themes/theme1/bg.png")</f>
        <v>https://abs.twimg.com/images/themes/theme1/bg.png</v>
      </c>
      <c r="AW1822" s="81" t="b">
        <v>0</v>
      </c>
      <c r="AX1822" s="81" t="s">
        <v>3728</v>
      </c>
      <c r="AY1822" s="84" t="str">
        <f>HYPERLINK("https://twitter.com/panutmanee")</f>
        <v>https://twitter.com/panutmanee</v>
      </c>
      <c r="AZ1822" s="81" t="s">
        <v>66</v>
      </c>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822" xr:uid="{00000000-0002-0000-0100-000000000000}"/>
    <dataValidation allowBlank="1" errorTitle="Invalid Vertex Visibility" error="You have entered an unrecognized vertex visibility.  Try selecting from the drop-down list instead." sqref="BA3" xr:uid="{00000000-0002-0000-0100-000001000000}"/>
    <dataValidation allowBlank="1" showErrorMessage="1" sqref="BA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822"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822"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822"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822"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822" xr:uid="{00000000-0002-0000-0100-000007000000}"/>
    <dataValidation allowBlank="1" showInputMessage="1" errorTitle="Invalid Vertex Image Key" promptTitle="Vertex Tooltip" prompt="Enter optional text that will pop up when the mouse is hovered over the vertex." sqref="K3:K1822"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822"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822"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822" xr:uid="{00000000-0002-0000-0100-00000B000000}"/>
    <dataValidation allowBlank="1" showInputMessage="1" promptTitle="Vertex Label Fill Color" prompt="To select an optional fill color for the Label shape, right-click and select Select Color on the right-click menu." sqref="I3:I1822" xr:uid="{00000000-0002-0000-0100-00000C000000}"/>
    <dataValidation allowBlank="1" showInputMessage="1" errorTitle="Invalid Vertex Image Key" promptTitle="Vertex Image File" prompt="Enter the path to an image file.  Hover over the column header for examples." sqref="F3:F1822" xr:uid="{00000000-0002-0000-0100-00000D000000}"/>
    <dataValidation allowBlank="1" showInputMessage="1" promptTitle="Vertex Color" prompt="To select an optional vertex color, right-click and select Select Color on the right-click menu." sqref="B3:B1822"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822"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822"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822"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822" xr:uid="{00000000-0002-0000-0100-000012000000}">
      <formula1>ValidVertexLabelPositions</formula1>
    </dataValidation>
    <dataValidation allowBlank="1" showInputMessage="1" showErrorMessage="1" promptTitle="Vertex Name" prompt="Enter the name of the vertex." sqref="A3:A1822"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5" x14ac:dyDescent="0.35"/>
  <cols>
    <col min="1" max="1" width="10.81640625" style="3" bestFit="1" customWidth="1"/>
    <col min="2" max="2" width="16.81640625" style="3" bestFit="1" customWidth="1"/>
    <col min="4" max="5" width="9.1796875" customWidth="1"/>
  </cols>
  <sheetData>
    <row r="1" spans="1:1" x14ac:dyDescent="0.35">
      <c r="A1" s="3" t="s">
        <v>49</v>
      </c>
    </row>
    <row r="2" spans="1:1" ht="15" customHeight="1" x14ac:dyDescent="0.35"/>
    <row r="3" spans="1:1" ht="15" customHeight="1" x14ac:dyDescent="0.35">
      <c r="A3" s="32" t="s">
        <v>50</v>
      </c>
    </row>
    <row r="21" spans="4:4" x14ac:dyDescent="0.3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4.5" x14ac:dyDescent="0.35"/>
  <cols>
    <col min="1" max="1" width="9.453125" style="1" bestFit="1" customWidth="1"/>
    <col min="2" max="2" width="14.26953125" bestFit="1" customWidth="1"/>
    <col min="3" max="3" width="15" bestFit="1" customWidth="1"/>
    <col min="4" max="4" width="11.1796875" bestFit="1" customWidth="1"/>
    <col min="5" max="5" width="13" bestFit="1" customWidth="1"/>
    <col min="6" max="6" width="8" bestFit="1" customWidth="1"/>
    <col min="7" max="8" width="13.54296875" hidden="1" customWidth="1"/>
    <col min="9" max="9" width="11" hidden="1" customWidth="1"/>
    <col min="10" max="10" width="12.54296875" hidden="1" customWidth="1"/>
    <col min="11" max="11" width="11" hidden="1" customWidth="1"/>
    <col min="12" max="12" width="9.7265625" hidden="1" customWidth="1"/>
    <col min="13" max="13" width="13.1796875" hidden="1" customWidth="1"/>
    <col min="14" max="15" width="8.453125" hidden="1" customWidth="1"/>
    <col min="16" max="16" width="18.26953125" hidden="1" customWidth="1"/>
    <col min="17" max="17" width="14.81640625" hidden="1" customWidth="1"/>
    <col min="18" max="18" width="14.54296875" hidden="1" customWidth="1"/>
    <col min="19" max="21" width="24.1796875" hidden="1" customWidth="1"/>
    <col min="22" max="22" width="21.26953125" hidden="1" customWidth="1"/>
    <col min="23" max="23" width="19.26953125" hidden="1" customWidth="1"/>
    <col min="24" max="24" width="10" hidden="1" customWidth="1"/>
    <col min="25" max="25" width="13" customWidth="1"/>
  </cols>
  <sheetData>
    <row r="1" spans="1:24" x14ac:dyDescent="0.3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3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3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3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4.5" x14ac:dyDescent="0.35"/>
  <cols>
    <col min="1" max="1" width="9.453125" style="1" bestFit="1" customWidth="1"/>
    <col min="2" max="2" width="9.1796875" style="1"/>
    <col min="3" max="3" width="11.54296875" bestFit="1" customWidth="1"/>
    <col min="4" max="4" width="9.1796875" customWidth="1"/>
  </cols>
  <sheetData>
    <row r="1" spans="1:3" x14ac:dyDescent="0.35">
      <c r="A1" s="1" t="s">
        <v>144</v>
      </c>
      <c r="B1" s="1" t="s">
        <v>5</v>
      </c>
      <c r="C1" s="1" t="s">
        <v>147</v>
      </c>
    </row>
    <row r="2" spans="1:3" x14ac:dyDescent="0.35">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68"/>
  <sheetViews>
    <sheetView workbookViewId="0">
      <selection activeCell="B48" sqref="B48"/>
    </sheetView>
  </sheetViews>
  <sheetFormatPr defaultRowHeight="14.5" x14ac:dyDescent="0.35"/>
  <cols>
    <col min="1" max="1" width="43.1796875" customWidth="1"/>
    <col min="2" max="2" width="13.81640625" customWidth="1"/>
    <col min="3" max="3" width="9.1796875" customWidth="1"/>
    <col min="4" max="4" width="12.81640625" hidden="1" customWidth="1"/>
    <col min="5" max="5" width="19.7265625" hidden="1" customWidth="1"/>
    <col min="6" max="6" width="15.54296875" hidden="1" customWidth="1"/>
    <col min="7" max="7" width="22.1796875" hidden="1" customWidth="1"/>
    <col min="8" max="8" width="17.1796875" hidden="1" customWidth="1"/>
    <col min="9" max="9" width="23.81640625" hidden="1" customWidth="1"/>
    <col min="10" max="10" width="28.26953125" hidden="1" customWidth="1"/>
    <col min="11" max="11" width="34.81640625" hidden="1" customWidth="1"/>
    <col min="12" max="12" width="25" hidden="1" customWidth="1"/>
    <col min="13" max="13" width="31.54296875" hidden="1" customWidth="1"/>
    <col min="14" max="14" width="26.54296875" hidden="1" customWidth="1"/>
    <col min="15" max="17" width="33.26953125" hidden="1" customWidth="1"/>
    <col min="18" max="18" width="26.54296875" hidden="1" customWidth="1"/>
    <col min="19" max="19" width="33" hidden="1" customWidth="1"/>
    <col min="20" max="20" width="19.54296875" hidden="1" customWidth="1"/>
    <col min="21" max="21" width="26.1796875" hidden="1" customWidth="1"/>
    <col min="22" max="22" width="9.1796875" hidden="1" customWidth="1"/>
    <col min="23" max="23" width="34.1796875" hidden="1" customWidth="1"/>
    <col min="24" max="24" width="25.1796875" hidden="1" customWidth="1"/>
  </cols>
  <sheetData>
    <row r="1" spans="1:24" ht="15" customHeight="1" thickBot="1" x14ac:dyDescent="0.4">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 thickTop="1" x14ac:dyDescent="0.3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25" ca="1" si="0">COUNTIF(INDIRECT(DynamicFilterSourceColumnRange), "&gt;= " &amp; T2) - COUNTIF(INDIRECT(DynamicFilterSourceColumnRange), "&gt;=" &amp; T3)</f>
        <v>#REF!</v>
      </c>
      <c r="W2" t="s">
        <v>124</v>
      </c>
      <c r="X2">
        <f>ROWS(HistogramBins[Degree Bin]) - 1</f>
        <v>34</v>
      </c>
    </row>
    <row r="3" spans="1:24" x14ac:dyDescent="0.35">
      <c r="D3" s="34">
        <f t="shared" ref="D3:D35" si="1">D2+($D$36-$D$2)/BinDivisor</f>
        <v>0</v>
      </c>
      <c r="E3" s="3">
        <f>COUNTIF(Vertices[Degree], "&gt;= " &amp; D3) - COUNTIF(Vertices[Degree], "&gt;=" &amp; D4)</f>
        <v>0</v>
      </c>
      <c r="F3" s="41">
        <f t="shared" ref="F3:F35" si="2">F2+($F$36-$F$2)/BinDivisor</f>
        <v>0</v>
      </c>
      <c r="G3" s="42">
        <f>COUNTIF(Vertices[In-Degree], "&gt;= " &amp; F3) - COUNTIF(Vertices[In-Degree], "&gt;=" &amp; F4)</f>
        <v>0</v>
      </c>
      <c r="H3" s="41">
        <f t="shared" ref="H3:H35" si="3">H2+($H$36-$H$2)/BinDivisor</f>
        <v>0</v>
      </c>
      <c r="I3" s="42">
        <f>COUNTIF(Vertices[Out-Degree], "&gt;= " &amp; H3) - COUNTIF(Vertices[Out-Degree], "&gt;=" &amp; H4)</f>
        <v>0</v>
      </c>
      <c r="J3" s="41">
        <f t="shared" ref="J3:J35" si="4">J2+($J$36-$J$2)/BinDivisor</f>
        <v>0</v>
      </c>
      <c r="K3" s="42">
        <f>COUNTIF(Vertices[Betweenness Centrality], "&gt;= " &amp; J3) - COUNTIF(Vertices[Betweenness Centrality], "&gt;=" &amp; J4)</f>
        <v>0</v>
      </c>
      <c r="L3" s="41">
        <f t="shared" ref="L3:L35" si="5">L2+($L$36-$L$2)/BinDivisor</f>
        <v>0</v>
      </c>
      <c r="M3" s="42">
        <f>COUNTIF(Vertices[Closeness Centrality], "&gt;= " &amp; L3) - COUNTIF(Vertices[Closeness Centrality], "&gt;=" &amp; L4)</f>
        <v>0</v>
      </c>
      <c r="N3" s="41">
        <f t="shared" ref="N3:N35" si="6">N2+($N$36-$N$2)/BinDivisor</f>
        <v>0</v>
      </c>
      <c r="O3" s="42">
        <f>COUNTIF(Vertices[Eigenvector Centrality], "&gt;= " &amp; N3) - COUNTIF(Vertices[Eigenvector Centrality], "&gt;=" &amp; N4)</f>
        <v>0</v>
      </c>
      <c r="P3" s="41">
        <f t="shared" ref="P3:P35" si="7">P2+($P$36-$P$2)/BinDivisor</f>
        <v>0</v>
      </c>
      <c r="Q3" s="42">
        <f>COUNTIF(Vertices[PageRank], "&gt;= " &amp; P3) - COUNTIF(Vertices[PageRank], "&gt;=" &amp; P4)</f>
        <v>0</v>
      </c>
      <c r="R3" s="41">
        <f t="shared" ref="R3:R35" si="8">R2+($R$36-$R$2)/BinDivisor</f>
        <v>0</v>
      </c>
      <c r="S3" s="46">
        <f>COUNTIF(Vertices[Clustering Coefficient], "&gt;= " &amp; R3) - COUNTIF(Vertices[Clustering Coefficient], "&gt;=" &amp; R4)</f>
        <v>0</v>
      </c>
      <c r="T3" s="41" t="e">
        <f t="shared" ref="T3:T35" ca="1" si="9">T2+($T$36-$T$2)/BinDivisor</f>
        <v>#REF!</v>
      </c>
      <c r="U3" s="42" t="e">
        <f t="shared" ca="1" si="0"/>
        <v>#REF!</v>
      </c>
      <c r="W3" t="s">
        <v>125</v>
      </c>
      <c r="X3" t="s">
        <v>85</v>
      </c>
    </row>
    <row r="4" spans="1:24" x14ac:dyDescent="0.3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3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3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3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3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3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3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3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3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3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3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3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3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3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3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3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3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3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3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3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3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3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3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ref="U26:U35" ca="1" si="10">COUNTIF(INDIRECT(DynamicFilterSourceColumnRange), "&gt;= " &amp; T26) - COUNTIF(INDIRECT(DynamicFilterSourceColumnRange), "&gt;=" &amp; T27)</f>
        <v>#REF!</v>
      </c>
    </row>
    <row r="27" spans="4:21" x14ac:dyDescent="0.3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10"/>
        <v>#REF!</v>
      </c>
    </row>
    <row r="28" spans="4:21" x14ac:dyDescent="0.3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10"/>
        <v>#REF!</v>
      </c>
    </row>
    <row r="29" spans="4:21" x14ac:dyDescent="0.35">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10"/>
        <v>#REF!</v>
      </c>
    </row>
    <row r="30" spans="4:21" x14ac:dyDescent="0.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10"/>
        <v>#REF!</v>
      </c>
    </row>
    <row r="31" spans="4:21" x14ac:dyDescent="0.3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10"/>
        <v>#REF!</v>
      </c>
    </row>
    <row r="32" spans="4:21" x14ac:dyDescent="0.3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10"/>
        <v>#REF!</v>
      </c>
    </row>
    <row r="33" spans="4:21" x14ac:dyDescent="0.3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10"/>
        <v>#REF!</v>
      </c>
    </row>
    <row r="34" spans="4:21" x14ac:dyDescent="0.3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10"/>
        <v>#REF!</v>
      </c>
    </row>
    <row r="35" spans="4:21" x14ac:dyDescent="0.3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10"/>
        <v>#REF!</v>
      </c>
    </row>
    <row r="36" spans="4:21" x14ac:dyDescent="0.35">
      <c r="D36" s="34">
        <f>MAX(Vertices[Degree])</f>
        <v>0</v>
      </c>
      <c r="E36" s="3">
        <f>COUNTIF(Vertices[Degree], "&gt;= " &amp; D36) - COUNTIF(Vertices[Degree], "&gt;=" &amp;#REF!)</f>
        <v>0</v>
      </c>
      <c r="F36" s="43">
        <f>MAX(Vertices[In-Degree])</f>
        <v>0</v>
      </c>
      <c r="G36" s="44">
        <f>COUNTIF(Vertices[In-Degree], "&gt;= " &amp; F36) - COUNTIF(Vertices[In-Degree], "&gt;=" &amp;#REF!)</f>
        <v>0</v>
      </c>
      <c r="H36" s="43">
        <f>MAX(Vertices[Out-Degree])</f>
        <v>0</v>
      </c>
      <c r="I36" s="44">
        <f>COUNTIF(Vertices[Out-Degree], "&gt;= " &amp; H36) - COUNTIF(Vertices[Out-Degree], "&gt;=" &amp;#REF!)</f>
        <v>0</v>
      </c>
      <c r="J36" s="43">
        <f>MAX(Vertices[Betweenness Centrality])</f>
        <v>0</v>
      </c>
      <c r="K36" s="44">
        <f>COUNTIF(Vertices[Betweenness Centrality], "&gt;= " &amp; J36) - COUNTIF(Vertices[Betweenness Centrality], "&gt;=" &amp;#REF!)</f>
        <v>0</v>
      </c>
      <c r="L36" s="43">
        <f>MAX(Vertices[Closeness Centrality])</f>
        <v>0</v>
      </c>
      <c r="M36" s="44">
        <f>COUNTIF(Vertices[Closeness Centrality], "&gt;= " &amp; L36) - COUNTIF(Vertices[Closeness Centrality], "&gt;=" &amp;#REF!)</f>
        <v>0</v>
      </c>
      <c r="N36" s="43">
        <f>MAX(Vertices[Eigenvector Centrality])</f>
        <v>0</v>
      </c>
      <c r="O36" s="44">
        <f>COUNTIF(Vertices[Eigenvector Centrality], "&gt;= " &amp; N36) - COUNTIF(Vertices[Eigenvector Centrality], "&gt;=" &amp;#REF!)</f>
        <v>0</v>
      </c>
      <c r="P36" s="43">
        <f>MAX(Vertices[PageRank])</f>
        <v>0</v>
      </c>
      <c r="Q36" s="44">
        <f>COUNTIF(Vertices[PageRank], "&gt;= " &amp; P36) - COUNTIF(Vertices[PageRank], "&gt;=" &amp;#REF!)</f>
        <v>0</v>
      </c>
      <c r="R36" s="43">
        <f>MAX(Vertices[Clustering Coefficient])</f>
        <v>0</v>
      </c>
      <c r="S36" s="47">
        <f>COUNTIF(Vertices[Clustering Coefficient], "&gt;= " &amp; R36) - COUNTIF(Vertices[Clustering Coefficient], "&gt;=" &amp;#REF!)</f>
        <v>0</v>
      </c>
      <c r="T36" s="43" t="e">
        <f ca="1">MAX(INDIRECT(DynamicFilterSourceColumnRange))</f>
        <v>#REF!</v>
      </c>
      <c r="U36" s="44" t="e">
        <f ca="1">COUNTIF(INDIRECT(DynamicFilterSourceColumnRange), "&gt;= " &amp; T36) - COUNTIF(INDIRECT(DynamicFilterSourceColumnRange), "&gt;=" &amp;#REF!)</f>
        <v>#REF!</v>
      </c>
    </row>
    <row r="53" spans="1:2" x14ac:dyDescent="0.35">
      <c r="A53" t="s">
        <v>163</v>
      </c>
      <c r="B53" t="s">
        <v>17</v>
      </c>
    </row>
    <row r="54" spans="1:2" x14ac:dyDescent="0.35">
      <c r="A54" s="35"/>
      <c r="B54" s="35"/>
    </row>
    <row r="67" spans="1:2" x14ac:dyDescent="0.35">
      <c r="A67" s="35" t="s">
        <v>81</v>
      </c>
      <c r="B67" s="48" t="str">
        <f>IF(COUNT(Vertices[Degree])&gt;0, D2, NoMetricMessage)</f>
        <v>Not Available</v>
      </c>
    </row>
    <row r="68" spans="1:2" x14ac:dyDescent="0.35">
      <c r="A68" s="35" t="s">
        <v>82</v>
      </c>
      <c r="B68" s="48" t="str">
        <f>IF(COUNT(Vertices[Degree])&gt;0, D36, NoMetricMessage)</f>
        <v>Not Available</v>
      </c>
    </row>
    <row r="69" spans="1:2" x14ac:dyDescent="0.35">
      <c r="A69" s="35" t="s">
        <v>83</v>
      </c>
      <c r="B69" s="49" t="str">
        <f>IFERROR(AVERAGE(Vertices[Degree]),NoMetricMessage)</f>
        <v>Not Available</v>
      </c>
    </row>
    <row r="70" spans="1:2" x14ac:dyDescent="0.35">
      <c r="A70" s="35" t="s">
        <v>84</v>
      </c>
      <c r="B70" s="49" t="str">
        <f>IFERROR(MEDIAN(Vertices[Degree]),NoMetricMessage)</f>
        <v>Not Available</v>
      </c>
    </row>
    <row r="81" spans="1:2" x14ac:dyDescent="0.35">
      <c r="A81" s="35" t="s">
        <v>88</v>
      </c>
      <c r="B81" s="48" t="str">
        <f>IF(COUNT(Vertices[In-Degree])&gt;0, F2, NoMetricMessage)</f>
        <v>Not Available</v>
      </c>
    </row>
    <row r="82" spans="1:2" x14ac:dyDescent="0.35">
      <c r="A82" s="35" t="s">
        <v>89</v>
      </c>
      <c r="B82" s="48" t="str">
        <f>IF(COUNT(Vertices[In-Degree])&gt;0, F36, NoMetricMessage)</f>
        <v>Not Available</v>
      </c>
    </row>
    <row r="83" spans="1:2" x14ac:dyDescent="0.35">
      <c r="A83" s="35" t="s">
        <v>90</v>
      </c>
      <c r="B83" s="49" t="str">
        <f>IFERROR(AVERAGE(Vertices[In-Degree]),NoMetricMessage)</f>
        <v>Not Available</v>
      </c>
    </row>
    <row r="84" spans="1:2" x14ac:dyDescent="0.35">
      <c r="A84" s="35" t="s">
        <v>91</v>
      </c>
      <c r="B84" s="49" t="str">
        <f>IFERROR(MEDIAN(Vertices[In-Degree]),NoMetricMessage)</f>
        <v>Not Available</v>
      </c>
    </row>
    <row r="95" spans="1:2" x14ac:dyDescent="0.35">
      <c r="A95" s="35" t="s">
        <v>94</v>
      </c>
      <c r="B95" s="48" t="str">
        <f>IF(COUNT(Vertices[Out-Degree])&gt;0, H2, NoMetricMessage)</f>
        <v>Not Available</v>
      </c>
    </row>
    <row r="96" spans="1:2" x14ac:dyDescent="0.35">
      <c r="A96" s="35" t="s">
        <v>95</v>
      </c>
      <c r="B96" s="48" t="str">
        <f>IF(COUNT(Vertices[Out-Degree])&gt;0, H36, NoMetricMessage)</f>
        <v>Not Available</v>
      </c>
    </row>
    <row r="97" spans="1:2" x14ac:dyDescent="0.35">
      <c r="A97" s="35" t="s">
        <v>96</v>
      </c>
      <c r="B97" s="49" t="str">
        <f>IFERROR(AVERAGE(Vertices[Out-Degree]),NoMetricMessage)</f>
        <v>Not Available</v>
      </c>
    </row>
    <row r="98" spans="1:2" x14ac:dyDescent="0.35">
      <c r="A98" s="35" t="s">
        <v>97</v>
      </c>
      <c r="B98" s="49" t="str">
        <f>IFERROR(MEDIAN(Vertices[Out-Degree]),NoMetricMessage)</f>
        <v>Not Available</v>
      </c>
    </row>
    <row r="109" spans="1:2" x14ac:dyDescent="0.35">
      <c r="A109" s="35" t="s">
        <v>100</v>
      </c>
      <c r="B109" s="49" t="str">
        <f>IF(COUNT(Vertices[Betweenness Centrality])&gt;0, J2, NoMetricMessage)</f>
        <v>Not Available</v>
      </c>
    </row>
    <row r="110" spans="1:2" x14ac:dyDescent="0.35">
      <c r="A110" s="35" t="s">
        <v>101</v>
      </c>
      <c r="B110" s="49" t="str">
        <f>IF(COUNT(Vertices[Betweenness Centrality])&gt;0, J36, NoMetricMessage)</f>
        <v>Not Available</v>
      </c>
    </row>
    <row r="111" spans="1:2" x14ac:dyDescent="0.35">
      <c r="A111" s="35" t="s">
        <v>102</v>
      </c>
      <c r="B111" s="49" t="str">
        <f>IFERROR(AVERAGE(Vertices[Betweenness Centrality]),NoMetricMessage)</f>
        <v>Not Available</v>
      </c>
    </row>
    <row r="112" spans="1:2" x14ac:dyDescent="0.35">
      <c r="A112" s="35" t="s">
        <v>103</v>
      </c>
      <c r="B112" s="49" t="str">
        <f>IFERROR(MEDIAN(Vertices[Betweenness Centrality]),NoMetricMessage)</f>
        <v>Not Available</v>
      </c>
    </row>
    <row r="123" spans="1:2" x14ac:dyDescent="0.35">
      <c r="A123" s="35" t="s">
        <v>106</v>
      </c>
      <c r="B123" s="49" t="str">
        <f>IF(COUNT(Vertices[Closeness Centrality])&gt;0, L2, NoMetricMessage)</f>
        <v>Not Available</v>
      </c>
    </row>
    <row r="124" spans="1:2" x14ac:dyDescent="0.35">
      <c r="A124" s="35" t="s">
        <v>107</v>
      </c>
      <c r="B124" s="49" t="str">
        <f>IF(COUNT(Vertices[Closeness Centrality])&gt;0, L36, NoMetricMessage)</f>
        <v>Not Available</v>
      </c>
    </row>
    <row r="125" spans="1:2" x14ac:dyDescent="0.35">
      <c r="A125" s="35" t="s">
        <v>108</v>
      </c>
      <c r="B125" s="49" t="str">
        <f>IFERROR(AVERAGE(Vertices[Closeness Centrality]),NoMetricMessage)</f>
        <v>Not Available</v>
      </c>
    </row>
    <row r="126" spans="1:2" x14ac:dyDescent="0.35">
      <c r="A126" s="35" t="s">
        <v>109</v>
      </c>
      <c r="B126" s="49" t="str">
        <f>IFERROR(MEDIAN(Vertices[Closeness Centrality]),NoMetricMessage)</f>
        <v>Not Available</v>
      </c>
    </row>
    <row r="137" spans="1:2" x14ac:dyDescent="0.35">
      <c r="A137" s="35" t="s">
        <v>112</v>
      </c>
      <c r="B137" s="49" t="str">
        <f>IF(COUNT(Vertices[Eigenvector Centrality])&gt;0, N2, NoMetricMessage)</f>
        <v>Not Available</v>
      </c>
    </row>
    <row r="138" spans="1:2" x14ac:dyDescent="0.35">
      <c r="A138" s="35" t="s">
        <v>113</v>
      </c>
      <c r="B138" s="49" t="str">
        <f>IF(COUNT(Vertices[Eigenvector Centrality])&gt;0, N36, NoMetricMessage)</f>
        <v>Not Available</v>
      </c>
    </row>
    <row r="139" spans="1:2" x14ac:dyDescent="0.35">
      <c r="A139" s="35" t="s">
        <v>114</v>
      </c>
      <c r="B139" s="49" t="str">
        <f>IFERROR(AVERAGE(Vertices[Eigenvector Centrality]),NoMetricMessage)</f>
        <v>Not Available</v>
      </c>
    </row>
    <row r="140" spans="1:2" x14ac:dyDescent="0.35">
      <c r="A140" s="35" t="s">
        <v>115</v>
      </c>
      <c r="B140" s="49" t="str">
        <f>IFERROR(MEDIAN(Vertices[Eigenvector Centrality]),NoMetricMessage)</f>
        <v>Not Available</v>
      </c>
    </row>
    <row r="151" spans="1:2" x14ac:dyDescent="0.35">
      <c r="A151" s="35" t="s">
        <v>140</v>
      </c>
      <c r="B151" s="49" t="str">
        <f>IF(COUNT(Vertices[PageRank])&gt;0, P2, NoMetricMessage)</f>
        <v>Not Available</v>
      </c>
    </row>
    <row r="152" spans="1:2" x14ac:dyDescent="0.35">
      <c r="A152" s="35" t="s">
        <v>141</v>
      </c>
      <c r="B152" s="49" t="str">
        <f>IF(COUNT(Vertices[PageRank])&gt;0, P36, NoMetricMessage)</f>
        <v>Not Available</v>
      </c>
    </row>
    <row r="153" spans="1:2" x14ac:dyDescent="0.35">
      <c r="A153" s="35" t="s">
        <v>142</v>
      </c>
      <c r="B153" s="49" t="str">
        <f>IFERROR(AVERAGE(Vertices[PageRank]),NoMetricMessage)</f>
        <v>Not Available</v>
      </c>
    </row>
    <row r="154" spans="1:2" x14ac:dyDescent="0.35">
      <c r="A154" s="35" t="s">
        <v>143</v>
      </c>
      <c r="B154" s="49" t="str">
        <f>IFERROR(MEDIAN(Vertices[PageRank]),NoMetricMessage)</f>
        <v>Not Available</v>
      </c>
    </row>
    <row r="165" spans="1:2" x14ac:dyDescent="0.35">
      <c r="A165" s="35" t="s">
        <v>118</v>
      </c>
      <c r="B165" s="49" t="str">
        <f>IF(COUNT(Vertices[Clustering Coefficient])&gt;0, R2, NoMetricMessage)</f>
        <v>Not Available</v>
      </c>
    </row>
    <row r="166" spans="1:2" x14ac:dyDescent="0.35">
      <c r="A166" s="35" t="s">
        <v>119</v>
      </c>
      <c r="B166" s="49" t="str">
        <f>IF(COUNT(Vertices[Clustering Coefficient])&gt;0, R36, NoMetricMessage)</f>
        <v>Not Available</v>
      </c>
    </row>
    <row r="167" spans="1:2" x14ac:dyDescent="0.35">
      <c r="A167" s="35" t="s">
        <v>120</v>
      </c>
      <c r="B167" s="49" t="str">
        <f>IFERROR(AVERAGE(Vertices[Clustering Coefficient]),NoMetricMessage)</f>
        <v>Not Available</v>
      </c>
    </row>
    <row r="168" spans="1:2" x14ac:dyDescent="0.35">
      <c r="A168" s="35" t="s">
        <v>121</v>
      </c>
      <c r="B168"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5" x14ac:dyDescent="0.35"/>
  <cols>
    <col min="1" max="1" width="10.453125" style="1" bestFit="1" customWidth="1"/>
    <col min="2" max="2" width="12.453125" style="1" bestFit="1" customWidth="1"/>
    <col min="3" max="3" width="22.81640625" bestFit="1" customWidth="1"/>
    <col min="4" max="4" width="16.81640625" bestFit="1" customWidth="1"/>
    <col min="5" max="6" width="16.81640625" customWidth="1"/>
    <col min="7" max="7" width="14.26953125" bestFit="1" customWidth="1"/>
    <col min="8" max="8" width="14.26953125" customWidth="1"/>
    <col min="10" max="10" width="39.1796875" bestFit="1" customWidth="1"/>
    <col min="11" max="11" width="10.81640625" bestFit="1" customWidth="1"/>
    <col min="13" max="13" width="8.453125" bestFit="1" customWidth="1"/>
    <col min="14" max="14" width="10" bestFit="1" customWidth="1"/>
    <col min="15" max="15" width="11.81640625" bestFit="1" customWidth="1"/>
    <col min="16" max="16" width="12.1796875" bestFit="1" customWidth="1"/>
  </cols>
  <sheetData>
    <row r="1" spans="1:18" s="4" customFormat="1" ht="36" customHeight="1" x14ac:dyDescent="0.3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35">
      <c r="A2" s="1" t="s">
        <v>51</v>
      </c>
      <c r="B2" s="1" t="s">
        <v>132</v>
      </c>
      <c r="C2" t="s">
        <v>54</v>
      </c>
      <c r="D2" t="s">
        <v>55</v>
      </c>
      <c r="E2" t="s">
        <v>55</v>
      </c>
      <c r="F2" s="1" t="s">
        <v>51</v>
      </c>
      <c r="G2" t="s">
        <v>65</v>
      </c>
      <c r="H2" t="s">
        <v>159</v>
      </c>
      <c r="J2" t="s">
        <v>19</v>
      </c>
      <c r="K2">
        <v>108</v>
      </c>
    </row>
    <row r="3" spans="1:18" x14ac:dyDescent="0.35">
      <c r="A3" s="1" t="s">
        <v>52</v>
      </c>
      <c r="B3" s="1" t="s">
        <v>133</v>
      </c>
      <c r="C3" t="s">
        <v>52</v>
      </c>
      <c r="D3" t="s">
        <v>56</v>
      </c>
      <c r="E3" t="s">
        <v>56</v>
      </c>
      <c r="F3" s="1" t="s">
        <v>52</v>
      </c>
      <c r="G3" t="s">
        <v>66</v>
      </c>
      <c r="H3" t="s">
        <v>68</v>
      </c>
      <c r="J3" t="s">
        <v>30</v>
      </c>
      <c r="K3" t="s">
        <v>4165</v>
      </c>
    </row>
    <row r="4" spans="1:18" x14ac:dyDescent="0.35">
      <c r="A4" s="1" t="s">
        <v>53</v>
      </c>
      <c r="B4" s="1" t="s">
        <v>134</v>
      </c>
      <c r="C4" t="s">
        <v>53</v>
      </c>
      <c r="D4" t="s">
        <v>57</v>
      </c>
      <c r="E4" t="s">
        <v>57</v>
      </c>
      <c r="F4" s="1" t="s">
        <v>53</v>
      </c>
      <c r="G4">
        <v>0</v>
      </c>
      <c r="H4" t="s">
        <v>69</v>
      </c>
      <c r="J4" s="12" t="s">
        <v>78</v>
      </c>
      <c r="K4" s="12"/>
    </row>
    <row r="5" spans="1:18" ht="409.5" x14ac:dyDescent="0.35">
      <c r="A5">
        <v>1</v>
      </c>
      <c r="B5" s="1" t="s">
        <v>135</v>
      </c>
      <c r="C5" t="s">
        <v>51</v>
      </c>
      <c r="D5" t="s">
        <v>58</v>
      </c>
      <c r="E5" t="s">
        <v>58</v>
      </c>
      <c r="F5">
        <v>1</v>
      </c>
      <c r="G5">
        <v>1</v>
      </c>
      <c r="H5" t="s">
        <v>70</v>
      </c>
      <c r="J5" t="s">
        <v>172</v>
      </c>
      <c r="K5" s="13" t="s">
        <v>4166</v>
      </c>
    </row>
    <row r="6" spans="1:18" x14ac:dyDescent="0.35">
      <c r="A6">
        <v>0</v>
      </c>
      <c r="B6" s="1" t="s">
        <v>136</v>
      </c>
      <c r="C6">
        <v>1</v>
      </c>
      <c r="D6" t="s">
        <v>59</v>
      </c>
      <c r="E6" t="s">
        <v>59</v>
      </c>
      <c r="F6">
        <v>0</v>
      </c>
      <c r="H6" t="s">
        <v>71</v>
      </c>
      <c r="J6" t="s">
        <v>173</v>
      </c>
      <c r="K6">
        <v>1</v>
      </c>
      <c r="R6" t="s">
        <v>129</v>
      </c>
    </row>
    <row r="7" spans="1:18" x14ac:dyDescent="0.35">
      <c r="A7">
        <v>2</v>
      </c>
      <c r="B7">
        <v>1</v>
      </c>
      <c r="C7">
        <v>0</v>
      </c>
      <c r="D7" t="s">
        <v>60</v>
      </c>
      <c r="E7" t="s">
        <v>60</v>
      </c>
      <c r="F7">
        <v>2</v>
      </c>
      <c r="H7" t="s">
        <v>72</v>
      </c>
      <c r="J7" t="s">
        <v>174</v>
      </c>
      <c r="K7" t="s">
        <v>175</v>
      </c>
    </row>
    <row r="8" spans="1:18" ht="409.5" x14ac:dyDescent="0.35">
      <c r="A8"/>
      <c r="B8">
        <v>2</v>
      </c>
      <c r="C8">
        <v>2</v>
      </c>
      <c r="D8" t="s">
        <v>61</v>
      </c>
      <c r="E8" t="s">
        <v>61</v>
      </c>
      <c r="H8" t="s">
        <v>73</v>
      </c>
      <c r="J8" t="s">
        <v>176</v>
      </c>
      <c r="K8" s="13" t="s">
        <v>14541</v>
      </c>
    </row>
    <row r="9" spans="1:18" x14ac:dyDescent="0.35">
      <c r="A9"/>
      <c r="B9">
        <v>3</v>
      </c>
      <c r="C9">
        <v>4</v>
      </c>
      <c r="D9" t="s">
        <v>62</v>
      </c>
      <c r="E9" t="s">
        <v>62</v>
      </c>
      <c r="H9" t="s">
        <v>74</v>
      </c>
    </row>
    <row r="10" spans="1:18" x14ac:dyDescent="0.35">
      <c r="A10"/>
      <c r="B10">
        <v>4</v>
      </c>
      <c r="D10" t="s">
        <v>63</v>
      </c>
      <c r="E10" t="s">
        <v>63</v>
      </c>
      <c r="H10" t="s">
        <v>75</v>
      </c>
    </row>
    <row r="11" spans="1:18" x14ac:dyDescent="0.35">
      <c r="A11"/>
      <c r="B11">
        <v>5</v>
      </c>
      <c r="D11" t="s">
        <v>46</v>
      </c>
      <c r="E11">
        <v>1</v>
      </c>
      <c r="H11" t="s">
        <v>76</v>
      </c>
    </row>
    <row r="12" spans="1:18" x14ac:dyDescent="0.35">
      <c r="A12"/>
      <c r="B12"/>
      <c r="D12" t="s">
        <v>64</v>
      </c>
      <c r="E12">
        <v>2</v>
      </c>
      <c r="H12">
        <v>0</v>
      </c>
    </row>
    <row r="13" spans="1:18" x14ac:dyDescent="0.35">
      <c r="A13"/>
      <c r="B13"/>
      <c r="D13">
        <v>1</v>
      </c>
      <c r="E13">
        <v>3</v>
      </c>
      <c r="H13">
        <v>1</v>
      </c>
    </row>
    <row r="14" spans="1:18" x14ac:dyDescent="0.35">
      <c r="D14">
        <v>2</v>
      </c>
      <c r="E14">
        <v>4</v>
      </c>
      <c r="H14">
        <v>2</v>
      </c>
    </row>
    <row r="15" spans="1:18" x14ac:dyDescent="0.35">
      <c r="D15">
        <v>3</v>
      </c>
      <c r="E15">
        <v>5</v>
      </c>
      <c r="H15">
        <v>3</v>
      </c>
    </row>
    <row r="16" spans="1:18" x14ac:dyDescent="0.35">
      <c r="D16">
        <v>4</v>
      </c>
      <c r="E16">
        <v>6</v>
      </c>
      <c r="H16">
        <v>4</v>
      </c>
    </row>
    <row r="17" spans="4:8" x14ac:dyDescent="0.35">
      <c r="D17">
        <v>5</v>
      </c>
      <c r="E17">
        <v>7</v>
      </c>
      <c r="H17">
        <v>5</v>
      </c>
    </row>
    <row r="18" spans="4:8" x14ac:dyDescent="0.35">
      <c r="D18">
        <v>6</v>
      </c>
      <c r="E18">
        <v>8</v>
      </c>
      <c r="H18">
        <v>6</v>
      </c>
    </row>
    <row r="19" spans="4:8" x14ac:dyDescent="0.35">
      <c r="D19">
        <v>7</v>
      </c>
      <c r="E19">
        <v>9</v>
      </c>
      <c r="H19">
        <v>7</v>
      </c>
    </row>
    <row r="20" spans="4:8" x14ac:dyDescent="0.35">
      <c r="D20">
        <v>8</v>
      </c>
      <c r="H20">
        <v>8</v>
      </c>
    </row>
    <row r="21" spans="4:8" x14ac:dyDescent="0.35">
      <c r="D21">
        <v>9</v>
      </c>
      <c r="H21">
        <v>9</v>
      </c>
    </row>
    <row r="22" spans="4:8" x14ac:dyDescent="0.35">
      <c r="D22">
        <v>10</v>
      </c>
    </row>
    <row r="23" spans="4:8" x14ac:dyDescent="0.3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D4F3AF7C-4F9C-476D-93B1-FB937B37814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ALIF</dc:creator>
  <cp:lastModifiedBy>ALIF</cp:lastModifiedBy>
  <dcterms:created xsi:type="dcterms:W3CDTF">2008-01-30T00:41:58Z</dcterms:created>
  <dcterms:modified xsi:type="dcterms:W3CDTF">2021-09-30T05:01:07Z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